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E005425-B5AD-47F7-8D83-172CF932F86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①公有財産（固定資産）台帳一覧【建物】R5.3.31" sheetId="1" r:id="rId1"/>
  </sheets>
  <definedNames>
    <definedName name="_xlnm._FilterDatabase" localSheetId="0" hidden="1">'①公有財産（固定資産）台帳一覧【建物】R5.3.31'!$A$2:$R$8530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78" i="1" l="1"/>
  <c r="A336" i="1"/>
  <c r="R336" i="1"/>
  <c r="Q336" i="1"/>
  <c r="L336" i="1"/>
  <c r="K336" i="1"/>
  <c r="J336" i="1"/>
  <c r="H336" i="1"/>
  <c r="G336" i="1"/>
  <c r="E336" i="1"/>
  <c r="D336" i="1"/>
  <c r="C336" i="1"/>
  <c r="B336" i="1"/>
  <c r="J7618" i="1"/>
  <c r="E8520" i="1"/>
  <c r="A24" i="1" l="1"/>
  <c r="B24" i="1"/>
  <c r="C24" i="1"/>
  <c r="D24" i="1"/>
  <c r="Q24" i="1"/>
  <c r="R24" i="1"/>
  <c r="E24" i="1"/>
  <c r="G24" i="1"/>
  <c r="H24" i="1"/>
  <c r="J24" i="1"/>
  <c r="K24" i="1"/>
  <c r="L24" i="1"/>
  <c r="A25" i="1"/>
  <c r="B25" i="1"/>
  <c r="C25" i="1"/>
  <c r="D25" i="1"/>
  <c r="Q25" i="1"/>
  <c r="R25" i="1"/>
  <c r="E25" i="1"/>
  <c r="G25" i="1"/>
  <c r="H25" i="1"/>
  <c r="J25" i="1"/>
  <c r="K25" i="1"/>
  <c r="L25" i="1"/>
  <c r="A26" i="1"/>
  <c r="B26" i="1"/>
  <c r="C26" i="1"/>
  <c r="D26" i="1"/>
  <c r="Q26" i="1"/>
  <c r="R26" i="1"/>
  <c r="E26" i="1"/>
  <c r="G26" i="1"/>
  <c r="H26" i="1"/>
  <c r="J26" i="1"/>
  <c r="K26" i="1"/>
  <c r="L26" i="1"/>
  <c r="A27" i="1"/>
  <c r="B27" i="1"/>
  <c r="C27" i="1"/>
  <c r="D27" i="1"/>
  <c r="Q27" i="1"/>
  <c r="R27" i="1"/>
  <c r="E27" i="1"/>
  <c r="G27" i="1"/>
  <c r="H27" i="1"/>
  <c r="J27" i="1"/>
  <c r="K27" i="1"/>
  <c r="L27" i="1"/>
  <c r="A28" i="1"/>
  <c r="B28" i="1"/>
  <c r="C28" i="1"/>
  <c r="D28" i="1"/>
  <c r="Q28" i="1"/>
  <c r="R28" i="1"/>
  <c r="E28" i="1"/>
  <c r="G28" i="1"/>
  <c r="H28" i="1"/>
  <c r="J28" i="1"/>
  <c r="K28" i="1"/>
  <c r="L28" i="1"/>
  <c r="A29" i="1"/>
  <c r="B29" i="1"/>
  <c r="C29" i="1"/>
  <c r="D29" i="1"/>
  <c r="Q29" i="1"/>
  <c r="R29" i="1"/>
  <c r="E29" i="1"/>
  <c r="G29" i="1"/>
  <c r="H29" i="1"/>
  <c r="J29" i="1"/>
  <c r="K29" i="1"/>
  <c r="L29" i="1"/>
  <c r="A30" i="1"/>
  <c r="B30" i="1"/>
  <c r="C30" i="1"/>
  <c r="D30" i="1"/>
  <c r="Q30" i="1"/>
  <c r="R30" i="1"/>
  <c r="E30" i="1"/>
  <c r="G30" i="1"/>
  <c r="H30" i="1"/>
  <c r="J30" i="1"/>
  <c r="K30" i="1"/>
  <c r="L30" i="1"/>
  <c r="A31" i="1"/>
  <c r="B31" i="1"/>
  <c r="C31" i="1"/>
  <c r="D31" i="1"/>
  <c r="Q31" i="1"/>
  <c r="R31" i="1"/>
  <c r="E31" i="1"/>
  <c r="G31" i="1"/>
  <c r="H31" i="1"/>
  <c r="J31" i="1"/>
  <c r="K31" i="1"/>
  <c r="L31" i="1"/>
  <c r="A32" i="1"/>
  <c r="B32" i="1"/>
  <c r="C32" i="1"/>
  <c r="D32" i="1"/>
  <c r="Q32" i="1"/>
  <c r="R32" i="1"/>
  <c r="E32" i="1"/>
  <c r="G32" i="1"/>
  <c r="H32" i="1"/>
  <c r="J32" i="1"/>
  <c r="K32" i="1"/>
  <c r="L32" i="1"/>
  <c r="A33" i="1"/>
  <c r="B33" i="1"/>
  <c r="C33" i="1"/>
  <c r="D33" i="1"/>
  <c r="Q33" i="1"/>
  <c r="R33" i="1"/>
  <c r="E33" i="1"/>
  <c r="G33" i="1"/>
  <c r="H33" i="1"/>
  <c r="J33" i="1"/>
  <c r="K33" i="1"/>
  <c r="L33" i="1"/>
  <c r="A3" i="1"/>
  <c r="B3" i="1"/>
  <c r="C3" i="1"/>
  <c r="D3" i="1"/>
  <c r="Q3" i="1"/>
  <c r="R3" i="1"/>
  <c r="E3" i="1"/>
  <c r="G3" i="1"/>
  <c r="H3" i="1"/>
  <c r="J3" i="1"/>
  <c r="K3" i="1"/>
  <c r="L3" i="1"/>
  <c r="A4" i="1"/>
  <c r="B4" i="1"/>
  <c r="C4" i="1"/>
  <c r="D4" i="1"/>
  <c r="Q4" i="1"/>
  <c r="R4" i="1"/>
  <c r="E4" i="1"/>
  <c r="G4" i="1"/>
  <c r="H4" i="1"/>
  <c r="J4" i="1"/>
  <c r="K4" i="1"/>
  <c r="L4" i="1"/>
  <c r="A5" i="1"/>
  <c r="B5" i="1"/>
  <c r="C5" i="1"/>
  <c r="D5" i="1"/>
  <c r="Q5" i="1"/>
  <c r="R5" i="1"/>
  <c r="E5" i="1"/>
  <c r="G5" i="1"/>
  <c r="H5" i="1"/>
  <c r="J5" i="1"/>
  <c r="K5" i="1"/>
  <c r="L5" i="1"/>
  <c r="A6" i="1"/>
  <c r="B6" i="1"/>
  <c r="C6" i="1"/>
  <c r="D6" i="1"/>
  <c r="Q6" i="1"/>
  <c r="R6" i="1"/>
  <c r="E6" i="1"/>
  <c r="G6" i="1"/>
  <c r="H6" i="1"/>
  <c r="J6" i="1"/>
  <c r="K6" i="1"/>
  <c r="L6" i="1"/>
  <c r="A7" i="1"/>
  <c r="B7" i="1"/>
  <c r="C7" i="1"/>
  <c r="D7" i="1"/>
  <c r="Q7" i="1"/>
  <c r="R7" i="1"/>
  <c r="E7" i="1"/>
  <c r="G7" i="1"/>
  <c r="H7" i="1"/>
  <c r="J7" i="1"/>
  <c r="K7" i="1"/>
  <c r="L7" i="1"/>
  <c r="A8" i="1"/>
  <c r="B8" i="1"/>
  <c r="C8" i="1"/>
  <c r="D8" i="1"/>
  <c r="Q8" i="1"/>
  <c r="R8" i="1"/>
  <c r="E8" i="1"/>
  <c r="F8" i="1"/>
  <c r="G8" i="1"/>
  <c r="H8" i="1"/>
  <c r="J8" i="1"/>
  <c r="K8" i="1"/>
  <c r="L8" i="1"/>
  <c r="A9" i="1"/>
  <c r="B9" i="1"/>
  <c r="C9" i="1"/>
  <c r="D9" i="1"/>
  <c r="Q9" i="1"/>
  <c r="R9" i="1"/>
  <c r="E9" i="1"/>
  <c r="F9" i="1"/>
  <c r="G9" i="1"/>
  <c r="H9" i="1"/>
  <c r="J9" i="1"/>
  <c r="K9" i="1"/>
  <c r="L9" i="1"/>
  <c r="A10" i="1"/>
  <c r="B10" i="1"/>
  <c r="C10" i="1"/>
  <c r="D10" i="1"/>
  <c r="Q10" i="1"/>
  <c r="R10" i="1"/>
  <c r="E10" i="1"/>
  <c r="F10" i="1"/>
  <c r="G10" i="1"/>
  <c r="H10" i="1"/>
  <c r="J10" i="1"/>
  <c r="K10" i="1"/>
  <c r="L10" i="1"/>
  <c r="A11" i="1"/>
  <c r="B11" i="1"/>
  <c r="C11" i="1"/>
  <c r="D11" i="1"/>
  <c r="Q11" i="1"/>
  <c r="R11" i="1"/>
  <c r="E11" i="1"/>
  <c r="G11" i="1"/>
  <c r="H11" i="1"/>
  <c r="J11" i="1"/>
  <c r="K11" i="1"/>
  <c r="L11" i="1"/>
  <c r="A12" i="1"/>
  <c r="B12" i="1"/>
  <c r="C12" i="1"/>
  <c r="D12" i="1"/>
  <c r="Q12" i="1"/>
  <c r="R12" i="1"/>
  <c r="E12" i="1"/>
  <c r="G12" i="1"/>
  <c r="H12" i="1"/>
  <c r="J12" i="1"/>
  <c r="K12" i="1"/>
  <c r="L12" i="1"/>
  <c r="A13" i="1"/>
  <c r="B13" i="1"/>
  <c r="C13" i="1"/>
  <c r="D13" i="1"/>
  <c r="Q13" i="1"/>
  <c r="R13" i="1"/>
  <c r="E13" i="1"/>
  <c r="G13" i="1"/>
  <c r="H13" i="1"/>
  <c r="J13" i="1"/>
  <c r="K13" i="1"/>
  <c r="L13" i="1"/>
  <c r="A384" i="1"/>
  <c r="B384" i="1"/>
  <c r="C384" i="1"/>
  <c r="D384" i="1"/>
  <c r="Q384" i="1"/>
  <c r="R384" i="1"/>
  <c r="E384" i="1"/>
  <c r="G384" i="1"/>
  <c r="H384" i="1"/>
  <c r="J384" i="1"/>
  <c r="K384" i="1"/>
  <c r="L384" i="1"/>
  <c r="A385" i="1"/>
  <c r="B385" i="1"/>
  <c r="C385" i="1"/>
  <c r="D385" i="1"/>
  <c r="Q385" i="1"/>
  <c r="R385" i="1"/>
  <c r="E385" i="1"/>
  <c r="G385" i="1"/>
  <c r="H385" i="1"/>
  <c r="J385" i="1"/>
  <c r="K385" i="1"/>
  <c r="L385" i="1"/>
  <c r="A386" i="1"/>
  <c r="B386" i="1"/>
  <c r="C386" i="1"/>
  <c r="D386" i="1"/>
  <c r="Q386" i="1"/>
  <c r="R386" i="1"/>
  <c r="E386" i="1"/>
  <c r="G386" i="1"/>
  <c r="H386" i="1"/>
  <c r="J386" i="1"/>
  <c r="K386" i="1"/>
  <c r="L386" i="1"/>
  <c r="A387" i="1"/>
  <c r="B387" i="1"/>
  <c r="C387" i="1"/>
  <c r="D387" i="1"/>
  <c r="Q387" i="1"/>
  <c r="R387" i="1"/>
  <c r="E387" i="1"/>
  <c r="G387" i="1"/>
  <c r="H387" i="1"/>
  <c r="J387" i="1"/>
  <c r="K387" i="1"/>
  <c r="L387" i="1"/>
  <c r="A388" i="1"/>
  <c r="B388" i="1"/>
  <c r="C388" i="1"/>
  <c r="D388" i="1"/>
  <c r="Q388" i="1"/>
  <c r="R388" i="1"/>
  <c r="E388" i="1"/>
  <c r="G388" i="1"/>
  <c r="H388" i="1"/>
  <c r="J388" i="1"/>
  <c r="K388" i="1"/>
  <c r="L388" i="1"/>
  <c r="A389" i="1"/>
  <c r="B389" i="1"/>
  <c r="C389" i="1"/>
  <c r="D389" i="1"/>
  <c r="Q389" i="1"/>
  <c r="R389" i="1"/>
  <c r="E389" i="1"/>
  <c r="G389" i="1"/>
  <c r="H389" i="1"/>
  <c r="J389" i="1"/>
  <c r="K389" i="1"/>
  <c r="L389" i="1"/>
  <c r="A390" i="1"/>
  <c r="B390" i="1"/>
  <c r="C390" i="1"/>
  <c r="D390" i="1"/>
  <c r="Q390" i="1"/>
  <c r="R390" i="1"/>
  <c r="E390" i="1"/>
  <c r="G390" i="1"/>
  <c r="H390" i="1"/>
  <c r="J390" i="1"/>
  <c r="K390" i="1"/>
  <c r="L390" i="1"/>
  <c r="A391" i="1"/>
  <c r="B391" i="1"/>
  <c r="C391" i="1"/>
  <c r="D391" i="1"/>
  <c r="Q391" i="1"/>
  <c r="R391" i="1"/>
  <c r="E391" i="1"/>
  <c r="G391" i="1"/>
  <c r="H391" i="1"/>
  <c r="J391" i="1"/>
  <c r="K391" i="1"/>
  <c r="L391" i="1"/>
  <c r="A392" i="1"/>
  <c r="B392" i="1"/>
  <c r="C392" i="1"/>
  <c r="D392" i="1"/>
  <c r="Q392" i="1"/>
  <c r="R392" i="1"/>
  <c r="E392" i="1"/>
  <c r="G392" i="1"/>
  <c r="H392" i="1"/>
  <c r="J392" i="1"/>
  <c r="K392" i="1"/>
  <c r="L392" i="1"/>
  <c r="A393" i="1"/>
  <c r="B393" i="1"/>
  <c r="C393" i="1"/>
  <c r="D393" i="1"/>
  <c r="Q393" i="1"/>
  <c r="R393" i="1"/>
  <c r="E393" i="1"/>
  <c r="G393" i="1"/>
  <c r="H393" i="1"/>
  <c r="J393" i="1"/>
  <c r="K393" i="1"/>
  <c r="L393" i="1"/>
  <c r="A394" i="1"/>
  <c r="B394" i="1"/>
  <c r="C394" i="1"/>
  <c r="D394" i="1"/>
  <c r="Q394" i="1"/>
  <c r="R394" i="1"/>
  <c r="E394" i="1"/>
  <c r="G394" i="1"/>
  <c r="H394" i="1"/>
  <c r="J394" i="1"/>
  <c r="K394" i="1"/>
  <c r="L394" i="1"/>
  <c r="A395" i="1"/>
  <c r="B395" i="1"/>
  <c r="C395" i="1"/>
  <c r="D395" i="1"/>
  <c r="Q395" i="1"/>
  <c r="R395" i="1"/>
  <c r="E395" i="1"/>
  <c r="G395" i="1"/>
  <c r="H395" i="1"/>
  <c r="J395" i="1"/>
  <c r="K395" i="1"/>
  <c r="L395" i="1"/>
  <c r="A396" i="1"/>
  <c r="B396" i="1"/>
  <c r="C396" i="1"/>
  <c r="D396" i="1"/>
  <c r="Q396" i="1"/>
  <c r="R396" i="1"/>
  <c r="E396" i="1"/>
  <c r="G396" i="1"/>
  <c r="H396" i="1"/>
  <c r="J396" i="1"/>
  <c r="K396" i="1"/>
  <c r="L396" i="1"/>
  <c r="A397" i="1"/>
  <c r="B397" i="1"/>
  <c r="C397" i="1"/>
  <c r="D397" i="1"/>
  <c r="Q397" i="1"/>
  <c r="R397" i="1"/>
  <c r="E397" i="1"/>
  <c r="G397" i="1"/>
  <c r="H397" i="1"/>
  <c r="J397" i="1"/>
  <c r="K397" i="1"/>
  <c r="L397" i="1"/>
  <c r="A398" i="1"/>
  <c r="B398" i="1"/>
  <c r="C398" i="1"/>
  <c r="D398" i="1"/>
  <c r="Q398" i="1"/>
  <c r="R398" i="1"/>
  <c r="E398" i="1"/>
  <c r="G398" i="1"/>
  <c r="H398" i="1"/>
  <c r="J398" i="1"/>
  <c r="K398" i="1"/>
  <c r="L398" i="1"/>
  <c r="A399" i="1"/>
  <c r="B399" i="1"/>
  <c r="C399" i="1"/>
  <c r="D399" i="1"/>
  <c r="Q399" i="1"/>
  <c r="R399" i="1"/>
  <c r="E399" i="1"/>
  <c r="G399" i="1"/>
  <c r="H399" i="1"/>
  <c r="J399" i="1"/>
  <c r="K399" i="1"/>
  <c r="L399" i="1"/>
  <c r="A400" i="1"/>
  <c r="B400" i="1"/>
  <c r="C400" i="1"/>
  <c r="D400" i="1"/>
  <c r="Q400" i="1"/>
  <c r="R400" i="1"/>
  <c r="E400" i="1"/>
  <c r="G400" i="1"/>
  <c r="H400" i="1"/>
  <c r="J400" i="1"/>
  <c r="K400" i="1"/>
  <c r="L400" i="1"/>
  <c r="A401" i="1"/>
  <c r="B401" i="1"/>
  <c r="C401" i="1"/>
  <c r="D401" i="1"/>
  <c r="Q401" i="1"/>
  <c r="R401" i="1"/>
  <c r="E401" i="1"/>
  <c r="G401" i="1"/>
  <c r="H401" i="1"/>
  <c r="J401" i="1"/>
  <c r="K401" i="1"/>
  <c r="L401" i="1"/>
  <c r="A402" i="1"/>
  <c r="B402" i="1"/>
  <c r="C402" i="1"/>
  <c r="D402" i="1"/>
  <c r="Q402" i="1"/>
  <c r="R402" i="1"/>
  <c r="E402" i="1"/>
  <c r="G402" i="1"/>
  <c r="H402" i="1"/>
  <c r="J402" i="1"/>
  <c r="K402" i="1"/>
  <c r="L402" i="1"/>
  <c r="A403" i="1"/>
  <c r="B403" i="1"/>
  <c r="C403" i="1"/>
  <c r="D403" i="1"/>
  <c r="Q403" i="1"/>
  <c r="R403" i="1"/>
  <c r="E403" i="1"/>
  <c r="G403" i="1"/>
  <c r="H403" i="1"/>
  <c r="J403" i="1"/>
  <c r="K403" i="1"/>
  <c r="L403" i="1"/>
  <c r="A404" i="1"/>
  <c r="B404" i="1"/>
  <c r="C404" i="1"/>
  <c r="D404" i="1"/>
  <c r="Q404" i="1"/>
  <c r="R404" i="1"/>
  <c r="E404" i="1"/>
  <c r="G404" i="1"/>
  <c r="H404" i="1"/>
  <c r="J404" i="1"/>
  <c r="K404" i="1"/>
  <c r="L404" i="1"/>
  <c r="A405" i="1"/>
  <c r="B405" i="1"/>
  <c r="C405" i="1"/>
  <c r="D405" i="1"/>
  <c r="Q405" i="1"/>
  <c r="R405" i="1"/>
  <c r="E405" i="1"/>
  <c r="G405" i="1"/>
  <c r="H405" i="1"/>
  <c r="J405" i="1"/>
  <c r="K405" i="1"/>
  <c r="L405" i="1"/>
  <c r="A14" i="1"/>
  <c r="B14" i="1"/>
  <c r="C14" i="1"/>
  <c r="D14" i="1"/>
  <c r="Q14" i="1"/>
  <c r="R14" i="1"/>
  <c r="E14" i="1"/>
  <c r="G14" i="1"/>
  <c r="H14" i="1"/>
  <c r="J14" i="1"/>
  <c r="K14" i="1"/>
  <c r="L14" i="1"/>
  <c r="A15" i="1"/>
  <c r="B15" i="1"/>
  <c r="C15" i="1"/>
  <c r="D15" i="1"/>
  <c r="Q15" i="1"/>
  <c r="R15" i="1"/>
  <c r="E15" i="1"/>
  <c r="G15" i="1"/>
  <c r="H15" i="1"/>
  <c r="J15" i="1"/>
  <c r="K15" i="1"/>
  <c r="L15" i="1"/>
  <c r="A16" i="1"/>
  <c r="B16" i="1"/>
  <c r="C16" i="1"/>
  <c r="D16" i="1"/>
  <c r="Q16" i="1"/>
  <c r="R16" i="1"/>
  <c r="E16" i="1"/>
  <c r="G16" i="1"/>
  <c r="H16" i="1"/>
  <c r="J16" i="1"/>
  <c r="K16" i="1"/>
  <c r="L16" i="1"/>
  <c r="A17" i="1"/>
  <c r="B17" i="1"/>
  <c r="C17" i="1"/>
  <c r="D17" i="1"/>
  <c r="Q17" i="1"/>
  <c r="R17" i="1"/>
  <c r="E17" i="1"/>
  <c r="G17" i="1"/>
  <c r="H17" i="1"/>
  <c r="J17" i="1"/>
  <c r="K17" i="1"/>
  <c r="L17" i="1"/>
  <c r="A18" i="1"/>
  <c r="B18" i="1"/>
  <c r="C18" i="1"/>
  <c r="D18" i="1"/>
  <c r="Q18" i="1"/>
  <c r="R18" i="1"/>
  <c r="E18" i="1"/>
  <c r="G18" i="1"/>
  <c r="H18" i="1"/>
  <c r="J18" i="1"/>
  <c r="K18" i="1"/>
  <c r="L18" i="1"/>
  <c r="A19" i="1"/>
  <c r="B19" i="1"/>
  <c r="C19" i="1"/>
  <c r="D19" i="1"/>
  <c r="Q19" i="1"/>
  <c r="R19" i="1"/>
  <c r="E19" i="1"/>
  <c r="G19" i="1"/>
  <c r="H19" i="1"/>
  <c r="J19" i="1"/>
  <c r="K19" i="1"/>
  <c r="L19" i="1"/>
  <c r="A20" i="1"/>
  <c r="B20" i="1"/>
  <c r="C20" i="1"/>
  <c r="D20" i="1"/>
  <c r="Q20" i="1"/>
  <c r="R20" i="1"/>
  <c r="E20" i="1"/>
  <c r="G20" i="1"/>
  <c r="H20" i="1"/>
  <c r="J20" i="1"/>
  <c r="K20" i="1"/>
  <c r="L20" i="1"/>
  <c r="A21" i="1"/>
  <c r="B21" i="1"/>
  <c r="C21" i="1"/>
  <c r="D21" i="1"/>
  <c r="Q21" i="1"/>
  <c r="R21" i="1"/>
  <c r="E21" i="1"/>
  <c r="G21" i="1"/>
  <c r="H21" i="1"/>
  <c r="J21" i="1"/>
  <c r="K21" i="1"/>
  <c r="L21" i="1"/>
  <c r="A22" i="1"/>
  <c r="B22" i="1"/>
  <c r="C22" i="1"/>
  <c r="D22" i="1"/>
  <c r="Q22" i="1"/>
  <c r="R22" i="1"/>
  <c r="E22" i="1"/>
  <c r="G22" i="1"/>
  <c r="H22" i="1"/>
  <c r="J22" i="1"/>
  <c r="K22" i="1"/>
  <c r="L22" i="1"/>
  <c r="A23" i="1"/>
  <c r="B23" i="1"/>
  <c r="C23" i="1"/>
  <c r="D23" i="1"/>
  <c r="Q23" i="1"/>
  <c r="R23" i="1"/>
  <c r="E23" i="1"/>
  <c r="G23" i="1"/>
  <c r="H23" i="1"/>
  <c r="J23" i="1"/>
  <c r="K23" i="1"/>
  <c r="L23" i="1"/>
  <c r="A34" i="1"/>
  <c r="B34" i="1"/>
  <c r="C34" i="1"/>
  <c r="D34" i="1"/>
  <c r="Q34" i="1"/>
  <c r="R34" i="1"/>
  <c r="E34" i="1"/>
  <c r="G34" i="1"/>
  <c r="H34" i="1"/>
  <c r="J34" i="1"/>
  <c r="K34" i="1"/>
  <c r="L34" i="1"/>
  <c r="A35" i="1"/>
  <c r="B35" i="1"/>
  <c r="C35" i="1"/>
  <c r="D35" i="1"/>
  <c r="Q35" i="1"/>
  <c r="R35" i="1"/>
  <c r="E35" i="1"/>
  <c r="G35" i="1"/>
  <c r="H35" i="1"/>
  <c r="J35" i="1"/>
  <c r="K35" i="1"/>
  <c r="L35" i="1"/>
  <c r="A36" i="1"/>
  <c r="B36" i="1"/>
  <c r="C36" i="1"/>
  <c r="D36" i="1"/>
  <c r="Q36" i="1"/>
  <c r="R36" i="1"/>
  <c r="E36" i="1"/>
  <c r="G36" i="1"/>
  <c r="H36" i="1"/>
  <c r="J36" i="1"/>
  <c r="K36" i="1"/>
  <c r="L36" i="1"/>
  <c r="A37" i="1"/>
  <c r="B37" i="1"/>
  <c r="C37" i="1"/>
  <c r="D37" i="1"/>
  <c r="Q37" i="1"/>
  <c r="R37" i="1"/>
  <c r="E37" i="1"/>
  <c r="G37" i="1"/>
  <c r="H37" i="1"/>
  <c r="J37" i="1"/>
  <c r="K37" i="1"/>
  <c r="L37" i="1"/>
  <c r="A38" i="1"/>
  <c r="B38" i="1"/>
  <c r="C38" i="1"/>
  <c r="D38" i="1"/>
  <c r="Q38" i="1"/>
  <c r="R38" i="1"/>
  <c r="E38" i="1"/>
  <c r="G38" i="1"/>
  <c r="H38" i="1"/>
  <c r="J38" i="1"/>
  <c r="K38" i="1"/>
  <c r="L38" i="1"/>
  <c r="A39" i="1"/>
  <c r="B39" i="1"/>
  <c r="C39" i="1"/>
  <c r="D39" i="1"/>
  <c r="Q39" i="1"/>
  <c r="R39" i="1"/>
  <c r="E39" i="1"/>
  <c r="G39" i="1"/>
  <c r="H39" i="1"/>
  <c r="J39" i="1"/>
  <c r="K39" i="1"/>
  <c r="L39" i="1"/>
  <c r="A40" i="1"/>
  <c r="B40" i="1"/>
  <c r="C40" i="1"/>
  <c r="D40" i="1"/>
  <c r="Q40" i="1"/>
  <c r="R40" i="1"/>
  <c r="E40" i="1"/>
  <c r="G40" i="1"/>
  <c r="H40" i="1"/>
  <c r="J40" i="1"/>
  <c r="K40" i="1"/>
  <c r="L40" i="1"/>
  <c r="A41" i="1"/>
  <c r="B41" i="1"/>
  <c r="C41" i="1"/>
  <c r="D41" i="1"/>
  <c r="Q41" i="1"/>
  <c r="R41" i="1"/>
  <c r="E41" i="1"/>
  <c r="G41" i="1"/>
  <c r="H41" i="1"/>
  <c r="J41" i="1"/>
  <c r="K41" i="1"/>
  <c r="L41" i="1"/>
  <c r="A42" i="1"/>
  <c r="B42" i="1"/>
  <c r="C42" i="1"/>
  <c r="D42" i="1"/>
  <c r="Q42" i="1"/>
  <c r="R42" i="1"/>
  <c r="E42" i="1"/>
  <c r="G42" i="1"/>
  <c r="H42" i="1"/>
  <c r="J42" i="1"/>
  <c r="K42" i="1"/>
  <c r="L42" i="1"/>
  <c r="A43" i="1"/>
  <c r="B43" i="1"/>
  <c r="C43" i="1"/>
  <c r="D43" i="1"/>
  <c r="Q43" i="1"/>
  <c r="R43" i="1"/>
  <c r="E43" i="1"/>
  <c r="F43" i="1"/>
  <c r="G43" i="1"/>
  <c r="H43" i="1"/>
  <c r="J43" i="1"/>
  <c r="K43" i="1"/>
  <c r="L43" i="1"/>
  <c r="A44" i="1"/>
  <c r="B44" i="1"/>
  <c r="C44" i="1"/>
  <c r="D44" i="1"/>
  <c r="Q44" i="1"/>
  <c r="R44" i="1"/>
  <c r="E44" i="1"/>
  <c r="G44" i="1"/>
  <c r="H44" i="1"/>
  <c r="J44" i="1"/>
  <c r="K44" i="1"/>
  <c r="L44" i="1"/>
  <c r="A45" i="1"/>
  <c r="B45" i="1"/>
  <c r="C45" i="1"/>
  <c r="D45" i="1"/>
  <c r="Q45" i="1"/>
  <c r="R45" i="1"/>
  <c r="E45" i="1"/>
  <c r="G45" i="1"/>
  <c r="H45" i="1"/>
  <c r="J45" i="1"/>
  <c r="K45" i="1"/>
  <c r="L45" i="1"/>
  <c r="A46" i="1"/>
  <c r="B46" i="1"/>
  <c r="C46" i="1"/>
  <c r="D46" i="1"/>
  <c r="Q46" i="1"/>
  <c r="R46" i="1"/>
  <c r="E46" i="1"/>
  <c r="G46" i="1"/>
  <c r="H46" i="1"/>
  <c r="J46" i="1"/>
  <c r="K46" i="1"/>
  <c r="L46" i="1"/>
  <c r="A47" i="1"/>
  <c r="B47" i="1"/>
  <c r="C47" i="1"/>
  <c r="D47" i="1"/>
  <c r="Q47" i="1"/>
  <c r="R47" i="1"/>
  <c r="E47" i="1"/>
  <c r="G47" i="1"/>
  <c r="H47" i="1"/>
  <c r="J47" i="1"/>
  <c r="K47" i="1"/>
  <c r="L47" i="1"/>
  <c r="A48" i="1"/>
  <c r="B48" i="1"/>
  <c r="C48" i="1"/>
  <c r="D48" i="1"/>
  <c r="Q48" i="1"/>
  <c r="R48" i="1"/>
  <c r="E48" i="1"/>
  <c r="G48" i="1"/>
  <c r="H48" i="1"/>
  <c r="J48" i="1"/>
  <c r="K48" i="1"/>
  <c r="L48" i="1"/>
  <c r="A49" i="1"/>
  <c r="B49" i="1"/>
  <c r="C49" i="1"/>
  <c r="D49" i="1"/>
  <c r="Q49" i="1"/>
  <c r="R49" i="1"/>
  <c r="E49" i="1"/>
  <c r="G49" i="1"/>
  <c r="H49" i="1"/>
  <c r="J49" i="1"/>
  <c r="K49" i="1"/>
  <c r="L49" i="1"/>
  <c r="A50" i="1"/>
  <c r="B50" i="1"/>
  <c r="C50" i="1"/>
  <c r="D50" i="1"/>
  <c r="Q50" i="1"/>
  <c r="R50" i="1"/>
  <c r="E50" i="1"/>
  <c r="G50" i="1"/>
  <c r="H50" i="1"/>
  <c r="J50" i="1"/>
  <c r="K50" i="1"/>
  <c r="L50" i="1"/>
  <c r="A51" i="1"/>
  <c r="B51" i="1"/>
  <c r="C51" i="1"/>
  <c r="D51" i="1"/>
  <c r="Q51" i="1"/>
  <c r="R51" i="1"/>
  <c r="E51" i="1"/>
  <c r="F51" i="1"/>
  <c r="G51" i="1"/>
  <c r="H51" i="1"/>
  <c r="J51" i="1"/>
  <c r="K51" i="1"/>
  <c r="L51" i="1"/>
  <c r="A52" i="1"/>
  <c r="B52" i="1"/>
  <c r="C52" i="1"/>
  <c r="D52" i="1"/>
  <c r="Q52" i="1"/>
  <c r="R52" i="1"/>
  <c r="E52" i="1"/>
  <c r="F52" i="1"/>
  <c r="G52" i="1"/>
  <c r="H52" i="1"/>
  <c r="J52" i="1"/>
  <c r="K52" i="1"/>
  <c r="L52" i="1"/>
  <c r="A53" i="1"/>
  <c r="B53" i="1"/>
  <c r="C53" i="1"/>
  <c r="D53" i="1"/>
  <c r="Q53" i="1"/>
  <c r="R53" i="1"/>
  <c r="E53" i="1"/>
  <c r="F53" i="1"/>
  <c r="G53" i="1"/>
  <c r="H53" i="1"/>
  <c r="J53" i="1"/>
  <c r="K53" i="1"/>
  <c r="L53" i="1"/>
  <c r="A54" i="1"/>
  <c r="B54" i="1"/>
  <c r="C54" i="1"/>
  <c r="D54" i="1"/>
  <c r="Q54" i="1"/>
  <c r="R54" i="1"/>
  <c r="E54" i="1"/>
  <c r="F54" i="1"/>
  <c r="G54" i="1"/>
  <c r="H54" i="1"/>
  <c r="J54" i="1"/>
  <c r="K54" i="1"/>
  <c r="L54" i="1"/>
  <c r="A55" i="1"/>
  <c r="B55" i="1"/>
  <c r="C55" i="1"/>
  <c r="D55" i="1"/>
  <c r="Q55" i="1"/>
  <c r="R55" i="1"/>
  <c r="E55" i="1"/>
  <c r="F55" i="1"/>
  <c r="G55" i="1"/>
  <c r="H55" i="1"/>
  <c r="J55" i="1"/>
  <c r="K55" i="1"/>
  <c r="L55" i="1"/>
  <c r="A56" i="1"/>
  <c r="B56" i="1"/>
  <c r="C56" i="1"/>
  <c r="D56" i="1"/>
  <c r="Q56" i="1"/>
  <c r="R56" i="1"/>
  <c r="E56" i="1"/>
  <c r="F56" i="1"/>
  <c r="G56" i="1"/>
  <c r="H56" i="1"/>
  <c r="J56" i="1"/>
  <c r="K56" i="1"/>
  <c r="L56" i="1"/>
  <c r="A57" i="1"/>
  <c r="B57" i="1"/>
  <c r="C57" i="1"/>
  <c r="D57" i="1"/>
  <c r="Q57" i="1"/>
  <c r="R57" i="1"/>
  <c r="E57" i="1"/>
  <c r="F57" i="1"/>
  <c r="G57" i="1"/>
  <c r="H57" i="1"/>
  <c r="J57" i="1"/>
  <c r="K57" i="1"/>
  <c r="L57" i="1"/>
  <c r="A58" i="1"/>
  <c r="B58" i="1"/>
  <c r="C58" i="1"/>
  <c r="D58" i="1"/>
  <c r="Q58" i="1"/>
  <c r="R58" i="1"/>
  <c r="E58" i="1"/>
  <c r="F58" i="1"/>
  <c r="G58" i="1"/>
  <c r="H58" i="1"/>
  <c r="J58" i="1"/>
  <c r="K58" i="1"/>
  <c r="L58" i="1"/>
  <c r="A59" i="1"/>
  <c r="B59" i="1"/>
  <c r="C59" i="1"/>
  <c r="D59" i="1"/>
  <c r="Q59" i="1"/>
  <c r="R59" i="1"/>
  <c r="E59" i="1"/>
  <c r="F59" i="1"/>
  <c r="G59" i="1"/>
  <c r="H59" i="1"/>
  <c r="J59" i="1"/>
  <c r="K59" i="1"/>
  <c r="L59" i="1"/>
  <c r="A60" i="1"/>
  <c r="B60" i="1"/>
  <c r="C60" i="1"/>
  <c r="D60" i="1"/>
  <c r="Q60" i="1"/>
  <c r="R60" i="1"/>
  <c r="E60" i="1"/>
  <c r="F60" i="1"/>
  <c r="G60" i="1"/>
  <c r="H60" i="1"/>
  <c r="J60" i="1"/>
  <c r="K60" i="1"/>
  <c r="L60" i="1"/>
  <c r="A61" i="1"/>
  <c r="B61" i="1"/>
  <c r="C61" i="1"/>
  <c r="D61" i="1"/>
  <c r="Q61" i="1"/>
  <c r="R61" i="1"/>
  <c r="E61" i="1"/>
  <c r="F61" i="1"/>
  <c r="G61" i="1"/>
  <c r="H61" i="1"/>
  <c r="J61" i="1"/>
  <c r="K61" i="1"/>
  <c r="L61" i="1"/>
  <c r="A62" i="1"/>
  <c r="B62" i="1"/>
  <c r="C62" i="1"/>
  <c r="D62" i="1"/>
  <c r="Q62" i="1"/>
  <c r="R62" i="1"/>
  <c r="E62" i="1"/>
  <c r="F62" i="1"/>
  <c r="G62" i="1"/>
  <c r="H62" i="1"/>
  <c r="J62" i="1"/>
  <c r="K62" i="1"/>
  <c r="L62" i="1"/>
  <c r="A63" i="1"/>
  <c r="B63" i="1"/>
  <c r="C63" i="1"/>
  <c r="D63" i="1"/>
  <c r="Q63" i="1"/>
  <c r="R63" i="1"/>
  <c r="E63" i="1"/>
  <c r="F63" i="1"/>
  <c r="G63" i="1"/>
  <c r="H63" i="1"/>
  <c r="J63" i="1"/>
  <c r="K63" i="1"/>
  <c r="L63" i="1"/>
  <c r="A64" i="1"/>
  <c r="B64" i="1"/>
  <c r="C64" i="1"/>
  <c r="D64" i="1"/>
  <c r="Q64" i="1"/>
  <c r="R64" i="1"/>
  <c r="E64" i="1"/>
  <c r="G64" i="1"/>
  <c r="H64" i="1"/>
  <c r="J64" i="1"/>
  <c r="K64" i="1"/>
  <c r="L64" i="1"/>
  <c r="A65" i="1"/>
  <c r="B65" i="1"/>
  <c r="C65" i="1"/>
  <c r="D65" i="1"/>
  <c r="Q65" i="1"/>
  <c r="R65" i="1"/>
  <c r="E65" i="1"/>
  <c r="F65" i="1"/>
  <c r="G65" i="1"/>
  <c r="H65" i="1"/>
  <c r="J65" i="1"/>
  <c r="K65" i="1"/>
  <c r="L65" i="1"/>
  <c r="A66" i="1"/>
  <c r="B66" i="1"/>
  <c r="C66" i="1"/>
  <c r="D66" i="1"/>
  <c r="Q66" i="1"/>
  <c r="R66" i="1"/>
  <c r="E66" i="1"/>
  <c r="F66" i="1"/>
  <c r="G66" i="1"/>
  <c r="H66" i="1"/>
  <c r="J66" i="1"/>
  <c r="K66" i="1"/>
  <c r="L66" i="1"/>
  <c r="A67" i="1"/>
  <c r="B67" i="1"/>
  <c r="C67" i="1"/>
  <c r="D67" i="1"/>
  <c r="Q67" i="1"/>
  <c r="R67" i="1"/>
  <c r="E67" i="1"/>
  <c r="F67" i="1"/>
  <c r="G67" i="1"/>
  <c r="H67" i="1"/>
  <c r="J67" i="1"/>
  <c r="K67" i="1"/>
  <c r="L67" i="1"/>
  <c r="A7155" i="1"/>
  <c r="B7155" i="1"/>
  <c r="C7155" i="1"/>
  <c r="D7155" i="1"/>
  <c r="Q7155" i="1"/>
  <c r="R7155" i="1"/>
  <c r="E7155" i="1"/>
  <c r="G7155" i="1"/>
  <c r="H7155" i="1"/>
  <c r="J7155" i="1"/>
  <c r="K7155" i="1"/>
  <c r="L7155" i="1"/>
  <c r="A8403" i="1"/>
  <c r="B8403" i="1"/>
  <c r="C8403" i="1"/>
  <c r="D8403" i="1"/>
  <c r="Q8403" i="1"/>
  <c r="R8403" i="1"/>
  <c r="E8403" i="1"/>
  <c r="G8403" i="1"/>
  <c r="H8403" i="1"/>
  <c r="J8403" i="1"/>
  <c r="K8403" i="1"/>
  <c r="L8403" i="1"/>
  <c r="A8405" i="1"/>
  <c r="B8405" i="1"/>
  <c r="C8405" i="1"/>
  <c r="D8405" i="1"/>
  <c r="Q8405" i="1"/>
  <c r="R8405" i="1"/>
  <c r="E8405" i="1"/>
  <c r="G8405" i="1"/>
  <c r="H8405" i="1"/>
  <c r="J8405" i="1"/>
  <c r="K8405" i="1"/>
  <c r="L8405" i="1"/>
  <c r="A8407" i="1"/>
  <c r="B8407" i="1"/>
  <c r="C8407" i="1"/>
  <c r="D8407" i="1"/>
  <c r="Q8407" i="1"/>
  <c r="R8407" i="1"/>
  <c r="E8407" i="1"/>
  <c r="G8407" i="1"/>
  <c r="H8407" i="1"/>
  <c r="J8407" i="1"/>
  <c r="K8407" i="1"/>
  <c r="L8407" i="1"/>
  <c r="A8408" i="1"/>
  <c r="B8408" i="1"/>
  <c r="C8408" i="1"/>
  <c r="D8408" i="1"/>
  <c r="Q8408" i="1"/>
  <c r="R8408" i="1"/>
  <c r="E8408" i="1"/>
  <c r="G8408" i="1"/>
  <c r="H8408" i="1"/>
  <c r="J8408" i="1"/>
  <c r="K8408" i="1"/>
  <c r="L8408" i="1"/>
  <c r="A8409" i="1"/>
  <c r="B8409" i="1"/>
  <c r="C8409" i="1"/>
  <c r="D8409" i="1"/>
  <c r="Q8409" i="1"/>
  <c r="R8409" i="1"/>
  <c r="E8409" i="1"/>
  <c r="G8409" i="1"/>
  <c r="H8409" i="1"/>
  <c r="J8409" i="1"/>
  <c r="K8409" i="1"/>
  <c r="L8409" i="1"/>
  <c r="A8411" i="1"/>
  <c r="B8411" i="1"/>
  <c r="C8411" i="1"/>
  <c r="D8411" i="1"/>
  <c r="Q8411" i="1"/>
  <c r="R8411" i="1"/>
  <c r="E8411" i="1"/>
  <c r="G8411" i="1"/>
  <c r="H8411" i="1"/>
  <c r="J8411" i="1"/>
  <c r="K8411" i="1"/>
  <c r="L8411" i="1"/>
  <c r="A8412" i="1"/>
  <c r="B8412" i="1"/>
  <c r="C8412" i="1"/>
  <c r="D8412" i="1"/>
  <c r="Q8412" i="1"/>
  <c r="R8412" i="1"/>
  <c r="E8412" i="1"/>
  <c r="G8412" i="1"/>
  <c r="H8412" i="1"/>
  <c r="J8412" i="1"/>
  <c r="K8412" i="1"/>
  <c r="L8412" i="1"/>
  <c r="A8413" i="1"/>
  <c r="B8413" i="1"/>
  <c r="C8413" i="1"/>
  <c r="D8413" i="1"/>
  <c r="Q8413" i="1"/>
  <c r="R8413" i="1"/>
  <c r="E8413" i="1"/>
  <c r="G8413" i="1"/>
  <c r="H8413" i="1"/>
  <c r="J8413" i="1"/>
  <c r="K8413" i="1"/>
  <c r="L8413" i="1"/>
  <c r="A8414" i="1"/>
  <c r="B8414" i="1"/>
  <c r="C8414" i="1"/>
  <c r="D8414" i="1"/>
  <c r="Q8414" i="1"/>
  <c r="R8414" i="1"/>
  <c r="E8414" i="1"/>
  <c r="G8414" i="1"/>
  <c r="H8414" i="1"/>
  <c r="J8414" i="1"/>
  <c r="K8414" i="1"/>
  <c r="L8414" i="1"/>
  <c r="A8415" i="1"/>
  <c r="B8415" i="1"/>
  <c r="C8415" i="1"/>
  <c r="D8415" i="1"/>
  <c r="Q8415" i="1"/>
  <c r="R8415" i="1"/>
  <c r="E8415" i="1"/>
  <c r="G8415" i="1"/>
  <c r="H8415" i="1"/>
  <c r="J8415" i="1"/>
  <c r="K8415" i="1"/>
  <c r="L8415" i="1"/>
  <c r="A8416" i="1"/>
  <c r="B8416" i="1"/>
  <c r="C8416" i="1"/>
  <c r="D8416" i="1"/>
  <c r="Q8416" i="1"/>
  <c r="R8416" i="1"/>
  <c r="E8416" i="1"/>
  <c r="G8416" i="1"/>
  <c r="H8416" i="1"/>
  <c r="J8416" i="1"/>
  <c r="K8416" i="1"/>
  <c r="L8416" i="1"/>
  <c r="A8417" i="1"/>
  <c r="B8417" i="1"/>
  <c r="C8417" i="1"/>
  <c r="D8417" i="1"/>
  <c r="Q8417" i="1"/>
  <c r="R8417" i="1"/>
  <c r="E8417" i="1"/>
  <c r="G8417" i="1"/>
  <c r="H8417" i="1"/>
  <c r="J8417" i="1"/>
  <c r="K8417" i="1"/>
  <c r="L8417" i="1"/>
  <c r="A8419" i="1"/>
  <c r="B8419" i="1"/>
  <c r="C8419" i="1"/>
  <c r="D8419" i="1"/>
  <c r="Q8419" i="1"/>
  <c r="R8419" i="1"/>
  <c r="E8419" i="1"/>
  <c r="F8419" i="1"/>
  <c r="G8419" i="1"/>
  <c r="H8419" i="1"/>
  <c r="J8419" i="1"/>
  <c r="K8419" i="1"/>
  <c r="L8419" i="1"/>
  <c r="A8420" i="1"/>
  <c r="B8420" i="1"/>
  <c r="C8420" i="1"/>
  <c r="D8420" i="1"/>
  <c r="Q8420" i="1"/>
  <c r="R8420" i="1"/>
  <c r="E8420" i="1"/>
  <c r="F8420" i="1"/>
  <c r="G8420" i="1"/>
  <c r="H8420" i="1"/>
  <c r="J8420" i="1"/>
  <c r="K8420" i="1"/>
  <c r="L8420" i="1"/>
  <c r="A8421" i="1"/>
  <c r="B8421" i="1"/>
  <c r="C8421" i="1"/>
  <c r="D8421" i="1"/>
  <c r="Q8421" i="1"/>
  <c r="R8421" i="1"/>
  <c r="E8421" i="1"/>
  <c r="G8421" i="1"/>
  <c r="H8421" i="1"/>
  <c r="J8421" i="1"/>
  <c r="K8421" i="1"/>
  <c r="L8421" i="1"/>
  <c r="A8422" i="1"/>
  <c r="B8422" i="1"/>
  <c r="C8422" i="1"/>
  <c r="D8422" i="1"/>
  <c r="Q8422" i="1"/>
  <c r="R8422" i="1"/>
  <c r="E8422" i="1"/>
  <c r="G8422" i="1"/>
  <c r="H8422" i="1"/>
  <c r="J8422" i="1"/>
  <c r="K8422" i="1"/>
  <c r="L8422" i="1"/>
  <c r="A8423" i="1"/>
  <c r="B8423" i="1"/>
  <c r="C8423" i="1"/>
  <c r="D8423" i="1"/>
  <c r="Q8423" i="1"/>
  <c r="R8423" i="1"/>
  <c r="E8423" i="1"/>
  <c r="G8423" i="1"/>
  <c r="H8423" i="1"/>
  <c r="J8423" i="1"/>
  <c r="K8423" i="1"/>
  <c r="L8423" i="1"/>
  <c r="A8424" i="1"/>
  <c r="B8424" i="1"/>
  <c r="C8424" i="1"/>
  <c r="D8424" i="1"/>
  <c r="Q8424" i="1"/>
  <c r="R8424" i="1"/>
  <c r="E8424" i="1"/>
  <c r="G8424" i="1"/>
  <c r="H8424" i="1"/>
  <c r="J8424" i="1"/>
  <c r="K8424" i="1"/>
  <c r="L8424" i="1"/>
  <c r="A70" i="1"/>
  <c r="B70" i="1"/>
  <c r="C70" i="1"/>
  <c r="D70" i="1"/>
  <c r="Q70" i="1"/>
  <c r="R70" i="1"/>
  <c r="E70" i="1"/>
  <c r="G70" i="1"/>
  <c r="H70" i="1"/>
  <c r="J70" i="1"/>
  <c r="K70" i="1"/>
  <c r="L70" i="1"/>
  <c r="A72" i="1"/>
  <c r="B72" i="1"/>
  <c r="C72" i="1"/>
  <c r="D72" i="1"/>
  <c r="Q72" i="1"/>
  <c r="R72" i="1"/>
  <c r="E72" i="1"/>
  <c r="G72" i="1"/>
  <c r="H72" i="1"/>
  <c r="J72" i="1"/>
  <c r="K72" i="1"/>
  <c r="L72" i="1"/>
  <c r="A73" i="1"/>
  <c r="B73" i="1"/>
  <c r="C73" i="1"/>
  <c r="D73" i="1"/>
  <c r="Q73" i="1"/>
  <c r="R73" i="1"/>
  <c r="E73" i="1"/>
  <c r="G73" i="1"/>
  <c r="H73" i="1"/>
  <c r="J73" i="1"/>
  <c r="K73" i="1"/>
  <c r="L73" i="1"/>
  <c r="A74" i="1"/>
  <c r="B74" i="1"/>
  <c r="C74" i="1"/>
  <c r="D74" i="1"/>
  <c r="Q74" i="1"/>
  <c r="R74" i="1"/>
  <c r="E74" i="1"/>
  <c r="G74" i="1"/>
  <c r="H74" i="1"/>
  <c r="J74" i="1"/>
  <c r="K74" i="1"/>
  <c r="L74" i="1"/>
  <c r="A75" i="1"/>
  <c r="B75" i="1"/>
  <c r="C75" i="1"/>
  <c r="D75" i="1"/>
  <c r="Q75" i="1"/>
  <c r="R75" i="1"/>
  <c r="E75" i="1"/>
  <c r="G75" i="1"/>
  <c r="H75" i="1"/>
  <c r="J75" i="1"/>
  <c r="K75" i="1"/>
  <c r="L75" i="1"/>
  <c r="A76" i="1"/>
  <c r="B76" i="1"/>
  <c r="C76" i="1"/>
  <c r="D76" i="1"/>
  <c r="Q76" i="1"/>
  <c r="R76" i="1"/>
  <c r="E76" i="1"/>
  <c r="G76" i="1"/>
  <c r="H76" i="1"/>
  <c r="J76" i="1"/>
  <c r="K76" i="1"/>
  <c r="L76" i="1"/>
  <c r="A77" i="1"/>
  <c r="B77" i="1"/>
  <c r="C77" i="1"/>
  <c r="D77" i="1"/>
  <c r="Q77" i="1"/>
  <c r="R77" i="1"/>
  <c r="E77" i="1"/>
  <c r="G77" i="1"/>
  <c r="H77" i="1"/>
  <c r="J77" i="1"/>
  <c r="K77" i="1"/>
  <c r="L77" i="1"/>
  <c r="A78" i="1"/>
  <c r="B78" i="1"/>
  <c r="C78" i="1"/>
  <c r="D78" i="1"/>
  <c r="Q78" i="1"/>
  <c r="R78" i="1"/>
  <c r="E78" i="1"/>
  <c r="G78" i="1"/>
  <c r="H78" i="1"/>
  <c r="J78" i="1"/>
  <c r="K78" i="1"/>
  <c r="L78" i="1"/>
  <c r="A79" i="1"/>
  <c r="B79" i="1"/>
  <c r="C79" i="1"/>
  <c r="D79" i="1"/>
  <c r="Q79" i="1"/>
  <c r="R79" i="1"/>
  <c r="E79" i="1"/>
  <c r="G79" i="1"/>
  <c r="H79" i="1"/>
  <c r="J79" i="1"/>
  <c r="K79" i="1"/>
  <c r="L79" i="1"/>
  <c r="A80" i="1"/>
  <c r="B80" i="1"/>
  <c r="C80" i="1"/>
  <c r="D80" i="1"/>
  <c r="Q80" i="1"/>
  <c r="R80" i="1"/>
  <c r="E80" i="1"/>
  <c r="G80" i="1"/>
  <c r="H80" i="1"/>
  <c r="J80" i="1"/>
  <c r="K80" i="1"/>
  <c r="L80" i="1"/>
  <c r="A81" i="1"/>
  <c r="B81" i="1"/>
  <c r="C81" i="1"/>
  <c r="D81" i="1"/>
  <c r="Q81" i="1"/>
  <c r="R81" i="1"/>
  <c r="E81" i="1"/>
  <c r="G81" i="1"/>
  <c r="H81" i="1"/>
  <c r="J81" i="1"/>
  <c r="K81" i="1"/>
  <c r="L81" i="1"/>
  <c r="A82" i="1"/>
  <c r="B82" i="1"/>
  <c r="C82" i="1"/>
  <c r="D82" i="1"/>
  <c r="Q82" i="1"/>
  <c r="R82" i="1"/>
  <c r="E82" i="1"/>
  <c r="G82" i="1"/>
  <c r="H82" i="1"/>
  <c r="J82" i="1"/>
  <c r="K82" i="1"/>
  <c r="L82" i="1"/>
  <c r="A83" i="1"/>
  <c r="B83" i="1"/>
  <c r="C83" i="1"/>
  <c r="D83" i="1"/>
  <c r="Q83" i="1"/>
  <c r="R83" i="1"/>
  <c r="E83" i="1"/>
  <c r="G83" i="1"/>
  <c r="H83" i="1"/>
  <c r="J83" i="1"/>
  <c r="K83" i="1"/>
  <c r="L83" i="1"/>
  <c r="A84" i="1"/>
  <c r="B84" i="1"/>
  <c r="C84" i="1"/>
  <c r="D84" i="1"/>
  <c r="Q84" i="1"/>
  <c r="R84" i="1"/>
  <c r="E84" i="1"/>
  <c r="G84" i="1"/>
  <c r="H84" i="1"/>
  <c r="J84" i="1"/>
  <c r="K84" i="1"/>
  <c r="L84" i="1"/>
  <c r="A85" i="1"/>
  <c r="B85" i="1"/>
  <c r="C85" i="1"/>
  <c r="D85" i="1"/>
  <c r="Q85" i="1"/>
  <c r="R85" i="1"/>
  <c r="E85" i="1"/>
  <c r="G85" i="1"/>
  <c r="H85" i="1"/>
  <c r="J85" i="1"/>
  <c r="K85" i="1"/>
  <c r="L85" i="1"/>
  <c r="A86" i="1"/>
  <c r="B86" i="1"/>
  <c r="C86" i="1"/>
  <c r="D86" i="1"/>
  <c r="Q86" i="1"/>
  <c r="R86" i="1"/>
  <c r="E86" i="1"/>
  <c r="G86" i="1"/>
  <c r="H86" i="1"/>
  <c r="J86" i="1"/>
  <c r="K86" i="1"/>
  <c r="L86" i="1"/>
  <c r="A87" i="1"/>
  <c r="B87" i="1"/>
  <c r="C87" i="1"/>
  <c r="D87" i="1"/>
  <c r="Q87" i="1"/>
  <c r="R87" i="1"/>
  <c r="E87" i="1"/>
  <c r="G87" i="1"/>
  <c r="H87" i="1"/>
  <c r="J87" i="1"/>
  <c r="K87" i="1"/>
  <c r="L87" i="1"/>
  <c r="A88" i="1"/>
  <c r="B88" i="1"/>
  <c r="C88" i="1"/>
  <c r="D88" i="1"/>
  <c r="Q88" i="1"/>
  <c r="R88" i="1"/>
  <c r="E88" i="1"/>
  <c r="G88" i="1"/>
  <c r="H88" i="1"/>
  <c r="J88" i="1"/>
  <c r="K88" i="1"/>
  <c r="L88" i="1"/>
  <c r="A89" i="1"/>
  <c r="B89" i="1"/>
  <c r="C89" i="1"/>
  <c r="D89" i="1"/>
  <c r="Q89" i="1"/>
  <c r="R89" i="1"/>
  <c r="E89" i="1"/>
  <c r="G89" i="1"/>
  <c r="H89" i="1"/>
  <c r="J89" i="1"/>
  <c r="K89" i="1"/>
  <c r="L89" i="1"/>
  <c r="A90" i="1"/>
  <c r="B90" i="1"/>
  <c r="C90" i="1"/>
  <c r="D90" i="1"/>
  <c r="Q90" i="1"/>
  <c r="R90" i="1"/>
  <c r="E90" i="1"/>
  <c r="G90" i="1"/>
  <c r="H90" i="1"/>
  <c r="J90" i="1"/>
  <c r="K90" i="1"/>
  <c r="L90" i="1"/>
  <c r="A91" i="1"/>
  <c r="B91" i="1"/>
  <c r="C91" i="1"/>
  <c r="D91" i="1"/>
  <c r="Q91" i="1"/>
  <c r="R91" i="1"/>
  <c r="E91" i="1"/>
  <c r="G91" i="1"/>
  <c r="H91" i="1"/>
  <c r="J91" i="1"/>
  <c r="K91" i="1"/>
  <c r="L91" i="1"/>
  <c r="A92" i="1"/>
  <c r="B92" i="1"/>
  <c r="C92" i="1"/>
  <c r="D92" i="1"/>
  <c r="Q92" i="1"/>
  <c r="R92" i="1"/>
  <c r="E92" i="1"/>
  <c r="G92" i="1"/>
  <c r="H92" i="1"/>
  <c r="J92" i="1"/>
  <c r="K92" i="1"/>
  <c r="L92" i="1"/>
  <c r="A93" i="1"/>
  <c r="B93" i="1"/>
  <c r="C93" i="1"/>
  <c r="D93" i="1"/>
  <c r="Q93" i="1"/>
  <c r="R93" i="1"/>
  <c r="E93" i="1"/>
  <c r="G93" i="1"/>
  <c r="H93" i="1"/>
  <c r="J93" i="1"/>
  <c r="K93" i="1"/>
  <c r="L93" i="1"/>
  <c r="A94" i="1"/>
  <c r="B94" i="1"/>
  <c r="C94" i="1"/>
  <c r="D94" i="1"/>
  <c r="Q94" i="1"/>
  <c r="R94" i="1"/>
  <c r="E94" i="1"/>
  <c r="G94" i="1"/>
  <c r="H94" i="1"/>
  <c r="J94" i="1"/>
  <c r="K94" i="1"/>
  <c r="L94" i="1"/>
  <c r="A95" i="1"/>
  <c r="B95" i="1"/>
  <c r="C95" i="1"/>
  <c r="D95" i="1"/>
  <c r="Q95" i="1"/>
  <c r="R95" i="1"/>
  <c r="E95" i="1"/>
  <c r="G95" i="1"/>
  <c r="H95" i="1"/>
  <c r="J95" i="1"/>
  <c r="K95" i="1"/>
  <c r="L95" i="1"/>
  <c r="A96" i="1"/>
  <c r="B96" i="1"/>
  <c r="C96" i="1"/>
  <c r="D96" i="1"/>
  <c r="Q96" i="1"/>
  <c r="R96" i="1"/>
  <c r="E96" i="1"/>
  <c r="G96" i="1"/>
  <c r="H96" i="1"/>
  <c r="J96" i="1"/>
  <c r="K96" i="1"/>
  <c r="L96" i="1"/>
  <c r="A97" i="1"/>
  <c r="B97" i="1"/>
  <c r="C97" i="1"/>
  <c r="D97" i="1"/>
  <c r="Q97" i="1"/>
  <c r="R97" i="1"/>
  <c r="E97" i="1"/>
  <c r="G97" i="1"/>
  <c r="H97" i="1"/>
  <c r="J97" i="1"/>
  <c r="K97" i="1"/>
  <c r="L97" i="1"/>
  <c r="A98" i="1"/>
  <c r="B98" i="1"/>
  <c r="C98" i="1"/>
  <c r="D98" i="1"/>
  <c r="Q98" i="1"/>
  <c r="R98" i="1"/>
  <c r="E98" i="1"/>
  <c r="G98" i="1"/>
  <c r="H98" i="1"/>
  <c r="J98" i="1"/>
  <c r="K98" i="1"/>
  <c r="L98" i="1"/>
  <c r="A99" i="1"/>
  <c r="B99" i="1"/>
  <c r="C99" i="1"/>
  <c r="D99" i="1"/>
  <c r="Q99" i="1"/>
  <c r="R99" i="1"/>
  <c r="E99" i="1"/>
  <c r="G99" i="1"/>
  <c r="H99" i="1"/>
  <c r="J99" i="1"/>
  <c r="K99" i="1"/>
  <c r="L99" i="1"/>
  <c r="A100" i="1"/>
  <c r="B100" i="1"/>
  <c r="C100" i="1"/>
  <c r="D100" i="1"/>
  <c r="Q100" i="1"/>
  <c r="R100" i="1"/>
  <c r="E100" i="1"/>
  <c r="G100" i="1"/>
  <c r="H100" i="1"/>
  <c r="J100" i="1"/>
  <c r="K100" i="1"/>
  <c r="L100" i="1"/>
  <c r="A101" i="1"/>
  <c r="B101" i="1"/>
  <c r="C101" i="1"/>
  <c r="D101" i="1"/>
  <c r="Q101" i="1"/>
  <c r="R101" i="1"/>
  <c r="E101" i="1"/>
  <c r="G101" i="1"/>
  <c r="H101" i="1"/>
  <c r="J101" i="1"/>
  <c r="K101" i="1"/>
  <c r="L101" i="1"/>
  <c r="A102" i="1"/>
  <c r="B102" i="1"/>
  <c r="C102" i="1"/>
  <c r="D102" i="1"/>
  <c r="Q102" i="1"/>
  <c r="R102" i="1"/>
  <c r="E102" i="1"/>
  <c r="G102" i="1"/>
  <c r="H102" i="1"/>
  <c r="J102" i="1"/>
  <c r="K102" i="1"/>
  <c r="L102" i="1"/>
  <c r="A103" i="1"/>
  <c r="B103" i="1"/>
  <c r="C103" i="1"/>
  <c r="D103" i="1"/>
  <c r="Q103" i="1"/>
  <c r="R103" i="1"/>
  <c r="E103" i="1"/>
  <c r="G103" i="1"/>
  <c r="H103" i="1"/>
  <c r="J103" i="1"/>
  <c r="K103" i="1"/>
  <c r="L103" i="1"/>
  <c r="A104" i="1"/>
  <c r="B104" i="1"/>
  <c r="C104" i="1"/>
  <c r="D104" i="1"/>
  <c r="Q104" i="1"/>
  <c r="R104" i="1"/>
  <c r="E104" i="1"/>
  <c r="G104" i="1"/>
  <c r="H104" i="1"/>
  <c r="J104" i="1"/>
  <c r="K104" i="1"/>
  <c r="L104" i="1"/>
  <c r="A105" i="1"/>
  <c r="B105" i="1"/>
  <c r="C105" i="1"/>
  <c r="D105" i="1"/>
  <c r="Q105" i="1"/>
  <c r="R105" i="1"/>
  <c r="E105" i="1"/>
  <c r="G105" i="1"/>
  <c r="H105" i="1"/>
  <c r="J105" i="1"/>
  <c r="K105" i="1"/>
  <c r="L105" i="1"/>
  <c r="A106" i="1"/>
  <c r="B106" i="1"/>
  <c r="C106" i="1"/>
  <c r="D106" i="1"/>
  <c r="Q106" i="1"/>
  <c r="R106" i="1"/>
  <c r="E106" i="1"/>
  <c r="G106" i="1"/>
  <c r="H106" i="1"/>
  <c r="J106" i="1"/>
  <c r="K106" i="1"/>
  <c r="L106" i="1"/>
  <c r="A107" i="1"/>
  <c r="B107" i="1"/>
  <c r="C107" i="1"/>
  <c r="D107" i="1"/>
  <c r="Q107" i="1"/>
  <c r="R107" i="1"/>
  <c r="E107" i="1"/>
  <c r="G107" i="1"/>
  <c r="H107" i="1"/>
  <c r="J107" i="1"/>
  <c r="K107" i="1"/>
  <c r="L107" i="1"/>
  <c r="A108" i="1"/>
  <c r="B108" i="1"/>
  <c r="C108" i="1"/>
  <c r="D108" i="1"/>
  <c r="Q108" i="1"/>
  <c r="R108" i="1"/>
  <c r="E108" i="1"/>
  <c r="G108" i="1"/>
  <c r="H108" i="1"/>
  <c r="J108" i="1"/>
  <c r="K108" i="1"/>
  <c r="L108" i="1"/>
  <c r="A109" i="1"/>
  <c r="B109" i="1"/>
  <c r="C109" i="1"/>
  <c r="D109" i="1"/>
  <c r="Q109" i="1"/>
  <c r="R109" i="1"/>
  <c r="E109" i="1"/>
  <c r="G109" i="1"/>
  <c r="H109" i="1"/>
  <c r="J109" i="1"/>
  <c r="K109" i="1"/>
  <c r="L109" i="1"/>
  <c r="A110" i="1"/>
  <c r="B110" i="1"/>
  <c r="C110" i="1"/>
  <c r="D110" i="1"/>
  <c r="Q110" i="1"/>
  <c r="R110" i="1"/>
  <c r="E110" i="1"/>
  <c r="G110" i="1"/>
  <c r="H110" i="1"/>
  <c r="J110" i="1"/>
  <c r="K110" i="1"/>
  <c r="L110" i="1"/>
  <c r="A111" i="1"/>
  <c r="B111" i="1"/>
  <c r="C111" i="1"/>
  <c r="D111" i="1"/>
  <c r="Q111" i="1"/>
  <c r="R111" i="1"/>
  <c r="E111" i="1"/>
  <c r="G111" i="1"/>
  <c r="H111" i="1"/>
  <c r="J111" i="1"/>
  <c r="K111" i="1"/>
  <c r="L111" i="1"/>
  <c r="A112" i="1"/>
  <c r="B112" i="1"/>
  <c r="C112" i="1"/>
  <c r="D112" i="1"/>
  <c r="Q112" i="1"/>
  <c r="R112" i="1"/>
  <c r="E112" i="1"/>
  <c r="G112" i="1"/>
  <c r="H112" i="1"/>
  <c r="J112" i="1"/>
  <c r="K112" i="1"/>
  <c r="L112" i="1"/>
  <c r="A113" i="1"/>
  <c r="B113" i="1"/>
  <c r="C113" i="1"/>
  <c r="D113" i="1"/>
  <c r="Q113" i="1"/>
  <c r="R113" i="1"/>
  <c r="E113" i="1"/>
  <c r="G113" i="1"/>
  <c r="H113" i="1"/>
  <c r="J113" i="1"/>
  <c r="K113" i="1"/>
  <c r="L113" i="1"/>
  <c r="A114" i="1"/>
  <c r="B114" i="1"/>
  <c r="C114" i="1"/>
  <c r="D114" i="1"/>
  <c r="Q114" i="1"/>
  <c r="R114" i="1"/>
  <c r="E114" i="1"/>
  <c r="G114" i="1"/>
  <c r="H114" i="1"/>
  <c r="J114" i="1"/>
  <c r="K114" i="1"/>
  <c r="L114" i="1"/>
  <c r="A115" i="1"/>
  <c r="B115" i="1"/>
  <c r="C115" i="1"/>
  <c r="D115" i="1"/>
  <c r="Q115" i="1"/>
  <c r="R115" i="1"/>
  <c r="E115" i="1"/>
  <c r="G115" i="1"/>
  <c r="H115" i="1"/>
  <c r="J115" i="1"/>
  <c r="K115" i="1"/>
  <c r="L115" i="1"/>
  <c r="A116" i="1"/>
  <c r="B116" i="1"/>
  <c r="C116" i="1"/>
  <c r="D116" i="1"/>
  <c r="Q116" i="1"/>
  <c r="R116" i="1"/>
  <c r="E116" i="1"/>
  <c r="G116" i="1"/>
  <c r="H116" i="1"/>
  <c r="J116" i="1"/>
  <c r="K116" i="1"/>
  <c r="L116" i="1"/>
  <c r="A117" i="1"/>
  <c r="B117" i="1"/>
  <c r="C117" i="1"/>
  <c r="D117" i="1"/>
  <c r="Q117" i="1"/>
  <c r="R117" i="1"/>
  <c r="E117" i="1"/>
  <c r="G117" i="1"/>
  <c r="H117" i="1"/>
  <c r="J117" i="1"/>
  <c r="K117" i="1"/>
  <c r="L117" i="1"/>
  <c r="A118" i="1"/>
  <c r="B118" i="1"/>
  <c r="C118" i="1"/>
  <c r="D118" i="1"/>
  <c r="Q118" i="1"/>
  <c r="R118" i="1"/>
  <c r="E118" i="1"/>
  <c r="G118" i="1"/>
  <c r="H118" i="1"/>
  <c r="J118" i="1"/>
  <c r="K118" i="1"/>
  <c r="L118" i="1"/>
  <c r="A119" i="1"/>
  <c r="B119" i="1"/>
  <c r="C119" i="1"/>
  <c r="D119" i="1"/>
  <c r="Q119" i="1"/>
  <c r="R119" i="1"/>
  <c r="E119" i="1"/>
  <c r="G119" i="1"/>
  <c r="H119" i="1"/>
  <c r="J119" i="1"/>
  <c r="K119" i="1"/>
  <c r="L119" i="1"/>
  <c r="A120" i="1"/>
  <c r="B120" i="1"/>
  <c r="C120" i="1"/>
  <c r="D120" i="1"/>
  <c r="Q120" i="1"/>
  <c r="R120" i="1"/>
  <c r="E120" i="1"/>
  <c r="G120" i="1"/>
  <c r="H120" i="1"/>
  <c r="J120" i="1"/>
  <c r="K120" i="1"/>
  <c r="L120" i="1"/>
  <c r="A121" i="1"/>
  <c r="B121" i="1"/>
  <c r="C121" i="1"/>
  <c r="D121" i="1"/>
  <c r="Q121" i="1"/>
  <c r="R121" i="1"/>
  <c r="E121" i="1"/>
  <c r="G121" i="1"/>
  <c r="H121" i="1"/>
  <c r="J121" i="1"/>
  <c r="K121" i="1"/>
  <c r="L121" i="1"/>
  <c r="A122" i="1"/>
  <c r="B122" i="1"/>
  <c r="C122" i="1"/>
  <c r="D122" i="1"/>
  <c r="Q122" i="1"/>
  <c r="R122" i="1"/>
  <c r="E122" i="1"/>
  <c r="G122" i="1"/>
  <c r="H122" i="1"/>
  <c r="J122" i="1"/>
  <c r="K122" i="1"/>
  <c r="L122" i="1"/>
  <c r="A123" i="1"/>
  <c r="B123" i="1"/>
  <c r="C123" i="1"/>
  <c r="D123" i="1"/>
  <c r="Q123" i="1"/>
  <c r="R123" i="1"/>
  <c r="E123" i="1"/>
  <c r="G123" i="1"/>
  <c r="H123" i="1"/>
  <c r="J123" i="1"/>
  <c r="K123" i="1"/>
  <c r="L123" i="1"/>
  <c r="A124" i="1"/>
  <c r="B124" i="1"/>
  <c r="C124" i="1"/>
  <c r="D124" i="1"/>
  <c r="Q124" i="1"/>
  <c r="R124" i="1"/>
  <c r="E124" i="1"/>
  <c r="G124" i="1"/>
  <c r="H124" i="1"/>
  <c r="J124" i="1"/>
  <c r="K124" i="1"/>
  <c r="L124" i="1"/>
  <c r="A125" i="1"/>
  <c r="B125" i="1"/>
  <c r="C125" i="1"/>
  <c r="D125" i="1"/>
  <c r="Q125" i="1"/>
  <c r="R125" i="1"/>
  <c r="E125" i="1"/>
  <c r="G125" i="1"/>
  <c r="H125" i="1"/>
  <c r="J125" i="1"/>
  <c r="K125" i="1"/>
  <c r="L125" i="1"/>
  <c r="A126" i="1"/>
  <c r="B126" i="1"/>
  <c r="C126" i="1"/>
  <c r="D126" i="1"/>
  <c r="Q126" i="1"/>
  <c r="R126" i="1"/>
  <c r="E126" i="1"/>
  <c r="G126" i="1"/>
  <c r="H126" i="1"/>
  <c r="J126" i="1"/>
  <c r="K126" i="1"/>
  <c r="L126" i="1"/>
  <c r="A127" i="1"/>
  <c r="B127" i="1"/>
  <c r="C127" i="1"/>
  <c r="D127" i="1"/>
  <c r="Q127" i="1"/>
  <c r="R127" i="1"/>
  <c r="E127" i="1"/>
  <c r="G127" i="1"/>
  <c r="H127" i="1"/>
  <c r="J127" i="1"/>
  <c r="K127" i="1"/>
  <c r="L127" i="1"/>
  <c r="A128" i="1"/>
  <c r="B128" i="1"/>
  <c r="C128" i="1"/>
  <c r="D128" i="1"/>
  <c r="Q128" i="1"/>
  <c r="R128" i="1"/>
  <c r="E128" i="1"/>
  <c r="G128" i="1"/>
  <c r="H128" i="1"/>
  <c r="J128" i="1"/>
  <c r="K128" i="1"/>
  <c r="L128" i="1"/>
  <c r="A129" i="1"/>
  <c r="B129" i="1"/>
  <c r="C129" i="1"/>
  <c r="D129" i="1"/>
  <c r="Q129" i="1"/>
  <c r="R129" i="1"/>
  <c r="E129" i="1"/>
  <c r="G129" i="1"/>
  <c r="H129" i="1"/>
  <c r="J129" i="1"/>
  <c r="K129" i="1"/>
  <c r="L129" i="1"/>
  <c r="A130" i="1"/>
  <c r="B130" i="1"/>
  <c r="C130" i="1"/>
  <c r="D130" i="1"/>
  <c r="Q130" i="1"/>
  <c r="R130" i="1"/>
  <c r="E130" i="1"/>
  <c r="G130" i="1"/>
  <c r="H130" i="1"/>
  <c r="J130" i="1"/>
  <c r="K130" i="1"/>
  <c r="L130" i="1"/>
  <c r="A131" i="1"/>
  <c r="B131" i="1"/>
  <c r="C131" i="1"/>
  <c r="D131" i="1"/>
  <c r="Q131" i="1"/>
  <c r="R131" i="1"/>
  <c r="E131" i="1"/>
  <c r="G131" i="1"/>
  <c r="H131" i="1"/>
  <c r="J131" i="1"/>
  <c r="K131" i="1"/>
  <c r="L131" i="1"/>
  <c r="A132" i="1"/>
  <c r="B132" i="1"/>
  <c r="C132" i="1"/>
  <c r="D132" i="1"/>
  <c r="Q132" i="1"/>
  <c r="R132" i="1"/>
  <c r="E132" i="1"/>
  <c r="G132" i="1"/>
  <c r="H132" i="1"/>
  <c r="J132" i="1"/>
  <c r="K132" i="1"/>
  <c r="L132" i="1"/>
  <c r="A133" i="1"/>
  <c r="B133" i="1"/>
  <c r="C133" i="1"/>
  <c r="D133" i="1"/>
  <c r="Q133" i="1"/>
  <c r="R133" i="1"/>
  <c r="E133" i="1"/>
  <c r="G133" i="1"/>
  <c r="H133" i="1"/>
  <c r="J133" i="1"/>
  <c r="K133" i="1"/>
  <c r="L133" i="1"/>
  <c r="A134" i="1"/>
  <c r="B134" i="1"/>
  <c r="C134" i="1"/>
  <c r="D134" i="1"/>
  <c r="Q134" i="1"/>
  <c r="R134" i="1"/>
  <c r="E134" i="1"/>
  <c r="G134" i="1"/>
  <c r="H134" i="1"/>
  <c r="J134" i="1"/>
  <c r="K134" i="1"/>
  <c r="L134" i="1"/>
  <c r="A135" i="1"/>
  <c r="B135" i="1"/>
  <c r="C135" i="1"/>
  <c r="D135" i="1"/>
  <c r="Q135" i="1"/>
  <c r="R135" i="1"/>
  <c r="E135" i="1"/>
  <c r="G135" i="1"/>
  <c r="H135" i="1"/>
  <c r="J135" i="1"/>
  <c r="K135" i="1"/>
  <c r="L135" i="1"/>
  <c r="A136" i="1"/>
  <c r="B136" i="1"/>
  <c r="C136" i="1"/>
  <c r="D136" i="1"/>
  <c r="Q136" i="1"/>
  <c r="R136" i="1"/>
  <c r="E136" i="1"/>
  <c r="G136" i="1"/>
  <c r="H136" i="1"/>
  <c r="J136" i="1"/>
  <c r="K136" i="1"/>
  <c r="L136" i="1"/>
  <c r="A137" i="1"/>
  <c r="B137" i="1"/>
  <c r="C137" i="1"/>
  <c r="D137" i="1"/>
  <c r="Q137" i="1"/>
  <c r="R137" i="1"/>
  <c r="E137" i="1"/>
  <c r="G137" i="1"/>
  <c r="H137" i="1"/>
  <c r="J137" i="1"/>
  <c r="K137" i="1"/>
  <c r="L137" i="1"/>
  <c r="A138" i="1"/>
  <c r="B138" i="1"/>
  <c r="C138" i="1"/>
  <c r="D138" i="1"/>
  <c r="Q138" i="1"/>
  <c r="R138" i="1"/>
  <c r="E138" i="1"/>
  <c r="G138" i="1"/>
  <c r="H138" i="1"/>
  <c r="J138" i="1"/>
  <c r="K138" i="1"/>
  <c r="L138" i="1"/>
  <c r="A139" i="1"/>
  <c r="B139" i="1"/>
  <c r="C139" i="1"/>
  <c r="D139" i="1"/>
  <c r="Q139" i="1"/>
  <c r="R139" i="1"/>
  <c r="E139" i="1"/>
  <c r="G139" i="1"/>
  <c r="H139" i="1"/>
  <c r="J139" i="1"/>
  <c r="K139" i="1"/>
  <c r="L139" i="1"/>
  <c r="A140" i="1"/>
  <c r="B140" i="1"/>
  <c r="C140" i="1"/>
  <c r="D140" i="1"/>
  <c r="Q140" i="1"/>
  <c r="R140" i="1"/>
  <c r="E140" i="1"/>
  <c r="G140" i="1"/>
  <c r="H140" i="1"/>
  <c r="J140" i="1"/>
  <c r="K140" i="1"/>
  <c r="L140" i="1"/>
  <c r="A141" i="1"/>
  <c r="B141" i="1"/>
  <c r="C141" i="1"/>
  <c r="D141" i="1"/>
  <c r="Q141" i="1"/>
  <c r="R141" i="1"/>
  <c r="E141" i="1"/>
  <c r="G141" i="1"/>
  <c r="H141" i="1"/>
  <c r="J141" i="1"/>
  <c r="K141" i="1"/>
  <c r="L141" i="1"/>
  <c r="A142" i="1"/>
  <c r="B142" i="1"/>
  <c r="C142" i="1"/>
  <c r="D142" i="1"/>
  <c r="Q142" i="1"/>
  <c r="R142" i="1"/>
  <c r="E142" i="1"/>
  <c r="G142" i="1"/>
  <c r="H142" i="1"/>
  <c r="J142" i="1"/>
  <c r="K142" i="1"/>
  <c r="L142" i="1"/>
  <c r="A143" i="1"/>
  <c r="B143" i="1"/>
  <c r="C143" i="1"/>
  <c r="D143" i="1"/>
  <c r="Q143" i="1"/>
  <c r="R143" i="1"/>
  <c r="E143" i="1"/>
  <c r="G143" i="1"/>
  <c r="H143" i="1"/>
  <c r="J143" i="1"/>
  <c r="K143" i="1"/>
  <c r="L143" i="1"/>
  <c r="A144" i="1"/>
  <c r="B144" i="1"/>
  <c r="C144" i="1"/>
  <c r="D144" i="1"/>
  <c r="Q144" i="1"/>
  <c r="R144" i="1"/>
  <c r="E144" i="1"/>
  <c r="G144" i="1"/>
  <c r="H144" i="1"/>
  <c r="J144" i="1"/>
  <c r="K144" i="1"/>
  <c r="L144" i="1"/>
  <c r="A145" i="1"/>
  <c r="B145" i="1"/>
  <c r="C145" i="1"/>
  <c r="D145" i="1"/>
  <c r="Q145" i="1"/>
  <c r="R145" i="1"/>
  <c r="E145" i="1"/>
  <c r="G145" i="1"/>
  <c r="H145" i="1"/>
  <c r="J145" i="1"/>
  <c r="K145" i="1"/>
  <c r="L145" i="1"/>
  <c r="A146" i="1"/>
  <c r="B146" i="1"/>
  <c r="C146" i="1"/>
  <c r="D146" i="1"/>
  <c r="Q146" i="1"/>
  <c r="R146" i="1"/>
  <c r="E146" i="1"/>
  <c r="G146" i="1"/>
  <c r="H146" i="1"/>
  <c r="J146" i="1"/>
  <c r="K146" i="1"/>
  <c r="L146" i="1"/>
  <c r="A147" i="1"/>
  <c r="B147" i="1"/>
  <c r="C147" i="1"/>
  <c r="D147" i="1"/>
  <c r="Q147" i="1"/>
  <c r="R147" i="1"/>
  <c r="E147" i="1"/>
  <c r="G147" i="1"/>
  <c r="H147" i="1"/>
  <c r="J147" i="1"/>
  <c r="K147" i="1"/>
  <c r="L147" i="1"/>
  <c r="A148" i="1"/>
  <c r="B148" i="1"/>
  <c r="C148" i="1"/>
  <c r="D148" i="1"/>
  <c r="Q148" i="1"/>
  <c r="R148" i="1"/>
  <c r="E148" i="1"/>
  <c r="G148" i="1"/>
  <c r="H148" i="1"/>
  <c r="J148" i="1"/>
  <c r="K148" i="1"/>
  <c r="L148" i="1"/>
  <c r="A149" i="1"/>
  <c r="B149" i="1"/>
  <c r="C149" i="1"/>
  <c r="D149" i="1"/>
  <c r="Q149" i="1"/>
  <c r="R149" i="1"/>
  <c r="E149" i="1"/>
  <c r="G149" i="1"/>
  <c r="H149" i="1"/>
  <c r="J149" i="1"/>
  <c r="K149" i="1"/>
  <c r="L149" i="1"/>
  <c r="A150" i="1"/>
  <c r="B150" i="1"/>
  <c r="C150" i="1"/>
  <c r="D150" i="1"/>
  <c r="Q150" i="1"/>
  <c r="R150" i="1"/>
  <c r="E150" i="1"/>
  <c r="G150" i="1"/>
  <c r="H150" i="1"/>
  <c r="J150" i="1"/>
  <c r="K150" i="1"/>
  <c r="L150" i="1"/>
  <c r="A151" i="1"/>
  <c r="B151" i="1"/>
  <c r="C151" i="1"/>
  <c r="D151" i="1"/>
  <c r="Q151" i="1"/>
  <c r="R151" i="1"/>
  <c r="E151" i="1"/>
  <c r="G151" i="1"/>
  <c r="H151" i="1"/>
  <c r="J151" i="1"/>
  <c r="K151" i="1"/>
  <c r="L151" i="1"/>
  <c r="A152" i="1"/>
  <c r="B152" i="1"/>
  <c r="C152" i="1"/>
  <c r="D152" i="1"/>
  <c r="Q152" i="1"/>
  <c r="R152" i="1"/>
  <c r="E152" i="1"/>
  <c r="G152" i="1"/>
  <c r="H152" i="1"/>
  <c r="J152" i="1"/>
  <c r="K152" i="1"/>
  <c r="L152" i="1"/>
  <c r="A153" i="1"/>
  <c r="B153" i="1"/>
  <c r="C153" i="1"/>
  <c r="D153" i="1"/>
  <c r="Q153" i="1"/>
  <c r="R153" i="1"/>
  <c r="E153" i="1"/>
  <c r="G153" i="1"/>
  <c r="H153" i="1"/>
  <c r="J153" i="1"/>
  <c r="K153" i="1"/>
  <c r="L153" i="1"/>
  <c r="A154" i="1"/>
  <c r="B154" i="1"/>
  <c r="C154" i="1"/>
  <c r="D154" i="1"/>
  <c r="Q154" i="1"/>
  <c r="R154" i="1"/>
  <c r="E154" i="1"/>
  <c r="G154" i="1"/>
  <c r="H154" i="1"/>
  <c r="J154" i="1"/>
  <c r="K154" i="1"/>
  <c r="L154" i="1"/>
  <c r="A155" i="1"/>
  <c r="B155" i="1"/>
  <c r="C155" i="1"/>
  <c r="D155" i="1"/>
  <c r="Q155" i="1"/>
  <c r="R155" i="1"/>
  <c r="E155" i="1"/>
  <c r="G155" i="1"/>
  <c r="H155" i="1"/>
  <c r="J155" i="1"/>
  <c r="K155" i="1"/>
  <c r="L155" i="1"/>
  <c r="A156" i="1"/>
  <c r="B156" i="1"/>
  <c r="C156" i="1"/>
  <c r="D156" i="1"/>
  <c r="Q156" i="1"/>
  <c r="R156" i="1"/>
  <c r="E156" i="1"/>
  <c r="G156" i="1"/>
  <c r="H156" i="1"/>
  <c r="J156" i="1"/>
  <c r="K156" i="1"/>
  <c r="L156" i="1"/>
  <c r="A157" i="1"/>
  <c r="B157" i="1"/>
  <c r="C157" i="1"/>
  <c r="D157" i="1"/>
  <c r="Q157" i="1"/>
  <c r="R157" i="1"/>
  <c r="E157" i="1"/>
  <c r="G157" i="1"/>
  <c r="H157" i="1"/>
  <c r="J157" i="1"/>
  <c r="K157" i="1"/>
  <c r="L157" i="1"/>
  <c r="A158" i="1"/>
  <c r="B158" i="1"/>
  <c r="C158" i="1"/>
  <c r="D158" i="1"/>
  <c r="Q158" i="1"/>
  <c r="R158" i="1"/>
  <c r="E158" i="1"/>
  <c r="G158" i="1"/>
  <c r="H158" i="1"/>
  <c r="J158" i="1"/>
  <c r="K158" i="1"/>
  <c r="L158" i="1"/>
  <c r="A159" i="1"/>
  <c r="B159" i="1"/>
  <c r="C159" i="1"/>
  <c r="D159" i="1"/>
  <c r="Q159" i="1"/>
  <c r="R159" i="1"/>
  <c r="E159" i="1"/>
  <c r="G159" i="1"/>
  <c r="H159" i="1"/>
  <c r="J159" i="1"/>
  <c r="K159" i="1"/>
  <c r="L159" i="1"/>
  <c r="A160" i="1"/>
  <c r="B160" i="1"/>
  <c r="C160" i="1"/>
  <c r="D160" i="1"/>
  <c r="Q160" i="1"/>
  <c r="R160" i="1"/>
  <c r="E160" i="1"/>
  <c r="G160" i="1"/>
  <c r="H160" i="1"/>
  <c r="J160" i="1"/>
  <c r="K160" i="1"/>
  <c r="L160" i="1"/>
  <c r="A161" i="1"/>
  <c r="B161" i="1"/>
  <c r="C161" i="1"/>
  <c r="D161" i="1"/>
  <c r="Q161" i="1"/>
  <c r="R161" i="1"/>
  <c r="E161" i="1"/>
  <c r="G161" i="1"/>
  <c r="H161" i="1"/>
  <c r="J161" i="1"/>
  <c r="K161" i="1"/>
  <c r="L161" i="1"/>
  <c r="A162" i="1"/>
  <c r="B162" i="1"/>
  <c r="C162" i="1"/>
  <c r="D162" i="1"/>
  <c r="Q162" i="1"/>
  <c r="R162" i="1"/>
  <c r="E162" i="1"/>
  <c r="G162" i="1"/>
  <c r="H162" i="1"/>
  <c r="J162" i="1"/>
  <c r="K162" i="1"/>
  <c r="L162" i="1"/>
  <c r="A163" i="1"/>
  <c r="B163" i="1"/>
  <c r="C163" i="1"/>
  <c r="D163" i="1"/>
  <c r="Q163" i="1"/>
  <c r="R163" i="1"/>
  <c r="E163" i="1"/>
  <c r="G163" i="1"/>
  <c r="H163" i="1"/>
  <c r="J163" i="1"/>
  <c r="K163" i="1"/>
  <c r="L163" i="1"/>
  <c r="A164" i="1"/>
  <c r="B164" i="1"/>
  <c r="C164" i="1"/>
  <c r="D164" i="1"/>
  <c r="Q164" i="1"/>
  <c r="R164" i="1"/>
  <c r="E164" i="1"/>
  <c r="G164" i="1"/>
  <c r="H164" i="1"/>
  <c r="J164" i="1"/>
  <c r="K164" i="1"/>
  <c r="L164" i="1"/>
  <c r="A165" i="1"/>
  <c r="B165" i="1"/>
  <c r="C165" i="1"/>
  <c r="D165" i="1"/>
  <c r="Q165" i="1"/>
  <c r="R165" i="1"/>
  <c r="E165" i="1"/>
  <c r="G165" i="1"/>
  <c r="H165" i="1"/>
  <c r="J165" i="1"/>
  <c r="K165" i="1"/>
  <c r="L165" i="1"/>
  <c r="A166" i="1"/>
  <c r="B166" i="1"/>
  <c r="C166" i="1"/>
  <c r="D166" i="1"/>
  <c r="Q166" i="1"/>
  <c r="R166" i="1"/>
  <c r="E166" i="1"/>
  <c r="G166" i="1"/>
  <c r="H166" i="1"/>
  <c r="J166" i="1"/>
  <c r="K166" i="1"/>
  <c r="L166" i="1"/>
  <c r="A167" i="1"/>
  <c r="B167" i="1"/>
  <c r="C167" i="1"/>
  <c r="D167" i="1"/>
  <c r="Q167" i="1"/>
  <c r="R167" i="1"/>
  <c r="E167" i="1"/>
  <c r="G167" i="1"/>
  <c r="H167" i="1"/>
  <c r="J167" i="1"/>
  <c r="K167" i="1"/>
  <c r="L167" i="1"/>
  <c r="A168" i="1"/>
  <c r="B168" i="1"/>
  <c r="C168" i="1"/>
  <c r="D168" i="1"/>
  <c r="Q168" i="1"/>
  <c r="R168" i="1"/>
  <c r="E168" i="1"/>
  <c r="G168" i="1"/>
  <c r="H168" i="1"/>
  <c r="J168" i="1"/>
  <c r="K168" i="1"/>
  <c r="L168" i="1"/>
  <c r="A169" i="1"/>
  <c r="B169" i="1"/>
  <c r="C169" i="1"/>
  <c r="D169" i="1"/>
  <c r="Q169" i="1"/>
  <c r="R169" i="1"/>
  <c r="E169" i="1"/>
  <c r="G169" i="1"/>
  <c r="H169" i="1"/>
  <c r="J169" i="1"/>
  <c r="K169" i="1"/>
  <c r="L169" i="1"/>
  <c r="A170" i="1"/>
  <c r="B170" i="1"/>
  <c r="C170" i="1"/>
  <c r="D170" i="1"/>
  <c r="Q170" i="1"/>
  <c r="R170" i="1"/>
  <c r="E170" i="1"/>
  <c r="G170" i="1"/>
  <c r="H170" i="1"/>
  <c r="J170" i="1"/>
  <c r="K170" i="1"/>
  <c r="L170" i="1"/>
  <c r="A171" i="1"/>
  <c r="B171" i="1"/>
  <c r="C171" i="1"/>
  <c r="D171" i="1"/>
  <c r="Q171" i="1"/>
  <c r="R171" i="1"/>
  <c r="E171" i="1"/>
  <c r="G171" i="1"/>
  <c r="H171" i="1"/>
  <c r="J171" i="1"/>
  <c r="K171" i="1"/>
  <c r="L171" i="1"/>
  <c r="A172" i="1"/>
  <c r="B172" i="1"/>
  <c r="C172" i="1"/>
  <c r="D172" i="1"/>
  <c r="Q172" i="1"/>
  <c r="R172" i="1"/>
  <c r="E172" i="1"/>
  <c r="G172" i="1"/>
  <c r="H172" i="1"/>
  <c r="J172" i="1"/>
  <c r="K172" i="1"/>
  <c r="L172" i="1"/>
  <c r="A173" i="1"/>
  <c r="B173" i="1"/>
  <c r="C173" i="1"/>
  <c r="D173" i="1"/>
  <c r="Q173" i="1"/>
  <c r="R173" i="1"/>
  <c r="E173" i="1"/>
  <c r="G173" i="1"/>
  <c r="H173" i="1"/>
  <c r="J173" i="1"/>
  <c r="K173" i="1"/>
  <c r="L173" i="1"/>
  <c r="A174" i="1"/>
  <c r="B174" i="1"/>
  <c r="C174" i="1"/>
  <c r="D174" i="1"/>
  <c r="Q174" i="1"/>
  <c r="R174" i="1"/>
  <c r="E174" i="1"/>
  <c r="G174" i="1"/>
  <c r="H174" i="1"/>
  <c r="J174" i="1"/>
  <c r="K174" i="1"/>
  <c r="L174" i="1"/>
  <c r="A175" i="1"/>
  <c r="B175" i="1"/>
  <c r="C175" i="1"/>
  <c r="D175" i="1"/>
  <c r="Q175" i="1"/>
  <c r="R175" i="1"/>
  <c r="E175" i="1"/>
  <c r="G175" i="1"/>
  <c r="H175" i="1"/>
  <c r="J175" i="1"/>
  <c r="K175" i="1"/>
  <c r="L175" i="1"/>
  <c r="A176" i="1"/>
  <c r="B176" i="1"/>
  <c r="C176" i="1"/>
  <c r="D176" i="1"/>
  <c r="Q176" i="1"/>
  <c r="R176" i="1"/>
  <c r="E176" i="1"/>
  <c r="G176" i="1"/>
  <c r="H176" i="1"/>
  <c r="J176" i="1"/>
  <c r="K176" i="1"/>
  <c r="L176" i="1"/>
  <c r="A177" i="1"/>
  <c r="B177" i="1"/>
  <c r="C177" i="1"/>
  <c r="D177" i="1"/>
  <c r="Q177" i="1"/>
  <c r="R177" i="1"/>
  <c r="E177" i="1"/>
  <c r="G177" i="1"/>
  <c r="H177" i="1"/>
  <c r="J177" i="1"/>
  <c r="K177" i="1"/>
  <c r="L177" i="1"/>
  <c r="A178" i="1"/>
  <c r="B178" i="1"/>
  <c r="C178" i="1"/>
  <c r="D178" i="1"/>
  <c r="Q178" i="1"/>
  <c r="R178" i="1"/>
  <c r="E178" i="1"/>
  <c r="G178" i="1"/>
  <c r="H178" i="1"/>
  <c r="J178" i="1"/>
  <c r="K178" i="1"/>
  <c r="L178" i="1"/>
  <c r="A179" i="1"/>
  <c r="B179" i="1"/>
  <c r="C179" i="1"/>
  <c r="D179" i="1"/>
  <c r="Q179" i="1"/>
  <c r="R179" i="1"/>
  <c r="E179" i="1"/>
  <c r="G179" i="1"/>
  <c r="H179" i="1"/>
  <c r="J179" i="1"/>
  <c r="K179" i="1"/>
  <c r="L179" i="1"/>
  <c r="A180" i="1"/>
  <c r="B180" i="1"/>
  <c r="C180" i="1"/>
  <c r="D180" i="1"/>
  <c r="Q180" i="1"/>
  <c r="R180" i="1"/>
  <c r="E180" i="1"/>
  <c r="G180" i="1"/>
  <c r="H180" i="1"/>
  <c r="J180" i="1"/>
  <c r="K180" i="1"/>
  <c r="L180" i="1"/>
  <c r="A181" i="1"/>
  <c r="B181" i="1"/>
  <c r="C181" i="1"/>
  <c r="D181" i="1"/>
  <c r="Q181" i="1"/>
  <c r="R181" i="1"/>
  <c r="E181" i="1"/>
  <c r="G181" i="1"/>
  <c r="H181" i="1"/>
  <c r="J181" i="1"/>
  <c r="K181" i="1"/>
  <c r="L181" i="1"/>
  <c r="A182" i="1"/>
  <c r="B182" i="1"/>
  <c r="C182" i="1"/>
  <c r="D182" i="1"/>
  <c r="Q182" i="1"/>
  <c r="R182" i="1"/>
  <c r="E182" i="1"/>
  <c r="G182" i="1"/>
  <c r="H182" i="1"/>
  <c r="J182" i="1"/>
  <c r="K182" i="1"/>
  <c r="L182" i="1"/>
  <c r="A183" i="1"/>
  <c r="B183" i="1"/>
  <c r="C183" i="1"/>
  <c r="D183" i="1"/>
  <c r="Q183" i="1"/>
  <c r="R183" i="1"/>
  <c r="E183" i="1"/>
  <c r="G183" i="1"/>
  <c r="H183" i="1"/>
  <c r="J183" i="1"/>
  <c r="K183" i="1"/>
  <c r="L183" i="1"/>
  <c r="A184" i="1"/>
  <c r="B184" i="1"/>
  <c r="C184" i="1"/>
  <c r="D184" i="1"/>
  <c r="Q184" i="1"/>
  <c r="R184" i="1"/>
  <c r="E184" i="1"/>
  <c r="G184" i="1"/>
  <c r="H184" i="1"/>
  <c r="J184" i="1"/>
  <c r="K184" i="1"/>
  <c r="L184" i="1"/>
  <c r="A185" i="1"/>
  <c r="B185" i="1"/>
  <c r="C185" i="1"/>
  <c r="D185" i="1"/>
  <c r="Q185" i="1"/>
  <c r="R185" i="1"/>
  <c r="E185" i="1"/>
  <c r="G185" i="1"/>
  <c r="H185" i="1"/>
  <c r="J185" i="1"/>
  <c r="K185" i="1"/>
  <c r="L185" i="1"/>
  <c r="A186" i="1"/>
  <c r="B186" i="1"/>
  <c r="C186" i="1"/>
  <c r="D186" i="1"/>
  <c r="Q186" i="1"/>
  <c r="R186" i="1"/>
  <c r="E186" i="1"/>
  <c r="G186" i="1"/>
  <c r="H186" i="1"/>
  <c r="J186" i="1"/>
  <c r="K186" i="1"/>
  <c r="L186" i="1"/>
  <c r="A187" i="1"/>
  <c r="B187" i="1"/>
  <c r="C187" i="1"/>
  <c r="D187" i="1"/>
  <c r="Q187" i="1"/>
  <c r="R187" i="1"/>
  <c r="E187" i="1"/>
  <c r="G187" i="1"/>
  <c r="H187" i="1"/>
  <c r="J187" i="1"/>
  <c r="K187" i="1"/>
  <c r="L187" i="1"/>
  <c r="A188" i="1"/>
  <c r="B188" i="1"/>
  <c r="C188" i="1"/>
  <c r="D188" i="1"/>
  <c r="Q188" i="1"/>
  <c r="R188" i="1"/>
  <c r="E188" i="1"/>
  <c r="G188" i="1"/>
  <c r="H188" i="1"/>
  <c r="J188" i="1"/>
  <c r="K188" i="1"/>
  <c r="L188" i="1"/>
  <c r="A189" i="1"/>
  <c r="B189" i="1"/>
  <c r="C189" i="1"/>
  <c r="D189" i="1"/>
  <c r="Q189" i="1"/>
  <c r="R189" i="1"/>
  <c r="E189" i="1"/>
  <c r="G189" i="1"/>
  <c r="H189" i="1"/>
  <c r="J189" i="1"/>
  <c r="K189" i="1"/>
  <c r="L189" i="1"/>
  <c r="A190" i="1"/>
  <c r="B190" i="1"/>
  <c r="C190" i="1"/>
  <c r="D190" i="1"/>
  <c r="Q190" i="1"/>
  <c r="R190" i="1"/>
  <c r="E190" i="1"/>
  <c r="G190" i="1"/>
  <c r="H190" i="1"/>
  <c r="J190" i="1"/>
  <c r="K190" i="1"/>
  <c r="L190" i="1"/>
  <c r="A191" i="1"/>
  <c r="B191" i="1"/>
  <c r="C191" i="1"/>
  <c r="D191" i="1"/>
  <c r="Q191" i="1"/>
  <c r="R191" i="1"/>
  <c r="E191" i="1"/>
  <c r="G191" i="1"/>
  <c r="H191" i="1"/>
  <c r="J191" i="1"/>
  <c r="K191" i="1"/>
  <c r="L191" i="1"/>
  <c r="A192" i="1"/>
  <c r="B192" i="1"/>
  <c r="C192" i="1"/>
  <c r="D192" i="1"/>
  <c r="Q192" i="1"/>
  <c r="R192" i="1"/>
  <c r="E192" i="1"/>
  <c r="G192" i="1"/>
  <c r="H192" i="1"/>
  <c r="J192" i="1"/>
  <c r="K192" i="1"/>
  <c r="L192" i="1"/>
  <c r="A193" i="1"/>
  <c r="B193" i="1"/>
  <c r="C193" i="1"/>
  <c r="D193" i="1"/>
  <c r="Q193" i="1"/>
  <c r="R193" i="1"/>
  <c r="E193" i="1"/>
  <c r="G193" i="1"/>
  <c r="H193" i="1"/>
  <c r="J193" i="1"/>
  <c r="K193" i="1"/>
  <c r="L193" i="1"/>
  <c r="A194" i="1"/>
  <c r="B194" i="1"/>
  <c r="C194" i="1"/>
  <c r="D194" i="1"/>
  <c r="Q194" i="1"/>
  <c r="R194" i="1"/>
  <c r="E194" i="1"/>
  <c r="G194" i="1"/>
  <c r="H194" i="1"/>
  <c r="J194" i="1"/>
  <c r="K194" i="1"/>
  <c r="L194" i="1"/>
  <c r="A195" i="1"/>
  <c r="B195" i="1"/>
  <c r="C195" i="1"/>
  <c r="D195" i="1"/>
  <c r="Q195" i="1"/>
  <c r="R195" i="1"/>
  <c r="E195" i="1"/>
  <c r="G195" i="1"/>
  <c r="H195" i="1"/>
  <c r="J195" i="1"/>
  <c r="K195" i="1"/>
  <c r="L195" i="1"/>
  <c r="A196" i="1"/>
  <c r="B196" i="1"/>
  <c r="C196" i="1"/>
  <c r="D196" i="1"/>
  <c r="Q196" i="1"/>
  <c r="R196" i="1"/>
  <c r="E196" i="1"/>
  <c r="G196" i="1"/>
  <c r="H196" i="1"/>
  <c r="J196" i="1"/>
  <c r="K196" i="1"/>
  <c r="L196" i="1"/>
  <c r="A197" i="1"/>
  <c r="B197" i="1"/>
  <c r="C197" i="1"/>
  <c r="D197" i="1"/>
  <c r="Q197" i="1"/>
  <c r="R197" i="1"/>
  <c r="E197" i="1"/>
  <c r="G197" i="1"/>
  <c r="H197" i="1"/>
  <c r="J197" i="1"/>
  <c r="K197" i="1"/>
  <c r="L197" i="1"/>
  <c r="A198" i="1"/>
  <c r="B198" i="1"/>
  <c r="C198" i="1"/>
  <c r="D198" i="1"/>
  <c r="Q198" i="1"/>
  <c r="R198" i="1"/>
  <c r="E198" i="1"/>
  <c r="G198" i="1"/>
  <c r="H198" i="1"/>
  <c r="J198" i="1"/>
  <c r="K198" i="1"/>
  <c r="L198" i="1"/>
  <c r="A199" i="1"/>
  <c r="B199" i="1"/>
  <c r="C199" i="1"/>
  <c r="D199" i="1"/>
  <c r="Q199" i="1"/>
  <c r="R199" i="1"/>
  <c r="E199" i="1"/>
  <c r="G199" i="1"/>
  <c r="H199" i="1"/>
  <c r="J199" i="1"/>
  <c r="K199" i="1"/>
  <c r="L199" i="1"/>
  <c r="A200" i="1"/>
  <c r="B200" i="1"/>
  <c r="C200" i="1"/>
  <c r="D200" i="1"/>
  <c r="Q200" i="1"/>
  <c r="R200" i="1"/>
  <c r="E200" i="1"/>
  <c r="G200" i="1"/>
  <c r="H200" i="1"/>
  <c r="J200" i="1"/>
  <c r="K200" i="1"/>
  <c r="L200" i="1"/>
  <c r="A201" i="1"/>
  <c r="B201" i="1"/>
  <c r="C201" i="1"/>
  <c r="D201" i="1"/>
  <c r="Q201" i="1"/>
  <c r="R201" i="1"/>
  <c r="E201" i="1"/>
  <c r="G201" i="1"/>
  <c r="H201" i="1"/>
  <c r="J201" i="1"/>
  <c r="K201" i="1"/>
  <c r="L201" i="1"/>
  <c r="A202" i="1"/>
  <c r="B202" i="1"/>
  <c r="C202" i="1"/>
  <c r="D202" i="1"/>
  <c r="Q202" i="1"/>
  <c r="R202" i="1"/>
  <c r="E202" i="1"/>
  <c r="G202" i="1"/>
  <c r="H202" i="1"/>
  <c r="J202" i="1"/>
  <c r="K202" i="1"/>
  <c r="L202" i="1"/>
  <c r="A203" i="1"/>
  <c r="B203" i="1"/>
  <c r="C203" i="1"/>
  <c r="D203" i="1"/>
  <c r="Q203" i="1"/>
  <c r="R203" i="1"/>
  <c r="E203" i="1"/>
  <c r="G203" i="1"/>
  <c r="H203" i="1"/>
  <c r="J203" i="1"/>
  <c r="K203" i="1"/>
  <c r="L203" i="1"/>
  <c r="A204" i="1"/>
  <c r="B204" i="1"/>
  <c r="C204" i="1"/>
  <c r="D204" i="1"/>
  <c r="Q204" i="1"/>
  <c r="R204" i="1"/>
  <c r="E204" i="1"/>
  <c r="G204" i="1"/>
  <c r="H204" i="1"/>
  <c r="J204" i="1"/>
  <c r="K204" i="1"/>
  <c r="L204" i="1"/>
  <c r="A205" i="1"/>
  <c r="B205" i="1"/>
  <c r="C205" i="1"/>
  <c r="D205" i="1"/>
  <c r="Q205" i="1"/>
  <c r="R205" i="1"/>
  <c r="E205" i="1"/>
  <c r="G205" i="1"/>
  <c r="H205" i="1"/>
  <c r="J205" i="1"/>
  <c r="K205" i="1"/>
  <c r="L205" i="1"/>
  <c r="A206" i="1"/>
  <c r="B206" i="1"/>
  <c r="C206" i="1"/>
  <c r="D206" i="1"/>
  <c r="Q206" i="1"/>
  <c r="R206" i="1"/>
  <c r="E206" i="1"/>
  <c r="G206" i="1"/>
  <c r="H206" i="1"/>
  <c r="J206" i="1"/>
  <c r="K206" i="1"/>
  <c r="L206" i="1"/>
  <c r="A207" i="1"/>
  <c r="B207" i="1"/>
  <c r="C207" i="1"/>
  <c r="D207" i="1"/>
  <c r="Q207" i="1"/>
  <c r="R207" i="1"/>
  <c r="E207" i="1"/>
  <c r="G207" i="1"/>
  <c r="H207" i="1"/>
  <c r="J207" i="1"/>
  <c r="K207" i="1"/>
  <c r="L207" i="1"/>
  <c r="A208" i="1"/>
  <c r="B208" i="1"/>
  <c r="C208" i="1"/>
  <c r="D208" i="1"/>
  <c r="Q208" i="1"/>
  <c r="R208" i="1"/>
  <c r="E208" i="1"/>
  <c r="G208" i="1"/>
  <c r="H208" i="1"/>
  <c r="J208" i="1"/>
  <c r="K208" i="1"/>
  <c r="L208" i="1"/>
  <c r="A209" i="1"/>
  <c r="B209" i="1"/>
  <c r="C209" i="1"/>
  <c r="D209" i="1"/>
  <c r="Q209" i="1"/>
  <c r="R209" i="1"/>
  <c r="E209" i="1"/>
  <c r="G209" i="1"/>
  <c r="H209" i="1"/>
  <c r="J209" i="1"/>
  <c r="K209" i="1"/>
  <c r="L209" i="1"/>
  <c r="A210" i="1"/>
  <c r="B210" i="1"/>
  <c r="C210" i="1"/>
  <c r="D210" i="1"/>
  <c r="Q210" i="1"/>
  <c r="R210" i="1"/>
  <c r="E210" i="1"/>
  <c r="G210" i="1"/>
  <c r="H210" i="1"/>
  <c r="J210" i="1"/>
  <c r="K210" i="1"/>
  <c r="L210" i="1"/>
  <c r="A211" i="1"/>
  <c r="B211" i="1"/>
  <c r="C211" i="1"/>
  <c r="D211" i="1"/>
  <c r="Q211" i="1"/>
  <c r="R211" i="1"/>
  <c r="E211" i="1"/>
  <c r="G211" i="1"/>
  <c r="H211" i="1"/>
  <c r="J211" i="1"/>
  <c r="K211" i="1"/>
  <c r="L211" i="1"/>
  <c r="A212" i="1"/>
  <c r="B212" i="1"/>
  <c r="C212" i="1"/>
  <c r="D212" i="1"/>
  <c r="Q212" i="1"/>
  <c r="R212" i="1"/>
  <c r="E212" i="1"/>
  <c r="G212" i="1"/>
  <c r="H212" i="1"/>
  <c r="J212" i="1"/>
  <c r="K212" i="1"/>
  <c r="L212" i="1"/>
  <c r="A213" i="1"/>
  <c r="B213" i="1"/>
  <c r="C213" i="1"/>
  <c r="D213" i="1"/>
  <c r="Q213" i="1"/>
  <c r="R213" i="1"/>
  <c r="E213" i="1"/>
  <c r="G213" i="1"/>
  <c r="H213" i="1"/>
  <c r="J213" i="1"/>
  <c r="K213" i="1"/>
  <c r="L213" i="1"/>
  <c r="A214" i="1"/>
  <c r="B214" i="1"/>
  <c r="C214" i="1"/>
  <c r="D214" i="1"/>
  <c r="Q214" i="1"/>
  <c r="R214" i="1"/>
  <c r="E214" i="1"/>
  <c r="G214" i="1"/>
  <c r="H214" i="1"/>
  <c r="J214" i="1"/>
  <c r="K214" i="1"/>
  <c r="L214" i="1"/>
  <c r="A215" i="1"/>
  <c r="B215" i="1"/>
  <c r="C215" i="1"/>
  <c r="D215" i="1"/>
  <c r="Q215" i="1"/>
  <c r="R215" i="1"/>
  <c r="E215" i="1"/>
  <c r="G215" i="1"/>
  <c r="H215" i="1"/>
  <c r="J215" i="1"/>
  <c r="K215" i="1"/>
  <c r="L215" i="1"/>
  <c r="A216" i="1"/>
  <c r="B216" i="1"/>
  <c r="C216" i="1"/>
  <c r="D216" i="1"/>
  <c r="Q216" i="1"/>
  <c r="R216" i="1"/>
  <c r="E216" i="1"/>
  <c r="G216" i="1"/>
  <c r="H216" i="1"/>
  <c r="J216" i="1"/>
  <c r="K216" i="1"/>
  <c r="L216" i="1"/>
  <c r="A217" i="1"/>
  <c r="B217" i="1"/>
  <c r="C217" i="1"/>
  <c r="D217" i="1"/>
  <c r="Q217" i="1"/>
  <c r="R217" i="1"/>
  <c r="E217" i="1"/>
  <c r="G217" i="1"/>
  <c r="H217" i="1"/>
  <c r="J217" i="1"/>
  <c r="K217" i="1"/>
  <c r="L217" i="1"/>
  <c r="A218" i="1"/>
  <c r="B218" i="1"/>
  <c r="C218" i="1"/>
  <c r="D218" i="1"/>
  <c r="Q218" i="1"/>
  <c r="R218" i="1"/>
  <c r="E218" i="1"/>
  <c r="G218" i="1"/>
  <c r="H218" i="1"/>
  <c r="J218" i="1"/>
  <c r="K218" i="1"/>
  <c r="L218" i="1"/>
  <c r="A219" i="1"/>
  <c r="B219" i="1"/>
  <c r="C219" i="1"/>
  <c r="D219" i="1"/>
  <c r="Q219" i="1"/>
  <c r="R219" i="1"/>
  <c r="E219" i="1"/>
  <c r="G219" i="1"/>
  <c r="H219" i="1"/>
  <c r="J219" i="1"/>
  <c r="K219" i="1"/>
  <c r="L219" i="1"/>
  <c r="A220" i="1"/>
  <c r="B220" i="1"/>
  <c r="C220" i="1"/>
  <c r="D220" i="1"/>
  <c r="Q220" i="1"/>
  <c r="R220" i="1"/>
  <c r="E220" i="1"/>
  <c r="G220" i="1"/>
  <c r="H220" i="1"/>
  <c r="J220" i="1"/>
  <c r="K220" i="1"/>
  <c r="L220" i="1"/>
  <c r="A221" i="1"/>
  <c r="B221" i="1"/>
  <c r="C221" i="1"/>
  <c r="D221" i="1"/>
  <c r="Q221" i="1"/>
  <c r="R221" i="1"/>
  <c r="E221" i="1"/>
  <c r="G221" i="1"/>
  <c r="H221" i="1"/>
  <c r="J221" i="1"/>
  <c r="K221" i="1"/>
  <c r="L221" i="1"/>
  <c r="A222" i="1"/>
  <c r="B222" i="1"/>
  <c r="C222" i="1"/>
  <c r="D222" i="1"/>
  <c r="Q222" i="1"/>
  <c r="R222" i="1"/>
  <c r="E222" i="1"/>
  <c r="G222" i="1"/>
  <c r="H222" i="1"/>
  <c r="J222" i="1"/>
  <c r="K222" i="1"/>
  <c r="L222" i="1"/>
  <c r="A223" i="1"/>
  <c r="B223" i="1"/>
  <c r="C223" i="1"/>
  <c r="D223" i="1"/>
  <c r="Q223" i="1"/>
  <c r="R223" i="1"/>
  <c r="E223" i="1"/>
  <c r="G223" i="1"/>
  <c r="H223" i="1"/>
  <c r="J223" i="1"/>
  <c r="K223" i="1"/>
  <c r="L223" i="1"/>
  <c r="A224" i="1"/>
  <c r="B224" i="1"/>
  <c r="C224" i="1"/>
  <c r="D224" i="1"/>
  <c r="Q224" i="1"/>
  <c r="R224" i="1"/>
  <c r="E224" i="1"/>
  <c r="G224" i="1"/>
  <c r="H224" i="1"/>
  <c r="J224" i="1"/>
  <c r="K224" i="1"/>
  <c r="L224" i="1"/>
  <c r="A225" i="1"/>
  <c r="B225" i="1"/>
  <c r="C225" i="1"/>
  <c r="D225" i="1"/>
  <c r="Q225" i="1"/>
  <c r="R225" i="1"/>
  <c r="E225" i="1"/>
  <c r="G225" i="1"/>
  <c r="H225" i="1"/>
  <c r="J225" i="1"/>
  <c r="K225" i="1"/>
  <c r="L225" i="1"/>
  <c r="A226" i="1"/>
  <c r="B226" i="1"/>
  <c r="C226" i="1"/>
  <c r="D226" i="1"/>
  <c r="Q226" i="1"/>
  <c r="R226" i="1"/>
  <c r="E226" i="1"/>
  <c r="G226" i="1"/>
  <c r="H226" i="1"/>
  <c r="J226" i="1"/>
  <c r="K226" i="1"/>
  <c r="L226" i="1"/>
  <c r="A227" i="1"/>
  <c r="B227" i="1"/>
  <c r="C227" i="1"/>
  <c r="D227" i="1"/>
  <c r="Q227" i="1"/>
  <c r="R227" i="1"/>
  <c r="E227" i="1"/>
  <c r="G227" i="1"/>
  <c r="H227" i="1"/>
  <c r="J227" i="1"/>
  <c r="K227" i="1"/>
  <c r="L227" i="1"/>
  <c r="A228" i="1"/>
  <c r="B228" i="1"/>
  <c r="C228" i="1"/>
  <c r="D228" i="1"/>
  <c r="Q228" i="1"/>
  <c r="R228" i="1"/>
  <c r="E228" i="1"/>
  <c r="G228" i="1"/>
  <c r="H228" i="1"/>
  <c r="J228" i="1"/>
  <c r="K228" i="1"/>
  <c r="L228" i="1"/>
  <c r="A229" i="1"/>
  <c r="B229" i="1"/>
  <c r="C229" i="1"/>
  <c r="D229" i="1"/>
  <c r="Q229" i="1"/>
  <c r="R229" i="1"/>
  <c r="E229" i="1"/>
  <c r="G229" i="1"/>
  <c r="H229" i="1"/>
  <c r="J229" i="1"/>
  <c r="K229" i="1"/>
  <c r="L229" i="1"/>
  <c r="A230" i="1"/>
  <c r="B230" i="1"/>
  <c r="C230" i="1"/>
  <c r="D230" i="1"/>
  <c r="Q230" i="1"/>
  <c r="R230" i="1"/>
  <c r="E230" i="1"/>
  <c r="G230" i="1"/>
  <c r="H230" i="1"/>
  <c r="J230" i="1"/>
  <c r="K230" i="1"/>
  <c r="L230" i="1"/>
  <c r="A231" i="1"/>
  <c r="B231" i="1"/>
  <c r="C231" i="1"/>
  <c r="D231" i="1"/>
  <c r="Q231" i="1"/>
  <c r="R231" i="1"/>
  <c r="E231" i="1"/>
  <c r="G231" i="1"/>
  <c r="H231" i="1"/>
  <c r="J231" i="1"/>
  <c r="K231" i="1"/>
  <c r="L231" i="1"/>
  <c r="A232" i="1"/>
  <c r="B232" i="1"/>
  <c r="C232" i="1"/>
  <c r="D232" i="1"/>
  <c r="Q232" i="1"/>
  <c r="R232" i="1"/>
  <c r="E232" i="1"/>
  <c r="G232" i="1"/>
  <c r="H232" i="1"/>
  <c r="J232" i="1"/>
  <c r="K232" i="1"/>
  <c r="L232" i="1"/>
  <c r="A233" i="1"/>
  <c r="B233" i="1"/>
  <c r="C233" i="1"/>
  <c r="D233" i="1"/>
  <c r="Q233" i="1"/>
  <c r="R233" i="1"/>
  <c r="E233" i="1"/>
  <c r="G233" i="1"/>
  <c r="H233" i="1"/>
  <c r="J233" i="1"/>
  <c r="K233" i="1"/>
  <c r="L233" i="1"/>
  <c r="A234" i="1"/>
  <c r="B234" i="1"/>
  <c r="C234" i="1"/>
  <c r="D234" i="1"/>
  <c r="Q234" i="1"/>
  <c r="R234" i="1"/>
  <c r="E234" i="1"/>
  <c r="G234" i="1"/>
  <c r="H234" i="1"/>
  <c r="J234" i="1"/>
  <c r="K234" i="1"/>
  <c r="L234" i="1"/>
  <c r="A235" i="1"/>
  <c r="B235" i="1"/>
  <c r="C235" i="1"/>
  <c r="D235" i="1"/>
  <c r="Q235" i="1"/>
  <c r="R235" i="1"/>
  <c r="E235" i="1"/>
  <c r="G235" i="1"/>
  <c r="H235" i="1"/>
  <c r="J235" i="1"/>
  <c r="K235" i="1"/>
  <c r="L235" i="1"/>
  <c r="A236" i="1"/>
  <c r="B236" i="1"/>
  <c r="C236" i="1"/>
  <c r="D236" i="1"/>
  <c r="Q236" i="1"/>
  <c r="R236" i="1"/>
  <c r="E236" i="1"/>
  <c r="G236" i="1"/>
  <c r="H236" i="1"/>
  <c r="J236" i="1"/>
  <c r="K236" i="1"/>
  <c r="L236" i="1"/>
  <c r="A237" i="1"/>
  <c r="B237" i="1"/>
  <c r="C237" i="1"/>
  <c r="D237" i="1"/>
  <c r="Q237" i="1"/>
  <c r="R237" i="1"/>
  <c r="E237" i="1"/>
  <c r="G237" i="1"/>
  <c r="H237" i="1"/>
  <c r="J237" i="1"/>
  <c r="K237" i="1"/>
  <c r="L237" i="1"/>
  <c r="A238" i="1"/>
  <c r="B238" i="1"/>
  <c r="C238" i="1"/>
  <c r="D238" i="1"/>
  <c r="Q238" i="1"/>
  <c r="R238" i="1"/>
  <c r="E238" i="1"/>
  <c r="G238" i="1"/>
  <c r="H238" i="1"/>
  <c r="J238" i="1"/>
  <c r="K238" i="1"/>
  <c r="L238" i="1"/>
  <c r="A239" i="1"/>
  <c r="B239" i="1"/>
  <c r="C239" i="1"/>
  <c r="D239" i="1"/>
  <c r="Q239" i="1"/>
  <c r="R239" i="1"/>
  <c r="E239" i="1"/>
  <c r="G239" i="1"/>
  <c r="H239" i="1"/>
  <c r="J239" i="1"/>
  <c r="K239" i="1"/>
  <c r="L239" i="1"/>
  <c r="A240" i="1"/>
  <c r="B240" i="1"/>
  <c r="C240" i="1"/>
  <c r="D240" i="1"/>
  <c r="Q240" i="1"/>
  <c r="R240" i="1"/>
  <c r="E240" i="1"/>
  <c r="G240" i="1"/>
  <c r="H240" i="1"/>
  <c r="J240" i="1"/>
  <c r="K240" i="1"/>
  <c r="L240" i="1"/>
  <c r="A241" i="1"/>
  <c r="B241" i="1"/>
  <c r="C241" i="1"/>
  <c r="D241" i="1"/>
  <c r="Q241" i="1"/>
  <c r="R241" i="1"/>
  <c r="E241" i="1"/>
  <c r="G241" i="1"/>
  <c r="H241" i="1"/>
  <c r="J241" i="1"/>
  <c r="K241" i="1"/>
  <c r="L241" i="1"/>
  <c r="A71" i="1"/>
  <c r="B71" i="1"/>
  <c r="C71" i="1"/>
  <c r="D71" i="1"/>
  <c r="Q71" i="1"/>
  <c r="R71" i="1"/>
  <c r="E71" i="1"/>
  <c r="G71" i="1"/>
  <c r="H71" i="1"/>
  <c r="J71" i="1"/>
  <c r="K71" i="1"/>
  <c r="L71" i="1"/>
  <c r="A242" i="1"/>
  <c r="B242" i="1"/>
  <c r="C242" i="1"/>
  <c r="D242" i="1"/>
  <c r="Q242" i="1"/>
  <c r="R242" i="1"/>
  <c r="E242" i="1"/>
  <c r="G242" i="1"/>
  <c r="H242" i="1"/>
  <c r="J242" i="1"/>
  <c r="K242" i="1"/>
  <c r="L242" i="1"/>
  <c r="A7156" i="1"/>
  <c r="B7156" i="1"/>
  <c r="C7156" i="1"/>
  <c r="D7156" i="1"/>
  <c r="Q7156" i="1"/>
  <c r="R7156" i="1"/>
  <c r="E7156" i="1"/>
  <c r="G7156" i="1"/>
  <c r="H7156" i="1"/>
  <c r="J7156" i="1"/>
  <c r="K7156" i="1"/>
  <c r="L7156" i="1"/>
  <c r="A7157" i="1"/>
  <c r="B7157" i="1"/>
  <c r="C7157" i="1"/>
  <c r="D7157" i="1"/>
  <c r="Q7157" i="1"/>
  <c r="R7157" i="1"/>
  <c r="E7157" i="1"/>
  <c r="G7157" i="1"/>
  <c r="H7157" i="1"/>
  <c r="J7157" i="1"/>
  <c r="K7157" i="1"/>
  <c r="L7157" i="1"/>
  <c r="A7158" i="1"/>
  <c r="B7158" i="1"/>
  <c r="C7158" i="1"/>
  <c r="D7158" i="1"/>
  <c r="Q7158" i="1"/>
  <c r="R7158" i="1"/>
  <c r="E7158" i="1"/>
  <c r="G7158" i="1"/>
  <c r="H7158" i="1"/>
  <c r="J7158" i="1"/>
  <c r="K7158" i="1"/>
  <c r="L7158" i="1"/>
  <c r="A7159" i="1"/>
  <c r="B7159" i="1"/>
  <c r="C7159" i="1"/>
  <c r="D7159" i="1"/>
  <c r="Q7159" i="1"/>
  <c r="R7159" i="1"/>
  <c r="E7159" i="1"/>
  <c r="G7159" i="1"/>
  <c r="H7159" i="1"/>
  <c r="J7159" i="1"/>
  <c r="K7159" i="1"/>
  <c r="L7159" i="1"/>
  <c r="A7160" i="1"/>
  <c r="B7160" i="1"/>
  <c r="C7160" i="1"/>
  <c r="D7160" i="1"/>
  <c r="Q7160" i="1"/>
  <c r="R7160" i="1"/>
  <c r="E7160" i="1"/>
  <c r="G7160" i="1"/>
  <c r="H7160" i="1"/>
  <c r="J7160" i="1"/>
  <c r="K7160" i="1"/>
  <c r="L7160" i="1"/>
  <c r="A7161" i="1"/>
  <c r="B7161" i="1"/>
  <c r="C7161" i="1"/>
  <c r="D7161" i="1"/>
  <c r="Q7161" i="1"/>
  <c r="R7161" i="1"/>
  <c r="E7161" i="1"/>
  <c r="G7161" i="1"/>
  <c r="H7161" i="1"/>
  <c r="J7161" i="1"/>
  <c r="K7161" i="1"/>
  <c r="L7161" i="1"/>
  <c r="A7162" i="1"/>
  <c r="B7162" i="1"/>
  <c r="C7162" i="1"/>
  <c r="D7162" i="1"/>
  <c r="Q7162" i="1"/>
  <c r="R7162" i="1"/>
  <c r="E7162" i="1"/>
  <c r="G7162" i="1"/>
  <c r="H7162" i="1"/>
  <c r="J7162" i="1"/>
  <c r="K7162" i="1"/>
  <c r="L7162" i="1"/>
  <c r="A243" i="1"/>
  <c r="B243" i="1"/>
  <c r="C243" i="1"/>
  <c r="D243" i="1"/>
  <c r="Q243" i="1"/>
  <c r="R243" i="1"/>
  <c r="E243" i="1"/>
  <c r="G243" i="1"/>
  <c r="H243" i="1"/>
  <c r="J243" i="1"/>
  <c r="K243" i="1"/>
  <c r="L243" i="1"/>
  <c r="A244" i="1"/>
  <c r="B244" i="1"/>
  <c r="C244" i="1"/>
  <c r="D244" i="1"/>
  <c r="Q244" i="1"/>
  <c r="R244" i="1"/>
  <c r="E244" i="1"/>
  <c r="G244" i="1"/>
  <c r="H244" i="1"/>
  <c r="J244" i="1"/>
  <c r="K244" i="1"/>
  <c r="L244" i="1"/>
  <c r="A245" i="1"/>
  <c r="B245" i="1"/>
  <c r="C245" i="1"/>
  <c r="D245" i="1"/>
  <c r="Q245" i="1"/>
  <c r="R245" i="1"/>
  <c r="E245" i="1"/>
  <c r="G245" i="1"/>
  <c r="H245" i="1"/>
  <c r="J245" i="1"/>
  <c r="K245" i="1"/>
  <c r="L245" i="1"/>
  <c r="A277" i="1"/>
  <c r="B277" i="1"/>
  <c r="C277" i="1"/>
  <c r="D277" i="1"/>
  <c r="Q277" i="1"/>
  <c r="R277" i="1"/>
  <c r="E277" i="1"/>
  <c r="F277" i="1"/>
  <c r="G277" i="1"/>
  <c r="H277" i="1"/>
  <c r="J277" i="1"/>
  <c r="K277" i="1"/>
  <c r="L277" i="1"/>
  <c r="A246" i="1"/>
  <c r="B246" i="1"/>
  <c r="C246" i="1"/>
  <c r="D246" i="1"/>
  <c r="Q246" i="1"/>
  <c r="R246" i="1"/>
  <c r="E246" i="1"/>
  <c r="G246" i="1"/>
  <c r="H246" i="1"/>
  <c r="J246" i="1"/>
  <c r="K246" i="1"/>
  <c r="L246" i="1"/>
  <c r="A247" i="1"/>
  <c r="B247" i="1"/>
  <c r="C247" i="1"/>
  <c r="D247" i="1"/>
  <c r="Q247" i="1"/>
  <c r="R247" i="1"/>
  <c r="E247" i="1"/>
  <c r="G247" i="1"/>
  <c r="H247" i="1"/>
  <c r="J247" i="1"/>
  <c r="K247" i="1"/>
  <c r="L247" i="1"/>
  <c r="A248" i="1"/>
  <c r="B248" i="1"/>
  <c r="C248" i="1"/>
  <c r="D248" i="1"/>
  <c r="Q248" i="1"/>
  <c r="R248" i="1"/>
  <c r="E248" i="1"/>
  <c r="G248" i="1"/>
  <c r="H248" i="1"/>
  <c r="J248" i="1"/>
  <c r="K248" i="1"/>
  <c r="L248" i="1"/>
  <c r="A249" i="1"/>
  <c r="B249" i="1"/>
  <c r="C249" i="1"/>
  <c r="D249" i="1"/>
  <c r="Q249" i="1"/>
  <c r="R249" i="1"/>
  <c r="E249" i="1"/>
  <c r="G249" i="1"/>
  <c r="H249" i="1"/>
  <c r="J249" i="1"/>
  <c r="K249" i="1"/>
  <c r="L249" i="1"/>
  <c r="A250" i="1"/>
  <c r="B250" i="1"/>
  <c r="C250" i="1"/>
  <c r="D250" i="1"/>
  <c r="Q250" i="1"/>
  <c r="R250" i="1"/>
  <c r="E250" i="1"/>
  <c r="G250" i="1"/>
  <c r="H250" i="1"/>
  <c r="J250" i="1"/>
  <c r="K250" i="1"/>
  <c r="L250" i="1"/>
  <c r="A251" i="1"/>
  <c r="B251" i="1"/>
  <c r="C251" i="1"/>
  <c r="D251" i="1"/>
  <c r="Q251" i="1"/>
  <c r="R251" i="1"/>
  <c r="E251" i="1"/>
  <c r="G251" i="1"/>
  <c r="H251" i="1"/>
  <c r="J251" i="1"/>
  <c r="K251" i="1"/>
  <c r="L251" i="1"/>
  <c r="A252" i="1"/>
  <c r="B252" i="1"/>
  <c r="C252" i="1"/>
  <c r="D252" i="1"/>
  <c r="Q252" i="1"/>
  <c r="R252" i="1"/>
  <c r="E252" i="1"/>
  <c r="G252" i="1"/>
  <c r="H252" i="1"/>
  <c r="J252" i="1"/>
  <c r="K252" i="1"/>
  <c r="L252" i="1"/>
  <c r="A253" i="1"/>
  <c r="B253" i="1"/>
  <c r="C253" i="1"/>
  <c r="D253" i="1"/>
  <c r="Q253" i="1"/>
  <c r="R253" i="1"/>
  <c r="E253" i="1"/>
  <c r="G253" i="1"/>
  <c r="H253" i="1"/>
  <c r="J253" i="1"/>
  <c r="K253" i="1"/>
  <c r="L253" i="1"/>
  <c r="A254" i="1"/>
  <c r="B254" i="1"/>
  <c r="C254" i="1"/>
  <c r="D254" i="1"/>
  <c r="Q254" i="1"/>
  <c r="R254" i="1"/>
  <c r="E254" i="1"/>
  <c r="G254" i="1"/>
  <c r="H254" i="1"/>
  <c r="J254" i="1"/>
  <c r="K254" i="1"/>
  <c r="L254" i="1"/>
  <c r="A255" i="1"/>
  <c r="B255" i="1"/>
  <c r="C255" i="1"/>
  <c r="D255" i="1"/>
  <c r="Q255" i="1"/>
  <c r="R255" i="1"/>
  <c r="E255" i="1"/>
  <c r="G255" i="1"/>
  <c r="H255" i="1"/>
  <c r="J255" i="1"/>
  <c r="K255" i="1"/>
  <c r="L255" i="1"/>
  <c r="A256" i="1"/>
  <c r="B256" i="1"/>
  <c r="C256" i="1"/>
  <c r="D256" i="1"/>
  <c r="Q256" i="1"/>
  <c r="R256" i="1"/>
  <c r="E256" i="1"/>
  <c r="G256" i="1"/>
  <c r="H256" i="1"/>
  <c r="J256" i="1"/>
  <c r="K256" i="1"/>
  <c r="L256" i="1"/>
  <c r="A257" i="1"/>
  <c r="B257" i="1"/>
  <c r="C257" i="1"/>
  <c r="D257" i="1"/>
  <c r="Q257" i="1"/>
  <c r="R257" i="1"/>
  <c r="E257" i="1"/>
  <c r="G257" i="1"/>
  <c r="H257" i="1"/>
  <c r="J257" i="1"/>
  <c r="K257" i="1"/>
  <c r="L257" i="1"/>
  <c r="A258" i="1"/>
  <c r="B258" i="1"/>
  <c r="C258" i="1"/>
  <c r="D258" i="1"/>
  <c r="Q258" i="1"/>
  <c r="R258" i="1"/>
  <c r="E258" i="1"/>
  <c r="G258" i="1"/>
  <c r="H258" i="1"/>
  <c r="J258" i="1"/>
  <c r="K258" i="1"/>
  <c r="L258" i="1"/>
  <c r="A259" i="1"/>
  <c r="B259" i="1"/>
  <c r="C259" i="1"/>
  <c r="D259" i="1"/>
  <c r="Q259" i="1"/>
  <c r="R259" i="1"/>
  <c r="E259" i="1"/>
  <c r="G259" i="1"/>
  <c r="H259" i="1"/>
  <c r="J259" i="1"/>
  <c r="K259" i="1"/>
  <c r="L259" i="1"/>
  <c r="A260" i="1"/>
  <c r="B260" i="1"/>
  <c r="C260" i="1"/>
  <c r="D260" i="1"/>
  <c r="Q260" i="1"/>
  <c r="R260" i="1"/>
  <c r="E260" i="1"/>
  <c r="G260" i="1"/>
  <c r="H260" i="1"/>
  <c r="J260" i="1"/>
  <c r="K260" i="1"/>
  <c r="L260" i="1"/>
  <c r="A261" i="1"/>
  <c r="B261" i="1"/>
  <c r="C261" i="1"/>
  <c r="D261" i="1"/>
  <c r="Q261" i="1"/>
  <c r="R261" i="1"/>
  <c r="E261" i="1"/>
  <c r="G261" i="1"/>
  <c r="H261" i="1"/>
  <c r="J261" i="1"/>
  <c r="K261" i="1"/>
  <c r="L261" i="1"/>
  <c r="A262" i="1"/>
  <c r="B262" i="1"/>
  <c r="C262" i="1"/>
  <c r="D262" i="1"/>
  <c r="Q262" i="1"/>
  <c r="R262" i="1"/>
  <c r="E262" i="1"/>
  <c r="G262" i="1"/>
  <c r="H262" i="1"/>
  <c r="J262" i="1"/>
  <c r="K262" i="1"/>
  <c r="L262" i="1"/>
  <c r="A263" i="1"/>
  <c r="B263" i="1"/>
  <c r="C263" i="1"/>
  <c r="D263" i="1"/>
  <c r="Q263" i="1"/>
  <c r="R263" i="1"/>
  <c r="E263" i="1"/>
  <c r="G263" i="1"/>
  <c r="H263" i="1"/>
  <c r="J263" i="1"/>
  <c r="K263" i="1"/>
  <c r="L263" i="1"/>
  <c r="A264" i="1"/>
  <c r="B264" i="1"/>
  <c r="C264" i="1"/>
  <c r="D264" i="1"/>
  <c r="Q264" i="1"/>
  <c r="R264" i="1"/>
  <c r="E264" i="1"/>
  <c r="G264" i="1"/>
  <c r="H264" i="1"/>
  <c r="J264" i="1"/>
  <c r="K264" i="1"/>
  <c r="L264" i="1"/>
  <c r="A265" i="1"/>
  <c r="B265" i="1"/>
  <c r="C265" i="1"/>
  <c r="D265" i="1"/>
  <c r="Q265" i="1"/>
  <c r="R265" i="1"/>
  <c r="E265" i="1"/>
  <c r="G265" i="1"/>
  <c r="H265" i="1"/>
  <c r="J265" i="1"/>
  <c r="K265" i="1"/>
  <c r="L265" i="1"/>
  <c r="A266" i="1"/>
  <c r="B266" i="1"/>
  <c r="C266" i="1"/>
  <c r="D266" i="1"/>
  <c r="Q266" i="1"/>
  <c r="R266" i="1"/>
  <c r="E266" i="1"/>
  <c r="G266" i="1"/>
  <c r="H266" i="1"/>
  <c r="J266" i="1"/>
  <c r="K266" i="1"/>
  <c r="L266" i="1"/>
  <c r="A267" i="1"/>
  <c r="B267" i="1"/>
  <c r="C267" i="1"/>
  <c r="D267" i="1"/>
  <c r="Q267" i="1"/>
  <c r="R267" i="1"/>
  <c r="E267" i="1"/>
  <c r="G267" i="1"/>
  <c r="H267" i="1"/>
  <c r="J267" i="1"/>
  <c r="K267" i="1"/>
  <c r="L267" i="1"/>
  <c r="A268" i="1"/>
  <c r="B268" i="1"/>
  <c r="C268" i="1"/>
  <c r="D268" i="1"/>
  <c r="Q268" i="1"/>
  <c r="R268" i="1"/>
  <c r="E268" i="1"/>
  <c r="G268" i="1"/>
  <c r="H268" i="1"/>
  <c r="J268" i="1"/>
  <c r="K268" i="1"/>
  <c r="L268" i="1"/>
  <c r="A269" i="1"/>
  <c r="B269" i="1"/>
  <c r="C269" i="1"/>
  <c r="D269" i="1"/>
  <c r="Q269" i="1"/>
  <c r="R269" i="1"/>
  <c r="E269" i="1"/>
  <c r="G269" i="1"/>
  <c r="H269" i="1"/>
  <c r="J269" i="1"/>
  <c r="K269" i="1"/>
  <c r="L269" i="1"/>
  <c r="A270" i="1"/>
  <c r="B270" i="1"/>
  <c r="C270" i="1"/>
  <c r="D270" i="1"/>
  <c r="Q270" i="1"/>
  <c r="R270" i="1"/>
  <c r="E270" i="1"/>
  <c r="G270" i="1"/>
  <c r="H270" i="1"/>
  <c r="J270" i="1"/>
  <c r="K270" i="1"/>
  <c r="L270" i="1"/>
  <c r="A271" i="1"/>
  <c r="B271" i="1"/>
  <c r="C271" i="1"/>
  <c r="D271" i="1"/>
  <c r="Q271" i="1"/>
  <c r="R271" i="1"/>
  <c r="E271" i="1"/>
  <c r="G271" i="1"/>
  <c r="H271" i="1"/>
  <c r="J271" i="1"/>
  <c r="K271" i="1"/>
  <c r="L271" i="1"/>
  <c r="A272" i="1"/>
  <c r="B272" i="1"/>
  <c r="C272" i="1"/>
  <c r="D272" i="1"/>
  <c r="Q272" i="1"/>
  <c r="R272" i="1"/>
  <c r="E272" i="1"/>
  <c r="G272" i="1"/>
  <c r="H272" i="1"/>
  <c r="J272" i="1"/>
  <c r="K272" i="1"/>
  <c r="L272" i="1"/>
  <c r="A273" i="1"/>
  <c r="B273" i="1"/>
  <c r="C273" i="1"/>
  <c r="D273" i="1"/>
  <c r="Q273" i="1"/>
  <c r="R273" i="1"/>
  <c r="E273" i="1"/>
  <c r="G273" i="1"/>
  <c r="H273" i="1"/>
  <c r="J273" i="1"/>
  <c r="K273" i="1"/>
  <c r="L273" i="1"/>
  <c r="A274" i="1"/>
  <c r="B274" i="1"/>
  <c r="C274" i="1"/>
  <c r="D274" i="1"/>
  <c r="Q274" i="1"/>
  <c r="R274" i="1"/>
  <c r="E274" i="1"/>
  <c r="G274" i="1"/>
  <c r="H274" i="1"/>
  <c r="J274" i="1"/>
  <c r="K274" i="1"/>
  <c r="L274" i="1"/>
  <c r="A275" i="1"/>
  <c r="B275" i="1"/>
  <c r="C275" i="1"/>
  <c r="D275" i="1"/>
  <c r="Q275" i="1"/>
  <c r="R275" i="1"/>
  <c r="E275" i="1"/>
  <c r="F275" i="1"/>
  <c r="G275" i="1"/>
  <c r="H275" i="1"/>
  <c r="J275" i="1"/>
  <c r="K275" i="1"/>
  <c r="L275" i="1"/>
  <c r="A278" i="1"/>
  <c r="B278" i="1"/>
  <c r="C278" i="1"/>
  <c r="D278" i="1"/>
  <c r="Q278" i="1"/>
  <c r="R278" i="1"/>
  <c r="E278" i="1"/>
  <c r="F278" i="1"/>
  <c r="G278" i="1"/>
  <c r="H278" i="1"/>
  <c r="J278" i="1"/>
  <c r="K278" i="1"/>
  <c r="L278" i="1"/>
  <c r="A279" i="1"/>
  <c r="B279" i="1"/>
  <c r="C279" i="1"/>
  <c r="D279" i="1"/>
  <c r="Q279" i="1"/>
  <c r="R279" i="1"/>
  <c r="E279" i="1"/>
  <c r="F279" i="1"/>
  <c r="G279" i="1"/>
  <c r="H279" i="1"/>
  <c r="J279" i="1"/>
  <c r="K279" i="1"/>
  <c r="L279" i="1"/>
  <c r="A280" i="1"/>
  <c r="B280" i="1"/>
  <c r="C280" i="1"/>
  <c r="D280" i="1"/>
  <c r="Q280" i="1"/>
  <c r="R280" i="1"/>
  <c r="E280" i="1"/>
  <c r="G280" i="1"/>
  <c r="H280" i="1"/>
  <c r="J280" i="1"/>
  <c r="K280" i="1"/>
  <c r="L280" i="1"/>
  <c r="A281" i="1"/>
  <c r="B281" i="1"/>
  <c r="C281" i="1"/>
  <c r="D281" i="1"/>
  <c r="Q281" i="1"/>
  <c r="R281" i="1"/>
  <c r="E281" i="1"/>
  <c r="G281" i="1"/>
  <c r="H281" i="1"/>
  <c r="J281" i="1"/>
  <c r="K281" i="1"/>
  <c r="L281" i="1"/>
  <c r="A282" i="1"/>
  <c r="B282" i="1"/>
  <c r="C282" i="1"/>
  <c r="D282" i="1"/>
  <c r="Q282" i="1"/>
  <c r="R282" i="1"/>
  <c r="E282" i="1"/>
  <c r="G282" i="1"/>
  <c r="H282" i="1"/>
  <c r="J282" i="1"/>
  <c r="K282" i="1"/>
  <c r="L282" i="1"/>
  <c r="A283" i="1"/>
  <c r="B283" i="1"/>
  <c r="C283" i="1"/>
  <c r="D283" i="1"/>
  <c r="Q283" i="1"/>
  <c r="R283" i="1"/>
  <c r="E283" i="1"/>
  <c r="G283" i="1"/>
  <c r="H283" i="1"/>
  <c r="J283" i="1"/>
  <c r="K283" i="1"/>
  <c r="L283" i="1"/>
  <c r="A284" i="1"/>
  <c r="B284" i="1"/>
  <c r="C284" i="1"/>
  <c r="D284" i="1"/>
  <c r="Q284" i="1"/>
  <c r="R284" i="1"/>
  <c r="E284" i="1"/>
  <c r="G284" i="1"/>
  <c r="H284" i="1"/>
  <c r="J284" i="1"/>
  <c r="K284" i="1"/>
  <c r="L284" i="1"/>
  <c r="A285" i="1"/>
  <c r="B285" i="1"/>
  <c r="C285" i="1"/>
  <c r="D285" i="1"/>
  <c r="Q285" i="1"/>
  <c r="R285" i="1"/>
  <c r="E285" i="1"/>
  <c r="G285" i="1"/>
  <c r="H285" i="1"/>
  <c r="J285" i="1"/>
  <c r="K285" i="1"/>
  <c r="L285" i="1"/>
  <c r="A286" i="1"/>
  <c r="B286" i="1"/>
  <c r="C286" i="1"/>
  <c r="D286" i="1"/>
  <c r="Q286" i="1"/>
  <c r="R286" i="1"/>
  <c r="E286" i="1"/>
  <c r="G286" i="1"/>
  <c r="H286" i="1"/>
  <c r="J286" i="1"/>
  <c r="K286" i="1"/>
  <c r="L286" i="1"/>
  <c r="A287" i="1"/>
  <c r="B287" i="1"/>
  <c r="C287" i="1"/>
  <c r="D287" i="1"/>
  <c r="Q287" i="1"/>
  <c r="R287" i="1"/>
  <c r="E287" i="1"/>
  <c r="G287" i="1"/>
  <c r="H287" i="1"/>
  <c r="J287" i="1"/>
  <c r="K287" i="1"/>
  <c r="L287" i="1"/>
  <c r="A288" i="1"/>
  <c r="B288" i="1"/>
  <c r="C288" i="1"/>
  <c r="D288" i="1"/>
  <c r="Q288" i="1"/>
  <c r="R288" i="1"/>
  <c r="E288" i="1"/>
  <c r="G288" i="1"/>
  <c r="H288" i="1"/>
  <c r="J288" i="1"/>
  <c r="K288" i="1"/>
  <c r="L288" i="1"/>
  <c r="A289" i="1"/>
  <c r="B289" i="1"/>
  <c r="C289" i="1"/>
  <c r="D289" i="1"/>
  <c r="Q289" i="1"/>
  <c r="R289" i="1"/>
  <c r="E289" i="1"/>
  <c r="G289" i="1"/>
  <c r="H289" i="1"/>
  <c r="J289" i="1"/>
  <c r="K289" i="1"/>
  <c r="L289" i="1"/>
  <c r="A290" i="1"/>
  <c r="B290" i="1"/>
  <c r="C290" i="1"/>
  <c r="D290" i="1"/>
  <c r="Q290" i="1"/>
  <c r="R290" i="1"/>
  <c r="E290" i="1"/>
  <c r="G290" i="1"/>
  <c r="H290" i="1"/>
  <c r="J290" i="1"/>
  <c r="K290" i="1"/>
  <c r="L290" i="1"/>
  <c r="A291" i="1"/>
  <c r="B291" i="1"/>
  <c r="C291" i="1"/>
  <c r="D291" i="1"/>
  <c r="Q291" i="1"/>
  <c r="R291" i="1"/>
  <c r="E291" i="1"/>
  <c r="G291" i="1"/>
  <c r="H291" i="1"/>
  <c r="J291" i="1"/>
  <c r="K291" i="1"/>
  <c r="L291" i="1"/>
  <c r="A292" i="1"/>
  <c r="B292" i="1"/>
  <c r="C292" i="1"/>
  <c r="D292" i="1"/>
  <c r="Q292" i="1"/>
  <c r="R292" i="1"/>
  <c r="E292" i="1"/>
  <c r="G292" i="1"/>
  <c r="H292" i="1"/>
  <c r="J292" i="1"/>
  <c r="K292" i="1"/>
  <c r="L292" i="1"/>
  <c r="A293" i="1"/>
  <c r="B293" i="1"/>
  <c r="C293" i="1"/>
  <c r="D293" i="1"/>
  <c r="Q293" i="1"/>
  <c r="R293" i="1"/>
  <c r="E293" i="1"/>
  <c r="G293" i="1"/>
  <c r="H293" i="1"/>
  <c r="J293" i="1"/>
  <c r="K293" i="1"/>
  <c r="L293" i="1"/>
  <c r="A294" i="1"/>
  <c r="B294" i="1"/>
  <c r="C294" i="1"/>
  <c r="D294" i="1"/>
  <c r="Q294" i="1"/>
  <c r="R294" i="1"/>
  <c r="E294" i="1"/>
  <c r="G294" i="1"/>
  <c r="H294" i="1"/>
  <c r="J294" i="1"/>
  <c r="K294" i="1"/>
  <c r="L294" i="1"/>
  <c r="A295" i="1"/>
  <c r="B295" i="1"/>
  <c r="C295" i="1"/>
  <c r="D295" i="1"/>
  <c r="Q295" i="1"/>
  <c r="R295" i="1"/>
  <c r="E295" i="1"/>
  <c r="G295" i="1"/>
  <c r="H295" i="1"/>
  <c r="J295" i="1"/>
  <c r="K295" i="1"/>
  <c r="L295" i="1"/>
  <c r="A296" i="1"/>
  <c r="B296" i="1"/>
  <c r="C296" i="1"/>
  <c r="D296" i="1"/>
  <c r="Q296" i="1"/>
  <c r="R296" i="1"/>
  <c r="E296" i="1"/>
  <c r="G296" i="1"/>
  <c r="H296" i="1"/>
  <c r="J296" i="1"/>
  <c r="K296" i="1"/>
  <c r="L296" i="1"/>
  <c r="A297" i="1"/>
  <c r="B297" i="1"/>
  <c r="C297" i="1"/>
  <c r="D297" i="1"/>
  <c r="Q297" i="1"/>
  <c r="R297" i="1"/>
  <c r="E297" i="1"/>
  <c r="G297" i="1"/>
  <c r="H297" i="1"/>
  <c r="J297" i="1"/>
  <c r="K297" i="1"/>
  <c r="L297" i="1"/>
  <c r="A298" i="1"/>
  <c r="B298" i="1"/>
  <c r="C298" i="1"/>
  <c r="D298" i="1"/>
  <c r="Q298" i="1"/>
  <c r="R298" i="1"/>
  <c r="E298" i="1"/>
  <c r="G298" i="1"/>
  <c r="H298" i="1"/>
  <c r="J298" i="1"/>
  <c r="K298" i="1"/>
  <c r="L298" i="1"/>
  <c r="A299" i="1"/>
  <c r="B299" i="1"/>
  <c r="C299" i="1"/>
  <c r="D299" i="1"/>
  <c r="Q299" i="1"/>
  <c r="R299" i="1"/>
  <c r="E299" i="1"/>
  <c r="G299" i="1"/>
  <c r="H299" i="1"/>
  <c r="J299" i="1"/>
  <c r="K299" i="1"/>
  <c r="L299" i="1"/>
  <c r="A300" i="1"/>
  <c r="B300" i="1"/>
  <c r="C300" i="1"/>
  <c r="D300" i="1"/>
  <c r="Q300" i="1"/>
  <c r="R300" i="1"/>
  <c r="E300" i="1"/>
  <c r="G300" i="1"/>
  <c r="H300" i="1"/>
  <c r="J300" i="1"/>
  <c r="K300" i="1"/>
  <c r="L300" i="1"/>
  <c r="A301" i="1"/>
  <c r="B301" i="1"/>
  <c r="C301" i="1"/>
  <c r="D301" i="1"/>
  <c r="Q301" i="1"/>
  <c r="R301" i="1"/>
  <c r="E301" i="1"/>
  <c r="G301" i="1"/>
  <c r="H301" i="1"/>
  <c r="J301" i="1"/>
  <c r="K301" i="1"/>
  <c r="L301" i="1"/>
  <c r="A302" i="1"/>
  <c r="B302" i="1"/>
  <c r="C302" i="1"/>
  <c r="D302" i="1"/>
  <c r="Q302" i="1"/>
  <c r="R302" i="1"/>
  <c r="E302" i="1"/>
  <c r="G302" i="1"/>
  <c r="H302" i="1"/>
  <c r="J302" i="1"/>
  <c r="K302" i="1"/>
  <c r="L302" i="1"/>
  <c r="A303" i="1"/>
  <c r="B303" i="1"/>
  <c r="C303" i="1"/>
  <c r="D303" i="1"/>
  <c r="Q303" i="1"/>
  <c r="R303" i="1"/>
  <c r="E303" i="1"/>
  <c r="G303" i="1"/>
  <c r="H303" i="1"/>
  <c r="J303" i="1"/>
  <c r="K303" i="1"/>
  <c r="L303" i="1"/>
  <c r="A304" i="1"/>
  <c r="B304" i="1"/>
  <c r="C304" i="1"/>
  <c r="D304" i="1"/>
  <c r="Q304" i="1"/>
  <c r="R304" i="1"/>
  <c r="E304" i="1"/>
  <c r="G304" i="1"/>
  <c r="H304" i="1"/>
  <c r="J304" i="1"/>
  <c r="K304" i="1"/>
  <c r="L304" i="1"/>
  <c r="A305" i="1"/>
  <c r="B305" i="1"/>
  <c r="C305" i="1"/>
  <c r="D305" i="1"/>
  <c r="Q305" i="1"/>
  <c r="R305" i="1"/>
  <c r="E305" i="1"/>
  <c r="G305" i="1"/>
  <c r="H305" i="1"/>
  <c r="J305" i="1"/>
  <c r="K305" i="1"/>
  <c r="L305" i="1"/>
  <c r="A306" i="1"/>
  <c r="B306" i="1"/>
  <c r="C306" i="1"/>
  <c r="D306" i="1"/>
  <c r="Q306" i="1"/>
  <c r="R306" i="1"/>
  <c r="E306" i="1"/>
  <c r="G306" i="1"/>
  <c r="H306" i="1"/>
  <c r="J306" i="1"/>
  <c r="K306" i="1"/>
  <c r="L306" i="1"/>
  <c r="A307" i="1"/>
  <c r="B307" i="1"/>
  <c r="C307" i="1"/>
  <c r="D307" i="1"/>
  <c r="Q307" i="1"/>
  <c r="R307" i="1"/>
  <c r="E307" i="1"/>
  <c r="G307" i="1"/>
  <c r="H307" i="1"/>
  <c r="J307" i="1"/>
  <c r="K307" i="1"/>
  <c r="L307" i="1"/>
  <c r="A308" i="1"/>
  <c r="B308" i="1"/>
  <c r="C308" i="1"/>
  <c r="D308" i="1"/>
  <c r="Q308" i="1"/>
  <c r="R308" i="1"/>
  <c r="E308" i="1"/>
  <c r="G308" i="1"/>
  <c r="H308" i="1"/>
  <c r="J308" i="1"/>
  <c r="K308" i="1"/>
  <c r="L308" i="1"/>
  <c r="A309" i="1"/>
  <c r="B309" i="1"/>
  <c r="C309" i="1"/>
  <c r="D309" i="1"/>
  <c r="Q309" i="1"/>
  <c r="R309" i="1"/>
  <c r="E309" i="1"/>
  <c r="G309" i="1"/>
  <c r="H309" i="1"/>
  <c r="J309" i="1"/>
  <c r="K309" i="1"/>
  <c r="L309" i="1"/>
  <c r="A310" i="1"/>
  <c r="B310" i="1"/>
  <c r="C310" i="1"/>
  <c r="D310" i="1"/>
  <c r="Q310" i="1"/>
  <c r="R310" i="1"/>
  <c r="E310" i="1"/>
  <c r="G310" i="1"/>
  <c r="H310" i="1"/>
  <c r="J310" i="1"/>
  <c r="K310" i="1"/>
  <c r="L310" i="1"/>
  <c r="A311" i="1"/>
  <c r="B311" i="1"/>
  <c r="C311" i="1"/>
  <c r="D311" i="1"/>
  <c r="Q311" i="1"/>
  <c r="R311" i="1"/>
  <c r="E311" i="1"/>
  <c r="G311" i="1"/>
  <c r="H311" i="1"/>
  <c r="J311" i="1"/>
  <c r="K311" i="1"/>
  <c r="L311" i="1"/>
  <c r="A312" i="1"/>
  <c r="B312" i="1"/>
  <c r="C312" i="1"/>
  <c r="D312" i="1"/>
  <c r="Q312" i="1"/>
  <c r="R312" i="1"/>
  <c r="E312" i="1"/>
  <c r="G312" i="1"/>
  <c r="H312" i="1"/>
  <c r="J312" i="1"/>
  <c r="K312" i="1"/>
  <c r="L312" i="1"/>
  <c r="A313" i="1"/>
  <c r="B313" i="1"/>
  <c r="C313" i="1"/>
  <c r="D313" i="1"/>
  <c r="Q313" i="1"/>
  <c r="R313" i="1"/>
  <c r="E313" i="1"/>
  <c r="G313" i="1"/>
  <c r="H313" i="1"/>
  <c r="J313" i="1"/>
  <c r="K313" i="1"/>
  <c r="L313" i="1"/>
  <c r="A314" i="1"/>
  <c r="B314" i="1"/>
  <c r="C314" i="1"/>
  <c r="D314" i="1"/>
  <c r="Q314" i="1"/>
  <c r="R314" i="1"/>
  <c r="E314" i="1"/>
  <c r="G314" i="1"/>
  <c r="H314" i="1"/>
  <c r="J314" i="1"/>
  <c r="K314" i="1"/>
  <c r="L314" i="1"/>
  <c r="A315" i="1"/>
  <c r="B315" i="1"/>
  <c r="C315" i="1"/>
  <c r="D315" i="1"/>
  <c r="Q315" i="1"/>
  <c r="R315" i="1"/>
  <c r="E315" i="1"/>
  <c r="G315" i="1"/>
  <c r="H315" i="1"/>
  <c r="J315" i="1"/>
  <c r="K315" i="1"/>
  <c r="L315" i="1"/>
  <c r="A316" i="1"/>
  <c r="B316" i="1"/>
  <c r="C316" i="1"/>
  <c r="D316" i="1"/>
  <c r="Q316" i="1"/>
  <c r="R316" i="1"/>
  <c r="E316" i="1"/>
  <c r="G316" i="1"/>
  <c r="H316" i="1"/>
  <c r="J316" i="1"/>
  <c r="K316" i="1"/>
  <c r="L316" i="1"/>
  <c r="A317" i="1"/>
  <c r="B317" i="1"/>
  <c r="C317" i="1"/>
  <c r="D317" i="1"/>
  <c r="Q317" i="1"/>
  <c r="R317" i="1"/>
  <c r="E317" i="1"/>
  <c r="G317" i="1"/>
  <c r="H317" i="1"/>
  <c r="J317" i="1"/>
  <c r="K317" i="1"/>
  <c r="L317" i="1"/>
  <c r="A318" i="1"/>
  <c r="B318" i="1"/>
  <c r="C318" i="1"/>
  <c r="D318" i="1"/>
  <c r="Q318" i="1"/>
  <c r="R318" i="1"/>
  <c r="E318" i="1"/>
  <c r="G318" i="1"/>
  <c r="H318" i="1"/>
  <c r="J318" i="1"/>
  <c r="K318" i="1"/>
  <c r="L318" i="1"/>
  <c r="A319" i="1"/>
  <c r="B319" i="1"/>
  <c r="C319" i="1"/>
  <c r="D319" i="1"/>
  <c r="Q319" i="1"/>
  <c r="R319" i="1"/>
  <c r="E319" i="1"/>
  <c r="G319" i="1"/>
  <c r="H319" i="1"/>
  <c r="J319" i="1"/>
  <c r="K319" i="1"/>
  <c r="L319" i="1"/>
  <c r="A320" i="1"/>
  <c r="B320" i="1"/>
  <c r="C320" i="1"/>
  <c r="D320" i="1"/>
  <c r="Q320" i="1"/>
  <c r="R320" i="1"/>
  <c r="E320" i="1"/>
  <c r="G320" i="1"/>
  <c r="H320" i="1"/>
  <c r="J320" i="1"/>
  <c r="K320" i="1"/>
  <c r="L320" i="1"/>
  <c r="A321" i="1"/>
  <c r="B321" i="1"/>
  <c r="C321" i="1"/>
  <c r="D321" i="1"/>
  <c r="Q321" i="1"/>
  <c r="R321" i="1"/>
  <c r="E321" i="1"/>
  <c r="G321" i="1"/>
  <c r="H321" i="1"/>
  <c r="J321" i="1"/>
  <c r="K321" i="1"/>
  <c r="L321" i="1"/>
  <c r="A322" i="1"/>
  <c r="B322" i="1"/>
  <c r="C322" i="1"/>
  <c r="D322" i="1"/>
  <c r="Q322" i="1"/>
  <c r="R322" i="1"/>
  <c r="E322" i="1"/>
  <c r="G322" i="1"/>
  <c r="H322" i="1"/>
  <c r="J322" i="1"/>
  <c r="K322" i="1"/>
  <c r="L322" i="1"/>
  <c r="A323" i="1"/>
  <c r="B323" i="1"/>
  <c r="C323" i="1"/>
  <c r="D323" i="1"/>
  <c r="Q323" i="1"/>
  <c r="R323" i="1"/>
  <c r="E323" i="1"/>
  <c r="G323" i="1"/>
  <c r="H323" i="1"/>
  <c r="J323" i="1"/>
  <c r="K323" i="1"/>
  <c r="L323" i="1"/>
  <c r="A324" i="1"/>
  <c r="B324" i="1"/>
  <c r="C324" i="1"/>
  <c r="D324" i="1"/>
  <c r="Q324" i="1"/>
  <c r="R324" i="1"/>
  <c r="E324" i="1"/>
  <c r="G324" i="1"/>
  <c r="H324" i="1"/>
  <c r="J324" i="1"/>
  <c r="K324" i="1"/>
  <c r="L324" i="1"/>
  <c r="A325" i="1"/>
  <c r="B325" i="1"/>
  <c r="C325" i="1"/>
  <c r="D325" i="1"/>
  <c r="Q325" i="1"/>
  <c r="R325" i="1"/>
  <c r="E325" i="1"/>
  <c r="G325" i="1"/>
  <c r="H325" i="1"/>
  <c r="J325" i="1"/>
  <c r="K325" i="1"/>
  <c r="L325" i="1"/>
  <c r="A326" i="1"/>
  <c r="B326" i="1"/>
  <c r="C326" i="1"/>
  <c r="D326" i="1"/>
  <c r="Q326" i="1"/>
  <c r="R326" i="1"/>
  <c r="E326" i="1"/>
  <c r="G326" i="1"/>
  <c r="H326" i="1"/>
  <c r="J326" i="1"/>
  <c r="K326" i="1"/>
  <c r="L326" i="1"/>
  <c r="A327" i="1"/>
  <c r="B327" i="1"/>
  <c r="C327" i="1"/>
  <c r="D327" i="1"/>
  <c r="Q327" i="1"/>
  <c r="R327" i="1"/>
  <c r="E327" i="1"/>
  <c r="G327" i="1"/>
  <c r="H327" i="1"/>
  <c r="J327" i="1"/>
  <c r="K327" i="1"/>
  <c r="L327" i="1"/>
  <c r="A328" i="1"/>
  <c r="B328" i="1"/>
  <c r="C328" i="1"/>
  <c r="D328" i="1"/>
  <c r="Q328" i="1"/>
  <c r="R328" i="1"/>
  <c r="E328" i="1"/>
  <c r="G328" i="1"/>
  <c r="H328" i="1"/>
  <c r="J328" i="1"/>
  <c r="K328" i="1"/>
  <c r="L328" i="1"/>
  <c r="A329" i="1"/>
  <c r="B329" i="1"/>
  <c r="C329" i="1"/>
  <c r="D329" i="1"/>
  <c r="Q329" i="1"/>
  <c r="R329" i="1"/>
  <c r="E329" i="1"/>
  <c r="G329" i="1"/>
  <c r="H329" i="1"/>
  <c r="J329" i="1"/>
  <c r="K329" i="1"/>
  <c r="L329" i="1"/>
  <c r="A330" i="1"/>
  <c r="B330" i="1"/>
  <c r="C330" i="1"/>
  <c r="D330" i="1"/>
  <c r="Q330" i="1"/>
  <c r="R330" i="1"/>
  <c r="E330" i="1"/>
  <c r="G330" i="1"/>
  <c r="H330" i="1"/>
  <c r="J330" i="1"/>
  <c r="K330" i="1"/>
  <c r="L330" i="1"/>
  <c r="A331" i="1"/>
  <c r="B331" i="1"/>
  <c r="C331" i="1"/>
  <c r="D331" i="1"/>
  <c r="Q331" i="1"/>
  <c r="R331" i="1"/>
  <c r="E331" i="1"/>
  <c r="G331" i="1"/>
  <c r="H331" i="1"/>
  <c r="J331" i="1"/>
  <c r="K331" i="1"/>
  <c r="L331" i="1"/>
  <c r="A332" i="1"/>
  <c r="B332" i="1"/>
  <c r="C332" i="1"/>
  <c r="D332" i="1"/>
  <c r="Q332" i="1"/>
  <c r="R332" i="1"/>
  <c r="E332" i="1"/>
  <c r="G332" i="1"/>
  <c r="H332" i="1"/>
  <c r="J332" i="1"/>
  <c r="K332" i="1"/>
  <c r="L332" i="1"/>
  <c r="A333" i="1"/>
  <c r="B333" i="1"/>
  <c r="C333" i="1"/>
  <c r="D333" i="1"/>
  <c r="Q333" i="1"/>
  <c r="R333" i="1"/>
  <c r="E333" i="1"/>
  <c r="G333" i="1"/>
  <c r="H333" i="1"/>
  <c r="J333" i="1"/>
  <c r="K333" i="1"/>
  <c r="L333" i="1"/>
  <c r="A334" i="1"/>
  <c r="B334" i="1"/>
  <c r="C334" i="1"/>
  <c r="D334" i="1"/>
  <c r="Q334" i="1"/>
  <c r="R334" i="1"/>
  <c r="E334" i="1"/>
  <c r="G334" i="1"/>
  <c r="H334" i="1"/>
  <c r="J334" i="1"/>
  <c r="K334" i="1"/>
  <c r="L334" i="1"/>
  <c r="A335" i="1"/>
  <c r="B335" i="1"/>
  <c r="C335" i="1"/>
  <c r="D335" i="1"/>
  <c r="Q335" i="1"/>
  <c r="R335" i="1"/>
  <c r="E335" i="1"/>
  <c r="G335" i="1"/>
  <c r="H335" i="1"/>
  <c r="J335" i="1"/>
  <c r="K335" i="1"/>
  <c r="L335" i="1"/>
  <c r="A337" i="1"/>
  <c r="B337" i="1"/>
  <c r="C337" i="1"/>
  <c r="D337" i="1"/>
  <c r="Q337" i="1"/>
  <c r="R337" i="1"/>
  <c r="E337" i="1"/>
  <c r="G337" i="1"/>
  <c r="H337" i="1"/>
  <c r="J337" i="1"/>
  <c r="K337" i="1"/>
  <c r="L337" i="1"/>
  <c r="A338" i="1"/>
  <c r="B338" i="1"/>
  <c r="C338" i="1"/>
  <c r="D338" i="1"/>
  <c r="Q338" i="1"/>
  <c r="R338" i="1"/>
  <c r="E338" i="1"/>
  <c r="G338" i="1"/>
  <c r="H338" i="1"/>
  <c r="J338" i="1"/>
  <c r="K338" i="1"/>
  <c r="L338" i="1"/>
  <c r="A339" i="1"/>
  <c r="B339" i="1"/>
  <c r="C339" i="1"/>
  <c r="D339" i="1"/>
  <c r="Q339" i="1"/>
  <c r="R339" i="1"/>
  <c r="E339" i="1"/>
  <c r="G339" i="1"/>
  <c r="H339" i="1"/>
  <c r="J339" i="1"/>
  <c r="K339" i="1"/>
  <c r="L339" i="1"/>
  <c r="A340" i="1"/>
  <c r="B340" i="1"/>
  <c r="C340" i="1"/>
  <c r="D340" i="1"/>
  <c r="Q340" i="1"/>
  <c r="R340" i="1"/>
  <c r="E340" i="1"/>
  <c r="G340" i="1"/>
  <c r="H340" i="1"/>
  <c r="J340" i="1"/>
  <c r="K340" i="1"/>
  <c r="L340" i="1"/>
  <c r="A341" i="1"/>
  <c r="B341" i="1"/>
  <c r="C341" i="1"/>
  <c r="D341" i="1"/>
  <c r="Q341" i="1"/>
  <c r="R341" i="1"/>
  <c r="E341" i="1"/>
  <c r="G341" i="1"/>
  <c r="H341" i="1"/>
  <c r="J341" i="1"/>
  <c r="K341" i="1"/>
  <c r="L341" i="1"/>
  <c r="A342" i="1"/>
  <c r="B342" i="1"/>
  <c r="C342" i="1"/>
  <c r="D342" i="1"/>
  <c r="Q342" i="1"/>
  <c r="R342" i="1"/>
  <c r="E342" i="1"/>
  <c r="G342" i="1"/>
  <c r="H342" i="1"/>
  <c r="J342" i="1"/>
  <c r="K342" i="1"/>
  <c r="L342" i="1"/>
  <c r="A343" i="1"/>
  <c r="B343" i="1"/>
  <c r="C343" i="1"/>
  <c r="D343" i="1"/>
  <c r="Q343" i="1"/>
  <c r="R343" i="1"/>
  <c r="E343" i="1"/>
  <c r="G343" i="1"/>
  <c r="H343" i="1"/>
  <c r="J343" i="1"/>
  <c r="K343" i="1"/>
  <c r="L343" i="1"/>
  <c r="A344" i="1"/>
  <c r="B344" i="1"/>
  <c r="C344" i="1"/>
  <c r="D344" i="1"/>
  <c r="Q344" i="1"/>
  <c r="R344" i="1"/>
  <c r="E344" i="1"/>
  <c r="G344" i="1"/>
  <c r="H344" i="1"/>
  <c r="J344" i="1"/>
  <c r="K344" i="1"/>
  <c r="L344" i="1"/>
  <c r="A345" i="1"/>
  <c r="B345" i="1"/>
  <c r="C345" i="1"/>
  <c r="D345" i="1"/>
  <c r="Q345" i="1"/>
  <c r="R345" i="1"/>
  <c r="E345" i="1"/>
  <c r="G345" i="1"/>
  <c r="H345" i="1"/>
  <c r="J345" i="1"/>
  <c r="K345" i="1"/>
  <c r="L345" i="1"/>
  <c r="A346" i="1"/>
  <c r="B346" i="1"/>
  <c r="C346" i="1"/>
  <c r="D346" i="1"/>
  <c r="Q346" i="1"/>
  <c r="R346" i="1"/>
  <c r="E346" i="1"/>
  <c r="G346" i="1"/>
  <c r="H346" i="1"/>
  <c r="J346" i="1"/>
  <c r="K346" i="1"/>
  <c r="L346" i="1"/>
  <c r="A347" i="1"/>
  <c r="B347" i="1"/>
  <c r="C347" i="1"/>
  <c r="D347" i="1"/>
  <c r="Q347" i="1"/>
  <c r="R347" i="1"/>
  <c r="E347" i="1"/>
  <c r="G347" i="1"/>
  <c r="H347" i="1"/>
  <c r="J347" i="1"/>
  <c r="K347" i="1"/>
  <c r="L347" i="1"/>
  <c r="A348" i="1"/>
  <c r="B348" i="1"/>
  <c r="C348" i="1"/>
  <c r="D348" i="1"/>
  <c r="Q348" i="1"/>
  <c r="R348" i="1"/>
  <c r="E348" i="1"/>
  <c r="G348" i="1"/>
  <c r="H348" i="1"/>
  <c r="J348" i="1"/>
  <c r="K348" i="1"/>
  <c r="L348" i="1"/>
  <c r="A349" i="1"/>
  <c r="B349" i="1"/>
  <c r="C349" i="1"/>
  <c r="D349" i="1"/>
  <c r="Q349" i="1"/>
  <c r="R349" i="1"/>
  <c r="E349" i="1"/>
  <c r="G349" i="1"/>
  <c r="H349" i="1"/>
  <c r="J349" i="1"/>
  <c r="K349" i="1"/>
  <c r="L349" i="1"/>
  <c r="A350" i="1"/>
  <c r="B350" i="1"/>
  <c r="C350" i="1"/>
  <c r="D350" i="1"/>
  <c r="Q350" i="1"/>
  <c r="R350" i="1"/>
  <c r="E350" i="1"/>
  <c r="G350" i="1"/>
  <c r="H350" i="1"/>
  <c r="J350" i="1"/>
  <c r="K350" i="1"/>
  <c r="L350" i="1"/>
  <c r="A351" i="1"/>
  <c r="B351" i="1"/>
  <c r="C351" i="1"/>
  <c r="D351" i="1"/>
  <c r="Q351" i="1"/>
  <c r="R351" i="1"/>
  <c r="E351" i="1"/>
  <c r="G351" i="1"/>
  <c r="H351" i="1"/>
  <c r="J351" i="1"/>
  <c r="K351" i="1"/>
  <c r="L351" i="1"/>
  <c r="A352" i="1"/>
  <c r="B352" i="1"/>
  <c r="C352" i="1"/>
  <c r="D352" i="1"/>
  <c r="Q352" i="1"/>
  <c r="R352" i="1"/>
  <c r="E352" i="1"/>
  <c r="G352" i="1"/>
  <c r="H352" i="1"/>
  <c r="J352" i="1"/>
  <c r="K352" i="1"/>
  <c r="L352" i="1"/>
  <c r="A353" i="1"/>
  <c r="B353" i="1"/>
  <c r="C353" i="1"/>
  <c r="D353" i="1"/>
  <c r="Q353" i="1"/>
  <c r="R353" i="1"/>
  <c r="E353" i="1"/>
  <c r="G353" i="1"/>
  <c r="H353" i="1"/>
  <c r="J353" i="1"/>
  <c r="K353" i="1"/>
  <c r="L353" i="1"/>
  <c r="A354" i="1"/>
  <c r="B354" i="1"/>
  <c r="C354" i="1"/>
  <c r="D354" i="1"/>
  <c r="Q354" i="1"/>
  <c r="R354" i="1"/>
  <c r="E354" i="1"/>
  <c r="G354" i="1"/>
  <c r="H354" i="1"/>
  <c r="J354" i="1"/>
  <c r="K354" i="1"/>
  <c r="L354" i="1"/>
  <c r="A355" i="1"/>
  <c r="B355" i="1"/>
  <c r="C355" i="1"/>
  <c r="D355" i="1"/>
  <c r="Q355" i="1"/>
  <c r="R355" i="1"/>
  <c r="E355" i="1"/>
  <c r="G355" i="1"/>
  <c r="H355" i="1"/>
  <c r="J355" i="1"/>
  <c r="K355" i="1"/>
  <c r="L355" i="1"/>
  <c r="A356" i="1"/>
  <c r="B356" i="1"/>
  <c r="C356" i="1"/>
  <c r="D356" i="1"/>
  <c r="Q356" i="1"/>
  <c r="R356" i="1"/>
  <c r="E356" i="1"/>
  <c r="G356" i="1"/>
  <c r="H356" i="1"/>
  <c r="J356" i="1"/>
  <c r="K356" i="1"/>
  <c r="L356" i="1"/>
  <c r="A357" i="1"/>
  <c r="B357" i="1"/>
  <c r="C357" i="1"/>
  <c r="D357" i="1"/>
  <c r="Q357" i="1"/>
  <c r="R357" i="1"/>
  <c r="E357" i="1"/>
  <c r="G357" i="1"/>
  <c r="H357" i="1"/>
  <c r="J357" i="1"/>
  <c r="K357" i="1"/>
  <c r="L357" i="1"/>
  <c r="A358" i="1"/>
  <c r="B358" i="1"/>
  <c r="C358" i="1"/>
  <c r="D358" i="1"/>
  <c r="Q358" i="1"/>
  <c r="R358" i="1"/>
  <c r="E358" i="1"/>
  <c r="G358" i="1"/>
  <c r="H358" i="1"/>
  <c r="J358" i="1"/>
  <c r="K358" i="1"/>
  <c r="L358" i="1"/>
  <c r="A359" i="1"/>
  <c r="B359" i="1"/>
  <c r="C359" i="1"/>
  <c r="D359" i="1"/>
  <c r="Q359" i="1"/>
  <c r="R359" i="1"/>
  <c r="E359" i="1"/>
  <c r="G359" i="1"/>
  <c r="H359" i="1"/>
  <c r="J359" i="1"/>
  <c r="K359" i="1"/>
  <c r="L359" i="1"/>
  <c r="A360" i="1"/>
  <c r="B360" i="1"/>
  <c r="C360" i="1"/>
  <c r="D360" i="1"/>
  <c r="Q360" i="1"/>
  <c r="R360" i="1"/>
  <c r="E360" i="1"/>
  <c r="G360" i="1"/>
  <c r="H360" i="1"/>
  <c r="J360" i="1"/>
  <c r="K360" i="1"/>
  <c r="L360" i="1"/>
  <c r="A361" i="1"/>
  <c r="B361" i="1"/>
  <c r="C361" i="1"/>
  <c r="D361" i="1"/>
  <c r="Q361" i="1"/>
  <c r="R361" i="1"/>
  <c r="E361" i="1"/>
  <c r="G361" i="1"/>
  <c r="H361" i="1"/>
  <c r="J361" i="1"/>
  <c r="K361" i="1"/>
  <c r="L361" i="1"/>
  <c r="A362" i="1"/>
  <c r="B362" i="1"/>
  <c r="C362" i="1"/>
  <c r="D362" i="1"/>
  <c r="Q362" i="1"/>
  <c r="R362" i="1"/>
  <c r="E362" i="1"/>
  <c r="G362" i="1"/>
  <c r="H362" i="1"/>
  <c r="J362" i="1"/>
  <c r="K362" i="1"/>
  <c r="L362" i="1"/>
  <c r="A363" i="1"/>
  <c r="B363" i="1"/>
  <c r="C363" i="1"/>
  <c r="D363" i="1"/>
  <c r="Q363" i="1"/>
  <c r="R363" i="1"/>
  <c r="E363" i="1"/>
  <c r="G363" i="1"/>
  <c r="H363" i="1"/>
  <c r="J363" i="1"/>
  <c r="K363" i="1"/>
  <c r="L363" i="1"/>
  <c r="A364" i="1"/>
  <c r="B364" i="1"/>
  <c r="C364" i="1"/>
  <c r="D364" i="1"/>
  <c r="Q364" i="1"/>
  <c r="R364" i="1"/>
  <c r="E364" i="1"/>
  <c r="G364" i="1"/>
  <c r="H364" i="1"/>
  <c r="J364" i="1"/>
  <c r="K364" i="1"/>
  <c r="L364" i="1"/>
  <c r="A365" i="1"/>
  <c r="B365" i="1"/>
  <c r="C365" i="1"/>
  <c r="D365" i="1"/>
  <c r="Q365" i="1"/>
  <c r="R365" i="1"/>
  <c r="E365" i="1"/>
  <c r="G365" i="1"/>
  <c r="H365" i="1"/>
  <c r="J365" i="1"/>
  <c r="K365" i="1"/>
  <c r="L365" i="1"/>
  <c r="A366" i="1"/>
  <c r="B366" i="1"/>
  <c r="C366" i="1"/>
  <c r="D366" i="1"/>
  <c r="Q366" i="1"/>
  <c r="R366" i="1"/>
  <c r="E366" i="1"/>
  <c r="G366" i="1"/>
  <c r="H366" i="1"/>
  <c r="J366" i="1"/>
  <c r="K366" i="1"/>
  <c r="L366" i="1"/>
  <c r="A367" i="1"/>
  <c r="B367" i="1"/>
  <c r="C367" i="1"/>
  <c r="D367" i="1"/>
  <c r="Q367" i="1"/>
  <c r="R367" i="1"/>
  <c r="E367" i="1"/>
  <c r="G367" i="1"/>
  <c r="H367" i="1"/>
  <c r="J367" i="1"/>
  <c r="K367" i="1"/>
  <c r="L367" i="1"/>
  <c r="A368" i="1"/>
  <c r="B368" i="1"/>
  <c r="C368" i="1"/>
  <c r="D368" i="1"/>
  <c r="Q368" i="1"/>
  <c r="R368" i="1"/>
  <c r="E368" i="1"/>
  <c r="G368" i="1"/>
  <c r="H368" i="1"/>
  <c r="J368" i="1"/>
  <c r="K368" i="1"/>
  <c r="L368" i="1"/>
  <c r="A369" i="1"/>
  <c r="B369" i="1"/>
  <c r="C369" i="1"/>
  <c r="D369" i="1"/>
  <c r="Q369" i="1"/>
  <c r="R369" i="1"/>
  <c r="E369" i="1"/>
  <c r="G369" i="1"/>
  <c r="H369" i="1"/>
  <c r="J369" i="1"/>
  <c r="K369" i="1"/>
  <c r="L369" i="1"/>
  <c r="A370" i="1"/>
  <c r="B370" i="1"/>
  <c r="C370" i="1"/>
  <c r="D370" i="1"/>
  <c r="Q370" i="1"/>
  <c r="R370" i="1"/>
  <c r="E370" i="1"/>
  <c r="G370" i="1"/>
  <c r="H370" i="1"/>
  <c r="J370" i="1"/>
  <c r="K370" i="1"/>
  <c r="L370" i="1"/>
  <c r="A371" i="1"/>
  <c r="B371" i="1"/>
  <c r="C371" i="1"/>
  <c r="D371" i="1"/>
  <c r="Q371" i="1"/>
  <c r="R371" i="1"/>
  <c r="E371" i="1"/>
  <c r="G371" i="1"/>
  <c r="H371" i="1"/>
  <c r="J371" i="1"/>
  <c r="K371" i="1"/>
  <c r="L371" i="1"/>
  <c r="A372" i="1"/>
  <c r="B372" i="1"/>
  <c r="C372" i="1"/>
  <c r="D372" i="1"/>
  <c r="Q372" i="1"/>
  <c r="R372" i="1"/>
  <c r="E372" i="1"/>
  <c r="G372" i="1"/>
  <c r="H372" i="1"/>
  <c r="J372" i="1"/>
  <c r="K372" i="1"/>
  <c r="L372" i="1"/>
  <c r="A373" i="1"/>
  <c r="B373" i="1"/>
  <c r="C373" i="1"/>
  <c r="D373" i="1"/>
  <c r="Q373" i="1"/>
  <c r="R373" i="1"/>
  <c r="E373" i="1"/>
  <c r="G373" i="1"/>
  <c r="H373" i="1"/>
  <c r="J373" i="1"/>
  <c r="K373" i="1"/>
  <c r="L373" i="1"/>
  <c r="A374" i="1"/>
  <c r="B374" i="1"/>
  <c r="C374" i="1"/>
  <c r="D374" i="1"/>
  <c r="Q374" i="1"/>
  <c r="R374" i="1"/>
  <c r="E374" i="1"/>
  <c r="G374" i="1"/>
  <c r="H374" i="1"/>
  <c r="J374" i="1"/>
  <c r="K374" i="1"/>
  <c r="L374" i="1"/>
  <c r="A375" i="1"/>
  <c r="B375" i="1"/>
  <c r="C375" i="1"/>
  <c r="D375" i="1"/>
  <c r="Q375" i="1"/>
  <c r="R375" i="1"/>
  <c r="E375" i="1"/>
  <c r="G375" i="1"/>
  <c r="H375" i="1"/>
  <c r="J375" i="1"/>
  <c r="K375" i="1"/>
  <c r="L375" i="1"/>
  <c r="A376" i="1"/>
  <c r="B376" i="1"/>
  <c r="C376" i="1"/>
  <c r="D376" i="1"/>
  <c r="Q376" i="1"/>
  <c r="R376" i="1"/>
  <c r="E376" i="1"/>
  <c r="G376" i="1"/>
  <c r="H376" i="1"/>
  <c r="J376" i="1"/>
  <c r="K376" i="1"/>
  <c r="L376" i="1"/>
  <c r="A377" i="1"/>
  <c r="B377" i="1"/>
  <c r="C377" i="1"/>
  <c r="D377" i="1"/>
  <c r="Q377" i="1"/>
  <c r="R377" i="1"/>
  <c r="E377" i="1"/>
  <c r="G377" i="1"/>
  <c r="H377" i="1"/>
  <c r="J377" i="1"/>
  <c r="K377" i="1"/>
  <c r="L377" i="1"/>
  <c r="A378" i="1"/>
  <c r="B378" i="1"/>
  <c r="C378" i="1"/>
  <c r="D378" i="1"/>
  <c r="Q378" i="1"/>
  <c r="R378" i="1"/>
  <c r="E378" i="1"/>
  <c r="G378" i="1"/>
  <c r="H378" i="1"/>
  <c r="J378" i="1"/>
  <c r="K378" i="1"/>
  <c r="L378" i="1"/>
  <c r="A379" i="1"/>
  <c r="B379" i="1"/>
  <c r="C379" i="1"/>
  <c r="D379" i="1"/>
  <c r="Q379" i="1"/>
  <c r="R379" i="1"/>
  <c r="E379" i="1"/>
  <c r="G379" i="1"/>
  <c r="H379" i="1"/>
  <c r="J379" i="1"/>
  <c r="K379" i="1"/>
  <c r="L379" i="1"/>
  <c r="A380" i="1"/>
  <c r="B380" i="1"/>
  <c r="C380" i="1"/>
  <c r="D380" i="1"/>
  <c r="Q380" i="1"/>
  <c r="R380" i="1"/>
  <c r="E380" i="1"/>
  <c r="G380" i="1"/>
  <c r="H380" i="1"/>
  <c r="J380" i="1"/>
  <c r="K380" i="1"/>
  <c r="L380" i="1"/>
  <c r="A381" i="1"/>
  <c r="B381" i="1"/>
  <c r="C381" i="1"/>
  <c r="D381" i="1"/>
  <c r="Q381" i="1"/>
  <c r="R381" i="1"/>
  <c r="E381" i="1"/>
  <c r="G381" i="1"/>
  <c r="H381" i="1"/>
  <c r="J381" i="1"/>
  <c r="K381" i="1"/>
  <c r="L381" i="1"/>
  <c r="A382" i="1"/>
  <c r="B382" i="1"/>
  <c r="C382" i="1"/>
  <c r="D382" i="1"/>
  <c r="Q382" i="1"/>
  <c r="R382" i="1"/>
  <c r="E382" i="1"/>
  <c r="G382" i="1"/>
  <c r="H382" i="1"/>
  <c r="J382" i="1"/>
  <c r="K382" i="1"/>
  <c r="L382" i="1"/>
  <c r="A383" i="1"/>
  <c r="B383" i="1"/>
  <c r="C383" i="1"/>
  <c r="D383" i="1"/>
  <c r="Q383" i="1"/>
  <c r="R383" i="1"/>
  <c r="E383" i="1"/>
  <c r="G383" i="1"/>
  <c r="H383" i="1"/>
  <c r="J383" i="1"/>
  <c r="K383" i="1"/>
  <c r="L383" i="1"/>
  <c r="A1424" i="1"/>
  <c r="B1424" i="1"/>
  <c r="C1424" i="1"/>
  <c r="D1424" i="1"/>
  <c r="Q1424" i="1"/>
  <c r="R1424" i="1"/>
  <c r="E1424" i="1"/>
  <c r="G1424" i="1"/>
  <c r="H1424" i="1"/>
  <c r="J1424" i="1"/>
  <c r="K1424" i="1"/>
  <c r="L1424" i="1"/>
  <c r="A276" i="1"/>
  <c r="B276" i="1"/>
  <c r="C276" i="1"/>
  <c r="D276" i="1"/>
  <c r="Q276" i="1"/>
  <c r="R276" i="1"/>
  <c r="E276" i="1"/>
  <c r="G276" i="1"/>
  <c r="H276" i="1"/>
  <c r="J276" i="1"/>
  <c r="K276" i="1"/>
  <c r="L276" i="1"/>
  <c r="A406" i="1"/>
  <c r="B406" i="1"/>
  <c r="C406" i="1"/>
  <c r="D406" i="1"/>
  <c r="Q406" i="1"/>
  <c r="R406" i="1"/>
  <c r="E406" i="1"/>
  <c r="F406" i="1"/>
  <c r="G406" i="1"/>
  <c r="H406" i="1"/>
  <c r="J406" i="1"/>
  <c r="K406" i="1"/>
  <c r="L406" i="1"/>
  <c r="A407" i="1"/>
  <c r="B407" i="1"/>
  <c r="C407" i="1"/>
  <c r="D407" i="1"/>
  <c r="Q407" i="1"/>
  <c r="R407" i="1"/>
  <c r="E407" i="1"/>
  <c r="G407" i="1"/>
  <c r="H407" i="1"/>
  <c r="J407" i="1"/>
  <c r="K407" i="1"/>
  <c r="L407" i="1"/>
  <c r="A408" i="1"/>
  <c r="B408" i="1"/>
  <c r="C408" i="1"/>
  <c r="D408" i="1"/>
  <c r="Q408" i="1"/>
  <c r="R408" i="1"/>
  <c r="E408" i="1"/>
  <c r="G408" i="1"/>
  <c r="H408" i="1"/>
  <c r="J408" i="1"/>
  <c r="K408" i="1"/>
  <c r="L408" i="1"/>
  <c r="A444" i="1"/>
  <c r="B444" i="1"/>
  <c r="C444" i="1"/>
  <c r="D444" i="1"/>
  <c r="Q444" i="1"/>
  <c r="R444" i="1"/>
  <c r="E444" i="1"/>
  <c r="G444" i="1"/>
  <c r="H444" i="1"/>
  <c r="J444" i="1"/>
  <c r="K444" i="1"/>
  <c r="L444" i="1"/>
  <c r="A409" i="1"/>
  <c r="B409" i="1"/>
  <c r="C409" i="1"/>
  <c r="D409" i="1"/>
  <c r="Q409" i="1"/>
  <c r="R409" i="1"/>
  <c r="E409" i="1"/>
  <c r="F409" i="1"/>
  <c r="G409" i="1"/>
  <c r="H409" i="1"/>
  <c r="J409" i="1"/>
  <c r="K409" i="1"/>
  <c r="L409" i="1"/>
  <c r="A787" i="1"/>
  <c r="B787" i="1"/>
  <c r="C787" i="1"/>
  <c r="D787" i="1"/>
  <c r="Q787" i="1"/>
  <c r="R787" i="1"/>
  <c r="E787" i="1"/>
  <c r="G787" i="1"/>
  <c r="H787" i="1"/>
  <c r="J787" i="1"/>
  <c r="K787" i="1"/>
  <c r="L787" i="1"/>
  <c r="A788" i="1"/>
  <c r="B788" i="1"/>
  <c r="C788" i="1"/>
  <c r="D788" i="1"/>
  <c r="Q788" i="1"/>
  <c r="R788" i="1"/>
  <c r="E788" i="1"/>
  <c r="G788" i="1"/>
  <c r="H788" i="1"/>
  <c r="J788" i="1"/>
  <c r="K788" i="1"/>
  <c r="L788" i="1"/>
  <c r="A789" i="1"/>
  <c r="B789" i="1"/>
  <c r="C789" i="1"/>
  <c r="D789" i="1"/>
  <c r="Q789" i="1"/>
  <c r="R789" i="1"/>
  <c r="E789" i="1"/>
  <c r="G789" i="1"/>
  <c r="H789" i="1"/>
  <c r="J789" i="1"/>
  <c r="K789" i="1"/>
  <c r="L789" i="1"/>
  <c r="A410" i="1"/>
  <c r="B410" i="1"/>
  <c r="C410" i="1"/>
  <c r="D410" i="1"/>
  <c r="Q410" i="1"/>
  <c r="R410" i="1"/>
  <c r="E410" i="1"/>
  <c r="G410" i="1"/>
  <c r="H410" i="1"/>
  <c r="J410" i="1"/>
  <c r="K410" i="1"/>
  <c r="L410" i="1"/>
  <c r="A411" i="1"/>
  <c r="B411" i="1"/>
  <c r="C411" i="1"/>
  <c r="D411" i="1"/>
  <c r="Q411" i="1"/>
  <c r="R411" i="1"/>
  <c r="E411" i="1"/>
  <c r="G411" i="1"/>
  <c r="H411" i="1"/>
  <c r="J411" i="1"/>
  <c r="K411" i="1"/>
  <c r="L411" i="1"/>
  <c r="A412" i="1"/>
  <c r="B412" i="1"/>
  <c r="C412" i="1"/>
  <c r="D412" i="1"/>
  <c r="Q412" i="1"/>
  <c r="R412" i="1"/>
  <c r="E412" i="1"/>
  <c r="G412" i="1"/>
  <c r="H412" i="1"/>
  <c r="J412" i="1"/>
  <c r="K412" i="1"/>
  <c r="L412" i="1"/>
  <c r="A413" i="1"/>
  <c r="B413" i="1"/>
  <c r="C413" i="1"/>
  <c r="D413" i="1"/>
  <c r="Q413" i="1"/>
  <c r="R413" i="1"/>
  <c r="E413" i="1"/>
  <c r="G413" i="1"/>
  <c r="H413" i="1"/>
  <c r="J413" i="1"/>
  <c r="K413" i="1"/>
  <c r="L413" i="1"/>
  <c r="A414" i="1"/>
  <c r="B414" i="1"/>
  <c r="C414" i="1"/>
  <c r="D414" i="1"/>
  <c r="Q414" i="1"/>
  <c r="R414" i="1"/>
  <c r="E414" i="1"/>
  <c r="G414" i="1"/>
  <c r="H414" i="1"/>
  <c r="J414" i="1"/>
  <c r="K414" i="1"/>
  <c r="L414" i="1"/>
  <c r="A415" i="1"/>
  <c r="B415" i="1"/>
  <c r="C415" i="1"/>
  <c r="D415" i="1"/>
  <c r="Q415" i="1"/>
  <c r="R415" i="1"/>
  <c r="E415" i="1"/>
  <c r="G415" i="1"/>
  <c r="H415" i="1"/>
  <c r="J415" i="1"/>
  <c r="K415" i="1"/>
  <c r="L415" i="1"/>
  <c r="A416" i="1"/>
  <c r="B416" i="1"/>
  <c r="C416" i="1"/>
  <c r="D416" i="1"/>
  <c r="Q416" i="1"/>
  <c r="R416" i="1"/>
  <c r="E416" i="1"/>
  <c r="G416" i="1"/>
  <c r="H416" i="1"/>
  <c r="J416" i="1"/>
  <c r="K416" i="1"/>
  <c r="L416" i="1"/>
  <c r="A417" i="1"/>
  <c r="B417" i="1"/>
  <c r="C417" i="1"/>
  <c r="D417" i="1"/>
  <c r="Q417" i="1"/>
  <c r="R417" i="1"/>
  <c r="E417" i="1"/>
  <c r="G417" i="1"/>
  <c r="H417" i="1"/>
  <c r="J417" i="1"/>
  <c r="K417" i="1"/>
  <c r="L417" i="1"/>
  <c r="A418" i="1"/>
  <c r="B418" i="1"/>
  <c r="C418" i="1"/>
  <c r="D418" i="1"/>
  <c r="Q418" i="1"/>
  <c r="R418" i="1"/>
  <c r="E418" i="1"/>
  <c r="G418" i="1"/>
  <c r="H418" i="1"/>
  <c r="J418" i="1"/>
  <c r="K418" i="1"/>
  <c r="L418" i="1"/>
  <c r="A419" i="1"/>
  <c r="B419" i="1"/>
  <c r="C419" i="1"/>
  <c r="D419" i="1"/>
  <c r="Q419" i="1"/>
  <c r="R419" i="1"/>
  <c r="E419" i="1"/>
  <c r="G419" i="1"/>
  <c r="H419" i="1"/>
  <c r="J419" i="1"/>
  <c r="K419" i="1"/>
  <c r="L419" i="1"/>
  <c r="A420" i="1"/>
  <c r="B420" i="1"/>
  <c r="C420" i="1"/>
  <c r="D420" i="1"/>
  <c r="Q420" i="1"/>
  <c r="R420" i="1"/>
  <c r="E420" i="1"/>
  <c r="G420" i="1"/>
  <c r="H420" i="1"/>
  <c r="J420" i="1"/>
  <c r="K420" i="1"/>
  <c r="L420" i="1"/>
  <c r="A421" i="1"/>
  <c r="B421" i="1"/>
  <c r="C421" i="1"/>
  <c r="D421" i="1"/>
  <c r="Q421" i="1"/>
  <c r="R421" i="1"/>
  <c r="E421" i="1"/>
  <c r="G421" i="1"/>
  <c r="H421" i="1"/>
  <c r="J421" i="1"/>
  <c r="K421" i="1"/>
  <c r="L421" i="1"/>
  <c r="A422" i="1"/>
  <c r="B422" i="1"/>
  <c r="C422" i="1"/>
  <c r="D422" i="1"/>
  <c r="Q422" i="1"/>
  <c r="R422" i="1"/>
  <c r="E422" i="1"/>
  <c r="G422" i="1"/>
  <c r="H422" i="1"/>
  <c r="J422" i="1"/>
  <c r="K422" i="1"/>
  <c r="L422" i="1"/>
  <c r="A423" i="1"/>
  <c r="B423" i="1"/>
  <c r="C423" i="1"/>
  <c r="D423" i="1"/>
  <c r="Q423" i="1"/>
  <c r="R423" i="1"/>
  <c r="E423" i="1"/>
  <c r="G423" i="1"/>
  <c r="H423" i="1"/>
  <c r="J423" i="1"/>
  <c r="K423" i="1"/>
  <c r="L423" i="1"/>
  <c r="A424" i="1"/>
  <c r="B424" i="1"/>
  <c r="C424" i="1"/>
  <c r="D424" i="1"/>
  <c r="Q424" i="1"/>
  <c r="R424" i="1"/>
  <c r="E424" i="1"/>
  <c r="G424" i="1"/>
  <c r="H424" i="1"/>
  <c r="J424" i="1"/>
  <c r="K424" i="1"/>
  <c r="L424" i="1"/>
  <c r="A425" i="1"/>
  <c r="B425" i="1"/>
  <c r="C425" i="1"/>
  <c r="D425" i="1"/>
  <c r="Q425" i="1"/>
  <c r="R425" i="1"/>
  <c r="E425" i="1"/>
  <c r="G425" i="1"/>
  <c r="H425" i="1"/>
  <c r="J425" i="1"/>
  <c r="K425" i="1"/>
  <c r="L425" i="1"/>
  <c r="A426" i="1"/>
  <c r="B426" i="1"/>
  <c r="C426" i="1"/>
  <c r="D426" i="1"/>
  <c r="Q426" i="1"/>
  <c r="R426" i="1"/>
  <c r="E426" i="1"/>
  <c r="G426" i="1"/>
  <c r="H426" i="1"/>
  <c r="J426" i="1"/>
  <c r="K426" i="1"/>
  <c r="L426" i="1"/>
  <c r="A427" i="1"/>
  <c r="B427" i="1"/>
  <c r="C427" i="1"/>
  <c r="D427" i="1"/>
  <c r="Q427" i="1"/>
  <c r="R427" i="1"/>
  <c r="E427" i="1"/>
  <c r="G427" i="1"/>
  <c r="H427" i="1"/>
  <c r="J427" i="1"/>
  <c r="K427" i="1"/>
  <c r="L427" i="1"/>
  <c r="A428" i="1"/>
  <c r="B428" i="1"/>
  <c r="C428" i="1"/>
  <c r="D428" i="1"/>
  <c r="Q428" i="1"/>
  <c r="R428" i="1"/>
  <c r="E428" i="1"/>
  <c r="G428" i="1"/>
  <c r="H428" i="1"/>
  <c r="J428" i="1"/>
  <c r="K428" i="1"/>
  <c r="L428" i="1"/>
  <c r="A429" i="1"/>
  <c r="B429" i="1"/>
  <c r="C429" i="1"/>
  <c r="D429" i="1"/>
  <c r="Q429" i="1"/>
  <c r="R429" i="1"/>
  <c r="E429" i="1"/>
  <c r="G429" i="1"/>
  <c r="H429" i="1"/>
  <c r="J429" i="1"/>
  <c r="K429" i="1"/>
  <c r="L429" i="1"/>
  <c r="A430" i="1"/>
  <c r="B430" i="1"/>
  <c r="C430" i="1"/>
  <c r="D430" i="1"/>
  <c r="Q430" i="1"/>
  <c r="R430" i="1"/>
  <c r="E430" i="1"/>
  <c r="G430" i="1"/>
  <c r="H430" i="1"/>
  <c r="J430" i="1"/>
  <c r="K430" i="1"/>
  <c r="L430" i="1"/>
  <c r="A431" i="1"/>
  <c r="B431" i="1"/>
  <c r="C431" i="1"/>
  <c r="D431" i="1"/>
  <c r="Q431" i="1"/>
  <c r="R431" i="1"/>
  <c r="E431" i="1"/>
  <c r="G431" i="1"/>
  <c r="H431" i="1"/>
  <c r="J431" i="1"/>
  <c r="K431" i="1"/>
  <c r="L431" i="1"/>
  <c r="A432" i="1"/>
  <c r="B432" i="1"/>
  <c r="C432" i="1"/>
  <c r="D432" i="1"/>
  <c r="Q432" i="1"/>
  <c r="R432" i="1"/>
  <c r="E432" i="1"/>
  <c r="G432" i="1"/>
  <c r="H432" i="1"/>
  <c r="J432" i="1"/>
  <c r="K432" i="1"/>
  <c r="L432" i="1"/>
  <c r="A433" i="1"/>
  <c r="B433" i="1"/>
  <c r="C433" i="1"/>
  <c r="D433" i="1"/>
  <c r="Q433" i="1"/>
  <c r="R433" i="1"/>
  <c r="E433" i="1"/>
  <c r="G433" i="1"/>
  <c r="H433" i="1"/>
  <c r="J433" i="1"/>
  <c r="K433" i="1"/>
  <c r="L433" i="1"/>
  <c r="A434" i="1"/>
  <c r="B434" i="1"/>
  <c r="C434" i="1"/>
  <c r="D434" i="1"/>
  <c r="Q434" i="1"/>
  <c r="R434" i="1"/>
  <c r="E434" i="1"/>
  <c r="F434" i="1"/>
  <c r="G434" i="1"/>
  <c r="H434" i="1"/>
  <c r="J434" i="1"/>
  <c r="K434" i="1"/>
  <c r="L434" i="1"/>
  <c r="A435" i="1"/>
  <c r="B435" i="1"/>
  <c r="C435" i="1"/>
  <c r="D435" i="1"/>
  <c r="Q435" i="1"/>
  <c r="R435" i="1"/>
  <c r="E435" i="1"/>
  <c r="F435" i="1"/>
  <c r="G435" i="1"/>
  <c r="H435" i="1"/>
  <c r="J435" i="1"/>
  <c r="K435" i="1"/>
  <c r="L435" i="1"/>
  <c r="A436" i="1"/>
  <c r="B436" i="1"/>
  <c r="C436" i="1"/>
  <c r="D436" i="1"/>
  <c r="Q436" i="1"/>
  <c r="R436" i="1"/>
  <c r="E436" i="1"/>
  <c r="F436" i="1"/>
  <c r="G436" i="1"/>
  <c r="H436" i="1"/>
  <c r="J436" i="1"/>
  <c r="K436" i="1"/>
  <c r="L436" i="1"/>
  <c r="A437" i="1"/>
  <c r="B437" i="1"/>
  <c r="C437" i="1"/>
  <c r="D437" i="1"/>
  <c r="Q437" i="1"/>
  <c r="R437" i="1"/>
  <c r="E437" i="1"/>
  <c r="F437" i="1"/>
  <c r="G437" i="1"/>
  <c r="H437" i="1"/>
  <c r="J437" i="1"/>
  <c r="K437" i="1"/>
  <c r="L437" i="1"/>
  <c r="A438" i="1"/>
  <c r="B438" i="1"/>
  <c r="C438" i="1"/>
  <c r="D438" i="1"/>
  <c r="Q438" i="1"/>
  <c r="R438" i="1"/>
  <c r="E438" i="1"/>
  <c r="F438" i="1"/>
  <c r="G438" i="1"/>
  <c r="H438" i="1"/>
  <c r="J438" i="1"/>
  <c r="K438" i="1"/>
  <c r="L438" i="1"/>
  <c r="A439" i="1"/>
  <c r="B439" i="1"/>
  <c r="C439" i="1"/>
  <c r="D439" i="1"/>
  <c r="Q439" i="1"/>
  <c r="R439" i="1"/>
  <c r="E439" i="1"/>
  <c r="F439" i="1"/>
  <c r="G439" i="1"/>
  <c r="H439" i="1"/>
  <c r="J439" i="1"/>
  <c r="K439" i="1"/>
  <c r="L439" i="1"/>
  <c r="A440" i="1"/>
  <c r="B440" i="1"/>
  <c r="C440" i="1"/>
  <c r="D440" i="1"/>
  <c r="Q440" i="1"/>
  <c r="R440" i="1"/>
  <c r="E440" i="1"/>
  <c r="G440" i="1"/>
  <c r="H440" i="1"/>
  <c r="J440" i="1"/>
  <c r="K440" i="1"/>
  <c r="L440" i="1"/>
  <c r="A441" i="1"/>
  <c r="B441" i="1"/>
  <c r="C441" i="1"/>
  <c r="D441" i="1"/>
  <c r="Q441" i="1"/>
  <c r="R441" i="1"/>
  <c r="E441" i="1"/>
  <c r="G441" i="1"/>
  <c r="H441" i="1"/>
  <c r="J441" i="1"/>
  <c r="K441" i="1"/>
  <c r="L441" i="1"/>
  <c r="A442" i="1"/>
  <c r="B442" i="1"/>
  <c r="C442" i="1"/>
  <c r="D442" i="1"/>
  <c r="Q442" i="1"/>
  <c r="R442" i="1"/>
  <c r="E442" i="1"/>
  <c r="F442" i="1"/>
  <c r="G442" i="1"/>
  <c r="H442" i="1"/>
  <c r="J442" i="1"/>
  <c r="K442" i="1"/>
  <c r="L442" i="1"/>
  <c r="A443" i="1"/>
  <c r="B443" i="1"/>
  <c r="C443" i="1"/>
  <c r="D443" i="1"/>
  <c r="Q443" i="1"/>
  <c r="R443" i="1"/>
  <c r="E443" i="1"/>
  <c r="F443" i="1"/>
  <c r="G443" i="1"/>
  <c r="H443" i="1"/>
  <c r="J443" i="1"/>
  <c r="K443" i="1"/>
  <c r="L443" i="1"/>
  <c r="A484" i="1"/>
  <c r="B484" i="1"/>
  <c r="C484" i="1"/>
  <c r="D484" i="1"/>
  <c r="Q484" i="1"/>
  <c r="R484" i="1"/>
  <c r="E484" i="1"/>
  <c r="G484" i="1"/>
  <c r="H484" i="1"/>
  <c r="J484" i="1"/>
  <c r="K484" i="1"/>
  <c r="L484" i="1"/>
  <c r="A485" i="1"/>
  <c r="B485" i="1"/>
  <c r="C485" i="1"/>
  <c r="D485" i="1"/>
  <c r="Q485" i="1"/>
  <c r="R485" i="1"/>
  <c r="E485" i="1"/>
  <c r="G485" i="1"/>
  <c r="H485" i="1"/>
  <c r="J485" i="1"/>
  <c r="K485" i="1"/>
  <c r="L485" i="1"/>
  <c r="A486" i="1"/>
  <c r="B486" i="1"/>
  <c r="C486" i="1"/>
  <c r="D486" i="1"/>
  <c r="Q486" i="1"/>
  <c r="R486" i="1"/>
  <c r="E486" i="1"/>
  <c r="G486" i="1"/>
  <c r="H486" i="1"/>
  <c r="J486" i="1"/>
  <c r="K486" i="1"/>
  <c r="L486" i="1"/>
  <c r="A487" i="1"/>
  <c r="B487" i="1"/>
  <c r="C487" i="1"/>
  <c r="D487" i="1"/>
  <c r="Q487" i="1"/>
  <c r="R487" i="1"/>
  <c r="E487" i="1"/>
  <c r="G487" i="1"/>
  <c r="H487" i="1"/>
  <c r="J487" i="1"/>
  <c r="K487" i="1"/>
  <c r="L487" i="1"/>
  <c r="A488" i="1"/>
  <c r="B488" i="1"/>
  <c r="C488" i="1"/>
  <c r="D488" i="1"/>
  <c r="Q488" i="1"/>
  <c r="R488" i="1"/>
  <c r="E488" i="1"/>
  <c r="G488" i="1"/>
  <c r="H488" i="1"/>
  <c r="J488" i="1"/>
  <c r="K488" i="1"/>
  <c r="L488" i="1"/>
  <c r="A489" i="1"/>
  <c r="B489" i="1"/>
  <c r="C489" i="1"/>
  <c r="D489" i="1"/>
  <c r="Q489" i="1"/>
  <c r="R489" i="1"/>
  <c r="E489" i="1"/>
  <c r="G489" i="1"/>
  <c r="H489" i="1"/>
  <c r="J489" i="1"/>
  <c r="K489" i="1"/>
  <c r="L489" i="1"/>
  <c r="A490" i="1"/>
  <c r="B490" i="1"/>
  <c r="C490" i="1"/>
  <c r="D490" i="1"/>
  <c r="Q490" i="1"/>
  <c r="R490" i="1"/>
  <c r="E490" i="1"/>
  <c r="G490" i="1"/>
  <c r="H490" i="1"/>
  <c r="J490" i="1"/>
  <c r="K490" i="1"/>
  <c r="L490" i="1"/>
  <c r="A491" i="1"/>
  <c r="B491" i="1"/>
  <c r="C491" i="1"/>
  <c r="D491" i="1"/>
  <c r="Q491" i="1"/>
  <c r="R491" i="1"/>
  <c r="E491" i="1"/>
  <c r="G491" i="1"/>
  <c r="H491" i="1"/>
  <c r="J491" i="1"/>
  <c r="K491" i="1"/>
  <c r="L491" i="1"/>
  <c r="A492" i="1"/>
  <c r="B492" i="1"/>
  <c r="C492" i="1"/>
  <c r="D492" i="1"/>
  <c r="Q492" i="1"/>
  <c r="R492" i="1"/>
  <c r="E492" i="1"/>
  <c r="G492" i="1"/>
  <c r="H492" i="1"/>
  <c r="J492" i="1"/>
  <c r="K492" i="1"/>
  <c r="L492" i="1"/>
  <c r="A493" i="1"/>
  <c r="B493" i="1"/>
  <c r="C493" i="1"/>
  <c r="D493" i="1"/>
  <c r="Q493" i="1"/>
  <c r="R493" i="1"/>
  <c r="E493" i="1"/>
  <c r="G493" i="1"/>
  <c r="H493" i="1"/>
  <c r="J493" i="1"/>
  <c r="K493" i="1"/>
  <c r="L493" i="1"/>
  <c r="A8404" i="1"/>
  <c r="B8404" i="1"/>
  <c r="C8404" i="1"/>
  <c r="D8404" i="1"/>
  <c r="Q8404" i="1"/>
  <c r="R8404" i="1"/>
  <c r="E8404" i="1"/>
  <c r="G8404" i="1"/>
  <c r="H8404" i="1"/>
  <c r="J8404" i="1"/>
  <c r="K8404" i="1"/>
  <c r="L8404" i="1"/>
  <c r="A446" i="1"/>
  <c r="B446" i="1"/>
  <c r="C446" i="1"/>
  <c r="D446" i="1"/>
  <c r="Q446" i="1"/>
  <c r="R446" i="1"/>
  <c r="E446" i="1"/>
  <c r="G446" i="1"/>
  <c r="H446" i="1"/>
  <c r="J446" i="1"/>
  <c r="K446" i="1"/>
  <c r="L446" i="1"/>
  <c r="A447" i="1"/>
  <c r="B447" i="1"/>
  <c r="C447" i="1"/>
  <c r="D447" i="1"/>
  <c r="Q447" i="1"/>
  <c r="R447" i="1"/>
  <c r="E447" i="1"/>
  <c r="G447" i="1"/>
  <c r="H447" i="1"/>
  <c r="J447" i="1"/>
  <c r="K447" i="1"/>
  <c r="L447" i="1"/>
  <c r="A448" i="1"/>
  <c r="B448" i="1"/>
  <c r="C448" i="1"/>
  <c r="D448" i="1"/>
  <c r="Q448" i="1"/>
  <c r="R448" i="1"/>
  <c r="E448" i="1"/>
  <c r="G448" i="1"/>
  <c r="H448" i="1"/>
  <c r="J448" i="1"/>
  <c r="K448" i="1"/>
  <c r="L448" i="1"/>
  <c r="A449" i="1"/>
  <c r="B449" i="1"/>
  <c r="C449" i="1"/>
  <c r="D449" i="1"/>
  <c r="Q449" i="1"/>
  <c r="R449" i="1"/>
  <c r="E449" i="1"/>
  <c r="G449" i="1"/>
  <c r="H449" i="1"/>
  <c r="J449" i="1"/>
  <c r="K449" i="1"/>
  <c r="L449" i="1"/>
  <c r="A450" i="1"/>
  <c r="B450" i="1"/>
  <c r="C450" i="1"/>
  <c r="D450" i="1"/>
  <c r="Q450" i="1"/>
  <c r="R450" i="1"/>
  <c r="E450" i="1"/>
  <c r="G450" i="1"/>
  <c r="H450" i="1"/>
  <c r="J450" i="1"/>
  <c r="K450" i="1"/>
  <c r="L450" i="1"/>
  <c r="A451" i="1"/>
  <c r="B451" i="1"/>
  <c r="C451" i="1"/>
  <c r="D451" i="1"/>
  <c r="Q451" i="1"/>
  <c r="R451" i="1"/>
  <c r="E451" i="1"/>
  <c r="G451" i="1"/>
  <c r="H451" i="1"/>
  <c r="J451" i="1"/>
  <c r="K451" i="1"/>
  <c r="L451" i="1"/>
  <c r="A452" i="1"/>
  <c r="B452" i="1"/>
  <c r="C452" i="1"/>
  <c r="D452" i="1"/>
  <c r="Q452" i="1"/>
  <c r="R452" i="1"/>
  <c r="E452" i="1"/>
  <c r="G452" i="1"/>
  <c r="H452" i="1"/>
  <c r="J452" i="1"/>
  <c r="K452" i="1"/>
  <c r="L452" i="1"/>
  <c r="A453" i="1"/>
  <c r="B453" i="1"/>
  <c r="C453" i="1"/>
  <c r="D453" i="1"/>
  <c r="Q453" i="1"/>
  <c r="R453" i="1"/>
  <c r="E453" i="1"/>
  <c r="G453" i="1"/>
  <c r="H453" i="1"/>
  <c r="J453" i="1"/>
  <c r="K453" i="1"/>
  <c r="L453" i="1"/>
  <c r="A454" i="1"/>
  <c r="B454" i="1"/>
  <c r="C454" i="1"/>
  <c r="D454" i="1"/>
  <c r="Q454" i="1"/>
  <c r="R454" i="1"/>
  <c r="E454" i="1"/>
  <c r="G454" i="1"/>
  <c r="H454" i="1"/>
  <c r="J454" i="1"/>
  <c r="K454" i="1"/>
  <c r="L454" i="1"/>
  <c r="A455" i="1"/>
  <c r="B455" i="1"/>
  <c r="C455" i="1"/>
  <c r="D455" i="1"/>
  <c r="Q455" i="1"/>
  <c r="R455" i="1"/>
  <c r="E455" i="1"/>
  <c r="G455" i="1"/>
  <c r="H455" i="1"/>
  <c r="J455" i="1"/>
  <c r="K455" i="1"/>
  <c r="L455" i="1"/>
  <c r="A456" i="1"/>
  <c r="B456" i="1"/>
  <c r="C456" i="1"/>
  <c r="D456" i="1"/>
  <c r="Q456" i="1"/>
  <c r="R456" i="1"/>
  <c r="E456" i="1"/>
  <c r="G456" i="1"/>
  <c r="H456" i="1"/>
  <c r="J456" i="1"/>
  <c r="K456" i="1"/>
  <c r="L456" i="1"/>
  <c r="A457" i="1"/>
  <c r="B457" i="1"/>
  <c r="C457" i="1"/>
  <c r="D457" i="1"/>
  <c r="Q457" i="1"/>
  <c r="R457" i="1"/>
  <c r="E457" i="1"/>
  <c r="G457" i="1"/>
  <c r="H457" i="1"/>
  <c r="J457" i="1"/>
  <c r="K457" i="1"/>
  <c r="L457" i="1"/>
  <c r="A458" i="1"/>
  <c r="B458" i="1"/>
  <c r="C458" i="1"/>
  <c r="D458" i="1"/>
  <c r="Q458" i="1"/>
  <c r="R458" i="1"/>
  <c r="E458" i="1"/>
  <c r="G458" i="1"/>
  <c r="H458" i="1"/>
  <c r="J458" i="1"/>
  <c r="K458" i="1"/>
  <c r="L458" i="1"/>
  <c r="A459" i="1"/>
  <c r="B459" i="1"/>
  <c r="C459" i="1"/>
  <c r="D459" i="1"/>
  <c r="Q459" i="1"/>
  <c r="R459" i="1"/>
  <c r="E459" i="1"/>
  <c r="G459" i="1"/>
  <c r="H459" i="1"/>
  <c r="J459" i="1"/>
  <c r="K459" i="1"/>
  <c r="L459" i="1"/>
  <c r="A460" i="1"/>
  <c r="B460" i="1"/>
  <c r="C460" i="1"/>
  <c r="D460" i="1"/>
  <c r="Q460" i="1"/>
  <c r="R460" i="1"/>
  <c r="E460" i="1"/>
  <c r="G460" i="1"/>
  <c r="H460" i="1"/>
  <c r="J460" i="1"/>
  <c r="K460" i="1"/>
  <c r="L460" i="1"/>
  <c r="A461" i="1"/>
  <c r="B461" i="1"/>
  <c r="C461" i="1"/>
  <c r="D461" i="1"/>
  <c r="Q461" i="1"/>
  <c r="R461" i="1"/>
  <c r="E461" i="1"/>
  <c r="G461" i="1"/>
  <c r="H461" i="1"/>
  <c r="J461" i="1"/>
  <c r="K461" i="1"/>
  <c r="L461" i="1"/>
  <c r="A462" i="1"/>
  <c r="B462" i="1"/>
  <c r="C462" i="1"/>
  <c r="D462" i="1"/>
  <c r="Q462" i="1"/>
  <c r="R462" i="1"/>
  <c r="E462" i="1"/>
  <c r="G462" i="1"/>
  <c r="H462" i="1"/>
  <c r="J462" i="1"/>
  <c r="K462" i="1"/>
  <c r="L462" i="1"/>
  <c r="A494" i="1"/>
  <c r="B494" i="1"/>
  <c r="C494" i="1"/>
  <c r="D494" i="1"/>
  <c r="Q494" i="1"/>
  <c r="R494" i="1"/>
  <c r="E494" i="1"/>
  <c r="G494" i="1"/>
  <c r="H494" i="1"/>
  <c r="J494" i="1"/>
  <c r="K494" i="1"/>
  <c r="L494" i="1"/>
  <c r="A495" i="1"/>
  <c r="B495" i="1"/>
  <c r="C495" i="1"/>
  <c r="D495" i="1"/>
  <c r="Q495" i="1"/>
  <c r="R495" i="1"/>
  <c r="E495" i="1"/>
  <c r="G495" i="1"/>
  <c r="H495" i="1"/>
  <c r="J495" i="1"/>
  <c r="K495" i="1"/>
  <c r="L495" i="1"/>
  <c r="A496" i="1"/>
  <c r="B496" i="1"/>
  <c r="C496" i="1"/>
  <c r="D496" i="1"/>
  <c r="Q496" i="1"/>
  <c r="R496" i="1"/>
  <c r="E496" i="1"/>
  <c r="G496" i="1"/>
  <c r="H496" i="1"/>
  <c r="J496" i="1"/>
  <c r="K496" i="1"/>
  <c r="L496" i="1"/>
  <c r="A463" i="1"/>
  <c r="B463" i="1"/>
  <c r="C463" i="1"/>
  <c r="D463" i="1"/>
  <c r="Q463" i="1"/>
  <c r="R463" i="1"/>
  <c r="E463" i="1"/>
  <c r="G463" i="1"/>
  <c r="H463" i="1"/>
  <c r="J463" i="1"/>
  <c r="K463" i="1"/>
  <c r="L463" i="1"/>
  <c r="A467" i="1"/>
  <c r="B467" i="1"/>
  <c r="C467" i="1"/>
  <c r="D467" i="1"/>
  <c r="Q467" i="1"/>
  <c r="R467" i="1"/>
  <c r="E467" i="1"/>
  <c r="G467" i="1"/>
  <c r="H467" i="1"/>
  <c r="J467" i="1"/>
  <c r="K467" i="1"/>
  <c r="L467" i="1"/>
  <c r="A468" i="1"/>
  <c r="B468" i="1"/>
  <c r="C468" i="1"/>
  <c r="D468" i="1"/>
  <c r="Q468" i="1"/>
  <c r="R468" i="1"/>
  <c r="E468" i="1"/>
  <c r="G468" i="1"/>
  <c r="H468" i="1"/>
  <c r="J468" i="1"/>
  <c r="K468" i="1"/>
  <c r="L468" i="1"/>
  <c r="A469" i="1"/>
  <c r="B469" i="1"/>
  <c r="C469" i="1"/>
  <c r="D469" i="1"/>
  <c r="Q469" i="1"/>
  <c r="R469" i="1"/>
  <c r="E469" i="1"/>
  <c r="G469" i="1"/>
  <c r="H469" i="1"/>
  <c r="J469" i="1"/>
  <c r="K469" i="1"/>
  <c r="L469" i="1"/>
  <c r="A470" i="1"/>
  <c r="B470" i="1"/>
  <c r="C470" i="1"/>
  <c r="D470" i="1"/>
  <c r="Q470" i="1"/>
  <c r="R470" i="1"/>
  <c r="E470" i="1"/>
  <c r="G470" i="1"/>
  <c r="H470" i="1"/>
  <c r="J470" i="1"/>
  <c r="K470" i="1"/>
  <c r="L470" i="1"/>
  <c r="A464" i="1"/>
  <c r="B464" i="1"/>
  <c r="C464" i="1"/>
  <c r="D464" i="1"/>
  <c r="Q464" i="1"/>
  <c r="R464" i="1"/>
  <c r="E464" i="1"/>
  <c r="G464" i="1"/>
  <c r="H464" i="1"/>
  <c r="J464" i="1"/>
  <c r="K464" i="1"/>
  <c r="L464" i="1"/>
  <c r="A465" i="1"/>
  <c r="B465" i="1"/>
  <c r="C465" i="1"/>
  <c r="D465" i="1"/>
  <c r="Q465" i="1"/>
  <c r="R465" i="1"/>
  <c r="E465" i="1"/>
  <c r="G465" i="1"/>
  <c r="H465" i="1"/>
  <c r="J465" i="1"/>
  <c r="K465" i="1"/>
  <c r="L465" i="1"/>
  <c r="A466" i="1"/>
  <c r="B466" i="1"/>
  <c r="C466" i="1"/>
  <c r="D466" i="1"/>
  <c r="Q466" i="1"/>
  <c r="R466" i="1"/>
  <c r="E466" i="1"/>
  <c r="G466" i="1"/>
  <c r="H466" i="1"/>
  <c r="J466" i="1"/>
  <c r="K466" i="1"/>
  <c r="L466" i="1"/>
  <c r="A471" i="1"/>
  <c r="B471" i="1"/>
  <c r="C471" i="1"/>
  <c r="D471" i="1"/>
  <c r="Q471" i="1"/>
  <c r="R471" i="1"/>
  <c r="E471" i="1"/>
  <c r="G471" i="1"/>
  <c r="H471" i="1"/>
  <c r="J471" i="1"/>
  <c r="K471" i="1"/>
  <c r="L471" i="1"/>
  <c r="A472" i="1"/>
  <c r="B472" i="1"/>
  <c r="C472" i="1"/>
  <c r="D472" i="1"/>
  <c r="Q472" i="1"/>
  <c r="R472" i="1"/>
  <c r="E472" i="1"/>
  <c r="G472" i="1"/>
  <c r="H472" i="1"/>
  <c r="J472" i="1"/>
  <c r="K472" i="1"/>
  <c r="L472" i="1"/>
  <c r="A473" i="1"/>
  <c r="B473" i="1"/>
  <c r="C473" i="1"/>
  <c r="D473" i="1"/>
  <c r="Q473" i="1"/>
  <c r="R473" i="1"/>
  <c r="E473" i="1"/>
  <c r="G473" i="1"/>
  <c r="H473" i="1"/>
  <c r="J473" i="1"/>
  <c r="K473" i="1"/>
  <c r="L473" i="1"/>
  <c r="A474" i="1"/>
  <c r="B474" i="1"/>
  <c r="C474" i="1"/>
  <c r="D474" i="1"/>
  <c r="Q474" i="1"/>
  <c r="R474" i="1"/>
  <c r="E474" i="1"/>
  <c r="G474" i="1"/>
  <c r="H474" i="1"/>
  <c r="J474" i="1"/>
  <c r="K474" i="1"/>
  <c r="L474" i="1"/>
  <c r="A475" i="1"/>
  <c r="B475" i="1"/>
  <c r="C475" i="1"/>
  <c r="D475" i="1"/>
  <c r="Q475" i="1"/>
  <c r="R475" i="1"/>
  <c r="E475" i="1"/>
  <c r="G475" i="1"/>
  <c r="H475" i="1"/>
  <c r="J475" i="1"/>
  <c r="K475" i="1"/>
  <c r="L475" i="1"/>
  <c r="A476" i="1"/>
  <c r="B476" i="1"/>
  <c r="C476" i="1"/>
  <c r="D476" i="1"/>
  <c r="Q476" i="1"/>
  <c r="R476" i="1"/>
  <c r="E476" i="1"/>
  <c r="G476" i="1"/>
  <c r="H476" i="1"/>
  <c r="J476" i="1"/>
  <c r="K476" i="1"/>
  <c r="L476" i="1"/>
  <c r="A477" i="1"/>
  <c r="B477" i="1"/>
  <c r="C477" i="1"/>
  <c r="D477" i="1"/>
  <c r="Q477" i="1"/>
  <c r="R477" i="1"/>
  <c r="E477" i="1"/>
  <c r="G477" i="1"/>
  <c r="H477" i="1"/>
  <c r="J477" i="1"/>
  <c r="K477" i="1"/>
  <c r="L477" i="1"/>
  <c r="A478" i="1"/>
  <c r="B478" i="1"/>
  <c r="C478" i="1"/>
  <c r="D478" i="1"/>
  <c r="Q478" i="1"/>
  <c r="R478" i="1"/>
  <c r="E478" i="1"/>
  <c r="G478" i="1"/>
  <c r="H478" i="1"/>
  <c r="J478" i="1"/>
  <c r="K478" i="1"/>
  <c r="L478" i="1"/>
  <c r="A479" i="1"/>
  <c r="B479" i="1"/>
  <c r="C479" i="1"/>
  <c r="D479" i="1"/>
  <c r="Q479" i="1"/>
  <c r="R479" i="1"/>
  <c r="E479" i="1"/>
  <c r="G479" i="1"/>
  <c r="H479" i="1"/>
  <c r="J479" i="1"/>
  <c r="K479" i="1"/>
  <c r="L479" i="1"/>
  <c r="A480" i="1"/>
  <c r="B480" i="1"/>
  <c r="C480" i="1"/>
  <c r="D480" i="1"/>
  <c r="Q480" i="1"/>
  <c r="R480" i="1"/>
  <c r="E480" i="1"/>
  <c r="G480" i="1"/>
  <c r="H480" i="1"/>
  <c r="J480" i="1"/>
  <c r="K480" i="1"/>
  <c r="L480" i="1"/>
  <c r="A481" i="1"/>
  <c r="B481" i="1"/>
  <c r="C481" i="1"/>
  <c r="D481" i="1"/>
  <c r="Q481" i="1"/>
  <c r="R481" i="1"/>
  <c r="E481" i="1"/>
  <c r="G481" i="1"/>
  <c r="H481" i="1"/>
  <c r="J481" i="1"/>
  <c r="K481" i="1"/>
  <c r="L481" i="1"/>
  <c r="A482" i="1"/>
  <c r="B482" i="1"/>
  <c r="C482" i="1"/>
  <c r="D482" i="1"/>
  <c r="Q482" i="1"/>
  <c r="R482" i="1"/>
  <c r="E482" i="1"/>
  <c r="G482" i="1"/>
  <c r="H482" i="1"/>
  <c r="J482" i="1"/>
  <c r="K482" i="1"/>
  <c r="L482" i="1"/>
  <c r="A483" i="1"/>
  <c r="B483" i="1"/>
  <c r="C483" i="1"/>
  <c r="D483" i="1"/>
  <c r="Q483" i="1"/>
  <c r="R483" i="1"/>
  <c r="E483" i="1"/>
  <c r="G483" i="1"/>
  <c r="H483" i="1"/>
  <c r="J483" i="1"/>
  <c r="K483" i="1"/>
  <c r="L483" i="1"/>
  <c r="A497" i="1"/>
  <c r="B497" i="1"/>
  <c r="C497" i="1"/>
  <c r="D497" i="1"/>
  <c r="Q497" i="1"/>
  <c r="R497" i="1"/>
  <c r="E497" i="1"/>
  <c r="G497" i="1"/>
  <c r="H497" i="1"/>
  <c r="J497" i="1"/>
  <c r="K497" i="1"/>
  <c r="L497" i="1"/>
  <c r="A498" i="1"/>
  <c r="B498" i="1"/>
  <c r="C498" i="1"/>
  <c r="D498" i="1"/>
  <c r="Q498" i="1"/>
  <c r="R498" i="1"/>
  <c r="E498" i="1"/>
  <c r="G498" i="1"/>
  <c r="H498" i="1"/>
  <c r="J498" i="1"/>
  <c r="K498" i="1"/>
  <c r="L498" i="1"/>
  <c r="A499" i="1"/>
  <c r="B499" i="1"/>
  <c r="C499" i="1"/>
  <c r="D499" i="1"/>
  <c r="Q499" i="1"/>
  <c r="R499" i="1"/>
  <c r="E499" i="1"/>
  <c r="G499" i="1"/>
  <c r="H499" i="1"/>
  <c r="J499" i="1"/>
  <c r="K499" i="1"/>
  <c r="L499" i="1"/>
  <c r="A445" i="1"/>
  <c r="B445" i="1"/>
  <c r="C445" i="1"/>
  <c r="D445" i="1"/>
  <c r="Q445" i="1"/>
  <c r="R445" i="1"/>
  <c r="E445" i="1"/>
  <c r="G445" i="1"/>
  <c r="H445" i="1"/>
  <c r="J445" i="1"/>
  <c r="K445" i="1"/>
  <c r="L445" i="1"/>
  <c r="A500" i="1"/>
  <c r="B500" i="1"/>
  <c r="C500" i="1"/>
  <c r="D500" i="1"/>
  <c r="Q500" i="1"/>
  <c r="R500" i="1"/>
  <c r="E500" i="1"/>
  <c r="G500" i="1"/>
  <c r="H500" i="1"/>
  <c r="J500" i="1"/>
  <c r="K500" i="1"/>
  <c r="L500" i="1"/>
  <c r="A501" i="1"/>
  <c r="B501" i="1"/>
  <c r="C501" i="1"/>
  <c r="D501" i="1"/>
  <c r="Q501" i="1"/>
  <c r="R501" i="1"/>
  <c r="E501" i="1"/>
  <c r="G501" i="1"/>
  <c r="H501" i="1"/>
  <c r="J501" i="1"/>
  <c r="K501" i="1"/>
  <c r="L501" i="1"/>
  <c r="A502" i="1"/>
  <c r="B502" i="1"/>
  <c r="C502" i="1"/>
  <c r="D502" i="1"/>
  <c r="Q502" i="1"/>
  <c r="R502" i="1"/>
  <c r="E502" i="1"/>
  <c r="G502" i="1"/>
  <c r="H502" i="1"/>
  <c r="J502" i="1"/>
  <c r="K502" i="1"/>
  <c r="L502" i="1"/>
  <c r="A503" i="1"/>
  <c r="B503" i="1"/>
  <c r="C503" i="1"/>
  <c r="D503" i="1"/>
  <c r="Q503" i="1"/>
  <c r="R503" i="1"/>
  <c r="E503" i="1"/>
  <c r="G503" i="1"/>
  <c r="H503" i="1"/>
  <c r="J503" i="1"/>
  <c r="K503" i="1"/>
  <c r="L503" i="1"/>
  <c r="A504" i="1"/>
  <c r="B504" i="1"/>
  <c r="C504" i="1"/>
  <c r="D504" i="1"/>
  <c r="Q504" i="1"/>
  <c r="R504" i="1"/>
  <c r="E504" i="1"/>
  <c r="G504" i="1"/>
  <c r="H504" i="1"/>
  <c r="J504" i="1"/>
  <c r="K504" i="1"/>
  <c r="L504" i="1"/>
  <c r="A505" i="1"/>
  <c r="B505" i="1"/>
  <c r="C505" i="1"/>
  <c r="D505" i="1"/>
  <c r="Q505" i="1"/>
  <c r="R505" i="1"/>
  <c r="E505" i="1"/>
  <c r="G505" i="1"/>
  <c r="H505" i="1"/>
  <c r="J505" i="1"/>
  <c r="K505" i="1"/>
  <c r="L505" i="1"/>
  <c r="A506" i="1"/>
  <c r="B506" i="1"/>
  <c r="C506" i="1"/>
  <c r="D506" i="1"/>
  <c r="Q506" i="1"/>
  <c r="R506" i="1"/>
  <c r="E506" i="1"/>
  <c r="G506" i="1"/>
  <c r="H506" i="1"/>
  <c r="J506" i="1"/>
  <c r="K506" i="1"/>
  <c r="L506" i="1"/>
  <c r="A507" i="1"/>
  <c r="B507" i="1"/>
  <c r="C507" i="1"/>
  <c r="D507" i="1"/>
  <c r="Q507" i="1"/>
  <c r="R507" i="1"/>
  <c r="E507" i="1"/>
  <c r="G507" i="1"/>
  <c r="H507" i="1"/>
  <c r="J507" i="1"/>
  <c r="K507" i="1"/>
  <c r="L507" i="1"/>
  <c r="A508" i="1"/>
  <c r="B508" i="1"/>
  <c r="C508" i="1"/>
  <c r="D508" i="1"/>
  <c r="Q508" i="1"/>
  <c r="R508" i="1"/>
  <c r="E508" i="1"/>
  <c r="F508" i="1"/>
  <c r="G508" i="1"/>
  <c r="H508" i="1"/>
  <c r="J508" i="1"/>
  <c r="K508" i="1"/>
  <c r="L508" i="1"/>
  <c r="A509" i="1"/>
  <c r="B509" i="1"/>
  <c r="C509" i="1"/>
  <c r="D509" i="1"/>
  <c r="Q509" i="1"/>
  <c r="R509" i="1"/>
  <c r="E509" i="1"/>
  <c r="F509" i="1"/>
  <c r="G509" i="1"/>
  <c r="H509" i="1"/>
  <c r="J509" i="1"/>
  <c r="K509" i="1"/>
  <c r="L509" i="1"/>
  <c r="A510" i="1"/>
  <c r="B510" i="1"/>
  <c r="C510" i="1"/>
  <c r="D510" i="1"/>
  <c r="Q510" i="1"/>
  <c r="R510" i="1"/>
  <c r="E510" i="1"/>
  <c r="F510" i="1"/>
  <c r="G510" i="1"/>
  <c r="H510" i="1"/>
  <c r="J510" i="1"/>
  <c r="K510" i="1"/>
  <c r="L510" i="1"/>
  <c r="A511" i="1"/>
  <c r="B511" i="1"/>
  <c r="C511" i="1"/>
  <c r="D511" i="1"/>
  <c r="Q511" i="1"/>
  <c r="R511" i="1"/>
  <c r="E511" i="1"/>
  <c r="F511" i="1"/>
  <c r="G511" i="1"/>
  <c r="H511" i="1"/>
  <c r="J511" i="1"/>
  <c r="K511" i="1"/>
  <c r="L511" i="1"/>
  <c r="A512" i="1"/>
  <c r="B512" i="1"/>
  <c r="C512" i="1"/>
  <c r="D512" i="1"/>
  <c r="Q512" i="1"/>
  <c r="R512" i="1"/>
  <c r="E512" i="1"/>
  <c r="F512" i="1"/>
  <c r="G512" i="1"/>
  <c r="H512" i="1"/>
  <c r="J512" i="1"/>
  <c r="K512" i="1"/>
  <c r="L512" i="1"/>
  <c r="A513" i="1"/>
  <c r="B513" i="1"/>
  <c r="C513" i="1"/>
  <c r="D513" i="1"/>
  <c r="Q513" i="1"/>
  <c r="R513" i="1"/>
  <c r="E513" i="1"/>
  <c r="F513" i="1"/>
  <c r="G513" i="1"/>
  <c r="H513" i="1"/>
  <c r="J513" i="1"/>
  <c r="K513" i="1"/>
  <c r="L513" i="1"/>
  <c r="A514" i="1"/>
  <c r="B514" i="1"/>
  <c r="C514" i="1"/>
  <c r="D514" i="1"/>
  <c r="Q514" i="1"/>
  <c r="R514" i="1"/>
  <c r="E514" i="1"/>
  <c r="F514" i="1"/>
  <c r="G514" i="1"/>
  <c r="H514" i="1"/>
  <c r="J514" i="1"/>
  <c r="K514" i="1"/>
  <c r="L514" i="1"/>
  <c r="A515" i="1"/>
  <c r="B515" i="1"/>
  <c r="C515" i="1"/>
  <c r="D515" i="1"/>
  <c r="Q515" i="1"/>
  <c r="R515" i="1"/>
  <c r="E515" i="1"/>
  <c r="F515" i="1"/>
  <c r="G515" i="1"/>
  <c r="H515" i="1"/>
  <c r="J515" i="1"/>
  <c r="K515" i="1"/>
  <c r="L515" i="1"/>
  <c r="A516" i="1"/>
  <c r="B516" i="1"/>
  <c r="C516" i="1"/>
  <c r="D516" i="1"/>
  <c r="Q516" i="1"/>
  <c r="R516" i="1"/>
  <c r="E516" i="1"/>
  <c r="G516" i="1"/>
  <c r="H516" i="1"/>
  <c r="J516" i="1"/>
  <c r="K516" i="1"/>
  <c r="L516" i="1"/>
  <c r="A517" i="1"/>
  <c r="B517" i="1"/>
  <c r="C517" i="1"/>
  <c r="D517" i="1"/>
  <c r="Q517" i="1"/>
  <c r="R517" i="1"/>
  <c r="E517" i="1"/>
  <c r="G517" i="1"/>
  <c r="H517" i="1"/>
  <c r="J517" i="1"/>
  <c r="K517" i="1"/>
  <c r="L517" i="1"/>
  <c r="A518" i="1"/>
  <c r="B518" i="1"/>
  <c r="C518" i="1"/>
  <c r="D518" i="1"/>
  <c r="Q518" i="1"/>
  <c r="R518" i="1"/>
  <c r="E518" i="1"/>
  <c r="G518" i="1"/>
  <c r="H518" i="1"/>
  <c r="J518" i="1"/>
  <c r="K518" i="1"/>
  <c r="L518" i="1"/>
  <c r="A519" i="1"/>
  <c r="B519" i="1"/>
  <c r="C519" i="1"/>
  <c r="D519" i="1"/>
  <c r="Q519" i="1"/>
  <c r="R519" i="1"/>
  <c r="E519" i="1"/>
  <c r="G519" i="1"/>
  <c r="H519" i="1"/>
  <c r="J519" i="1"/>
  <c r="K519" i="1"/>
  <c r="L519" i="1"/>
  <c r="A520" i="1"/>
  <c r="B520" i="1"/>
  <c r="C520" i="1"/>
  <c r="D520" i="1"/>
  <c r="Q520" i="1"/>
  <c r="R520" i="1"/>
  <c r="E520" i="1"/>
  <c r="G520" i="1"/>
  <c r="H520" i="1"/>
  <c r="J520" i="1"/>
  <c r="K520" i="1"/>
  <c r="L520" i="1"/>
  <c r="A521" i="1"/>
  <c r="B521" i="1"/>
  <c r="C521" i="1"/>
  <c r="D521" i="1"/>
  <c r="Q521" i="1"/>
  <c r="R521" i="1"/>
  <c r="E521" i="1"/>
  <c r="G521" i="1"/>
  <c r="H521" i="1"/>
  <c r="J521" i="1"/>
  <c r="K521" i="1"/>
  <c r="L521" i="1"/>
  <c r="A522" i="1"/>
  <c r="B522" i="1"/>
  <c r="C522" i="1"/>
  <c r="D522" i="1"/>
  <c r="Q522" i="1"/>
  <c r="R522" i="1"/>
  <c r="E522" i="1"/>
  <c r="G522" i="1"/>
  <c r="H522" i="1"/>
  <c r="J522" i="1"/>
  <c r="K522" i="1"/>
  <c r="L522" i="1"/>
  <c r="A523" i="1"/>
  <c r="B523" i="1"/>
  <c r="C523" i="1"/>
  <c r="D523" i="1"/>
  <c r="Q523" i="1"/>
  <c r="R523" i="1"/>
  <c r="E523" i="1"/>
  <c r="G523" i="1"/>
  <c r="H523" i="1"/>
  <c r="J523" i="1"/>
  <c r="K523" i="1"/>
  <c r="L523" i="1"/>
  <c r="A524" i="1"/>
  <c r="B524" i="1"/>
  <c r="C524" i="1"/>
  <c r="D524" i="1"/>
  <c r="Q524" i="1"/>
  <c r="R524" i="1"/>
  <c r="E524" i="1"/>
  <c r="G524" i="1"/>
  <c r="H524" i="1"/>
  <c r="J524" i="1"/>
  <c r="K524" i="1"/>
  <c r="L524" i="1"/>
  <c r="A525" i="1"/>
  <c r="B525" i="1"/>
  <c r="C525" i="1"/>
  <c r="D525" i="1"/>
  <c r="Q525" i="1"/>
  <c r="R525" i="1"/>
  <c r="E525" i="1"/>
  <c r="G525" i="1"/>
  <c r="H525" i="1"/>
  <c r="J525" i="1"/>
  <c r="K525" i="1"/>
  <c r="L525" i="1"/>
  <c r="A526" i="1"/>
  <c r="B526" i="1"/>
  <c r="C526" i="1"/>
  <c r="D526" i="1"/>
  <c r="Q526" i="1"/>
  <c r="R526" i="1"/>
  <c r="E526" i="1"/>
  <c r="G526" i="1"/>
  <c r="H526" i="1"/>
  <c r="J526" i="1"/>
  <c r="K526" i="1"/>
  <c r="L526" i="1"/>
  <c r="A527" i="1"/>
  <c r="B527" i="1"/>
  <c r="C527" i="1"/>
  <c r="D527" i="1"/>
  <c r="Q527" i="1"/>
  <c r="R527" i="1"/>
  <c r="E527" i="1"/>
  <c r="G527" i="1"/>
  <c r="H527" i="1"/>
  <c r="J527" i="1"/>
  <c r="K527" i="1"/>
  <c r="L527" i="1"/>
  <c r="A528" i="1"/>
  <c r="B528" i="1"/>
  <c r="C528" i="1"/>
  <c r="D528" i="1"/>
  <c r="Q528" i="1"/>
  <c r="R528" i="1"/>
  <c r="E528" i="1"/>
  <c r="G528" i="1"/>
  <c r="H528" i="1"/>
  <c r="J528" i="1"/>
  <c r="K528" i="1"/>
  <c r="L528" i="1"/>
  <c r="A529" i="1"/>
  <c r="B529" i="1"/>
  <c r="C529" i="1"/>
  <c r="D529" i="1"/>
  <c r="Q529" i="1"/>
  <c r="R529" i="1"/>
  <c r="E529" i="1"/>
  <c r="G529" i="1"/>
  <c r="H529" i="1"/>
  <c r="J529" i="1"/>
  <c r="K529" i="1"/>
  <c r="L529" i="1"/>
  <c r="A530" i="1"/>
  <c r="B530" i="1"/>
  <c r="C530" i="1"/>
  <c r="D530" i="1"/>
  <c r="Q530" i="1"/>
  <c r="R530" i="1"/>
  <c r="E530" i="1"/>
  <c r="G530" i="1"/>
  <c r="H530" i="1"/>
  <c r="J530" i="1"/>
  <c r="K530" i="1"/>
  <c r="L530" i="1"/>
  <c r="A531" i="1"/>
  <c r="B531" i="1"/>
  <c r="C531" i="1"/>
  <c r="D531" i="1"/>
  <c r="Q531" i="1"/>
  <c r="R531" i="1"/>
  <c r="E531" i="1"/>
  <c r="G531" i="1"/>
  <c r="H531" i="1"/>
  <c r="J531" i="1"/>
  <c r="K531" i="1"/>
  <c r="L531" i="1"/>
  <c r="A532" i="1"/>
  <c r="B532" i="1"/>
  <c r="C532" i="1"/>
  <c r="D532" i="1"/>
  <c r="Q532" i="1"/>
  <c r="R532" i="1"/>
  <c r="E532" i="1"/>
  <c r="G532" i="1"/>
  <c r="H532" i="1"/>
  <c r="J532" i="1"/>
  <c r="K532" i="1"/>
  <c r="L532" i="1"/>
  <c r="A533" i="1"/>
  <c r="B533" i="1"/>
  <c r="C533" i="1"/>
  <c r="D533" i="1"/>
  <c r="Q533" i="1"/>
  <c r="R533" i="1"/>
  <c r="E533" i="1"/>
  <c r="G533" i="1"/>
  <c r="H533" i="1"/>
  <c r="J533" i="1"/>
  <c r="K533" i="1"/>
  <c r="L533" i="1"/>
  <c r="A534" i="1"/>
  <c r="B534" i="1"/>
  <c r="C534" i="1"/>
  <c r="D534" i="1"/>
  <c r="Q534" i="1"/>
  <c r="R534" i="1"/>
  <c r="E534" i="1"/>
  <c r="G534" i="1"/>
  <c r="H534" i="1"/>
  <c r="J534" i="1"/>
  <c r="K534" i="1"/>
  <c r="L534" i="1"/>
  <c r="A535" i="1"/>
  <c r="B535" i="1"/>
  <c r="C535" i="1"/>
  <c r="D535" i="1"/>
  <c r="Q535" i="1"/>
  <c r="R535" i="1"/>
  <c r="E535" i="1"/>
  <c r="G535" i="1"/>
  <c r="H535" i="1"/>
  <c r="J535" i="1"/>
  <c r="K535" i="1"/>
  <c r="L535" i="1"/>
  <c r="A536" i="1"/>
  <c r="B536" i="1"/>
  <c r="C536" i="1"/>
  <c r="D536" i="1"/>
  <c r="Q536" i="1"/>
  <c r="R536" i="1"/>
  <c r="E536" i="1"/>
  <c r="G536" i="1"/>
  <c r="H536" i="1"/>
  <c r="J536" i="1"/>
  <c r="K536" i="1"/>
  <c r="L536" i="1"/>
  <c r="A537" i="1"/>
  <c r="B537" i="1"/>
  <c r="C537" i="1"/>
  <c r="D537" i="1"/>
  <c r="Q537" i="1"/>
  <c r="R537" i="1"/>
  <c r="E537" i="1"/>
  <c r="G537" i="1"/>
  <c r="H537" i="1"/>
  <c r="J537" i="1"/>
  <c r="K537" i="1"/>
  <c r="L537" i="1"/>
  <c r="A663" i="1"/>
  <c r="B663" i="1"/>
  <c r="C663" i="1"/>
  <c r="D663" i="1"/>
  <c r="Q663" i="1"/>
  <c r="R663" i="1"/>
  <c r="E663" i="1"/>
  <c r="G663" i="1"/>
  <c r="H663" i="1"/>
  <c r="J663" i="1"/>
  <c r="K663" i="1"/>
  <c r="L663" i="1"/>
  <c r="A664" i="1"/>
  <c r="B664" i="1"/>
  <c r="C664" i="1"/>
  <c r="D664" i="1"/>
  <c r="Q664" i="1"/>
  <c r="R664" i="1"/>
  <c r="E664" i="1"/>
  <c r="G664" i="1"/>
  <c r="H664" i="1"/>
  <c r="J664" i="1"/>
  <c r="K664" i="1"/>
  <c r="L664" i="1"/>
  <c r="A665" i="1"/>
  <c r="B665" i="1"/>
  <c r="C665" i="1"/>
  <c r="D665" i="1"/>
  <c r="Q665" i="1"/>
  <c r="R665" i="1"/>
  <c r="E665" i="1"/>
  <c r="G665" i="1"/>
  <c r="H665" i="1"/>
  <c r="J665" i="1"/>
  <c r="K665" i="1"/>
  <c r="L665" i="1"/>
  <c r="A666" i="1"/>
  <c r="B666" i="1"/>
  <c r="C666" i="1"/>
  <c r="D666" i="1"/>
  <c r="Q666" i="1"/>
  <c r="R666" i="1"/>
  <c r="E666" i="1"/>
  <c r="G666" i="1"/>
  <c r="H666" i="1"/>
  <c r="J666" i="1"/>
  <c r="K666" i="1"/>
  <c r="L666" i="1"/>
  <c r="A667" i="1"/>
  <c r="B667" i="1"/>
  <c r="C667" i="1"/>
  <c r="D667" i="1"/>
  <c r="Q667" i="1"/>
  <c r="R667" i="1"/>
  <c r="E667" i="1"/>
  <c r="G667" i="1"/>
  <c r="H667" i="1"/>
  <c r="J667" i="1"/>
  <c r="K667" i="1"/>
  <c r="L667" i="1"/>
  <c r="A668" i="1"/>
  <c r="B668" i="1"/>
  <c r="C668" i="1"/>
  <c r="D668" i="1"/>
  <c r="Q668" i="1"/>
  <c r="R668" i="1"/>
  <c r="E668" i="1"/>
  <c r="G668" i="1"/>
  <c r="H668" i="1"/>
  <c r="J668" i="1"/>
  <c r="K668" i="1"/>
  <c r="L668" i="1"/>
  <c r="A669" i="1"/>
  <c r="B669" i="1"/>
  <c r="C669" i="1"/>
  <c r="D669" i="1"/>
  <c r="Q669" i="1"/>
  <c r="R669" i="1"/>
  <c r="E669" i="1"/>
  <c r="G669" i="1"/>
  <c r="H669" i="1"/>
  <c r="J669" i="1"/>
  <c r="K669" i="1"/>
  <c r="L669" i="1"/>
  <c r="A538" i="1"/>
  <c r="B538" i="1"/>
  <c r="C538" i="1"/>
  <c r="D538" i="1"/>
  <c r="Q538" i="1"/>
  <c r="R538" i="1"/>
  <c r="E538" i="1"/>
  <c r="G538" i="1"/>
  <c r="H538" i="1"/>
  <c r="J538" i="1"/>
  <c r="K538" i="1"/>
  <c r="L538" i="1"/>
  <c r="A539" i="1"/>
  <c r="B539" i="1"/>
  <c r="C539" i="1"/>
  <c r="D539" i="1"/>
  <c r="Q539" i="1"/>
  <c r="R539" i="1"/>
  <c r="E539" i="1"/>
  <c r="G539" i="1"/>
  <c r="H539" i="1"/>
  <c r="J539" i="1"/>
  <c r="K539" i="1"/>
  <c r="L539" i="1"/>
  <c r="A540" i="1"/>
  <c r="B540" i="1"/>
  <c r="C540" i="1"/>
  <c r="D540" i="1"/>
  <c r="Q540" i="1"/>
  <c r="R540" i="1"/>
  <c r="E540" i="1"/>
  <c r="G540" i="1"/>
  <c r="H540" i="1"/>
  <c r="J540" i="1"/>
  <c r="K540" i="1"/>
  <c r="L540" i="1"/>
  <c r="A541" i="1"/>
  <c r="B541" i="1"/>
  <c r="C541" i="1"/>
  <c r="D541" i="1"/>
  <c r="Q541" i="1"/>
  <c r="R541" i="1"/>
  <c r="E541" i="1"/>
  <c r="G541" i="1"/>
  <c r="H541" i="1"/>
  <c r="J541" i="1"/>
  <c r="K541" i="1"/>
  <c r="L541" i="1"/>
  <c r="A542" i="1"/>
  <c r="B542" i="1"/>
  <c r="C542" i="1"/>
  <c r="D542" i="1"/>
  <c r="Q542" i="1"/>
  <c r="R542" i="1"/>
  <c r="E542" i="1"/>
  <c r="G542" i="1"/>
  <c r="H542" i="1"/>
  <c r="J542" i="1"/>
  <c r="K542" i="1"/>
  <c r="L542" i="1"/>
  <c r="A543" i="1"/>
  <c r="B543" i="1"/>
  <c r="C543" i="1"/>
  <c r="D543" i="1"/>
  <c r="Q543" i="1"/>
  <c r="R543" i="1"/>
  <c r="E543" i="1"/>
  <c r="F543" i="1"/>
  <c r="G543" i="1"/>
  <c r="H543" i="1"/>
  <c r="J543" i="1"/>
  <c r="K543" i="1"/>
  <c r="L543" i="1"/>
  <c r="A544" i="1"/>
  <c r="B544" i="1"/>
  <c r="C544" i="1"/>
  <c r="D544" i="1"/>
  <c r="Q544" i="1"/>
  <c r="R544" i="1"/>
  <c r="E544" i="1"/>
  <c r="F544" i="1"/>
  <c r="G544" i="1"/>
  <c r="H544" i="1"/>
  <c r="J544" i="1"/>
  <c r="K544" i="1"/>
  <c r="L544" i="1"/>
  <c r="A545" i="1"/>
  <c r="B545" i="1"/>
  <c r="C545" i="1"/>
  <c r="D545" i="1"/>
  <c r="Q545" i="1"/>
  <c r="R545" i="1"/>
  <c r="E545" i="1"/>
  <c r="F545" i="1"/>
  <c r="G545" i="1"/>
  <c r="H545" i="1"/>
  <c r="J545" i="1"/>
  <c r="K545" i="1"/>
  <c r="L545" i="1"/>
  <c r="A546" i="1"/>
  <c r="B546" i="1"/>
  <c r="C546" i="1"/>
  <c r="D546" i="1"/>
  <c r="Q546" i="1"/>
  <c r="R546" i="1"/>
  <c r="E546" i="1"/>
  <c r="F546" i="1"/>
  <c r="G546" i="1"/>
  <c r="H546" i="1"/>
  <c r="J546" i="1"/>
  <c r="K546" i="1"/>
  <c r="L546" i="1"/>
  <c r="A547" i="1"/>
  <c r="B547" i="1"/>
  <c r="C547" i="1"/>
  <c r="D547" i="1"/>
  <c r="Q547" i="1"/>
  <c r="R547" i="1"/>
  <c r="E547" i="1"/>
  <c r="F547" i="1"/>
  <c r="G547" i="1"/>
  <c r="H547" i="1"/>
  <c r="J547" i="1"/>
  <c r="K547" i="1"/>
  <c r="L547" i="1"/>
  <c r="A548" i="1"/>
  <c r="B548" i="1"/>
  <c r="C548" i="1"/>
  <c r="D548" i="1"/>
  <c r="Q548" i="1"/>
  <c r="R548" i="1"/>
  <c r="E548" i="1"/>
  <c r="F548" i="1"/>
  <c r="G548" i="1"/>
  <c r="H548" i="1"/>
  <c r="J548" i="1"/>
  <c r="K548" i="1"/>
  <c r="L548" i="1"/>
  <c r="A549" i="1"/>
  <c r="B549" i="1"/>
  <c r="C549" i="1"/>
  <c r="D549" i="1"/>
  <c r="Q549" i="1"/>
  <c r="R549" i="1"/>
  <c r="E549" i="1"/>
  <c r="F549" i="1"/>
  <c r="G549" i="1"/>
  <c r="H549" i="1"/>
  <c r="J549" i="1"/>
  <c r="K549" i="1"/>
  <c r="L549" i="1"/>
  <c r="A550" i="1"/>
  <c r="B550" i="1"/>
  <c r="C550" i="1"/>
  <c r="D550" i="1"/>
  <c r="Q550" i="1"/>
  <c r="R550" i="1"/>
  <c r="E550" i="1"/>
  <c r="G550" i="1"/>
  <c r="H550" i="1"/>
  <c r="J550" i="1"/>
  <c r="K550" i="1"/>
  <c r="L550" i="1"/>
  <c r="A551" i="1"/>
  <c r="B551" i="1"/>
  <c r="C551" i="1"/>
  <c r="D551" i="1"/>
  <c r="Q551" i="1"/>
  <c r="R551" i="1"/>
  <c r="E551" i="1"/>
  <c r="G551" i="1"/>
  <c r="H551" i="1"/>
  <c r="J551" i="1"/>
  <c r="K551" i="1"/>
  <c r="L551" i="1"/>
  <c r="A552" i="1"/>
  <c r="B552" i="1"/>
  <c r="C552" i="1"/>
  <c r="D552" i="1"/>
  <c r="Q552" i="1"/>
  <c r="R552" i="1"/>
  <c r="E552" i="1"/>
  <c r="G552" i="1"/>
  <c r="H552" i="1"/>
  <c r="J552" i="1"/>
  <c r="K552" i="1"/>
  <c r="L552" i="1"/>
  <c r="A553" i="1"/>
  <c r="B553" i="1"/>
  <c r="C553" i="1"/>
  <c r="D553" i="1"/>
  <c r="Q553" i="1"/>
  <c r="R553" i="1"/>
  <c r="E553" i="1"/>
  <c r="G553" i="1"/>
  <c r="H553" i="1"/>
  <c r="J553" i="1"/>
  <c r="K553" i="1"/>
  <c r="L553" i="1"/>
  <c r="A554" i="1"/>
  <c r="B554" i="1"/>
  <c r="C554" i="1"/>
  <c r="D554" i="1"/>
  <c r="Q554" i="1"/>
  <c r="R554" i="1"/>
  <c r="E554" i="1"/>
  <c r="G554" i="1"/>
  <c r="H554" i="1"/>
  <c r="J554" i="1"/>
  <c r="K554" i="1"/>
  <c r="L554" i="1"/>
  <c r="A555" i="1"/>
  <c r="B555" i="1"/>
  <c r="C555" i="1"/>
  <c r="D555" i="1"/>
  <c r="Q555" i="1"/>
  <c r="R555" i="1"/>
  <c r="E555" i="1"/>
  <c r="G555" i="1"/>
  <c r="H555" i="1"/>
  <c r="J555" i="1"/>
  <c r="K555" i="1"/>
  <c r="L555" i="1"/>
  <c r="A556" i="1"/>
  <c r="B556" i="1"/>
  <c r="C556" i="1"/>
  <c r="D556" i="1"/>
  <c r="Q556" i="1"/>
  <c r="R556" i="1"/>
  <c r="E556" i="1"/>
  <c r="G556" i="1"/>
  <c r="H556" i="1"/>
  <c r="J556" i="1"/>
  <c r="K556" i="1"/>
  <c r="L556" i="1"/>
  <c r="A557" i="1"/>
  <c r="B557" i="1"/>
  <c r="C557" i="1"/>
  <c r="D557" i="1"/>
  <c r="Q557" i="1"/>
  <c r="R557" i="1"/>
  <c r="E557" i="1"/>
  <c r="G557" i="1"/>
  <c r="H557" i="1"/>
  <c r="J557" i="1"/>
  <c r="K557" i="1"/>
  <c r="L557" i="1"/>
  <c r="A558" i="1"/>
  <c r="B558" i="1"/>
  <c r="C558" i="1"/>
  <c r="D558" i="1"/>
  <c r="Q558" i="1"/>
  <c r="R558" i="1"/>
  <c r="E558" i="1"/>
  <c r="G558" i="1"/>
  <c r="H558" i="1"/>
  <c r="J558" i="1"/>
  <c r="K558" i="1"/>
  <c r="L558" i="1"/>
  <c r="A559" i="1"/>
  <c r="B559" i="1"/>
  <c r="C559" i="1"/>
  <c r="D559" i="1"/>
  <c r="Q559" i="1"/>
  <c r="R559" i="1"/>
  <c r="E559" i="1"/>
  <c r="G559" i="1"/>
  <c r="H559" i="1"/>
  <c r="J559" i="1"/>
  <c r="K559" i="1"/>
  <c r="L559" i="1"/>
  <c r="A560" i="1"/>
  <c r="B560" i="1"/>
  <c r="C560" i="1"/>
  <c r="D560" i="1"/>
  <c r="Q560" i="1"/>
  <c r="R560" i="1"/>
  <c r="E560" i="1"/>
  <c r="G560" i="1"/>
  <c r="H560" i="1"/>
  <c r="J560" i="1"/>
  <c r="K560" i="1"/>
  <c r="L560" i="1"/>
  <c r="A561" i="1"/>
  <c r="B561" i="1"/>
  <c r="C561" i="1"/>
  <c r="D561" i="1"/>
  <c r="Q561" i="1"/>
  <c r="R561" i="1"/>
  <c r="E561" i="1"/>
  <c r="G561" i="1"/>
  <c r="H561" i="1"/>
  <c r="J561" i="1"/>
  <c r="K561" i="1"/>
  <c r="L561" i="1"/>
  <c r="A562" i="1"/>
  <c r="B562" i="1"/>
  <c r="C562" i="1"/>
  <c r="D562" i="1"/>
  <c r="Q562" i="1"/>
  <c r="R562" i="1"/>
  <c r="E562" i="1"/>
  <c r="G562" i="1"/>
  <c r="H562" i="1"/>
  <c r="J562" i="1"/>
  <c r="K562" i="1"/>
  <c r="L562" i="1"/>
  <c r="A563" i="1"/>
  <c r="B563" i="1"/>
  <c r="C563" i="1"/>
  <c r="D563" i="1"/>
  <c r="Q563" i="1"/>
  <c r="R563" i="1"/>
  <c r="E563" i="1"/>
  <c r="G563" i="1"/>
  <c r="H563" i="1"/>
  <c r="J563" i="1"/>
  <c r="K563" i="1"/>
  <c r="L563" i="1"/>
  <c r="A564" i="1"/>
  <c r="B564" i="1"/>
  <c r="C564" i="1"/>
  <c r="D564" i="1"/>
  <c r="Q564" i="1"/>
  <c r="R564" i="1"/>
  <c r="E564" i="1"/>
  <c r="G564" i="1"/>
  <c r="H564" i="1"/>
  <c r="J564" i="1"/>
  <c r="K564" i="1"/>
  <c r="L564" i="1"/>
  <c r="A565" i="1"/>
  <c r="B565" i="1"/>
  <c r="C565" i="1"/>
  <c r="D565" i="1"/>
  <c r="Q565" i="1"/>
  <c r="R565" i="1"/>
  <c r="E565" i="1"/>
  <c r="G565" i="1"/>
  <c r="H565" i="1"/>
  <c r="J565" i="1"/>
  <c r="K565" i="1"/>
  <c r="L565" i="1"/>
  <c r="A566" i="1"/>
  <c r="B566" i="1"/>
  <c r="C566" i="1"/>
  <c r="D566" i="1"/>
  <c r="Q566" i="1"/>
  <c r="R566" i="1"/>
  <c r="E566" i="1"/>
  <c r="G566" i="1"/>
  <c r="H566" i="1"/>
  <c r="J566" i="1"/>
  <c r="K566" i="1"/>
  <c r="L566" i="1"/>
  <c r="A567" i="1"/>
  <c r="B567" i="1"/>
  <c r="C567" i="1"/>
  <c r="D567" i="1"/>
  <c r="Q567" i="1"/>
  <c r="R567" i="1"/>
  <c r="E567" i="1"/>
  <c r="G567" i="1"/>
  <c r="H567" i="1"/>
  <c r="J567" i="1"/>
  <c r="K567" i="1"/>
  <c r="L567" i="1"/>
  <c r="A568" i="1"/>
  <c r="B568" i="1"/>
  <c r="C568" i="1"/>
  <c r="D568" i="1"/>
  <c r="Q568" i="1"/>
  <c r="R568" i="1"/>
  <c r="E568" i="1"/>
  <c r="G568" i="1"/>
  <c r="H568" i="1"/>
  <c r="J568" i="1"/>
  <c r="K568" i="1"/>
  <c r="L568" i="1"/>
  <c r="A569" i="1"/>
  <c r="B569" i="1"/>
  <c r="C569" i="1"/>
  <c r="D569" i="1"/>
  <c r="Q569" i="1"/>
  <c r="R569" i="1"/>
  <c r="E569" i="1"/>
  <c r="G569" i="1"/>
  <c r="H569" i="1"/>
  <c r="J569" i="1"/>
  <c r="K569" i="1"/>
  <c r="L569" i="1"/>
  <c r="A570" i="1"/>
  <c r="B570" i="1"/>
  <c r="C570" i="1"/>
  <c r="D570" i="1"/>
  <c r="Q570" i="1"/>
  <c r="R570" i="1"/>
  <c r="E570" i="1"/>
  <c r="G570" i="1"/>
  <c r="H570" i="1"/>
  <c r="J570" i="1"/>
  <c r="K570" i="1"/>
  <c r="L570" i="1"/>
  <c r="A571" i="1"/>
  <c r="B571" i="1"/>
  <c r="C571" i="1"/>
  <c r="D571" i="1"/>
  <c r="Q571" i="1"/>
  <c r="R571" i="1"/>
  <c r="E571" i="1"/>
  <c r="G571" i="1"/>
  <c r="H571" i="1"/>
  <c r="J571" i="1"/>
  <c r="K571" i="1"/>
  <c r="L571" i="1"/>
  <c r="A572" i="1"/>
  <c r="B572" i="1"/>
  <c r="C572" i="1"/>
  <c r="D572" i="1"/>
  <c r="Q572" i="1"/>
  <c r="R572" i="1"/>
  <c r="E572" i="1"/>
  <c r="G572" i="1"/>
  <c r="H572" i="1"/>
  <c r="J572" i="1"/>
  <c r="K572" i="1"/>
  <c r="L572" i="1"/>
  <c r="A573" i="1"/>
  <c r="B573" i="1"/>
  <c r="C573" i="1"/>
  <c r="D573" i="1"/>
  <c r="Q573" i="1"/>
  <c r="R573" i="1"/>
  <c r="E573" i="1"/>
  <c r="G573" i="1"/>
  <c r="H573" i="1"/>
  <c r="J573" i="1"/>
  <c r="K573" i="1"/>
  <c r="L573" i="1"/>
  <c r="A574" i="1"/>
  <c r="B574" i="1"/>
  <c r="C574" i="1"/>
  <c r="D574" i="1"/>
  <c r="Q574" i="1"/>
  <c r="R574" i="1"/>
  <c r="E574" i="1"/>
  <c r="G574" i="1"/>
  <c r="H574" i="1"/>
  <c r="J574" i="1"/>
  <c r="K574" i="1"/>
  <c r="L574" i="1"/>
  <c r="A575" i="1"/>
  <c r="B575" i="1"/>
  <c r="C575" i="1"/>
  <c r="D575" i="1"/>
  <c r="Q575" i="1"/>
  <c r="R575" i="1"/>
  <c r="E575" i="1"/>
  <c r="G575" i="1"/>
  <c r="H575" i="1"/>
  <c r="J575" i="1"/>
  <c r="K575" i="1"/>
  <c r="L575" i="1"/>
  <c r="A576" i="1"/>
  <c r="B576" i="1"/>
  <c r="C576" i="1"/>
  <c r="D576" i="1"/>
  <c r="Q576" i="1"/>
  <c r="R576" i="1"/>
  <c r="E576" i="1"/>
  <c r="G576" i="1"/>
  <c r="H576" i="1"/>
  <c r="J576" i="1"/>
  <c r="K576" i="1"/>
  <c r="L576" i="1"/>
  <c r="A577" i="1"/>
  <c r="B577" i="1"/>
  <c r="C577" i="1"/>
  <c r="D577" i="1"/>
  <c r="Q577" i="1"/>
  <c r="R577" i="1"/>
  <c r="E577" i="1"/>
  <c r="G577" i="1"/>
  <c r="H577" i="1"/>
  <c r="J577" i="1"/>
  <c r="K577" i="1"/>
  <c r="L577" i="1"/>
  <c r="A578" i="1"/>
  <c r="B578" i="1"/>
  <c r="C578" i="1"/>
  <c r="D578" i="1"/>
  <c r="Q578" i="1"/>
  <c r="R578" i="1"/>
  <c r="E578" i="1"/>
  <c r="G578" i="1"/>
  <c r="H578" i="1"/>
  <c r="J578" i="1"/>
  <c r="K578" i="1"/>
  <c r="L578" i="1"/>
  <c r="A579" i="1"/>
  <c r="B579" i="1"/>
  <c r="C579" i="1"/>
  <c r="D579" i="1"/>
  <c r="Q579" i="1"/>
  <c r="R579" i="1"/>
  <c r="E579" i="1"/>
  <c r="G579" i="1"/>
  <c r="H579" i="1"/>
  <c r="J579" i="1"/>
  <c r="K579" i="1"/>
  <c r="L579" i="1"/>
  <c r="A580" i="1"/>
  <c r="B580" i="1"/>
  <c r="C580" i="1"/>
  <c r="D580" i="1"/>
  <c r="Q580" i="1"/>
  <c r="R580" i="1"/>
  <c r="E580" i="1"/>
  <c r="G580" i="1"/>
  <c r="H580" i="1"/>
  <c r="J580" i="1"/>
  <c r="K580" i="1"/>
  <c r="L580" i="1"/>
  <c r="A581" i="1"/>
  <c r="B581" i="1"/>
  <c r="C581" i="1"/>
  <c r="D581" i="1"/>
  <c r="Q581" i="1"/>
  <c r="R581" i="1"/>
  <c r="E581" i="1"/>
  <c r="G581" i="1"/>
  <c r="H581" i="1"/>
  <c r="J581" i="1"/>
  <c r="K581" i="1"/>
  <c r="L581" i="1"/>
  <c r="A582" i="1"/>
  <c r="B582" i="1"/>
  <c r="C582" i="1"/>
  <c r="D582" i="1"/>
  <c r="Q582" i="1"/>
  <c r="R582" i="1"/>
  <c r="E582" i="1"/>
  <c r="G582" i="1"/>
  <c r="H582" i="1"/>
  <c r="J582" i="1"/>
  <c r="K582" i="1"/>
  <c r="L582" i="1"/>
  <c r="A583" i="1"/>
  <c r="B583" i="1"/>
  <c r="C583" i="1"/>
  <c r="D583" i="1"/>
  <c r="Q583" i="1"/>
  <c r="R583" i="1"/>
  <c r="E583" i="1"/>
  <c r="G583" i="1"/>
  <c r="H583" i="1"/>
  <c r="J583" i="1"/>
  <c r="K583" i="1"/>
  <c r="L583" i="1"/>
  <c r="A584" i="1"/>
  <c r="B584" i="1"/>
  <c r="C584" i="1"/>
  <c r="D584" i="1"/>
  <c r="Q584" i="1"/>
  <c r="R584" i="1"/>
  <c r="E584" i="1"/>
  <c r="G584" i="1"/>
  <c r="H584" i="1"/>
  <c r="J584" i="1"/>
  <c r="K584" i="1"/>
  <c r="L584" i="1"/>
  <c r="A585" i="1"/>
  <c r="B585" i="1"/>
  <c r="C585" i="1"/>
  <c r="D585" i="1"/>
  <c r="Q585" i="1"/>
  <c r="R585" i="1"/>
  <c r="E585" i="1"/>
  <c r="G585" i="1"/>
  <c r="H585" i="1"/>
  <c r="J585" i="1"/>
  <c r="K585" i="1"/>
  <c r="L585" i="1"/>
  <c r="A586" i="1"/>
  <c r="B586" i="1"/>
  <c r="C586" i="1"/>
  <c r="D586" i="1"/>
  <c r="Q586" i="1"/>
  <c r="R586" i="1"/>
  <c r="E586" i="1"/>
  <c r="G586" i="1"/>
  <c r="H586" i="1"/>
  <c r="J586" i="1"/>
  <c r="K586" i="1"/>
  <c r="L586" i="1"/>
  <c r="A587" i="1"/>
  <c r="B587" i="1"/>
  <c r="C587" i="1"/>
  <c r="D587" i="1"/>
  <c r="Q587" i="1"/>
  <c r="R587" i="1"/>
  <c r="E587" i="1"/>
  <c r="G587" i="1"/>
  <c r="H587" i="1"/>
  <c r="J587" i="1"/>
  <c r="K587" i="1"/>
  <c r="L587" i="1"/>
  <c r="A588" i="1"/>
  <c r="B588" i="1"/>
  <c r="C588" i="1"/>
  <c r="D588" i="1"/>
  <c r="Q588" i="1"/>
  <c r="R588" i="1"/>
  <c r="E588" i="1"/>
  <c r="G588" i="1"/>
  <c r="H588" i="1"/>
  <c r="J588" i="1"/>
  <c r="K588" i="1"/>
  <c r="L588" i="1"/>
  <c r="A589" i="1"/>
  <c r="B589" i="1"/>
  <c r="C589" i="1"/>
  <c r="D589" i="1"/>
  <c r="Q589" i="1"/>
  <c r="R589" i="1"/>
  <c r="E589" i="1"/>
  <c r="G589" i="1"/>
  <c r="H589" i="1"/>
  <c r="J589" i="1"/>
  <c r="K589" i="1"/>
  <c r="L589" i="1"/>
  <c r="A590" i="1"/>
  <c r="B590" i="1"/>
  <c r="C590" i="1"/>
  <c r="D590" i="1"/>
  <c r="Q590" i="1"/>
  <c r="R590" i="1"/>
  <c r="E590" i="1"/>
  <c r="G590" i="1"/>
  <c r="H590" i="1"/>
  <c r="J590" i="1"/>
  <c r="K590" i="1"/>
  <c r="L590" i="1"/>
  <c r="A591" i="1"/>
  <c r="B591" i="1"/>
  <c r="C591" i="1"/>
  <c r="D591" i="1"/>
  <c r="Q591" i="1"/>
  <c r="R591" i="1"/>
  <c r="E591" i="1"/>
  <c r="G591" i="1"/>
  <c r="H591" i="1"/>
  <c r="J591" i="1"/>
  <c r="K591" i="1"/>
  <c r="L591" i="1"/>
  <c r="A592" i="1"/>
  <c r="B592" i="1"/>
  <c r="C592" i="1"/>
  <c r="D592" i="1"/>
  <c r="Q592" i="1"/>
  <c r="R592" i="1"/>
  <c r="E592" i="1"/>
  <c r="G592" i="1"/>
  <c r="H592" i="1"/>
  <c r="J592" i="1"/>
  <c r="K592" i="1"/>
  <c r="L592" i="1"/>
  <c r="A593" i="1"/>
  <c r="B593" i="1"/>
  <c r="C593" i="1"/>
  <c r="D593" i="1"/>
  <c r="Q593" i="1"/>
  <c r="R593" i="1"/>
  <c r="E593" i="1"/>
  <c r="G593" i="1"/>
  <c r="H593" i="1"/>
  <c r="J593" i="1"/>
  <c r="K593" i="1"/>
  <c r="L593" i="1"/>
  <c r="A594" i="1"/>
  <c r="B594" i="1"/>
  <c r="C594" i="1"/>
  <c r="D594" i="1"/>
  <c r="Q594" i="1"/>
  <c r="R594" i="1"/>
  <c r="E594" i="1"/>
  <c r="G594" i="1"/>
  <c r="H594" i="1"/>
  <c r="J594" i="1"/>
  <c r="K594" i="1"/>
  <c r="L594" i="1"/>
  <c r="A595" i="1"/>
  <c r="B595" i="1"/>
  <c r="C595" i="1"/>
  <c r="D595" i="1"/>
  <c r="Q595" i="1"/>
  <c r="R595" i="1"/>
  <c r="E595" i="1"/>
  <c r="G595" i="1"/>
  <c r="H595" i="1"/>
  <c r="J595" i="1"/>
  <c r="K595" i="1"/>
  <c r="L595" i="1"/>
  <c r="A596" i="1"/>
  <c r="B596" i="1"/>
  <c r="C596" i="1"/>
  <c r="D596" i="1"/>
  <c r="Q596" i="1"/>
  <c r="R596" i="1"/>
  <c r="E596" i="1"/>
  <c r="G596" i="1"/>
  <c r="H596" i="1"/>
  <c r="J596" i="1"/>
  <c r="K596" i="1"/>
  <c r="L596" i="1"/>
  <c r="A597" i="1"/>
  <c r="B597" i="1"/>
  <c r="C597" i="1"/>
  <c r="D597" i="1"/>
  <c r="Q597" i="1"/>
  <c r="R597" i="1"/>
  <c r="E597" i="1"/>
  <c r="G597" i="1"/>
  <c r="H597" i="1"/>
  <c r="J597" i="1"/>
  <c r="K597" i="1"/>
  <c r="L597" i="1"/>
  <c r="A598" i="1"/>
  <c r="B598" i="1"/>
  <c r="C598" i="1"/>
  <c r="D598" i="1"/>
  <c r="Q598" i="1"/>
  <c r="R598" i="1"/>
  <c r="E598" i="1"/>
  <c r="G598" i="1"/>
  <c r="H598" i="1"/>
  <c r="J598" i="1"/>
  <c r="K598" i="1"/>
  <c r="L598" i="1"/>
  <c r="A599" i="1"/>
  <c r="B599" i="1"/>
  <c r="C599" i="1"/>
  <c r="D599" i="1"/>
  <c r="Q599" i="1"/>
  <c r="R599" i="1"/>
  <c r="E599" i="1"/>
  <c r="G599" i="1"/>
  <c r="H599" i="1"/>
  <c r="J599" i="1"/>
  <c r="K599" i="1"/>
  <c r="L599" i="1"/>
  <c r="A600" i="1"/>
  <c r="B600" i="1"/>
  <c r="C600" i="1"/>
  <c r="D600" i="1"/>
  <c r="Q600" i="1"/>
  <c r="R600" i="1"/>
  <c r="E600" i="1"/>
  <c r="G600" i="1"/>
  <c r="H600" i="1"/>
  <c r="J600" i="1"/>
  <c r="K600" i="1"/>
  <c r="L600" i="1"/>
  <c r="A601" i="1"/>
  <c r="B601" i="1"/>
  <c r="C601" i="1"/>
  <c r="D601" i="1"/>
  <c r="Q601" i="1"/>
  <c r="R601" i="1"/>
  <c r="E601" i="1"/>
  <c r="G601" i="1"/>
  <c r="H601" i="1"/>
  <c r="J601" i="1"/>
  <c r="K601" i="1"/>
  <c r="L601" i="1"/>
  <c r="A602" i="1"/>
  <c r="B602" i="1"/>
  <c r="C602" i="1"/>
  <c r="D602" i="1"/>
  <c r="Q602" i="1"/>
  <c r="R602" i="1"/>
  <c r="E602" i="1"/>
  <c r="F602" i="1"/>
  <c r="G602" i="1"/>
  <c r="H602" i="1"/>
  <c r="J602" i="1"/>
  <c r="K602" i="1"/>
  <c r="L602" i="1"/>
  <c r="A603" i="1"/>
  <c r="B603" i="1"/>
  <c r="C603" i="1"/>
  <c r="D603" i="1"/>
  <c r="Q603" i="1"/>
  <c r="R603" i="1"/>
  <c r="E603" i="1"/>
  <c r="F603" i="1"/>
  <c r="G603" i="1"/>
  <c r="H603" i="1"/>
  <c r="J603" i="1"/>
  <c r="K603" i="1"/>
  <c r="L603" i="1"/>
  <c r="A604" i="1"/>
  <c r="B604" i="1"/>
  <c r="C604" i="1"/>
  <c r="D604" i="1"/>
  <c r="Q604" i="1"/>
  <c r="R604" i="1"/>
  <c r="E604" i="1"/>
  <c r="G604" i="1"/>
  <c r="H604" i="1"/>
  <c r="J604" i="1"/>
  <c r="K604" i="1"/>
  <c r="L604" i="1"/>
  <c r="A605" i="1"/>
  <c r="B605" i="1"/>
  <c r="C605" i="1"/>
  <c r="D605" i="1"/>
  <c r="Q605" i="1"/>
  <c r="R605" i="1"/>
  <c r="E605" i="1"/>
  <c r="G605" i="1"/>
  <c r="H605" i="1"/>
  <c r="J605" i="1"/>
  <c r="K605" i="1"/>
  <c r="L605" i="1"/>
  <c r="A606" i="1"/>
  <c r="B606" i="1"/>
  <c r="C606" i="1"/>
  <c r="D606" i="1"/>
  <c r="Q606" i="1"/>
  <c r="R606" i="1"/>
  <c r="E606" i="1"/>
  <c r="G606" i="1"/>
  <c r="H606" i="1"/>
  <c r="J606" i="1"/>
  <c r="K606" i="1"/>
  <c r="L606" i="1"/>
  <c r="A607" i="1"/>
  <c r="B607" i="1"/>
  <c r="C607" i="1"/>
  <c r="D607" i="1"/>
  <c r="Q607" i="1"/>
  <c r="R607" i="1"/>
  <c r="E607" i="1"/>
  <c r="G607" i="1"/>
  <c r="H607" i="1"/>
  <c r="J607" i="1"/>
  <c r="K607" i="1"/>
  <c r="L607" i="1"/>
  <c r="A608" i="1"/>
  <c r="B608" i="1"/>
  <c r="C608" i="1"/>
  <c r="D608" i="1"/>
  <c r="Q608" i="1"/>
  <c r="R608" i="1"/>
  <c r="E608" i="1"/>
  <c r="G608" i="1"/>
  <c r="H608" i="1"/>
  <c r="J608" i="1"/>
  <c r="K608" i="1"/>
  <c r="L608" i="1"/>
  <c r="A609" i="1"/>
  <c r="B609" i="1"/>
  <c r="C609" i="1"/>
  <c r="D609" i="1"/>
  <c r="Q609" i="1"/>
  <c r="R609" i="1"/>
  <c r="E609" i="1"/>
  <c r="G609" i="1"/>
  <c r="H609" i="1"/>
  <c r="J609" i="1"/>
  <c r="K609" i="1"/>
  <c r="L609" i="1"/>
  <c r="A610" i="1"/>
  <c r="B610" i="1"/>
  <c r="C610" i="1"/>
  <c r="D610" i="1"/>
  <c r="Q610" i="1"/>
  <c r="R610" i="1"/>
  <c r="E610" i="1"/>
  <c r="G610" i="1"/>
  <c r="H610" i="1"/>
  <c r="J610" i="1"/>
  <c r="K610" i="1"/>
  <c r="L610" i="1"/>
  <c r="A611" i="1"/>
  <c r="B611" i="1"/>
  <c r="C611" i="1"/>
  <c r="D611" i="1"/>
  <c r="Q611" i="1"/>
  <c r="R611" i="1"/>
  <c r="E611" i="1"/>
  <c r="G611" i="1"/>
  <c r="H611" i="1"/>
  <c r="J611" i="1"/>
  <c r="K611" i="1"/>
  <c r="L611" i="1"/>
  <c r="A612" i="1"/>
  <c r="B612" i="1"/>
  <c r="C612" i="1"/>
  <c r="D612" i="1"/>
  <c r="Q612" i="1"/>
  <c r="R612" i="1"/>
  <c r="E612" i="1"/>
  <c r="G612" i="1"/>
  <c r="H612" i="1"/>
  <c r="J612" i="1"/>
  <c r="K612" i="1"/>
  <c r="L612" i="1"/>
  <c r="A613" i="1"/>
  <c r="B613" i="1"/>
  <c r="C613" i="1"/>
  <c r="D613" i="1"/>
  <c r="Q613" i="1"/>
  <c r="R613" i="1"/>
  <c r="E613" i="1"/>
  <c r="G613" i="1"/>
  <c r="H613" i="1"/>
  <c r="J613" i="1"/>
  <c r="K613" i="1"/>
  <c r="L613" i="1"/>
  <c r="A614" i="1"/>
  <c r="B614" i="1"/>
  <c r="C614" i="1"/>
  <c r="D614" i="1"/>
  <c r="Q614" i="1"/>
  <c r="R614" i="1"/>
  <c r="E614" i="1"/>
  <c r="G614" i="1"/>
  <c r="H614" i="1"/>
  <c r="J614" i="1"/>
  <c r="K614" i="1"/>
  <c r="L614" i="1"/>
  <c r="A615" i="1"/>
  <c r="B615" i="1"/>
  <c r="C615" i="1"/>
  <c r="D615" i="1"/>
  <c r="Q615" i="1"/>
  <c r="R615" i="1"/>
  <c r="E615" i="1"/>
  <c r="G615" i="1"/>
  <c r="H615" i="1"/>
  <c r="J615" i="1"/>
  <c r="K615" i="1"/>
  <c r="L615" i="1"/>
  <c r="A616" i="1"/>
  <c r="B616" i="1"/>
  <c r="C616" i="1"/>
  <c r="D616" i="1"/>
  <c r="Q616" i="1"/>
  <c r="R616" i="1"/>
  <c r="E616" i="1"/>
  <c r="G616" i="1"/>
  <c r="H616" i="1"/>
  <c r="J616" i="1"/>
  <c r="K616" i="1"/>
  <c r="L616" i="1"/>
  <c r="A617" i="1"/>
  <c r="B617" i="1"/>
  <c r="C617" i="1"/>
  <c r="D617" i="1"/>
  <c r="Q617" i="1"/>
  <c r="R617" i="1"/>
  <c r="E617" i="1"/>
  <c r="G617" i="1"/>
  <c r="H617" i="1"/>
  <c r="J617" i="1"/>
  <c r="K617" i="1"/>
  <c r="L617" i="1"/>
  <c r="A618" i="1"/>
  <c r="B618" i="1"/>
  <c r="C618" i="1"/>
  <c r="D618" i="1"/>
  <c r="Q618" i="1"/>
  <c r="R618" i="1"/>
  <c r="E618" i="1"/>
  <c r="G618" i="1"/>
  <c r="H618" i="1"/>
  <c r="J618" i="1"/>
  <c r="K618" i="1"/>
  <c r="L618" i="1"/>
  <c r="A619" i="1"/>
  <c r="B619" i="1"/>
  <c r="C619" i="1"/>
  <c r="D619" i="1"/>
  <c r="Q619" i="1"/>
  <c r="R619" i="1"/>
  <c r="E619" i="1"/>
  <c r="G619" i="1"/>
  <c r="H619" i="1"/>
  <c r="J619" i="1"/>
  <c r="K619" i="1"/>
  <c r="L619" i="1"/>
  <c r="A620" i="1"/>
  <c r="B620" i="1"/>
  <c r="C620" i="1"/>
  <c r="D620" i="1"/>
  <c r="Q620" i="1"/>
  <c r="R620" i="1"/>
  <c r="E620" i="1"/>
  <c r="G620" i="1"/>
  <c r="H620" i="1"/>
  <c r="J620" i="1"/>
  <c r="K620" i="1"/>
  <c r="L620" i="1"/>
  <c r="A621" i="1"/>
  <c r="B621" i="1"/>
  <c r="C621" i="1"/>
  <c r="D621" i="1"/>
  <c r="Q621" i="1"/>
  <c r="R621" i="1"/>
  <c r="E621" i="1"/>
  <c r="G621" i="1"/>
  <c r="H621" i="1"/>
  <c r="J621" i="1"/>
  <c r="K621" i="1"/>
  <c r="L621" i="1"/>
  <c r="A622" i="1"/>
  <c r="B622" i="1"/>
  <c r="C622" i="1"/>
  <c r="D622" i="1"/>
  <c r="Q622" i="1"/>
  <c r="R622" i="1"/>
  <c r="E622" i="1"/>
  <c r="G622" i="1"/>
  <c r="H622" i="1"/>
  <c r="J622" i="1"/>
  <c r="K622" i="1"/>
  <c r="L622" i="1"/>
  <c r="A623" i="1"/>
  <c r="B623" i="1"/>
  <c r="C623" i="1"/>
  <c r="D623" i="1"/>
  <c r="Q623" i="1"/>
  <c r="R623" i="1"/>
  <c r="E623" i="1"/>
  <c r="G623" i="1"/>
  <c r="H623" i="1"/>
  <c r="J623" i="1"/>
  <c r="K623" i="1"/>
  <c r="L623" i="1"/>
  <c r="A624" i="1"/>
  <c r="B624" i="1"/>
  <c r="C624" i="1"/>
  <c r="D624" i="1"/>
  <c r="Q624" i="1"/>
  <c r="R624" i="1"/>
  <c r="E624" i="1"/>
  <c r="G624" i="1"/>
  <c r="H624" i="1"/>
  <c r="J624" i="1"/>
  <c r="K624" i="1"/>
  <c r="L624" i="1"/>
  <c r="A625" i="1"/>
  <c r="B625" i="1"/>
  <c r="C625" i="1"/>
  <c r="D625" i="1"/>
  <c r="Q625" i="1"/>
  <c r="R625" i="1"/>
  <c r="E625" i="1"/>
  <c r="G625" i="1"/>
  <c r="H625" i="1"/>
  <c r="J625" i="1"/>
  <c r="K625" i="1"/>
  <c r="L625" i="1"/>
  <c r="A626" i="1"/>
  <c r="B626" i="1"/>
  <c r="C626" i="1"/>
  <c r="D626" i="1"/>
  <c r="Q626" i="1"/>
  <c r="R626" i="1"/>
  <c r="E626" i="1"/>
  <c r="G626" i="1"/>
  <c r="H626" i="1"/>
  <c r="J626" i="1"/>
  <c r="K626" i="1"/>
  <c r="L626" i="1"/>
  <c r="A627" i="1"/>
  <c r="B627" i="1"/>
  <c r="C627" i="1"/>
  <c r="D627" i="1"/>
  <c r="Q627" i="1"/>
  <c r="R627" i="1"/>
  <c r="E627" i="1"/>
  <c r="G627" i="1"/>
  <c r="H627" i="1"/>
  <c r="J627" i="1"/>
  <c r="K627" i="1"/>
  <c r="L627" i="1"/>
  <c r="A628" i="1"/>
  <c r="B628" i="1"/>
  <c r="C628" i="1"/>
  <c r="D628" i="1"/>
  <c r="Q628" i="1"/>
  <c r="R628" i="1"/>
  <c r="E628" i="1"/>
  <c r="G628" i="1"/>
  <c r="H628" i="1"/>
  <c r="J628" i="1"/>
  <c r="K628" i="1"/>
  <c r="L628" i="1"/>
  <c r="A629" i="1"/>
  <c r="B629" i="1"/>
  <c r="C629" i="1"/>
  <c r="D629" i="1"/>
  <c r="Q629" i="1"/>
  <c r="R629" i="1"/>
  <c r="E629" i="1"/>
  <c r="G629" i="1"/>
  <c r="H629" i="1"/>
  <c r="J629" i="1"/>
  <c r="K629" i="1"/>
  <c r="L629" i="1"/>
  <c r="A630" i="1"/>
  <c r="B630" i="1"/>
  <c r="C630" i="1"/>
  <c r="D630" i="1"/>
  <c r="Q630" i="1"/>
  <c r="R630" i="1"/>
  <c r="E630" i="1"/>
  <c r="G630" i="1"/>
  <c r="H630" i="1"/>
  <c r="J630" i="1"/>
  <c r="K630" i="1"/>
  <c r="L630" i="1"/>
  <c r="A631" i="1"/>
  <c r="B631" i="1"/>
  <c r="C631" i="1"/>
  <c r="D631" i="1"/>
  <c r="Q631" i="1"/>
  <c r="R631" i="1"/>
  <c r="E631" i="1"/>
  <c r="G631" i="1"/>
  <c r="H631" i="1"/>
  <c r="J631" i="1"/>
  <c r="K631" i="1"/>
  <c r="L631" i="1"/>
  <c r="A632" i="1"/>
  <c r="B632" i="1"/>
  <c r="C632" i="1"/>
  <c r="D632" i="1"/>
  <c r="Q632" i="1"/>
  <c r="R632" i="1"/>
  <c r="E632" i="1"/>
  <c r="G632" i="1"/>
  <c r="H632" i="1"/>
  <c r="J632" i="1"/>
  <c r="K632" i="1"/>
  <c r="L632" i="1"/>
  <c r="A633" i="1"/>
  <c r="B633" i="1"/>
  <c r="C633" i="1"/>
  <c r="D633" i="1"/>
  <c r="Q633" i="1"/>
  <c r="R633" i="1"/>
  <c r="E633" i="1"/>
  <c r="G633" i="1"/>
  <c r="H633" i="1"/>
  <c r="J633" i="1"/>
  <c r="K633" i="1"/>
  <c r="L633" i="1"/>
  <c r="A634" i="1"/>
  <c r="B634" i="1"/>
  <c r="C634" i="1"/>
  <c r="D634" i="1"/>
  <c r="Q634" i="1"/>
  <c r="R634" i="1"/>
  <c r="E634" i="1"/>
  <c r="G634" i="1"/>
  <c r="H634" i="1"/>
  <c r="J634" i="1"/>
  <c r="K634" i="1"/>
  <c r="L634" i="1"/>
  <c r="A635" i="1"/>
  <c r="B635" i="1"/>
  <c r="C635" i="1"/>
  <c r="D635" i="1"/>
  <c r="Q635" i="1"/>
  <c r="R635" i="1"/>
  <c r="E635" i="1"/>
  <c r="G635" i="1"/>
  <c r="H635" i="1"/>
  <c r="J635" i="1"/>
  <c r="K635" i="1"/>
  <c r="L635" i="1"/>
  <c r="A636" i="1"/>
  <c r="B636" i="1"/>
  <c r="C636" i="1"/>
  <c r="D636" i="1"/>
  <c r="Q636" i="1"/>
  <c r="R636" i="1"/>
  <c r="E636" i="1"/>
  <c r="G636" i="1"/>
  <c r="H636" i="1"/>
  <c r="J636" i="1"/>
  <c r="K636" i="1"/>
  <c r="L636" i="1"/>
  <c r="A637" i="1"/>
  <c r="B637" i="1"/>
  <c r="C637" i="1"/>
  <c r="D637" i="1"/>
  <c r="Q637" i="1"/>
  <c r="R637" i="1"/>
  <c r="E637" i="1"/>
  <c r="G637" i="1"/>
  <c r="H637" i="1"/>
  <c r="J637" i="1"/>
  <c r="K637" i="1"/>
  <c r="L637" i="1"/>
  <c r="A638" i="1"/>
  <c r="B638" i="1"/>
  <c r="C638" i="1"/>
  <c r="D638" i="1"/>
  <c r="Q638" i="1"/>
  <c r="R638" i="1"/>
  <c r="E638" i="1"/>
  <c r="G638" i="1"/>
  <c r="H638" i="1"/>
  <c r="J638" i="1"/>
  <c r="K638" i="1"/>
  <c r="L638" i="1"/>
  <c r="A639" i="1"/>
  <c r="B639" i="1"/>
  <c r="C639" i="1"/>
  <c r="D639" i="1"/>
  <c r="Q639" i="1"/>
  <c r="R639" i="1"/>
  <c r="E639" i="1"/>
  <c r="G639" i="1"/>
  <c r="H639" i="1"/>
  <c r="J639" i="1"/>
  <c r="K639" i="1"/>
  <c r="L639" i="1"/>
  <c r="A640" i="1"/>
  <c r="B640" i="1"/>
  <c r="C640" i="1"/>
  <c r="D640" i="1"/>
  <c r="Q640" i="1"/>
  <c r="R640" i="1"/>
  <c r="E640" i="1"/>
  <c r="G640" i="1"/>
  <c r="H640" i="1"/>
  <c r="J640" i="1"/>
  <c r="K640" i="1"/>
  <c r="L640" i="1"/>
  <c r="A641" i="1"/>
  <c r="B641" i="1"/>
  <c r="C641" i="1"/>
  <c r="D641" i="1"/>
  <c r="Q641" i="1"/>
  <c r="R641" i="1"/>
  <c r="E641" i="1"/>
  <c r="G641" i="1"/>
  <c r="H641" i="1"/>
  <c r="J641" i="1"/>
  <c r="K641" i="1"/>
  <c r="L641" i="1"/>
  <c r="A642" i="1"/>
  <c r="B642" i="1"/>
  <c r="C642" i="1"/>
  <c r="D642" i="1"/>
  <c r="Q642" i="1"/>
  <c r="R642" i="1"/>
  <c r="E642" i="1"/>
  <c r="G642" i="1"/>
  <c r="H642" i="1"/>
  <c r="J642" i="1"/>
  <c r="K642" i="1"/>
  <c r="L642" i="1"/>
  <c r="A643" i="1"/>
  <c r="B643" i="1"/>
  <c r="C643" i="1"/>
  <c r="D643" i="1"/>
  <c r="Q643" i="1"/>
  <c r="R643" i="1"/>
  <c r="E643" i="1"/>
  <c r="G643" i="1"/>
  <c r="H643" i="1"/>
  <c r="J643" i="1"/>
  <c r="K643" i="1"/>
  <c r="L643" i="1"/>
  <c r="A644" i="1"/>
  <c r="B644" i="1"/>
  <c r="C644" i="1"/>
  <c r="D644" i="1"/>
  <c r="Q644" i="1"/>
  <c r="R644" i="1"/>
  <c r="E644" i="1"/>
  <c r="G644" i="1"/>
  <c r="H644" i="1"/>
  <c r="J644" i="1"/>
  <c r="K644" i="1"/>
  <c r="L644" i="1"/>
  <c r="A645" i="1"/>
  <c r="B645" i="1"/>
  <c r="C645" i="1"/>
  <c r="D645" i="1"/>
  <c r="Q645" i="1"/>
  <c r="R645" i="1"/>
  <c r="E645" i="1"/>
  <c r="G645" i="1"/>
  <c r="H645" i="1"/>
  <c r="J645" i="1"/>
  <c r="K645" i="1"/>
  <c r="L645" i="1"/>
  <c r="A646" i="1"/>
  <c r="B646" i="1"/>
  <c r="C646" i="1"/>
  <c r="D646" i="1"/>
  <c r="Q646" i="1"/>
  <c r="R646" i="1"/>
  <c r="E646" i="1"/>
  <c r="G646" i="1"/>
  <c r="H646" i="1"/>
  <c r="J646" i="1"/>
  <c r="K646" i="1"/>
  <c r="L646" i="1"/>
  <c r="A647" i="1"/>
  <c r="B647" i="1"/>
  <c r="C647" i="1"/>
  <c r="D647" i="1"/>
  <c r="Q647" i="1"/>
  <c r="R647" i="1"/>
  <c r="E647" i="1"/>
  <c r="G647" i="1"/>
  <c r="H647" i="1"/>
  <c r="J647" i="1"/>
  <c r="K647" i="1"/>
  <c r="L647" i="1"/>
  <c r="A648" i="1"/>
  <c r="B648" i="1"/>
  <c r="C648" i="1"/>
  <c r="D648" i="1"/>
  <c r="Q648" i="1"/>
  <c r="R648" i="1"/>
  <c r="E648" i="1"/>
  <c r="G648" i="1"/>
  <c r="H648" i="1"/>
  <c r="J648" i="1"/>
  <c r="K648" i="1"/>
  <c r="L648" i="1"/>
  <c r="A649" i="1"/>
  <c r="B649" i="1"/>
  <c r="C649" i="1"/>
  <c r="D649" i="1"/>
  <c r="Q649" i="1"/>
  <c r="R649" i="1"/>
  <c r="E649" i="1"/>
  <c r="G649" i="1"/>
  <c r="H649" i="1"/>
  <c r="J649" i="1"/>
  <c r="K649" i="1"/>
  <c r="L649" i="1"/>
  <c r="A650" i="1"/>
  <c r="B650" i="1"/>
  <c r="C650" i="1"/>
  <c r="D650" i="1"/>
  <c r="Q650" i="1"/>
  <c r="R650" i="1"/>
  <c r="E650" i="1"/>
  <c r="G650" i="1"/>
  <c r="H650" i="1"/>
  <c r="J650" i="1"/>
  <c r="K650" i="1"/>
  <c r="L650" i="1"/>
  <c r="A651" i="1"/>
  <c r="B651" i="1"/>
  <c r="C651" i="1"/>
  <c r="D651" i="1"/>
  <c r="Q651" i="1"/>
  <c r="R651" i="1"/>
  <c r="E651" i="1"/>
  <c r="G651" i="1"/>
  <c r="H651" i="1"/>
  <c r="J651" i="1"/>
  <c r="K651" i="1"/>
  <c r="L651" i="1"/>
  <c r="A652" i="1"/>
  <c r="B652" i="1"/>
  <c r="C652" i="1"/>
  <c r="D652" i="1"/>
  <c r="Q652" i="1"/>
  <c r="R652" i="1"/>
  <c r="E652" i="1"/>
  <c r="G652" i="1"/>
  <c r="H652" i="1"/>
  <c r="J652" i="1"/>
  <c r="K652" i="1"/>
  <c r="L652" i="1"/>
  <c r="A653" i="1"/>
  <c r="B653" i="1"/>
  <c r="C653" i="1"/>
  <c r="D653" i="1"/>
  <c r="Q653" i="1"/>
  <c r="R653" i="1"/>
  <c r="E653" i="1"/>
  <c r="G653" i="1"/>
  <c r="H653" i="1"/>
  <c r="J653" i="1"/>
  <c r="K653" i="1"/>
  <c r="L653" i="1"/>
  <c r="A654" i="1"/>
  <c r="B654" i="1"/>
  <c r="C654" i="1"/>
  <c r="D654" i="1"/>
  <c r="Q654" i="1"/>
  <c r="R654" i="1"/>
  <c r="E654" i="1"/>
  <c r="G654" i="1"/>
  <c r="H654" i="1"/>
  <c r="J654" i="1"/>
  <c r="K654" i="1"/>
  <c r="L654" i="1"/>
  <c r="A655" i="1"/>
  <c r="B655" i="1"/>
  <c r="C655" i="1"/>
  <c r="D655" i="1"/>
  <c r="Q655" i="1"/>
  <c r="R655" i="1"/>
  <c r="E655" i="1"/>
  <c r="G655" i="1"/>
  <c r="H655" i="1"/>
  <c r="J655" i="1"/>
  <c r="K655" i="1"/>
  <c r="L655" i="1"/>
  <c r="A656" i="1"/>
  <c r="B656" i="1"/>
  <c r="C656" i="1"/>
  <c r="D656" i="1"/>
  <c r="Q656" i="1"/>
  <c r="R656" i="1"/>
  <c r="E656" i="1"/>
  <c r="G656" i="1"/>
  <c r="H656" i="1"/>
  <c r="J656" i="1"/>
  <c r="K656" i="1"/>
  <c r="L656" i="1"/>
  <c r="A657" i="1"/>
  <c r="B657" i="1"/>
  <c r="C657" i="1"/>
  <c r="D657" i="1"/>
  <c r="Q657" i="1"/>
  <c r="R657" i="1"/>
  <c r="E657" i="1"/>
  <c r="G657" i="1"/>
  <c r="H657" i="1"/>
  <c r="J657" i="1"/>
  <c r="K657" i="1"/>
  <c r="L657" i="1"/>
  <c r="A658" i="1"/>
  <c r="B658" i="1"/>
  <c r="C658" i="1"/>
  <c r="D658" i="1"/>
  <c r="Q658" i="1"/>
  <c r="R658" i="1"/>
  <c r="E658" i="1"/>
  <c r="G658" i="1"/>
  <c r="H658" i="1"/>
  <c r="J658" i="1"/>
  <c r="K658" i="1"/>
  <c r="L658" i="1"/>
  <c r="A659" i="1"/>
  <c r="B659" i="1"/>
  <c r="C659" i="1"/>
  <c r="D659" i="1"/>
  <c r="Q659" i="1"/>
  <c r="R659" i="1"/>
  <c r="E659" i="1"/>
  <c r="G659" i="1"/>
  <c r="H659" i="1"/>
  <c r="J659" i="1"/>
  <c r="K659" i="1"/>
  <c r="L659" i="1"/>
  <c r="A660" i="1"/>
  <c r="B660" i="1"/>
  <c r="C660" i="1"/>
  <c r="D660" i="1"/>
  <c r="Q660" i="1"/>
  <c r="R660" i="1"/>
  <c r="E660" i="1"/>
  <c r="G660" i="1"/>
  <c r="H660" i="1"/>
  <c r="J660" i="1"/>
  <c r="K660" i="1"/>
  <c r="L660" i="1"/>
  <c r="A661" i="1"/>
  <c r="B661" i="1"/>
  <c r="C661" i="1"/>
  <c r="D661" i="1"/>
  <c r="Q661" i="1"/>
  <c r="R661" i="1"/>
  <c r="E661" i="1"/>
  <c r="G661" i="1"/>
  <c r="H661" i="1"/>
  <c r="J661" i="1"/>
  <c r="K661" i="1"/>
  <c r="L661" i="1"/>
  <c r="A662" i="1"/>
  <c r="B662" i="1"/>
  <c r="C662" i="1"/>
  <c r="D662" i="1"/>
  <c r="Q662" i="1"/>
  <c r="R662" i="1"/>
  <c r="E662" i="1"/>
  <c r="G662" i="1"/>
  <c r="H662" i="1"/>
  <c r="J662" i="1"/>
  <c r="K662" i="1"/>
  <c r="L662" i="1"/>
  <c r="A670" i="1"/>
  <c r="B670" i="1"/>
  <c r="C670" i="1"/>
  <c r="D670" i="1"/>
  <c r="Q670" i="1"/>
  <c r="R670" i="1"/>
  <c r="E670" i="1"/>
  <c r="G670" i="1"/>
  <c r="H670" i="1"/>
  <c r="J670" i="1"/>
  <c r="K670" i="1"/>
  <c r="L670" i="1"/>
  <c r="A671" i="1"/>
  <c r="B671" i="1"/>
  <c r="C671" i="1"/>
  <c r="D671" i="1"/>
  <c r="Q671" i="1"/>
  <c r="R671" i="1"/>
  <c r="E671" i="1"/>
  <c r="G671" i="1"/>
  <c r="H671" i="1"/>
  <c r="J671" i="1"/>
  <c r="K671" i="1"/>
  <c r="L671" i="1"/>
  <c r="A672" i="1"/>
  <c r="B672" i="1"/>
  <c r="C672" i="1"/>
  <c r="D672" i="1"/>
  <c r="Q672" i="1"/>
  <c r="R672" i="1"/>
  <c r="E672" i="1"/>
  <c r="G672" i="1"/>
  <c r="H672" i="1"/>
  <c r="J672" i="1"/>
  <c r="K672" i="1"/>
  <c r="L672" i="1"/>
  <c r="A673" i="1"/>
  <c r="B673" i="1"/>
  <c r="C673" i="1"/>
  <c r="D673" i="1"/>
  <c r="Q673" i="1"/>
  <c r="R673" i="1"/>
  <c r="E673" i="1"/>
  <c r="G673" i="1"/>
  <c r="H673" i="1"/>
  <c r="J673" i="1"/>
  <c r="K673" i="1"/>
  <c r="L673" i="1"/>
  <c r="A674" i="1"/>
  <c r="B674" i="1"/>
  <c r="C674" i="1"/>
  <c r="D674" i="1"/>
  <c r="Q674" i="1"/>
  <c r="R674" i="1"/>
  <c r="E674" i="1"/>
  <c r="G674" i="1"/>
  <c r="H674" i="1"/>
  <c r="J674" i="1"/>
  <c r="K674" i="1"/>
  <c r="L674" i="1"/>
  <c r="A675" i="1"/>
  <c r="B675" i="1"/>
  <c r="C675" i="1"/>
  <c r="D675" i="1"/>
  <c r="Q675" i="1"/>
  <c r="R675" i="1"/>
  <c r="E675" i="1"/>
  <c r="G675" i="1"/>
  <c r="H675" i="1"/>
  <c r="J675" i="1"/>
  <c r="K675" i="1"/>
  <c r="L675" i="1"/>
  <c r="A676" i="1"/>
  <c r="B676" i="1"/>
  <c r="C676" i="1"/>
  <c r="D676" i="1"/>
  <c r="Q676" i="1"/>
  <c r="R676" i="1"/>
  <c r="E676" i="1"/>
  <c r="G676" i="1"/>
  <c r="H676" i="1"/>
  <c r="J676" i="1"/>
  <c r="K676" i="1"/>
  <c r="L676" i="1"/>
  <c r="A677" i="1"/>
  <c r="B677" i="1"/>
  <c r="C677" i="1"/>
  <c r="D677" i="1"/>
  <c r="Q677" i="1"/>
  <c r="R677" i="1"/>
  <c r="E677" i="1"/>
  <c r="G677" i="1"/>
  <c r="H677" i="1"/>
  <c r="J677" i="1"/>
  <c r="K677" i="1"/>
  <c r="L677" i="1"/>
  <c r="A678" i="1"/>
  <c r="B678" i="1"/>
  <c r="C678" i="1"/>
  <c r="D678" i="1"/>
  <c r="Q678" i="1"/>
  <c r="R678" i="1"/>
  <c r="E678" i="1"/>
  <c r="G678" i="1"/>
  <c r="H678" i="1"/>
  <c r="J678" i="1"/>
  <c r="K678" i="1"/>
  <c r="L678" i="1"/>
  <c r="A679" i="1"/>
  <c r="B679" i="1"/>
  <c r="C679" i="1"/>
  <c r="D679" i="1"/>
  <c r="Q679" i="1"/>
  <c r="R679" i="1"/>
  <c r="E679" i="1"/>
  <c r="G679" i="1"/>
  <c r="H679" i="1"/>
  <c r="J679" i="1"/>
  <c r="K679" i="1"/>
  <c r="L679" i="1"/>
  <c r="A680" i="1"/>
  <c r="B680" i="1"/>
  <c r="C680" i="1"/>
  <c r="D680" i="1"/>
  <c r="Q680" i="1"/>
  <c r="R680" i="1"/>
  <c r="E680" i="1"/>
  <c r="G680" i="1"/>
  <c r="H680" i="1"/>
  <c r="J680" i="1"/>
  <c r="K680" i="1"/>
  <c r="L680" i="1"/>
  <c r="A681" i="1"/>
  <c r="B681" i="1"/>
  <c r="C681" i="1"/>
  <c r="D681" i="1"/>
  <c r="Q681" i="1"/>
  <c r="R681" i="1"/>
  <c r="E681" i="1"/>
  <c r="G681" i="1"/>
  <c r="H681" i="1"/>
  <c r="J681" i="1"/>
  <c r="K681" i="1"/>
  <c r="L681" i="1"/>
  <c r="A682" i="1"/>
  <c r="B682" i="1"/>
  <c r="C682" i="1"/>
  <c r="D682" i="1"/>
  <c r="Q682" i="1"/>
  <c r="R682" i="1"/>
  <c r="E682" i="1"/>
  <c r="G682" i="1"/>
  <c r="H682" i="1"/>
  <c r="J682" i="1"/>
  <c r="K682" i="1"/>
  <c r="L682" i="1"/>
  <c r="A683" i="1"/>
  <c r="B683" i="1"/>
  <c r="C683" i="1"/>
  <c r="D683" i="1"/>
  <c r="Q683" i="1"/>
  <c r="R683" i="1"/>
  <c r="E683" i="1"/>
  <c r="G683" i="1"/>
  <c r="H683" i="1"/>
  <c r="J683" i="1"/>
  <c r="K683" i="1"/>
  <c r="L683" i="1"/>
  <c r="A684" i="1"/>
  <c r="B684" i="1"/>
  <c r="C684" i="1"/>
  <c r="D684" i="1"/>
  <c r="Q684" i="1"/>
  <c r="R684" i="1"/>
  <c r="E684" i="1"/>
  <c r="G684" i="1"/>
  <c r="H684" i="1"/>
  <c r="J684" i="1"/>
  <c r="K684" i="1"/>
  <c r="L684" i="1"/>
  <c r="A685" i="1"/>
  <c r="B685" i="1"/>
  <c r="C685" i="1"/>
  <c r="D685" i="1"/>
  <c r="Q685" i="1"/>
  <c r="R685" i="1"/>
  <c r="E685" i="1"/>
  <c r="G685" i="1"/>
  <c r="H685" i="1"/>
  <c r="J685" i="1"/>
  <c r="K685" i="1"/>
  <c r="L685" i="1"/>
  <c r="A686" i="1"/>
  <c r="B686" i="1"/>
  <c r="C686" i="1"/>
  <c r="D686" i="1"/>
  <c r="Q686" i="1"/>
  <c r="R686" i="1"/>
  <c r="E686" i="1"/>
  <c r="G686" i="1"/>
  <c r="H686" i="1"/>
  <c r="J686" i="1"/>
  <c r="K686" i="1"/>
  <c r="L686" i="1"/>
  <c r="A687" i="1"/>
  <c r="B687" i="1"/>
  <c r="C687" i="1"/>
  <c r="D687" i="1"/>
  <c r="Q687" i="1"/>
  <c r="R687" i="1"/>
  <c r="E687" i="1"/>
  <c r="G687" i="1"/>
  <c r="H687" i="1"/>
  <c r="J687" i="1"/>
  <c r="K687" i="1"/>
  <c r="L687" i="1"/>
  <c r="A688" i="1"/>
  <c r="B688" i="1"/>
  <c r="C688" i="1"/>
  <c r="D688" i="1"/>
  <c r="Q688" i="1"/>
  <c r="R688" i="1"/>
  <c r="E688" i="1"/>
  <c r="G688" i="1"/>
  <c r="H688" i="1"/>
  <c r="J688" i="1"/>
  <c r="K688" i="1"/>
  <c r="L688" i="1"/>
  <c r="A689" i="1"/>
  <c r="B689" i="1"/>
  <c r="C689" i="1"/>
  <c r="D689" i="1"/>
  <c r="Q689" i="1"/>
  <c r="R689" i="1"/>
  <c r="E689" i="1"/>
  <c r="G689" i="1"/>
  <c r="H689" i="1"/>
  <c r="J689" i="1"/>
  <c r="K689" i="1"/>
  <c r="L689" i="1"/>
  <c r="A690" i="1"/>
  <c r="B690" i="1"/>
  <c r="C690" i="1"/>
  <c r="D690" i="1"/>
  <c r="Q690" i="1"/>
  <c r="R690" i="1"/>
  <c r="E690" i="1"/>
  <c r="G690" i="1"/>
  <c r="H690" i="1"/>
  <c r="J690" i="1"/>
  <c r="K690" i="1"/>
  <c r="L690" i="1"/>
  <c r="A691" i="1"/>
  <c r="B691" i="1"/>
  <c r="C691" i="1"/>
  <c r="D691" i="1"/>
  <c r="Q691" i="1"/>
  <c r="R691" i="1"/>
  <c r="E691" i="1"/>
  <c r="G691" i="1"/>
  <c r="H691" i="1"/>
  <c r="J691" i="1"/>
  <c r="K691" i="1"/>
  <c r="L691" i="1"/>
  <c r="A692" i="1"/>
  <c r="B692" i="1"/>
  <c r="C692" i="1"/>
  <c r="D692" i="1"/>
  <c r="Q692" i="1"/>
  <c r="R692" i="1"/>
  <c r="E692" i="1"/>
  <c r="G692" i="1"/>
  <c r="H692" i="1"/>
  <c r="J692" i="1"/>
  <c r="K692" i="1"/>
  <c r="L692" i="1"/>
  <c r="A693" i="1"/>
  <c r="B693" i="1"/>
  <c r="C693" i="1"/>
  <c r="D693" i="1"/>
  <c r="Q693" i="1"/>
  <c r="R693" i="1"/>
  <c r="E693" i="1"/>
  <c r="G693" i="1"/>
  <c r="H693" i="1"/>
  <c r="J693" i="1"/>
  <c r="K693" i="1"/>
  <c r="L693" i="1"/>
  <c r="A694" i="1"/>
  <c r="B694" i="1"/>
  <c r="C694" i="1"/>
  <c r="D694" i="1"/>
  <c r="Q694" i="1"/>
  <c r="R694" i="1"/>
  <c r="E694" i="1"/>
  <c r="G694" i="1"/>
  <c r="H694" i="1"/>
  <c r="J694" i="1"/>
  <c r="K694" i="1"/>
  <c r="L694" i="1"/>
  <c r="A695" i="1"/>
  <c r="B695" i="1"/>
  <c r="C695" i="1"/>
  <c r="D695" i="1"/>
  <c r="Q695" i="1"/>
  <c r="R695" i="1"/>
  <c r="E695" i="1"/>
  <c r="G695" i="1"/>
  <c r="H695" i="1"/>
  <c r="J695" i="1"/>
  <c r="K695" i="1"/>
  <c r="L695" i="1"/>
  <c r="A696" i="1"/>
  <c r="B696" i="1"/>
  <c r="C696" i="1"/>
  <c r="D696" i="1"/>
  <c r="Q696" i="1"/>
  <c r="R696" i="1"/>
  <c r="E696" i="1"/>
  <c r="G696" i="1"/>
  <c r="H696" i="1"/>
  <c r="J696" i="1"/>
  <c r="K696" i="1"/>
  <c r="L696" i="1"/>
  <c r="A697" i="1"/>
  <c r="B697" i="1"/>
  <c r="C697" i="1"/>
  <c r="D697" i="1"/>
  <c r="Q697" i="1"/>
  <c r="R697" i="1"/>
  <c r="E697" i="1"/>
  <c r="G697" i="1"/>
  <c r="H697" i="1"/>
  <c r="J697" i="1"/>
  <c r="K697" i="1"/>
  <c r="L697" i="1"/>
  <c r="A698" i="1"/>
  <c r="B698" i="1"/>
  <c r="C698" i="1"/>
  <c r="D698" i="1"/>
  <c r="Q698" i="1"/>
  <c r="R698" i="1"/>
  <c r="E698" i="1"/>
  <c r="G698" i="1"/>
  <c r="H698" i="1"/>
  <c r="J698" i="1"/>
  <c r="K698" i="1"/>
  <c r="L698" i="1"/>
  <c r="A699" i="1"/>
  <c r="B699" i="1"/>
  <c r="C699" i="1"/>
  <c r="D699" i="1"/>
  <c r="Q699" i="1"/>
  <c r="R699" i="1"/>
  <c r="E699" i="1"/>
  <c r="G699" i="1"/>
  <c r="H699" i="1"/>
  <c r="J699" i="1"/>
  <c r="K699" i="1"/>
  <c r="L699" i="1"/>
  <c r="A700" i="1"/>
  <c r="B700" i="1"/>
  <c r="C700" i="1"/>
  <c r="D700" i="1"/>
  <c r="Q700" i="1"/>
  <c r="R700" i="1"/>
  <c r="E700" i="1"/>
  <c r="G700" i="1"/>
  <c r="H700" i="1"/>
  <c r="J700" i="1"/>
  <c r="K700" i="1"/>
  <c r="L700" i="1"/>
  <c r="A701" i="1"/>
  <c r="B701" i="1"/>
  <c r="C701" i="1"/>
  <c r="D701" i="1"/>
  <c r="Q701" i="1"/>
  <c r="R701" i="1"/>
  <c r="E701" i="1"/>
  <c r="G701" i="1"/>
  <c r="H701" i="1"/>
  <c r="J701" i="1"/>
  <c r="K701" i="1"/>
  <c r="L701" i="1"/>
  <c r="A702" i="1"/>
  <c r="B702" i="1"/>
  <c r="C702" i="1"/>
  <c r="D702" i="1"/>
  <c r="Q702" i="1"/>
  <c r="R702" i="1"/>
  <c r="E702" i="1"/>
  <c r="G702" i="1"/>
  <c r="H702" i="1"/>
  <c r="J702" i="1"/>
  <c r="K702" i="1"/>
  <c r="L702" i="1"/>
  <c r="A703" i="1"/>
  <c r="B703" i="1"/>
  <c r="C703" i="1"/>
  <c r="D703" i="1"/>
  <c r="Q703" i="1"/>
  <c r="R703" i="1"/>
  <c r="E703" i="1"/>
  <c r="G703" i="1"/>
  <c r="H703" i="1"/>
  <c r="J703" i="1"/>
  <c r="K703" i="1"/>
  <c r="L703" i="1"/>
  <c r="A704" i="1"/>
  <c r="B704" i="1"/>
  <c r="C704" i="1"/>
  <c r="D704" i="1"/>
  <c r="Q704" i="1"/>
  <c r="R704" i="1"/>
  <c r="E704" i="1"/>
  <c r="G704" i="1"/>
  <c r="H704" i="1"/>
  <c r="J704" i="1"/>
  <c r="K704" i="1"/>
  <c r="L704" i="1"/>
  <c r="A705" i="1"/>
  <c r="B705" i="1"/>
  <c r="C705" i="1"/>
  <c r="D705" i="1"/>
  <c r="Q705" i="1"/>
  <c r="R705" i="1"/>
  <c r="E705" i="1"/>
  <c r="G705" i="1"/>
  <c r="H705" i="1"/>
  <c r="J705" i="1"/>
  <c r="K705" i="1"/>
  <c r="L705" i="1"/>
  <c r="A706" i="1"/>
  <c r="B706" i="1"/>
  <c r="C706" i="1"/>
  <c r="D706" i="1"/>
  <c r="Q706" i="1"/>
  <c r="R706" i="1"/>
  <c r="E706" i="1"/>
  <c r="G706" i="1"/>
  <c r="H706" i="1"/>
  <c r="J706" i="1"/>
  <c r="K706" i="1"/>
  <c r="L706" i="1"/>
  <c r="A707" i="1"/>
  <c r="B707" i="1"/>
  <c r="C707" i="1"/>
  <c r="D707" i="1"/>
  <c r="Q707" i="1"/>
  <c r="R707" i="1"/>
  <c r="E707" i="1"/>
  <c r="G707" i="1"/>
  <c r="H707" i="1"/>
  <c r="J707" i="1"/>
  <c r="K707" i="1"/>
  <c r="L707" i="1"/>
  <c r="A708" i="1"/>
  <c r="B708" i="1"/>
  <c r="C708" i="1"/>
  <c r="D708" i="1"/>
  <c r="Q708" i="1"/>
  <c r="R708" i="1"/>
  <c r="E708" i="1"/>
  <c r="G708" i="1"/>
  <c r="H708" i="1"/>
  <c r="J708" i="1"/>
  <c r="K708" i="1"/>
  <c r="L708" i="1"/>
  <c r="A709" i="1"/>
  <c r="B709" i="1"/>
  <c r="C709" i="1"/>
  <c r="D709" i="1"/>
  <c r="Q709" i="1"/>
  <c r="R709" i="1"/>
  <c r="E709" i="1"/>
  <c r="G709" i="1"/>
  <c r="H709" i="1"/>
  <c r="J709" i="1"/>
  <c r="K709" i="1"/>
  <c r="L709" i="1"/>
  <c r="A710" i="1"/>
  <c r="B710" i="1"/>
  <c r="C710" i="1"/>
  <c r="D710" i="1"/>
  <c r="Q710" i="1"/>
  <c r="R710" i="1"/>
  <c r="E710" i="1"/>
  <c r="G710" i="1"/>
  <c r="H710" i="1"/>
  <c r="J710" i="1"/>
  <c r="K710" i="1"/>
  <c r="L710" i="1"/>
  <c r="A711" i="1"/>
  <c r="B711" i="1"/>
  <c r="C711" i="1"/>
  <c r="D711" i="1"/>
  <c r="Q711" i="1"/>
  <c r="R711" i="1"/>
  <c r="E711" i="1"/>
  <c r="G711" i="1"/>
  <c r="H711" i="1"/>
  <c r="J711" i="1"/>
  <c r="K711" i="1"/>
  <c r="L711" i="1"/>
  <c r="A712" i="1"/>
  <c r="B712" i="1"/>
  <c r="C712" i="1"/>
  <c r="D712" i="1"/>
  <c r="Q712" i="1"/>
  <c r="R712" i="1"/>
  <c r="E712" i="1"/>
  <c r="F712" i="1"/>
  <c r="G712" i="1"/>
  <c r="H712" i="1"/>
  <c r="J712" i="1"/>
  <c r="K712" i="1"/>
  <c r="L712" i="1"/>
  <c r="A713" i="1"/>
  <c r="B713" i="1"/>
  <c r="C713" i="1"/>
  <c r="D713" i="1"/>
  <c r="Q713" i="1"/>
  <c r="R713" i="1"/>
  <c r="E713" i="1"/>
  <c r="G713" i="1"/>
  <c r="H713" i="1"/>
  <c r="J713" i="1"/>
  <c r="K713" i="1"/>
  <c r="L713" i="1"/>
  <c r="A714" i="1"/>
  <c r="B714" i="1"/>
  <c r="C714" i="1"/>
  <c r="D714" i="1"/>
  <c r="Q714" i="1"/>
  <c r="R714" i="1"/>
  <c r="E714" i="1"/>
  <c r="G714" i="1"/>
  <c r="H714" i="1"/>
  <c r="J714" i="1"/>
  <c r="K714" i="1"/>
  <c r="L714" i="1"/>
  <c r="A715" i="1"/>
  <c r="B715" i="1"/>
  <c r="C715" i="1"/>
  <c r="D715" i="1"/>
  <c r="Q715" i="1"/>
  <c r="R715" i="1"/>
  <c r="E715" i="1"/>
  <c r="G715" i="1"/>
  <c r="H715" i="1"/>
  <c r="J715" i="1"/>
  <c r="K715" i="1"/>
  <c r="L715" i="1"/>
  <c r="A716" i="1"/>
  <c r="B716" i="1"/>
  <c r="C716" i="1"/>
  <c r="D716" i="1"/>
  <c r="Q716" i="1"/>
  <c r="R716" i="1"/>
  <c r="E716" i="1"/>
  <c r="G716" i="1"/>
  <c r="H716" i="1"/>
  <c r="J716" i="1"/>
  <c r="K716" i="1"/>
  <c r="L716" i="1"/>
  <c r="A717" i="1"/>
  <c r="B717" i="1"/>
  <c r="C717" i="1"/>
  <c r="D717" i="1"/>
  <c r="Q717" i="1"/>
  <c r="R717" i="1"/>
  <c r="E717" i="1"/>
  <c r="G717" i="1"/>
  <c r="H717" i="1"/>
  <c r="J717" i="1"/>
  <c r="K717" i="1"/>
  <c r="L717" i="1"/>
  <c r="A718" i="1"/>
  <c r="B718" i="1"/>
  <c r="C718" i="1"/>
  <c r="D718" i="1"/>
  <c r="Q718" i="1"/>
  <c r="R718" i="1"/>
  <c r="E718" i="1"/>
  <c r="G718" i="1"/>
  <c r="H718" i="1"/>
  <c r="J718" i="1"/>
  <c r="K718" i="1"/>
  <c r="L718" i="1"/>
  <c r="A719" i="1"/>
  <c r="B719" i="1"/>
  <c r="C719" i="1"/>
  <c r="D719" i="1"/>
  <c r="Q719" i="1"/>
  <c r="R719" i="1"/>
  <c r="E719" i="1"/>
  <c r="G719" i="1"/>
  <c r="H719" i="1"/>
  <c r="J719" i="1"/>
  <c r="K719" i="1"/>
  <c r="L719" i="1"/>
  <c r="A720" i="1"/>
  <c r="B720" i="1"/>
  <c r="C720" i="1"/>
  <c r="D720" i="1"/>
  <c r="Q720" i="1"/>
  <c r="R720" i="1"/>
  <c r="E720" i="1"/>
  <c r="G720" i="1"/>
  <c r="H720" i="1"/>
  <c r="J720" i="1"/>
  <c r="K720" i="1"/>
  <c r="L720" i="1"/>
  <c r="A721" i="1"/>
  <c r="B721" i="1"/>
  <c r="C721" i="1"/>
  <c r="D721" i="1"/>
  <c r="Q721" i="1"/>
  <c r="R721" i="1"/>
  <c r="E721" i="1"/>
  <c r="G721" i="1"/>
  <c r="H721" i="1"/>
  <c r="J721" i="1"/>
  <c r="K721" i="1"/>
  <c r="L721" i="1"/>
  <c r="A722" i="1"/>
  <c r="B722" i="1"/>
  <c r="C722" i="1"/>
  <c r="D722" i="1"/>
  <c r="Q722" i="1"/>
  <c r="R722" i="1"/>
  <c r="E722" i="1"/>
  <c r="G722" i="1"/>
  <c r="H722" i="1"/>
  <c r="J722" i="1"/>
  <c r="K722" i="1"/>
  <c r="L722" i="1"/>
  <c r="A723" i="1"/>
  <c r="B723" i="1"/>
  <c r="C723" i="1"/>
  <c r="D723" i="1"/>
  <c r="Q723" i="1"/>
  <c r="R723" i="1"/>
  <c r="E723" i="1"/>
  <c r="G723" i="1"/>
  <c r="H723" i="1"/>
  <c r="J723" i="1"/>
  <c r="K723" i="1"/>
  <c r="L723" i="1"/>
  <c r="A724" i="1"/>
  <c r="B724" i="1"/>
  <c r="C724" i="1"/>
  <c r="D724" i="1"/>
  <c r="Q724" i="1"/>
  <c r="R724" i="1"/>
  <c r="E724" i="1"/>
  <c r="G724" i="1"/>
  <c r="H724" i="1"/>
  <c r="J724" i="1"/>
  <c r="K724" i="1"/>
  <c r="L724" i="1"/>
  <c r="A725" i="1"/>
  <c r="B725" i="1"/>
  <c r="C725" i="1"/>
  <c r="D725" i="1"/>
  <c r="Q725" i="1"/>
  <c r="R725" i="1"/>
  <c r="E725" i="1"/>
  <c r="G725" i="1"/>
  <c r="H725" i="1"/>
  <c r="J725" i="1"/>
  <c r="K725" i="1"/>
  <c r="L725" i="1"/>
  <c r="A726" i="1"/>
  <c r="B726" i="1"/>
  <c r="C726" i="1"/>
  <c r="D726" i="1"/>
  <c r="Q726" i="1"/>
  <c r="R726" i="1"/>
  <c r="E726" i="1"/>
  <c r="G726" i="1"/>
  <c r="H726" i="1"/>
  <c r="J726" i="1"/>
  <c r="K726" i="1"/>
  <c r="L726" i="1"/>
  <c r="A727" i="1"/>
  <c r="B727" i="1"/>
  <c r="C727" i="1"/>
  <c r="D727" i="1"/>
  <c r="Q727" i="1"/>
  <c r="R727" i="1"/>
  <c r="E727" i="1"/>
  <c r="G727" i="1"/>
  <c r="H727" i="1"/>
  <c r="J727" i="1"/>
  <c r="K727" i="1"/>
  <c r="L727" i="1"/>
  <c r="A728" i="1"/>
  <c r="B728" i="1"/>
  <c r="C728" i="1"/>
  <c r="D728" i="1"/>
  <c r="Q728" i="1"/>
  <c r="R728" i="1"/>
  <c r="E728" i="1"/>
  <c r="G728" i="1"/>
  <c r="H728" i="1"/>
  <c r="J728" i="1"/>
  <c r="K728" i="1"/>
  <c r="L728" i="1"/>
  <c r="A729" i="1"/>
  <c r="B729" i="1"/>
  <c r="C729" i="1"/>
  <c r="D729" i="1"/>
  <c r="Q729" i="1"/>
  <c r="R729" i="1"/>
  <c r="E729" i="1"/>
  <c r="G729" i="1"/>
  <c r="H729" i="1"/>
  <c r="J729" i="1"/>
  <c r="K729" i="1"/>
  <c r="L729" i="1"/>
  <c r="A730" i="1"/>
  <c r="B730" i="1"/>
  <c r="C730" i="1"/>
  <c r="D730" i="1"/>
  <c r="Q730" i="1"/>
  <c r="R730" i="1"/>
  <c r="E730" i="1"/>
  <c r="G730" i="1"/>
  <c r="H730" i="1"/>
  <c r="J730" i="1"/>
  <c r="K730" i="1"/>
  <c r="L730" i="1"/>
  <c r="A731" i="1"/>
  <c r="B731" i="1"/>
  <c r="C731" i="1"/>
  <c r="D731" i="1"/>
  <c r="Q731" i="1"/>
  <c r="R731" i="1"/>
  <c r="E731" i="1"/>
  <c r="G731" i="1"/>
  <c r="H731" i="1"/>
  <c r="J731" i="1"/>
  <c r="K731" i="1"/>
  <c r="L731" i="1"/>
  <c r="A732" i="1"/>
  <c r="B732" i="1"/>
  <c r="C732" i="1"/>
  <c r="D732" i="1"/>
  <c r="Q732" i="1"/>
  <c r="R732" i="1"/>
  <c r="E732" i="1"/>
  <c r="G732" i="1"/>
  <c r="H732" i="1"/>
  <c r="J732" i="1"/>
  <c r="K732" i="1"/>
  <c r="L732" i="1"/>
  <c r="A733" i="1"/>
  <c r="B733" i="1"/>
  <c r="C733" i="1"/>
  <c r="D733" i="1"/>
  <c r="Q733" i="1"/>
  <c r="R733" i="1"/>
  <c r="E733" i="1"/>
  <c r="G733" i="1"/>
  <c r="H733" i="1"/>
  <c r="J733" i="1"/>
  <c r="K733" i="1"/>
  <c r="L733" i="1"/>
  <c r="A734" i="1"/>
  <c r="B734" i="1"/>
  <c r="C734" i="1"/>
  <c r="D734" i="1"/>
  <c r="Q734" i="1"/>
  <c r="R734" i="1"/>
  <c r="E734" i="1"/>
  <c r="G734" i="1"/>
  <c r="H734" i="1"/>
  <c r="J734" i="1"/>
  <c r="K734" i="1"/>
  <c r="L734" i="1"/>
  <c r="A735" i="1"/>
  <c r="B735" i="1"/>
  <c r="C735" i="1"/>
  <c r="D735" i="1"/>
  <c r="Q735" i="1"/>
  <c r="R735" i="1"/>
  <c r="E735" i="1"/>
  <c r="G735" i="1"/>
  <c r="H735" i="1"/>
  <c r="J735" i="1"/>
  <c r="K735" i="1"/>
  <c r="L735" i="1"/>
  <c r="A736" i="1"/>
  <c r="B736" i="1"/>
  <c r="C736" i="1"/>
  <c r="D736" i="1"/>
  <c r="Q736" i="1"/>
  <c r="R736" i="1"/>
  <c r="E736" i="1"/>
  <c r="G736" i="1"/>
  <c r="H736" i="1"/>
  <c r="J736" i="1"/>
  <c r="K736" i="1"/>
  <c r="L736" i="1"/>
  <c r="A737" i="1"/>
  <c r="B737" i="1"/>
  <c r="C737" i="1"/>
  <c r="D737" i="1"/>
  <c r="Q737" i="1"/>
  <c r="R737" i="1"/>
  <c r="E737" i="1"/>
  <c r="G737" i="1"/>
  <c r="H737" i="1"/>
  <c r="J737" i="1"/>
  <c r="K737" i="1"/>
  <c r="L737" i="1"/>
  <c r="A738" i="1"/>
  <c r="B738" i="1"/>
  <c r="C738" i="1"/>
  <c r="D738" i="1"/>
  <c r="Q738" i="1"/>
  <c r="R738" i="1"/>
  <c r="E738" i="1"/>
  <c r="G738" i="1"/>
  <c r="H738" i="1"/>
  <c r="J738" i="1"/>
  <c r="K738" i="1"/>
  <c r="L738" i="1"/>
  <c r="A739" i="1"/>
  <c r="B739" i="1"/>
  <c r="C739" i="1"/>
  <c r="D739" i="1"/>
  <c r="Q739" i="1"/>
  <c r="R739" i="1"/>
  <c r="E739" i="1"/>
  <c r="G739" i="1"/>
  <c r="H739" i="1"/>
  <c r="J739" i="1"/>
  <c r="K739" i="1"/>
  <c r="L739" i="1"/>
  <c r="A740" i="1"/>
  <c r="B740" i="1"/>
  <c r="C740" i="1"/>
  <c r="D740" i="1"/>
  <c r="Q740" i="1"/>
  <c r="R740" i="1"/>
  <c r="E740" i="1"/>
  <c r="G740" i="1"/>
  <c r="H740" i="1"/>
  <c r="J740" i="1"/>
  <c r="K740" i="1"/>
  <c r="L740" i="1"/>
  <c r="A741" i="1"/>
  <c r="B741" i="1"/>
  <c r="C741" i="1"/>
  <c r="D741" i="1"/>
  <c r="Q741" i="1"/>
  <c r="R741" i="1"/>
  <c r="E741" i="1"/>
  <c r="G741" i="1"/>
  <c r="H741" i="1"/>
  <c r="J741" i="1"/>
  <c r="K741" i="1"/>
  <c r="L741" i="1"/>
  <c r="A742" i="1"/>
  <c r="B742" i="1"/>
  <c r="C742" i="1"/>
  <c r="D742" i="1"/>
  <c r="Q742" i="1"/>
  <c r="R742" i="1"/>
  <c r="E742" i="1"/>
  <c r="G742" i="1"/>
  <c r="H742" i="1"/>
  <c r="J742" i="1"/>
  <c r="K742" i="1"/>
  <c r="L742" i="1"/>
  <c r="A743" i="1"/>
  <c r="B743" i="1"/>
  <c r="C743" i="1"/>
  <c r="D743" i="1"/>
  <c r="Q743" i="1"/>
  <c r="R743" i="1"/>
  <c r="E743" i="1"/>
  <c r="G743" i="1"/>
  <c r="H743" i="1"/>
  <c r="J743" i="1"/>
  <c r="K743" i="1"/>
  <c r="L743" i="1"/>
  <c r="A744" i="1"/>
  <c r="B744" i="1"/>
  <c r="C744" i="1"/>
  <c r="D744" i="1"/>
  <c r="Q744" i="1"/>
  <c r="R744" i="1"/>
  <c r="E744" i="1"/>
  <c r="G744" i="1"/>
  <c r="H744" i="1"/>
  <c r="J744" i="1"/>
  <c r="K744" i="1"/>
  <c r="L744" i="1"/>
  <c r="A745" i="1"/>
  <c r="B745" i="1"/>
  <c r="C745" i="1"/>
  <c r="D745" i="1"/>
  <c r="Q745" i="1"/>
  <c r="R745" i="1"/>
  <c r="E745" i="1"/>
  <c r="G745" i="1"/>
  <c r="H745" i="1"/>
  <c r="J745" i="1"/>
  <c r="K745" i="1"/>
  <c r="L745" i="1"/>
  <c r="A746" i="1"/>
  <c r="B746" i="1"/>
  <c r="C746" i="1"/>
  <c r="D746" i="1"/>
  <c r="Q746" i="1"/>
  <c r="R746" i="1"/>
  <c r="E746" i="1"/>
  <c r="G746" i="1"/>
  <c r="H746" i="1"/>
  <c r="J746" i="1"/>
  <c r="K746" i="1"/>
  <c r="L746" i="1"/>
  <c r="A747" i="1"/>
  <c r="B747" i="1"/>
  <c r="C747" i="1"/>
  <c r="D747" i="1"/>
  <c r="Q747" i="1"/>
  <c r="R747" i="1"/>
  <c r="E747" i="1"/>
  <c r="G747" i="1"/>
  <c r="H747" i="1"/>
  <c r="J747" i="1"/>
  <c r="K747" i="1"/>
  <c r="L747" i="1"/>
  <c r="A748" i="1"/>
  <c r="B748" i="1"/>
  <c r="C748" i="1"/>
  <c r="D748" i="1"/>
  <c r="Q748" i="1"/>
  <c r="R748" i="1"/>
  <c r="E748" i="1"/>
  <c r="G748" i="1"/>
  <c r="H748" i="1"/>
  <c r="J748" i="1"/>
  <c r="K748" i="1"/>
  <c r="L748" i="1"/>
  <c r="A749" i="1"/>
  <c r="B749" i="1"/>
  <c r="C749" i="1"/>
  <c r="D749" i="1"/>
  <c r="Q749" i="1"/>
  <c r="R749" i="1"/>
  <c r="E749" i="1"/>
  <c r="G749" i="1"/>
  <c r="H749" i="1"/>
  <c r="J749" i="1"/>
  <c r="K749" i="1"/>
  <c r="L749" i="1"/>
  <c r="A750" i="1"/>
  <c r="B750" i="1"/>
  <c r="C750" i="1"/>
  <c r="D750" i="1"/>
  <c r="Q750" i="1"/>
  <c r="R750" i="1"/>
  <c r="E750" i="1"/>
  <c r="G750" i="1"/>
  <c r="H750" i="1"/>
  <c r="J750" i="1"/>
  <c r="K750" i="1"/>
  <c r="L750" i="1"/>
  <c r="A751" i="1"/>
  <c r="B751" i="1"/>
  <c r="C751" i="1"/>
  <c r="D751" i="1"/>
  <c r="Q751" i="1"/>
  <c r="R751" i="1"/>
  <c r="E751" i="1"/>
  <c r="G751" i="1"/>
  <c r="H751" i="1"/>
  <c r="J751" i="1"/>
  <c r="K751" i="1"/>
  <c r="L751" i="1"/>
  <c r="A752" i="1"/>
  <c r="B752" i="1"/>
  <c r="C752" i="1"/>
  <c r="D752" i="1"/>
  <c r="Q752" i="1"/>
  <c r="R752" i="1"/>
  <c r="E752" i="1"/>
  <c r="G752" i="1"/>
  <c r="H752" i="1"/>
  <c r="J752" i="1"/>
  <c r="K752" i="1"/>
  <c r="L752" i="1"/>
  <c r="A753" i="1"/>
  <c r="B753" i="1"/>
  <c r="C753" i="1"/>
  <c r="D753" i="1"/>
  <c r="Q753" i="1"/>
  <c r="R753" i="1"/>
  <c r="E753" i="1"/>
  <c r="G753" i="1"/>
  <c r="H753" i="1"/>
  <c r="J753" i="1"/>
  <c r="K753" i="1"/>
  <c r="L753" i="1"/>
  <c r="A754" i="1"/>
  <c r="B754" i="1"/>
  <c r="C754" i="1"/>
  <c r="D754" i="1"/>
  <c r="Q754" i="1"/>
  <c r="R754" i="1"/>
  <c r="E754" i="1"/>
  <c r="G754" i="1"/>
  <c r="H754" i="1"/>
  <c r="J754" i="1"/>
  <c r="K754" i="1"/>
  <c r="L754" i="1"/>
  <c r="A755" i="1"/>
  <c r="B755" i="1"/>
  <c r="C755" i="1"/>
  <c r="D755" i="1"/>
  <c r="Q755" i="1"/>
  <c r="R755" i="1"/>
  <c r="E755" i="1"/>
  <c r="G755" i="1"/>
  <c r="H755" i="1"/>
  <c r="J755" i="1"/>
  <c r="K755" i="1"/>
  <c r="L755" i="1"/>
  <c r="A756" i="1"/>
  <c r="B756" i="1"/>
  <c r="C756" i="1"/>
  <c r="D756" i="1"/>
  <c r="Q756" i="1"/>
  <c r="R756" i="1"/>
  <c r="E756" i="1"/>
  <c r="G756" i="1"/>
  <c r="H756" i="1"/>
  <c r="J756" i="1"/>
  <c r="K756" i="1"/>
  <c r="L756" i="1"/>
  <c r="A757" i="1"/>
  <c r="B757" i="1"/>
  <c r="C757" i="1"/>
  <c r="D757" i="1"/>
  <c r="Q757" i="1"/>
  <c r="R757" i="1"/>
  <c r="E757" i="1"/>
  <c r="G757" i="1"/>
  <c r="H757" i="1"/>
  <c r="J757" i="1"/>
  <c r="K757" i="1"/>
  <c r="L757" i="1"/>
  <c r="A758" i="1"/>
  <c r="B758" i="1"/>
  <c r="C758" i="1"/>
  <c r="D758" i="1"/>
  <c r="Q758" i="1"/>
  <c r="R758" i="1"/>
  <c r="E758" i="1"/>
  <c r="G758" i="1"/>
  <c r="H758" i="1"/>
  <c r="J758" i="1"/>
  <c r="K758" i="1"/>
  <c r="L758" i="1"/>
  <c r="A759" i="1"/>
  <c r="B759" i="1"/>
  <c r="C759" i="1"/>
  <c r="D759" i="1"/>
  <c r="Q759" i="1"/>
  <c r="R759" i="1"/>
  <c r="E759" i="1"/>
  <c r="G759" i="1"/>
  <c r="H759" i="1"/>
  <c r="J759" i="1"/>
  <c r="K759" i="1"/>
  <c r="L759" i="1"/>
  <c r="A760" i="1"/>
  <c r="B760" i="1"/>
  <c r="C760" i="1"/>
  <c r="D760" i="1"/>
  <c r="Q760" i="1"/>
  <c r="R760" i="1"/>
  <c r="E760" i="1"/>
  <c r="G760" i="1"/>
  <c r="H760" i="1"/>
  <c r="J760" i="1"/>
  <c r="K760" i="1"/>
  <c r="L760" i="1"/>
  <c r="A761" i="1"/>
  <c r="B761" i="1"/>
  <c r="C761" i="1"/>
  <c r="D761" i="1"/>
  <c r="Q761" i="1"/>
  <c r="R761" i="1"/>
  <c r="E761" i="1"/>
  <c r="G761" i="1"/>
  <c r="H761" i="1"/>
  <c r="J761" i="1"/>
  <c r="K761" i="1"/>
  <c r="L761" i="1"/>
  <c r="A762" i="1"/>
  <c r="B762" i="1"/>
  <c r="C762" i="1"/>
  <c r="D762" i="1"/>
  <c r="Q762" i="1"/>
  <c r="R762" i="1"/>
  <c r="E762" i="1"/>
  <c r="G762" i="1"/>
  <c r="H762" i="1"/>
  <c r="J762" i="1"/>
  <c r="K762" i="1"/>
  <c r="L762" i="1"/>
  <c r="A763" i="1"/>
  <c r="B763" i="1"/>
  <c r="C763" i="1"/>
  <c r="D763" i="1"/>
  <c r="Q763" i="1"/>
  <c r="R763" i="1"/>
  <c r="E763" i="1"/>
  <c r="G763" i="1"/>
  <c r="H763" i="1"/>
  <c r="J763" i="1"/>
  <c r="K763" i="1"/>
  <c r="L763" i="1"/>
  <c r="A764" i="1"/>
  <c r="B764" i="1"/>
  <c r="C764" i="1"/>
  <c r="D764" i="1"/>
  <c r="Q764" i="1"/>
  <c r="R764" i="1"/>
  <c r="E764" i="1"/>
  <c r="G764" i="1"/>
  <c r="H764" i="1"/>
  <c r="J764" i="1"/>
  <c r="K764" i="1"/>
  <c r="L764" i="1"/>
  <c r="A765" i="1"/>
  <c r="B765" i="1"/>
  <c r="C765" i="1"/>
  <c r="D765" i="1"/>
  <c r="Q765" i="1"/>
  <c r="R765" i="1"/>
  <c r="E765" i="1"/>
  <c r="G765" i="1"/>
  <c r="H765" i="1"/>
  <c r="J765" i="1"/>
  <c r="K765" i="1"/>
  <c r="L765" i="1"/>
  <c r="A766" i="1"/>
  <c r="B766" i="1"/>
  <c r="C766" i="1"/>
  <c r="D766" i="1"/>
  <c r="Q766" i="1"/>
  <c r="R766" i="1"/>
  <c r="E766" i="1"/>
  <c r="G766" i="1"/>
  <c r="H766" i="1"/>
  <c r="J766" i="1"/>
  <c r="K766" i="1"/>
  <c r="L766" i="1"/>
  <c r="A767" i="1"/>
  <c r="B767" i="1"/>
  <c r="C767" i="1"/>
  <c r="D767" i="1"/>
  <c r="Q767" i="1"/>
  <c r="R767" i="1"/>
  <c r="E767" i="1"/>
  <c r="G767" i="1"/>
  <c r="H767" i="1"/>
  <c r="J767" i="1"/>
  <c r="K767" i="1"/>
  <c r="L767" i="1"/>
  <c r="A768" i="1"/>
  <c r="B768" i="1"/>
  <c r="C768" i="1"/>
  <c r="D768" i="1"/>
  <c r="Q768" i="1"/>
  <c r="R768" i="1"/>
  <c r="E768" i="1"/>
  <c r="G768" i="1"/>
  <c r="H768" i="1"/>
  <c r="J768" i="1"/>
  <c r="K768" i="1"/>
  <c r="L768" i="1"/>
  <c r="A769" i="1"/>
  <c r="B769" i="1"/>
  <c r="C769" i="1"/>
  <c r="D769" i="1"/>
  <c r="Q769" i="1"/>
  <c r="R769" i="1"/>
  <c r="E769" i="1"/>
  <c r="G769" i="1"/>
  <c r="H769" i="1"/>
  <c r="J769" i="1"/>
  <c r="K769" i="1"/>
  <c r="L769" i="1"/>
  <c r="A770" i="1"/>
  <c r="B770" i="1"/>
  <c r="C770" i="1"/>
  <c r="D770" i="1"/>
  <c r="Q770" i="1"/>
  <c r="R770" i="1"/>
  <c r="E770" i="1"/>
  <c r="G770" i="1"/>
  <c r="H770" i="1"/>
  <c r="J770" i="1"/>
  <c r="K770" i="1"/>
  <c r="L770" i="1"/>
  <c r="A771" i="1"/>
  <c r="B771" i="1"/>
  <c r="C771" i="1"/>
  <c r="D771" i="1"/>
  <c r="Q771" i="1"/>
  <c r="R771" i="1"/>
  <c r="E771" i="1"/>
  <c r="G771" i="1"/>
  <c r="H771" i="1"/>
  <c r="J771" i="1"/>
  <c r="K771" i="1"/>
  <c r="L771" i="1"/>
  <c r="A772" i="1"/>
  <c r="B772" i="1"/>
  <c r="C772" i="1"/>
  <c r="D772" i="1"/>
  <c r="Q772" i="1"/>
  <c r="R772" i="1"/>
  <c r="E772" i="1"/>
  <c r="G772" i="1"/>
  <c r="H772" i="1"/>
  <c r="J772" i="1"/>
  <c r="K772" i="1"/>
  <c r="L772" i="1"/>
  <c r="A773" i="1"/>
  <c r="B773" i="1"/>
  <c r="C773" i="1"/>
  <c r="D773" i="1"/>
  <c r="Q773" i="1"/>
  <c r="R773" i="1"/>
  <c r="E773" i="1"/>
  <c r="G773" i="1"/>
  <c r="H773" i="1"/>
  <c r="J773" i="1"/>
  <c r="K773" i="1"/>
  <c r="L773" i="1"/>
  <c r="A774" i="1"/>
  <c r="B774" i="1"/>
  <c r="C774" i="1"/>
  <c r="D774" i="1"/>
  <c r="Q774" i="1"/>
  <c r="R774" i="1"/>
  <c r="E774" i="1"/>
  <c r="G774" i="1"/>
  <c r="H774" i="1"/>
  <c r="J774" i="1"/>
  <c r="K774" i="1"/>
  <c r="L774" i="1"/>
  <c r="A775" i="1"/>
  <c r="B775" i="1"/>
  <c r="C775" i="1"/>
  <c r="D775" i="1"/>
  <c r="Q775" i="1"/>
  <c r="R775" i="1"/>
  <c r="E775" i="1"/>
  <c r="G775" i="1"/>
  <c r="H775" i="1"/>
  <c r="J775" i="1"/>
  <c r="K775" i="1"/>
  <c r="L775" i="1"/>
  <c r="A776" i="1"/>
  <c r="B776" i="1"/>
  <c r="C776" i="1"/>
  <c r="D776" i="1"/>
  <c r="Q776" i="1"/>
  <c r="R776" i="1"/>
  <c r="E776" i="1"/>
  <c r="G776" i="1"/>
  <c r="H776" i="1"/>
  <c r="J776" i="1"/>
  <c r="K776" i="1"/>
  <c r="L776" i="1"/>
  <c r="A777" i="1"/>
  <c r="B777" i="1"/>
  <c r="C777" i="1"/>
  <c r="D777" i="1"/>
  <c r="Q777" i="1"/>
  <c r="R777" i="1"/>
  <c r="E777" i="1"/>
  <c r="G777" i="1"/>
  <c r="H777" i="1"/>
  <c r="J777" i="1"/>
  <c r="K777" i="1"/>
  <c r="L777" i="1"/>
  <c r="A778" i="1"/>
  <c r="B778" i="1"/>
  <c r="C778" i="1"/>
  <c r="D778" i="1"/>
  <c r="Q778" i="1"/>
  <c r="R778" i="1"/>
  <c r="E778" i="1"/>
  <c r="G778" i="1"/>
  <c r="H778" i="1"/>
  <c r="J778" i="1"/>
  <c r="K778" i="1"/>
  <c r="L778" i="1"/>
  <c r="A779" i="1"/>
  <c r="B779" i="1"/>
  <c r="C779" i="1"/>
  <c r="D779" i="1"/>
  <c r="Q779" i="1"/>
  <c r="R779" i="1"/>
  <c r="E779" i="1"/>
  <c r="G779" i="1"/>
  <c r="H779" i="1"/>
  <c r="J779" i="1"/>
  <c r="K779" i="1"/>
  <c r="L779" i="1"/>
  <c r="A780" i="1"/>
  <c r="B780" i="1"/>
  <c r="C780" i="1"/>
  <c r="D780" i="1"/>
  <c r="Q780" i="1"/>
  <c r="R780" i="1"/>
  <c r="E780" i="1"/>
  <c r="G780" i="1"/>
  <c r="H780" i="1"/>
  <c r="J780" i="1"/>
  <c r="K780" i="1"/>
  <c r="L780" i="1"/>
  <c r="A781" i="1"/>
  <c r="B781" i="1"/>
  <c r="C781" i="1"/>
  <c r="D781" i="1"/>
  <c r="Q781" i="1"/>
  <c r="R781" i="1"/>
  <c r="E781" i="1"/>
  <c r="G781" i="1"/>
  <c r="H781" i="1"/>
  <c r="J781" i="1"/>
  <c r="K781" i="1"/>
  <c r="L781" i="1"/>
  <c r="A782" i="1"/>
  <c r="B782" i="1"/>
  <c r="C782" i="1"/>
  <c r="D782" i="1"/>
  <c r="Q782" i="1"/>
  <c r="R782" i="1"/>
  <c r="E782" i="1"/>
  <c r="G782" i="1"/>
  <c r="H782" i="1"/>
  <c r="J782" i="1"/>
  <c r="K782" i="1"/>
  <c r="L782" i="1"/>
  <c r="A783" i="1"/>
  <c r="B783" i="1"/>
  <c r="C783" i="1"/>
  <c r="D783" i="1"/>
  <c r="Q783" i="1"/>
  <c r="R783" i="1"/>
  <c r="E783" i="1"/>
  <c r="G783" i="1"/>
  <c r="H783" i="1"/>
  <c r="J783" i="1"/>
  <c r="K783" i="1"/>
  <c r="L783" i="1"/>
  <c r="A784" i="1"/>
  <c r="B784" i="1"/>
  <c r="C784" i="1"/>
  <c r="D784" i="1"/>
  <c r="Q784" i="1"/>
  <c r="R784" i="1"/>
  <c r="E784" i="1"/>
  <c r="G784" i="1"/>
  <c r="H784" i="1"/>
  <c r="J784" i="1"/>
  <c r="K784" i="1"/>
  <c r="L784" i="1"/>
  <c r="A785" i="1"/>
  <c r="B785" i="1"/>
  <c r="C785" i="1"/>
  <c r="D785" i="1"/>
  <c r="Q785" i="1"/>
  <c r="R785" i="1"/>
  <c r="E785" i="1"/>
  <c r="G785" i="1"/>
  <c r="H785" i="1"/>
  <c r="J785" i="1"/>
  <c r="K785" i="1"/>
  <c r="L785" i="1"/>
  <c r="A786" i="1"/>
  <c r="B786" i="1"/>
  <c r="C786" i="1"/>
  <c r="D786" i="1"/>
  <c r="Q786" i="1"/>
  <c r="R786" i="1"/>
  <c r="E786" i="1"/>
  <c r="G786" i="1"/>
  <c r="H786" i="1"/>
  <c r="J786" i="1"/>
  <c r="K786" i="1"/>
  <c r="L786" i="1"/>
  <c r="A8406" i="1"/>
  <c r="B8406" i="1"/>
  <c r="C8406" i="1"/>
  <c r="D8406" i="1"/>
  <c r="Q8406" i="1"/>
  <c r="R8406" i="1"/>
  <c r="E8406" i="1"/>
  <c r="G8406" i="1"/>
  <c r="H8406" i="1"/>
  <c r="J8406" i="1"/>
  <c r="K8406" i="1"/>
  <c r="L8406" i="1"/>
  <c r="A8410" i="1"/>
  <c r="B8410" i="1"/>
  <c r="C8410" i="1"/>
  <c r="D8410" i="1"/>
  <c r="Q8410" i="1"/>
  <c r="R8410" i="1"/>
  <c r="E8410" i="1"/>
  <c r="G8410" i="1"/>
  <c r="H8410" i="1"/>
  <c r="J8410" i="1"/>
  <c r="K8410" i="1"/>
  <c r="L8410" i="1"/>
  <c r="A8418" i="1"/>
  <c r="B8418" i="1"/>
  <c r="C8418" i="1"/>
  <c r="D8418" i="1"/>
  <c r="Q8418" i="1"/>
  <c r="R8418" i="1"/>
  <c r="E8418" i="1"/>
  <c r="G8418" i="1"/>
  <c r="H8418" i="1"/>
  <c r="J8418" i="1"/>
  <c r="K8418" i="1"/>
  <c r="L8418" i="1"/>
  <c r="A790" i="1"/>
  <c r="B790" i="1"/>
  <c r="C790" i="1"/>
  <c r="D790" i="1"/>
  <c r="Q790" i="1"/>
  <c r="R790" i="1"/>
  <c r="E790" i="1"/>
  <c r="G790" i="1"/>
  <c r="H790" i="1"/>
  <c r="J790" i="1"/>
  <c r="K790" i="1"/>
  <c r="L790" i="1"/>
  <c r="A791" i="1"/>
  <c r="B791" i="1"/>
  <c r="C791" i="1"/>
  <c r="D791" i="1"/>
  <c r="Q791" i="1"/>
  <c r="R791" i="1"/>
  <c r="E791" i="1"/>
  <c r="F791" i="1"/>
  <c r="G791" i="1"/>
  <c r="H791" i="1"/>
  <c r="J791" i="1"/>
  <c r="K791" i="1"/>
  <c r="L791" i="1"/>
  <c r="A792" i="1"/>
  <c r="B792" i="1"/>
  <c r="C792" i="1"/>
  <c r="D792" i="1"/>
  <c r="Q792" i="1"/>
  <c r="R792" i="1"/>
  <c r="E792" i="1"/>
  <c r="F792" i="1"/>
  <c r="G792" i="1"/>
  <c r="H792" i="1"/>
  <c r="J792" i="1"/>
  <c r="K792" i="1"/>
  <c r="L792" i="1"/>
  <c r="A793" i="1"/>
  <c r="B793" i="1"/>
  <c r="C793" i="1"/>
  <c r="D793" i="1"/>
  <c r="Q793" i="1"/>
  <c r="R793" i="1"/>
  <c r="E793" i="1"/>
  <c r="F793" i="1"/>
  <c r="G793" i="1"/>
  <c r="H793" i="1"/>
  <c r="J793" i="1"/>
  <c r="K793" i="1"/>
  <c r="L793" i="1"/>
  <c r="A794" i="1"/>
  <c r="B794" i="1"/>
  <c r="C794" i="1"/>
  <c r="D794" i="1"/>
  <c r="Q794" i="1"/>
  <c r="R794" i="1"/>
  <c r="E794" i="1"/>
  <c r="F794" i="1"/>
  <c r="G794" i="1"/>
  <c r="H794" i="1"/>
  <c r="J794" i="1"/>
  <c r="K794" i="1"/>
  <c r="L794" i="1"/>
  <c r="A1431" i="1"/>
  <c r="B1431" i="1"/>
  <c r="C1431" i="1"/>
  <c r="D1431" i="1"/>
  <c r="Q1431" i="1"/>
  <c r="R1431" i="1"/>
  <c r="E1431" i="1"/>
  <c r="G1431" i="1"/>
  <c r="H1431" i="1"/>
  <c r="J1431" i="1"/>
  <c r="K1431" i="1"/>
  <c r="L1431" i="1"/>
  <c r="A8425" i="1"/>
  <c r="B8425" i="1"/>
  <c r="C8425" i="1"/>
  <c r="D8425" i="1"/>
  <c r="Q8425" i="1"/>
  <c r="R8425" i="1"/>
  <c r="E8425" i="1"/>
  <c r="G8425" i="1"/>
  <c r="H8425" i="1"/>
  <c r="J8425" i="1"/>
  <c r="K8425" i="1"/>
  <c r="L8425" i="1"/>
  <c r="A8426" i="1"/>
  <c r="B8426" i="1"/>
  <c r="C8426" i="1"/>
  <c r="D8426" i="1"/>
  <c r="Q8426" i="1"/>
  <c r="R8426" i="1"/>
  <c r="E8426" i="1"/>
  <c r="G8426" i="1"/>
  <c r="H8426" i="1"/>
  <c r="J8426" i="1"/>
  <c r="K8426" i="1"/>
  <c r="L8426" i="1"/>
  <c r="A8427" i="1"/>
  <c r="B8427" i="1"/>
  <c r="C8427" i="1"/>
  <c r="D8427" i="1"/>
  <c r="Q8427" i="1"/>
  <c r="R8427" i="1"/>
  <c r="E8427" i="1"/>
  <c r="G8427" i="1"/>
  <c r="H8427" i="1"/>
  <c r="J8427" i="1"/>
  <c r="K8427" i="1"/>
  <c r="L8427" i="1"/>
  <c r="A8428" i="1"/>
  <c r="B8428" i="1"/>
  <c r="C8428" i="1"/>
  <c r="D8428" i="1"/>
  <c r="Q8428" i="1"/>
  <c r="R8428" i="1"/>
  <c r="E8428" i="1"/>
  <c r="G8428" i="1"/>
  <c r="H8428" i="1"/>
  <c r="J8428" i="1"/>
  <c r="K8428" i="1"/>
  <c r="L8428" i="1"/>
  <c r="A8429" i="1"/>
  <c r="B8429" i="1"/>
  <c r="C8429" i="1"/>
  <c r="D8429" i="1"/>
  <c r="Q8429" i="1"/>
  <c r="R8429" i="1"/>
  <c r="E8429" i="1"/>
  <c r="G8429" i="1"/>
  <c r="H8429" i="1"/>
  <c r="J8429" i="1"/>
  <c r="K8429" i="1"/>
  <c r="L8429" i="1"/>
  <c r="A8430" i="1"/>
  <c r="B8430" i="1"/>
  <c r="C8430" i="1"/>
  <c r="D8430" i="1"/>
  <c r="Q8430" i="1"/>
  <c r="R8430" i="1"/>
  <c r="E8430" i="1"/>
  <c r="G8430" i="1"/>
  <c r="H8430" i="1"/>
  <c r="J8430" i="1"/>
  <c r="K8430" i="1"/>
  <c r="L8430" i="1"/>
  <c r="A8431" i="1"/>
  <c r="B8431" i="1"/>
  <c r="C8431" i="1"/>
  <c r="D8431" i="1"/>
  <c r="Q8431" i="1"/>
  <c r="R8431" i="1"/>
  <c r="E8431" i="1"/>
  <c r="G8431" i="1"/>
  <c r="H8431" i="1"/>
  <c r="J8431" i="1"/>
  <c r="K8431" i="1"/>
  <c r="L8431" i="1"/>
  <c r="A8432" i="1"/>
  <c r="B8432" i="1"/>
  <c r="C8432" i="1"/>
  <c r="D8432" i="1"/>
  <c r="Q8432" i="1"/>
  <c r="R8432" i="1"/>
  <c r="E8432" i="1"/>
  <c r="G8432" i="1"/>
  <c r="H8432" i="1"/>
  <c r="J8432" i="1"/>
  <c r="K8432" i="1"/>
  <c r="L8432" i="1"/>
  <c r="A8433" i="1"/>
  <c r="B8433" i="1"/>
  <c r="C8433" i="1"/>
  <c r="D8433" i="1"/>
  <c r="Q8433" i="1"/>
  <c r="R8433" i="1"/>
  <c r="E8433" i="1"/>
  <c r="G8433" i="1"/>
  <c r="H8433" i="1"/>
  <c r="J8433" i="1"/>
  <c r="K8433" i="1"/>
  <c r="L8433" i="1"/>
  <c r="A8434" i="1"/>
  <c r="B8434" i="1"/>
  <c r="C8434" i="1"/>
  <c r="D8434" i="1"/>
  <c r="Q8434" i="1"/>
  <c r="R8434" i="1"/>
  <c r="E8434" i="1"/>
  <c r="G8434" i="1"/>
  <c r="H8434" i="1"/>
  <c r="J8434" i="1"/>
  <c r="K8434" i="1"/>
  <c r="L8434" i="1"/>
  <c r="A8435" i="1"/>
  <c r="B8435" i="1"/>
  <c r="C8435" i="1"/>
  <c r="D8435" i="1"/>
  <c r="Q8435" i="1"/>
  <c r="R8435" i="1"/>
  <c r="E8435" i="1"/>
  <c r="G8435" i="1"/>
  <c r="H8435" i="1"/>
  <c r="J8435" i="1"/>
  <c r="K8435" i="1"/>
  <c r="L8435" i="1"/>
  <c r="A8436" i="1"/>
  <c r="B8436" i="1"/>
  <c r="C8436" i="1"/>
  <c r="D8436" i="1"/>
  <c r="Q8436" i="1"/>
  <c r="R8436" i="1"/>
  <c r="E8436" i="1"/>
  <c r="G8436" i="1"/>
  <c r="H8436" i="1"/>
  <c r="J8436" i="1"/>
  <c r="K8436" i="1"/>
  <c r="L8436" i="1"/>
  <c r="A8437" i="1"/>
  <c r="B8437" i="1"/>
  <c r="C8437" i="1"/>
  <c r="D8437" i="1"/>
  <c r="Q8437" i="1"/>
  <c r="R8437" i="1"/>
  <c r="E8437" i="1"/>
  <c r="G8437" i="1"/>
  <c r="H8437" i="1"/>
  <c r="J8437" i="1"/>
  <c r="K8437" i="1"/>
  <c r="L8437" i="1"/>
  <c r="A8438" i="1"/>
  <c r="B8438" i="1"/>
  <c r="C8438" i="1"/>
  <c r="D8438" i="1"/>
  <c r="Q8438" i="1"/>
  <c r="R8438" i="1"/>
  <c r="E8438" i="1"/>
  <c r="G8438" i="1"/>
  <c r="H8438" i="1"/>
  <c r="J8438" i="1"/>
  <c r="K8438" i="1"/>
  <c r="L8438" i="1"/>
  <c r="A8439" i="1"/>
  <c r="B8439" i="1"/>
  <c r="C8439" i="1"/>
  <c r="D8439" i="1"/>
  <c r="Q8439" i="1"/>
  <c r="R8439" i="1"/>
  <c r="E8439" i="1"/>
  <c r="G8439" i="1"/>
  <c r="H8439" i="1"/>
  <c r="J8439" i="1"/>
  <c r="K8439" i="1"/>
  <c r="L8439" i="1"/>
  <c r="A8440" i="1"/>
  <c r="B8440" i="1"/>
  <c r="C8440" i="1"/>
  <c r="D8440" i="1"/>
  <c r="Q8440" i="1"/>
  <c r="R8440" i="1"/>
  <c r="E8440" i="1"/>
  <c r="G8440" i="1"/>
  <c r="H8440" i="1"/>
  <c r="J8440" i="1"/>
  <c r="K8440" i="1"/>
  <c r="L8440" i="1"/>
  <c r="A8441" i="1"/>
  <c r="B8441" i="1"/>
  <c r="C8441" i="1"/>
  <c r="D8441" i="1"/>
  <c r="Q8441" i="1"/>
  <c r="R8441" i="1"/>
  <c r="E8441" i="1"/>
  <c r="G8441" i="1"/>
  <c r="H8441" i="1"/>
  <c r="J8441" i="1"/>
  <c r="K8441" i="1"/>
  <c r="L8441" i="1"/>
  <c r="A8442" i="1"/>
  <c r="B8442" i="1"/>
  <c r="C8442" i="1"/>
  <c r="D8442" i="1"/>
  <c r="Q8442" i="1"/>
  <c r="R8442" i="1"/>
  <c r="E8442" i="1"/>
  <c r="G8442" i="1"/>
  <c r="H8442" i="1"/>
  <c r="J8442" i="1"/>
  <c r="K8442" i="1"/>
  <c r="L8442" i="1"/>
  <c r="A8443" i="1"/>
  <c r="B8443" i="1"/>
  <c r="C8443" i="1"/>
  <c r="D8443" i="1"/>
  <c r="Q8443" i="1"/>
  <c r="R8443" i="1"/>
  <c r="E8443" i="1"/>
  <c r="G8443" i="1"/>
  <c r="H8443" i="1"/>
  <c r="J8443" i="1"/>
  <c r="K8443" i="1"/>
  <c r="L8443" i="1"/>
  <c r="A8444" i="1"/>
  <c r="B8444" i="1"/>
  <c r="C8444" i="1"/>
  <c r="D8444" i="1"/>
  <c r="Q8444" i="1"/>
  <c r="R8444" i="1"/>
  <c r="E8444" i="1"/>
  <c r="G8444" i="1"/>
  <c r="H8444" i="1"/>
  <c r="J8444" i="1"/>
  <c r="K8444" i="1"/>
  <c r="L8444" i="1"/>
  <c r="A8445" i="1"/>
  <c r="B8445" i="1"/>
  <c r="C8445" i="1"/>
  <c r="D8445" i="1"/>
  <c r="Q8445" i="1"/>
  <c r="R8445" i="1"/>
  <c r="E8445" i="1"/>
  <c r="G8445" i="1"/>
  <c r="H8445" i="1"/>
  <c r="J8445" i="1"/>
  <c r="K8445" i="1"/>
  <c r="L8445" i="1"/>
  <c r="A8446" i="1"/>
  <c r="B8446" i="1"/>
  <c r="C8446" i="1"/>
  <c r="D8446" i="1"/>
  <c r="Q8446" i="1"/>
  <c r="R8446" i="1"/>
  <c r="E8446" i="1"/>
  <c r="G8446" i="1"/>
  <c r="H8446" i="1"/>
  <c r="J8446" i="1"/>
  <c r="K8446" i="1"/>
  <c r="L8446" i="1"/>
  <c r="A8447" i="1"/>
  <c r="B8447" i="1"/>
  <c r="C8447" i="1"/>
  <c r="D8447" i="1"/>
  <c r="Q8447" i="1"/>
  <c r="R8447" i="1"/>
  <c r="E8447" i="1"/>
  <c r="G8447" i="1"/>
  <c r="H8447" i="1"/>
  <c r="J8447" i="1"/>
  <c r="K8447" i="1"/>
  <c r="L8447" i="1"/>
  <c r="A8448" i="1"/>
  <c r="B8448" i="1"/>
  <c r="C8448" i="1"/>
  <c r="D8448" i="1"/>
  <c r="Q8448" i="1"/>
  <c r="R8448" i="1"/>
  <c r="E8448" i="1"/>
  <c r="G8448" i="1"/>
  <c r="H8448" i="1"/>
  <c r="J8448" i="1"/>
  <c r="K8448" i="1"/>
  <c r="L8448" i="1"/>
  <c r="A8449" i="1"/>
  <c r="B8449" i="1"/>
  <c r="C8449" i="1"/>
  <c r="D8449" i="1"/>
  <c r="Q8449" i="1"/>
  <c r="R8449" i="1"/>
  <c r="E8449" i="1"/>
  <c r="G8449" i="1"/>
  <c r="H8449" i="1"/>
  <c r="J8449" i="1"/>
  <c r="K8449" i="1"/>
  <c r="L8449" i="1"/>
  <c r="A8450" i="1"/>
  <c r="B8450" i="1"/>
  <c r="C8450" i="1"/>
  <c r="D8450" i="1"/>
  <c r="Q8450" i="1"/>
  <c r="R8450" i="1"/>
  <c r="E8450" i="1"/>
  <c r="G8450" i="1"/>
  <c r="H8450" i="1"/>
  <c r="J8450" i="1"/>
  <c r="K8450" i="1"/>
  <c r="L8450" i="1"/>
  <c r="A8451" i="1"/>
  <c r="B8451" i="1"/>
  <c r="C8451" i="1"/>
  <c r="D8451" i="1"/>
  <c r="Q8451" i="1"/>
  <c r="R8451" i="1"/>
  <c r="E8451" i="1"/>
  <c r="G8451" i="1"/>
  <c r="H8451" i="1"/>
  <c r="J8451" i="1"/>
  <c r="K8451" i="1"/>
  <c r="L8451" i="1"/>
  <c r="A8452" i="1"/>
  <c r="B8452" i="1"/>
  <c r="C8452" i="1"/>
  <c r="D8452" i="1"/>
  <c r="Q8452" i="1"/>
  <c r="R8452" i="1"/>
  <c r="E8452" i="1"/>
  <c r="G8452" i="1"/>
  <c r="H8452" i="1"/>
  <c r="J8452" i="1"/>
  <c r="K8452" i="1"/>
  <c r="L8452" i="1"/>
  <c r="A8453" i="1"/>
  <c r="B8453" i="1"/>
  <c r="C8453" i="1"/>
  <c r="D8453" i="1"/>
  <c r="Q8453" i="1"/>
  <c r="R8453" i="1"/>
  <c r="E8453" i="1"/>
  <c r="G8453" i="1"/>
  <c r="H8453" i="1"/>
  <c r="J8453" i="1"/>
  <c r="K8453" i="1"/>
  <c r="L8453" i="1"/>
  <c r="A8454" i="1"/>
  <c r="B8454" i="1"/>
  <c r="C8454" i="1"/>
  <c r="D8454" i="1"/>
  <c r="Q8454" i="1"/>
  <c r="R8454" i="1"/>
  <c r="E8454" i="1"/>
  <c r="G8454" i="1"/>
  <c r="H8454" i="1"/>
  <c r="J8454" i="1"/>
  <c r="K8454" i="1"/>
  <c r="L8454" i="1"/>
  <c r="A8455" i="1"/>
  <c r="B8455" i="1"/>
  <c r="C8455" i="1"/>
  <c r="D8455" i="1"/>
  <c r="Q8455" i="1"/>
  <c r="R8455" i="1"/>
  <c r="E8455" i="1"/>
  <c r="G8455" i="1"/>
  <c r="H8455" i="1"/>
  <c r="J8455" i="1"/>
  <c r="K8455" i="1"/>
  <c r="L8455" i="1"/>
  <c r="A8456" i="1"/>
  <c r="B8456" i="1"/>
  <c r="C8456" i="1"/>
  <c r="D8456" i="1"/>
  <c r="Q8456" i="1"/>
  <c r="R8456" i="1"/>
  <c r="E8456" i="1"/>
  <c r="G8456" i="1"/>
  <c r="H8456" i="1"/>
  <c r="J8456" i="1"/>
  <c r="K8456" i="1"/>
  <c r="L8456" i="1"/>
  <c r="A8457" i="1"/>
  <c r="B8457" i="1"/>
  <c r="C8457" i="1"/>
  <c r="D8457" i="1"/>
  <c r="Q8457" i="1"/>
  <c r="R8457" i="1"/>
  <c r="E8457" i="1"/>
  <c r="G8457" i="1"/>
  <c r="H8457" i="1"/>
  <c r="J8457" i="1"/>
  <c r="K8457" i="1"/>
  <c r="L8457" i="1"/>
  <c r="A8458" i="1"/>
  <c r="B8458" i="1"/>
  <c r="C8458" i="1"/>
  <c r="D8458" i="1"/>
  <c r="Q8458" i="1"/>
  <c r="R8458" i="1"/>
  <c r="E8458" i="1"/>
  <c r="G8458" i="1"/>
  <c r="H8458" i="1"/>
  <c r="J8458" i="1"/>
  <c r="K8458" i="1"/>
  <c r="L8458" i="1"/>
  <c r="A8459" i="1"/>
  <c r="B8459" i="1"/>
  <c r="C8459" i="1"/>
  <c r="D8459" i="1"/>
  <c r="Q8459" i="1"/>
  <c r="R8459" i="1"/>
  <c r="E8459" i="1"/>
  <c r="G8459" i="1"/>
  <c r="H8459" i="1"/>
  <c r="J8459" i="1"/>
  <c r="K8459" i="1"/>
  <c r="L8459" i="1"/>
  <c r="A8460" i="1"/>
  <c r="B8460" i="1"/>
  <c r="C8460" i="1"/>
  <c r="D8460" i="1"/>
  <c r="Q8460" i="1"/>
  <c r="R8460" i="1"/>
  <c r="E8460" i="1"/>
  <c r="G8460" i="1"/>
  <c r="H8460" i="1"/>
  <c r="J8460" i="1"/>
  <c r="K8460" i="1"/>
  <c r="L8460" i="1"/>
  <c r="A8461" i="1"/>
  <c r="B8461" i="1"/>
  <c r="C8461" i="1"/>
  <c r="D8461" i="1"/>
  <c r="Q8461" i="1"/>
  <c r="R8461" i="1"/>
  <c r="E8461" i="1"/>
  <c r="G8461" i="1"/>
  <c r="H8461" i="1"/>
  <c r="J8461" i="1"/>
  <c r="K8461" i="1"/>
  <c r="L8461" i="1"/>
  <c r="A8462" i="1"/>
  <c r="B8462" i="1"/>
  <c r="C8462" i="1"/>
  <c r="D8462" i="1"/>
  <c r="Q8462" i="1"/>
  <c r="R8462" i="1"/>
  <c r="E8462" i="1"/>
  <c r="G8462" i="1"/>
  <c r="H8462" i="1"/>
  <c r="J8462" i="1"/>
  <c r="K8462" i="1"/>
  <c r="L8462" i="1"/>
  <c r="A8463" i="1"/>
  <c r="B8463" i="1"/>
  <c r="C8463" i="1"/>
  <c r="D8463" i="1"/>
  <c r="Q8463" i="1"/>
  <c r="R8463" i="1"/>
  <c r="E8463" i="1"/>
  <c r="G8463" i="1"/>
  <c r="H8463" i="1"/>
  <c r="J8463" i="1"/>
  <c r="K8463" i="1"/>
  <c r="L8463" i="1"/>
  <c r="A8464" i="1"/>
  <c r="B8464" i="1"/>
  <c r="C8464" i="1"/>
  <c r="D8464" i="1"/>
  <c r="Q8464" i="1"/>
  <c r="R8464" i="1"/>
  <c r="E8464" i="1"/>
  <c r="G8464" i="1"/>
  <c r="H8464" i="1"/>
  <c r="J8464" i="1"/>
  <c r="K8464" i="1"/>
  <c r="L8464" i="1"/>
  <c r="A8465" i="1"/>
  <c r="B8465" i="1"/>
  <c r="C8465" i="1"/>
  <c r="D8465" i="1"/>
  <c r="Q8465" i="1"/>
  <c r="R8465" i="1"/>
  <c r="E8465" i="1"/>
  <c r="G8465" i="1"/>
  <c r="H8465" i="1"/>
  <c r="J8465" i="1"/>
  <c r="K8465" i="1"/>
  <c r="L8465" i="1"/>
  <c r="A8466" i="1"/>
  <c r="B8466" i="1"/>
  <c r="C8466" i="1"/>
  <c r="D8466" i="1"/>
  <c r="Q8466" i="1"/>
  <c r="R8466" i="1"/>
  <c r="E8466" i="1"/>
  <c r="G8466" i="1"/>
  <c r="H8466" i="1"/>
  <c r="J8466" i="1"/>
  <c r="K8466" i="1"/>
  <c r="L8466" i="1"/>
  <c r="A8467" i="1"/>
  <c r="B8467" i="1"/>
  <c r="C8467" i="1"/>
  <c r="D8467" i="1"/>
  <c r="Q8467" i="1"/>
  <c r="R8467" i="1"/>
  <c r="E8467" i="1"/>
  <c r="G8467" i="1"/>
  <c r="H8467" i="1"/>
  <c r="J8467" i="1"/>
  <c r="K8467" i="1"/>
  <c r="L8467" i="1"/>
  <c r="A8468" i="1"/>
  <c r="B8468" i="1"/>
  <c r="C8468" i="1"/>
  <c r="D8468" i="1"/>
  <c r="Q8468" i="1"/>
  <c r="R8468" i="1"/>
  <c r="E8468" i="1"/>
  <c r="G8468" i="1"/>
  <c r="H8468" i="1"/>
  <c r="J8468" i="1"/>
  <c r="K8468" i="1"/>
  <c r="L8468" i="1"/>
  <c r="A8469" i="1"/>
  <c r="B8469" i="1"/>
  <c r="C8469" i="1"/>
  <c r="D8469" i="1"/>
  <c r="Q8469" i="1"/>
  <c r="R8469" i="1"/>
  <c r="E8469" i="1"/>
  <c r="G8469" i="1"/>
  <c r="H8469" i="1"/>
  <c r="J8469" i="1"/>
  <c r="K8469" i="1"/>
  <c r="L8469" i="1"/>
  <c r="A8470" i="1"/>
  <c r="B8470" i="1"/>
  <c r="C8470" i="1"/>
  <c r="D8470" i="1"/>
  <c r="Q8470" i="1"/>
  <c r="R8470" i="1"/>
  <c r="E8470" i="1"/>
  <c r="G8470" i="1"/>
  <c r="H8470" i="1"/>
  <c r="J8470" i="1"/>
  <c r="K8470" i="1"/>
  <c r="L8470" i="1"/>
  <c r="A8471" i="1"/>
  <c r="B8471" i="1"/>
  <c r="C8471" i="1"/>
  <c r="D8471" i="1"/>
  <c r="Q8471" i="1"/>
  <c r="R8471" i="1"/>
  <c r="E8471" i="1"/>
  <c r="G8471" i="1"/>
  <c r="H8471" i="1"/>
  <c r="J8471" i="1"/>
  <c r="K8471" i="1"/>
  <c r="L8471" i="1"/>
  <c r="A8472" i="1"/>
  <c r="B8472" i="1"/>
  <c r="C8472" i="1"/>
  <c r="D8472" i="1"/>
  <c r="Q8472" i="1"/>
  <c r="R8472" i="1"/>
  <c r="E8472" i="1"/>
  <c r="G8472" i="1"/>
  <c r="H8472" i="1"/>
  <c r="J8472" i="1"/>
  <c r="K8472" i="1"/>
  <c r="L8472" i="1"/>
  <c r="A8473" i="1"/>
  <c r="B8473" i="1"/>
  <c r="C8473" i="1"/>
  <c r="D8473" i="1"/>
  <c r="Q8473" i="1"/>
  <c r="R8473" i="1"/>
  <c r="E8473" i="1"/>
  <c r="G8473" i="1"/>
  <c r="H8473" i="1"/>
  <c r="J8473" i="1"/>
  <c r="K8473" i="1"/>
  <c r="L8473" i="1"/>
  <c r="A8474" i="1"/>
  <c r="B8474" i="1"/>
  <c r="C8474" i="1"/>
  <c r="D8474" i="1"/>
  <c r="Q8474" i="1"/>
  <c r="R8474" i="1"/>
  <c r="E8474" i="1"/>
  <c r="G8474" i="1"/>
  <c r="H8474" i="1"/>
  <c r="J8474" i="1"/>
  <c r="K8474" i="1"/>
  <c r="L8474" i="1"/>
  <c r="A8475" i="1"/>
  <c r="B8475" i="1"/>
  <c r="C8475" i="1"/>
  <c r="D8475" i="1"/>
  <c r="Q8475" i="1"/>
  <c r="R8475" i="1"/>
  <c r="E8475" i="1"/>
  <c r="G8475" i="1"/>
  <c r="H8475" i="1"/>
  <c r="J8475" i="1"/>
  <c r="K8475" i="1"/>
  <c r="L8475" i="1"/>
  <c r="A8476" i="1"/>
  <c r="B8476" i="1"/>
  <c r="C8476" i="1"/>
  <c r="D8476" i="1"/>
  <c r="Q8476" i="1"/>
  <c r="R8476" i="1"/>
  <c r="E8476" i="1"/>
  <c r="F8476" i="1"/>
  <c r="G8476" i="1"/>
  <c r="H8476" i="1"/>
  <c r="J8476" i="1"/>
  <c r="K8476" i="1"/>
  <c r="L8476" i="1"/>
  <c r="A8477" i="1"/>
  <c r="B8477" i="1"/>
  <c r="C8477" i="1"/>
  <c r="D8477" i="1"/>
  <c r="Q8477" i="1"/>
  <c r="R8477" i="1"/>
  <c r="E8477" i="1"/>
  <c r="G8477" i="1"/>
  <c r="H8477" i="1"/>
  <c r="J8477" i="1"/>
  <c r="K8477" i="1"/>
  <c r="L8477" i="1"/>
  <c r="A8478" i="1"/>
  <c r="B8478" i="1"/>
  <c r="C8478" i="1"/>
  <c r="D8478" i="1"/>
  <c r="Q8478" i="1"/>
  <c r="R8478" i="1"/>
  <c r="E8478" i="1"/>
  <c r="G8478" i="1"/>
  <c r="H8478" i="1"/>
  <c r="J8478" i="1"/>
  <c r="K8478" i="1"/>
  <c r="L8478" i="1"/>
  <c r="A8479" i="1"/>
  <c r="B8479" i="1"/>
  <c r="C8479" i="1"/>
  <c r="D8479" i="1"/>
  <c r="Q8479" i="1"/>
  <c r="R8479" i="1"/>
  <c r="E8479" i="1"/>
  <c r="G8479" i="1"/>
  <c r="H8479" i="1"/>
  <c r="J8479" i="1"/>
  <c r="K8479" i="1"/>
  <c r="L8479" i="1"/>
  <c r="A8480" i="1"/>
  <c r="B8480" i="1"/>
  <c r="C8480" i="1"/>
  <c r="D8480" i="1"/>
  <c r="Q8480" i="1"/>
  <c r="R8480" i="1"/>
  <c r="E8480" i="1"/>
  <c r="G8480" i="1"/>
  <c r="H8480" i="1"/>
  <c r="J8480" i="1"/>
  <c r="K8480" i="1"/>
  <c r="L8480" i="1"/>
  <c r="A8481" i="1"/>
  <c r="B8481" i="1"/>
  <c r="C8481" i="1"/>
  <c r="D8481" i="1"/>
  <c r="Q8481" i="1"/>
  <c r="R8481" i="1"/>
  <c r="E8481" i="1"/>
  <c r="G8481" i="1"/>
  <c r="H8481" i="1"/>
  <c r="J8481" i="1"/>
  <c r="K8481" i="1"/>
  <c r="L8481" i="1"/>
  <c r="A8482" i="1"/>
  <c r="B8482" i="1"/>
  <c r="C8482" i="1"/>
  <c r="D8482" i="1"/>
  <c r="Q8482" i="1"/>
  <c r="R8482" i="1"/>
  <c r="E8482" i="1"/>
  <c r="G8482" i="1"/>
  <c r="H8482" i="1"/>
  <c r="J8482" i="1"/>
  <c r="K8482" i="1"/>
  <c r="L8482" i="1"/>
  <c r="A8483" i="1"/>
  <c r="B8483" i="1"/>
  <c r="C8483" i="1"/>
  <c r="D8483" i="1"/>
  <c r="Q8483" i="1"/>
  <c r="R8483" i="1"/>
  <c r="E8483" i="1"/>
  <c r="G8483" i="1"/>
  <c r="H8483" i="1"/>
  <c r="J8483" i="1"/>
  <c r="K8483" i="1"/>
  <c r="L8483" i="1"/>
  <c r="A8484" i="1"/>
  <c r="B8484" i="1"/>
  <c r="C8484" i="1"/>
  <c r="D8484" i="1"/>
  <c r="Q8484" i="1"/>
  <c r="R8484" i="1"/>
  <c r="E8484" i="1"/>
  <c r="G8484" i="1"/>
  <c r="H8484" i="1"/>
  <c r="J8484" i="1"/>
  <c r="K8484" i="1"/>
  <c r="L8484" i="1"/>
  <c r="A8485" i="1"/>
  <c r="B8485" i="1"/>
  <c r="C8485" i="1"/>
  <c r="D8485" i="1"/>
  <c r="Q8485" i="1"/>
  <c r="R8485" i="1"/>
  <c r="E8485" i="1"/>
  <c r="G8485" i="1"/>
  <c r="H8485" i="1"/>
  <c r="J8485" i="1"/>
  <c r="K8485" i="1"/>
  <c r="L8485" i="1"/>
  <c r="A8486" i="1"/>
  <c r="B8486" i="1"/>
  <c r="C8486" i="1"/>
  <c r="D8486" i="1"/>
  <c r="Q8486" i="1"/>
  <c r="R8486" i="1"/>
  <c r="E8486" i="1"/>
  <c r="G8486" i="1"/>
  <c r="H8486" i="1"/>
  <c r="J8486" i="1"/>
  <c r="K8486" i="1"/>
  <c r="L8486" i="1"/>
  <c r="A8487" i="1"/>
  <c r="B8487" i="1"/>
  <c r="C8487" i="1"/>
  <c r="D8487" i="1"/>
  <c r="Q8487" i="1"/>
  <c r="R8487" i="1"/>
  <c r="E8487" i="1"/>
  <c r="G8487" i="1"/>
  <c r="H8487" i="1"/>
  <c r="J8487" i="1"/>
  <c r="K8487" i="1"/>
  <c r="L8487" i="1"/>
  <c r="A8488" i="1"/>
  <c r="B8488" i="1"/>
  <c r="C8488" i="1"/>
  <c r="D8488" i="1"/>
  <c r="Q8488" i="1"/>
  <c r="R8488" i="1"/>
  <c r="E8488" i="1"/>
  <c r="G8488" i="1"/>
  <c r="H8488" i="1"/>
  <c r="J8488" i="1"/>
  <c r="K8488" i="1"/>
  <c r="L8488" i="1"/>
  <c r="A8489" i="1"/>
  <c r="B8489" i="1"/>
  <c r="C8489" i="1"/>
  <c r="D8489" i="1"/>
  <c r="Q8489" i="1"/>
  <c r="R8489" i="1"/>
  <c r="E8489" i="1"/>
  <c r="G8489" i="1"/>
  <c r="H8489" i="1"/>
  <c r="J8489" i="1"/>
  <c r="K8489" i="1"/>
  <c r="L8489" i="1"/>
  <c r="A8490" i="1"/>
  <c r="B8490" i="1"/>
  <c r="C8490" i="1"/>
  <c r="D8490" i="1"/>
  <c r="Q8490" i="1"/>
  <c r="R8490" i="1"/>
  <c r="E8490" i="1"/>
  <c r="G8490" i="1"/>
  <c r="H8490" i="1"/>
  <c r="J8490" i="1"/>
  <c r="K8490" i="1"/>
  <c r="L8490" i="1"/>
  <c r="A8491" i="1"/>
  <c r="B8491" i="1"/>
  <c r="C8491" i="1"/>
  <c r="D8491" i="1"/>
  <c r="Q8491" i="1"/>
  <c r="R8491" i="1"/>
  <c r="E8491" i="1"/>
  <c r="G8491" i="1"/>
  <c r="H8491" i="1"/>
  <c r="J8491" i="1"/>
  <c r="K8491" i="1"/>
  <c r="L8491" i="1"/>
  <c r="A8492" i="1"/>
  <c r="B8492" i="1"/>
  <c r="C8492" i="1"/>
  <c r="D8492" i="1"/>
  <c r="Q8492" i="1"/>
  <c r="R8492" i="1"/>
  <c r="E8492" i="1"/>
  <c r="G8492" i="1"/>
  <c r="H8492" i="1"/>
  <c r="J8492" i="1"/>
  <c r="K8492" i="1"/>
  <c r="L8492" i="1"/>
  <c r="A8493" i="1"/>
  <c r="B8493" i="1"/>
  <c r="C8493" i="1"/>
  <c r="D8493" i="1"/>
  <c r="Q8493" i="1"/>
  <c r="R8493" i="1"/>
  <c r="E8493" i="1"/>
  <c r="G8493" i="1"/>
  <c r="H8493" i="1"/>
  <c r="J8493" i="1"/>
  <c r="K8493" i="1"/>
  <c r="L8493" i="1"/>
  <c r="A8494" i="1"/>
  <c r="B8494" i="1"/>
  <c r="C8494" i="1"/>
  <c r="D8494" i="1"/>
  <c r="Q8494" i="1"/>
  <c r="R8494" i="1"/>
  <c r="E8494" i="1"/>
  <c r="G8494" i="1"/>
  <c r="H8494" i="1"/>
  <c r="J8494" i="1"/>
  <c r="K8494" i="1"/>
  <c r="L8494" i="1"/>
  <c r="A8495" i="1"/>
  <c r="B8495" i="1"/>
  <c r="C8495" i="1"/>
  <c r="D8495" i="1"/>
  <c r="Q8495" i="1"/>
  <c r="R8495" i="1"/>
  <c r="E8495" i="1"/>
  <c r="G8495" i="1"/>
  <c r="H8495" i="1"/>
  <c r="J8495" i="1"/>
  <c r="K8495" i="1"/>
  <c r="L8495" i="1"/>
  <c r="A8496" i="1"/>
  <c r="B8496" i="1"/>
  <c r="C8496" i="1"/>
  <c r="D8496" i="1"/>
  <c r="Q8496" i="1"/>
  <c r="R8496" i="1"/>
  <c r="E8496" i="1"/>
  <c r="G8496" i="1"/>
  <c r="H8496" i="1"/>
  <c r="J8496" i="1"/>
  <c r="K8496" i="1"/>
  <c r="L8496" i="1"/>
  <c r="A8497" i="1"/>
  <c r="B8497" i="1"/>
  <c r="C8497" i="1"/>
  <c r="D8497" i="1"/>
  <c r="Q8497" i="1"/>
  <c r="R8497" i="1"/>
  <c r="E8497" i="1"/>
  <c r="G8497" i="1"/>
  <c r="H8497" i="1"/>
  <c r="J8497" i="1"/>
  <c r="K8497" i="1"/>
  <c r="L8497" i="1"/>
  <c r="A8498" i="1"/>
  <c r="B8498" i="1"/>
  <c r="C8498" i="1"/>
  <c r="D8498" i="1"/>
  <c r="Q8498" i="1"/>
  <c r="R8498" i="1"/>
  <c r="E8498" i="1"/>
  <c r="G8498" i="1"/>
  <c r="H8498" i="1"/>
  <c r="J8498" i="1"/>
  <c r="K8498" i="1"/>
  <c r="L8498" i="1"/>
  <c r="A8499" i="1"/>
  <c r="B8499" i="1"/>
  <c r="C8499" i="1"/>
  <c r="D8499" i="1"/>
  <c r="Q8499" i="1"/>
  <c r="R8499" i="1"/>
  <c r="E8499" i="1"/>
  <c r="G8499" i="1"/>
  <c r="H8499" i="1"/>
  <c r="J8499" i="1"/>
  <c r="K8499" i="1"/>
  <c r="L8499" i="1"/>
  <c r="A8500" i="1"/>
  <c r="B8500" i="1"/>
  <c r="C8500" i="1"/>
  <c r="D8500" i="1"/>
  <c r="Q8500" i="1"/>
  <c r="R8500" i="1"/>
  <c r="E8500" i="1"/>
  <c r="G8500" i="1"/>
  <c r="H8500" i="1"/>
  <c r="J8500" i="1"/>
  <c r="K8500" i="1"/>
  <c r="L8500" i="1"/>
  <c r="A8501" i="1"/>
  <c r="B8501" i="1"/>
  <c r="C8501" i="1"/>
  <c r="D8501" i="1"/>
  <c r="Q8501" i="1"/>
  <c r="R8501" i="1"/>
  <c r="E8501" i="1"/>
  <c r="G8501" i="1"/>
  <c r="H8501" i="1"/>
  <c r="J8501" i="1"/>
  <c r="K8501" i="1"/>
  <c r="L8501" i="1"/>
  <c r="A8502" i="1"/>
  <c r="B8502" i="1"/>
  <c r="C8502" i="1"/>
  <c r="D8502" i="1"/>
  <c r="Q8502" i="1"/>
  <c r="R8502" i="1"/>
  <c r="E8502" i="1"/>
  <c r="G8502" i="1"/>
  <c r="H8502" i="1"/>
  <c r="J8502" i="1"/>
  <c r="K8502" i="1"/>
  <c r="L8502" i="1"/>
  <c r="A8503" i="1"/>
  <c r="B8503" i="1"/>
  <c r="C8503" i="1"/>
  <c r="D8503" i="1"/>
  <c r="Q8503" i="1"/>
  <c r="R8503" i="1"/>
  <c r="E8503" i="1"/>
  <c r="G8503" i="1"/>
  <c r="H8503" i="1"/>
  <c r="J8503" i="1"/>
  <c r="K8503" i="1"/>
  <c r="L8503" i="1"/>
  <c r="A8504" i="1"/>
  <c r="B8504" i="1"/>
  <c r="C8504" i="1"/>
  <c r="D8504" i="1"/>
  <c r="Q8504" i="1"/>
  <c r="R8504" i="1"/>
  <c r="E8504" i="1"/>
  <c r="G8504" i="1"/>
  <c r="H8504" i="1"/>
  <c r="J8504" i="1"/>
  <c r="K8504" i="1"/>
  <c r="L8504" i="1"/>
  <c r="A8505" i="1"/>
  <c r="B8505" i="1"/>
  <c r="C8505" i="1"/>
  <c r="D8505" i="1"/>
  <c r="Q8505" i="1"/>
  <c r="R8505" i="1"/>
  <c r="E8505" i="1"/>
  <c r="G8505" i="1"/>
  <c r="H8505" i="1"/>
  <c r="J8505" i="1"/>
  <c r="K8505" i="1"/>
  <c r="L8505" i="1"/>
  <c r="A8506" i="1"/>
  <c r="B8506" i="1"/>
  <c r="C8506" i="1"/>
  <c r="D8506" i="1"/>
  <c r="Q8506" i="1"/>
  <c r="R8506" i="1"/>
  <c r="E8506" i="1"/>
  <c r="G8506" i="1"/>
  <c r="H8506" i="1"/>
  <c r="J8506" i="1"/>
  <c r="K8506" i="1"/>
  <c r="L8506" i="1"/>
  <c r="A8507" i="1"/>
  <c r="B8507" i="1"/>
  <c r="C8507" i="1"/>
  <c r="D8507" i="1"/>
  <c r="Q8507" i="1"/>
  <c r="R8507" i="1"/>
  <c r="E8507" i="1"/>
  <c r="G8507" i="1"/>
  <c r="H8507" i="1"/>
  <c r="J8507" i="1"/>
  <c r="K8507" i="1"/>
  <c r="L8507" i="1"/>
  <c r="A8508" i="1"/>
  <c r="B8508" i="1"/>
  <c r="C8508" i="1"/>
  <c r="D8508" i="1"/>
  <c r="Q8508" i="1"/>
  <c r="R8508" i="1"/>
  <c r="E8508" i="1"/>
  <c r="G8508" i="1"/>
  <c r="H8508" i="1"/>
  <c r="J8508" i="1"/>
  <c r="K8508" i="1"/>
  <c r="L8508" i="1"/>
  <c r="A8509" i="1"/>
  <c r="B8509" i="1"/>
  <c r="C8509" i="1"/>
  <c r="D8509" i="1"/>
  <c r="Q8509" i="1"/>
  <c r="R8509" i="1"/>
  <c r="E8509" i="1"/>
  <c r="G8509" i="1"/>
  <c r="H8509" i="1"/>
  <c r="J8509" i="1"/>
  <c r="K8509" i="1"/>
  <c r="L8509" i="1"/>
  <c r="A8510" i="1"/>
  <c r="B8510" i="1"/>
  <c r="C8510" i="1"/>
  <c r="D8510" i="1"/>
  <c r="Q8510" i="1"/>
  <c r="R8510" i="1"/>
  <c r="E8510" i="1"/>
  <c r="G8510" i="1"/>
  <c r="H8510" i="1"/>
  <c r="J8510" i="1"/>
  <c r="K8510" i="1"/>
  <c r="L8510" i="1"/>
  <c r="A8511" i="1"/>
  <c r="B8511" i="1"/>
  <c r="C8511" i="1"/>
  <c r="D8511" i="1"/>
  <c r="Q8511" i="1"/>
  <c r="R8511" i="1"/>
  <c r="E8511" i="1"/>
  <c r="G8511" i="1"/>
  <c r="H8511" i="1"/>
  <c r="J8511" i="1"/>
  <c r="K8511" i="1"/>
  <c r="L8511" i="1"/>
  <c r="A8512" i="1"/>
  <c r="B8512" i="1"/>
  <c r="C8512" i="1"/>
  <c r="D8512" i="1"/>
  <c r="Q8512" i="1"/>
  <c r="R8512" i="1"/>
  <c r="E8512" i="1"/>
  <c r="G8512" i="1"/>
  <c r="H8512" i="1"/>
  <c r="J8512" i="1"/>
  <c r="K8512" i="1"/>
  <c r="L8512" i="1"/>
  <c r="A8513" i="1"/>
  <c r="B8513" i="1"/>
  <c r="C8513" i="1"/>
  <c r="D8513" i="1"/>
  <c r="Q8513" i="1"/>
  <c r="R8513" i="1"/>
  <c r="E8513" i="1"/>
  <c r="G8513" i="1"/>
  <c r="H8513" i="1"/>
  <c r="J8513" i="1"/>
  <c r="K8513" i="1"/>
  <c r="L8513" i="1"/>
  <c r="A8514" i="1"/>
  <c r="B8514" i="1"/>
  <c r="C8514" i="1"/>
  <c r="D8514" i="1"/>
  <c r="Q8514" i="1"/>
  <c r="R8514" i="1"/>
  <c r="E8514" i="1"/>
  <c r="G8514" i="1"/>
  <c r="H8514" i="1"/>
  <c r="J8514" i="1"/>
  <c r="K8514" i="1"/>
  <c r="L8514" i="1"/>
  <c r="A8515" i="1"/>
  <c r="B8515" i="1"/>
  <c r="C8515" i="1"/>
  <c r="D8515" i="1"/>
  <c r="Q8515" i="1"/>
  <c r="R8515" i="1"/>
  <c r="E8515" i="1"/>
  <c r="G8515" i="1"/>
  <c r="H8515" i="1"/>
  <c r="J8515" i="1"/>
  <c r="K8515" i="1"/>
  <c r="L8515" i="1"/>
  <c r="A8516" i="1"/>
  <c r="B8516" i="1"/>
  <c r="C8516" i="1"/>
  <c r="D8516" i="1"/>
  <c r="Q8516" i="1"/>
  <c r="R8516" i="1"/>
  <c r="E8516" i="1"/>
  <c r="G8516" i="1"/>
  <c r="H8516" i="1"/>
  <c r="J8516" i="1"/>
  <c r="K8516" i="1"/>
  <c r="L8516" i="1"/>
  <c r="A8517" i="1"/>
  <c r="B8517" i="1"/>
  <c r="C8517" i="1"/>
  <c r="D8517" i="1"/>
  <c r="Q8517" i="1"/>
  <c r="R8517" i="1"/>
  <c r="E8517" i="1"/>
  <c r="G8517" i="1"/>
  <c r="H8517" i="1"/>
  <c r="J8517" i="1"/>
  <c r="K8517" i="1"/>
  <c r="L8517" i="1"/>
  <c r="A8518" i="1"/>
  <c r="B8518" i="1"/>
  <c r="C8518" i="1"/>
  <c r="D8518" i="1"/>
  <c r="Q8518" i="1"/>
  <c r="R8518" i="1"/>
  <c r="E8518" i="1"/>
  <c r="G8518" i="1"/>
  <c r="H8518" i="1"/>
  <c r="J8518" i="1"/>
  <c r="K8518" i="1"/>
  <c r="L8518" i="1"/>
  <c r="A8519" i="1"/>
  <c r="B8519" i="1"/>
  <c r="C8519" i="1"/>
  <c r="D8519" i="1"/>
  <c r="Q8519" i="1"/>
  <c r="R8519" i="1"/>
  <c r="E8519" i="1"/>
  <c r="G8519" i="1"/>
  <c r="H8519" i="1"/>
  <c r="J8519" i="1"/>
  <c r="K8519" i="1"/>
  <c r="L8519" i="1"/>
  <c r="A8520" i="1"/>
  <c r="B8520" i="1"/>
  <c r="C8520" i="1"/>
  <c r="D8520" i="1"/>
  <c r="Q8520" i="1"/>
  <c r="R8520" i="1"/>
  <c r="G8520" i="1"/>
  <c r="H8520" i="1"/>
  <c r="J8520" i="1"/>
  <c r="K8520" i="1"/>
  <c r="L8520" i="1"/>
  <c r="A8521" i="1"/>
  <c r="B8521" i="1"/>
  <c r="C8521" i="1"/>
  <c r="D8521" i="1"/>
  <c r="Q8521" i="1"/>
  <c r="R8521" i="1"/>
  <c r="E8521" i="1"/>
  <c r="G8521" i="1"/>
  <c r="H8521" i="1"/>
  <c r="J8521" i="1"/>
  <c r="K8521" i="1"/>
  <c r="L8521" i="1"/>
  <c r="A8522" i="1"/>
  <c r="B8522" i="1"/>
  <c r="C8522" i="1"/>
  <c r="D8522" i="1"/>
  <c r="Q8522" i="1"/>
  <c r="R8522" i="1"/>
  <c r="E8522" i="1"/>
  <c r="G8522" i="1"/>
  <c r="H8522" i="1"/>
  <c r="J8522" i="1"/>
  <c r="K8522" i="1"/>
  <c r="L8522" i="1"/>
  <c r="A795" i="1"/>
  <c r="B795" i="1"/>
  <c r="C795" i="1"/>
  <c r="D795" i="1"/>
  <c r="Q795" i="1"/>
  <c r="R795" i="1"/>
  <c r="E795" i="1"/>
  <c r="G795" i="1"/>
  <c r="H795" i="1"/>
  <c r="J795" i="1"/>
  <c r="K795" i="1"/>
  <c r="L795" i="1"/>
  <c r="A796" i="1"/>
  <c r="B796" i="1"/>
  <c r="C796" i="1"/>
  <c r="D796" i="1"/>
  <c r="Q796" i="1"/>
  <c r="R796" i="1"/>
  <c r="E796" i="1"/>
  <c r="G796" i="1"/>
  <c r="H796" i="1"/>
  <c r="J796" i="1"/>
  <c r="K796" i="1"/>
  <c r="L796" i="1"/>
  <c r="A797" i="1"/>
  <c r="B797" i="1"/>
  <c r="C797" i="1"/>
  <c r="D797" i="1"/>
  <c r="Q797" i="1"/>
  <c r="R797" i="1"/>
  <c r="E797" i="1"/>
  <c r="G797" i="1"/>
  <c r="H797" i="1"/>
  <c r="J797" i="1"/>
  <c r="K797" i="1"/>
  <c r="L797" i="1"/>
  <c r="A798" i="1"/>
  <c r="B798" i="1"/>
  <c r="C798" i="1"/>
  <c r="D798" i="1"/>
  <c r="Q798" i="1"/>
  <c r="R798" i="1"/>
  <c r="E798" i="1"/>
  <c r="G798" i="1"/>
  <c r="H798" i="1"/>
  <c r="J798" i="1"/>
  <c r="K798" i="1"/>
  <c r="L798" i="1"/>
  <c r="A799" i="1"/>
  <c r="B799" i="1"/>
  <c r="C799" i="1"/>
  <c r="D799" i="1"/>
  <c r="Q799" i="1"/>
  <c r="R799" i="1"/>
  <c r="E799" i="1"/>
  <c r="G799" i="1"/>
  <c r="H799" i="1"/>
  <c r="J799" i="1"/>
  <c r="K799" i="1"/>
  <c r="L799" i="1"/>
  <c r="A800" i="1"/>
  <c r="B800" i="1"/>
  <c r="C800" i="1"/>
  <c r="D800" i="1"/>
  <c r="Q800" i="1"/>
  <c r="R800" i="1"/>
  <c r="E800" i="1"/>
  <c r="G800" i="1"/>
  <c r="H800" i="1"/>
  <c r="J800" i="1"/>
  <c r="K800" i="1"/>
  <c r="L800" i="1"/>
  <c r="A801" i="1"/>
  <c r="B801" i="1"/>
  <c r="C801" i="1"/>
  <c r="D801" i="1"/>
  <c r="Q801" i="1"/>
  <c r="R801" i="1"/>
  <c r="E801" i="1"/>
  <c r="G801" i="1"/>
  <c r="H801" i="1"/>
  <c r="J801" i="1"/>
  <c r="K801" i="1"/>
  <c r="L801" i="1"/>
  <c r="A802" i="1"/>
  <c r="B802" i="1"/>
  <c r="C802" i="1"/>
  <c r="D802" i="1"/>
  <c r="Q802" i="1"/>
  <c r="R802" i="1"/>
  <c r="E802" i="1"/>
  <c r="G802" i="1"/>
  <c r="H802" i="1"/>
  <c r="J802" i="1"/>
  <c r="K802" i="1"/>
  <c r="L802" i="1"/>
  <c r="A803" i="1"/>
  <c r="B803" i="1"/>
  <c r="C803" i="1"/>
  <c r="D803" i="1"/>
  <c r="Q803" i="1"/>
  <c r="R803" i="1"/>
  <c r="E803" i="1"/>
  <c r="G803" i="1"/>
  <c r="H803" i="1"/>
  <c r="J803" i="1"/>
  <c r="K803" i="1"/>
  <c r="L803" i="1"/>
  <c r="A804" i="1"/>
  <c r="B804" i="1"/>
  <c r="C804" i="1"/>
  <c r="D804" i="1"/>
  <c r="Q804" i="1"/>
  <c r="R804" i="1"/>
  <c r="E804" i="1"/>
  <c r="G804" i="1"/>
  <c r="H804" i="1"/>
  <c r="J804" i="1"/>
  <c r="K804" i="1"/>
  <c r="L804" i="1"/>
  <c r="A805" i="1"/>
  <c r="B805" i="1"/>
  <c r="C805" i="1"/>
  <c r="D805" i="1"/>
  <c r="Q805" i="1"/>
  <c r="R805" i="1"/>
  <c r="E805" i="1"/>
  <c r="G805" i="1"/>
  <c r="H805" i="1"/>
  <c r="J805" i="1"/>
  <c r="K805" i="1"/>
  <c r="L805" i="1"/>
  <c r="A806" i="1"/>
  <c r="B806" i="1"/>
  <c r="C806" i="1"/>
  <c r="D806" i="1"/>
  <c r="Q806" i="1"/>
  <c r="R806" i="1"/>
  <c r="E806" i="1"/>
  <c r="G806" i="1"/>
  <c r="H806" i="1"/>
  <c r="J806" i="1"/>
  <c r="K806" i="1"/>
  <c r="L806" i="1"/>
  <c r="A807" i="1"/>
  <c r="B807" i="1"/>
  <c r="C807" i="1"/>
  <c r="D807" i="1"/>
  <c r="Q807" i="1"/>
  <c r="R807" i="1"/>
  <c r="E807" i="1"/>
  <c r="G807" i="1"/>
  <c r="H807" i="1"/>
  <c r="J807" i="1"/>
  <c r="K807" i="1"/>
  <c r="L807" i="1"/>
  <c r="A808" i="1"/>
  <c r="B808" i="1"/>
  <c r="C808" i="1"/>
  <c r="D808" i="1"/>
  <c r="Q808" i="1"/>
  <c r="R808" i="1"/>
  <c r="E808" i="1"/>
  <c r="G808" i="1"/>
  <c r="H808" i="1"/>
  <c r="J808" i="1"/>
  <c r="K808" i="1"/>
  <c r="L808" i="1"/>
  <c r="A809" i="1"/>
  <c r="B809" i="1"/>
  <c r="C809" i="1"/>
  <c r="D809" i="1"/>
  <c r="Q809" i="1"/>
  <c r="R809" i="1"/>
  <c r="E809" i="1"/>
  <c r="G809" i="1"/>
  <c r="H809" i="1"/>
  <c r="J809" i="1"/>
  <c r="K809" i="1"/>
  <c r="L809" i="1"/>
  <c r="A810" i="1"/>
  <c r="B810" i="1"/>
  <c r="C810" i="1"/>
  <c r="D810" i="1"/>
  <c r="Q810" i="1"/>
  <c r="R810" i="1"/>
  <c r="E810" i="1"/>
  <c r="G810" i="1"/>
  <c r="H810" i="1"/>
  <c r="J810" i="1"/>
  <c r="K810" i="1"/>
  <c r="L810" i="1"/>
  <c r="A811" i="1"/>
  <c r="B811" i="1"/>
  <c r="C811" i="1"/>
  <c r="D811" i="1"/>
  <c r="Q811" i="1"/>
  <c r="R811" i="1"/>
  <c r="E811" i="1"/>
  <c r="G811" i="1"/>
  <c r="H811" i="1"/>
  <c r="J811" i="1"/>
  <c r="K811" i="1"/>
  <c r="L811" i="1"/>
  <c r="A812" i="1"/>
  <c r="B812" i="1"/>
  <c r="C812" i="1"/>
  <c r="D812" i="1"/>
  <c r="Q812" i="1"/>
  <c r="R812" i="1"/>
  <c r="E812" i="1"/>
  <c r="G812" i="1"/>
  <c r="H812" i="1"/>
  <c r="J812" i="1"/>
  <c r="K812" i="1"/>
  <c r="L812" i="1"/>
  <c r="A813" i="1"/>
  <c r="B813" i="1"/>
  <c r="C813" i="1"/>
  <c r="D813" i="1"/>
  <c r="Q813" i="1"/>
  <c r="R813" i="1"/>
  <c r="E813" i="1"/>
  <c r="G813" i="1"/>
  <c r="H813" i="1"/>
  <c r="J813" i="1"/>
  <c r="K813" i="1"/>
  <c r="L813" i="1"/>
  <c r="A814" i="1"/>
  <c r="B814" i="1"/>
  <c r="C814" i="1"/>
  <c r="D814" i="1"/>
  <c r="Q814" i="1"/>
  <c r="R814" i="1"/>
  <c r="E814" i="1"/>
  <c r="G814" i="1"/>
  <c r="H814" i="1"/>
  <c r="J814" i="1"/>
  <c r="K814" i="1"/>
  <c r="L814" i="1"/>
  <c r="A815" i="1"/>
  <c r="B815" i="1"/>
  <c r="C815" i="1"/>
  <c r="D815" i="1"/>
  <c r="Q815" i="1"/>
  <c r="R815" i="1"/>
  <c r="E815" i="1"/>
  <c r="G815" i="1"/>
  <c r="H815" i="1"/>
  <c r="J815" i="1"/>
  <c r="K815" i="1"/>
  <c r="L815" i="1"/>
  <c r="A816" i="1"/>
  <c r="B816" i="1"/>
  <c r="C816" i="1"/>
  <c r="D816" i="1"/>
  <c r="Q816" i="1"/>
  <c r="R816" i="1"/>
  <c r="E816" i="1"/>
  <c r="G816" i="1"/>
  <c r="H816" i="1"/>
  <c r="J816" i="1"/>
  <c r="K816" i="1"/>
  <c r="L816" i="1"/>
  <c r="A817" i="1"/>
  <c r="B817" i="1"/>
  <c r="C817" i="1"/>
  <c r="D817" i="1"/>
  <c r="Q817" i="1"/>
  <c r="R817" i="1"/>
  <c r="E817" i="1"/>
  <c r="G817" i="1"/>
  <c r="H817" i="1"/>
  <c r="J817" i="1"/>
  <c r="K817" i="1"/>
  <c r="L817" i="1"/>
  <c r="A818" i="1"/>
  <c r="B818" i="1"/>
  <c r="C818" i="1"/>
  <c r="D818" i="1"/>
  <c r="Q818" i="1"/>
  <c r="R818" i="1"/>
  <c r="E818" i="1"/>
  <c r="G818" i="1"/>
  <c r="H818" i="1"/>
  <c r="J818" i="1"/>
  <c r="K818" i="1"/>
  <c r="L818" i="1"/>
  <c r="A819" i="1"/>
  <c r="B819" i="1"/>
  <c r="C819" i="1"/>
  <c r="D819" i="1"/>
  <c r="Q819" i="1"/>
  <c r="R819" i="1"/>
  <c r="E819" i="1"/>
  <c r="G819" i="1"/>
  <c r="H819" i="1"/>
  <c r="J819" i="1"/>
  <c r="K819" i="1"/>
  <c r="L819" i="1"/>
  <c r="A820" i="1"/>
  <c r="B820" i="1"/>
  <c r="C820" i="1"/>
  <c r="D820" i="1"/>
  <c r="Q820" i="1"/>
  <c r="R820" i="1"/>
  <c r="E820" i="1"/>
  <c r="G820" i="1"/>
  <c r="H820" i="1"/>
  <c r="J820" i="1"/>
  <c r="K820" i="1"/>
  <c r="L820" i="1"/>
  <c r="A821" i="1"/>
  <c r="B821" i="1"/>
  <c r="C821" i="1"/>
  <c r="D821" i="1"/>
  <c r="Q821" i="1"/>
  <c r="R821" i="1"/>
  <c r="E821" i="1"/>
  <c r="G821" i="1"/>
  <c r="H821" i="1"/>
  <c r="J821" i="1"/>
  <c r="K821" i="1"/>
  <c r="L821" i="1"/>
  <c r="A822" i="1"/>
  <c r="B822" i="1"/>
  <c r="C822" i="1"/>
  <c r="D822" i="1"/>
  <c r="Q822" i="1"/>
  <c r="R822" i="1"/>
  <c r="E822" i="1"/>
  <c r="G822" i="1"/>
  <c r="H822" i="1"/>
  <c r="J822" i="1"/>
  <c r="K822" i="1"/>
  <c r="L822" i="1"/>
  <c r="A823" i="1"/>
  <c r="B823" i="1"/>
  <c r="C823" i="1"/>
  <c r="D823" i="1"/>
  <c r="Q823" i="1"/>
  <c r="R823" i="1"/>
  <c r="E823" i="1"/>
  <c r="G823" i="1"/>
  <c r="H823" i="1"/>
  <c r="J823" i="1"/>
  <c r="K823" i="1"/>
  <c r="L823" i="1"/>
  <c r="A824" i="1"/>
  <c r="B824" i="1"/>
  <c r="C824" i="1"/>
  <c r="D824" i="1"/>
  <c r="Q824" i="1"/>
  <c r="R824" i="1"/>
  <c r="E824" i="1"/>
  <c r="G824" i="1"/>
  <c r="H824" i="1"/>
  <c r="J824" i="1"/>
  <c r="K824" i="1"/>
  <c r="L824" i="1"/>
  <c r="A825" i="1"/>
  <c r="B825" i="1"/>
  <c r="C825" i="1"/>
  <c r="D825" i="1"/>
  <c r="Q825" i="1"/>
  <c r="R825" i="1"/>
  <c r="E825" i="1"/>
  <c r="G825" i="1"/>
  <c r="H825" i="1"/>
  <c r="J825" i="1"/>
  <c r="K825" i="1"/>
  <c r="L825" i="1"/>
  <c r="A826" i="1"/>
  <c r="B826" i="1"/>
  <c r="C826" i="1"/>
  <c r="D826" i="1"/>
  <c r="Q826" i="1"/>
  <c r="R826" i="1"/>
  <c r="E826" i="1"/>
  <c r="G826" i="1"/>
  <c r="H826" i="1"/>
  <c r="J826" i="1"/>
  <c r="K826" i="1"/>
  <c r="L826" i="1"/>
  <c r="A827" i="1"/>
  <c r="B827" i="1"/>
  <c r="C827" i="1"/>
  <c r="D827" i="1"/>
  <c r="Q827" i="1"/>
  <c r="R827" i="1"/>
  <c r="E827" i="1"/>
  <c r="G827" i="1"/>
  <c r="H827" i="1"/>
  <c r="J827" i="1"/>
  <c r="K827" i="1"/>
  <c r="L827" i="1"/>
  <c r="A828" i="1"/>
  <c r="B828" i="1"/>
  <c r="C828" i="1"/>
  <c r="D828" i="1"/>
  <c r="Q828" i="1"/>
  <c r="R828" i="1"/>
  <c r="E828" i="1"/>
  <c r="G828" i="1"/>
  <c r="H828" i="1"/>
  <c r="J828" i="1"/>
  <c r="K828" i="1"/>
  <c r="L828" i="1"/>
  <c r="A829" i="1"/>
  <c r="B829" i="1"/>
  <c r="C829" i="1"/>
  <c r="D829" i="1"/>
  <c r="Q829" i="1"/>
  <c r="R829" i="1"/>
  <c r="E829" i="1"/>
  <c r="G829" i="1"/>
  <c r="H829" i="1"/>
  <c r="J829" i="1"/>
  <c r="K829" i="1"/>
  <c r="L829" i="1"/>
  <c r="A830" i="1"/>
  <c r="B830" i="1"/>
  <c r="C830" i="1"/>
  <c r="D830" i="1"/>
  <c r="Q830" i="1"/>
  <c r="R830" i="1"/>
  <c r="E830" i="1"/>
  <c r="G830" i="1"/>
  <c r="H830" i="1"/>
  <c r="J830" i="1"/>
  <c r="K830" i="1"/>
  <c r="L830" i="1"/>
  <c r="A831" i="1"/>
  <c r="B831" i="1"/>
  <c r="C831" i="1"/>
  <c r="D831" i="1"/>
  <c r="Q831" i="1"/>
  <c r="R831" i="1"/>
  <c r="E831" i="1"/>
  <c r="G831" i="1"/>
  <c r="H831" i="1"/>
  <c r="J831" i="1"/>
  <c r="K831" i="1"/>
  <c r="L831" i="1"/>
  <c r="A832" i="1"/>
  <c r="B832" i="1"/>
  <c r="C832" i="1"/>
  <c r="D832" i="1"/>
  <c r="Q832" i="1"/>
  <c r="R832" i="1"/>
  <c r="E832" i="1"/>
  <c r="G832" i="1"/>
  <c r="H832" i="1"/>
  <c r="J832" i="1"/>
  <c r="K832" i="1"/>
  <c r="L832" i="1"/>
  <c r="A833" i="1"/>
  <c r="B833" i="1"/>
  <c r="C833" i="1"/>
  <c r="D833" i="1"/>
  <c r="Q833" i="1"/>
  <c r="R833" i="1"/>
  <c r="E833" i="1"/>
  <c r="G833" i="1"/>
  <c r="H833" i="1"/>
  <c r="J833" i="1"/>
  <c r="K833" i="1"/>
  <c r="L833" i="1"/>
  <c r="A834" i="1"/>
  <c r="B834" i="1"/>
  <c r="C834" i="1"/>
  <c r="D834" i="1"/>
  <c r="Q834" i="1"/>
  <c r="R834" i="1"/>
  <c r="E834" i="1"/>
  <c r="G834" i="1"/>
  <c r="H834" i="1"/>
  <c r="J834" i="1"/>
  <c r="K834" i="1"/>
  <c r="L834" i="1"/>
  <c r="A835" i="1"/>
  <c r="B835" i="1"/>
  <c r="C835" i="1"/>
  <c r="D835" i="1"/>
  <c r="Q835" i="1"/>
  <c r="R835" i="1"/>
  <c r="E835" i="1"/>
  <c r="G835" i="1"/>
  <c r="H835" i="1"/>
  <c r="J835" i="1"/>
  <c r="K835" i="1"/>
  <c r="L835" i="1"/>
  <c r="A836" i="1"/>
  <c r="B836" i="1"/>
  <c r="C836" i="1"/>
  <c r="D836" i="1"/>
  <c r="Q836" i="1"/>
  <c r="R836" i="1"/>
  <c r="E836" i="1"/>
  <c r="G836" i="1"/>
  <c r="H836" i="1"/>
  <c r="J836" i="1"/>
  <c r="K836" i="1"/>
  <c r="L836" i="1"/>
  <c r="A837" i="1"/>
  <c r="B837" i="1"/>
  <c r="C837" i="1"/>
  <c r="D837" i="1"/>
  <c r="Q837" i="1"/>
  <c r="R837" i="1"/>
  <c r="E837" i="1"/>
  <c r="G837" i="1"/>
  <c r="H837" i="1"/>
  <c r="J837" i="1"/>
  <c r="K837" i="1"/>
  <c r="L837" i="1"/>
  <c r="A838" i="1"/>
  <c r="B838" i="1"/>
  <c r="C838" i="1"/>
  <c r="D838" i="1"/>
  <c r="Q838" i="1"/>
  <c r="R838" i="1"/>
  <c r="E838" i="1"/>
  <c r="G838" i="1"/>
  <c r="H838" i="1"/>
  <c r="J838" i="1"/>
  <c r="K838" i="1"/>
  <c r="L838" i="1"/>
  <c r="A839" i="1"/>
  <c r="B839" i="1"/>
  <c r="C839" i="1"/>
  <c r="D839" i="1"/>
  <c r="Q839" i="1"/>
  <c r="R839" i="1"/>
  <c r="E839" i="1"/>
  <c r="G839" i="1"/>
  <c r="H839" i="1"/>
  <c r="J839" i="1"/>
  <c r="K839" i="1"/>
  <c r="L839" i="1"/>
  <c r="A840" i="1"/>
  <c r="B840" i="1"/>
  <c r="C840" i="1"/>
  <c r="D840" i="1"/>
  <c r="Q840" i="1"/>
  <c r="R840" i="1"/>
  <c r="E840" i="1"/>
  <c r="G840" i="1"/>
  <c r="H840" i="1"/>
  <c r="J840" i="1"/>
  <c r="K840" i="1"/>
  <c r="L840" i="1"/>
  <c r="A841" i="1"/>
  <c r="B841" i="1"/>
  <c r="C841" i="1"/>
  <c r="D841" i="1"/>
  <c r="Q841" i="1"/>
  <c r="R841" i="1"/>
  <c r="E841" i="1"/>
  <c r="G841" i="1"/>
  <c r="H841" i="1"/>
  <c r="J841" i="1"/>
  <c r="K841" i="1"/>
  <c r="L841" i="1"/>
  <c r="A842" i="1"/>
  <c r="B842" i="1"/>
  <c r="C842" i="1"/>
  <c r="D842" i="1"/>
  <c r="Q842" i="1"/>
  <c r="R842" i="1"/>
  <c r="E842" i="1"/>
  <c r="G842" i="1"/>
  <c r="H842" i="1"/>
  <c r="J842" i="1"/>
  <c r="K842" i="1"/>
  <c r="L842" i="1"/>
  <c r="A843" i="1"/>
  <c r="B843" i="1"/>
  <c r="C843" i="1"/>
  <c r="D843" i="1"/>
  <c r="Q843" i="1"/>
  <c r="R843" i="1"/>
  <c r="E843" i="1"/>
  <c r="G843" i="1"/>
  <c r="H843" i="1"/>
  <c r="J843" i="1"/>
  <c r="K843" i="1"/>
  <c r="L843" i="1"/>
  <c r="A844" i="1"/>
  <c r="B844" i="1"/>
  <c r="C844" i="1"/>
  <c r="D844" i="1"/>
  <c r="Q844" i="1"/>
  <c r="R844" i="1"/>
  <c r="E844" i="1"/>
  <c r="G844" i="1"/>
  <c r="H844" i="1"/>
  <c r="J844" i="1"/>
  <c r="K844" i="1"/>
  <c r="L844" i="1"/>
  <c r="A845" i="1"/>
  <c r="B845" i="1"/>
  <c r="C845" i="1"/>
  <c r="D845" i="1"/>
  <c r="Q845" i="1"/>
  <c r="R845" i="1"/>
  <c r="E845" i="1"/>
  <c r="G845" i="1"/>
  <c r="H845" i="1"/>
  <c r="J845" i="1"/>
  <c r="K845" i="1"/>
  <c r="L845" i="1"/>
  <c r="A846" i="1"/>
  <c r="B846" i="1"/>
  <c r="C846" i="1"/>
  <c r="D846" i="1"/>
  <c r="Q846" i="1"/>
  <c r="R846" i="1"/>
  <c r="E846" i="1"/>
  <c r="G846" i="1"/>
  <c r="H846" i="1"/>
  <c r="J846" i="1"/>
  <c r="K846" i="1"/>
  <c r="L846" i="1"/>
  <c r="A847" i="1"/>
  <c r="B847" i="1"/>
  <c r="C847" i="1"/>
  <c r="D847" i="1"/>
  <c r="Q847" i="1"/>
  <c r="R847" i="1"/>
  <c r="E847" i="1"/>
  <c r="G847" i="1"/>
  <c r="H847" i="1"/>
  <c r="J847" i="1"/>
  <c r="K847" i="1"/>
  <c r="L847" i="1"/>
  <c r="A848" i="1"/>
  <c r="B848" i="1"/>
  <c r="C848" i="1"/>
  <c r="D848" i="1"/>
  <c r="Q848" i="1"/>
  <c r="R848" i="1"/>
  <c r="E848" i="1"/>
  <c r="G848" i="1"/>
  <c r="H848" i="1"/>
  <c r="J848" i="1"/>
  <c r="K848" i="1"/>
  <c r="L848" i="1"/>
  <c r="A849" i="1"/>
  <c r="B849" i="1"/>
  <c r="C849" i="1"/>
  <c r="D849" i="1"/>
  <c r="Q849" i="1"/>
  <c r="R849" i="1"/>
  <c r="E849" i="1"/>
  <c r="G849" i="1"/>
  <c r="H849" i="1"/>
  <c r="J849" i="1"/>
  <c r="K849" i="1"/>
  <c r="L849" i="1"/>
  <c r="A850" i="1"/>
  <c r="B850" i="1"/>
  <c r="C850" i="1"/>
  <c r="D850" i="1"/>
  <c r="Q850" i="1"/>
  <c r="R850" i="1"/>
  <c r="E850" i="1"/>
  <c r="G850" i="1"/>
  <c r="H850" i="1"/>
  <c r="J850" i="1"/>
  <c r="K850" i="1"/>
  <c r="L850" i="1"/>
  <c r="A851" i="1"/>
  <c r="B851" i="1"/>
  <c r="C851" i="1"/>
  <c r="D851" i="1"/>
  <c r="Q851" i="1"/>
  <c r="R851" i="1"/>
  <c r="E851" i="1"/>
  <c r="G851" i="1"/>
  <c r="H851" i="1"/>
  <c r="J851" i="1"/>
  <c r="K851" i="1"/>
  <c r="L851" i="1"/>
  <c r="A852" i="1"/>
  <c r="B852" i="1"/>
  <c r="C852" i="1"/>
  <c r="D852" i="1"/>
  <c r="Q852" i="1"/>
  <c r="R852" i="1"/>
  <c r="E852" i="1"/>
  <c r="G852" i="1"/>
  <c r="H852" i="1"/>
  <c r="J852" i="1"/>
  <c r="K852" i="1"/>
  <c r="L852" i="1"/>
  <c r="A853" i="1"/>
  <c r="B853" i="1"/>
  <c r="C853" i="1"/>
  <c r="D853" i="1"/>
  <c r="Q853" i="1"/>
  <c r="R853" i="1"/>
  <c r="E853" i="1"/>
  <c r="G853" i="1"/>
  <c r="H853" i="1"/>
  <c r="J853" i="1"/>
  <c r="K853" i="1"/>
  <c r="L853" i="1"/>
  <c r="A854" i="1"/>
  <c r="B854" i="1"/>
  <c r="C854" i="1"/>
  <c r="D854" i="1"/>
  <c r="Q854" i="1"/>
  <c r="R854" i="1"/>
  <c r="E854" i="1"/>
  <c r="G854" i="1"/>
  <c r="H854" i="1"/>
  <c r="J854" i="1"/>
  <c r="K854" i="1"/>
  <c r="L854" i="1"/>
  <c r="A855" i="1"/>
  <c r="B855" i="1"/>
  <c r="C855" i="1"/>
  <c r="D855" i="1"/>
  <c r="Q855" i="1"/>
  <c r="R855" i="1"/>
  <c r="E855" i="1"/>
  <c r="G855" i="1"/>
  <c r="H855" i="1"/>
  <c r="J855" i="1"/>
  <c r="K855" i="1"/>
  <c r="L855" i="1"/>
  <c r="A856" i="1"/>
  <c r="B856" i="1"/>
  <c r="C856" i="1"/>
  <c r="D856" i="1"/>
  <c r="Q856" i="1"/>
  <c r="R856" i="1"/>
  <c r="E856" i="1"/>
  <c r="G856" i="1"/>
  <c r="H856" i="1"/>
  <c r="J856" i="1"/>
  <c r="K856" i="1"/>
  <c r="L856" i="1"/>
  <c r="A857" i="1"/>
  <c r="B857" i="1"/>
  <c r="C857" i="1"/>
  <c r="D857" i="1"/>
  <c r="Q857" i="1"/>
  <c r="R857" i="1"/>
  <c r="E857" i="1"/>
  <c r="G857" i="1"/>
  <c r="H857" i="1"/>
  <c r="J857" i="1"/>
  <c r="K857" i="1"/>
  <c r="L857" i="1"/>
  <c r="A858" i="1"/>
  <c r="B858" i="1"/>
  <c r="C858" i="1"/>
  <c r="D858" i="1"/>
  <c r="Q858" i="1"/>
  <c r="R858" i="1"/>
  <c r="E858" i="1"/>
  <c r="G858" i="1"/>
  <c r="H858" i="1"/>
  <c r="J858" i="1"/>
  <c r="K858" i="1"/>
  <c r="L858" i="1"/>
  <c r="A859" i="1"/>
  <c r="B859" i="1"/>
  <c r="C859" i="1"/>
  <c r="D859" i="1"/>
  <c r="Q859" i="1"/>
  <c r="R859" i="1"/>
  <c r="E859" i="1"/>
  <c r="G859" i="1"/>
  <c r="H859" i="1"/>
  <c r="J859" i="1"/>
  <c r="K859" i="1"/>
  <c r="L859" i="1"/>
  <c r="A860" i="1"/>
  <c r="B860" i="1"/>
  <c r="C860" i="1"/>
  <c r="D860" i="1"/>
  <c r="Q860" i="1"/>
  <c r="R860" i="1"/>
  <c r="E860" i="1"/>
  <c r="G860" i="1"/>
  <c r="H860" i="1"/>
  <c r="J860" i="1"/>
  <c r="K860" i="1"/>
  <c r="L860" i="1"/>
  <c r="A861" i="1"/>
  <c r="B861" i="1"/>
  <c r="C861" i="1"/>
  <c r="D861" i="1"/>
  <c r="Q861" i="1"/>
  <c r="R861" i="1"/>
  <c r="E861" i="1"/>
  <c r="G861" i="1"/>
  <c r="H861" i="1"/>
  <c r="J861" i="1"/>
  <c r="K861" i="1"/>
  <c r="L861" i="1"/>
  <c r="A862" i="1"/>
  <c r="B862" i="1"/>
  <c r="C862" i="1"/>
  <c r="D862" i="1"/>
  <c r="Q862" i="1"/>
  <c r="R862" i="1"/>
  <c r="E862" i="1"/>
  <c r="G862" i="1"/>
  <c r="H862" i="1"/>
  <c r="J862" i="1"/>
  <c r="K862" i="1"/>
  <c r="L862" i="1"/>
  <c r="A863" i="1"/>
  <c r="B863" i="1"/>
  <c r="C863" i="1"/>
  <c r="D863" i="1"/>
  <c r="Q863" i="1"/>
  <c r="R863" i="1"/>
  <c r="E863" i="1"/>
  <c r="G863" i="1"/>
  <c r="H863" i="1"/>
  <c r="J863" i="1"/>
  <c r="K863" i="1"/>
  <c r="L863" i="1"/>
  <c r="A864" i="1"/>
  <c r="B864" i="1"/>
  <c r="C864" i="1"/>
  <c r="D864" i="1"/>
  <c r="Q864" i="1"/>
  <c r="R864" i="1"/>
  <c r="E864" i="1"/>
  <c r="G864" i="1"/>
  <c r="H864" i="1"/>
  <c r="J864" i="1"/>
  <c r="K864" i="1"/>
  <c r="L864" i="1"/>
  <c r="A865" i="1"/>
  <c r="B865" i="1"/>
  <c r="C865" i="1"/>
  <c r="D865" i="1"/>
  <c r="Q865" i="1"/>
  <c r="R865" i="1"/>
  <c r="E865" i="1"/>
  <c r="G865" i="1"/>
  <c r="H865" i="1"/>
  <c r="J865" i="1"/>
  <c r="K865" i="1"/>
  <c r="L865" i="1"/>
  <c r="A866" i="1"/>
  <c r="B866" i="1"/>
  <c r="C866" i="1"/>
  <c r="D866" i="1"/>
  <c r="Q866" i="1"/>
  <c r="R866" i="1"/>
  <c r="E866" i="1"/>
  <c r="G866" i="1"/>
  <c r="H866" i="1"/>
  <c r="J866" i="1"/>
  <c r="K866" i="1"/>
  <c r="L866" i="1"/>
  <c r="A867" i="1"/>
  <c r="B867" i="1"/>
  <c r="C867" i="1"/>
  <c r="D867" i="1"/>
  <c r="Q867" i="1"/>
  <c r="R867" i="1"/>
  <c r="E867" i="1"/>
  <c r="G867" i="1"/>
  <c r="H867" i="1"/>
  <c r="J867" i="1"/>
  <c r="K867" i="1"/>
  <c r="L867" i="1"/>
  <c r="A868" i="1"/>
  <c r="B868" i="1"/>
  <c r="C868" i="1"/>
  <c r="D868" i="1"/>
  <c r="Q868" i="1"/>
  <c r="R868" i="1"/>
  <c r="E868" i="1"/>
  <c r="G868" i="1"/>
  <c r="H868" i="1"/>
  <c r="J868" i="1"/>
  <c r="K868" i="1"/>
  <c r="L868" i="1"/>
  <c r="A869" i="1"/>
  <c r="B869" i="1"/>
  <c r="C869" i="1"/>
  <c r="D869" i="1"/>
  <c r="Q869" i="1"/>
  <c r="R869" i="1"/>
  <c r="E869" i="1"/>
  <c r="G869" i="1"/>
  <c r="H869" i="1"/>
  <c r="J869" i="1"/>
  <c r="K869" i="1"/>
  <c r="L869" i="1"/>
  <c r="A870" i="1"/>
  <c r="B870" i="1"/>
  <c r="C870" i="1"/>
  <c r="D870" i="1"/>
  <c r="Q870" i="1"/>
  <c r="R870" i="1"/>
  <c r="E870" i="1"/>
  <c r="G870" i="1"/>
  <c r="H870" i="1"/>
  <c r="J870" i="1"/>
  <c r="K870" i="1"/>
  <c r="L870" i="1"/>
  <c r="A871" i="1"/>
  <c r="B871" i="1"/>
  <c r="C871" i="1"/>
  <c r="D871" i="1"/>
  <c r="Q871" i="1"/>
  <c r="R871" i="1"/>
  <c r="E871" i="1"/>
  <c r="G871" i="1"/>
  <c r="H871" i="1"/>
  <c r="J871" i="1"/>
  <c r="K871" i="1"/>
  <c r="L871" i="1"/>
  <c r="A872" i="1"/>
  <c r="B872" i="1"/>
  <c r="C872" i="1"/>
  <c r="D872" i="1"/>
  <c r="Q872" i="1"/>
  <c r="R872" i="1"/>
  <c r="E872" i="1"/>
  <c r="G872" i="1"/>
  <c r="H872" i="1"/>
  <c r="J872" i="1"/>
  <c r="K872" i="1"/>
  <c r="L872" i="1"/>
  <c r="A873" i="1"/>
  <c r="B873" i="1"/>
  <c r="C873" i="1"/>
  <c r="D873" i="1"/>
  <c r="Q873" i="1"/>
  <c r="R873" i="1"/>
  <c r="E873" i="1"/>
  <c r="G873" i="1"/>
  <c r="H873" i="1"/>
  <c r="J873" i="1"/>
  <c r="K873" i="1"/>
  <c r="L873" i="1"/>
  <c r="A874" i="1"/>
  <c r="B874" i="1"/>
  <c r="C874" i="1"/>
  <c r="D874" i="1"/>
  <c r="Q874" i="1"/>
  <c r="R874" i="1"/>
  <c r="E874" i="1"/>
  <c r="G874" i="1"/>
  <c r="H874" i="1"/>
  <c r="J874" i="1"/>
  <c r="K874" i="1"/>
  <c r="L874" i="1"/>
  <c r="A875" i="1"/>
  <c r="B875" i="1"/>
  <c r="C875" i="1"/>
  <c r="D875" i="1"/>
  <c r="Q875" i="1"/>
  <c r="R875" i="1"/>
  <c r="E875" i="1"/>
  <c r="G875" i="1"/>
  <c r="H875" i="1"/>
  <c r="J875" i="1"/>
  <c r="K875" i="1"/>
  <c r="L875" i="1"/>
  <c r="A876" i="1"/>
  <c r="B876" i="1"/>
  <c r="C876" i="1"/>
  <c r="D876" i="1"/>
  <c r="Q876" i="1"/>
  <c r="R876" i="1"/>
  <c r="E876" i="1"/>
  <c r="G876" i="1"/>
  <c r="H876" i="1"/>
  <c r="J876" i="1"/>
  <c r="K876" i="1"/>
  <c r="L876" i="1"/>
  <c r="A877" i="1"/>
  <c r="B877" i="1"/>
  <c r="C877" i="1"/>
  <c r="D877" i="1"/>
  <c r="Q877" i="1"/>
  <c r="R877" i="1"/>
  <c r="E877" i="1"/>
  <c r="G877" i="1"/>
  <c r="H877" i="1"/>
  <c r="J877" i="1"/>
  <c r="K877" i="1"/>
  <c r="L877" i="1"/>
  <c r="A878" i="1"/>
  <c r="B878" i="1"/>
  <c r="C878" i="1"/>
  <c r="D878" i="1"/>
  <c r="Q878" i="1"/>
  <c r="R878" i="1"/>
  <c r="E878" i="1"/>
  <c r="G878" i="1"/>
  <c r="H878" i="1"/>
  <c r="J878" i="1"/>
  <c r="K878" i="1"/>
  <c r="L878" i="1"/>
  <c r="A879" i="1"/>
  <c r="B879" i="1"/>
  <c r="C879" i="1"/>
  <c r="D879" i="1"/>
  <c r="Q879" i="1"/>
  <c r="R879" i="1"/>
  <c r="E879" i="1"/>
  <c r="G879" i="1"/>
  <c r="H879" i="1"/>
  <c r="J879" i="1"/>
  <c r="K879" i="1"/>
  <c r="L879" i="1"/>
  <c r="A880" i="1"/>
  <c r="B880" i="1"/>
  <c r="C880" i="1"/>
  <c r="D880" i="1"/>
  <c r="Q880" i="1"/>
  <c r="R880" i="1"/>
  <c r="E880" i="1"/>
  <c r="G880" i="1"/>
  <c r="H880" i="1"/>
  <c r="J880" i="1"/>
  <c r="K880" i="1"/>
  <c r="L880" i="1"/>
  <c r="A881" i="1"/>
  <c r="B881" i="1"/>
  <c r="C881" i="1"/>
  <c r="D881" i="1"/>
  <c r="Q881" i="1"/>
  <c r="R881" i="1"/>
  <c r="E881" i="1"/>
  <c r="G881" i="1"/>
  <c r="H881" i="1"/>
  <c r="J881" i="1"/>
  <c r="K881" i="1"/>
  <c r="L881" i="1"/>
  <c r="A882" i="1"/>
  <c r="B882" i="1"/>
  <c r="C882" i="1"/>
  <c r="D882" i="1"/>
  <c r="Q882" i="1"/>
  <c r="R882" i="1"/>
  <c r="E882" i="1"/>
  <c r="G882" i="1"/>
  <c r="H882" i="1"/>
  <c r="J882" i="1"/>
  <c r="K882" i="1"/>
  <c r="L882" i="1"/>
  <c r="A883" i="1"/>
  <c r="B883" i="1"/>
  <c r="C883" i="1"/>
  <c r="D883" i="1"/>
  <c r="Q883" i="1"/>
  <c r="R883" i="1"/>
  <c r="E883" i="1"/>
  <c r="G883" i="1"/>
  <c r="H883" i="1"/>
  <c r="J883" i="1"/>
  <c r="K883" i="1"/>
  <c r="L883" i="1"/>
  <c r="A884" i="1"/>
  <c r="B884" i="1"/>
  <c r="C884" i="1"/>
  <c r="D884" i="1"/>
  <c r="Q884" i="1"/>
  <c r="R884" i="1"/>
  <c r="E884" i="1"/>
  <c r="G884" i="1"/>
  <c r="H884" i="1"/>
  <c r="J884" i="1"/>
  <c r="K884" i="1"/>
  <c r="L884" i="1"/>
  <c r="A885" i="1"/>
  <c r="B885" i="1"/>
  <c r="C885" i="1"/>
  <c r="D885" i="1"/>
  <c r="Q885" i="1"/>
  <c r="R885" i="1"/>
  <c r="E885" i="1"/>
  <c r="G885" i="1"/>
  <c r="H885" i="1"/>
  <c r="J885" i="1"/>
  <c r="K885" i="1"/>
  <c r="L885" i="1"/>
  <c r="A886" i="1"/>
  <c r="B886" i="1"/>
  <c r="C886" i="1"/>
  <c r="D886" i="1"/>
  <c r="Q886" i="1"/>
  <c r="R886" i="1"/>
  <c r="E886" i="1"/>
  <c r="G886" i="1"/>
  <c r="H886" i="1"/>
  <c r="J886" i="1"/>
  <c r="K886" i="1"/>
  <c r="L886" i="1"/>
  <c r="A887" i="1"/>
  <c r="B887" i="1"/>
  <c r="C887" i="1"/>
  <c r="D887" i="1"/>
  <c r="Q887" i="1"/>
  <c r="R887" i="1"/>
  <c r="E887" i="1"/>
  <c r="G887" i="1"/>
  <c r="H887" i="1"/>
  <c r="J887" i="1"/>
  <c r="K887" i="1"/>
  <c r="L887" i="1"/>
  <c r="A888" i="1"/>
  <c r="B888" i="1"/>
  <c r="C888" i="1"/>
  <c r="D888" i="1"/>
  <c r="Q888" i="1"/>
  <c r="R888" i="1"/>
  <c r="E888" i="1"/>
  <c r="G888" i="1"/>
  <c r="H888" i="1"/>
  <c r="J888" i="1"/>
  <c r="K888" i="1"/>
  <c r="L888" i="1"/>
  <c r="A889" i="1"/>
  <c r="B889" i="1"/>
  <c r="C889" i="1"/>
  <c r="D889" i="1"/>
  <c r="Q889" i="1"/>
  <c r="R889" i="1"/>
  <c r="E889" i="1"/>
  <c r="G889" i="1"/>
  <c r="H889" i="1"/>
  <c r="J889" i="1"/>
  <c r="K889" i="1"/>
  <c r="L889" i="1"/>
  <c r="A890" i="1"/>
  <c r="B890" i="1"/>
  <c r="C890" i="1"/>
  <c r="D890" i="1"/>
  <c r="Q890" i="1"/>
  <c r="R890" i="1"/>
  <c r="E890" i="1"/>
  <c r="G890" i="1"/>
  <c r="H890" i="1"/>
  <c r="J890" i="1"/>
  <c r="K890" i="1"/>
  <c r="L890" i="1"/>
  <c r="A891" i="1"/>
  <c r="B891" i="1"/>
  <c r="C891" i="1"/>
  <c r="D891" i="1"/>
  <c r="Q891" i="1"/>
  <c r="R891" i="1"/>
  <c r="E891" i="1"/>
  <c r="G891" i="1"/>
  <c r="H891" i="1"/>
  <c r="J891" i="1"/>
  <c r="K891" i="1"/>
  <c r="L891" i="1"/>
  <c r="A892" i="1"/>
  <c r="B892" i="1"/>
  <c r="C892" i="1"/>
  <c r="D892" i="1"/>
  <c r="Q892" i="1"/>
  <c r="R892" i="1"/>
  <c r="E892" i="1"/>
  <c r="G892" i="1"/>
  <c r="H892" i="1"/>
  <c r="J892" i="1"/>
  <c r="K892" i="1"/>
  <c r="L892" i="1"/>
  <c r="A893" i="1"/>
  <c r="B893" i="1"/>
  <c r="C893" i="1"/>
  <c r="D893" i="1"/>
  <c r="Q893" i="1"/>
  <c r="R893" i="1"/>
  <c r="E893" i="1"/>
  <c r="G893" i="1"/>
  <c r="H893" i="1"/>
  <c r="J893" i="1"/>
  <c r="K893" i="1"/>
  <c r="L893" i="1"/>
  <c r="A894" i="1"/>
  <c r="B894" i="1"/>
  <c r="C894" i="1"/>
  <c r="D894" i="1"/>
  <c r="Q894" i="1"/>
  <c r="R894" i="1"/>
  <c r="E894" i="1"/>
  <c r="G894" i="1"/>
  <c r="H894" i="1"/>
  <c r="J894" i="1"/>
  <c r="K894" i="1"/>
  <c r="L894" i="1"/>
  <c r="A895" i="1"/>
  <c r="B895" i="1"/>
  <c r="C895" i="1"/>
  <c r="D895" i="1"/>
  <c r="Q895" i="1"/>
  <c r="R895" i="1"/>
  <c r="E895" i="1"/>
  <c r="G895" i="1"/>
  <c r="H895" i="1"/>
  <c r="J895" i="1"/>
  <c r="K895" i="1"/>
  <c r="L895" i="1"/>
  <c r="A896" i="1"/>
  <c r="B896" i="1"/>
  <c r="C896" i="1"/>
  <c r="D896" i="1"/>
  <c r="Q896" i="1"/>
  <c r="R896" i="1"/>
  <c r="E896" i="1"/>
  <c r="G896" i="1"/>
  <c r="H896" i="1"/>
  <c r="J896" i="1"/>
  <c r="K896" i="1"/>
  <c r="L896" i="1"/>
  <c r="A897" i="1"/>
  <c r="B897" i="1"/>
  <c r="C897" i="1"/>
  <c r="D897" i="1"/>
  <c r="Q897" i="1"/>
  <c r="R897" i="1"/>
  <c r="E897" i="1"/>
  <c r="G897" i="1"/>
  <c r="H897" i="1"/>
  <c r="J897" i="1"/>
  <c r="K897" i="1"/>
  <c r="L897" i="1"/>
  <c r="A898" i="1"/>
  <c r="B898" i="1"/>
  <c r="C898" i="1"/>
  <c r="D898" i="1"/>
  <c r="Q898" i="1"/>
  <c r="R898" i="1"/>
  <c r="E898" i="1"/>
  <c r="G898" i="1"/>
  <c r="H898" i="1"/>
  <c r="J898" i="1"/>
  <c r="K898" i="1"/>
  <c r="L898" i="1"/>
  <c r="A899" i="1"/>
  <c r="B899" i="1"/>
  <c r="C899" i="1"/>
  <c r="D899" i="1"/>
  <c r="Q899" i="1"/>
  <c r="R899" i="1"/>
  <c r="E899" i="1"/>
  <c r="G899" i="1"/>
  <c r="H899" i="1"/>
  <c r="J899" i="1"/>
  <c r="K899" i="1"/>
  <c r="L899" i="1"/>
  <c r="A900" i="1"/>
  <c r="B900" i="1"/>
  <c r="C900" i="1"/>
  <c r="D900" i="1"/>
  <c r="Q900" i="1"/>
  <c r="R900" i="1"/>
  <c r="E900" i="1"/>
  <c r="G900" i="1"/>
  <c r="H900" i="1"/>
  <c r="J900" i="1"/>
  <c r="K900" i="1"/>
  <c r="L900" i="1"/>
  <c r="A901" i="1"/>
  <c r="B901" i="1"/>
  <c r="C901" i="1"/>
  <c r="D901" i="1"/>
  <c r="Q901" i="1"/>
  <c r="R901" i="1"/>
  <c r="E901" i="1"/>
  <c r="G901" i="1"/>
  <c r="H901" i="1"/>
  <c r="J901" i="1"/>
  <c r="K901" i="1"/>
  <c r="L901" i="1"/>
  <c r="A902" i="1"/>
  <c r="B902" i="1"/>
  <c r="C902" i="1"/>
  <c r="D902" i="1"/>
  <c r="Q902" i="1"/>
  <c r="R902" i="1"/>
  <c r="E902" i="1"/>
  <c r="G902" i="1"/>
  <c r="H902" i="1"/>
  <c r="J902" i="1"/>
  <c r="K902" i="1"/>
  <c r="L902" i="1"/>
  <c r="A903" i="1"/>
  <c r="B903" i="1"/>
  <c r="C903" i="1"/>
  <c r="D903" i="1"/>
  <c r="Q903" i="1"/>
  <c r="R903" i="1"/>
  <c r="E903" i="1"/>
  <c r="G903" i="1"/>
  <c r="H903" i="1"/>
  <c r="J903" i="1"/>
  <c r="K903" i="1"/>
  <c r="L903" i="1"/>
  <c r="A904" i="1"/>
  <c r="B904" i="1"/>
  <c r="C904" i="1"/>
  <c r="D904" i="1"/>
  <c r="Q904" i="1"/>
  <c r="R904" i="1"/>
  <c r="E904" i="1"/>
  <c r="G904" i="1"/>
  <c r="H904" i="1"/>
  <c r="J904" i="1"/>
  <c r="K904" i="1"/>
  <c r="L904" i="1"/>
  <c r="A905" i="1"/>
  <c r="B905" i="1"/>
  <c r="C905" i="1"/>
  <c r="D905" i="1"/>
  <c r="Q905" i="1"/>
  <c r="R905" i="1"/>
  <c r="E905" i="1"/>
  <c r="G905" i="1"/>
  <c r="H905" i="1"/>
  <c r="J905" i="1"/>
  <c r="K905" i="1"/>
  <c r="L905" i="1"/>
  <c r="A906" i="1"/>
  <c r="B906" i="1"/>
  <c r="C906" i="1"/>
  <c r="D906" i="1"/>
  <c r="Q906" i="1"/>
  <c r="R906" i="1"/>
  <c r="E906" i="1"/>
  <c r="G906" i="1"/>
  <c r="H906" i="1"/>
  <c r="J906" i="1"/>
  <c r="K906" i="1"/>
  <c r="L906" i="1"/>
  <c r="A907" i="1"/>
  <c r="B907" i="1"/>
  <c r="C907" i="1"/>
  <c r="D907" i="1"/>
  <c r="Q907" i="1"/>
  <c r="R907" i="1"/>
  <c r="E907" i="1"/>
  <c r="G907" i="1"/>
  <c r="H907" i="1"/>
  <c r="J907" i="1"/>
  <c r="K907" i="1"/>
  <c r="L907" i="1"/>
  <c r="A908" i="1"/>
  <c r="B908" i="1"/>
  <c r="C908" i="1"/>
  <c r="D908" i="1"/>
  <c r="Q908" i="1"/>
  <c r="R908" i="1"/>
  <c r="E908" i="1"/>
  <c r="G908" i="1"/>
  <c r="H908" i="1"/>
  <c r="J908" i="1"/>
  <c r="K908" i="1"/>
  <c r="L908" i="1"/>
  <c r="A909" i="1"/>
  <c r="B909" i="1"/>
  <c r="C909" i="1"/>
  <c r="D909" i="1"/>
  <c r="Q909" i="1"/>
  <c r="R909" i="1"/>
  <c r="E909" i="1"/>
  <c r="G909" i="1"/>
  <c r="H909" i="1"/>
  <c r="J909" i="1"/>
  <c r="K909" i="1"/>
  <c r="L909" i="1"/>
  <c r="A910" i="1"/>
  <c r="B910" i="1"/>
  <c r="C910" i="1"/>
  <c r="D910" i="1"/>
  <c r="Q910" i="1"/>
  <c r="R910" i="1"/>
  <c r="E910" i="1"/>
  <c r="G910" i="1"/>
  <c r="H910" i="1"/>
  <c r="J910" i="1"/>
  <c r="K910" i="1"/>
  <c r="L910" i="1"/>
  <c r="A911" i="1"/>
  <c r="B911" i="1"/>
  <c r="C911" i="1"/>
  <c r="D911" i="1"/>
  <c r="Q911" i="1"/>
  <c r="R911" i="1"/>
  <c r="E911" i="1"/>
  <c r="G911" i="1"/>
  <c r="H911" i="1"/>
  <c r="J911" i="1"/>
  <c r="K911" i="1"/>
  <c r="L911" i="1"/>
  <c r="A912" i="1"/>
  <c r="B912" i="1"/>
  <c r="C912" i="1"/>
  <c r="D912" i="1"/>
  <c r="Q912" i="1"/>
  <c r="R912" i="1"/>
  <c r="E912" i="1"/>
  <c r="G912" i="1"/>
  <c r="H912" i="1"/>
  <c r="J912" i="1"/>
  <c r="K912" i="1"/>
  <c r="L912" i="1"/>
  <c r="A913" i="1"/>
  <c r="B913" i="1"/>
  <c r="C913" i="1"/>
  <c r="D913" i="1"/>
  <c r="Q913" i="1"/>
  <c r="R913" i="1"/>
  <c r="E913" i="1"/>
  <c r="G913" i="1"/>
  <c r="H913" i="1"/>
  <c r="J913" i="1"/>
  <c r="K913" i="1"/>
  <c r="L913" i="1"/>
  <c r="A914" i="1"/>
  <c r="B914" i="1"/>
  <c r="C914" i="1"/>
  <c r="D914" i="1"/>
  <c r="Q914" i="1"/>
  <c r="R914" i="1"/>
  <c r="E914" i="1"/>
  <c r="G914" i="1"/>
  <c r="H914" i="1"/>
  <c r="J914" i="1"/>
  <c r="K914" i="1"/>
  <c r="L914" i="1"/>
  <c r="A915" i="1"/>
  <c r="B915" i="1"/>
  <c r="C915" i="1"/>
  <c r="D915" i="1"/>
  <c r="Q915" i="1"/>
  <c r="R915" i="1"/>
  <c r="E915" i="1"/>
  <c r="G915" i="1"/>
  <c r="H915" i="1"/>
  <c r="J915" i="1"/>
  <c r="K915" i="1"/>
  <c r="L915" i="1"/>
  <c r="A916" i="1"/>
  <c r="B916" i="1"/>
  <c r="C916" i="1"/>
  <c r="D916" i="1"/>
  <c r="Q916" i="1"/>
  <c r="R916" i="1"/>
  <c r="E916" i="1"/>
  <c r="G916" i="1"/>
  <c r="H916" i="1"/>
  <c r="J916" i="1"/>
  <c r="K916" i="1"/>
  <c r="L916" i="1"/>
  <c r="A917" i="1"/>
  <c r="B917" i="1"/>
  <c r="C917" i="1"/>
  <c r="D917" i="1"/>
  <c r="Q917" i="1"/>
  <c r="R917" i="1"/>
  <c r="E917" i="1"/>
  <c r="G917" i="1"/>
  <c r="H917" i="1"/>
  <c r="J917" i="1"/>
  <c r="K917" i="1"/>
  <c r="L917" i="1"/>
  <c r="A918" i="1"/>
  <c r="B918" i="1"/>
  <c r="C918" i="1"/>
  <c r="D918" i="1"/>
  <c r="Q918" i="1"/>
  <c r="R918" i="1"/>
  <c r="E918" i="1"/>
  <c r="G918" i="1"/>
  <c r="H918" i="1"/>
  <c r="J918" i="1"/>
  <c r="K918" i="1"/>
  <c r="L918" i="1"/>
  <c r="A919" i="1"/>
  <c r="B919" i="1"/>
  <c r="C919" i="1"/>
  <c r="D919" i="1"/>
  <c r="Q919" i="1"/>
  <c r="R919" i="1"/>
  <c r="E919" i="1"/>
  <c r="G919" i="1"/>
  <c r="H919" i="1"/>
  <c r="J919" i="1"/>
  <c r="K919" i="1"/>
  <c r="L919" i="1"/>
  <c r="A920" i="1"/>
  <c r="B920" i="1"/>
  <c r="C920" i="1"/>
  <c r="D920" i="1"/>
  <c r="Q920" i="1"/>
  <c r="R920" i="1"/>
  <c r="E920" i="1"/>
  <c r="G920" i="1"/>
  <c r="H920" i="1"/>
  <c r="J920" i="1"/>
  <c r="K920" i="1"/>
  <c r="L920" i="1"/>
  <c r="A921" i="1"/>
  <c r="B921" i="1"/>
  <c r="C921" i="1"/>
  <c r="D921" i="1"/>
  <c r="Q921" i="1"/>
  <c r="R921" i="1"/>
  <c r="E921" i="1"/>
  <c r="G921" i="1"/>
  <c r="H921" i="1"/>
  <c r="J921" i="1"/>
  <c r="K921" i="1"/>
  <c r="L921" i="1"/>
  <c r="A922" i="1"/>
  <c r="B922" i="1"/>
  <c r="C922" i="1"/>
  <c r="D922" i="1"/>
  <c r="Q922" i="1"/>
  <c r="R922" i="1"/>
  <c r="E922" i="1"/>
  <c r="G922" i="1"/>
  <c r="H922" i="1"/>
  <c r="J922" i="1"/>
  <c r="K922" i="1"/>
  <c r="L922" i="1"/>
  <c r="A923" i="1"/>
  <c r="B923" i="1"/>
  <c r="C923" i="1"/>
  <c r="D923" i="1"/>
  <c r="Q923" i="1"/>
  <c r="R923" i="1"/>
  <c r="E923" i="1"/>
  <c r="G923" i="1"/>
  <c r="H923" i="1"/>
  <c r="J923" i="1"/>
  <c r="K923" i="1"/>
  <c r="L923" i="1"/>
  <c r="A924" i="1"/>
  <c r="B924" i="1"/>
  <c r="C924" i="1"/>
  <c r="D924" i="1"/>
  <c r="Q924" i="1"/>
  <c r="R924" i="1"/>
  <c r="E924" i="1"/>
  <c r="G924" i="1"/>
  <c r="H924" i="1"/>
  <c r="J924" i="1"/>
  <c r="K924" i="1"/>
  <c r="L924" i="1"/>
  <c r="A925" i="1"/>
  <c r="B925" i="1"/>
  <c r="C925" i="1"/>
  <c r="D925" i="1"/>
  <c r="Q925" i="1"/>
  <c r="R925" i="1"/>
  <c r="E925" i="1"/>
  <c r="G925" i="1"/>
  <c r="H925" i="1"/>
  <c r="J925" i="1"/>
  <c r="K925" i="1"/>
  <c r="L925" i="1"/>
  <c r="A926" i="1"/>
  <c r="B926" i="1"/>
  <c r="C926" i="1"/>
  <c r="D926" i="1"/>
  <c r="Q926" i="1"/>
  <c r="R926" i="1"/>
  <c r="E926" i="1"/>
  <c r="G926" i="1"/>
  <c r="H926" i="1"/>
  <c r="J926" i="1"/>
  <c r="K926" i="1"/>
  <c r="L926" i="1"/>
  <c r="A927" i="1"/>
  <c r="B927" i="1"/>
  <c r="C927" i="1"/>
  <c r="D927" i="1"/>
  <c r="Q927" i="1"/>
  <c r="R927" i="1"/>
  <c r="E927" i="1"/>
  <c r="G927" i="1"/>
  <c r="H927" i="1"/>
  <c r="J927" i="1"/>
  <c r="K927" i="1"/>
  <c r="L927" i="1"/>
  <c r="A928" i="1"/>
  <c r="B928" i="1"/>
  <c r="C928" i="1"/>
  <c r="D928" i="1"/>
  <c r="Q928" i="1"/>
  <c r="R928" i="1"/>
  <c r="E928" i="1"/>
  <c r="G928" i="1"/>
  <c r="H928" i="1"/>
  <c r="J928" i="1"/>
  <c r="K928" i="1"/>
  <c r="L928" i="1"/>
  <c r="A929" i="1"/>
  <c r="B929" i="1"/>
  <c r="C929" i="1"/>
  <c r="D929" i="1"/>
  <c r="Q929" i="1"/>
  <c r="R929" i="1"/>
  <c r="E929" i="1"/>
  <c r="G929" i="1"/>
  <c r="H929" i="1"/>
  <c r="J929" i="1"/>
  <c r="K929" i="1"/>
  <c r="L929" i="1"/>
  <c r="A930" i="1"/>
  <c r="B930" i="1"/>
  <c r="C930" i="1"/>
  <c r="D930" i="1"/>
  <c r="Q930" i="1"/>
  <c r="R930" i="1"/>
  <c r="E930" i="1"/>
  <c r="G930" i="1"/>
  <c r="H930" i="1"/>
  <c r="J930" i="1"/>
  <c r="K930" i="1"/>
  <c r="L930" i="1"/>
  <c r="A931" i="1"/>
  <c r="B931" i="1"/>
  <c r="C931" i="1"/>
  <c r="D931" i="1"/>
  <c r="Q931" i="1"/>
  <c r="R931" i="1"/>
  <c r="E931" i="1"/>
  <c r="G931" i="1"/>
  <c r="H931" i="1"/>
  <c r="J931" i="1"/>
  <c r="K931" i="1"/>
  <c r="L931" i="1"/>
  <c r="A932" i="1"/>
  <c r="B932" i="1"/>
  <c r="C932" i="1"/>
  <c r="D932" i="1"/>
  <c r="Q932" i="1"/>
  <c r="R932" i="1"/>
  <c r="E932" i="1"/>
  <c r="G932" i="1"/>
  <c r="H932" i="1"/>
  <c r="J932" i="1"/>
  <c r="K932" i="1"/>
  <c r="L932" i="1"/>
  <c r="A933" i="1"/>
  <c r="B933" i="1"/>
  <c r="C933" i="1"/>
  <c r="D933" i="1"/>
  <c r="Q933" i="1"/>
  <c r="R933" i="1"/>
  <c r="E933" i="1"/>
  <c r="G933" i="1"/>
  <c r="H933" i="1"/>
  <c r="J933" i="1"/>
  <c r="K933" i="1"/>
  <c r="L933" i="1"/>
  <c r="A934" i="1"/>
  <c r="B934" i="1"/>
  <c r="C934" i="1"/>
  <c r="D934" i="1"/>
  <c r="Q934" i="1"/>
  <c r="R934" i="1"/>
  <c r="E934" i="1"/>
  <c r="G934" i="1"/>
  <c r="H934" i="1"/>
  <c r="J934" i="1"/>
  <c r="K934" i="1"/>
  <c r="L934" i="1"/>
  <c r="A935" i="1"/>
  <c r="B935" i="1"/>
  <c r="C935" i="1"/>
  <c r="D935" i="1"/>
  <c r="Q935" i="1"/>
  <c r="R935" i="1"/>
  <c r="E935" i="1"/>
  <c r="G935" i="1"/>
  <c r="H935" i="1"/>
  <c r="J935" i="1"/>
  <c r="K935" i="1"/>
  <c r="L935" i="1"/>
  <c r="A936" i="1"/>
  <c r="B936" i="1"/>
  <c r="C936" i="1"/>
  <c r="D936" i="1"/>
  <c r="Q936" i="1"/>
  <c r="R936" i="1"/>
  <c r="E936" i="1"/>
  <c r="G936" i="1"/>
  <c r="H936" i="1"/>
  <c r="J936" i="1"/>
  <c r="K936" i="1"/>
  <c r="L936" i="1"/>
  <c r="A937" i="1"/>
  <c r="B937" i="1"/>
  <c r="C937" i="1"/>
  <c r="D937" i="1"/>
  <c r="Q937" i="1"/>
  <c r="R937" i="1"/>
  <c r="E937" i="1"/>
  <c r="G937" i="1"/>
  <c r="H937" i="1"/>
  <c r="J937" i="1"/>
  <c r="K937" i="1"/>
  <c r="L937" i="1"/>
  <c r="A938" i="1"/>
  <c r="B938" i="1"/>
  <c r="C938" i="1"/>
  <c r="D938" i="1"/>
  <c r="Q938" i="1"/>
  <c r="R938" i="1"/>
  <c r="E938" i="1"/>
  <c r="G938" i="1"/>
  <c r="H938" i="1"/>
  <c r="J938" i="1"/>
  <c r="K938" i="1"/>
  <c r="L938" i="1"/>
  <c r="A939" i="1"/>
  <c r="B939" i="1"/>
  <c r="C939" i="1"/>
  <c r="D939" i="1"/>
  <c r="Q939" i="1"/>
  <c r="R939" i="1"/>
  <c r="E939" i="1"/>
  <c r="G939" i="1"/>
  <c r="H939" i="1"/>
  <c r="J939" i="1"/>
  <c r="K939" i="1"/>
  <c r="L939" i="1"/>
  <c r="A940" i="1"/>
  <c r="B940" i="1"/>
  <c r="C940" i="1"/>
  <c r="D940" i="1"/>
  <c r="Q940" i="1"/>
  <c r="R940" i="1"/>
  <c r="E940" i="1"/>
  <c r="G940" i="1"/>
  <c r="H940" i="1"/>
  <c r="J940" i="1"/>
  <c r="K940" i="1"/>
  <c r="L940" i="1"/>
  <c r="A941" i="1"/>
  <c r="B941" i="1"/>
  <c r="C941" i="1"/>
  <c r="D941" i="1"/>
  <c r="Q941" i="1"/>
  <c r="R941" i="1"/>
  <c r="E941" i="1"/>
  <c r="G941" i="1"/>
  <c r="H941" i="1"/>
  <c r="J941" i="1"/>
  <c r="K941" i="1"/>
  <c r="L941" i="1"/>
  <c r="A942" i="1"/>
  <c r="B942" i="1"/>
  <c r="C942" i="1"/>
  <c r="D942" i="1"/>
  <c r="Q942" i="1"/>
  <c r="R942" i="1"/>
  <c r="E942" i="1"/>
  <c r="G942" i="1"/>
  <c r="H942" i="1"/>
  <c r="J942" i="1"/>
  <c r="K942" i="1"/>
  <c r="L942" i="1"/>
  <c r="A943" i="1"/>
  <c r="B943" i="1"/>
  <c r="C943" i="1"/>
  <c r="D943" i="1"/>
  <c r="Q943" i="1"/>
  <c r="R943" i="1"/>
  <c r="E943" i="1"/>
  <c r="G943" i="1"/>
  <c r="H943" i="1"/>
  <c r="J943" i="1"/>
  <c r="K943" i="1"/>
  <c r="L943" i="1"/>
  <c r="A944" i="1"/>
  <c r="B944" i="1"/>
  <c r="C944" i="1"/>
  <c r="D944" i="1"/>
  <c r="Q944" i="1"/>
  <c r="R944" i="1"/>
  <c r="E944" i="1"/>
  <c r="G944" i="1"/>
  <c r="H944" i="1"/>
  <c r="J944" i="1"/>
  <c r="K944" i="1"/>
  <c r="L944" i="1"/>
  <c r="A945" i="1"/>
  <c r="B945" i="1"/>
  <c r="C945" i="1"/>
  <c r="D945" i="1"/>
  <c r="Q945" i="1"/>
  <c r="R945" i="1"/>
  <c r="E945" i="1"/>
  <c r="G945" i="1"/>
  <c r="H945" i="1"/>
  <c r="J945" i="1"/>
  <c r="K945" i="1"/>
  <c r="L945" i="1"/>
  <c r="A946" i="1"/>
  <c r="B946" i="1"/>
  <c r="C946" i="1"/>
  <c r="D946" i="1"/>
  <c r="Q946" i="1"/>
  <c r="R946" i="1"/>
  <c r="E946" i="1"/>
  <c r="G946" i="1"/>
  <c r="H946" i="1"/>
  <c r="J946" i="1"/>
  <c r="K946" i="1"/>
  <c r="L946" i="1"/>
  <c r="A947" i="1"/>
  <c r="B947" i="1"/>
  <c r="C947" i="1"/>
  <c r="D947" i="1"/>
  <c r="Q947" i="1"/>
  <c r="R947" i="1"/>
  <c r="E947" i="1"/>
  <c r="G947" i="1"/>
  <c r="H947" i="1"/>
  <c r="J947" i="1"/>
  <c r="K947" i="1"/>
  <c r="L947" i="1"/>
  <c r="A948" i="1"/>
  <c r="B948" i="1"/>
  <c r="C948" i="1"/>
  <c r="D948" i="1"/>
  <c r="Q948" i="1"/>
  <c r="R948" i="1"/>
  <c r="E948" i="1"/>
  <c r="G948" i="1"/>
  <c r="H948" i="1"/>
  <c r="J948" i="1"/>
  <c r="K948" i="1"/>
  <c r="L948" i="1"/>
  <c r="A949" i="1"/>
  <c r="B949" i="1"/>
  <c r="C949" i="1"/>
  <c r="D949" i="1"/>
  <c r="Q949" i="1"/>
  <c r="R949" i="1"/>
  <c r="E949" i="1"/>
  <c r="G949" i="1"/>
  <c r="H949" i="1"/>
  <c r="J949" i="1"/>
  <c r="K949" i="1"/>
  <c r="L949" i="1"/>
  <c r="A950" i="1"/>
  <c r="B950" i="1"/>
  <c r="C950" i="1"/>
  <c r="D950" i="1"/>
  <c r="Q950" i="1"/>
  <c r="R950" i="1"/>
  <c r="E950" i="1"/>
  <c r="G950" i="1"/>
  <c r="H950" i="1"/>
  <c r="J950" i="1"/>
  <c r="K950" i="1"/>
  <c r="L950" i="1"/>
  <c r="A951" i="1"/>
  <c r="B951" i="1"/>
  <c r="C951" i="1"/>
  <c r="D951" i="1"/>
  <c r="Q951" i="1"/>
  <c r="R951" i="1"/>
  <c r="E951" i="1"/>
  <c r="G951" i="1"/>
  <c r="H951" i="1"/>
  <c r="J951" i="1"/>
  <c r="K951" i="1"/>
  <c r="L951" i="1"/>
  <c r="A952" i="1"/>
  <c r="B952" i="1"/>
  <c r="C952" i="1"/>
  <c r="D952" i="1"/>
  <c r="Q952" i="1"/>
  <c r="R952" i="1"/>
  <c r="E952" i="1"/>
  <c r="G952" i="1"/>
  <c r="H952" i="1"/>
  <c r="J952" i="1"/>
  <c r="K952" i="1"/>
  <c r="L952" i="1"/>
  <c r="A953" i="1"/>
  <c r="B953" i="1"/>
  <c r="C953" i="1"/>
  <c r="D953" i="1"/>
  <c r="Q953" i="1"/>
  <c r="R953" i="1"/>
  <c r="E953" i="1"/>
  <c r="G953" i="1"/>
  <c r="H953" i="1"/>
  <c r="J953" i="1"/>
  <c r="K953" i="1"/>
  <c r="L953" i="1"/>
  <c r="A954" i="1"/>
  <c r="B954" i="1"/>
  <c r="C954" i="1"/>
  <c r="D954" i="1"/>
  <c r="Q954" i="1"/>
  <c r="R954" i="1"/>
  <c r="E954" i="1"/>
  <c r="G954" i="1"/>
  <c r="H954" i="1"/>
  <c r="J954" i="1"/>
  <c r="K954" i="1"/>
  <c r="L954" i="1"/>
  <c r="A955" i="1"/>
  <c r="B955" i="1"/>
  <c r="C955" i="1"/>
  <c r="D955" i="1"/>
  <c r="Q955" i="1"/>
  <c r="R955" i="1"/>
  <c r="E955" i="1"/>
  <c r="G955" i="1"/>
  <c r="H955" i="1"/>
  <c r="J955" i="1"/>
  <c r="K955" i="1"/>
  <c r="L955" i="1"/>
  <c r="A956" i="1"/>
  <c r="B956" i="1"/>
  <c r="C956" i="1"/>
  <c r="D956" i="1"/>
  <c r="Q956" i="1"/>
  <c r="R956" i="1"/>
  <c r="E956" i="1"/>
  <c r="G956" i="1"/>
  <c r="H956" i="1"/>
  <c r="J956" i="1"/>
  <c r="K956" i="1"/>
  <c r="L956" i="1"/>
  <c r="A957" i="1"/>
  <c r="B957" i="1"/>
  <c r="C957" i="1"/>
  <c r="D957" i="1"/>
  <c r="Q957" i="1"/>
  <c r="R957" i="1"/>
  <c r="E957" i="1"/>
  <c r="G957" i="1"/>
  <c r="H957" i="1"/>
  <c r="J957" i="1"/>
  <c r="K957" i="1"/>
  <c r="L957" i="1"/>
  <c r="A958" i="1"/>
  <c r="B958" i="1"/>
  <c r="C958" i="1"/>
  <c r="D958" i="1"/>
  <c r="Q958" i="1"/>
  <c r="R958" i="1"/>
  <c r="E958" i="1"/>
  <c r="G958" i="1"/>
  <c r="H958" i="1"/>
  <c r="J958" i="1"/>
  <c r="K958" i="1"/>
  <c r="L958" i="1"/>
  <c r="A959" i="1"/>
  <c r="B959" i="1"/>
  <c r="C959" i="1"/>
  <c r="D959" i="1"/>
  <c r="Q959" i="1"/>
  <c r="R959" i="1"/>
  <c r="E959" i="1"/>
  <c r="G959" i="1"/>
  <c r="H959" i="1"/>
  <c r="J959" i="1"/>
  <c r="K959" i="1"/>
  <c r="L959" i="1"/>
  <c r="A960" i="1"/>
  <c r="B960" i="1"/>
  <c r="C960" i="1"/>
  <c r="D960" i="1"/>
  <c r="Q960" i="1"/>
  <c r="R960" i="1"/>
  <c r="E960" i="1"/>
  <c r="G960" i="1"/>
  <c r="H960" i="1"/>
  <c r="J960" i="1"/>
  <c r="K960" i="1"/>
  <c r="L960" i="1"/>
  <c r="A961" i="1"/>
  <c r="B961" i="1"/>
  <c r="C961" i="1"/>
  <c r="D961" i="1"/>
  <c r="Q961" i="1"/>
  <c r="R961" i="1"/>
  <c r="E961" i="1"/>
  <c r="G961" i="1"/>
  <c r="H961" i="1"/>
  <c r="J961" i="1"/>
  <c r="K961" i="1"/>
  <c r="L961" i="1"/>
  <c r="A962" i="1"/>
  <c r="B962" i="1"/>
  <c r="C962" i="1"/>
  <c r="D962" i="1"/>
  <c r="Q962" i="1"/>
  <c r="R962" i="1"/>
  <c r="E962" i="1"/>
  <c r="G962" i="1"/>
  <c r="H962" i="1"/>
  <c r="J962" i="1"/>
  <c r="K962" i="1"/>
  <c r="L962" i="1"/>
  <c r="A963" i="1"/>
  <c r="B963" i="1"/>
  <c r="C963" i="1"/>
  <c r="D963" i="1"/>
  <c r="Q963" i="1"/>
  <c r="R963" i="1"/>
  <c r="E963" i="1"/>
  <c r="G963" i="1"/>
  <c r="H963" i="1"/>
  <c r="J963" i="1"/>
  <c r="K963" i="1"/>
  <c r="L963" i="1"/>
  <c r="A964" i="1"/>
  <c r="B964" i="1"/>
  <c r="C964" i="1"/>
  <c r="D964" i="1"/>
  <c r="Q964" i="1"/>
  <c r="R964" i="1"/>
  <c r="E964" i="1"/>
  <c r="G964" i="1"/>
  <c r="H964" i="1"/>
  <c r="J964" i="1"/>
  <c r="K964" i="1"/>
  <c r="L964" i="1"/>
  <c r="A965" i="1"/>
  <c r="B965" i="1"/>
  <c r="C965" i="1"/>
  <c r="D965" i="1"/>
  <c r="Q965" i="1"/>
  <c r="R965" i="1"/>
  <c r="E965" i="1"/>
  <c r="G965" i="1"/>
  <c r="H965" i="1"/>
  <c r="J965" i="1"/>
  <c r="K965" i="1"/>
  <c r="L965" i="1"/>
  <c r="A966" i="1"/>
  <c r="B966" i="1"/>
  <c r="C966" i="1"/>
  <c r="D966" i="1"/>
  <c r="Q966" i="1"/>
  <c r="R966" i="1"/>
  <c r="E966" i="1"/>
  <c r="G966" i="1"/>
  <c r="H966" i="1"/>
  <c r="J966" i="1"/>
  <c r="K966" i="1"/>
  <c r="L966" i="1"/>
  <c r="A967" i="1"/>
  <c r="B967" i="1"/>
  <c r="C967" i="1"/>
  <c r="D967" i="1"/>
  <c r="Q967" i="1"/>
  <c r="R967" i="1"/>
  <c r="E967" i="1"/>
  <c r="G967" i="1"/>
  <c r="H967" i="1"/>
  <c r="J967" i="1"/>
  <c r="K967" i="1"/>
  <c r="L967" i="1"/>
  <c r="A968" i="1"/>
  <c r="B968" i="1"/>
  <c r="C968" i="1"/>
  <c r="D968" i="1"/>
  <c r="Q968" i="1"/>
  <c r="R968" i="1"/>
  <c r="E968" i="1"/>
  <c r="G968" i="1"/>
  <c r="H968" i="1"/>
  <c r="J968" i="1"/>
  <c r="K968" i="1"/>
  <c r="L968" i="1"/>
  <c r="A969" i="1"/>
  <c r="B969" i="1"/>
  <c r="C969" i="1"/>
  <c r="D969" i="1"/>
  <c r="Q969" i="1"/>
  <c r="R969" i="1"/>
  <c r="E969" i="1"/>
  <c r="G969" i="1"/>
  <c r="H969" i="1"/>
  <c r="J969" i="1"/>
  <c r="K969" i="1"/>
  <c r="L969" i="1"/>
  <c r="A970" i="1"/>
  <c r="B970" i="1"/>
  <c r="C970" i="1"/>
  <c r="D970" i="1"/>
  <c r="Q970" i="1"/>
  <c r="R970" i="1"/>
  <c r="E970" i="1"/>
  <c r="G970" i="1"/>
  <c r="H970" i="1"/>
  <c r="J970" i="1"/>
  <c r="K970" i="1"/>
  <c r="L970" i="1"/>
  <c r="A971" i="1"/>
  <c r="B971" i="1"/>
  <c r="C971" i="1"/>
  <c r="D971" i="1"/>
  <c r="Q971" i="1"/>
  <c r="R971" i="1"/>
  <c r="E971" i="1"/>
  <c r="G971" i="1"/>
  <c r="H971" i="1"/>
  <c r="J971" i="1"/>
  <c r="K971" i="1"/>
  <c r="L971" i="1"/>
  <c r="A972" i="1"/>
  <c r="B972" i="1"/>
  <c r="C972" i="1"/>
  <c r="D972" i="1"/>
  <c r="Q972" i="1"/>
  <c r="R972" i="1"/>
  <c r="E972" i="1"/>
  <c r="G972" i="1"/>
  <c r="H972" i="1"/>
  <c r="J972" i="1"/>
  <c r="K972" i="1"/>
  <c r="L972" i="1"/>
  <c r="A973" i="1"/>
  <c r="B973" i="1"/>
  <c r="C973" i="1"/>
  <c r="D973" i="1"/>
  <c r="Q973" i="1"/>
  <c r="R973" i="1"/>
  <c r="E973" i="1"/>
  <c r="G973" i="1"/>
  <c r="H973" i="1"/>
  <c r="J973" i="1"/>
  <c r="K973" i="1"/>
  <c r="L973" i="1"/>
  <c r="A974" i="1"/>
  <c r="B974" i="1"/>
  <c r="C974" i="1"/>
  <c r="D974" i="1"/>
  <c r="Q974" i="1"/>
  <c r="R974" i="1"/>
  <c r="E974" i="1"/>
  <c r="G974" i="1"/>
  <c r="H974" i="1"/>
  <c r="J974" i="1"/>
  <c r="K974" i="1"/>
  <c r="L974" i="1"/>
  <c r="A975" i="1"/>
  <c r="B975" i="1"/>
  <c r="C975" i="1"/>
  <c r="D975" i="1"/>
  <c r="Q975" i="1"/>
  <c r="R975" i="1"/>
  <c r="E975" i="1"/>
  <c r="G975" i="1"/>
  <c r="H975" i="1"/>
  <c r="J975" i="1"/>
  <c r="K975" i="1"/>
  <c r="L975" i="1"/>
  <c r="A976" i="1"/>
  <c r="B976" i="1"/>
  <c r="C976" i="1"/>
  <c r="D976" i="1"/>
  <c r="Q976" i="1"/>
  <c r="R976" i="1"/>
  <c r="E976" i="1"/>
  <c r="G976" i="1"/>
  <c r="H976" i="1"/>
  <c r="J976" i="1"/>
  <c r="K976" i="1"/>
  <c r="L976" i="1"/>
  <c r="A977" i="1"/>
  <c r="B977" i="1"/>
  <c r="C977" i="1"/>
  <c r="D977" i="1"/>
  <c r="Q977" i="1"/>
  <c r="R977" i="1"/>
  <c r="E977" i="1"/>
  <c r="G977" i="1"/>
  <c r="H977" i="1"/>
  <c r="J977" i="1"/>
  <c r="K977" i="1"/>
  <c r="L977" i="1"/>
  <c r="A978" i="1"/>
  <c r="B978" i="1"/>
  <c r="C978" i="1"/>
  <c r="D978" i="1"/>
  <c r="Q978" i="1"/>
  <c r="R978" i="1"/>
  <c r="E978" i="1"/>
  <c r="G978" i="1"/>
  <c r="H978" i="1"/>
  <c r="J978" i="1"/>
  <c r="K978" i="1"/>
  <c r="L978" i="1"/>
  <c r="A979" i="1"/>
  <c r="B979" i="1"/>
  <c r="C979" i="1"/>
  <c r="D979" i="1"/>
  <c r="Q979" i="1"/>
  <c r="R979" i="1"/>
  <c r="E979" i="1"/>
  <c r="G979" i="1"/>
  <c r="H979" i="1"/>
  <c r="J979" i="1"/>
  <c r="K979" i="1"/>
  <c r="L979" i="1"/>
  <c r="A980" i="1"/>
  <c r="B980" i="1"/>
  <c r="C980" i="1"/>
  <c r="D980" i="1"/>
  <c r="Q980" i="1"/>
  <c r="R980" i="1"/>
  <c r="E980" i="1"/>
  <c r="G980" i="1"/>
  <c r="H980" i="1"/>
  <c r="J980" i="1"/>
  <c r="K980" i="1"/>
  <c r="L980" i="1"/>
  <c r="A981" i="1"/>
  <c r="B981" i="1"/>
  <c r="C981" i="1"/>
  <c r="D981" i="1"/>
  <c r="Q981" i="1"/>
  <c r="R981" i="1"/>
  <c r="E981" i="1"/>
  <c r="G981" i="1"/>
  <c r="H981" i="1"/>
  <c r="J981" i="1"/>
  <c r="K981" i="1"/>
  <c r="L981" i="1"/>
  <c r="A982" i="1"/>
  <c r="B982" i="1"/>
  <c r="C982" i="1"/>
  <c r="D982" i="1"/>
  <c r="Q982" i="1"/>
  <c r="R982" i="1"/>
  <c r="E982" i="1"/>
  <c r="F982" i="1"/>
  <c r="G982" i="1"/>
  <c r="H982" i="1"/>
  <c r="J982" i="1"/>
  <c r="K982" i="1"/>
  <c r="L982" i="1"/>
  <c r="A983" i="1"/>
  <c r="B983" i="1"/>
  <c r="C983" i="1"/>
  <c r="D983" i="1"/>
  <c r="Q983" i="1"/>
  <c r="R983" i="1"/>
  <c r="E983" i="1"/>
  <c r="G983" i="1"/>
  <c r="H983" i="1"/>
  <c r="J983" i="1"/>
  <c r="K983" i="1"/>
  <c r="L983" i="1"/>
  <c r="A984" i="1"/>
  <c r="B984" i="1"/>
  <c r="C984" i="1"/>
  <c r="D984" i="1"/>
  <c r="Q984" i="1"/>
  <c r="R984" i="1"/>
  <c r="E984" i="1"/>
  <c r="G984" i="1"/>
  <c r="H984" i="1"/>
  <c r="J984" i="1"/>
  <c r="K984" i="1"/>
  <c r="L984" i="1"/>
  <c r="A985" i="1"/>
  <c r="B985" i="1"/>
  <c r="C985" i="1"/>
  <c r="D985" i="1"/>
  <c r="Q985" i="1"/>
  <c r="R985" i="1"/>
  <c r="E985" i="1"/>
  <c r="F985" i="1"/>
  <c r="G985" i="1"/>
  <c r="H985" i="1"/>
  <c r="J985" i="1"/>
  <c r="K985" i="1"/>
  <c r="L985" i="1"/>
  <c r="A986" i="1"/>
  <c r="B986" i="1"/>
  <c r="C986" i="1"/>
  <c r="D986" i="1"/>
  <c r="Q986" i="1"/>
  <c r="R986" i="1"/>
  <c r="E986" i="1"/>
  <c r="G986" i="1"/>
  <c r="H986" i="1"/>
  <c r="J986" i="1"/>
  <c r="K986" i="1"/>
  <c r="L986" i="1"/>
  <c r="A987" i="1"/>
  <c r="B987" i="1"/>
  <c r="C987" i="1"/>
  <c r="D987" i="1"/>
  <c r="Q987" i="1"/>
  <c r="R987" i="1"/>
  <c r="E987" i="1"/>
  <c r="G987" i="1"/>
  <c r="H987" i="1"/>
  <c r="J987" i="1"/>
  <c r="K987" i="1"/>
  <c r="L987" i="1"/>
  <c r="A988" i="1"/>
  <c r="B988" i="1"/>
  <c r="C988" i="1"/>
  <c r="D988" i="1"/>
  <c r="Q988" i="1"/>
  <c r="R988" i="1"/>
  <c r="E988" i="1"/>
  <c r="G988" i="1"/>
  <c r="H988" i="1"/>
  <c r="J988" i="1"/>
  <c r="K988" i="1"/>
  <c r="L988" i="1"/>
  <c r="A989" i="1"/>
  <c r="B989" i="1"/>
  <c r="C989" i="1"/>
  <c r="D989" i="1"/>
  <c r="Q989" i="1"/>
  <c r="R989" i="1"/>
  <c r="E989" i="1"/>
  <c r="G989" i="1"/>
  <c r="H989" i="1"/>
  <c r="J989" i="1"/>
  <c r="K989" i="1"/>
  <c r="L989" i="1"/>
  <c r="A990" i="1"/>
  <c r="B990" i="1"/>
  <c r="C990" i="1"/>
  <c r="D990" i="1"/>
  <c r="Q990" i="1"/>
  <c r="R990" i="1"/>
  <c r="E990" i="1"/>
  <c r="G990" i="1"/>
  <c r="H990" i="1"/>
  <c r="J990" i="1"/>
  <c r="K990" i="1"/>
  <c r="L990" i="1"/>
  <c r="A991" i="1"/>
  <c r="B991" i="1"/>
  <c r="C991" i="1"/>
  <c r="D991" i="1"/>
  <c r="Q991" i="1"/>
  <c r="R991" i="1"/>
  <c r="E991" i="1"/>
  <c r="G991" i="1"/>
  <c r="H991" i="1"/>
  <c r="J991" i="1"/>
  <c r="K991" i="1"/>
  <c r="L991" i="1"/>
  <c r="A992" i="1"/>
  <c r="B992" i="1"/>
  <c r="C992" i="1"/>
  <c r="D992" i="1"/>
  <c r="Q992" i="1"/>
  <c r="R992" i="1"/>
  <c r="E992" i="1"/>
  <c r="G992" i="1"/>
  <c r="H992" i="1"/>
  <c r="J992" i="1"/>
  <c r="K992" i="1"/>
  <c r="L992" i="1"/>
  <c r="A993" i="1"/>
  <c r="B993" i="1"/>
  <c r="C993" i="1"/>
  <c r="D993" i="1"/>
  <c r="Q993" i="1"/>
  <c r="R993" i="1"/>
  <c r="E993" i="1"/>
  <c r="G993" i="1"/>
  <c r="H993" i="1"/>
  <c r="J993" i="1"/>
  <c r="K993" i="1"/>
  <c r="L993" i="1"/>
  <c r="A994" i="1"/>
  <c r="B994" i="1"/>
  <c r="C994" i="1"/>
  <c r="D994" i="1"/>
  <c r="Q994" i="1"/>
  <c r="R994" i="1"/>
  <c r="E994" i="1"/>
  <c r="G994" i="1"/>
  <c r="H994" i="1"/>
  <c r="J994" i="1"/>
  <c r="K994" i="1"/>
  <c r="L994" i="1"/>
  <c r="A995" i="1"/>
  <c r="B995" i="1"/>
  <c r="C995" i="1"/>
  <c r="D995" i="1"/>
  <c r="Q995" i="1"/>
  <c r="R995" i="1"/>
  <c r="E995" i="1"/>
  <c r="G995" i="1"/>
  <c r="H995" i="1"/>
  <c r="J995" i="1"/>
  <c r="K995" i="1"/>
  <c r="L995" i="1"/>
  <c r="A996" i="1"/>
  <c r="B996" i="1"/>
  <c r="C996" i="1"/>
  <c r="D996" i="1"/>
  <c r="Q996" i="1"/>
  <c r="R996" i="1"/>
  <c r="E996" i="1"/>
  <c r="G996" i="1"/>
  <c r="H996" i="1"/>
  <c r="J996" i="1"/>
  <c r="K996" i="1"/>
  <c r="L996" i="1"/>
  <c r="A997" i="1"/>
  <c r="B997" i="1"/>
  <c r="C997" i="1"/>
  <c r="D997" i="1"/>
  <c r="Q997" i="1"/>
  <c r="R997" i="1"/>
  <c r="E997" i="1"/>
  <c r="G997" i="1"/>
  <c r="H997" i="1"/>
  <c r="J997" i="1"/>
  <c r="K997" i="1"/>
  <c r="L997" i="1"/>
  <c r="A998" i="1"/>
  <c r="B998" i="1"/>
  <c r="C998" i="1"/>
  <c r="D998" i="1"/>
  <c r="Q998" i="1"/>
  <c r="R998" i="1"/>
  <c r="E998" i="1"/>
  <c r="G998" i="1"/>
  <c r="H998" i="1"/>
  <c r="J998" i="1"/>
  <c r="K998" i="1"/>
  <c r="L998" i="1"/>
  <c r="A999" i="1"/>
  <c r="B999" i="1"/>
  <c r="C999" i="1"/>
  <c r="D999" i="1"/>
  <c r="Q999" i="1"/>
  <c r="R999" i="1"/>
  <c r="E999" i="1"/>
  <c r="G999" i="1"/>
  <c r="H999" i="1"/>
  <c r="J999" i="1"/>
  <c r="K999" i="1"/>
  <c r="L999" i="1"/>
  <c r="A1000" i="1"/>
  <c r="B1000" i="1"/>
  <c r="C1000" i="1"/>
  <c r="D1000" i="1"/>
  <c r="Q1000" i="1"/>
  <c r="R1000" i="1"/>
  <c r="E1000" i="1"/>
  <c r="G1000" i="1"/>
  <c r="H1000" i="1"/>
  <c r="J1000" i="1"/>
  <c r="K1000" i="1"/>
  <c r="L1000" i="1"/>
  <c r="A1001" i="1"/>
  <c r="B1001" i="1"/>
  <c r="C1001" i="1"/>
  <c r="D1001" i="1"/>
  <c r="Q1001" i="1"/>
  <c r="R1001" i="1"/>
  <c r="E1001" i="1"/>
  <c r="G1001" i="1"/>
  <c r="H1001" i="1"/>
  <c r="J1001" i="1"/>
  <c r="K1001" i="1"/>
  <c r="L1001" i="1"/>
  <c r="A1002" i="1"/>
  <c r="B1002" i="1"/>
  <c r="C1002" i="1"/>
  <c r="D1002" i="1"/>
  <c r="Q1002" i="1"/>
  <c r="R1002" i="1"/>
  <c r="E1002" i="1"/>
  <c r="G1002" i="1"/>
  <c r="H1002" i="1"/>
  <c r="J1002" i="1"/>
  <c r="K1002" i="1"/>
  <c r="L1002" i="1"/>
  <c r="A1003" i="1"/>
  <c r="B1003" i="1"/>
  <c r="C1003" i="1"/>
  <c r="D1003" i="1"/>
  <c r="Q1003" i="1"/>
  <c r="R1003" i="1"/>
  <c r="E1003" i="1"/>
  <c r="G1003" i="1"/>
  <c r="H1003" i="1"/>
  <c r="J1003" i="1"/>
  <c r="K1003" i="1"/>
  <c r="L1003" i="1"/>
  <c r="A1004" i="1"/>
  <c r="B1004" i="1"/>
  <c r="C1004" i="1"/>
  <c r="D1004" i="1"/>
  <c r="Q1004" i="1"/>
  <c r="R1004" i="1"/>
  <c r="E1004" i="1"/>
  <c r="G1004" i="1"/>
  <c r="H1004" i="1"/>
  <c r="J1004" i="1"/>
  <c r="K1004" i="1"/>
  <c r="L1004" i="1"/>
  <c r="A1005" i="1"/>
  <c r="B1005" i="1"/>
  <c r="C1005" i="1"/>
  <c r="D1005" i="1"/>
  <c r="Q1005" i="1"/>
  <c r="R1005" i="1"/>
  <c r="E1005" i="1"/>
  <c r="G1005" i="1"/>
  <c r="H1005" i="1"/>
  <c r="J1005" i="1"/>
  <c r="K1005" i="1"/>
  <c r="L1005" i="1"/>
  <c r="A1006" i="1"/>
  <c r="B1006" i="1"/>
  <c r="C1006" i="1"/>
  <c r="D1006" i="1"/>
  <c r="Q1006" i="1"/>
  <c r="R1006" i="1"/>
  <c r="E1006" i="1"/>
  <c r="G1006" i="1"/>
  <c r="H1006" i="1"/>
  <c r="J1006" i="1"/>
  <c r="K1006" i="1"/>
  <c r="L1006" i="1"/>
  <c r="A1007" i="1"/>
  <c r="B1007" i="1"/>
  <c r="C1007" i="1"/>
  <c r="D1007" i="1"/>
  <c r="Q1007" i="1"/>
  <c r="R1007" i="1"/>
  <c r="E1007" i="1"/>
  <c r="G1007" i="1"/>
  <c r="H1007" i="1"/>
  <c r="J1007" i="1"/>
  <c r="K1007" i="1"/>
  <c r="L1007" i="1"/>
  <c r="A1008" i="1"/>
  <c r="B1008" i="1"/>
  <c r="C1008" i="1"/>
  <c r="D1008" i="1"/>
  <c r="Q1008" i="1"/>
  <c r="R1008" i="1"/>
  <c r="E1008" i="1"/>
  <c r="G1008" i="1"/>
  <c r="H1008" i="1"/>
  <c r="J1008" i="1"/>
  <c r="K1008" i="1"/>
  <c r="L1008" i="1"/>
  <c r="A1009" i="1"/>
  <c r="B1009" i="1"/>
  <c r="C1009" i="1"/>
  <c r="D1009" i="1"/>
  <c r="Q1009" i="1"/>
  <c r="R1009" i="1"/>
  <c r="E1009" i="1"/>
  <c r="G1009" i="1"/>
  <c r="H1009" i="1"/>
  <c r="J1009" i="1"/>
  <c r="K1009" i="1"/>
  <c r="L1009" i="1"/>
  <c r="A1010" i="1"/>
  <c r="B1010" i="1"/>
  <c r="C1010" i="1"/>
  <c r="D1010" i="1"/>
  <c r="Q1010" i="1"/>
  <c r="R1010" i="1"/>
  <c r="E1010" i="1"/>
  <c r="G1010" i="1"/>
  <c r="H1010" i="1"/>
  <c r="J1010" i="1"/>
  <c r="K1010" i="1"/>
  <c r="L1010" i="1"/>
  <c r="A1011" i="1"/>
  <c r="B1011" i="1"/>
  <c r="C1011" i="1"/>
  <c r="D1011" i="1"/>
  <c r="Q1011" i="1"/>
  <c r="R1011" i="1"/>
  <c r="E1011" i="1"/>
  <c r="G1011" i="1"/>
  <c r="H1011" i="1"/>
  <c r="J1011" i="1"/>
  <c r="K1011" i="1"/>
  <c r="L1011" i="1"/>
  <c r="A1012" i="1"/>
  <c r="B1012" i="1"/>
  <c r="C1012" i="1"/>
  <c r="D1012" i="1"/>
  <c r="Q1012" i="1"/>
  <c r="R1012" i="1"/>
  <c r="E1012" i="1"/>
  <c r="G1012" i="1"/>
  <c r="H1012" i="1"/>
  <c r="J1012" i="1"/>
  <c r="K1012" i="1"/>
  <c r="L1012" i="1"/>
  <c r="A1013" i="1"/>
  <c r="B1013" i="1"/>
  <c r="C1013" i="1"/>
  <c r="D1013" i="1"/>
  <c r="Q1013" i="1"/>
  <c r="R1013" i="1"/>
  <c r="E1013" i="1"/>
  <c r="G1013" i="1"/>
  <c r="H1013" i="1"/>
  <c r="J1013" i="1"/>
  <c r="K1013" i="1"/>
  <c r="L1013" i="1"/>
  <c r="A1014" i="1"/>
  <c r="B1014" i="1"/>
  <c r="C1014" i="1"/>
  <c r="D1014" i="1"/>
  <c r="Q1014" i="1"/>
  <c r="R1014" i="1"/>
  <c r="E1014" i="1"/>
  <c r="G1014" i="1"/>
  <c r="H1014" i="1"/>
  <c r="J1014" i="1"/>
  <c r="K1014" i="1"/>
  <c r="L1014" i="1"/>
  <c r="A1015" i="1"/>
  <c r="B1015" i="1"/>
  <c r="C1015" i="1"/>
  <c r="D1015" i="1"/>
  <c r="Q1015" i="1"/>
  <c r="R1015" i="1"/>
  <c r="E1015" i="1"/>
  <c r="G1015" i="1"/>
  <c r="H1015" i="1"/>
  <c r="J1015" i="1"/>
  <c r="K1015" i="1"/>
  <c r="L1015" i="1"/>
  <c r="A1016" i="1"/>
  <c r="B1016" i="1"/>
  <c r="C1016" i="1"/>
  <c r="D1016" i="1"/>
  <c r="Q1016" i="1"/>
  <c r="R1016" i="1"/>
  <c r="E1016" i="1"/>
  <c r="G1016" i="1"/>
  <c r="H1016" i="1"/>
  <c r="J1016" i="1"/>
  <c r="K1016" i="1"/>
  <c r="L1016" i="1"/>
  <c r="A1017" i="1"/>
  <c r="B1017" i="1"/>
  <c r="C1017" i="1"/>
  <c r="D1017" i="1"/>
  <c r="Q1017" i="1"/>
  <c r="R1017" i="1"/>
  <c r="E1017" i="1"/>
  <c r="G1017" i="1"/>
  <c r="H1017" i="1"/>
  <c r="J1017" i="1"/>
  <c r="K1017" i="1"/>
  <c r="L1017" i="1"/>
  <c r="A1018" i="1"/>
  <c r="B1018" i="1"/>
  <c r="C1018" i="1"/>
  <c r="D1018" i="1"/>
  <c r="Q1018" i="1"/>
  <c r="R1018" i="1"/>
  <c r="E1018" i="1"/>
  <c r="G1018" i="1"/>
  <c r="H1018" i="1"/>
  <c r="J1018" i="1"/>
  <c r="K1018" i="1"/>
  <c r="L1018" i="1"/>
  <c r="A1019" i="1"/>
  <c r="B1019" i="1"/>
  <c r="C1019" i="1"/>
  <c r="D1019" i="1"/>
  <c r="Q1019" i="1"/>
  <c r="R1019" i="1"/>
  <c r="E1019" i="1"/>
  <c r="G1019" i="1"/>
  <c r="H1019" i="1"/>
  <c r="J1019" i="1"/>
  <c r="K1019" i="1"/>
  <c r="L1019" i="1"/>
  <c r="A1020" i="1"/>
  <c r="B1020" i="1"/>
  <c r="C1020" i="1"/>
  <c r="D1020" i="1"/>
  <c r="Q1020" i="1"/>
  <c r="R1020" i="1"/>
  <c r="E1020" i="1"/>
  <c r="G1020" i="1"/>
  <c r="H1020" i="1"/>
  <c r="J1020" i="1"/>
  <c r="K1020" i="1"/>
  <c r="L1020" i="1"/>
  <c r="A1021" i="1"/>
  <c r="B1021" i="1"/>
  <c r="C1021" i="1"/>
  <c r="D1021" i="1"/>
  <c r="Q1021" i="1"/>
  <c r="R1021" i="1"/>
  <c r="E1021" i="1"/>
  <c r="G1021" i="1"/>
  <c r="H1021" i="1"/>
  <c r="J1021" i="1"/>
  <c r="K1021" i="1"/>
  <c r="L1021" i="1"/>
  <c r="A1022" i="1"/>
  <c r="B1022" i="1"/>
  <c r="C1022" i="1"/>
  <c r="D1022" i="1"/>
  <c r="Q1022" i="1"/>
  <c r="R1022" i="1"/>
  <c r="E1022" i="1"/>
  <c r="G1022" i="1"/>
  <c r="H1022" i="1"/>
  <c r="J1022" i="1"/>
  <c r="K1022" i="1"/>
  <c r="L1022" i="1"/>
  <c r="A1023" i="1"/>
  <c r="B1023" i="1"/>
  <c r="C1023" i="1"/>
  <c r="D1023" i="1"/>
  <c r="Q1023" i="1"/>
  <c r="R1023" i="1"/>
  <c r="E1023" i="1"/>
  <c r="G1023" i="1"/>
  <c r="H1023" i="1"/>
  <c r="J1023" i="1"/>
  <c r="K1023" i="1"/>
  <c r="L1023" i="1"/>
  <c r="A1024" i="1"/>
  <c r="B1024" i="1"/>
  <c r="C1024" i="1"/>
  <c r="D1024" i="1"/>
  <c r="Q1024" i="1"/>
  <c r="R1024" i="1"/>
  <c r="E1024" i="1"/>
  <c r="G1024" i="1"/>
  <c r="H1024" i="1"/>
  <c r="J1024" i="1"/>
  <c r="K1024" i="1"/>
  <c r="L1024" i="1"/>
  <c r="A1025" i="1"/>
  <c r="B1025" i="1"/>
  <c r="C1025" i="1"/>
  <c r="D1025" i="1"/>
  <c r="Q1025" i="1"/>
  <c r="R1025" i="1"/>
  <c r="E1025" i="1"/>
  <c r="G1025" i="1"/>
  <c r="H1025" i="1"/>
  <c r="J1025" i="1"/>
  <c r="K1025" i="1"/>
  <c r="L1025" i="1"/>
  <c r="A1026" i="1"/>
  <c r="B1026" i="1"/>
  <c r="C1026" i="1"/>
  <c r="D1026" i="1"/>
  <c r="Q1026" i="1"/>
  <c r="R1026" i="1"/>
  <c r="E1026" i="1"/>
  <c r="G1026" i="1"/>
  <c r="H1026" i="1"/>
  <c r="J1026" i="1"/>
  <c r="K1026" i="1"/>
  <c r="L1026" i="1"/>
  <c r="A1027" i="1"/>
  <c r="B1027" i="1"/>
  <c r="C1027" i="1"/>
  <c r="D1027" i="1"/>
  <c r="Q1027" i="1"/>
  <c r="R1027" i="1"/>
  <c r="E1027" i="1"/>
  <c r="G1027" i="1"/>
  <c r="H1027" i="1"/>
  <c r="J1027" i="1"/>
  <c r="K1027" i="1"/>
  <c r="L1027" i="1"/>
  <c r="A1028" i="1"/>
  <c r="B1028" i="1"/>
  <c r="C1028" i="1"/>
  <c r="D1028" i="1"/>
  <c r="Q1028" i="1"/>
  <c r="R1028" i="1"/>
  <c r="E1028" i="1"/>
  <c r="G1028" i="1"/>
  <c r="H1028" i="1"/>
  <c r="J1028" i="1"/>
  <c r="K1028" i="1"/>
  <c r="L1028" i="1"/>
  <c r="A1029" i="1"/>
  <c r="B1029" i="1"/>
  <c r="C1029" i="1"/>
  <c r="D1029" i="1"/>
  <c r="Q1029" i="1"/>
  <c r="R1029" i="1"/>
  <c r="E1029" i="1"/>
  <c r="G1029" i="1"/>
  <c r="H1029" i="1"/>
  <c r="J1029" i="1"/>
  <c r="K1029" i="1"/>
  <c r="L1029" i="1"/>
  <c r="A1030" i="1"/>
  <c r="B1030" i="1"/>
  <c r="C1030" i="1"/>
  <c r="D1030" i="1"/>
  <c r="Q1030" i="1"/>
  <c r="R1030" i="1"/>
  <c r="E1030" i="1"/>
  <c r="G1030" i="1"/>
  <c r="H1030" i="1"/>
  <c r="J1030" i="1"/>
  <c r="K1030" i="1"/>
  <c r="L1030" i="1"/>
  <c r="A1031" i="1"/>
  <c r="B1031" i="1"/>
  <c r="C1031" i="1"/>
  <c r="D1031" i="1"/>
  <c r="Q1031" i="1"/>
  <c r="R1031" i="1"/>
  <c r="E1031" i="1"/>
  <c r="G1031" i="1"/>
  <c r="H1031" i="1"/>
  <c r="J1031" i="1"/>
  <c r="K1031" i="1"/>
  <c r="L1031" i="1"/>
  <c r="A1032" i="1"/>
  <c r="B1032" i="1"/>
  <c r="C1032" i="1"/>
  <c r="D1032" i="1"/>
  <c r="Q1032" i="1"/>
  <c r="R1032" i="1"/>
  <c r="E1032" i="1"/>
  <c r="G1032" i="1"/>
  <c r="H1032" i="1"/>
  <c r="J1032" i="1"/>
  <c r="K1032" i="1"/>
  <c r="L1032" i="1"/>
  <c r="A1033" i="1"/>
  <c r="B1033" i="1"/>
  <c r="C1033" i="1"/>
  <c r="D1033" i="1"/>
  <c r="Q1033" i="1"/>
  <c r="R1033" i="1"/>
  <c r="E1033" i="1"/>
  <c r="G1033" i="1"/>
  <c r="H1033" i="1"/>
  <c r="J1033" i="1"/>
  <c r="K1033" i="1"/>
  <c r="L1033" i="1"/>
  <c r="A1034" i="1"/>
  <c r="B1034" i="1"/>
  <c r="C1034" i="1"/>
  <c r="D1034" i="1"/>
  <c r="Q1034" i="1"/>
  <c r="R1034" i="1"/>
  <c r="E1034" i="1"/>
  <c r="G1034" i="1"/>
  <c r="H1034" i="1"/>
  <c r="J1034" i="1"/>
  <c r="K1034" i="1"/>
  <c r="L1034" i="1"/>
  <c r="A1035" i="1"/>
  <c r="B1035" i="1"/>
  <c r="C1035" i="1"/>
  <c r="D1035" i="1"/>
  <c r="Q1035" i="1"/>
  <c r="R1035" i="1"/>
  <c r="E1035" i="1"/>
  <c r="G1035" i="1"/>
  <c r="H1035" i="1"/>
  <c r="J1035" i="1"/>
  <c r="K1035" i="1"/>
  <c r="L1035" i="1"/>
  <c r="A1036" i="1"/>
  <c r="B1036" i="1"/>
  <c r="C1036" i="1"/>
  <c r="D1036" i="1"/>
  <c r="Q1036" i="1"/>
  <c r="R1036" i="1"/>
  <c r="E1036" i="1"/>
  <c r="G1036" i="1"/>
  <c r="H1036" i="1"/>
  <c r="J1036" i="1"/>
  <c r="K1036" i="1"/>
  <c r="L1036" i="1"/>
  <c r="A1037" i="1"/>
  <c r="B1037" i="1"/>
  <c r="C1037" i="1"/>
  <c r="D1037" i="1"/>
  <c r="Q1037" i="1"/>
  <c r="R1037" i="1"/>
  <c r="E1037" i="1"/>
  <c r="G1037" i="1"/>
  <c r="H1037" i="1"/>
  <c r="J1037" i="1"/>
  <c r="K1037" i="1"/>
  <c r="L1037" i="1"/>
  <c r="A1038" i="1"/>
  <c r="B1038" i="1"/>
  <c r="C1038" i="1"/>
  <c r="D1038" i="1"/>
  <c r="Q1038" i="1"/>
  <c r="R1038" i="1"/>
  <c r="E1038" i="1"/>
  <c r="G1038" i="1"/>
  <c r="H1038" i="1"/>
  <c r="J1038" i="1"/>
  <c r="K1038" i="1"/>
  <c r="L1038" i="1"/>
  <c r="A1039" i="1"/>
  <c r="B1039" i="1"/>
  <c r="C1039" i="1"/>
  <c r="D1039" i="1"/>
  <c r="Q1039" i="1"/>
  <c r="R1039" i="1"/>
  <c r="E1039" i="1"/>
  <c r="G1039" i="1"/>
  <c r="H1039" i="1"/>
  <c r="J1039" i="1"/>
  <c r="K1039" i="1"/>
  <c r="L1039" i="1"/>
  <c r="A1040" i="1"/>
  <c r="B1040" i="1"/>
  <c r="C1040" i="1"/>
  <c r="D1040" i="1"/>
  <c r="Q1040" i="1"/>
  <c r="R1040" i="1"/>
  <c r="E1040" i="1"/>
  <c r="G1040" i="1"/>
  <c r="H1040" i="1"/>
  <c r="J1040" i="1"/>
  <c r="K1040" i="1"/>
  <c r="L1040" i="1"/>
  <c r="A1041" i="1"/>
  <c r="B1041" i="1"/>
  <c r="C1041" i="1"/>
  <c r="D1041" i="1"/>
  <c r="Q1041" i="1"/>
  <c r="R1041" i="1"/>
  <c r="E1041" i="1"/>
  <c r="G1041" i="1"/>
  <c r="H1041" i="1"/>
  <c r="J1041" i="1"/>
  <c r="K1041" i="1"/>
  <c r="L1041" i="1"/>
  <c r="A1042" i="1"/>
  <c r="B1042" i="1"/>
  <c r="C1042" i="1"/>
  <c r="D1042" i="1"/>
  <c r="Q1042" i="1"/>
  <c r="R1042" i="1"/>
  <c r="E1042" i="1"/>
  <c r="G1042" i="1"/>
  <c r="H1042" i="1"/>
  <c r="J1042" i="1"/>
  <c r="K1042" i="1"/>
  <c r="L1042" i="1"/>
  <c r="A1043" i="1"/>
  <c r="B1043" i="1"/>
  <c r="C1043" i="1"/>
  <c r="D1043" i="1"/>
  <c r="Q1043" i="1"/>
  <c r="R1043" i="1"/>
  <c r="E1043" i="1"/>
  <c r="G1043" i="1"/>
  <c r="H1043" i="1"/>
  <c r="J1043" i="1"/>
  <c r="K1043" i="1"/>
  <c r="L1043" i="1"/>
  <c r="A1044" i="1"/>
  <c r="B1044" i="1"/>
  <c r="C1044" i="1"/>
  <c r="D1044" i="1"/>
  <c r="Q1044" i="1"/>
  <c r="R1044" i="1"/>
  <c r="E1044" i="1"/>
  <c r="G1044" i="1"/>
  <c r="H1044" i="1"/>
  <c r="J1044" i="1"/>
  <c r="K1044" i="1"/>
  <c r="L1044" i="1"/>
  <c r="A1045" i="1"/>
  <c r="B1045" i="1"/>
  <c r="C1045" i="1"/>
  <c r="D1045" i="1"/>
  <c r="Q1045" i="1"/>
  <c r="R1045" i="1"/>
  <c r="E1045" i="1"/>
  <c r="G1045" i="1"/>
  <c r="H1045" i="1"/>
  <c r="J1045" i="1"/>
  <c r="K1045" i="1"/>
  <c r="L1045" i="1"/>
  <c r="A1046" i="1"/>
  <c r="B1046" i="1"/>
  <c r="C1046" i="1"/>
  <c r="D1046" i="1"/>
  <c r="Q1046" i="1"/>
  <c r="R1046" i="1"/>
  <c r="E1046" i="1"/>
  <c r="G1046" i="1"/>
  <c r="H1046" i="1"/>
  <c r="J1046" i="1"/>
  <c r="K1046" i="1"/>
  <c r="L1046" i="1"/>
  <c r="A1047" i="1"/>
  <c r="B1047" i="1"/>
  <c r="C1047" i="1"/>
  <c r="D1047" i="1"/>
  <c r="Q1047" i="1"/>
  <c r="R1047" i="1"/>
  <c r="E1047" i="1"/>
  <c r="G1047" i="1"/>
  <c r="H1047" i="1"/>
  <c r="J1047" i="1"/>
  <c r="K1047" i="1"/>
  <c r="L1047" i="1"/>
  <c r="A1048" i="1"/>
  <c r="B1048" i="1"/>
  <c r="C1048" i="1"/>
  <c r="D1048" i="1"/>
  <c r="Q1048" i="1"/>
  <c r="R1048" i="1"/>
  <c r="E1048" i="1"/>
  <c r="G1048" i="1"/>
  <c r="H1048" i="1"/>
  <c r="J1048" i="1"/>
  <c r="K1048" i="1"/>
  <c r="L1048" i="1"/>
  <c r="A1049" i="1"/>
  <c r="B1049" i="1"/>
  <c r="C1049" i="1"/>
  <c r="D1049" i="1"/>
  <c r="Q1049" i="1"/>
  <c r="R1049" i="1"/>
  <c r="E1049" i="1"/>
  <c r="G1049" i="1"/>
  <c r="H1049" i="1"/>
  <c r="J1049" i="1"/>
  <c r="K1049" i="1"/>
  <c r="L1049" i="1"/>
  <c r="A1050" i="1"/>
  <c r="B1050" i="1"/>
  <c r="C1050" i="1"/>
  <c r="D1050" i="1"/>
  <c r="Q1050" i="1"/>
  <c r="R1050" i="1"/>
  <c r="E1050" i="1"/>
  <c r="G1050" i="1"/>
  <c r="H1050" i="1"/>
  <c r="J1050" i="1"/>
  <c r="K1050" i="1"/>
  <c r="L1050" i="1"/>
  <c r="A1051" i="1"/>
  <c r="B1051" i="1"/>
  <c r="C1051" i="1"/>
  <c r="D1051" i="1"/>
  <c r="Q1051" i="1"/>
  <c r="R1051" i="1"/>
  <c r="E1051" i="1"/>
  <c r="G1051" i="1"/>
  <c r="H1051" i="1"/>
  <c r="J1051" i="1"/>
  <c r="K1051" i="1"/>
  <c r="L1051" i="1"/>
  <c r="A1052" i="1"/>
  <c r="B1052" i="1"/>
  <c r="C1052" i="1"/>
  <c r="D1052" i="1"/>
  <c r="Q1052" i="1"/>
  <c r="R1052" i="1"/>
  <c r="E1052" i="1"/>
  <c r="G1052" i="1"/>
  <c r="H1052" i="1"/>
  <c r="J1052" i="1"/>
  <c r="K1052" i="1"/>
  <c r="L1052" i="1"/>
  <c r="A1053" i="1"/>
  <c r="B1053" i="1"/>
  <c r="C1053" i="1"/>
  <c r="D1053" i="1"/>
  <c r="Q1053" i="1"/>
  <c r="R1053" i="1"/>
  <c r="E1053" i="1"/>
  <c r="G1053" i="1"/>
  <c r="H1053" i="1"/>
  <c r="J1053" i="1"/>
  <c r="K1053" i="1"/>
  <c r="L1053" i="1"/>
  <c r="A1054" i="1"/>
  <c r="B1054" i="1"/>
  <c r="C1054" i="1"/>
  <c r="D1054" i="1"/>
  <c r="Q1054" i="1"/>
  <c r="R1054" i="1"/>
  <c r="E1054" i="1"/>
  <c r="G1054" i="1"/>
  <c r="H1054" i="1"/>
  <c r="J1054" i="1"/>
  <c r="K1054" i="1"/>
  <c r="L1054" i="1"/>
  <c r="A1055" i="1"/>
  <c r="B1055" i="1"/>
  <c r="C1055" i="1"/>
  <c r="D1055" i="1"/>
  <c r="Q1055" i="1"/>
  <c r="R1055" i="1"/>
  <c r="E1055" i="1"/>
  <c r="G1055" i="1"/>
  <c r="H1055" i="1"/>
  <c r="J1055" i="1"/>
  <c r="K1055" i="1"/>
  <c r="L1055" i="1"/>
  <c r="A1056" i="1"/>
  <c r="B1056" i="1"/>
  <c r="C1056" i="1"/>
  <c r="D1056" i="1"/>
  <c r="Q1056" i="1"/>
  <c r="R1056" i="1"/>
  <c r="E1056" i="1"/>
  <c r="G1056" i="1"/>
  <c r="H1056" i="1"/>
  <c r="J1056" i="1"/>
  <c r="K1056" i="1"/>
  <c r="L1056" i="1"/>
  <c r="A1057" i="1"/>
  <c r="B1057" i="1"/>
  <c r="C1057" i="1"/>
  <c r="D1057" i="1"/>
  <c r="Q1057" i="1"/>
  <c r="R1057" i="1"/>
  <c r="E1057" i="1"/>
  <c r="G1057" i="1"/>
  <c r="H1057" i="1"/>
  <c r="J1057" i="1"/>
  <c r="K1057" i="1"/>
  <c r="L1057" i="1"/>
  <c r="A1058" i="1"/>
  <c r="B1058" i="1"/>
  <c r="C1058" i="1"/>
  <c r="D1058" i="1"/>
  <c r="Q1058" i="1"/>
  <c r="R1058" i="1"/>
  <c r="E1058" i="1"/>
  <c r="F1058" i="1"/>
  <c r="G1058" i="1"/>
  <c r="H1058" i="1"/>
  <c r="J1058" i="1"/>
  <c r="K1058" i="1"/>
  <c r="L1058" i="1"/>
  <c r="A1059" i="1"/>
  <c r="B1059" i="1"/>
  <c r="C1059" i="1"/>
  <c r="D1059" i="1"/>
  <c r="Q1059" i="1"/>
  <c r="R1059" i="1"/>
  <c r="E1059" i="1"/>
  <c r="F1059" i="1"/>
  <c r="G1059" i="1"/>
  <c r="H1059" i="1"/>
  <c r="J1059" i="1"/>
  <c r="K1059" i="1"/>
  <c r="L1059" i="1"/>
  <c r="A1060" i="1"/>
  <c r="B1060" i="1"/>
  <c r="C1060" i="1"/>
  <c r="D1060" i="1"/>
  <c r="Q1060" i="1"/>
  <c r="R1060" i="1"/>
  <c r="E1060" i="1"/>
  <c r="G1060" i="1"/>
  <c r="H1060" i="1"/>
  <c r="J1060" i="1"/>
  <c r="K1060" i="1"/>
  <c r="L1060" i="1"/>
  <c r="A1061" i="1"/>
  <c r="B1061" i="1"/>
  <c r="C1061" i="1"/>
  <c r="D1061" i="1"/>
  <c r="Q1061" i="1"/>
  <c r="R1061" i="1"/>
  <c r="E1061" i="1"/>
  <c r="G1061" i="1"/>
  <c r="H1061" i="1"/>
  <c r="J1061" i="1"/>
  <c r="K1061" i="1"/>
  <c r="L1061" i="1"/>
  <c r="A1062" i="1"/>
  <c r="B1062" i="1"/>
  <c r="C1062" i="1"/>
  <c r="D1062" i="1"/>
  <c r="Q1062" i="1"/>
  <c r="R1062" i="1"/>
  <c r="E1062" i="1"/>
  <c r="G1062" i="1"/>
  <c r="H1062" i="1"/>
  <c r="J1062" i="1"/>
  <c r="K1062" i="1"/>
  <c r="L1062" i="1"/>
  <c r="A1063" i="1"/>
  <c r="B1063" i="1"/>
  <c r="C1063" i="1"/>
  <c r="D1063" i="1"/>
  <c r="Q1063" i="1"/>
  <c r="R1063" i="1"/>
  <c r="E1063" i="1"/>
  <c r="G1063" i="1"/>
  <c r="H1063" i="1"/>
  <c r="J1063" i="1"/>
  <c r="K1063" i="1"/>
  <c r="L1063" i="1"/>
  <c r="A1064" i="1"/>
  <c r="B1064" i="1"/>
  <c r="C1064" i="1"/>
  <c r="D1064" i="1"/>
  <c r="Q1064" i="1"/>
  <c r="R1064" i="1"/>
  <c r="E1064" i="1"/>
  <c r="G1064" i="1"/>
  <c r="H1064" i="1"/>
  <c r="J1064" i="1"/>
  <c r="K1064" i="1"/>
  <c r="L1064" i="1"/>
  <c r="A1065" i="1"/>
  <c r="B1065" i="1"/>
  <c r="C1065" i="1"/>
  <c r="D1065" i="1"/>
  <c r="Q1065" i="1"/>
  <c r="R1065" i="1"/>
  <c r="E1065" i="1"/>
  <c r="G1065" i="1"/>
  <c r="H1065" i="1"/>
  <c r="J1065" i="1"/>
  <c r="K1065" i="1"/>
  <c r="L1065" i="1"/>
  <c r="A1066" i="1"/>
  <c r="B1066" i="1"/>
  <c r="C1066" i="1"/>
  <c r="D1066" i="1"/>
  <c r="Q1066" i="1"/>
  <c r="R1066" i="1"/>
  <c r="E1066" i="1"/>
  <c r="G1066" i="1"/>
  <c r="H1066" i="1"/>
  <c r="J1066" i="1"/>
  <c r="K1066" i="1"/>
  <c r="L1066" i="1"/>
  <c r="A1067" i="1"/>
  <c r="B1067" i="1"/>
  <c r="C1067" i="1"/>
  <c r="D1067" i="1"/>
  <c r="Q1067" i="1"/>
  <c r="R1067" i="1"/>
  <c r="E1067" i="1"/>
  <c r="G1067" i="1"/>
  <c r="H1067" i="1"/>
  <c r="J1067" i="1"/>
  <c r="K1067" i="1"/>
  <c r="L1067" i="1"/>
  <c r="A1068" i="1"/>
  <c r="B1068" i="1"/>
  <c r="C1068" i="1"/>
  <c r="D1068" i="1"/>
  <c r="Q1068" i="1"/>
  <c r="R1068" i="1"/>
  <c r="E1068" i="1"/>
  <c r="G1068" i="1"/>
  <c r="H1068" i="1"/>
  <c r="J1068" i="1"/>
  <c r="K1068" i="1"/>
  <c r="L1068" i="1"/>
  <c r="A1069" i="1"/>
  <c r="B1069" i="1"/>
  <c r="C1069" i="1"/>
  <c r="D1069" i="1"/>
  <c r="Q1069" i="1"/>
  <c r="R1069" i="1"/>
  <c r="E1069" i="1"/>
  <c r="G1069" i="1"/>
  <c r="H1069" i="1"/>
  <c r="J1069" i="1"/>
  <c r="K1069" i="1"/>
  <c r="L1069" i="1"/>
  <c r="A1070" i="1"/>
  <c r="B1070" i="1"/>
  <c r="C1070" i="1"/>
  <c r="D1070" i="1"/>
  <c r="Q1070" i="1"/>
  <c r="R1070" i="1"/>
  <c r="E1070" i="1"/>
  <c r="G1070" i="1"/>
  <c r="H1070" i="1"/>
  <c r="J1070" i="1"/>
  <c r="K1070" i="1"/>
  <c r="L1070" i="1"/>
  <c r="A1071" i="1"/>
  <c r="B1071" i="1"/>
  <c r="C1071" i="1"/>
  <c r="D1071" i="1"/>
  <c r="Q1071" i="1"/>
  <c r="R1071" i="1"/>
  <c r="E1071" i="1"/>
  <c r="G1071" i="1"/>
  <c r="H1071" i="1"/>
  <c r="J1071" i="1"/>
  <c r="K1071" i="1"/>
  <c r="L1071" i="1"/>
  <c r="A1072" i="1"/>
  <c r="B1072" i="1"/>
  <c r="C1072" i="1"/>
  <c r="D1072" i="1"/>
  <c r="Q1072" i="1"/>
  <c r="R1072" i="1"/>
  <c r="E1072" i="1"/>
  <c r="G1072" i="1"/>
  <c r="H1072" i="1"/>
  <c r="J1072" i="1"/>
  <c r="K1072" i="1"/>
  <c r="L1072" i="1"/>
  <c r="A1073" i="1"/>
  <c r="B1073" i="1"/>
  <c r="C1073" i="1"/>
  <c r="D1073" i="1"/>
  <c r="Q1073" i="1"/>
  <c r="R1073" i="1"/>
  <c r="E1073" i="1"/>
  <c r="G1073" i="1"/>
  <c r="H1073" i="1"/>
  <c r="J1073" i="1"/>
  <c r="K1073" i="1"/>
  <c r="L1073" i="1"/>
  <c r="A1074" i="1"/>
  <c r="B1074" i="1"/>
  <c r="C1074" i="1"/>
  <c r="D1074" i="1"/>
  <c r="Q1074" i="1"/>
  <c r="R1074" i="1"/>
  <c r="E1074" i="1"/>
  <c r="G1074" i="1"/>
  <c r="H1074" i="1"/>
  <c r="J1074" i="1"/>
  <c r="K1074" i="1"/>
  <c r="L1074" i="1"/>
  <c r="A1075" i="1"/>
  <c r="B1075" i="1"/>
  <c r="C1075" i="1"/>
  <c r="D1075" i="1"/>
  <c r="Q1075" i="1"/>
  <c r="R1075" i="1"/>
  <c r="E1075" i="1"/>
  <c r="G1075" i="1"/>
  <c r="H1075" i="1"/>
  <c r="J1075" i="1"/>
  <c r="K1075" i="1"/>
  <c r="L1075" i="1"/>
  <c r="A1076" i="1"/>
  <c r="B1076" i="1"/>
  <c r="C1076" i="1"/>
  <c r="D1076" i="1"/>
  <c r="Q1076" i="1"/>
  <c r="R1076" i="1"/>
  <c r="E1076" i="1"/>
  <c r="G1076" i="1"/>
  <c r="H1076" i="1"/>
  <c r="J1076" i="1"/>
  <c r="K1076" i="1"/>
  <c r="L1076" i="1"/>
  <c r="A1077" i="1"/>
  <c r="B1077" i="1"/>
  <c r="C1077" i="1"/>
  <c r="D1077" i="1"/>
  <c r="Q1077" i="1"/>
  <c r="R1077" i="1"/>
  <c r="E1077" i="1"/>
  <c r="G1077" i="1"/>
  <c r="H1077" i="1"/>
  <c r="J1077" i="1"/>
  <c r="K1077" i="1"/>
  <c r="L1077" i="1"/>
  <c r="A1078" i="1"/>
  <c r="B1078" i="1"/>
  <c r="C1078" i="1"/>
  <c r="D1078" i="1"/>
  <c r="Q1078" i="1"/>
  <c r="R1078" i="1"/>
  <c r="E1078" i="1"/>
  <c r="G1078" i="1"/>
  <c r="H1078" i="1"/>
  <c r="J1078" i="1"/>
  <c r="K1078" i="1"/>
  <c r="L1078" i="1"/>
  <c r="A1079" i="1"/>
  <c r="B1079" i="1"/>
  <c r="C1079" i="1"/>
  <c r="D1079" i="1"/>
  <c r="Q1079" i="1"/>
  <c r="R1079" i="1"/>
  <c r="E1079" i="1"/>
  <c r="G1079" i="1"/>
  <c r="H1079" i="1"/>
  <c r="J1079" i="1"/>
  <c r="K1079" i="1"/>
  <c r="L1079" i="1"/>
  <c r="A1080" i="1"/>
  <c r="B1080" i="1"/>
  <c r="C1080" i="1"/>
  <c r="D1080" i="1"/>
  <c r="Q1080" i="1"/>
  <c r="R1080" i="1"/>
  <c r="E1080" i="1"/>
  <c r="G1080" i="1"/>
  <c r="H1080" i="1"/>
  <c r="J1080" i="1"/>
  <c r="K1080" i="1"/>
  <c r="L1080" i="1"/>
  <c r="A1081" i="1"/>
  <c r="B1081" i="1"/>
  <c r="C1081" i="1"/>
  <c r="D1081" i="1"/>
  <c r="Q1081" i="1"/>
  <c r="R1081" i="1"/>
  <c r="E1081" i="1"/>
  <c r="G1081" i="1"/>
  <c r="H1081" i="1"/>
  <c r="J1081" i="1"/>
  <c r="K1081" i="1"/>
  <c r="L1081" i="1"/>
  <c r="A1082" i="1"/>
  <c r="B1082" i="1"/>
  <c r="C1082" i="1"/>
  <c r="D1082" i="1"/>
  <c r="Q1082" i="1"/>
  <c r="R1082" i="1"/>
  <c r="E1082" i="1"/>
  <c r="G1082" i="1"/>
  <c r="H1082" i="1"/>
  <c r="J1082" i="1"/>
  <c r="K1082" i="1"/>
  <c r="L1082" i="1"/>
  <c r="A1083" i="1"/>
  <c r="B1083" i="1"/>
  <c r="C1083" i="1"/>
  <c r="D1083" i="1"/>
  <c r="Q1083" i="1"/>
  <c r="R1083" i="1"/>
  <c r="E1083" i="1"/>
  <c r="G1083" i="1"/>
  <c r="H1083" i="1"/>
  <c r="J1083" i="1"/>
  <c r="K1083" i="1"/>
  <c r="L1083" i="1"/>
  <c r="A1084" i="1"/>
  <c r="B1084" i="1"/>
  <c r="C1084" i="1"/>
  <c r="D1084" i="1"/>
  <c r="Q1084" i="1"/>
  <c r="R1084" i="1"/>
  <c r="E1084" i="1"/>
  <c r="G1084" i="1"/>
  <c r="H1084" i="1"/>
  <c r="J1084" i="1"/>
  <c r="K1084" i="1"/>
  <c r="L1084" i="1"/>
  <c r="A1085" i="1"/>
  <c r="B1085" i="1"/>
  <c r="C1085" i="1"/>
  <c r="D1085" i="1"/>
  <c r="Q1085" i="1"/>
  <c r="R1085" i="1"/>
  <c r="E1085" i="1"/>
  <c r="G1085" i="1"/>
  <c r="H1085" i="1"/>
  <c r="J1085" i="1"/>
  <c r="K1085" i="1"/>
  <c r="L1085" i="1"/>
  <c r="A1086" i="1"/>
  <c r="B1086" i="1"/>
  <c r="C1086" i="1"/>
  <c r="D1086" i="1"/>
  <c r="Q1086" i="1"/>
  <c r="R1086" i="1"/>
  <c r="E1086" i="1"/>
  <c r="G1086" i="1"/>
  <c r="H1086" i="1"/>
  <c r="J1086" i="1"/>
  <c r="K1086" i="1"/>
  <c r="L1086" i="1"/>
  <c r="A1087" i="1"/>
  <c r="B1087" i="1"/>
  <c r="C1087" i="1"/>
  <c r="D1087" i="1"/>
  <c r="Q1087" i="1"/>
  <c r="R1087" i="1"/>
  <c r="E1087" i="1"/>
  <c r="G1087" i="1"/>
  <c r="H1087" i="1"/>
  <c r="J1087" i="1"/>
  <c r="K1087" i="1"/>
  <c r="L1087" i="1"/>
  <c r="A1088" i="1"/>
  <c r="B1088" i="1"/>
  <c r="C1088" i="1"/>
  <c r="D1088" i="1"/>
  <c r="Q1088" i="1"/>
  <c r="R1088" i="1"/>
  <c r="E1088" i="1"/>
  <c r="G1088" i="1"/>
  <c r="H1088" i="1"/>
  <c r="J1088" i="1"/>
  <c r="K1088" i="1"/>
  <c r="L1088" i="1"/>
  <c r="A1089" i="1"/>
  <c r="B1089" i="1"/>
  <c r="C1089" i="1"/>
  <c r="D1089" i="1"/>
  <c r="Q1089" i="1"/>
  <c r="R1089" i="1"/>
  <c r="E1089" i="1"/>
  <c r="G1089" i="1"/>
  <c r="H1089" i="1"/>
  <c r="J1089" i="1"/>
  <c r="K1089" i="1"/>
  <c r="L1089" i="1"/>
  <c r="A1090" i="1"/>
  <c r="B1090" i="1"/>
  <c r="C1090" i="1"/>
  <c r="D1090" i="1"/>
  <c r="Q1090" i="1"/>
  <c r="R1090" i="1"/>
  <c r="E1090" i="1"/>
  <c r="G1090" i="1"/>
  <c r="H1090" i="1"/>
  <c r="J1090" i="1"/>
  <c r="K1090" i="1"/>
  <c r="L1090" i="1"/>
  <c r="A1091" i="1"/>
  <c r="B1091" i="1"/>
  <c r="C1091" i="1"/>
  <c r="D1091" i="1"/>
  <c r="Q1091" i="1"/>
  <c r="R1091" i="1"/>
  <c r="E1091" i="1"/>
  <c r="G1091" i="1"/>
  <c r="H1091" i="1"/>
  <c r="J1091" i="1"/>
  <c r="K1091" i="1"/>
  <c r="L1091" i="1"/>
  <c r="A1092" i="1"/>
  <c r="B1092" i="1"/>
  <c r="C1092" i="1"/>
  <c r="D1092" i="1"/>
  <c r="Q1092" i="1"/>
  <c r="R1092" i="1"/>
  <c r="E1092" i="1"/>
  <c r="G1092" i="1"/>
  <c r="H1092" i="1"/>
  <c r="J1092" i="1"/>
  <c r="K1092" i="1"/>
  <c r="L1092" i="1"/>
  <c r="A1093" i="1"/>
  <c r="B1093" i="1"/>
  <c r="C1093" i="1"/>
  <c r="D1093" i="1"/>
  <c r="Q1093" i="1"/>
  <c r="R1093" i="1"/>
  <c r="E1093" i="1"/>
  <c r="G1093" i="1"/>
  <c r="H1093" i="1"/>
  <c r="J1093" i="1"/>
  <c r="K1093" i="1"/>
  <c r="L1093" i="1"/>
  <c r="A1094" i="1"/>
  <c r="B1094" i="1"/>
  <c r="C1094" i="1"/>
  <c r="D1094" i="1"/>
  <c r="Q1094" i="1"/>
  <c r="R1094" i="1"/>
  <c r="E1094" i="1"/>
  <c r="G1094" i="1"/>
  <c r="H1094" i="1"/>
  <c r="J1094" i="1"/>
  <c r="K1094" i="1"/>
  <c r="L1094" i="1"/>
  <c r="A1095" i="1"/>
  <c r="B1095" i="1"/>
  <c r="C1095" i="1"/>
  <c r="D1095" i="1"/>
  <c r="Q1095" i="1"/>
  <c r="R1095" i="1"/>
  <c r="E1095" i="1"/>
  <c r="G1095" i="1"/>
  <c r="H1095" i="1"/>
  <c r="J1095" i="1"/>
  <c r="K1095" i="1"/>
  <c r="L1095" i="1"/>
  <c r="A1096" i="1"/>
  <c r="B1096" i="1"/>
  <c r="C1096" i="1"/>
  <c r="D1096" i="1"/>
  <c r="Q1096" i="1"/>
  <c r="R1096" i="1"/>
  <c r="E1096" i="1"/>
  <c r="G1096" i="1"/>
  <c r="H1096" i="1"/>
  <c r="J1096" i="1"/>
  <c r="K1096" i="1"/>
  <c r="L1096" i="1"/>
  <c r="A1097" i="1"/>
  <c r="B1097" i="1"/>
  <c r="C1097" i="1"/>
  <c r="D1097" i="1"/>
  <c r="Q1097" i="1"/>
  <c r="R1097" i="1"/>
  <c r="E1097" i="1"/>
  <c r="G1097" i="1"/>
  <c r="H1097" i="1"/>
  <c r="J1097" i="1"/>
  <c r="K1097" i="1"/>
  <c r="L1097" i="1"/>
  <c r="A1098" i="1"/>
  <c r="B1098" i="1"/>
  <c r="C1098" i="1"/>
  <c r="D1098" i="1"/>
  <c r="Q1098" i="1"/>
  <c r="R1098" i="1"/>
  <c r="E1098" i="1"/>
  <c r="G1098" i="1"/>
  <c r="H1098" i="1"/>
  <c r="J1098" i="1"/>
  <c r="K1098" i="1"/>
  <c r="L1098" i="1"/>
  <c r="A1099" i="1"/>
  <c r="B1099" i="1"/>
  <c r="C1099" i="1"/>
  <c r="D1099" i="1"/>
  <c r="Q1099" i="1"/>
  <c r="R1099" i="1"/>
  <c r="E1099" i="1"/>
  <c r="G1099" i="1"/>
  <c r="H1099" i="1"/>
  <c r="J1099" i="1"/>
  <c r="K1099" i="1"/>
  <c r="L1099" i="1"/>
  <c r="A1100" i="1"/>
  <c r="B1100" i="1"/>
  <c r="C1100" i="1"/>
  <c r="D1100" i="1"/>
  <c r="Q1100" i="1"/>
  <c r="R1100" i="1"/>
  <c r="E1100" i="1"/>
  <c r="G1100" i="1"/>
  <c r="H1100" i="1"/>
  <c r="J1100" i="1"/>
  <c r="K1100" i="1"/>
  <c r="L1100" i="1"/>
  <c r="A1101" i="1"/>
  <c r="B1101" i="1"/>
  <c r="C1101" i="1"/>
  <c r="D1101" i="1"/>
  <c r="Q1101" i="1"/>
  <c r="R1101" i="1"/>
  <c r="E1101" i="1"/>
  <c r="G1101" i="1"/>
  <c r="H1101" i="1"/>
  <c r="J1101" i="1"/>
  <c r="K1101" i="1"/>
  <c r="L1101" i="1"/>
  <c r="A1102" i="1"/>
  <c r="B1102" i="1"/>
  <c r="C1102" i="1"/>
  <c r="D1102" i="1"/>
  <c r="Q1102" i="1"/>
  <c r="R1102" i="1"/>
  <c r="E1102" i="1"/>
  <c r="G1102" i="1"/>
  <c r="H1102" i="1"/>
  <c r="J1102" i="1"/>
  <c r="K1102" i="1"/>
  <c r="L1102" i="1"/>
  <c r="A1103" i="1"/>
  <c r="B1103" i="1"/>
  <c r="C1103" i="1"/>
  <c r="D1103" i="1"/>
  <c r="Q1103" i="1"/>
  <c r="R1103" i="1"/>
  <c r="E1103" i="1"/>
  <c r="G1103" i="1"/>
  <c r="H1103" i="1"/>
  <c r="J1103" i="1"/>
  <c r="K1103" i="1"/>
  <c r="L1103" i="1"/>
  <c r="A1104" i="1"/>
  <c r="B1104" i="1"/>
  <c r="C1104" i="1"/>
  <c r="D1104" i="1"/>
  <c r="Q1104" i="1"/>
  <c r="R1104" i="1"/>
  <c r="E1104" i="1"/>
  <c r="G1104" i="1"/>
  <c r="H1104" i="1"/>
  <c r="J1104" i="1"/>
  <c r="K1104" i="1"/>
  <c r="L1104" i="1"/>
  <c r="A1105" i="1"/>
  <c r="B1105" i="1"/>
  <c r="C1105" i="1"/>
  <c r="D1105" i="1"/>
  <c r="Q1105" i="1"/>
  <c r="R1105" i="1"/>
  <c r="E1105" i="1"/>
  <c r="G1105" i="1"/>
  <c r="H1105" i="1"/>
  <c r="J1105" i="1"/>
  <c r="K1105" i="1"/>
  <c r="L1105" i="1"/>
  <c r="A1106" i="1"/>
  <c r="B1106" i="1"/>
  <c r="C1106" i="1"/>
  <c r="D1106" i="1"/>
  <c r="Q1106" i="1"/>
  <c r="R1106" i="1"/>
  <c r="E1106" i="1"/>
  <c r="G1106" i="1"/>
  <c r="H1106" i="1"/>
  <c r="J1106" i="1"/>
  <c r="K1106" i="1"/>
  <c r="L1106" i="1"/>
  <c r="A1107" i="1"/>
  <c r="B1107" i="1"/>
  <c r="C1107" i="1"/>
  <c r="D1107" i="1"/>
  <c r="Q1107" i="1"/>
  <c r="R1107" i="1"/>
  <c r="E1107" i="1"/>
  <c r="G1107" i="1"/>
  <c r="H1107" i="1"/>
  <c r="J1107" i="1"/>
  <c r="K1107" i="1"/>
  <c r="L1107" i="1"/>
  <c r="A1108" i="1"/>
  <c r="B1108" i="1"/>
  <c r="C1108" i="1"/>
  <c r="D1108" i="1"/>
  <c r="Q1108" i="1"/>
  <c r="R1108" i="1"/>
  <c r="E1108" i="1"/>
  <c r="G1108" i="1"/>
  <c r="H1108" i="1"/>
  <c r="J1108" i="1"/>
  <c r="K1108" i="1"/>
  <c r="L1108" i="1"/>
  <c r="A1109" i="1"/>
  <c r="B1109" i="1"/>
  <c r="C1109" i="1"/>
  <c r="D1109" i="1"/>
  <c r="Q1109" i="1"/>
  <c r="R1109" i="1"/>
  <c r="E1109" i="1"/>
  <c r="G1109" i="1"/>
  <c r="H1109" i="1"/>
  <c r="J1109" i="1"/>
  <c r="K1109" i="1"/>
  <c r="L1109" i="1"/>
  <c r="A1110" i="1"/>
  <c r="B1110" i="1"/>
  <c r="C1110" i="1"/>
  <c r="D1110" i="1"/>
  <c r="Q1110" i="1"/>
  <c r="R1110" i="1"/>
  <c r="E1110" i="1"/>
  <c r="G1110" i="1"/>
  <c r="H1110" i="1"/>
  <c r="J1110" i="1"/>
  <c r="K1110" i="1"/>
  <c r="L1110" i="1"/>
  <c r="A1111" i="1"/>
  <c r="B1111" i="1"/>
  <c r="C1111" i="1"/>
  <c r="D1111" i="1"/>
  <c r="Q1111" i="1"/>
  <c r="R1111" i="1"/>
  <c r="E1111" i="1"/>
  <c r="G1111" i="1"/>
  <c r="H1111" i="1"/>
  <c r="J1111" i="1"/>
  <c r="K1111" i="1"/>
  <c r="L1111" i="1"/>
  <c r="A1112" i="1"/>
  <c r="B1112" i="1"/>
  <c r="C1112" i="1"/>
  <c r="D1112" i="1"/>
  <c r="Q1112" i="1"/>
  <c r="R1112" i="1"/>
  <c r="E1112" i="1"/>
  <c r="G1112" i="1"/>
  <c r="H1112" i="1"/>
  <c r="J1112" i="1"/>
  <c r="K1112" i="1"/>
  <c r="L1112" i="1"/>
  <c r="A1113" i="1"/>
  <c r="B1113" i="1"/>
  <c r="C1113" i="1"/>
  <c r="D1113" i="1"/>
  <c r="Q1113" i="1"/>
  <c r="R1113" i="1"/>
  <c r="E1113" i="1"/>
  <c r="G1113" i="1"/>
  <c r="H1113" i="1"/>
  <c r="J1113" i="1"/>
  <c r="K1113" i="1"/>
  <c r="L1113" i="1"/>
  <c r="A1114" i="1"/>
  <c r="B1114" i="1"/>
  <c r="C1114" i="1"/>
  <c r="D1114" i="1"/>
  <c r="Q1114" i="1"/>
  <c r="R1114" i="1"/>
  <c r="E1114" i="1"/>
  <c r="G1114" i="1"/>
  <c r="H1114" i="1"/>
  <c r="J1114" i="1"/>
  <c r="K1114" i="1"/>
  <c r="L1114" i="1"/>
  <c r="A1115" i="1"/>
  <c r="B1115" i="1"/>
  <c r="C1115" i="1"/>
  <c r="D1115" i="1"/>
  <c r="Q1115" i="1"/>
  <c r="R1115" i="1"/>
  <c r="E1115" i="1"/>
  <c r="G1115" i="1"/>
  <c r="H1115" i="1"/>
  <c r="J1115" i="1"/>
  <c r="K1115" i="1"/>
  <c r="L1115" i="1"/>
  <c r="A1116" i="1"/>
  <c r="B1116" i="1"/>
  <c r="C1116" i="1"/>
  <c r="D1116" i="1"/>
  <c r="Q1116" i="1"/>
  <c r="R1116" i="1"/>
  <c r="E1116" i="1"/>
  <c r="G1116" i="1"/>
  <c r="H1116" i="1"/>
  <c r="J1116" i="1"/>
  <c r="K1116" i="1"/>
  <c r="L1116" i="1"/>
  <c r="A1117" i="1"/>
  <c r="B1117" i="1"/>
  <c r="C1117" i="1"/>
  <c r="D1117" i="1"/>
  <c r="Q1117" i="1"/>
  <c r="R1117" i="1"/>
  <c r="E1117" i="1"/>
  <c r="G1117" i="1"/>
  <c r="H1117" i="1"/>
  <c r="J1117" i="1"/>
  <c r="K1117" i="1"/>
  <c r="L1117" i="1"/>
  <c r="A1118" i="1"/>
  <c r="B1118" i="1"/>
  <c r="C1118" i="1"/>
  <c r="D1118" i="1"/>
  <c r="Q1118" i="1"/>
  <c r="R1118" i="1"/>
  <c r="E1118" i="1"/>
  <c r="G1118" i="1"/>
  <c r="H1118" i="1"/>
  <c r="J1118" i="1"/>
  <c r="K1118" i="1"/>
  <c r="L1118" i="1"/>
  <c r="A1119" i="1"/>
  <c r="B1119" i="1"/>
  <c r="C1119" i="1"/>
  <c r="D1119" i="1"/>
  <c r="Q1119" i="1"/>
  <c r="R1119" i="1"/>
  <c r="E1119" i="1"/>
  <c r="G1119" i="1"/>
  <c r="H1119" i="1"/>
  <c r="J1119" i="1"/>
  <c r="K1119" i="1"/>
  <c r="L1119" i="1"/>
  <c r="A1120" i="1"/>
  <c r="B1120" i="1"/>
  <c r="C1120" i="1"/>
  <c r="D1120" i="1"/>
  <c r="Q1120" i="1"/>
  <c r="R1120" i="1"/>
  <c r="E1120" i="1"/>
  <c r="G1120" i="1"/>
  <c r="H1120" i="1"/>
  <c r="J1120" i="1"/>
  <c r="K1120" i="1"/>
  <c r="L1120" i="1"/>
  <c r="A1121" i="1"/>
  <c r="B1121" i="1"/>
  <c r="C1121" i="1"/>
  <c r="D1121" i="1"/>
  <c r="Q1121" i="1"/>
  <c r="R1121" i="1"/>
  <c r="E1121" i="1"/>
  <c r="G1121" i="1"/>
  <c r="H1121" i="1"/>
  <c r="J1121" i="1"/>
  <c r="K1121" i="1"/>
  <c r="L1121" i="1"/>
  <c r="A1122" i="1"/>
  <c r="B1122" i="1"/>
  <c r="C1122" i="1"/>
  <c r="D1122" i="1"/>
  <c r="Q1122" i="1"/>
  <c r="R1122" i="1"/>
  <c r="E1122" i="1"/>
  <c r="G1122" i="1"/>
  <c r="H1122" i="1"/>
  <c r="J1122" i="1"/>
  <c r="K1122" i="1"/>
  <c r="L1122" i="1"/>
  <c r="A1123" i="1"/>
  <c r="B1123" i="1"/>
  <c r="C1123" i="1"/>
  <c r="D1123" i="1"/>
  <c r="Q1123" i="1"/>
  <c r="R1123" i="1"/>
  <c r="E1123" i="1"/>
  <c r="G1123" i="1"/>
  <c r="H1123" i="1"/>
  <c r="J1123" i="1"/>
  <c r="K1123" i="1"/>
  <c r="L1123" i="1"/>
  <c r="A1124" i="1"/>
  <c r="B1124" i="1"/>
  <c r="C1124" i="1"/>
  <c r="D1124" i="1"/>
  <c r="Q1124" i="1"/>
  <c r="R1124" i="1"/>
  <c r="E1124" i="1"/>
  <c r="G1124" i="1"/>
  <c r="H1124" i="1"/>
  <c r="J1124" i="1"/>
  <c r="K1124" i="1"/>
  <c r="L1124" i="1"/>
  <c r="A1125" i="1"/>
  <c r="B1125" i="1"/>
  <c r="C1125" i="1"/>
  <c r="D1125" i="1"/>
  <c r="Q1125" i="1"/>
  <c r="R1125" i="1"/>
  <c r="E1125" i="1"/>
  <c r="G1125" i="1"/>
  <c r="H1125" i="1"/>
  <c r="J1125" i="1"/>
  <c r="K1125" i="1"/>
  <c r="L1125" i="1"/>
  <c r="A1126" i="1"/>
  <c r="B1126" i="1"/>
  <c r="C1126" i="1"/>
  <c r="D1126" i="1"/>
  <c r="Q1126" i="1"/>
  <c r="R1126" i="1"/>
  <c r="E1126" i="1"/>
  <c r="G1126" i="1"/>
  <c r="H1126" i="1"/>
  <c r="J1126" i="1"/>
  <c r="K1126" i="1"/>
  <c r="L1126" i="1"/>
  <c r="A1127" i="1"/>
  <c r="B1127" i="1"/>
  <c r="C1127" i="1"/>
  <c r="D1127" i="1"/>
  <c r="Q1127" i="1"/>
  <c r="R1127" i="1"/>
  <c r="E1127" i="1"/>
  <c r="G1127" i="1"/>
  <c r="H1127" i="1"/>
  <c r="J1127" i="1"/>
  <c r="K1127" i="1"/>
  <c r="L1127" i="1"/>
  <c r="A1128" i="1"/>
  <c r="B1128" i="1"/>
  <c r="C1128" i="1"/>
  <c r="D1128" i="1"/>
  <c r="Q1128" i="1"/>
  <c r="R1128" i="1"/>
  <c r="E1128" i="1"/>
  <c r="G1128" i="1"/>
  <c r="H1128" i="1"/>
  <c r="J1128" i="1"/>
  <c r="K1128" i="1"/>
  <c r="L1128" i="1"/>
  <c r="A1129" i="1"/>
  <c r="B1129" i="1"/>
  <c r="C1129" i="1"/>
  <c r="D1129" i="1"/>
  <c r="Q1129" i="1"/>
  <c r="R1129" i="1"/>
  <c r="E1129" i="1"/>
  <c r="G1129" i="1"/>
  <c r="H1129" i="1"/>
  <c r="J1129" i="1"/>
  <c r="K1129" i="1"/>
  <c r="L1129" i="1"/>
  <c r="A1130" i="1"/>
  <c r="B1130" i="1"/>
  <c r="C1130" i="1"/>
  <c r="D1130" i="1"/>
  <c r="Q1130" i="1"/>
  <c r="R1130" i="1"/>
  <c r="E1130" i="1"/>
  <c r="G1130" i="1"/>
  <c r="H1130" i="1"/>
  <c r="J1130" i="1"/>
  <c r="K1130" i="1"/>
  <c r="L1130" i="1"/>
  <c r="A1131" i="1"/>
  <c r="B1131" i="1"/>
  <c r="C1131" i="1"/>
  <c r="D1131" i="1"/>
  <c r="Q1131" i="1"/>
  <c r="R1131" i="1"/>
  <c r="E1131" i="1"/>
  <c r="G1131" i="1"/>
  <c r="H1131" i="1"/>
  <c r="J1131" i="1"/>
  <c r="K1131" i="1"/>
  <c r="L1131" i="1"/>
  <c r="A1132" i="1"/>
  <c r="B1132" i="1"/>
  <c r="C1132" i="1"/>
  <c r="D1132" i="1"/>
  <c r="Q1132" i="1"/>
  <c r="R1132" i="1"/>
  <c r="E1132" i="1"/>
  <c r="G1132" i="1"/>
  <c r="H1132" i="1"/>
  <c r="J1132" i="1"/>
  <c r="K1132" i="1"/>
  <c r="L1132" i="1"/>
  <c r="A1133" i="1"/>
  <c r="B1133" i="1"/>
  <c r="C1133" i="1"/>
  <c r="D1133" i="1"/>
  <c r="Q1133" i="1"/>
  <c r="R1133" i="1"/>
  <c r="E1133" i="1"/>
  <c r="G1133" i="1"/>
  <c r="H1133" i="1"/>
  <c r="J1133" i="1"/>
  <c r="K1133" i="1"/>
  <c r="L1133" i="1"/>
  <c r="A1134" i="1"/>
  <c r="B1134" i="1"/>
  <c r="C1134" i="1"/>
  <c r="D1134" i="1"/>
  <c r="Q1134" i="1"/>
  <c r="R1134" i="1"/>
  <c r="E1134" i="1"/>
  <c r="G1134" i="1"/>
  <c r="H1134" i="1"/>
  <c r="J1134" i="1"/>
  <c r="K1134" i="1"/>
  <c r="L1134" i="1"/>
  <c r="A1135" i="1"/>
  <c r="B1135" i="1"/>
  <c r="C1135" i="1"/>
  <c r="D1135" i="1"/>
  <c r="Q1135" i="1"/>
  <c r="R1135" i="1"/>
  <c r="E1135" i="1"/>
  <c r="G1135" i="1"/>
  <c r="H1135" i="1"/>
  <c r="J1135" i="1"/>
  <c r="K1135" i="1"/>
  <c r="L1135" i="1"/>
  <c r="A1136" i="1"/>
  <c r="B1136" i="1"/>
  <c r="C1136" i="1"/>
  <c r="D1136" i="1"/>
  <c r="Q1136" i="1"/>
  <c r="R1136" i="1"/>
  <c r="E1136" i="1"/>
  <c r="G1136" i="1"/>
  <c r="H1136" i="1"/>
  <c r="J1136" i="1"/>
  <c r="K1136" i="1"/>
  <c r="L1136" i="1"/>
  <c r="A1137" i="1"/>
  <c r="B1137" i="1"/>
  <c r="C1137" i="1"/>
  <c r="D1137" i="1"/>
  <c r="Q1137" i="1"/>
  <c r="R1137" i="1"/>
  <c r="E1137" i="1"/>
  <c r="G1137" i="1"/>
  <c r="H1137" i="1"/>
  <c r="J1137" i="1"/>
  <c r="K1137" i="1"/>
  <c r="L1137" i="1"/>
  <c r="A1138" i="1"/>
  <c r="B1138" i="1"/>
  <c r="C1138" i="1"/>
  <c r="D1138" i="1"/>
  <c r="Q1138" i="1"/>
  <c r="R1138" i="1"/>
  <c r="E1138" i="1"/>
  <c r="G1138" i="1"/>
  <c r="H1138" i="1"/>
  <c r="J1138" i="1"/>
  <c r="K1138" i="1"/>
  <c r="L1138" i="1"/>
  <c r="A1139" i="1"/>
  <c r="B1139" i="1"/>
  <c r="C1139" i="1"/>
  <c r="D1139" i="1"/>
  <c r="Q1139" i="1"/>
  <c r="R1139" i="1"/>
  <c r="E1139" i="1"/>
  <c r="G1139" i="1"/>
  <c r="H1139" i="1"/>
  <c r="J1139" i="1"/>
  <c r="K1139" i="1"/>
  <c r="L1139" i="1"/>
  <c r="A1140" i="1"/>
  <c r="B1140" i="1"/>
  <c r="C1140" i="1"/>
  <c r="D1140" i="1"/>
  <c r="Q1140" i="1"/>
  <c r="R1140" i="1"/>
  <c r="E1140" i="1"/>
  <c r="G1140" i="1"/>
  <c r="H1140" i="1"/>
  <c r="J1140" i="1"/>
  <c r="K1140" i="1"/>
  <c r="L1140" i="1"/>
  <c r="A1141" i="1"/>
  <c r="B1141" i="1"/>
  <c r="C1141" i="1"/>
  <c r="D1141" i="1"/>
  <c r="Q1141" i="1"/>
  <c r="R1141" i="1"/>
  <c r="E1141" i="1"/>
  <c r="G1141" i="1"/>
  <c r="H1141" i="1"/>
  <c r="J1141" i="1"/>
  <c r="K1141" i="1"/>
  <c r="L1141" i="1"/>
  <c r="A1142" i="1"/>
  <c r="B1142" i="1"/>
  <c r="C1142" i="1"/>
  <c r="D1142" i="1"/>
  <c r="Q1142" i="1"/>
  <c r="R1142" i="1"/>
  <c r="E1142" i="1"/>
  <c r="G1142" i="1"/>
  <c r="H1142" i="1"/>
  <c r="J1142" i="1"/>
  <c r="K1142" i="1"/>
  <c r="L1142" i="1"/>
  <c r="A1143" i="1"/>
  <c r="B1143" i="1"/>
  <c r="C1143" i="1"/>
  <c r="D1143" i="1"/>
  <c r="Q1143" i="1"/>
  <c r="R1143" i="1"/>
  <c r="E1143" i="1"/>
  <c r="G1143" i="1"/>
  <c r="H1143" i="1"/>
  <c r="J1143" i="1"/>
  <c r="K1143" i="1"/>
  <c r="L1143" i="1"/>
  <c r="A1144" i="1"/>
  <c r="B1144" i="1"/>
  <c r="C1144" i="1"/>
  <c r="D1144" i="1"/>
  <c r="Q1144" i="1"/>
  <c r="R1144" i="1"/>
  <c r="E1144" i="1"/>
  <c r="G1144" i="1"/>
  <c r="H1144" i="1"/>
  <c r="J1144" i="1"/>
  <c r="K1144" i="1"/>
  <c r="L1144" i="1"/>
  <c r="A1145" i="1"/>
  <c r="B1145" i="1"/>
  <c r="C1145" i="1"/>
  <c r="D1145" i="1"/>
  <c r="Q1145" i="1"/>
  <c r="R1145" i="1"/>
  <c r="E1145" i="1"/>
  <c r="G1145" i="1"/>
  <c r="H1145" i="1"/>
  <c r="J1145" i="1"/>
  <c r="K1145" i="1"/>
  <c r="L1145" i="1"/>
  <c r="A1146" i="1"/>
  <c r="B1146" i="1"/>
  <c r="C1146" i="1"/>
  <c r="D1146" i="1"/>
  <c r="Q1146" i="1"/>
  <c r="R1146" i="1"/>
  <c r="E1146" i="1"/>
  <c r="G1146" i="1"/>
  <c r="H1146" i="1"/>
  <c r="J1146" i="1"/>
  <c r="K1146" i="1"/>
  <c r="L1146" i="1"/>
  <c r="A1147" i="1"/>
  <c r="B1147" i="1"/>
  <c r="C1147" i="1"/>
  <c r="D1147" i="1"/>
  <c r="Q1147" i="1"/>
  <c r="R1147" i="1"/>
  <c r="E1147" i="1"/>
  <c r="G1147" i="1"/>
  <c r="H1147" i="1"/>
  <c r="J1147" i="1"/>
  <c r="K1147" i="1"/>
  <c r="L1147" i="1"/>
  <c r="A1148" i="1"/>
  <c r="B1148" i="1"/>
  <c r="C1148" i="1"/>
  <c r="D1148" i="1"/>
  <c r="Q1148" i="1"/>
  <c r="R1148" i="1"/>
  <c r="E1148" i="1"/>
  <c r="G1148" i="1"/>
  <c r="H1148" i="1"/>
  <c r="J1148" i="1"/>
  <c r="K1148" i="1"/>
  <c r="L1148" i="1"/>
  <c r="A1149" i="1"/>
  <c r="B1149" i="1"/>
  <c r="C1149" i="1"/>
  <c r="D1149" i="1"/>
  <c r="Q1149" i="1"/>
  <c r="R1149" i="1"/>
  <c r="E1149" i="1"/>
  <c r="G1149" i="1"/>
  <c r="H1149" i="1"/>
  <c r="J1149" i="1"/>
  <c r="K1149" i="1"/>
  <c r="L1149" i="1"/>
  <c r="A1150" i="1"/>
  <c r="B1150" i="1"/>
  <c r="C1150" i="1"/>
  <c r="D1150" i="1"/>
  <c r="Q1150" i="1"/>
  <c r="R1150" i="1"/>
  <c r="E1150" i="1"/>
  <c r="G1150" i="1"/>
  <c r="H1150" i="1"/>
  <c r="J1150" i="1"/>
  <c r="K1150" i="1"/>
  <c r="L1150" i="1"/>
  <c r="A1151" i="1"/>
  <c r="B1151" i="1"/>
  <c r="C1151" i="1"/>
  <c r="D1151" i="1"/>
  <c r="Q1151" i="1"/>
  <c r="R1151" i="1"/>
  <c r="E1151" i="1"/>
  <c r="G1151" i="1"/>
  <c r="H1151" i="1"/>
  <c r="J1151" i="1"/>
  <c r="K1151" i="1"/>
  <c r="L1151" i="1"/>
  <c r="A1152" i="1"/>
  <c r="B1152" i="1"/>
  <c r="C1152" i="1"/>
  <c r="D1152" i="1"/>
  <c r="Q1152" i="1"/>
  <c r="R1152" i="1"/>
  <c r="E1152" i="1"/>
  <c r="G1152" i="1"/>
  <c r="H1152" i="1"/>
  <c r="J1152" i="1"/>
  <c r="K1152" i="1"/>
  <c r="L1152" i="1"/>
  <c r="A1153" i="1"/>
  <c r="B1153" i="1"/>
  <c r="C1153" i="1"/>
  <c r="D1153" i="1"/>
  <c r="Q1153" i="1"/>
  <c r="R1153" i="1"/>
  <c r="E1153" i="1"/>
  <c r="G1153" i="1"/>
  <c r="H1153" i="1"/>
  <c r="J1153" i="1"/>
  <c r="K1153" i="1"/>
  <c r="L1153" i="1"/>
  <c r="A1154" i="1"/>
  <c r="B1154" i="1"/>
  <c r="C1154" i="1"/>
  <c r="D1154" i="1"/>
  <c r="Q1154" i="1"/>
  <c r="R1154" i="1"/>
  <c r="E1154" i="1"/>
  <c r="G1154" i="1"/>
  <c r="H1154" i="1"/>
  <c r="J1154" i="1"/>
  <c r="K1154" i="1"/>
  <c r="L1154" i="1"/>
  <c r="A1155" i="1"/>
  <c r="B1155" i="1"/>
  <c r="C1155" i="1"/>
  <c r="D1155" i="1"/>
  <c r="Q1155" i="1"/>
  <c r="R1155" i="1"/>
  <c r="E1155" i="1"/>
  <c r="G1155" i="1"/>
  <c r="H1155" i="1"/>
  <c r="J1155" i="1"/>
  <c r="K1155" i="1"/>
  <c r="L1155" i="1"/>
  <c r="A1156" i="1"/>
  <c r="B1156" i="1"/>
  <c r="C1156" i="1"/>
  <c r="D1156" i="1"/>
  <c r="Q1156" i="1"/>
  <c r="R1156" i="1"/>
  <c r="E1156" i="1"/>
  <c r="G1156" i="1"/>
  <c r="H1156" i="1"/>
  <c r="J1156" i="1"/>
  <c r="K1156" i="1"/>
  <c r="L1156" i="1"/>
  <c r="A1157" i="1"/>
  <c r="B1157" i="1"/>
  <c r="C1157" i="1"/>
  <c r="D1157" i="1"/>
  <c r="Q1157" i="1"/>
  <c r="R1157" i="1"/>
  <c r="E1157" i="1"/>
  <c r="G1157" i="1"/>
  <c r="H1157" i="1"/>
  <c r="J1157" i="1"/>
  <c r="K1157" i="1"/>
  <c r="L1157" i="1"/>
  <c r="A1158" i="1"/>
  <c r="B1158" i="1"/>
  <c r="C1158" i="1"/>
  <c r="D1158" i="1"/>
  <c r="Q1158" i="1"/>
  <c r="R1158" i="1"/>
  <c r="E1158" i="1"/>
  <c r="G1158" i="1"/>
  <c r="H1158" i="1"/>
  <c r="J1158" i="1"/>
  <c r="K1158" i="1"/>
  <c r="L1158" i="1"/>
  <c r="A1159" i="1"/>
  <c r="B1159" i="1"/>
  <c r="C1159" i="1"/>
  <c r="D1159" i="1"/>
  <c r="Q1159" i="1"/>
  <c r="R1159" i="1"/>
  <c r="E1159" i="1"/>
  <c r="G1159" i="1"/>
  <c r="H1159" i="1"/>
  <c r="J1159" i="1"/>
  <c r="K1159" i="1"/>
  <c r="L1159" i="1"/>
  <c r="A1160" i="1"/>
  <c r="B1160" i="1"/>
  <c r="C1160" i="1"/>
  <c r="D1160" i="1"/>
  <c r="Q1160" i="1"/>
  <c r="R1160" i="1"/>
  <c r="E1160" i="1"/>
  <c r="G1160" i="1"/>
  <c r="H1160" i="1"/>
  <c r="J1160" i="1"/>
  <c r="K1160" i="1"/>
  <c r="L1160" i="1"/>
  <c r="A1161" i="1"/>
  <c r="B1161" i="1"/>
  <c r="C1161" i="1"/>
  <c r="D1161" i="1"/>
  <c r="Q1161" i="1"/>
  <c r="R1161" i="1"/>
  <c r="E1161" i="1"/>
  <c r="G1161" i="1"/>
  <c r="H1161" i="1"/>
  <c r="J1161" i="1"/>
  <c r="K1161" i="1"/>
  <c r="L1161" i="1"/>
  <c r="A1162" i="1"/>
  <c r="B1162" i="1"/>
  <c r="C1162" i="1"/>
  <c r="D1162" i="1"/>
  <c r="Q1162" i="1"/>
  <c r="R1162" i="1"/>
  <c r="E1162" i="1"/>
  <c r="G1162" i="1"/>
  <c r="H1162" i="1"/>
  <c r="J1162" i="1"/>
  <c r="K1162" i="1"/>
  <c r="L1162" i="1"/>
  <c r="A1163" i="1"/>
  <c r="B1163" i="1"/>
  <c r="C1163" i="1"/>
  <c r="D1163" i="1"/>
  <c r="Q1163" i="1"/>
  <c r="R1163" i="1"/>
  <c r="E1163" i="1"/>
  <c r="G1163" i="1"/>
  <c r="H1163" i="1"/>
  <c r="J1163" i="1"/>
  <c r="K1163" i="1"/>
  <c r="L1163" i="1"/>
  <c r="A1164" i="1"/>
  <c r="B1164" i="1"/>
  <c r="C1164" i="1"/>
  <c r="D1164" i="1"/>
  <c r="Q1164" i="1"/>
  <c r="R1164" i="1"/>
  <c r="E1164" i="1"/>
  <c r="G1164" i="1"/>
  <c r="H1164" i="1"/>
  <c r="J1164" i="1"/>
  <c r="K1164" i="1"/>
  <c r="L1164" i="1"/>
  <c r="A1165" i="1"/>
  <c r="B1165" i="1"/>
  <c r="C1165" i="1"/>
  <c r="D1165" i="1"/>
  <c r="Q1165" i="1"/>
  <c r="R1165" i="1"/>
  <c r="E1165" i="1"/>
  <c r="G1165" i="1"/>
  <c r="H1165" i="1"/>
  <c r="J1165" i="1"/>
  <c r="K1165" i="1"/>
  <c r="L1165" i="1"/>
  <c r="A1166" i="1"/>
  <c r="B1166" i="1"/>
  <c r="C1166" i="1"/>
  <c r="D1166" i="1"/>
  <c r="Q1166" i="1"/>
  <c r="R1166" i="1"/>
  <c r="E1166" i="1"/>
  <c r="G1166" i="1"/>
  <c r="H1166" i="1"/>
  <c r="J1166" i="1"/>
  <c r="K1166" i="1"/>
  <c r="L1166" i="1"/>
  <c r="A1167" i="1"/>
  <c r="B1167" i="1"/>
  <c r="C1167" i="1"/>
  <c r="D1167" i="1"/>
  <c r="Q1167" i="1"/>
  <c r="R1167" i="1"/>
  <c r="E1167" i="1"/>
  <c r="G1167" i="1"/>
  <c r="H1167" i="1"/>
  <c r="J1167" i="1"/>
  <c r="K1167" i="1"/>
  <c r="L1167" i="1"/>
  <c r="A1168" i="1"/>
  <c r="B1168" i="1"/>
  <c r="C1168" i="1"/>
  <c r="D1168" i="1"/>
  <c r="Q1168" i="1"/>
  <c r="R1168" i="1"/>
  <c r="E1168" i="1"/>
  <c r="G1168" i="1"/>
  <c r="H1168" i="1"/>
  <c r="J1168" i="1"/>
  <c r="K1168" i="1"/>
  <c r="L1168" i="1"/>
  <c r="A1169" i="1"/>
  <c r="B1169" i="1"/>
  <c r="C1169" i="1"/>
  <c r="D1169" i="1"/>
  <c r="Q1169" i="1"/>
  <c r="R1169" i="1"/>
  <c r="E1169" i="1"/>
  <c r="G1169" i="1"/>
  <c r="H1169" i="1"/>
  <c r="J1169" i="1"/>
  <c r="K1169" i="1"/>
  <c r="L1169" i="1"/>
  <c r="A1170" i="1"/>
  <c r="B1170" i="1"/>
  <c r="C1170" i="1"/>
  <c r="D1170" i="1"/>
  <c r="Q1170" i="1"/>
  <c r="R1170" i="1"/>
  <c r="E1170" i="1"/>
  <c r="G1170" i="1"/>
  <c r="H1170" i="1"/>
  <c r="J1170" i="1"/>
  <c r="K1170" i="1"/>
  <c r="L1170" i="1"/>
  <c r="A1171" i="1"/>
  <c r="B1171" i="1"/>
  <c r="C1171" i="1"/>
  <c r="D1171" i="1"/>
  <c r="Q1171" i="1"/>
  <c r="R1171" i="1"/>
  <c r="E1171" i="1"/>
  <c r="G1171" i="1"/>
  <c r="H1171" i="1"/>
  <c r="J1171" i="1"/>
  <c r="K1171" i="1"/>
  <c r="L1171" i="1"/>
  <c r="A1172" i="1"/>
  <c r="B1172" i="1"/>
  <c r="C1172" i="1"/>
  <c r="D1172" i="1"/>
  <c r="Q1172" i="1"/>
  <c r="R1172" i="1"/>
  <c r="E1172" i="1"/>
  <c r="G1172" i="1"/>
  <c r="H1172" i="1"/>
  <c r="J1172" i="1"/>
  <c r="K1172" i="1"/>
  <c r="L1172" i="1"/>
  <c r="A1173" i="1"/>
  <c r="B1173" i="1"/>
  <c r="C1173" i="1"/>
  <c r="D1173" i="1"/>
  <c r="Q1173" i="1"/>
  <c r="R1173" i="1"/>
  <c r="E1173" i="1"/>
  <c r="G1173" i="1"/>
  <c r="H1173" i="1"/>
  <c r="J1173" i="1"/>
  <c r="K1173" i="1"/>
  <c r="L1173" i="1"/>
  <c r="A1174" i="1"/>
  <c r="B1174" i="1"/>
  <c r="C1174" i="1"/>
  <c r="D1174" i="1"/>
  <c r="Q1174" i="1"/>
  <c r="R1174" i="1"/>
  <c r="E1174" i="1"/>
  <c r="G1174" i="1"/>
  <c r="H1174" i="1"/>
  <c r="J1174" i="1"/>
  <c r="K1174" i="1"/>
  <c r="L1174" i="1"/>
  <c r="A1175" i="1"/>
  <c r="B1175" i="1"/>
  <c r="C1175" i="1"/>
  <c r="D1175" i="1"/>
  <c r="Q1175" i="1"/>
  <c r="R1175" i="1"/>
  <c r="E1175" i="1"/>
  <c r="G1175" i="1"/>
  <c r="H1175" i="1"/>
  <c r="J1175" i="1"/>
  <c r="K1175" i="1"/>
  <c r="L1175" i="1"/>
  <c r="A1176" i="1"/>
  <c r="B1176" i="1"/>
  <c r="C1176" i="1"/>
  <c r="D1176" i="1"/>
  <c r="Q1176" i="1"/>
  <c r="R1176" i="1"/>
  <c r="E1176" i="1"/>
  <c r="G1176" i="1"/>
  <c r="H1176" i="1"/>
  <c r="J1176" i="1"/>
  <c r="K1176" i="1"/>
  <c r="L1176" i="1"/>
  <c r="A1177" i="1"/>
  <c r="B1177" i="1"/>
  <c r="C1177" i="1"/>
  <c r="D1177" i="1"/>
  <c r="Q1177" i="1"/>
  <c r="R1177" i="1"/>
  <c r="E1177" i="1"/>
  <c r="G1177" i="1"/>
  <c r="H1177" i="1"/>
  <c r="J1177" i="1"/>
  <c r="K1177" i="1"/>
  <c r="L1177" i="1"/>
  <c r="A1178" i="1"/>
  <c r="B1178" i="1"/>
  <c r="C1178" i="1"/>
  <c r="D1178" i="1"/>
  <c r="Q1178" i="1"/>
  <c r="R1178" i="1"/>
  <c r="E1178" i="1"/>
  <c r="G1178" i="1"/>
  <c r="H1178" i="1"/>
  <c r="J1178" i="1"/>
  <c r="K1178" i="1"/>
  <c r="L1178" i="1"/>
  <c r="A1179" i="1"/>
  <c r="B1179" i="1"/>
  <c r="C1179" i="1"/>
  <c r="D1179" i="1"/>
  <c r="Q1179" i="1"/>
  <c r="R1179" i="1"/>
  <c r="E1179" i="1"/>
  <c r="G1179" i="1"/>
  <c r="H1179" i="1"/>
  <c r="J1179" i="1"/>
  <c r="K1179" i="1"/>
  <c r="L1179" i="1"/>
  <c r="A1180" i="1"/>
  <c r="B1180" i="1"/>
  <c r="C1180" i="1"/>
  <c r="D1180" i="1"/>
  <c r="Q1180" i="1"/>
  <c r="R1180" i="1"/>
  <c r="E1180" i="1"/>
  <c r="G1180" i="1"/>
  <c r="H1180" i="1"/>
  <c r="J1180" i="1"/>
  <c r="K1180" i="1"/>
  <c r="L1180" i="1"/>
  <c r="A1181" i="1"/>
  <c r="B1181" i="1"/>
  <c r="C1181" i="1"/>
  <c r="D1181" i="1"/>
  <c r="Q1181" i="1"/>
  <c r="R1181" i="1"/>
  <c r="E1181" i="1"/>
  <c r="G1181" i="1"/>
  <c r="H1181" i="1"/>
  <c r="J1181" i="1"/>
  <c r="K1181" i="1"/>
  <c r="L1181" i="1"/>
  <c r="A1182" i="1"/>
  <c r="B1182" i="1"/>
  <c r="C1182" i="1"/>
  <c r="D1182" i="1"/>
  <c r="Q1182" i="1"/>
  <c r="R1182" i="1"/>
  <c r="E1182" i="1"/>
  <c r="G1182" i="1"/>
  <c r="H1182" i="1"/>
  <c r="J1182" i="1"/>
  <c r="K1182" i="1"/>
  <c r="L1182" i="1"/>
  <c r="A1183" i="1"/>
  <c r="B1183" i="1"/>
  <c r="C1183" i="1"/>
  <c r="D1183" i="1"/>
  <c r="Q1183" i="1"/>
  <c r="R1183" i="1"/>
  <c r="E1183" i="1"/>
  <c r="G1183" i="1"/>
  <c r="H1183" i="1"/>
  <c r="J1183" i="1"/>
  <c r="K1183" i="1"/>
  <c r="L1183" i="1"/>
  <c r="A1184" i="1"/>
  <c r="B1184" i="1"/>
  <c r="C1184" i="1"/>
  <c r="D1184" i="1"/>
  <c r="Q1184" i="1"/>
  <c r="R1184" i="1"/>
  <c r="E1184" i="1"/>
  <c r="G1184" i="1"/>
  <c r="H1184" i="1"/>
  <c r="J1184" i="1"/>
  <c r="K1184" i="1"/>
  <c r="L1184" i="1"/>
  <c r="A1185" i="1"/>
  <c r="B1185" i="1"/>
  <c r="C1185" i="1"/>
  <c r="D1185" i="1"/>
  <c r="Q1185" i="1"/>
  <c r="R1185" i="1"/>
  <c r="E1185" i="1"/>
  <c r="G1185" i="1"/>
  <c r="H1185" i="1"/>
  <c r="J1185" i="1"/>
  <c r="K1185" i="1"/>
  <c r="L1185" i="1"/>
  <c r="A1186" i="1"/>
  <c r="B1186" i="1"/>
  <c r="C1186" i="1"/>
  <c r="D1186" i="1"/>
  <c r="Q1186" i="1"/>
  <c r="R1186" i="1"/>
  <c r="E1186" i="1"/>
  <c r="G1186" i="1"/>
  <c r="H1186" i="1"/>
  <c r="J1186" i="1"/>
  <c r="K1186" i="1"/>
  <c r="L1186" i="1"/>
  <c r="A1187" i="1"/>
  <c r="B1187" i="1"/>
  <c r="C1187" i="1"/>
  <c r="D1187" i="1"/>
  <c r="Q1187" i="1"/>
  <c r="R1187" i="1"/>
  <c r="E1187" i="1"/>
  <c r="G1187" i="1"/>
  <c r="H1187" i="1"/>
  <c r="J1187" i="1"/>
  <c r="K1187" i="1"/>
  <c r="L1187" i="1"/>
  <c r="A1188" i="1"/>
  <c r="B1188" i="1"/>
  <c r="C1188" i="1"/>
  <c r="D1188" i="1"/>
  <c r="Q1188" i="1"/>
  <c r="R1188" i="1"/>
  <c r="E1188" i="1"/>
  <c r="G1188" i="1"/>
  <c r="H1188" i="1"/>
  <c r="J1188" i="1"/>
  <c r="K1188" i="1"/>
  <c r="L1188" i="1"/>
  <c r="A1189" i="1"/>
  <c r="B1189" i="1"/>
  <c r="C1189" i="1"/>
  <c r="D1189" i="1"/>
  <c r="Q1189" i="1"/>
  <c r="R1189" i="1"/>
  <c r="E1189" i="1"/>
  <c r="G1189" i="1"/>
  <c r="H1189" i="1"/>
  <c r="J1189" i="1"/>
  <c r="K1189" i="1"/>
  <c r="L1189" i="1"/>
  <c r="A1190" i="1"/>
  <c r="B1190" i="1"/>
  <c r="C1190" i="1"/>
  <c r="D1190" i="1"/>
  <c r="Q1190" i="1"/>
  <c r="R1190" i="1"/>
  <c r="E1190" i="1"/>
  <c r="G1190" i="1"/>
  <c r="H1190" i="1"/>
  <c r="J1190" i="1"/>
  <c r="K1190" i="1"/>
  <c r="L1190" i="1"/>
  <c r="A1191" i="1"/>
  <c r="B1191" i="1"/>
  <c r="C1191" i="1"/>
  <c r="D1191" i="1"/>
  <c r="Q1191" i="1"/>
  <c r="R1191" i="1"/>
  <c r="E1191" i="1"/>
  <c r="G1191" i="1"/>
  <c r="H1191" i="1"/>
  <c r="J1191" i="1"/>
  <c r="K1191" i="1"/>
  <c r="L1191" i="1"/>
  <c r="A1192" i="1"/>
  <c r="B1192" i="1"/>
  <c r="C1192" i="1"/>
  <c r="D1192" i="1"/>
  <c r="Q1192" i="1"/>
  <c r="R1192" i="1"/>
  <c r="E1192" i="1"/>
  <c r="G1192" i="1"/>
  <c r="H1192" i="1"/>
  <c r="J1192" i="1"/>
  <c r="K1192" i="1"/>
  <c r="L1192" i="1"/>
  <c r="A1193" i="1"/>
  <c r="B1193" i="1"/>
  <c r="C1193" i="1"/>
  <c r="D1193" i="1"/>
  <c r="Q1193" i="1"/>
  <c r="R1193" i="1"/>
  <c r="E1193" i="1"/>
  <c r="G1193" i="1"/>
  <c r="H1193" i="1"/>
  <c r="J1193" i="1"/>
  <c r="K1193" i="1"/>
  <c r="L1193" i="1"/>
  <c r="A1194" i="1"/>
  <c r="B1194" i="1"/>
  <c r="C1194" i="1"/>
  <c r="D1194" i="1"/>
  <c r="Q1194" i="1"/>
  <c r="R1194" i="1"/>
  <c r="E1194" i="1"/>
  <c r="G1194" i="1"/>
  <c r="H1194" i="1"/>
  <c r="J1194" i="1"/>
  <c r="K1194" i="1"/>
  <c r="L1194" i="1"/>
  <c r="A1195" i="1"/>
  <c r="B1195" i="1"/>
  <c r="C1195" i="1"/>
  <c r="D1195" i="1"/>
  <c r="Q1195" i="1"/>
  <c r="R1195" i="1"/>
  <c r="E1195" i="1"/>
  <c r="G1195" i="1"/>
  <c r="H1195" i="1"/>
  <c r="J1195" i="1"/>
  <c r="K1195" i="1"/>
  <c r="L1195" i="1"/>
  <c r="A1196" i="1"/>
  <c r="B1196" i="1"/>
  <c r="C1196" i="1"/>
  <c r="D1196" i="1"/>
  <c r="Q1196" i="1"/>
  <c r="R1196" i="1"/>
  <c r="E1196" i="1"/>
  <c r="G1196" i="1"/>
  <c r="H1196" i="1"/>
  <c r="J1196" i="1"/>
  <c r="K1196" i="1"/>
  <c r="L1196" i="1"/>
  <c r="A1197" i="1"/>
  <c r="B1197" i="1"/>
  <c r="C1197" i="1"/>
  <c r="D1197" i="1"/>
  <c r="Q1197" i="1"/>
  <c r="R1197" i="1"/>
  <c r="E1197" i="1"/>
  <c r="G1197" i="1"/>
  <c r="H1197" i="1"/>
  <c r="J1197" i="1"/>
  <c r="K1197" i="1"/>
  <c r="L1197" i="1"/>
  <c r="A1198" i="1"/>
  <c r="B1198" i="1"/>
  <c r="C1198" i="1"/>
  <c r="D1198" i="1"/>
  <c r="Q1198" i="1"/>
  <c r="R1198" i="1"/>
  <c r="E1198" i="1"/>
  <c r="G1198" i="1"/>
  <c r="H1198" i="1"/>
  <c r="J1198" i="1"/>
  <c r="K1198" i="1"/>
  <c r="L1198" i="1"/>
  <c r="A1199" i="1"/>
  <c r="B1199" i="1"/>
  <c r="C1199" i="1"/>
  <c r="D1199" i="1"/>
  <c r="Q1199" i="1"/>
  <c r="R1199" i="1"/>
  <c r="E1199" i="1"/>
  <c r="G1199" i="1"/>
  <c r="H1199" i="1"/>
  <c r="J1199" i="1"/>
  <c r="K1199" i="1"/>
  <c r="L1199" i="1"/>
  <c r="A1200" i="1"/>
  <c r="B1200" i="1"/>
  <c r="C1200" i="1"/>
  <c r="D1200" i="1"/>
  <c r="Q1200" i="1"/>
  <c r="R1200" i="1"/>
  <c r="E1200" i="1"/>
  <c r="G1200" i="1"/>
  <c r="H1200" i="1"/>
  <c r="J1200" i="1"/>
  <c r="K1200" i="1"/>
  <c r="L1200" i="1"/>
  <c r="A1201" i="1"/>
  <c r="B1201" i="1"/>
  <c r="C1201" i="1"/>
  <c r="D1201" i="1"/>
  <c r="Q1201" i="1"/>
  <c r="R1201" i="1"/>
  <c r="E1201" i="1"/>
  <c r="G1201" i="1"/>
  <c r="H1201" i="1"/>
  <c r="J1201" i="1"/>
  <c r="K1201" i="1"/>
  <c r="L1201" i="1"/>
  <c r="A1202" i="1"/>
  <c r="B1202" i="1"/>
  <c r="C1202" i="1"/>
  <c r="D1202" i="1"/>
  <c r="Q1202" i="1"/>
  <c r="R1202" i="1"/>
  <c r="E1202" i="1"/>
  <c r="G1202" i="1"/>
  <c r="H1202" i="1"/>
  <c r="J1202" i="1"/>
  <c r="K1202" i="1"/>
  <c r="L1202" i="1"/>
  <c r="A1203" i="1"/>
  <c r="B1203" i="1"/>
  <c r="C1203" i="1"/>
  <c r="D1203" i="1"/>
  <c r="Q1203" i="1"/>
  <c r="R1203" i="1"/>
  <c r="E1203" i="1"/>
  <c r="G1203" i="1"/>
  <c r="H1203" i="1"/>
  <c r="J1203" i="1"/>
  <c r="K1203" i="1"/>
  <c r="L1203" i="1"/>
  <c r="A1204" i="1"/>
  <c r="B1204" i="1"/>
  <c r="C1204" i="1"/>
  <c r="D1204" i="1"/>
  <c r="Q1204" i="1"/>
  <c r="R1204" i="1"/>
  <c r="E1204" i="1"/>
  <c r="G1204" i="1"/>
  <c r="H1204" i="1"/>
  <c r="J1204" i="1"/>
  <c r="K1204" i="1"/>
  <c r="L1204" i="1"/>
  <c r="A1205" i="1"/>
  <c r="B1205" i="1"/>
  <c r="C1205" i="1"/>
  <c r="D1205" i="1"/>
  <c r="Q1205" i="1"/>
  <c r="R1205" i="1"/>
  <c r="E1205" i="1"/>
  <c r="G1205" i="1"/>
  <c r="H1205" i="1"/>
  <c r="J1205" i="1"/>
  <c r="K1205" i="1"/>
  <c r="L1205" i="1"/>
  <c r="A1206" i="1"/>
  <c r="B1206" i="1"/>
  <c r="C1206" i="1"/>
  <c r="D1206" i="1"/>
  <c r="Q1206" i="1"/>
  <c r="R1206" i="1"/>
  <c r="E1206" i="1"/>
  <c r="G1206" i="1"/>
  <c r="H1206" i="1"/>
  <c r="J1206" i="1"/>
  <c r="K1206" i="1"/>
  <c r="L1206" i="1"/>
  <c r="A1207" i="1"/>
  <c r="B1207" i="1"/>
  <c r="C1207" i="1"/>
  <c r="D1207" i="1"/>
  <c r="Q1207" i="1"/>
  <c r="R1207" i="1"/>
  <c r="E1207" i="1"/>
  <c r="G1207" i="1"/>
  <c r="H1207" i="1"/>
  <c r="J1207" i="1"/>
  <c r="K1207" i="1"/>
  <c r="L1207" i="1"/>
  <c r="A1208" i="1"/>
  <c r="B1208" i="1"/>
  <c r="C1208" i="1"/>
  <c r="D1208" i="1"/>
  <c r="Q1208" i="1"/>
  <c r="R1208" i="1"/>
  <c r="E1208" i="1"/>
  <c r="G1208" i="1"/>
  <c r="H1208" i="1"/>
  <c r="J1208" i="1"/>
  <c r="K1208" i="1"/>
  <c r="L1208" i="1"/>
  <c r="A1209" i="1"/>
  <c r="B1209" i="1"/>
  <c r="C1209" i="1"/>
  <c r="D1209" i="1"/>
  <c r="Q1209" i="1"/>
  <c r="R1209" i="1"/>
  <c r="E1209" i="1"/>
  <c r="G1209" i="1"/>
  <c r="H1209" i="1"/>
  <c r="J1209" i="1"/>
  <c r="K1209" i="1"/>
  <c r="L1209" i="1"/>
  <c r="A1210" i="1"/>
  <c r="B1210" i="1"/>
  <c r="C1210" i="1"/>
  <c r="D1210" i="1"/>
  <c r="Q1210" i="1"/>
  <c r="R1210" i="1"/>
  <c r="E1210" i="1"/>
  <c r="G1210" i="1"/>
  <c r="H1210" i="1"/>
  <c r="J1210" i="1"/>
  <c r="K1210" i="1"/>
  <c r="L1210" i="1"/>
  <c r="A1211" i="1"/>
  <c r="B1211" i="1"/>
  <c r="C1211" i="1"/>
  <c r="D1211" i="1"/>
  <c r="Q1211" i="1"/>
  <c r="R1211" i="1"/>
  <c r="E1211" i="1"/>
  <c r="G1211" i="1"/>
  <c r="H1211" i="1"/>
  <c r="J1211" i="1"/>
  <c r="K1211" i="1"/>
  <c r="L1211" i="1"/>
  <c r="A1212" i="1"/>
  <c r="B1212" i="1"/>
  <c r="C1212" i="1"/>
  <c r="D1212" i="1"/>
  <c r="Q1212" i="1"/>
  <c r="R1212" i="1"/>
  <c r="E1212" i="1"/>
  <c r="G1212" i="1"/>
  <c r="H1212" i="1"/>
  <c r="J1212" i="1"/>
  <c r="K1212" i="1"/>
  <c r="L1212" i="1"/>
  <c r="A1213" i="1"/>
  <c r="B1213" i="1"/>
  <c r="C1213" i="1"/>
  <c r="D1213" i="1"/>
  <c r="Q1213" i="1"/>
  <c r="R1213" i="1"/>
  <c r="E1213" i="1"/>
  <c r="G1213" i="1"/>
  <c r="H1213" i="1"/>
  <c r="J1213" i="1"/>
  <c r="K1213" i="1"/>
  <c r="L1213" i="1"/>
  <c r="A1214" i="1"/>
  <c r="B1214" i="1"/>
  <c r="C1214" i="1"/>
  <c r="D1214" i="1"/>
  <c r="Q1214" i="1"/>
  <c r="R1214" i="1"/>
  <c r="E1214" i="1"/>
  <c r="G1214" i="1"/>
  <c r="H1214" i="1"/>
  <c r="J1214" i="1"/>
  <c r="K1214" i="1"/>
  <c r="L1214" i="1"/>
  <c r="A1215" i="1"/>
  <c r="B1215" i="1"/>
  <c r="C1215" i="1"/>
  <c r="D1215" i="1"/>
  <c r="Q1215" i="1"/>
  <c r="R1215" i="1"/>
  <c r="E1215" i="1"/>
  <c r="G1215" i="1"/>
  <c r="H1215" i="1"/>
  <c r="J1215" i="1"/>
  <c r="K1215" i="1"/>
  <c r="L1215" i="1"/>
  <c r="A1216" i="1"/>
  <c r="B1216" i="1"/>
  <c r="C1216" i="1"/>
  <c r="D1216" i="1"/>
  <c r="Q1216" i="1"/>
  <c r="R1216" i="1"/>
  <c r="E1216" i="1"/>
  <c r="G1216" i="1"/>
  <c r="H1216" i="1"/>
  <c r="J1216" i="1"/>
  <c r="K1216" i="1"/>
  <c r="L1216" i="1"/>
  <c r="A1217" i="1"/>
  <c r="B1217" i="1"/>
  <c r="C1217" i="1"/>
  <c r="D1217" i="1"/>
  <c r="Q1217" i="1"/>
  <c r="R1217" i="1"/>
  <c r="E1217" i="1"/>
  <c r="G1217" i="1"/>
  <c r="H1217" i="1"/>
  <c r="J1217" i="1"/>
  <c r="K1217" i="1"/>
  <c r="L1217" i="1"/>
  <c r="A1218" i="1"/>
  <c r="B1218" i="1"/>
  <c r="C1218" i="1"/>
  <c r="D1218" i="1"/>
  <c r="Q1218" i="1"/>
  <c r="R1218" i="1"/>
  <c r="E1218" i="1"/>
  <c r="G1218" i="1"/>
  <c r="H1218" i="1"/>
  <c r="J1218" i="1"/>
  <c r="K1218" i="1"/>
  <c r="L1218" i="1"/>
  <c r="A1219" i="1"/>
  <c r="B1219" i="1"/>
  <c r="C1219" i="1"/>
  <c r="D1219" i="1"/>
  <c r="Q1219" i="1"/>
  <c r="R1219" i="1"/>
  <c r="E1219" i="1"/>
  <c r="G1219" i="1"/>
  <c r="H1219" i="1"/>
  <c r="J1219" i="1"/>
  <c r="K1219" i="1"/>
  <c r="L1219" i="1"/>
  <c r="A1220" i="1"/>
  <c r="B1220" i="1"/>
  <c r="C1220" i="1"/>
  <c r="D1220" i="1"/>
  <c r="Q1220" i="1"/>
  <c r="R1220" i="1"/>
  <c r="E1220" i="1"/>
  <c r="G1220" i="1"/>
  <c r="H1220" i="1"/>
  <c r="J1220" i="1"/>
  <c r="K1220" i="1"/>
  <c r="L1220" i="1"/>
  <c r="A1221" i="1"/>
  <c r="B1221" i="1"/>
  <c r="C1221" i="1"/>
  <c r="D1221" i="1"/>
  <c r="Q1221" i="1"/>
  <c r="R1221" i="1"/>
  <c r="E1221" i="1"/>
  <c r="G1221" i="1"/>
  <c r="H1221" i="1"/>
  <c r="J1221" i="1"/>
  <c r="K1221" i="1"/>
  <c r="L1221" i="1"/>
  <c r="A1222" i="1"/>
  <c r="B1222" i="1"/>
  <c r="C1222" i="1"/>
  <c r="D1222" i="1"/>
  <c r="Q1222" i="1"/>
  <c r="R1222" i="1"/>
  <c r="E1222" i="1"/>
  <c r="G1222" i="1"/>
  <c r="H1222" i="1"/>
  <c r="J1222" i="1"/>
  <c r="K1222" i="1"/>
  <c r="L1222" i="1"/>
  <c r="A1223" i="1"/>
  <c r="B1223" i="1"/>
  <c r="C1223" i="1"/>
  <c r="D1223" i="1"/>
  <c r="Q1223" i="1"/>
  <c r="R1223" i="1"/>
  <c r="E1223" i="1"/>
  <c r="G1223" i="1"/>
  <c r="H1223" i="1"/>
  <c r="J1223" i="1"/>
  <c r="K1223" i="1"/>
  <c r="L1223" i="1"/>
  <c r="A1224" i="1"/>
  <c r="B1224" i="1"/>
  <c r="C1224" i="1"/>
  <c r="D1224" i="1"/>
  <c r="Q1224" i="1"/>
  <c r="R1224" i="1"/>
  <c r="E1224" i="1"/>
  <c r="G1224" i="1"/>
  <c r="H1224" i="1"/>
  <c r="J1224" i="1"/>
  <c r="K1224" i="1"/>
  <c r="L1224" i="1"/>
  <c r="A1225" i="1"/>
  <c r="B1225" i="1"/>
  <c r="C1225" i="1"/>
  <c r="D1225" i="1"/>
  <c r="Q1225" i="1"/>
  <c r="R1225" i="1"/>
  <c r="E1225" i="1"/>
  <c r="G1225" i="1"/>
  <c r="H1225" i="1"/>
  <c r="J1225" i="1"/>
  <c r="K1225" i="1"/>
  <c r="L1225" i="1"/>
  <c r="A1226" i="1"/>
  <c r="B1226" i="1"/>
  <c r="C1226" i="1"/>
  <c r="D1226" i="1"/>
  <c r="Q1226" i="1"/>
  <c r="R1226" i="1"/>
  <c r="E1226" i="1"/>
  <c r="G1226" i="1"/>
  <c r="H1226" i="1"/>
  <c r="J1226" i="1"/>
  <c r="K1226" i="1"/>
  <c r="L1226" i="1"/>
  <c r="A1227" i="1"/>
  <c r="B1227" i="1"/>
  <c r="C1227" i="1"/>
  <c r="D1227" i="1"/>
  <c r="Q1227" i="1"/>
  <c r="R1227" i="1"/>
  <c r="E1227" i="1"/>
  <c r="G1227" i="1"/>
  <c r="H1227" i="1"/>
  <c r="J1227" i="1"/>
  <c r="K1227" i="1"/>
  <c r="L1227" i="1"/>
  <c r="A1228" i="1"/>
  <c r="B1228" i="1"/>
  <c r="C1228" i="1"/>
  <c r="D1228" i="1"/>
  <c r="Q1228" i="1"/>
  <c r="R1228" i="1"/>
  <c r="E1228" i="1"/>
  <c r="G1228" i="1"/>
  <c r="H1228" i="1"/>
  <c r="J1228" i="1"/>
  <c r="K1228" i="1"/>
  <c r="L1228" i="1"/>
  <c r="A1229" i="1"/>
  <c r="B1229" i="1"/>
  <c r="C1229" i="1"/>
  <c r="D1229" i="1"/>
  <c r="Q1229" i="1"/>
  <c r="R1229" i="1"/>
  <c r="E1229" i="1"/>
  <c r="G1229" i="1"/>
  <c r="H1229" i="1"/>
  <c r="J1229" i="1"/>
  <c r="K1229" i="1"/>
  <c r="L1229" i="1"/>
  <c r="A1230" i="1"/>
  <c r="B1230" i="1"/>
  <c r="C1230" i="1"/>
  <c r="D1230" i="1"/>
  <c r="Q1230" i="1"/>
  <c r="R1230" i="1"/>
  <c r="E1230" i="1"/>
  <c r="G1230" i="1"/>
  <c r="H1230" i="1"/>
  <c r="J1230" i="1"/>
  <c r="K1230" i="1"/>
  <c r="L1230" i="1"/>
  <c r="A1231" i="1"/>
  <c r="B1231" i="1"/>
  <c r="C1231" i="1"/>
  <c r="D1231" i="1"/>
  <c r="Q1231" i="1"/>
  <c r="R1231" i="1"/>
  <c r="E1231" i="1"/>
  <c r="G1231" i="1"/>
  <c r="H1231" i="1"/>
  <c r="J1231" i="1"/>
  <c r="K1231" i="1"/>
  <c r="L1231" i="1"/>
  <c r="A1232" i="1"/>
  <c r="B1232" i="1"/>
  <c r="C1232" i="1"/>
  <c r="D1232" i="1"/>
  <c r="Q1232" i="1"/>
  <c r="R1232" i="1"/>
  <c r="E1232" i="1"/>
  <c r="G1232" i="1"/>
  <c r="H1232" i="1"/>
  <c r="J1232" i="1"/>
  <c r="K1232" i="1"/>
  <c r="L1232" i="1"/>
  <c r="A1233" i="1"/>
  <c r="B1233" i="1"/>
  <c r="C1233" i="1"/>
  <c r="D1233" i="1"/>
  <c r="Q1233" i="1"/>
  <c r="R1233" i="1"/>
  <c r="E1233" i="1"/>
  <c r="G1233" i="1"/>
  <c r="H1233" i="1"/>
  <c r="J1233" i="1"/>
  <c r="K1233" i="1"/>
  <c r="L1233" i="1"/>
  <c r="A1234" i="1"/>
  <c r="B1234" i="1"/>
  <c r="C1234" i="1"/>
  <c r="D1234" i="1"/>
  <c r="Q1234" i="1"/>
  <c r="R1234" i="1"/>
  <c r="E1234" i="1"/>
  <c r="G1234" i="1"/>
  <c r="H1234" i="1"/>
  <c r="J1234" i="1"/>
  <c r="K1234" i="1"/>
  <c r="L1234" i="1"/>
  <c r="A1235" i="1"/>
  <c r="B1235" i="1"/>
  <c r="C1235" i="1"/>
  <c r="D1235" i="1"/>
  <c r="Q1235" i="1"/>
  <c r="R1235" i="1"/>
  <c r="E1235" i="1"/>
  <c r="G1235" i="1"/>
  <c r="H1235" i="1"/>
  <c r="J1235" i="1"/>
  <c r="K1235" i="1"/>
  <c r="L1235" i="1"/>
  <c r="A1236" i="1"/>
  <c r="B1236" i="1"/>
  <c r="C1236" i="1"/>
  <c r="D1236" i="1"/>
  <c r="Q1236" i="1"/>
  <c r="R1236" i="1"/>
  <c r="E1236" i="1"/>
  <c r="G1236" i="1"/>
  <c r="H1236" i="1"/>
  <c r="J1236" i="1"/>
  <c r="K1236" i="1"/>
  <c r="L1236" i="1"/>
  <c r="A1237" i="1"/>
  <c r="B1237" i="1"/>
  <c r="C1237" i="1"/>
  <c r="D1237" i="1"/>
  <c r="Q1237" i="1"/>
  <c r="R1237" i="1"/>
  <c r="E1237" i="1"/>
  <c r="G1237" i="1"/>
  <c r="H1237" i="1"/>
  <c r="J1237" i="1"/>
  <c r="K1237" i="1"/>
  <c r="L1237" i="1"/>
  <c r="A1238" i="1"/>
  <c r="B1238" i="1"/>
  <c r="C1238" i="1"/>
  <c r="D1238" i="1"/>
  <c r="Q1238" i="1"/>
  <c r="R1238" i="1"/>
  <c r="E1238" i="1"/>
  <c r="G1238" i="1"/>
  <c r="H1238" i="1"/>
  <c r="J1238" i="1"/>
  <c r="K1238" i="1"/>
  <c r="L1238" i="1"/>
  <c r="A1239" i="1"/>
  <c r="B1239" i="1"/>
  <c r="C1239" i="1"/>
  <c r="D1239" i="1"/>
  <c r="Q1239" i="1"/>
  <c r="R1239" i="1"/>
  <c r="E1239" i="1"/>
  <c r="G1239" i="1"/>
  <c r="H1239" i="1"/>
  <c r="J1239" i="1"/>
  <c r="K1239" i="1"/>
  <c r="L1239" i="1"/>
  <c r="A1240" i="1"/>
  <c r="B1240" i="1"/>
  <c r="C1240" i="1"/>
  <c r="D1240" i="1"/>
  <c r="Q1240" i="1"/>
  <c r="R1240" i="1"/>
  <c r="E1240" i="1"/>
  <c r="G1240" i="1"/>
  <c r="H1240" i="1"/>
  <c r="J1240" i="1"/>
  <c r="K1240" i="1"/>
  <c r="L1240" i="1"/>
  <c r="A1241" i="1"/>
  <c r="B1241" i="1"/>
  <c r="C1241" i="1"/>
  <c r="D1241" i="1"/>
  <c r="Q1241" i="1"/>
  <c r="R1241" i="1"/>
  <c r="E1241" i="1"/>
  <c r="G1241" i="1"/>
  <c r="H1241" i="1"/>
  <c r="J1241" i="1"/>
  <c r="K1241" i="1"/>
  <c r="L1241" i="1"/>
  <c r="A1242" i="1"/>
  <c r="B1242" i="1"/>
  <c r="C1242" i="1"/>
  <c r="D1242" i="1"/>
  <c r="Q1242" i="1"/>
  <c r="R1242" i="1"/>
  <c r="E1242" i="1"/>
  <c r="G1242" i="1"/>
  <c r="H1242" i="1"/>
  <c r="J1242" i="1"/>
  <c r="K1242" i="1"/>
  <c r="L1242" i="1"/>
  <c r="A1243" i="1"/>
  <c r="B1243" i="1"/>
  <c r="C1243" i="1"/>
  <c r="D1243" i="1"/>
  <c r="Q1243" i="1"/>
  <c r="R1243" i="1"/>
  <c r="E1243" i="1"/>
  <c r="G1243" i="1"/>
  <c r="H1243" i="1"/>
  <c r="J1243" i="1"/>
  <c r="K1243" i="1"/>
  <c r="L1243" i="1"/>
  <c r="A1244" i="1"/>
  <c r="B1244" i="1"/>
  <c r="C1244" i="1"/>
  <c r="D1244" i="1"/>
  <c r="Q1244" i="1"/>
  <c r="R1244" i="1"/>
  <c r="E1244" i="1"/>
  <c r="G1244" i="1"/>
  <c r="H1244" i="1"/>
  <c r="J1244" i="1"/>
  <c r="K1244" i="1"/>
  <c r="L1244" i="1"/>
  <c r="A1245" i="1"/>
  <c r="B1245" i="1"/>
  <c r="C1245" i="1"/>
  <c r="D1245" i="1"/>
  <c r="Q1245" i="1"/>
  <c r="R1245" i="1"/>
  <c r="E1245" i="1"/>
  <c r="G1245" i="1"/>
  <c r="H1245" i="1"/>
  <c r="J1245" i="1"/>
  <c r="K1245" i="1"/>
  <c r="L1245" i="1"/>
  <c r="A1246" i="1"/>
  <c r="B1246" i="1"/>
  <c r="C1246" i="1"/>
  <c r="D1246" i="1"/>
  <c r="Q1246" i="1"/>
  <c r="R1246" i="1"/>
  <c r="E1246" i="1"/>
  <c r="G1246" i="1"/>
  <c r="H1246" i="1"/>
  <c r="J1246" i="1"/>
  <c r="K1246" i="1"/>
  <c r="L1246" i="1"/>
  <c r="A1247" i="1"/>
  <c r="B1247" i="1"/>
  <c r="C1247" i="1"/>
  <c r="D1247" i="1"/>
  <c r="Q1247" i="1"/>
  <c r="R1247" i="1"/>
  <c r="E1247" i="1"/>
  <c r="G1247" i="1"/>
  <c r="H1247" i="1"/>
  <c r="J1247" i="1"/>
  <c r="K1247" i="1"/>
  <c r="L1247" i="1"/>
  <c r="A1248" i="1"/>
  <c r="B1248" i="1"/>
  <c r="C1248" i="1"/>
  <c r="D1248" i="1"/>
  <c r="Q1248" i="1"/>
  <c r="R1248" i="1"/>
  <c r="E1248" i="1"/>
  <c r="G1248" i="1"/>
  <c r="H1248" i="1"/>
  <c r="J1248" i="1"/>
  <c r="K1248" i="1"/>
  <c r="L1248" i="1"/>
  <c r="A1249" i="1"/>
  <c r="B1249" i="1"/>
  <c r="C1249" i="1"/>
  <c r="D1249" i="1"/>
  <c r="Q1249" i="1"/>
  <c r="R1249" i="1"/>
  <c r="E1249" i="1"/>
  <c r="G1249" i="1"/>
  <c r="H1249" i="1"/>
  <c r="J1249" i="1"/>
  <c r="K1249" i="1"/>
  <c r="L1249" i="1"/>
  <c r="A1250" i="1"/>
  <c r="B1250" i="1"/>
  <c r="C1250" i="1"/>
  <c r="D1250" i="1"/>
  <c r="Q1250" i="1"/>
  <c r="R1250" i="1"/>
  <c r="E1250" i="1"/>
  <c r="G1250" i="1"/>
  <c r="H1250" i="1"/>
  <c r="J1250" i="1"/>
  <c r="K1250" i="1"/>
  <c r="L1250" i="1"/>
  <c r="A1251" i="1"/>
  <c r="B1251" i="1"/>
  <c r="C1251" i="1"/>
  <c r="D1251" i="1"/>
  <c r="Q1251" i="1"/>
  <c r="R1251" i="1"/>
  <c r="E1251" i="1"/>
  <c r="G1251" i="1"/>
  <c r="H1251" i="1"/>
  <c r="J1251" i="1"/>
  <c r="K1251" i="1"/>
  <c r="L1251" i="1"/>
  <c r="A1252" i="1"/>
  <c r="B1252" i="1"/>
  <c r="C1252" i="1"/>
  <c r="D1252" i="1"/>
  <c r="Q1252" i="1"/>
  <c r="R1252" i="1"/>
  <c r="E1252" i="1"/>
  <c r="G1252" i="1"/>
  <c r="H1252" i="1"/>
  <c r="J1252" i="1"/>
  <c r="K1252" i="1"/>
  <c r="L1252" i="1"/>
  <c r="A1253" i="1"/>
  <c r="B1253" i="1"/>
  <c r="C1253" i="1"/>
  <c r="D1253" i="1"/>
  <c r="Q1253" i="1"/>
  <c r="R1253" i="1"/>
  <c r="E1253" i="1"/>
  <c r="G1253" i="1"/>
  <c r="H1253" i="1"/>
  <c r="J1253" i="1"/>
  <c r="K1253" i="1"/>
  <c r="L1253" i="1"/>
  <c r="A1254" i="1"/>
  <c r="B1254" i="1"/>
  <c r="C1254" i="1"/>
  <c r="D1254" i="1"/>
  <c r="Q1254" i="1"/>
  <c r="R1254" i="1"/>
  <c r="E1254" i="1"/>
  <c r="G1254" i="1"/>
  <c r="H1254" i="1"/>
  <c r="J1254" i="1"/>
  <c r="K1254" i="1"/>
  <c r="L1254" i="1"/>
  <c r="A1255" i="1"/>
  <c r="B1255" i="1"/>
  <c r="C1255" i="1"/>
  <c r="D1255" i="1"/>
  <c r="Q1255" i="1"/>
  <c r="R1255" i="1"/>
  <c r="E1255" i="1"/>
  <c r="F1255" i="1"/>
  <c r="G1255" i="1"/>
  <c r="H1255" i="1"/>
  <c r="J1255" i="1"/>
  <c r="K1255" i="1"/>
  <c r="L1255" i="1"/>
  <c r="A1256" i="1"/>
  <c r="B1256" i="1"/>
  <c r="C1256" i="1"/>
  <c r="D1256" i="1"/>
  <c r="Q1256" i="1"/>
  <c r="R1256" i="1"/>
  <c r="E1256" i="1"/>
  <c r="F1256" i="1"/>
  <c r="G1256" i="1"/>
  <c r="H1256" i="1"/>
  <c r="J1256" i="1"/>
  <c r="K1256" i="1"/>
  <c r="L1256" i="1"/>
  <c r="A1257" i="1"/>
  <c r="B1257" i="1"/>
  <c r="C1257" i="1"/>
  <c r="D1257" i="1"/>
  <c r="Q1257" i="1"/>
  <c r="R1257" i="1"/>
  <c r="E1257" i="1"/>
  <c r="G1257" i="1"/>
  <c r="H1257" i="1"/>
  <c r="J1257" i="1"/>
  <c r="K1257" i="1"/>
  <c r="L1257" i="1"/>
  <c r="A1258" i="1"/>
  <c r="B1258" i="1"/>
  <c r="C1258" i="1"/>
  <c r="D1258" i="1"/>
  <c r="Q1258" i="1"/>
  <c r="R1258" i="1"/>
  <c r="E1258" i="1"/>
  <c r="G1258" i="1"/>
  <c r="H1258" i="1"/>
  <c r="J1258" i="1"/>
  <c r="K1258" i="1"/>
  <c r="L1258" i="1"/>
  <c r="A1259" i="1"/>
  <c r="B1259" i="1"/>
  <c r="C1259" i="1"/>
  <c r="D1259" i="1"/>
  <c r="Q1259" i="1"/>
  <c r="R1259" i="1"/>
  <c r="E1259" i="1"/>
  <c r="G1259" i="1"/>
  <c r="H1259" i="1"/>
  <c r="J1259" i="1"/>
  <c r="K1259" i="1"/>
  <c r="L1259" i="1"/>
  <c r="A1260" i="1"/>
  <c r="B1260" i="1"/>
  <c r="C1260" i="1"/>
  <c r="D1260" i="1"/>
  <c r="Q1260" i="1"/>
  <c r="R1260" i="1"/>
  <c r="E1260" i="1"/>
  <c r="G1260" i="1"/>
  <c r="H1260" i="1"/>
  <c r="J1260" i="1"/>
  <c r="K1260" i="1"/>
  <c r="L1260" i="1"/>
  <c r="A1261" i="1"/>
  <c r="B1261" i="1"/>
  <c r="C1261" i="1"/>
  <c r="D1261" i="1"/>
  <c r="Q1261" i="1"/>
  <c r="R1261" i="1"/>
  <c r="E1261" i="1"/>
  <c r="G1261" i="1"/>
  <c r="H1261" i="1"/>
  <c r="J1261" i="1"/>
  <c r="K1261" i="1"/>
  <c r="L1261" i="1"/>
  <c r="A1262" i="1"/>
  <c r="B1262" i="1"/>
  <c r="C1262" i="1"/>
  <c r="D1262" i="1"/>
  <c r="Q1262" i="1"/>
  <c r="R1262" i="1"/>
  <c r="E1262" i="1"/>
  <c r="G1262" i="1"/>
  <c r="H1262" i="1"/>
  <c r="J1262" i="1"/>
  <c r="K1262" i="1"/>
  <c r="L1262" i="1"/>
  <c r="A1263" i="1"/>
  <c r="B1263" i="1"/>
  <c r="C1263" i="1"/>
  <c r="D1263" i="1"/>
  <c r="Q1263" i="1"/>
  <c r="R1263" i="1"/>
  <c r="E1263" i="1"/>
  <c r="G1263" i="1"/>
  <c r="H1263" i="1"/>
  <c r="J1263" i="1"/>
  <c r="K1263" i="1"/>
  <c r="L1263" i="1"/>
  <c r="A1264" i="1"/>
  <c r="B1264" i="1"/>
  <c r="C1264" i="1"/>
  <c r="D1264" i="1"/>
  <c r="Q1264" i="1"/>
  <c r="R1264" i="1"/>
  <c r="E1264" i="1"/>
  <c r="G1264" i="1"/>
  <c r="H1264" i="1"/>
  <c r="J1264" i="1"/>
  <c r="K1264" i="1"/>
  <c r="L1264" i="1"/>
  <c r="A1265" i="1"/>
  <c r="B1265" i="1"/>
  <c r="C1265" i="1"/>
  <c r="D1265" i="1"/>
  <c r="Q1265" i="1"/>
  <c r="R1265" i="1"/>
  <c r="E1265" i="1"/>
  <c r="G1265" i="1"/>
  <c r="H1265" i="1"/>
  <c r="J1265" i="1"/>
  <c r="K1265" i="1"/>
  <c r="L1265" i="1"/>
  <c r="A1266" i="1"/>
  <c r="B1266" i="1"/>
  <c r="C1266" i="1"/>
  <c r="D1266" i="1"/>
  <c r="Q1266" i="1"/>
  <c r="R1266" i="1"/>
  <c r="E1266" i="1"/>
  <c r="G1266" i="1"/>
  <c r="H1266" i="1"/>
  <c r="J1266" i="1"/>
  <c r="K1266" i="1"/>
  <c r="L1266" i="1"/>
  <c r="A1267" i="1"/>
  <c r="B1267" i="1"/>
  <c r="C1267" i="1"/>
  <c r="D1267" i="1"/>
  <c r="Q1267" i="1"/>
  <c r="R1267" i="1"/>
  <c r="E1267" i="1"/>
  <c r="G1267" i="1"/>
  <c r="H1267" i="1"/>
  <c r="J1267" i="1"/>
  <c r="K1267" i="1"/>
  <c r="L1267" i="1"/>
  <c r="A1268" i="1"/>
  <c r="B1268" i="1"/>
  <c r="C1268" i="1"/>
  <c r="D1268" i="1"/>
  <c r="Q1268" i="1"/>
  <c r="R1268" i="1"/>
  <c r="E1268" i="1"/>
  <c r="G1268" i="1"/>
  <c r="H1268" i="1"/>
  <c r="J1268" i="1"/>
  <c r="K1268" i="1"/>
  <c r="L1268" i="1"/>
  <c r="A1269" i="1"/>
  <c r="B1269" i="1"/>
  <c r="C1269" i="1"/>
  <c r="D1269" i="1"/>
  <c r="Q1269" i="1"/>
  <c r="R1269" i="1"/>
  <c r="E1269" i="1"/>
  <c r="G1269" i="1"/>
  <c r="H1269" i="1"/>
  <c r="J1269" i="1"/>
  <c r="K1269" i="1"/>
  <c r="L1269" i="1"/>
  <c r="A1270" i="1"/>
  <c r="B1270" i="1"/>
  <c r="C1270" i="1"/>
  <c r="D1270" i="1"/>
  <c r="Q1270" i="1"/>
  <c r="R1270" i="1"/>
  <c r="E1270" i="1"/>
  <c r="G1270" i="1"/>
  <c r="H1270" i="1"/>
  <c r="J1270" i="1"/>
  <c r="K1270" i="1"/>
  <c r="L1270" i="1"/>
  <c r="A1271" i="1"/>
  <c r="B1271" i="1"/>
  <c r="C1271" i="1"/>
  <c r="D1271" i="1"/>
  <c r="Q1271" i="1"/>
  <c r="R1271" i="1"/>
  <c r="E1271" i="1"/>
  <c r="G1271" i="1"/>
  <c r="H1271" i="1"/>
  <c r="J1271" i="1"/>
  <c r="K1271" i="1"/>
  <c r="L1271" i="1"/>
  <c r="A1272" i="1"/>
  <c r="B1272" i="1"/>
  <c r="C1272" i="1"/>
  <c r="D1272" i="1"/>
  <c r="Q1272" i="1"/>
  <c r="R1272" i="1"/>
  <c r="E1272" i="1"/>
  <c r="G1272" i="1"/>
  <c r="H1272" i="1"/>
  <c r="J1272" i="1"/>
  <c r="K1272" i="1"/>
  <c r="L1272" i="1"/>
  <c r="A1273" i="1"/>
  <c r="B1273" i="1"/>
  <c r="C1273" i="1"/>
  <c r="D1273" i="1"/>
  <c r="Q1273" i="1"/>
  <c r="R1273" i="1"/>
  <c r="E1273" i="1"/>
  <c r="G1273" i="1"/>
  <c r="H1273" i="1"/>
  <c r="J1273" i="1"/>
  <c r="K1273" i="1"/>
  <c r="L1273" i="1"/>
  <c r="A1274" i="1"/>
  <c r="B1274" i="1"/>
  <c r="C1274" i="1"/>
  <c r="D1274" i="1"/>
  <c r="Q1274" i="1"/>
  <c r="R1274" i="1"/>
  <c r="E1274" i="1"/>
  <c r="G1274" i="1"/>
  <c r="H1274" i="1"/>
  <c r="J1274" i="1"/>
  <c r="K1274" i="1"/>
  <c r="L1274" i="1"/>
  <c r="A1275" i="1"/>
  <c r="B1275" i="1"/>
  <c r="C1275" i="1"/>
  <c r="D1275" i="1"/>
  <c r="Q1275" i="1"/>
  <c r="R1275" i="1"/>
  <c r="E1275" i="1"/>
  <c r="G1275" i="1"/>
  <c r="H1275" i="1"/>
  <c r="J1275" i="1"/>
  <c r="K1275" i="1"/>
  <c r="L1275" i="1"/>
  <c r="A1276" i="1"/>
  <c r="B1276" i="1"/>
  <c r="C1276" i="1"/>
  <c r="D1276" i="1"/>
  <c r="Q1276" i="1"/>
  <c r="R1276" i="1"/>
  <c r="E1276" i="1"/>
  <c r="G1276" i="1"/>
  <c r="H1276" i="1"/>
  <c r="J1276" i="1"/>
  <c r="K1276" i="1"/>
  <c r="L1276" i="1"/>
  <c r="A1277" i="1"/>
  <c r="B1277" i="1"/>
  <c r="C1277" i="1"/>
  <c r="D1277" i="1"/>
  <c r="Q1277" i="1"/>
  <c r="R1277" i="1"/>
  <c r="E1277" i="1"/>
  <c r="G1277" i="1"/>
  <c r="H1277" i="1"/>
  <c r="J1277" i="1"/>
  <c r="K1277" i="1"/>
  <c r="L1277" i="1"/>
  <c r="A1278" i="1"/>
  <c r="B1278" i="1"/>
  <c r="C1278" i="1"/>
  <c r="D1278" i="1"/>
  <c r="Q1278" i="1"/>
  <c r="R1278" i="1"/>
  <c r="E1278" i="1"/>
  <c r="G1278" i="1"/>
  <c r="H1278" i="1"/>
  <c r="J1278" i="1"/>
  <c r="K1278" i="1"/>
  <c r="L1278" i="1"/>
  <c r="A1279" i="1"/>
  <c r="B1279" i="1"/>
  <c r="C1279" i="1"/>
  <c r="D1279" i="1"/>
  <c r="Q1279" i="1"/>
  <c r="R1279" i="1"/>
  <c r="E1279" i="1"/>
  <c r="G1279" i="1"/>
  <c r="H1279" i="1"/>
  <c r="J1279" i="1"/>
  <c r="K1279" i="1"/>
  <c r="L1279" i="1"/>
  <c r="A1280" i="1"/>
  <c r="B1280" i="1"/>
  <c r="C1280" i="1"/>
  <c r="D1280" i="1"/>
  <c r="Q1280" i="1"/>
  <c r="R1280" i="1"/>
  <c r="E1280" i="1"/>
  <c r="G1280" i="1"/>
  <c r="H1280" i="1"/>
  <c r="J1280" i="1"/>
  <c r="K1280" i="1"/>
  <c r="L1280" i="1"/>
  <c r="A1281" i="1"/>
  <c r="B1281" i="1"/>
  <c r="C1281" i="1"/>
  <c r="D1281" i="1"/>
  <c r="Q1281" i="1"/>
  <c r="R1281" i="1"/>
  <c r="E1281" i="1"/>
  <c r="G1281" i="1"/>
  <c r="H1281" i="1"/>
  <c r="J1281" i="1"/>
  <c r="K1281" i="1"/>
  <c r="L1281" i="1"/>
  <c r="A1282" i="1"/>
  <c r="B1282" i="1"/>
  <c r="C1282" i="1"/>
  <c r="D1282" i="1"/>
  <c r="Q1282" i="1"/>
  <c r="R1282" i="1"/>
  <c r="E1282" i="1"/>
  <c r="G1282" i="1"/>
  <c r="H1282" i="1"/>
  <c r="J1282" i="1"/>
  <c r="K1282" i="1"/>
  <c r="L1282" i="1"/>
  <c r="A1283" i="1"/>
  <c r="B1283" i="1"/>
  <c r="C1283" i="1"/>
  <c r="D1283" i="1"/>
  <c r="Q1283" i="1"/>
  <c r="R1283" i="1"/>
  <c r="E1283" i="1"/>
  <c r="G1283" i="1"/>
  <c r="H1283" i="1"/>
  <c r="J1283" i="1"/>
  <c r="K1283" i="1"/>
  <c r="L1283" i="1"/>
  <c r="A1284" i="1"/>
  <c r="B1284" i="1"/>
  <c r="C1284" i="1"/>
  <c r="D1284" i="1"/>
  <c r="Q1284" i="1"/>
  <c r="R1284" i="1"/>
  <c r="E1284" i="1"/>
  <c r="G1284" i="1"/>
  <c r="H1284" i="1"/>
  <c r="J1284" i="1"/>
  <c r="K1284" i="1"/>
  <c r="L1284" i="1"/>
  <c r="A1285" i="1"/>
  <c r="B1285" i="1"/>
  <c r="C1285" i="1"/>
  <c r="D1285" i="1"/>
  <c r="Q1285" i="1"/>
  <c r="R1285" i="1"/>
  <c r="E1285" i="1"/>
  <c r="G1285" i="1"/>
  <c r="H1285" i="1"/>
  <c r="J1285" i="1"/>
  <c r="K1285" i="1"/>
  <c r="L1285" i="1"/>
  <c r="A1286" i="1"/>
  <c r="B1286" i="1"/>
  <c r="C1286" i="1"/>
  <c r="D1286" i="1"/>
  <c r="Q1286" i="1"/>
  <c r="R1286" i="1"/>
  <c r="E1286" i="1"/>
  <c r="G1286" i="1"/>
  <c r="H1286" i="1"/>
  <c r="J1286" i="1"/>
  <c r="K1286" i="1"/>
  <c r="L1286" i="1"/>
  <c r="A1287" i="1"/>
  <c r="B1287" i="1"/>
  <c r="C1287" i="1"/>
  <c r="D1287" i="1"/>
  <c r="Q1287" i="1"/>
  <c r="R1287" i="1"/>
  <c r="E1287" i="1"/>
  <c r="G1287" i="1"/>
  <c r="H1287" i="1"/>
  <c r="J1287" i="1"/>
  <c r="K1287" i="1"/>
  <c r="L1287" i="1"/>
  <c r="A1288" i="1"/>
  <c r="B1288" i="1"/>
  <c r="C1288" i="1"/>
  <c r="D1288" i="1"/>
  <c r="Q1288" i="1"/>
  <c r="R1288" i="1"/>
  <c r="E1288" i="1"/>
  <c r="G1288" i="1"/>
  <c r="H1288" i="1"/>
  <c r="J1288" i="1"/>
  <c r="K1288" i="1"/>
  <c r="L1288" i="1"/>
  <c r="A1289" i="1"/>
  <c r="B1289" i="1"/>
  <c r="C1289" i="1"/>
  <c r="D1289" i="1"/>
  <c r="Q1289" i="1"/>
  <c r="R1289" i="1"/>
  <c r="E1289" i="1"/>
  <c r="G1289" i="1"/>
  <c r="H1289" i="1"/>
  <c r="J1289" i="1"/>
  <c r="K1289" i="1"/>
  <c r="L1289" i="1"/>
  <c r="A1290" i="1"/>
  <c r="B1290" i="1"/>
  <c r="C1290" i="1"/>
  <c r="D1290" i="1"/>
  <c r="Q1290" i="1"/>
  <c r="R1290" i="1"/>
  <c r="E1290" i="1"/>
  <c r="G1290" i="1"/>
  <c r="H1290" i="1"/>
  <c r="J1290" i="1"/>
  <c r="K1290" i="1"/>
  <c r="L1290" i="1"/>
  <c r="A1291" i="1"/>
  <c r="B1291" i="1"/>
  <c r="C1291" i="1"/>
  <c r="D1291" i="1"/>
  <c r="Q1291" i="1"/>
  <c r="R1291" i="1"/>
  <c r="E1291" i="1"/>
  <c r="G1291" i="1"/>
  <c r="H1291" i="1"/>
  <c r="J1291" i="1"/>
  <c r="K1291" i="1"/>
  <c r="L1291" i="1"/>
  <c r="A1292" i="1"/>
  <c r="B1292" i="1"/>
  <c r="C1292" i="1"/>
  <c r="D1292" i="1"/>
  <c r="Q1292" i="1"/>
  <c r="R1292" i="1"/>
  <c r="E1292" i="1"/>
  <c r="G1292" i="1"/>
  <c r="H1292" i="1"/>
  <c r="J1292" i="1"/>
  <c r="K1292" i="1"/>
  <c r="L1292" i="1"/>
  <c r="A1293" i="1"/>
  <c r="B1293" i="1"/>
  <c r="C1293" i="1"/>
  <c r="D1293" i="1"/>
  <c r="Q1293" i="1"/>
  <c r="R1293" i="1"/>
  <c r="E1293" i="1"/>
  <c r="G1293" i="1"/>
  <c r="H1293" i="1"/>
  <c r="J1293" i="1"/>
  <c r="K1293" i="1"/>
  <c r="L1293" i="1"/>
  <c r="A1294" i="1"/>
  <c r="B1294" i="1"/>
  <c r="C1294" i="1"/>
  <c r="D1294" i="1"/>
  <c r="Q1294" i="1"/>
  <c r="R1294" i="1"/>
  <c r="E1294" i="1"/>
  <c r="G1294" i="1"/>
  <c r="H1294" i="1"/>
  <c r="J1294" i="1"/>
  <c r="K1294" i="1"/>
  <c r="L1294" i="1"/>
  <c r="A1295" i="1"/>
  <c r="B1295" i="1"/>
  <c r="C1295" i="1"/>
  <c r="D1295" i="1"/>
  <c r="Q1295" i="1"/>
  <c r="R1295" i="1"/>
  <c r="E1295" i="1"/>
  <c r="G1295" i="1"/>
  <c r="H1295" i="1"/>
  <c r="J1295" i="1"/>
  <c r="K1295" i="1"/>
  <c r="L1295" i="1"/>
  <c r="A1296" i="1"/>
  <c r="B1296" i="1"/>
  <c r="C1296" i="1"/>
  <c r="D1296" i="1"/>
  <c r="Q1296" i="1"/>
  <c r="R1296" i="1"/>
  <c r="E1296" i="1"/>
  <c r="G1296" i="1"/>
  <c r="H1296" i="1"/>
  <c r="J1296" i="1"/>
  <c r="K1296" i="1"/>
  <c r="L1296" i="1"/>
  <c r="A1297" i="1"/>
  <c r="B1297" i="1"/>
  <c r="C1297" i="1"/>
  <c r="D1297" i="1"/>
  <c r="Q1297" i="1"/>
  <c r="R1297" i="1"/>
  <c r="E1297" i="1"/>
  <c r="G1297" i="1"/>
  <c r="H1297" i="1"/>
  <c r="J1297" i="1"/>
  <c r="K1297" i="1"/>
  <c r="L1297" i="1"/>
  <c r="A1298" i="1"/>
  <c r="B1298" i="1"/>
  <c r="C1298" i="1"/>
  <c r="D1298" i="1"/>
  <c r="Q1298" i="1"/>
  <c r="R1298" i="1"/>
  <c r="E1298" i="1"/>
  <c r="G1298" i="1"/>
  <c r="H1298" i="1"/>
  <c r="J1298" i="1"/>
  <c r="K1298" i="1"/>
  <c r="L1298" i="1"/>
  <c r="A1299" i="1"/>
  <c r="B1299" i="1"/>
  <c r="C1299" i="1"/>
  <c r="D1299" i="1"/>
  <c r="Q1299" i="1"/>
  <c r="R1299" i="1"/>
  <c r="E1299" i="1"/>
  <c r="G1299" i="1"/>
  <c r="H1299" i="1"/>
  <c r="J1299" i="1"/>
  <c r="K1299" i="1"/>
  <c r="L1299" i="1"/>
  <c r="A1300" i="1"/>
  <c r="B1300" i="1"/>
  <c r="C1300" i="1"/>
  <c r="D1300" i="1"/>
  <c r="Q1300" i="1"/>
  <c r="R1300" i="1"/>
  <c r="E1300" i="1"/>
  <c r="G1300" i="1"/>
  <c r="H1300" i="1"/>
  <c r="J1300" i="1"/>
  <c r="K1300" i="1"/>
  <c r="L1300" i="1"/>
  <c r="A1301" i="1"/>
  <c r="B1301" i="1"/>
  <c r="C1301" i="1"/>
  <c r="D1301" i="1"/>
  <c r="Q1301" i="1"/>
  <c r="R1301" i="1"/>
  <c r="E1301" i="1"/>
  <c r="G1301" i="1"/>
  <c r="H1301" i="1"/>
  <c r="J1301" i="1"/>
  <c r="K1301" i="1"/>
  <c r="L1301" i="1"/>
  <c r="A1302" i="1"/>
  <c r="B1302" i="1"/>
  <c r="C1302" i="1"/>
  <c r="D1302" i="1"/>
  <c r="Q1302" i="1"/>
  <c r="R1302" i="1"/>
  <c r="E1302" i="1"/>
  <c r="G1302" i="1"/>
  <c r="H1302" i="1"/>
  <c r="J1302" i="1"/>
  <c r="K1302" i="1"/>
  <c r="L1302" i="1"/>
  <c r="A1303" i="1"/>
  <c r="B1303" i="1"/>
  <c r="C1303" i="1"/>
  <c r="D1303" i="1"/>
  <c r="Q1303" i="1"/>
  <c r="R1303" i="1"/>
  <c r="E1303" i="1"/>
  <c r="G1303" i="1"/>
  <c r="H1303" i="1"/>
  <c r="J1303" i="1"/>
  <c r="K1303" i="1"/>
  <c r="L1303" i="1"/>
  <c r="A1304" i="1"/>
  <c r="B1304" i="1"/>
  <c r="C1304" i="1"/>
  <c r="D1304" i="1"/>
  <c r="Q1304" i="1"/>
  <c r="R1304" i="1"/>
  <c r="E1304" i="1"/>
  <c r="G1304" i="1"/>
  <c r="H1304" i="1"/>
  <c r="J1304" i="1"/>
  <c r="K1304" i="1"/>
  <c r="L1304" i="1"/>
  <c r="A1305" i="1"/>
  <c r="B1305" i="1"/>
  <c r="C1305" i="1"/>
  <c r="D1305" i="1"/>
  <c r="Q1305" i="1"/>
  <c r="R1305" i="1"/>
  <c r="E1305" i="1"/>
  <c r="G1305" i="1"/>
  <c r="H1305" i="1"/>
  <c r="J1305" i="1"/>
  <c r="K1305" i="1"/>
  <c r="L1305" i="1"/>
  <c r="A1306" i="1"/>
  <c r="B1306" i="1"/>
  <c r="C1306" i="1"/>
  <c r="D1306" i="1"/>
  <c r="Q1306" i="1"/>
  <c r="R1306" i="1"/>
  <c r="E1306" i="1"/>
  <c r="G1306" i="1"/>
  <c r="H1306" i="1"/>
  <c r="J1306" i="1"/>
  <c r="K1306" i="1"/>
  <c r="L1306" i="1"/>
  <c r="A1307" i="1"/>
  <c r="B1307" i="1"/>
  <c r="C1307" i="1"/>
  <c r="D1307" i="1"/>
  <c r="Q1307" i="1"/>
  <c r="R1307" i="1"/>
  <c r="E1307" i="1"/>
  <c r="G1307" i="1"/>
  <c r="H1307" i="1"/>
  <c r="J1307" i="1"/>
  <c r="K1307" i="1"/>
  <c r="L1307" i="1"/>
  <c r="A1308" i="1"/>
  <c r="B1308" i="1"/>
  <c r="C1308" i="1"/>
  <c r="D1308" i="1"/>
  <c r="Q1308" i="1"/>
  <c r="R1308" i="1"/>
  <c r="E1308" i="1"/>
  <c r="G1308" i="1"/>
  <c r="H1308" i="1"/>
  <c r="J1308" i="1"/>
  <c r="K1308" i="1"/>
  <c r="L1308" i="1"/>
  <c r="A1309" i="1"/>
  <c r="B1309" i="1"/>
  <c r="C1309" i="1"/>
  <c r="D1309" i="1"/>
  <c r="Q1309" i="1"/>
  <c r="R1309" i="1"/>
  <c r="E1309" i="1"/>
  <c r="G1309" i="1"/>
  <c r="H1309" i="1"/>
  <c r="J1309" i="1"/>
  <c r="K1309" i="1"/>
  <c r="L1309" i="1"/>
  <c r="A1310" i="1"/>
  <c r="B1310" i="1"/>
  <c r="C1310" i="1"/>
  <c r="D1310" i="1"/>
  <c r="Q1310" i="1"/>
  <c r="R1310" i="1"/>
  <c r="E1310" i="1"/>
  <c r="G1310" i="1"/>
  <c r="H1310" i="1"/>
  <c r="J1310" i="1"/>
  <c r="K1310" i="1"/>
  <c r="L1310" i="1"/>
  <c r="A1311" i="1"/>
  <c r="B1311" i="1"/>
  <c r="C1311" i="1"/>
  <c r="D1311" i="1"/>
  <c r="Q1311" i="1"/>
  <c r="R1311" i="1"/>
  <c r="E1311" i="1"/>
  <c r="G1311" i="1"/>
  <c r="H1311" i="1"/>
  <c r="J1311" i="1"/>
  <c r="K1311" i="1"/>
  <c r="L1311" i="1"/>
  <c r="A1312" i="1"/>
  <c r="B1312" i="1"/>
  <c r="C1312" i="1"/>
  <c r="D1312" i="1"/>
  <c r="Q1312" i="1"/>
  <c r="R1312" i="1"/>
  <c r="E1312" i="1"/>
  <c r="G1312" i="1"/>
  <c r="H1312" i="1"/>
  <c r="J1312" i="1"/>
  <c r="K1312" i="1"/>
  <c r="L1312" i="1"/>
  <c r="A1313" i="1"/>
  <c r="B1313" i="1"/>
  <c r="C1313" i="1"/>
  <c r="D1313" i="1"/>
  <c r="Q1313" i="1"/>
  <c r="R1313" i="1"/>
  <c r="E1313" i="1"/>
  <c r="G1313" i="1"/>
  <c r="H1313" i="1"/>
  <c r="J1313" i="1"/>
  <c r="K1313" i="1"/>
  <c r="L1313" i="1"/>
  <c r="A1314" i="1"/>
  <c r="B1314" i="1"/>
  <c r="C1314" i="1"/>
  <c r="D1314" i="1"/>
  <c r="Q1314" i="1"/>
  <c r="R1314" i="1"/>
  <c r="E1314" i="1"/>
  <c r="G1314" i="1"/>
  <c r="H1314" i="1"/>
  <c r="J1314" i="1"/>
  <c r="K1314" i="1"/>
  <c r="L1314" i="1"/>
  <c r="A1315" i="1"/>
  <c r="B1315" i="1"/>
  <c r="C1315" i="1"/>
  <c r="D1315" i="1"/>
  <c r="Q1315" i="1"/>
  <c r="R1315" i="1"/>
  <c r="E1315" i="1"/>
  <c r="G1315" i="1"/>
  <c r="H1315" i="1"/>
  <c r="J1315" i="1"/>
  <c r="K1315" i="1"/>
  <c r="L1315" i="1"/>
  <c r="A1316" i="1"/>
  <c r="B1316" i="1"/>
  <c r="C1316" i="1"/>
  <c r="D1316" i="1"/>
  <c r="Q1316" i="1"/>
  <c r="R1316" i="1"/>
  <c r="E1316" i="1"/>
  <c r="G1316" i="1"/>
  <c r="H1316" i="1"/>
  <c r="J1316" i="1"/>
  <c r="K1316" i="1"/>
  <c r="L1316" i="1"/>
  <c r="A1317" i="1"/>
  <c r="B1317" i="1"/>
  <c r="C1317" i="1"/>
  <c r="D1317" i="1"/>
  <c r="Q1317" i="1"/>
  <c r="R1317" i="1"/>
  <c r="E1317" i="1"/>
  <c r="G1317" i="1"/>
  <c r="H1317" i="1"/>
  <c r="J1317" i="1"/>
  <c r="K1317" i="1"/>
  <c r="L1317" i="1"/>
  <c r="A1318" i="1"/>
  <c r="B1318" i="1"/>
  <c r="C1318" i="1"/>
  <c r="D1318" i="1"/>
  <c r="Q1318" i="1"/>
  <c r="R1318" i="1"/>
  <c r="E1318" i="1"/>
  <c r="G1318" i="1"/>
  <c r="H1318" i="1"/>
  <c r="J1318" i="1"/>
  <c r="K1318" i="1"/>
  <c r="L1318" i="1"/>
  <c r="A1319" i="1"/>
  <c r="B1319" i="1"/>
  <c r="C1319" i="1"/>
  <c r="D1319" i="1"/>
  <c r="Q1319" i="1"/>
  <c r="R1319" i="1"/>
  <c r="E1319" i="1"/>
  <c r="G1319" i="1"/>
  <c r="H1319" i="1"/>
  <c r="J1319" i="1"/>
  <c r="K1319" i="1"/>
  <c r="L1319" i="1"/>
  <c r="A1320" i="1"/>
  <c r="B1320" i="1"/>
  <c r="C1320" i="1"/>
  <c r="D1320" i="1"/>
  <c r="Q1320" i="1"/>
  <c r="R1320" i="1"/>
  <c r="E1320" i="1"/>
  <c r="G1320" i="1"/>
  <c r="H1320" i="1"/>
  <c r="J1320" i="1"/>
  <c r="K1320" i="1"/>
  <c r="L1320" i="1"/>
  <c r="A1321" i="1"/>
  <c r="B1321" i="1"/>
  <c r="C1321" i="1"/>
  <c r="D1321" i="1"/>
  <c r="Q1321" i="1"/>
  <c r="R1321" i="1"/>
  <c r="E1321" i="1"/>
  <c r="G1321" i="1"/>
  <c r="H1321" i="1"/>
  <c r="J1321" i="1"/>
  <c r="K1321" i="1"/>
  <c r="L1321" i="1"/>
  <c r="A1322" i="1"/>
  <c r="B1322" i="1"/>
  <c r="C1322" i="1"/>
  <c r="D1322" i="1"/>
  <c r="Q1322" i="1"/>
  <c r="R1322" i="1"/>
  <c r="E1322" i="1"/>
  <c r="G1322" i="1"/>
  <c r="H1322" i="1"/>
  <c r="J1322" i="1"/>
  <c r="K1322" i="1"/>
  <c r="L1322" i="1"/>
  <c r="A1323" i="1"/>
  <c r="B1323" i="1"/>
  <c r="C1323" i="1"/>
  <c r="D1323" i="1"/>
  <c r="Q1323" i="1"/>
  <c r="R1323" i="1"/>
  <c r="E1323" i="1"/>
  <c r="G1323" i="1"/>
  <c r="H1323" i="1"/>
  <c r="J1323" i="1"/>
  <c r="K1323" i="1"/>
  <c r="L1323" i="1"/>
  <c r="A1324" i="1"/>
  <c r="B1324" i="1"/>
  <c r="C1324" i="1"/>
  <c r="D1324" i="1"/>
  <c r="Q1324" i="1"/>
  <c r="R1324" i="1"/>
  <c r="E1324" i="1"/>
  <c r="G1324" i="1"/>
  <c r="H1324" i="1"/>
  <c r="J1324" i="1"/>
  <c r="K1324" i="1"/>
  <c r="L1324" i="1"/>
  <c r="A1325" i="1"/>
  <c r="B1325" i="1"/>
  <c r="C1325" i="1"/>
  <c r="D1325" i="1"/>
  <c r="Q1325" i="1"/>
  <c r="R1325" i="1"/>
  <c r="E1325" i="1"/>
  <c r="G1325" i="1"/>
  <c r="H1325" i="1"/>
  <c r="J1325" i="1"/>
  <c r="K1325" i="1"/>
  <c r="L1325" i="1"/>
  <c r="A1326" i="1"/>
  <c r="B1326" i="1"/>
  <c r="C1326" i="1"/>
  <c r="D1326" i="1"/>
  <c r="Q1326" i="1"/>
  <c r="R1326" i="1"/>
  <c r="E1326" i="1"/>
  <c r="G1326" i="1"/>
  <c r="H1326" i="1"/>
  <c r="J1326" i="1"/>
  <c r="K1326" i="1"/>
  <c r="L1326" i="1"/>
  <c r="A1327" i="1"/>
  <c r="B1327" i="1"/>
  <c r="C1327" i="1"/>
  <c r="D1327" i="1"/>
  <c r="Q1327" i="1"/>
  <c r="R1327" i="1"/>
  <c r="E1327" i="1"/>
  <c r="G1327" i="1"/>
  <c r="H1327" i="1"/>
  <c r="J1327" i="1"/>
  <c r="K1327" i="1"/>
  <c r="L1327" i="1"/>
  <c r="A1328" i="1"/>
  <c r="B1328" i="1"/>
  <c r="C1328" i="1"/>
  <c r="D1328" i="1"/>
  <c r="Q1328" i="1"/>
  <c r="R1328" i="1"/>
  <c r="E1328" i="1"/>
  <c r="G1328" i="1"/>
  <c r="H1328" i="1"/>
  <c r="J1328" i="1"/>
  <c r="K1328" i="1"/>
  <c r="L1328" i="1"/>
  <c r="A1329" i="1"/>
  <c r="B1329" i="1"/>
  <c r="C1329" i="1"/>
  <c r="D1329" i="1"/>
  <c r="Q1329" i="1"/>
  <c r="R1329" i="1"/>
  <c r="E1329" i="1"/>
  <c r="G1329" i="1"/>
  <c r="H1329" i="1"/>
  <c r="J1329" i="1"/>
  <c r="K1329" i="1"/>
  <c r="L1329" i="1"/>
  <c r="A1330" i="1"/>
  <c r="B1330" i="1"/>
  <c r="C1330" i="1"/>
  <c r="D1330" i="1"/>
  <c r="Q1330" i="1"/>
  <c r="R1330" i="1"/>
  <c r="E1330" i="1"/>
  <c r="G1330" i="1"/>
  <c r="H1330" i="1"/>
  <c r="J1330" i="1"/>
  <c r="K1330" i="1"/>
  <c r="L1330" i="1"/>
  <c r="A1331" i="1"/>
  <c r="B1331" i="1"/>
  <c r="C1331" i="1"/>
  <c r="D1331" i="1"/>
  <c r="Q1331" i="1"/>
  <c r="R1331" i="1"/>
  <c r="E1331" i="1"/>
  <c r="G1331" i="1"/>
  <c r="H1331" i="1"/>
  <c r="J1331" i="1"/>
  <c r="K1331" i="1"/>
  <c r="L1331" i="1"/>
  <c r="A1332" i="1"/>
  <c r="B1332" i="1"/>
  <c r="C1332" i="1"/>
  <c r="D1332" i="1"/>
  <c r="Q1332" i="1"/>
  <c r="R1332" i="1"/>
  <c r="E1332" i="1"/>
  <c r="G1332" i="1"/>
  <c r="H1332" i="1"/>
  <c r="J1332" i="1"/>
  <c r="K1332" i="1"/>
  <c r="L1332" i="1"/>
  <c r="A1333" i="1"/>
  <c r="B1333" i="1"/>
  <c r="C1333" i="1"/>
  <c r="D1333" i="1"/>
  <c r="Q1333" i="1"/>
  <c r="R1333" i="1"/>
  <c r="E1333" i="1"/>
  <c r="G1333" i="1"/>
  <c r="H1333" i="1"/>
  <c r="J1333" i="1"/>
  <c r="K1333" i="1"/>
  <c r="L1333" i="1"/>
  <c r="A1334" i="1"/>
  <c r="B1334" i="1"/>
  <c r="C1334" i="1"/>
  <c r="D1334" i="1"/>
  <c r="Q1334" i="1"/>
  <c r="R1334" i="1"/>
  <c r="E1334" i="1"/>
  <c r="G1334" i="1"/>
  <c r="H1334" i="1"/>
  <c r="J1334" i="1"/>
  <c r="K1334" i="1"/>
  <c r="L1334" i="1"/>
  <c r="A1335" i="1"/>
  <c r="B1335" i="1"/>
  <c r="C1335" i="1"/>
  <c r="D1335" i="1"/>
  <c r="Q1335" i="1"/>
  <c r="R1335" i="1"/>
  <c r="E1335" i="1"/>
  <c r="G1335" i="1"/>
  <c r="H1335" i="1"/>
  <c r="J1335" i="1"/>
  <c r="K1335" i="1"/>
  <c r="L1335" i="1"/>
  <c r="A1336" i="1"/>
  <c r="B1336" i="1"/>
  <c r="C1336" i="1"/>
  <c r="D1336" i="1"/>
  <c r="Q1336" i="1"/>
  <c r="R1336" i="1"/>
  <c r="E1336" i="1"/>
  <c r="G1336" i="1"/>
  <c r="H1336" i="1"/>
  <c r="J1336" i="1"/>
  <c r="K1336" i="1"/>
  <c r="L1336" i="1"/>
  <c r="A1337" i="1"/>
  <c r="B1337" i="1"/>
  <c r="C1337" i="1"/>
  <c r="D1337" i="1"/>
  <c r="Q1337" i="1"/>
  <c r="R1337" i="1"/>
  <c r="E1337" i="1"/>
  <c r="G1337" i="1"/>
  <c r="H1337" i="1"/>
  <c r="J1337" i="1"/>
  <c r="K1337" i="1"/>
  <c r="L1337" i="1"/>
  <c r="A1338" i="1"/>
  <c r="B1338" i="1"/>
  <c r="C1338" i="1"/>
  <c r="D1338" i="1"/>
  <c r="Q1338" i="1"/>
  <c r="R1338" i="1"/>
  <c r="E1338" i="1"/>
  <c r="G1338" i="1"/>
  <c r="H1338" i="1"/>
  <c r="J1338" i="1"/>
  <c r="K1338" i="1"/>
  <c r="L1338" i="1"/>
  <c r="A1339" i="1"/>
  <c r="B1339" i="1"/>
  <c r="C1339" i="1"/>
  <c r="D1339" i="1"/>
  <c r="Q1339" i="1"/>
  <c r="R1339" i="1"/>
  <c r="E1339" i="1"/>
  <c r="G1339" i="1"/>
  <c r="H1339" i="1"/>
  <c r="J1339" i="1"/>
  <c r="K1339" i="1"/>
  <c r="L1339" i="1"/>
  <c r="A1340" i="1"/>
  <c r="B1340" i="1"/>
  <c r="C1340" i="1"/>
  <c r="D1340" i="1"/>
  <c r="Q1340" i="1"/>
  <c r="R1340" i="1"/>
  <c r="E1340" i="1"/>
  <c r="G1340" i="1"/>
  <c r="H1340" i="1"/>
  <c r="J1340" i="1"/>
  <c r="K1340" i="1"/>
  <c r="L1340" i="1"/>
  <c r="A1341" i="1"/>
  <c r="B1341" i="1"/>
  <c r="C1341" i="1"/>
  <c r="D1341" i="1"/>
  <c r="Q1341" i="1"/>
  <c r="R1341" i="1"/>
  <c r="E1341" i="1"/>
  <c r="G1341" i="1"/>
  <c r="H1341" i="1"/>
  <c r="J1341" i="1"/>
  <c r="K1341" i="1"/>
  <c r="L1341" i="1"/>
  <c r="A1342" i="1"/>
  <c r="B1342" i="1"/>
  <c r="C1342" i="1"/>
  <c r="D1342" i="1"/>
  <c r="Q1342" i="1"/>
  <c r="R1342" i="1"/>
  <c r="E1342" i="1"/>
  <c r="G1342" i="1"/>
  <c r="H1342" i="1"/>
  <c r="J1342" i="1"/>
  <c r="K1342" i="1"/>
  <c r="L1342" i="1"/>
  <c r="A1343" i="1"/>
  <c r="B1343" i="1"/>
  <c r="C1343" i="1"/>
  <c r="D1343" i="1"/>
  <c r="Q1343" i="1"/>
  <c r="R1343" i="1"/>
  <c r="E1343" i="1"/>
  <c r="G1343" i="1"/>
  <c r="H1343" i="1"/>
  <c r="J1343" i="1"/>
  <c r="K1343" i="1"/>
  <c r="L1343" i="1"/>
  <c r="A1344" i="1"/>
  <c r="B1344" i="1"/>
  <c r="C1344" i="1"/>
  <c r="D1344" i="1"/>
  <c r="Q1344" i="1"/>
  <c r="R1344" i="1"/>
  <c r="E1344" i="1"/>
  <c r="G1344" i="1"/>
  <c r="H1344" i="1"/>
  <c r="J1344" i="1"/>
  <c r="K1344" i="1"/>
  <c r="L1344" i="1"/>
  <c r="A1345" i="1"/>
  <c r="B1345" i="1"/>
  <c r="C1345" i="1"/>
  <c r="D1345" i="1"/>
  <c r="Q1345" i="1"/>
  <c r="R1345" i="1"/>
  <c r="E1345" i="1"/>
  <c r="G1345" i="1"/>
  <c r="H1345" i="1"/>
  <c r="J1345" i="1"/>
  <c r="K1345" i="1"/>
  <c r="L1345" i="1"/>
  <c r="A1346" i="1"/>
  <c r="B1346" i="1"/>
  <c r="C1346" i="1"/>
  <c r="D1346" i="1"/>
  <c r="Q1346" i="1"/>
  <c r="R1346" i="1"/>
  <c r="E1346" i="1"/>
  <c r="G1346" i="1"/>
  <c r="H1346" i="1"/>
  <c r="J1346" i="1"/>
  <c r="K1346" i="1"/>
  <c r="L1346" i="1"/>
  <c r="A1347" i="1"/>
  <c r="B1347" i="1"/>
  <c r="C1347" i="1"/>
  <c r="D1347" i="1"/>
  <c r="Q1347" i="1"/>
  <c r="R1347" i="1"/>
  <c r="E1347" i="1"/>
  <c r="G1347" i="1"/>
  <c r="H1347" i="1"/>
  <c r="J1347" i="1"/>
  <c r="K1347" i="1"/>
  <c r="L1347" i="1"/>
  <c r="A1348" i="1"/>
  <c r="B1348" i="1"/>
  <c r="C1348" i="1"/>
  <c r="D1348" i="1"/>
  <c r="Q1348" i="1"/>
  <c r="R1348" i="1"/>
  <c r="E1348" i="1"/>
  <c r="G1348" i="1"/>
  <c r="H1348" i="1"/>
  <c r="J1348" i="1"/>
  <c r="K1348" i="1"/>
  <c r="L1348" i="1"/>
  <c r="A1349" i="1"/>
  <c r="B1349" i="1"/>
  <c r="C1349" i="1"/>
  <c r="D1349" i="1"/>
  <c r="Q1349" i="1"/>
  <c r="R1349" i="1"/>
  <c r="E1349" i="1"/>
  <c r="F1349" i="1"/>
  <c r="G1349" i="1"/>
  <c r="H1349" i="1"/>
  <c r="J1349" i="1"/>
  <c r="K1349" i="1"/>
  <c r="L1349" i="1"/>
  <c r="A1350" i="1"/>
  <c r="B1350" i="1"/>
  <c r="C1350" i="1"/>
  <c r="D1350" i="1"/>
  <c r="Q1350" i="1"/>
  <c r="R1350" i="1"/>
  <c r="E1350" i="1"/>
  <c r="G1350" i="1"/>
  <c r="H1350" i="1"/>
  <c r="J1350" i="1"/>
  <c r="K1350" i="1"/>
  <c r="L1350" i="1"/>
  <c r="A1351" i="1"/>
  <c r="B1351" i="1"/>
  <c r="C1351" i="1"/>
  <c r="D1351" i="1"/>
  <c r="Q1351" i="1"/>
  <c r="R1351" i="1"/>
  <c r="E1351" i="1"/>
  <c r="G1351" i="1"/>
  <c r="H1351" i="1"/>
  <c r="J1351" i="1"/>
  <c r="K1351" i="1"/>
  <c r="L1351" i="1"/>
  <c r="A1352" i="1"/>
  <c r="B1352" i="1"/>
  <c r="C1352" i="1"/>
  <c r="D1352" i="1"/>
  <c r="Q1352" i="1"/>
  <c r="R1352" i="1"/>
  <c r="E1352" i="1"/>
  <c r="G1352" i="1"/>
  <c r="H1352" i="1"/>
  <c r="J1352" i="1"/>
  <c r="K1352" i="1"/>
  <c r="L1352" i="1"/>
  <c r="A1353" i="1"/>
  <c r="B1353" i="1"/>
  <c r="C1353" i="1"/>
  <c r="D1353" i="1"/>
  <c r="Q1353" i="1"/>
  <c r="R1353" i="1"/>
  <c r="E1353" i="1"/>
  <c r="G1353" i="1"/>
  <c r="H1353" i="1"/>
  <c r="J1353" i="1"/>
  <c r="K1353" i="1"/>
  <c r="L1353" i="1"/>
  <c r="A1354" i="1"/>
  <c r="B1354" i="1"/>
  <c r="C1354" i="1"/>
  <c r="D1354" i="1"/>
  <c r="Q1354" i="1"/>
  <c r="R1354" i="1"/>
  <c r="E1354" i="1"/>
  <c r="G1354" i="1"/>
  <c r="H1354" i="1"/>
  <c r="J1354" i="1"/>
  <c r="K1354" i="1"/>
  <c r="L1354" i="1"/>
  <c r="A1355" i="1"/>
  <c r="B1355" i="1"/>
  <c r="C1355" i="1"/>
  <c r="D1355" i="1"/>
  <c r="Q1355" i="1"/>
  <c r="R1355" i="1"/>
  <c r="E1355" i="1"/>
  <c r="G1355" i="1"/>
  <c r="H1355" i="1"/>
  <c r="J1355" i="1"/>
  <c r="K1355" i="1"/>
  <c r="L1355" i="1"/>
  <c r="A1356" i="1"/>
  <c r="B1356" i="1"/>
  <c r="C1356" i="1"/>
  <c r="D1356" i="1"/>
  <c r="Q1356" i="1"/>
  <c r="R1356" i="1"/>
  <c r="E1356" i="1"/>
  <c r="F1356" i="1"/>
  <c r="G1356" i="1"/>
  <c r="H1356" i="1"/>
  <c r="J1356" i="1"/>
  <c r="K1356" i="1"/>
  <c r="L1356" i="1"/>
  <c r="A1357" i="1"/>
  <c r="B1357" i="1"/>
  <c r="C1357" i="1"/>
  <c r="D1357" i="1"/>
  <c r="Q1357" i="1"/>
  <c r="R1357" i="1"/>
  <c r="E1357" i="1"/>
  <c r="G1357" i="1"/>
  <c r="H1357" i="1"/>
  <c r="J1357" i="1"/>
  <c r="K1357" i="1"/>
  <c r="L1357" i="1"/>
  <c r="A1358" i="1"/>
  <c r="B1358" i="1"/>
  <c r="C1358" i="1"/>
  <c r="D1358" i="1"/>
  <c r="Q1358" i="1"/>
  <c r="R1358" i="1"/>
  <c r="E1358" i="1"/>
  <c r="G1358" i="1"/>
  <c r="H1358" i="1"/>
  <c r="J1358" i="1"/>
  <c r="K1358" i="1"/>
  <c r="L1358" i="1"/>
  <c r="A1359" i="1"/>
  <c r="B1359" i="1"/>
  <c r="C1359" i="1"/>
  <c r="D1359" i="1"/>
  <c r="Q1359" i="1"/>
  <c r="R1359" i="1"/>
  <c r="E1359" i="1"/>
  <c r="G1359" i="1"/>
  <c r="H1359" i="1"/>
  <c r="J1359" i="1"/>
  <c r="K1359" i="1"/>
  <c r="L1359" i="1"/>
  <c r="A1360" i="1"/>
  <c r="B1360" i="1"/>
  <c r="C1360" i="1"/>
  <c r="D1360" i="1"/>
  <c r="Q1360" i="1"/>
  <c r="R1360" i="1"/>
  <c r="E1360" i="1"/>
  <c r="F1360" i="1"/>
  <c r="G1360" i="1"/>
  <c r="H1360" i="1"/>
  <c r="J1360" i="1"/>
  <c r="K1360" i="1"/>
  <c r="L1360" i="1"/>
  <c r="A1361" i="1"/>
  <c r="B1361" i="1"/>
  <c r="C1361" i="1"/>
  <c r="D1361" i="1"/>
  <c r="Q1361" i="1"/>
  <c r="R1361" i="1"/>
  <c r="E1361" i="1"/>
  <c r="F1361" i="1"/>
  <c r="G1361" i="1"/>
  <c r="H1361" i="1"/>
  <c r="J1361" i="1"/>
  <c r="K1361" i="1"/>
  <c r="L1361" i="1"/>
  <c r="A1362" i="1"/>
  <c r="B1362" i="1"/>
  <c r="C1362" i="1"/>
  <c r="D1362" i="1"/>
  <c r="Q1362" i="1"/>
  <c r="R1362" i="1"/>
  <c r="E1362" i="1"/>
  <c r="F1362" i="1"/>
  <c r="G1362" i="1"/>
  <c r="H1362" i="1"/>
  <c r="J1362" i="1"/>
  <c r="K1362" i="1"/>
  <c r="L1362" i="1"/>
  <c r="A1363" i="1"/>
  <c r="B1363" i="1"/>
  <c r="C1363" i="1"/>
  <c r="D1363" i="1"/>
  <c r="Q1363" i="1"/>
  <c r="R1363" i="1"/>
  <c r="E1363" i="1"/>
  <c r="F1363" i="1"/>
  <c r="G1363" i="1"/>
  <c r="H1363" i="1"/>
  <c r="J1363" i="1"/>
  <c r="K1363" i="1"/>
  <c r="L1363" i="1"/>
  <c r="A1364" i="1"/>
  <c r="B1364" i="1"/>
  <c r="C1364" i="1"/>
  <c r="D1364" i="1"/>
  <c r="Q1364" i="1"/>
  <c r="R1364" i="1"/>
  <c r="E1364" i="1"/>
  <c r="F1364" i="1"/>
  <c r="G1364" i="1"/>
  <c r="H1364" i="1"/>
  <c r="J1364" i="1"/>
  <c r="K1364" i="1"/>
  <c r="L1364" i="1"/>
  <c r="A1365" i="1"/>
  <c r="B1365" i="1"/>
  <c r="C1365" i="1"/>
  <c r="D1365" i="1"/>
  <c r="Q1365" i="1"/>
  <c r="R1365" i="1"/>
  <c r="E1365" i="1"/>
  <c r="F1365" i="1"/>
  <c r="G1365" i="1"/>
  <c r="H1365" i="1"/>
  <c r="J1365" i="1"/>
  <c r="K1365" i="1"/>
  <c r="L1365" i="1"/>
  <c r="A1366" i="1"/>
  <c r="B1366" i="1"/>
  <c r="C1366" i="1"/>
  <c r="D1366" i="1"/>
  <c r="Q1366" i="1"/>
  <c r="R1366" i="1"/>
  <c r="E1366" i="1"/>
  <c r="G1366" i="1"/>
  <c r="H1366" i="1"/>
  <c r="J1366" i="1"/>
  <c r="K1366" i="1"/>
  <c r="L1366" i="1"/>
  <c r="A1367" i="1"/>
  <c r="B1367" i="1"/>
  <c r="C1367" i="1"/>
  <c r="D1367" i="1"/>
  <c r="Q1367" i="1"/>
  <c r="R1367" i="1"/>
  <c r="E1367" i="1"/>
  <c r="G1367" i="1"/>
  <c r="H1367" i="1"/>
  <c r="J1367" i="1"/>
  <c r="K1367" i="1"/>
  <c r="L1367" i="1"/>
  <c r="A1368" i="1"/>
  <c r="B1368" i="1"/>
  <c r="C1368" i="1"/>
  <c r="D1368" i="1"/>
  <c r="Q1368" i="1"/>
  <c r="R1368" i="1"/>
  <c r="E1368" i="1"/>
  <c r="F1368" i="1"/>
  <c r="G1368" i="1"/>
  <c r="H1368" i="1"/>
  <c r="J1368" i="1"/>
  <c r="K1368" i="1"/>
  <c r="L1368" i="1"/>
  <c r="A1369" i="1"/>
  <c r="B1369" i="1"/>
  <c r="C1369" i="1"/>
  <c r="D1369" i="1"/>
  <c r="Q1369" i="1"/>
  <c r="R1369" i="1"/>
  <c r="E1369" i="1"/>
  <c r="G1369" i="1"/>
  <c r="H1369" i="1"/>
  <c r="J1369" i="1"/>
  <c r="K1369" i="1"/>
  <c r="L1369" i="1"/>
  <c r="A1370" i="1"/>
  <c r="B1370" i="1"/>
  <c r="C1370" i="1"/>
  <c r="D1370" i="1"/>
  <c r="Q1370" i="1"/>
  <c r="R1370" i="1"/>
  <c r="E1370" i="1"/>
  <c r="G1370" i="1"/>
  <c r="H1370" i="1"/>
  <c r="J1370" i="1"/>
  <c r="K1370" i="1"/>
  <c r="L1370" i="1"/>
  <c r="A1371" i="1"/>
  <c r="B1371" i="1"/>
  <c r="C1371" i="1"/>
  <c r="D1371" i="1"/>
  <c r="Q1371" i="1"/>
  <c r="R1371" i="1"/>
  <c r="E1371" i="1"/>
  <c r="G1371" i="1"/>
  <c r="H1371" i="1"/>
  <c r="J1371" i="1"/>
  <c r="K1371" i="1"/>
  <c r="L1371" i="1"/>
  <c r="A1372" i="1"/>
  <c r="B1372" i="1"/>
  <c r="C1372" i="1"/>
  <c r="D1372" i="1"/>
  <c r="Q1372" i="1"/>
  <c r="R1372" i="1"/>
  <c r="E1372" i="1"/>
  <c r="G1372" i="1"/>
  <c r="H1372" i="1"/>
  <c r="J1372" i="1"/>
  <c r="K1372" i="1"/>
  <c r="L1372" i="1"/>
  <c r="A1373" i="1"/>
  <c r="B1373" i="1"/>
  <c r="C1373" i="1"/>
  <c r="D1373" i="1"/>
  <c r="Q1373" i="1"/>
  <c r="R1373" i="1"/>
  <c r="E1373" i="1"/>
  <c r="G1373" i="1"/>
  <c r="H1373" i="1"/>
  <c r="J1373" i="1"/>
  <c r="K1373" i="1"/>
  <c r="L1373" i="1"/>
  <c r="A1374" i="1"/>
  <c r="B1374" i="1"/>
  <c r="C1374" i="1"/>
  <c r="D1374" i="1"/>
  <c r="Q1374" i="1"/>
  <c r="R1374" i="1"/>
  <c r="E1374" i="1"/>
  <c r="G1374" i="1"/>
  <c r="H1374" i="1"/>
  <c r="J1374" i="1"/>
  <c r="K1374" i="1"/>
  <c r="L1374" i="1"/>
  <c r="A1375" i="1"/>
  <c r="B1375" i="1"/>
  <c r="C1375" i="1"/>
  <c r="D1375" i="1"/>
  <c r="Q1375" i="1"/>
  <c r="R1375" i="1"/>
  <c r="E1375" i="1"/>
  <c r="G1375" i="1"/>
  <c r="H1375" i="1"/>
  <c r="J1375" i="1"/>
  <c r="K1375" i="1"/>
  <c r="L1375" i="1"/>
  <c r="A1376" i="1"/>
  <c r="B1376" i="1"/>
  <c r="C1376" i="1"/>
  <c r="D1376" i="1"/>
  <c r="Q1376" i="1"/>
  <c r="R1376" i="1"/>
  <c r="E1376" i="1"/>
  <c r="G1376" i="1"/>
  <c r="H1376" i="1"/>
  <c r="J1376" i="1"/>
  <c r="K1376" i="1"/>
  <c r="L1376" i="1"/>
  <c r="A1377" i="1"/>
  <c r="B1377" i="1"/>
  <c r="C1377" i="1"/>
  <c r="D1377" i="1"/>
  <c r="Q1377" i="1"/>
  <c r="R1377" i="1"/>
  <c r="E1377" i="1"/>
  <c r="G1377" i="1"/>
  <c r="H1377" i="1"/>
  <c r="J1377" i="1"/>
  <c r="K1377" i="1"/>
  <c r="L1377" i="1"/>
  <c r="A1378" i="1"/>
  <c r="B1378" i="1"/>
  <c r="C1378" i="1"/>
  <c r="D1378" i="1"/>
  <c r="Q1378" i="1"/>
  <c r="R1378" i="1"/>
  <c r="E1378" i="1"/>
  <c r="G1378" i="1"/>
  <c r="H1378" i="1"/>
  <c r="J1378" i="1"/>
  <c r="K1378" i="1"/>
  <c r="L1378" i="1"/>
  <c r="A1379" i="1"/>
  <c r="B1379" i="1"/>
  <c r="C1379" i="1"/>
  <c r="D1379" i="1"/>
  <c r="Q1379" i="1"/>
  <c r="R1379" i="1"/>
  <c r="E1379" i="1"/>
  <c r="G1379" i="1"/>
  <c r="H1379" i="1"/>
  <c r="J1379" i="1"/>
  <c r="K1379" i="1"/>
  <c r="L1379" i="1"/>
  <c r="A1380" i="1"/>
  <c r="B1380" i="1"/>
  <c r="C1380" i="1"/>
  <c r="D1380" i="1"/>
  <c r="Q1380" i="1"/>
  <c r="R1380" i="1"/>
  <c r="E1380" i="1"/>
  <c r="G1380" i="1"/>
  <c r="H1380" i="1"/>
  <c r="J1380" i="1"/>
  <c r="K1380" i="1"/>
  <c r="L1380" i="1"/>
  <c r="A1381" i="1"/>
  <c r="B1381" i="1"/>
  <c r="C1381" i="1"/>
  <c r="D1381" i="1"/>
  <c r="Q1381" i="1"/>
  <c r="R1381" i="1"/>
  <c r="E1381" i="1"/>
  <c r="F1381" i="1"/>
  <c r="G1381" i="1"/>
  <c r="H1381" i="1"/>
  <c r="J1381" i="1"/>
  <c r="K1381" i="1"/>
  <c r="L1381" i="1"/>
  <c r="A1382" i="1"/>
  <c r="B1382" i="1"/>
  <c r="C1382" i="1"/>
  <c r="D1382" i="1"/>
  <c r="Q1382" i="1"/>
  <c r="R1382" i="1"/>
  <c r="E1382" i="1"/>
  <c r="G1382" i="1"/>
  <c r="H1382" i="1"/>
  <c r="J1382" i="1"/>
  <c r="K1382" i="1"/>
  <c r="L1382" i="1"/>
  <c r="A1383" i="1"/>
  <c r="B1383" i="1"/>
  <c r="C1383" i="1"/>
  <c r="D1383" i="1"/>
  <c r="Q1383" i="1"/>
  <c r="R1383" i="1"/>
  <c r="E1383" i="1"/>
  <c r="F1383" i="1"/>
  <c r="G1383" i="1"/>
  <c r="H1383" i="1"/>
  <c r="J1383" i="1"/>
  <c r="K1383" i="1"/>
  <c r="L1383" i="1"/>
  <c r="A1384" i="1"/>
  <c r="B1384" i="1"/>
  <c r="C1384" i="1"/>
  <c r="D1384" i="1"/>
  <c r="Q1384" i="1"/>
  <c r="R1384" i="1"/>
  <c r="E1384" i="1"/>
  <c r="F1384" i="1"/>
  <c r="G1384" i="1"/>
  <c r="H1384" i="1"/>
  <c r="J1384" i="1"/>
  <c r="K1384" i="1"/>
  <c r="L1384" i="1"/>
  <c r="A1385" i="1"/>
  <c r="B1385" i="1"/>
  <c r="C1385" i="1"/>
  <c r="D1385" i="1"/>
  <c r="Q1385" i="1"/>
  <c r="R1385" i="1"/>
  <c r="E1385" i="1"/>
  <c r="F1385" i="1"/>
  <c r="G1385" i="1"/>
  <c r="H1385" i="1"/>
  <c r="J1385" i="1"/>
  <c r="K1385" i="1"/>
  <c r="L1385" i="1"/>
  <c r="A1386" i="1"/>
  <c r="B1386" i="1"/>
  <c r="C1386" i="1"/>
  <c r="D1386" i="1"/>
  <c r="Q1386" i="1"/>
  <c r="R1386" i="1"/>
  <c r="E1386" i="1"/>
  <c r="G1386" i="1"/>
  <c r="H1386" i="1"/>
  <c r="J1386" i="1"/>
  <c r="K1386" i="1"/>
  <c r="L1386" i="1"/>
  <c r="A1387" i="1"/>
  <c r="B1387" i="1"/>
  <c r="C1387" i="1"/>
  <c r="D1387" i="1"/>
  <c r="Q1387" i="1"/>
  <c r="R1387" i="1"/>
  <c r="E1387" i="1"/>
  <c r="F1387" i="1"/>
  <c r="G1387" i="1"/>
  <c r="H1387" i="1"/>
  <c r="J1387" i="1"/>
  <c r="K1387" i="1"/>
  <c r="L1387" i="1"/>
  <c r="A1388" i="1"/>
  <c r="B1388" i="1"/>
  <c r="C1388" i="1"/>
  <c r="D1388" i="1"/>
  <c r="Q1388" i="1"/>
  <c r="R1388" i="1"/>
  <c r="E1388" i="1"/>
  <c r="F1388" i="1"/>
  <c r="G1388" i="1"/>
  <c r="H1388" i="1"/>
  <c r="J1388" i="1"/>
  <c r="K1388" i="1"/>
  <c r="L1388" i="1"/>
  <c r="A1389" i="1"/>
  <c r="B1389" i="1"/>
  <c r="C1389" i="1"/>
  <c r="D1389" i="1"/>
  <c r="Q1389" i="1"/>
  <c r="R1389" i="1"/>
  <c r="E1389" i="1"/>
  <c r="F1389" i="1"/>
  <c r="G1389" i="1"/>
  <c r="H1389" i="1"/>
  <c r="J1389" i="1"/>
  <c r="K1389" i="1"/>
  <c r="L1389" i="1"/>
  <c r="A1390" i="1"/>
  <c r="B1390" i="1"/>
  <c r="C1390" i="1"/>
  <c r="D1390" i="1"/>
  <c r="Q1390" i="1"/>
  <c r="R1390" i="1"/>
  <c r="E1390" i="1"/>
  <c r="F1390" i="1"/>
  <c r="G1390" i="1"/>
  <c r="H1390" i="1"/>
  <c r="J1390" i="1"/>
  <c r="K1390" i="1"/>
  <c r="L1390" i="1"/>
  <c r="A1391" i="1"/>
  <c r="B1391" i="1"/>
  <c r="C1391" i="1"/>
  <c r="D1391" i="1"/>
  <c r="Q1391" i="1"/>
  <c r="R1391" i="1"/>
  <c r="E1391" i="1"/>
  <c r="G1391" i="1"/>
  <c r="H1391" i="1"/>
  <c r="J1391" i="1"/>
  <c r="K1391" i="1"/>
  <c r="L1391" i="1"/>
  <c r="A1392" i="1"/>
  <c r="B1392" i="1"/>
  <c r="C1392" i="1"/>
  <c r="D1392" i="1"/>
  <c r="Q1392" i="1"/>
  <c r="R1392" i="1"/>
  <c r="E1392" i="1"/>
  <c r="F1392" i="1"/>
  <c r="G1392" i="1"/>
  <c r="H1392" i="1"/>
  <c r="J1392" i="1"/>
  <c r="K1392" i="1"/>
  <c r="L1392" i="1"/>
  <c r="A1393" i="1"/>
  <c r="B1393" i="1"/>
  <c r="C1393" i="1"/>
  <c r="D1393" i="1"/>
  <c r="Q1393" i="1"/>
  <c r="R1393" i="1"/>
  <c r="E1393" i="1"/>
  <c r="F1393" i="1"/>
  <c r="G1393" i="1"/>
  <c r="H1393" i="1"/>
  <c r="J1393" i="1"/>
  <c r="K1393" i="1"/>
  <c r="L1393" i="1"/>
  <c r="A1394" i="1"/>
  <c r="B1394" i="1"/>
  <c r="C1394" i="1"/>
  <c r="D1394" i="1"/>
  <c r="Q1394" i="1"/>
  <c r="R1394" i="1"/>
  <c r="E1394" i="1"/>
  <c r="F1394" i="1"/>
  <c r="G1394" i="1"/>
  <c r="H1394" i="1"/>
  <c r="J1394" i="1"/>
  <c r="K1394" i="1"/>
  <c r="L1394" i="1"/>
  <c r="A1395" i="1"/>
  <c r="B1395" i="1"/>
  <c r="C1395" i="1"/>
  <c r="D1395" i="1"/>
  <c r="Q1395" i="1"/>
  <c r="R1395" i="1"/>
  <c r="E1395" i="1"/>
  <c r="G1395" i="1"/>
  <c r="H1395" i="1"/>
  <c r="J1395" i="1"/>
  <c r="K1395" i="1"/>
  <c r="L1395" i="1"/>
  <c r="A1396" i="1"/>
  <c r="B1396" i="1"/>
  <c r="C1396" i="1"/>
  <c r="D1396" i="1"/>
  <c r="Q1396" i="1"/>
  <c r="R1396" i="1"/>
  <c r="E1396" i="1"/>
  <c r="F1396" i="1"/>
  <c r="G1396" i="1"/>
  <c r="H1396" i="1"/>
  <c r="J1396" i="1"/>
  <c r="K1396" i="1"/>
  <c r="L1396" i="1"/>
  <c r="A1397" i="1"/>
  <c r="B1397" i="1"/>
  <c r="C1397" i="1"/>
  <c r="D1397" i="1"/>
  <c r="Q1397" i="1"/>
  <c r="R1397" i="1"/>
  <c r="E1397" i="1"/>
  <c r="G1397" i="1"/>
  <c r="H1397" i="1"/>
  <c r="J1397" i="1"/>
  <c r="K1397" i="1"/>
  <c r="L1397" i="1"/>
  <c r="A1398" i="1"/>
  <c r="B1398" i="1"/>
  <c r="C1398" i="1"/>
  <c r="D1398" i="1"/>
  <c r="Q1398" i="1"/>
  <c r="R1398" i="1"/>
  <c r="E1398" i="1"/>
  <c r="G1398" i="1"/>
  <c r="H1398" i="1"/>
  <c r="J1398" i="1"/>
  <c r="K1398" i="1"/>
  <c r="L1398" i="1"/>
  <c r="A1399" i="1"/>
  <c r="B1399" i="1"/>
  <c r="C1399" i="1"/>
  <c r="D1399" i="1"/>
  <c r="Q1399" i="1"/>
  <c r="R1399" i="1"/>
  <c r="E1399" i="1"/>
  <c r="G1399" i="1"/>
  <c r="H1399" i="1"/>
  <c r="J1399" i="1"/>
  <c r="K1399" i="1"/>
  <c r="L1399" i="1"/>
  <c r="A1400" i="1"/>
  <c r="B1400" i="1"/>
  <c r="C1400" i="1"/>
  <c r="D1400" i="1"/>
  <c r="Q1400" i="1"/>
  <c r="R1400" i="1"/>
  <c r="E1400" i="1"/>
  <c r="G1400" i="1"/>
  <c r="H1400" i="1"/>
  <c r="J1400" i="1"/>
  <c r="K1400" i="1"/>
  <c r="L1400" i="1"/>
  <c r="A1401" i="1"/>
  <c r="B1401" i="1"/>
  <c r="C1401" i="1"/>
  <c r="D1401" i="1"/>
  <c r="Q1401" i="1"/>
  <c r="R1401" i="1"/>
  <c r="E1401" i="1"/>
  <c r="G1401" i="1"/>
  <c r="H1401" i="1"/>
  <c r="J1401" i="1"/>
  <c r="K1401" i="1"/>
  <c r="L1401" i="1"/>
  <c r="A1402" i="1"/>
  <c r="B1402" i="1"/>
  <c r="C1402" i="1"/>
  <c r="D1402" i="1"/>
  <c r="Q1402" i="1"/>
  <c r="R1402" i="1"/>
  <c r="E1402" i="1"/>
  <c r="G1402" i="1"/>
  <c r="H1402" i="1"/>
  <c r="J1402" i="1"/>
  <c r="K1402" i="1"/>
  <c r="L1402" i="1"/>
  <c r="A1403" i="1"/>
  <c r="B1403" i="1"/>
  <c r="C1403" i="1"/>
  <c r="D1403" i="1"/>
  <c r="Q1403" i="1"/>
  <c r="R1403" i="1"/>
  <c r="E1403" i="1"/>
  <c r="F1403" i="1"/>
  <c r="G1403" i="1"/>
  <c r="H1403" i="1"/>
  <c r="J1403" i="1"/>
  <c r="K1403" i="1"/>
  <c r="L1403" i="1"/>
  <c r="A1404" i="1"/>
  <c r="B1404" i="1"/>
  <c r="C1404" i="1"/>
  <c r="D1404" i="1"/>
  <c r="Q1404" i="1"/>
  <c r="R1404" i="1"/>
  <c r="E1404" i="1"/>
  <c r="G1404" i="1"/>
  <c r="H1404" i="1"/>
  <c r="J1404" i="1"/>
  <c r="K1404" i="1"/>
  <c r="L1404" i="1"/>
  <c r="A1405" i="1"/>
  <c r="B1405" i="1"/>
  <c r="C1405" i="1"/>
  <c r="D1405" i="1"/>
  <c r="Q1405" i="1"/>
  <c r="R1405" i="1"/>
  <c r="E1405" i="1"/>
  <c r="G1405" i="1"/>
  <c r="H1405" i="1"/>
  <c r="J1405" i="1"/>
  <c r="K1405" i="1"/>
  <c r="L1405" i="1"/>
  <c r="A1406" i="1"/>
  <c r="B1406" i="1"/>
  <c r="C1406" i="1"/>
  <c r="D1406" i="1"/>
  <c r="Q1406" i="1"/>
  <c r="R1406" i="1"/>
  <c r="E1406" i="1"/>
  <c r="G1406" i="1"/>
  <c r="H1406" i="1"/>
  <c r="J1406" i="1"/>
  <c r="K1406" i="1"/>
  <c r="L1406" i="1"/>
  <c r="A1407" i="1"/>
  <c r="B1407" i="1"/>
  <c r="C1407" i="1"/>
  <c r="D1407" i="1"/>
  <c r="Q1407" i="1"/>
  <c r="R1407" i="1"/>
  <c r="E1407" i="1"/>
  <c r="G1407" i="1"/>
  <c r="H1407" i="1"/>
  <c r="J1407" i="1"/>
  <c r="K1407" i="1"/>
  <c r="L1407" i="1"/>
  <c r="A1408" i="1"/>
  <c r="B1408" i="1"/>
  <c r="C1408" i="1"/>
  <c r="D1408" i="1"/>
  <c r="Q1408" i="1"/>
  <c r="R1408" i="1"/>
  <c r="E1408" i="1"/>
  <c r="G1408" i="1"/>
  <c r="H1408" i="1"/>
  <c r="J1408" i="1"/>
  <c r="K1408" i="1"/>
  <c r="L1408" i="1"/>
  <c r="A1409" i="1"/>
  <c r="B1409" i="1"/>
  <c r="C1409" i="1"/>
  <c r="D1409" i="1"/>
  <c r="Q1409" i="1"/>
  <c r="R1409" i="1"/>
  <c r="E1409" i="1"/>
  <c r="F1409" i="1"/>
  <c r="G1409" i="1"/>
  <c r="H1409" i="1"/>
  <c r="J1409" i="1"/>
  <c r="K1409" i="1"/>
  <c r="L1409" i="1"/>
  <c r="A1410" i="1"/>
  <c r="B1410" i="1"/>
  <c r="C1410" i="1"/>
  <c r="D1410" i="1"/>
  <c r="Q1410" i="1"/>
  <c r="R1410" i="1"/>
  <c r="E1410" i="1"/>
  <c r="G1410" i="1"/>
  <c r="H1410" i="1"/>
  <c r="J1410" i="1"/>
  <c r="K1410" i="1"/>
  <c r="L1410" i="1"/>
  <c r="A1411" i="1"/>
  <c r="B1411" i="1"/>
  <c r="C1411" i="1"/>
  <c r="D1411" i="1"/>
  <c r="Q1411" i="1"/>
  <c r="R1411" i="1"/>
  <c r="E1411" i="1"/>
  <c r="G1411" i="1"/>
  <c r="H1411" i="1"/>
  <c r="J1411" i="1"/>
  <c r="K1411" i="1"/>
  <c r="L1411" i="1"/>
  <c r="A1412" i="1"/>
  <c r="B1412" i="1"/>
  <c r="C1412" i="1"/>
  <c r="D1412" i="1"/>
  <c r="Q1412" i="1"/>
  <c r="R1412" i="1"/>
  <c r="E1412" i="1"/>
  <c r="F1412" i="1"/>
  <c r="G1412" i="1"/>
  <c r="H1412" i="1"/>
  <c r="J1412" i="1"/>
  <c r="K1412" i="1"/>
  <c r="L1412" i="1"/>
  <c r="A1413" i="1"/>
  <c r="B1413" i="1"/>
  <c r="C1413" i="1"/>
  <c r="D1413" i="1"/>
  <c r="Q1413" i="1"/>
  <c r="R1413" i="1"/>
  <c r="E1413" i="1"/>
  <c r="F1413" i="1"/>
  <c r="G1413" i="1"/>
  <c r="H1413" i="1"/>
  <c r="J1413" i="1"/>
  <c r="K1413" i="1"/>
  <c r="L1413" i="1"/>
  <c r="A1414" i="1"/>
  <c r="B1414" i="1"/>
  <c r="C1414" i="1"/>
  <c r="D1414" i="1"/>
  <c r="Q1414" i="1"/>
  <c r="R1414" i="1"/>
  <c r="E1414" i="1"/>
  <c r="F1414" i="1"/>
  <c r="G1414" i="1"/>
  <c r="H1414" i="1"/>
  <c r="J1414" i="1"/>
  <c r="K1414" i="1"/>
  <c r="L1414" i="1"/>
  <c r="A1415" i="1"/>
  <c r="B1415" i="1"/>
  <c r="C1415" i="1"/>
  <c r="D1415" i="1"/>
  <c r="Q1415" i="1"/>
  <c r="R1415" i="1"/>
  <c r="E1415" i="1"/>
  <c r="F1415" i="1"/>
  <c r="G1415" i="1"/>
  <c r="H1415" i="1"/>
  <c r="J1415" i="1"/>
  <c r="K1415" i="1"/>
  <c r="L1415" i="1"/>
  <c r="A1416" i="1"/>
  <c r="B1416" i="1"/>
  <c r="C1416" i="1"/>
  <c r="D1416" i="1"/>
  <c r="Q1416" i="1"/>
  <c r="R1416" i="1"/>
  <c r="E1416" i="1"/>
  <c r="F1416" i="1"/>
  <c r="G1416" i="1"/>
  <c r="H1416" i="1"/>
  <c r="J1416" i="1"/>
  <c r="K1416" i="1"/>
  <c r="L1416" i="1"/>
  <c r="A1417" i="1"/>
  <c r="B1417" i="1"/>
  <c r="C1417" i="1"/>
  <c r="D1417" i="1"/>
  <c r="Q1417" i="1"/>
  <c r="R1417" i="1"/>
  <c r="E1417" i="1"/>
  <c r="F1417" i="1"/>
  <c r="G1417" i="1"/>
  <c r="H1417" i="1"/>
  <c r="J1417" i="1"/>
  <c r="K1417" i="1"/>
  <c r="L1417" i="1"/>
  <c r="A1418" i="1"/>
  <c r="B1418" i="1"/>
  <c r="C1418" i="1"/>
  <c r="D1418" i="1"/>
  <c r="Q1418" i="1"/>
  <c r="R1418" i="1"/>
  <c r="E1418" i="1"/>
  <c r="F1418" i="1"/>
  <c r="G1418" i="1"/>
  <c r="H1418" i="1"/>
  <c r="J1418" i="1"/>
  <c r="K1418" i="1"/>
  <c r="L1418" i="1"/>
  <c r="A1419" i="1"/>
  <c r="B1419" i="1"/>
  <c r="C1419" i="1"/>
  <c r="D1419" i="1"/>
  <c r="Q1419" i="1"/>
  <c r="R1419" i="1"/>
  <c r="E1419" i="1"/>
  <c r="F1419" i="1"/>
  <c r="G1419" i="1"/>
  <c r="H1419" i="1"/>
  <c r="J1419" i="1"/>
  <c r="K1419" i="1"/>
  <c r="L1419" i="1"/>
  <c r="A1420" i="1"/>
  <c r="B1420" i="1"/>
  <c r="C1420" i="1"/>
  <c r="D1420" i="1"/>
  <c r="Q1420" i="1"/>
  <c r="R1420" i="1"/>
  <c r="E1420" i="1"/>
  <c r="F1420" i="1"/>
  <c r="G1420" i="1"/>
  <c r="H1420" i="1"/>
  <c r="J1420" i="1"/>
  <c r="K1420" i="1"/>
  <c r="L1420" i="1"/>
  <c r="A1421" i="1"/>
  <c r="B1421" i="1"/>
  <c r="C1421" i="1"/>
  <c r="D1421" i="1"/>
  <c r="Q1421" i="1"/>
  <c r="R1421" i="1"/>
  <c r="E1421" i="1"/>
  <c r="F1421" i="1"/>
  <c r="G1421" i="1"/>
  <c r="H1421" i="1"/>
  <c r="J1421" i="1"/>
  <c r="K1421" i="1"/>
  <c r="L1421" i="1"/>
  <c r="A1422" i="1"/>
  <c r="B1422" i="1"/>
  <c r="C1422" i="1"/>
  <c r="D1422" i="1"/>
  <c r="Q1422" i="1"/>
  <c r="R1422" i="1"/>
  <c r="E1422" i="1"/>
  <c r="F1422" i="1"/>
  <c r="G1422" i="1"/>
  <c r="H1422" i="1"/>
  <c r="J1422" i="1"/>
  <c r="K1422" i="1"/>
  <c r="L1422" i="1"/>
  <c r="A1423" i="1"/>
  <c r="B1423" i="1"/>
  <c r="C1423" i="1"/>
  <c r="D1423" i="1"/>
  <c r="Q1423" i="1"/>
  <c r="R1423" i="1"/>
  <c r="E1423" i="1"/>
  <c r="F1423" i="1"/>
  <c r="G1423" i="1"/>
  <c r="H1423" i="1"/>
  <c r="J1423" i="1"/>
  <c r="K1423" i="1"/>
  <c r="L1423" i="1"/>
  <c r="A1425" i="1"/>
  <c r="B1425" i="1"/>
  <c r="C1425" i="1"/>
  <c r="D1425" i="1"/>
  <c r="Q1425" i="1"/>
  <c r="R1425" i="1"/>
  <c r="E1425" i="1"/>
  <c r="G1425" i="1"/>
  <c r="H1425" i="1"/>
  <c r="J1425" i="1"/>
  <c r="K1425" i="1"/>
  <c r="L1425" i="1"/>
  <c r="A1426" i="1"/>
  <c r="B1426" i="1"/>
  <c r="C1426" i="1"/>
  <c r="D1426" i="1"/>
  <c r="Q1426" i="1"/>
  <c r="R1426" i="1"/>
  <c r="E1426" i="1"/>
  <c r="G1426" i="1"/>
  <c r="H1426" i="1"/>
  <c r="J1426" i="1"/>
  <c r="K1426" i="1"/>
  <c r="L1426" i="1"/>
  <c r="A1427" i="1"/>
  <c r="B1427" i="1"/>
  <c r="C1427" i="1"/>
  <c r="D1427" i="1"/>
  <c r="Q1427" i="1"/>
  <c r="R1427" i="1"/>
  <c r="E1427" i="1"/>
  <c r="G1427" i="1"/>
  <c r="H1427" i="1"/>
  <c r="J1427" i="1"/>
  <c r="K1427" i="1"/>
  <c r="L1427" i="1"/>
  <c r="A1428" i="1"/>
  <c r="B1428" i="1"/>
  <c r="C1428" i="1"/>
  <c r="D1428" i="1"/>
  <c r="Q1428" i="1"/>
  <c r="R1428" i="1"/>
  <c r="E1428" i="1"/>
  <c r="G1428" i="1"/>
  <c r="H1428" i="1"/>
  <c r="J1428" i="1"/>
  <c r="K1428" i="1"/>
  <c r="L1428" i="1"/>
  <c r="A1429" i="1"/>
  <c r="B1429" i="1"/>
  <c r="C1429" i="1"/>
  <c r="D1429" i="1"/>
  <c r="Q1429" i="1"/>
  <c r="R1429" i="1"/>
  <c r="E1429" i="1"/>
  <c r="G1429" i="1"/>
  <c r="H1429" i="1"/>
  <c r="J1429" i="1"/>
  <c r="K1429" i="1"/>
  <c r="L1429" i="1"/>
  <c r="A1430" i="1"/>
  <c r="B1430" i="1"/>
  <c r="C1430" i="1"/>
  <c r="D1430" i="1"/>
  <c r="Q1430" i="1"/>
  <c r="R1430" i="1"/>
  <c r="E1430" i="1"/>
  <c r="G1430" i="1"/>
  <c r="H1430" i="1"/>
  <c r="J1430" i="1"/>
  <c r="K1430" i="1"/>
  <c r="L1430" i="1"/>
  <c r="A8523" i="1"/>
  <c r="B8523" i="1"/>
  <c r="C8523" i="1"/>
  <c r="D8523" i="1"/>
  <c r="Q8523" i="1"/>
  <c r="R8523" i="1"/>
  <c r="E8523" i="1"/>
  <c r="G8523" i="1"/>
  <c r="H8523" i="1"/>
  <c r="J8523" i="1"/>
  <c r="K8523" i="1"/>
  <c r="L8523" i="1"/>
  <c r="A8524" i="1"/>
  <c r="B8524" i="1"/>
  <c r="C8524" i="1"/>
  <c r="D8524" i="1"/>
  <c r="Q8524" i="1"/>
  <c r="R8524" i="1"/>
  <c r="E8524" i="1"/>
  <c r="G8524" i="1"/>
  <c r="H8524" i="1"/>
  <c r="J8524" i="1"/>
  <c r="K8524" i="1"/>
  <c r="L8524" i="1"/>
  <c r="A8525" i="1"/>
  <c r="B8525" i="1"/>
  <c r="C8525" i="1"/>
  <c r="D8525" i="1"/>
  <c r="Q8525" i="1"/>
  <c r="R8525" i="1"/>
  <c r="E8525" i="1"/>
  <c r="G8525" i="1"/>
  <c r="H8525" i="1"/>
  <c r="J8525" i="1"/>
  <c r="K8525" i="1"/>
  <c r="L8525" i="1"/>
  <c r="A8526" i="1"/>
  <c r="B8526" i="1"/>
  <c r="C8526" i="1"/>
  <c r="D8526" i="1"/>
  <c r="Q8526" i="1"/>
  <c r="R8526" i="1"/>
  <c r="E8526" i="1"/>
  <c r="G8526" i="1"/>
  <c r="H8526" i="1"/>
  <c r="J8526" i="1"/>
  <c r="K8526" i="1"/>
  <c r="L8526" i="1"/>
  <c r="A8527" i="1"/>
  <c r="B8527" i="1"/>
  <c r="C8527" i="1"/>
  <c r="D8527" i="1"/>
  <c r="Q8527" i="1"/>
  <c r="R8527" i="1"/>
  <c r="E8527" i="1"/>
  <c r="G8527" i="1"/>
  <c r="H8527" i="1"/>
  <c r="J8527" i="1"/>
  <c r="K8527" i="1"/>
  <c r="L8527" i="1"/>
  <c r="A8528" i="1"/>
  <c r="B8528" i="1"/>
  <c r="C8528" i="1"/>
  <c r="D8528" i="1"/>
  <c r="Q8528" i="1"/>
  <c r="R8528" i="1"/>
  <c r="E8528" i="1"/>
  <c r="G8528" i="1"/>
  <c r="H8528" i="1"/>
  <c r="J8528" i="1"/>
  <c r="K8528" i="1"/>
  <c r="L8528" i="1"/>
  <c r="A8529" i="1"/>
  <c r="B8529" i="1"/>
  <c r="C8529" i="1"/>
  <c r="D8529" i="1"/>
  <c r="Q8529" i="1"/>
  <c r="R8529" i="1"/>
  <c r="E8529" i="1"/>
  <c r="G8529" i="1"/>
  <c r="H8529" i="1"/>
  <c r="J8529" i="1"/>
  <c r="K8529" i="1"/>
  <c r="L8529" i="1"/>
  <c r="A8530" i="1"/>
  <c r="B8530" i="1"/>
  <c r="C8530" i="1"/>
  <c r="D8530" i="1"/>
  <c r="Q8530" i="1"/>
  <c r="R8530" i="1"/>
  <c r="E8530" i="1"/>
  <c r="G8530" i="1"/>
  <c r="H8530" i="1"/>
  <c r="J8530" i="1"/>
  <c r="K8530" i="1"/>
  <c r="L8530" i="1"/>
  <c r="A1432" i="1"/>
  <c r="B1432" i="1"/>
  <c r="C1432" i="1"/>
  <c r="D1432" i="1"/>
  <c r="Q1432" i="1"/>
  <c r="R1432" i="1"/>
  <c r="E1432" i="1"/>
  <c r="F1432" i="1"/>
  <c r="G1432" i="1"/>
  <c r="H1432" i="1"/>
  <c r="J1432" i="1"/>
  <c r="K1432" i="1"/>
  <c r="L1432" i="1"/>
  <c r="A1433" i="1"/>
  <c r="B1433" i="1"/>
  <c r="C1433" i="1"/>
  <c r="D1433" i="1"/>
  <c r="Q1433" i="1"/>
  <c r="R1433" i="1"/>
  <c r="E1433" i="1"/>
  <c r="F1433" i="1"/>
  <c r="G1433" i="1"/>
  <c r="H1433" i="1"/>
  <c r="J1433" i="1"/>
  <c r="K1433" i="1"/>
  <c r="L1433" i="1"/>
  <c r="A1434" i="1"/>
  <c r="B1434" i="1"/>
  <c r="C1434" i="1"/>
  <c r="D1434" i="1"/>
  <c r="Q1434" i="1"/>
  <c r="R1434" i="1"/>
  <c r="E1434" i="1"/>
  <c r="G1434" i="1"/>
  <c r="H1434" i="1"/>
  <c r="J1434" i="1"/>
  <c r="K1434" i="1"/>
  <c r="L1434" i="1"/>
  <c r="A1435" i="1"/>
  <c r="B1435" i="1"/>
  <c r="C1435" i="1"/>
  <c r="D1435" i="1"/>
  <c r="Q1435" i="1"/>
  <c r="R1435" i="1"/>
  <c r="E1435" i="1"/>
  <c r="G1435" i="1"/>
  <c r="H1435" i="1"/>
  <c r="J1435" i="1"/>
  <c r="K1435" i="1"/>
  <c r="L1435" i="1"/>
  <c r="A1436" i="1"/>
  <c r="B1436" i="1"/>
  <c r="C1436" i="1"/>
  <c r="D1436" i="1"/>
  <c r="Q1436" i="1"/>
  <c r="R1436" i="1"/>
  <c r="E1436" i="1"/>
  <c r="G1436" i="1"/>
  <c r="H1436" i="1"/>
  <c r="J1436" i="1"/>
  <c r="K1436" i="1"/>
  <c r="L1436" i="1"/>
  <c r="A1437" i="1"/>
  <c r="B1437" i="1"/>
  <c r="C1437" i="1"/>
  <c r="D1437" i="1"/>
  <c r="Q1437" i="1"/>
  <c r="R1437" i="1"/>
  <c r="E1437" i="1"/>
  <c r="G1437" i="1"/>
  <c r="H1437" i="1"/>
  <c r="J1437" i="1"/>
  <c r="K1437" i="1"/>
  <c r="L1437" i="1"/>
  <c r="A1438" i="1"/>
  <c r="B1438" i="1"/>
  <c r="C1438" i="1"/>
  <c r="D1438" i="1"/>
  <c r="Q1438" i="1"/>
  <c r="R1438" i="1"/>
  <c r="E1438" i="1"/>
  <c r="G1438" i="1"/>
  <c r="H1438" i="1"/>
  <c r="J1438" i="1"/>
  <c r="K1438" i="1"/>
  <c r="L1438" i="1"/>
  <c r="A1439" i="1"/>
  <c r="B1439" i="1"/>
  <c r="C1439" i="1"/>
  <c r="D1439" i="1"/>
  <c r="Q1439" i="1"/>
  <c r="R1439" i="1"/>
  <c r="E1439" i="1"/>
  <c r="G1439" i="1"/>
  <c r="H1439" i="1"/>
  <c r="J1439" i="1"/>
  <c r="K1439" i="1"/>
  <c r="L1439" i="1"/>
  <c r="A1440" i="1"/>
  <c r="B1440" i="1"/>
  <c r="C1440" i="1"/>
  <c r="D1440" i="1"/>
  <c r="Q1440" i="1"/>
  <c r="R1440" i="1"/>
  <c r="E1440" i="1"/>
  <c r="G1440" i="1"/>
  <c r="H1440" i="1"/>
  <c r="J1440" i="1"/>
  <c r="K1440" i="1"/>
  <c r="L1440" i="1"/>
  <c r="A1441" i="1"/>
  <c r="B1441" i="1"/>
  <c r="C1441" i="1"/>
  <c r="D1441" i="1"/>
  <c r="Q1441" i="1"/>
  <c r="R1441" i="1"/>
  <c r="E1441" i="1"/>
  <c r="G1441" i="1"/>
  <c r="H1441" i="1"/>
  <c r="J1441" i="1"/>
  <c r="K1441" i="1"/>
  <c r="L1441" i="1"/>
  <c r="A1442" i="1"/>
  <c r="B1442" i="1"/>
  <c r="C1442" i="1"/>
  <c r="D1442" i="1"/>
  <c r="Q1442" i="1"/>
  <c r="R1442" i="1"/>
  <c r="E1442" i="1"/>
  <c r="G1442" i="1"/>
  <c r="H1442" i="1"/>
  <c r="J1442" i="1"/>
  <c r="K1442" i="1"/>
  <c r="L1442" i="1"/>
  <c r="A1443" i="1"/>
  <c r="B1443" i="1"/>
  <c r="C1443" i="1"/>
  <c r="D1443" i="1"/>
  <c r="Q1443" i="1"/>
  <c r="R1443" i="1"/>
  <c r="E1443" i="1"/>
  <c r="G1443" i="1"/>
  <c r="H1443" i="1"/>
  <c r="J1443" i="1"/>
  <c r="K1443" i="1"/>
  <c r="L1443" i="1"/>
  <c r="A1444" i="1"/>
  <c r="B1444" i="1"/>
  <c r="C1444" i="1"/>
  <c r="D1444" i="1"/>
  <c r="Q1444" i="1"/>
  <c r="R1444" i="1"/>
  <c r="E1444" i="1"/>
  <c r="G1444" i="1"/>
  <c r="H1444" i="1"/>
  <c r="J1444" i="1"/>
  <c r="K1444" i="1"/>
  <c r="L1444" i="1"/>
  <c r="A1445" i="1"/>
  <c r="B1445" i="1"/>
  <c r="C1445" i="1"/>
  <c r="D1445" i="1"/>
  <c r="Q1445" i="1"/>
  <c r="R1445" i="1"/>
  <c r="E1445" i="1"/>
  <c r="G1445" i="1"/>
  <c r="H1445" i="1"/>
  <c r="J1445" i="1"/>
  <c r="K1445" i="1"/>
  <c r="L1445" i="1"/>
  <c r="A1446" i="1"/>
  <c r="B1446" i="1"/>
  <c r="C1446" i="1"/>
  <c r="D1446" i="1"/>
  <c r="Q1446" i="1"/>
  <c r="R1446" i="1"/>
  <c r="E1446" i="1"/>
  <c r="G1446" i="1"/>
  <c r="H1446" i="1"/>
  <c r="J1446" i="1"/>
  <c r="K1446" i="1"/>
  <c r="L1446" i="1"/>
  <c r="A1447" i="1"/>
  <c r="B1447" i="1"/>
  <c r="C1447" i="1"/>
  <c r="D1447" i="1"/>
  <c r="Q1447" i="1"/>
  <c r="R1447" i="1"/>
  <c r="E1447" i="1"/>
  <c r="G1447" i="1"/>
  <c r="H1447" i="1"/>
  <c r="J1447" i="1"/>
  <c r="K1447" i="1"/>
  <c r="L1447" i="1"/>
  <c r="A1448" i="1"/>
  <c r="B1448" i="1"/>
  <c r="C1448" i="1"/>
  <c r="D1448" i="1"/>
  <c r="Q1448" i="1"/>
  <c r="R1448" i="1"/>
  <c r="E1448" i="1"/>
  <c r="G1448" i="1"/>
  <c r="H1448" i="1"/>
  <c r="J1448" i="1"/>
  <c r="K1448" i="1"/>
  <c r="L1448" i="1"/>
  <c r="A1449" i="1"/>
  <c r="B1449" i="1"/>
  <c r="C1449" i="1"/>
  <c r="D1449" i="1"/>
  <c r="Q1449" i="1"/>
  <c r="R1449" i="1"/>
  <c r="E1449" i="1"/>
  <c r="G1449" i="1"/>
  <c r="H1449" i="1"/>
  <c r="J1449" i="1"/>
  <c r="K1449" i="1"/>
  <c r="L1449" i="1"/>
  <c r="A1450" i="1"/>
  <c r="B1450" i="1"/>
  <c r="C1450" i="1"/>
  <c r="D1450" i="1"/>
  <c r="Q1450" i="1"/>
  <c r="R1450" i="1"/>
  <c r="E1450" i="1"/>
  <c r="G1450" i="1"/>
  <c r="H1450" i="1"/>
  <c r="J1450" i="1"/>
  <c r="K1450" i="1"/>
  <c r="L1450" i="1"/>
  <c r="A1451" i="1"/>
  <c r="B1451" i="1"/>
  <c r="C1451" i="1"/>
  <c r="D1451" i="1"/>
  <c r="Q1451" i="1"/>
  <c r="R1451" i="1"/>
  <c r="E1451" i="1"/>
  <c r="G1451" i="1"/>
  <c r="H1451" i="1"/>
  <c r="J1451" i="1"/>
  <c r="K1451" i="1"/>
  <c r="L1451" i="1"/>
  <c r="A1452" i="1"/>
  <c r="B1452" i="1"/>
  <c r="C1452" i="1"/>
  <c r="D1452" i="1"/>
  <c r="Q1452" i="1"/>
  <c r="R1452" i="1"/>
  <c r="E1452" i="1"/>
  <c r="G1452" i="1"/>
  <c r="H1452" i="1"/>
  <c r="J1452" i="1"/>
  <c r="K1452" i="1"/>
  <c r="L1452" i="1"/>
  <c r="A1453" i="1"/>
  <c r="B1453" i="1"/>
  <c r="C1453" i="1"/>
  <c r="D1453" i="1"/>
  <c r="Q1453" i="1"/>
  <c r="R1453" i="1"/>
  <c r="E1453" i="1"/>
  <c r="G1453" i="1"/>
  <c r="H1453" i="1"/>
  <c r="J1453" i="1"/>
  <c r="K1453" i="1"/>
  <c r="L1453" i="1"/>
  <c r="A1454" i="1"/>
  <c r="B1454" i="1"/>
  <c r="C1454" i="1"/>
  <c r="D1454" i="1"/>
  <c r="Q1454" i="1"/>
  <c r="R1454" i="1"/>
  <c r="E1454" i="1"/>
  <c r="G1454" i="1"/>
  <c r="H1454" i="1"/>
  <c r="J1454" i="1"/>
  <c r="K1454" i="1"/>
  <c r="L1454" i="1"/>
  <c r="A1455" i="1"/>
  <c r="B1455" i="1"/>
  <c r="C1455" i="1"/>
  <c r="D1455" i="1"/>
  <c r="Q1455" i="1"/>
  <c r="R1455" i="1"/>
  <c r="E1455" i="1"/>
  <c r="G1455" i="1"/>
  <c r="H1455" i="1"/>
  <c r="J1455" i="1"/>
  <c r="K1455" i="1"/>
  <c r="L1455" i="1"/>
  <c r="A1456" i="1"/>
  <c r="B1456" i="1"/>
  <c r="C1456" i="1"/>
  <c r="D1456" i="1"/>
  <c r="Q1456" i="1"/>
  <c r="R1456" i="1"/>
  <c r="E1456" i="1"/>
  <c r="G1456" i="1"/>
  <c r="H1456" i="1"/>
  <c r="J1456" i="1"/>
  <c r="K1456" i="1"/>
  <c r="L1456" i="1"/>
  <c r="A1457" i="1"/>
  <c r="B1457" i="1"/>
  <c r="C1457" i="1"/>
  <c r="D1457" i="1"/>
  <c r="Q1457" i="1"/>
  <c r="R1457" i="1"/>
  <c r="E1457" i="1"/>
  <c r="G1457" i="1"/>
  <c r="H1457" i="1"/>
  <c r="J1457" i="1"/>
  <c r="K1457" i="1"/>
  <c r="L1457" i="1"/>
  <c r="A1458" i="1"/>
  <c r="B1458" i="1"/>
  <c r="C1458" i="1"/>
  <c r="D1458" i="1"/>
  <c r="Q1458" i="1"/>
  <c r="R1458" i="1"/>
  <c r="E1458" i="1"/>
  <c r="G1458" i="1"/>
  <c r="H1458" i="1"/>
  <c r="J1458" i="1"/>
  <c r="K1458" i="1"/>
  <c r="L1458" i="1"/>
  <c r="A1459" i="1"/>
  <c r="B1459" i="1"/>
  <c r="C1459" i="1"/>
  <c r="D1459" i="1"/>
  <c r="Q1459" i="1"/>
  <c r="R1459" i="1"/>
  <c r="E1459" i="1"/>
  <c r="G1459" i="1"/>
  <c r="H1459" i="1"/>
  <c r="J1459" i="1"/>
  <c r="K1459" i="1"/>
  <c r="L1459" i="1"/>
  <c r="A1460" i="1"/>
  <c r="B1460" i="1"/>
  <c r="C1460" i="1"/>
  <c r="D1460" i="1"/>
  <c r="Q1460" i="1"/>
  <c r="R1460" i="1"/>
  <c r="E1460" i="1"/>
  <c r="G1460" i="1"/>
  <c r="H1460" i="1"/>
  <c r="J1460" i="1"/>
  <c r="K1460" i="1"/>
  <c r="L1460" i="1"/>
  <c r="A1461" i="1"/>
  <c r="B1461" i="1"/>
  <c r="C1461" i="1"/>
  <c r="D1461" i="1"/>
  <c r="Q1461" i="1"/>
  <c r="R1461" i="1"/>
  <c r="E1461" i="1"/>
  <c r="G1461" i="1"/>
  <c r="H1461" i="1"/>
  <c r="J1461" i="1"/>
  <c r="K1461" i="1"/>
  <c r="L1461" i="1"/>
  <c r="A1462" i="1"/>
  <c r="B1462" i="1"/>
  <c r="C1462" i="1"/>
  <c r="D1462" i="1"/>
  <c r="Q1462" i="1"/>
  <c r="R1462" i="1"/>
  <c r="E1462" i="1"/>
  <c r="G1462" i="1"/>
  <c r="H1462" i="1"/>
  <c r="J1462" i="1"/>
  <c r="K1462" i="1"/>
  <c r="L1462" i="1"/>
  <c r="A1463" i="1"/>
  <c r="B1463" i="1"/>
  <c r="C1463" i="1"/>
  <c r="D1463" i="1"/>
  <c r="Q1463" i="1"/>
  <c r="R1463" i="1"/>
  <c r="E1463" i="1"/>
  <c r="G1463" i="1"/>
  <c r="H1463" i="1"/>
  <c r="J1463" i="1"/>
  <c r="K1463" i="1"/>
  <c r="L1463" i="1"/>
  <c r="A1464" i="1"/>
  <c r="B1464" i="1"/>
  <c r="C1464" i="1"/>
  <c r="D1464" i="1"/>
  <c r="Q1464" i="1"/>
  <c r="R1464" i="1"/>
  <c r="E1464" i="1"/>
  <c r="G1464" i="1"/>
  <c r="H1464" i="1"/>
  <c r="J1464" i="1"/>
  <c r="K1464" i="1"/>
  <c r="L1464" i="1"/>
  <c r="A1465" i="1"/>
  <c r="B1465" i="1"/>
  <c r="C1465" i="1"/>
  <c r="D1465" i="1"/>
  <c r="Q1465" i="1"/>
  <c r="R1465" i="1"/>
  <c r="E1465" i="1"/>
  <c r="G1465" i="1"/>
  <c r="H1465" i="1"/>
  <c r="J1465" i="1"/>
  <c r="K1465" i="1"/>
  <c r="L1465" i="1"/>
  <c r="A1466" i="1"/>
  <c r="B1466" i="1"/>
  <c r="C1466" i="1"/>
  <c r="D1466" i="1"/>
  <c r="Q1466" i="1"/>
  <c r="R1466" i="1"/>
  <c r="E1466" i="1"/>
  <c r="G1466" i="1"/>
  <c r="H1466" i="1"/>
  <c r="J1466" i="1"/>
  <c r="K1466" i="1"/>
  <c r="L1466" i="1"/>
  <c r="A1467" i="1"/>
  <c r="B1467" i="1"/>
  <c r="C1467" i="1"/>
  <c r="D1467" i="1"/>
  <c r="Q1467" i="1"/>
  <c r="R1467" i="1"/>
  <c r="E1467" i="1"/>
  <c r="G1467" i="1"/>
  <c r="H1467" i="1"/>
  <c r="J1467" i="1"/>
  <c r="K1467" i="1"/>
  <c r="L1467" i="1"/>
  <c r="A1468" i="1"/>
  <c r="B1468" i="1"/>
  <c r="C1468" i="1"/>
  <c r="D1468" i="1"/>
  <c r="Q1468" i="1"/>
  <c r="R1468" i="1"/>
  <c r="E1468" i="1"/>
  <c r="G1468" i="1"/>
  <c r="H1468" i="1"/>
  <c r="J1468" i="1"/>
  <c r="K1468" i="1"/>
  <c r="L1468" i="1"/>
  <c r="A1469" i="1"/>
  <c r="B1469" i="1"/>
  <c r="C1469" i="1"/>
  <c r="D1469" i="1"/>
  <c r="Q1469" i="1"/>
  <c r="R1469" i="1"/>
  <c r="E1469" i="1"/>
  <c r="G1469" i="1"/>
  <c r="H1469" i="1"/>
  <c r="J1469" i="1"/>
  <c r="K1469" i="1"/>
  <c r="L1469" i="1"/>
  <c r="A1470" i="1"/>
  <c r="B1470" i="1"/>
  <c r="C1470" i="1"/>
  <c r="D1470" i="1"/>
  <c r="Q1470" i="1"/>
  <c r="R1470" i="1"/>
  <c r="E1470" i="1"/>
  <c r="G1470" i="1"/>
  <c r="H1470" i="1"/>
  <c r="J1470" i="1"/>
  <c r="K1470" i="1"/>
  <c r="L1470" i="1"/>
  <c r="A1471" i="1"/>
  <c r="B1471" i="1"/>
  <c r="C1471" i="1"/>
  <c r="D1471" i="1"/>
  <c r="Q1471" i="1"/>
  <c r="R1471" i="1"/>
  <c r="E1471" i="1"/>
  <c r="G1471" i="1"/>
  <c r="H1471" i="1"/>
  <c r="J1471" i="1"/>
  <c r="K1471" i="1"/>
  <c r="L1471" i="1"/>
  <c r="A1472" i="1"/>
  <c r="B1472" i="1"/>
  <c r="C1472" i="1"/>
  <c r="D1472" i="1"/>
  <c r="Q1472" i="1"/>
  <c r="R1472" i="1"/>
  <c r="E1472" i="1"/>
  <c r="G1472" i="1"/>
  <c r="H1472" i="1"/>
  <c r="J1472" i="1"/>
  <c r="K1472" i="1"/>
  <c r="L1472" i="1"/>
  <c r="A1473" i="1"/>
  <c r="B1473" i="1"/>
  <c r="C1473" i="1"/>
  <c r="D1473" i="1"/>
  <c r="Q1473" i="1"/>
  <c r="R1473" i="1"/>
  <c r="E1473" i="1"/>
  <c r="G1473" i="1"/>
  <c r="H1473" i="1"/>
  <c r="J1473" i="1"/>
  <c r="K1473" i="1"/>
  <c r="L1473" i="1"/>
  <c r="A1474" i="1"/>
  <c r="B1474" i="1"/>
  <c r="C1474" i="1"/>
  <c r="D1474" i="1"/>
  <c r="Q1474" i="1"/>
  <c r="R1474" i="1"/>
  <c r="E1474" i="1"/>
  <c r="G1474" i="1"/>
  <c r="H1474" i="1"/>
  <c r="J1474" i="1"/>
  <c r="K1474" i="1"/>
  <c r="L1474" i="1"/>
  <c r="A1475" i="1"/>
  <c r="B1475" i="1"/>
  <c r="C1475" i="1"/>
  <c r="D1475" i="1"/>
  <c r="Q1475" i="1"/>
  <c r="R1475" i="1"/>
  <c r="E1475" i="1"/>
  <c r="G1475" i="1"/>
  <c r="H1475" i="1"/>
  <c r="J1475" i="1"/>
  <c r="K1475" i="1"/>
  <c r="L1475" i="1"/>
  <c r="A1476" i="1"/>
  <c r="B1476" i="1"/>
  <c r="C1476" i="1"/>
  <c r="D1476" i="1"/>
  <c r="Q1476" i="1"/>
  <c r="R1476" i="1"/>
  <c r="E1476" i="1"/>
  <c r="G1476" i="1"/>
  <c r="H1476" i="1"/>
  <c r="J1476" i="1"/>
  <c r="K1476" i="1"/>
  <c r="L1476" i="1"/>
  <c r="A1477" i="1"/>
  <c r="B1477" i="1"/>
  <c r="C1477" i="1"/>
  <c r="D1477" i="1"/>
  <c r="Q1477" i="1"/>
  <c r="R1477" i="1"/>
  <c r="E1477" i="1"/>
  <c r="G1477" i="1"/>
  <c r="H1477" i="1"/>
  <c r="J1477" i="1"/>
  <c r="K1477" i="1"/>
  <c r="L1477" i="1"/>
  <c r="A1478" i="1"/>
  <c r="B1478" i="1"/>
  <c r="C1478" i="1"/>
  <c r="D1478" i="1"/>
  <c r="Q1478" i="1"/>
  <c r="R1478" i="1"/>
  <c r="E1478" i="1"/>
  <c r="G1478" i="1"/>
  <c r="H1478" i="1"/>
  <c r="J1478" i="1"/>
  <c r="K1478" i="1"/>
  <c r="L1478" i="1"/>
  <c r="A1479" i="1"/>
  <c r="B1479" i="1"/>
  <c r="C1479" i="1"/>
  <c r="D1479" i="1"/>
  <c r="Q1479" i="1"/>
  <c r="R1479" i="1"/>
  <c r="E1479" i="1"/>
  <c r="G1479" i="1"/>
  <c r="H1479" i="1"/>
  <c r="J1479" i="1"/>
  <c r="K1479" i="1"/>
  <c r="L1479" i="1"/>
  <c r="A1480" i="1"/>
  <c r="B1480" i="1"/>
  <c r="C1480" i="1"/>
  <c r="D1480" i="1"/>
  <c r="Q1480" i="1"/>
  <c r="R1480" i="1"/>
  <c r="E1480" i="1"/>
  <c r="G1480" i="1"/>
  <c r="H1480" i="1"/>
  <c r="J1480" i="1"/>
  <c r="K1480" i="1"/>
  <c r="L1480" i="1"/>
  <c r="A1481" i="1"/>
  <c r="B1481" i="1"/>
  <c r="C1481" i="1"/>
  <c r="D1481" i="1"/>
  <c r="Q1481" i="1"/>
  <c r="R1481" i="1"/>
  <c r="E1481" i="1"/>
  <c r="G1481" i="1"/>
  <c r="H1481" i="1"/>
  <c r="J1481" i="1"/>
  <c r="K1481" i="1"/>
  <c r="L1481" i="1"/>
  <c r="A1482" i="1"/>
  <c r="B1482" i="1"/>
  <c r="C1482" i="1"/>
  <c r="D1482" i="1"/>
  <c r="Q1482" i="1"/>
  <c r="R1482" i="1"/>
  <c r="E1482" i="1"/>
  <c r="G1482" i="1"/>
  <c r="H1482" i="1"/>
  <c r="J1482" i="1"/>
  <c r="K1482" i="1"/>
  <c r="L1482" i="1"/>
  <c r="A1483" i="1"/>
  <c r="B1483" i="1"/>
  <c r="C1483" i="1"/>
  <c r="D1483" i="1"/>
  <c r="Q1483" i="1"/>
  <c r="R1483" i="1"/>
  <c r="E1483" i="1"/>
  <c r="G1483" i="1"/>
  <c r="H1483" i="1"/>
  <c r="J1483" i="1"/>
  <c r="K1483" i="1"/>
  <c r="L1483" i="1"/>
  <c r="A1484" i="1"/>
  <c r="B1484" i="1"/>
  <c r="C1484" i="1"/>
  <c r="D1484" i="1"/>
  <c r="Q1484" i="1"/>
  <c r="R1484" i="1"/>
  <c r="E1484" i="1"/>
  <c r="G1484" i="1"/>
  <c r="H1484" i="1"/>
  <c r="J1484" i="1"/>
  <c r="K1484" i="1"/>
  <c r="L1484" i="1"/>
  <c r="A1485" i="1"/>
  <c r="B1485" i="1"/>
  <c r="C1485" i="1"/>
  <c r="D1485" i="1"/>
  <c r="Q1485" i="1"/>
  <c r="R1485" i="1"/>
  <c r="E1485" i="1"/>
  <c r="G1485" i="1"/>
  <c r="H1485" i="1"/>
  <c r="J1485" i="1"/>
  <c r="K1485" i="1"/>
  <c r="L1485" i="1"/>
  <c r="A1486" i="1"/>
  <c r="B1486" i="1"/>
  <c r="C1486" i="1"/>
  <c r="D1486" i="1"/>
  <c r="Q1486" i="1"/>
  <c r="R1486" i="1"/>
  <c r="E1486" i="1"/>
  <c r="G1486" i="1"/>
  <c r="H1486" i="1"/>
  <c r="J1486" i="1"/>
  <c r="K1486" i="1"/>
  <c r="L1486" i="1"/>
  <c r="A1487" i="1"/>
  <c r="B1487" i="1"/>
  <c r="C1487" i="1"/>
  <c r="D1487" i="1"/>
  <c r="Q1487" i="1"/>
  <c r="R1487" i="1"/>
  <c r="E1487" i="1"/>
  <c r="G1487" i="1"/>
  <c r="H1487" i="1"/>
  <c r="J1487" i="1"/>
  <c r="K1487" i="1"/>
  <c r="L1487" i="1"/>
  <c r="A1488" i="1"/>
  <c r="B1488" i="1"/>
  <c r="C1488" i="1"/>
  <c r="D1488" i="1"/>
  <c r="Q1488" i="1"/>
  <c r="R1488" i="1"/>
  <c r="E1488" i="1"/>
  <c r="G1488" i="1"/>
  <c r="H1488" i="1"/>
  <c r="J1488" i="1"/>
  <c r="K1488" i="1"/>
  <c r="L1488" i="1"/>
  <c r="A1489" i="1"/>
  <c r="B1489" i="1"/>
  <c r="C1489" i="1"/>
  <c r="D1489" i="1"/>
  <c r="Q1489" i="1"/>
  <c r="R1489" i="1"/>
  <c r="E1489" i="1"/>
  <c r="G1489" i="1"/>
  <c r="H1489" i="1"/>
  <c r="J1489" i="1"/>
  <c r="K1489" i="1"/>
  <c r="L1489" i="1"/>
  <c r="A1490" i="1"/>
  <c r="B1490" i="1"/>
  <c r="C1490" i="1"/>
  <c r="D1490" i="1"/>
  <c r="Q1490" i="1"/>
  <c r="R1490" i="1"/>
  <c r="E1490" i="1"/>
  <c r="G1490" i="1"/>
  <c r="H1490" i="1"/>
  <c r="J1490" i="1"/>
  <c r="K1490" i="1"/>
  <c r="L1490" i="1"/>
  <c r="A1491" i="1"/>
  <c r="B1491" i="1"/>
  <c r="C1491" i="1"/>
  <c r="D1491" i="1"/>
  <c r="Q1491" i="1"/>
  <c r="R1491" i="1"/>
  <c r="E1491" i="1"/>
  <c r="G1491" i="1"/>
  <c r="H1491" i="1"/>
  <c r="J1491" i="1"/>
  <c r="K1491" i="1"/>
  <c r="L1491" i="1"/>
  <c r="A1492" i="1"/>
  <c r="B1492" i="1"/>
  <c r="C1492" i="1"/>
  <c r="D1492" i="1"/>
  <c r="Q1492" i="1"/>
  <c r="R1492" i="1"/>
  <c r="E1492" i="1"/>
  <c r="G1492" i="1"/>
  <c r="H1492" i="1"/>
  <c r="J1492" i="1"/>
  <c r="K1492" i="1"/>
  <c r="L1492" i="1"/>
  <c r="A1493" i="1"/>
  <c r="B1493" i="1"/>
  <c r="C1493" i="1"/>
  <c r="D1493" i="1"/>
  <c r="Q1493" i="1"/>
  <c r="R1493" i="1"/>
  <c r="E1493" i="1"/>
  <c r="G1493" i="1"/>
  <c r="H1493" i="1"/>
  <c r="J1493" i="1"/>
  <c r="K1493" i="1"/>
  <c r="L1493" i="1"/>
  <c r="A1494" i="1"/>
  <c r="B1494" i="1"/>
  <c r="C1494" i="1"/>
  <c r="D1494" i="1"/>
  <c r="Q1494" i="1"/>
  <c r="R1494" i="1"/>
  <c r="E1494" i="1"/>
  <c r="G1494" i="1"/>
  <c r="H1494" i="1"/>
  <c r="J1494" i="1"/>
  <c r="K1494" i="1"/>
  <c r="L1494" i="1"/>
  <c r="A1495" i="1"/>
  <c r="B1495" i="1"/>
  <c r="C1495" i="1"/>
  <c r="D1495" i="1"/>
  <c r="Q1495" i="1"/>
  <c r="R1495" i="1"/>
  <c r="E1495" i="1"/>
  <c r="G1495" i="1"/>
  <c r="H1495" i="1"/>
  <c r="J1495" i="1"/>
  <c r="K1495" i="1"/>
  <c r="L1495" i="1"/>
  <c r="A1496" i="1"/>
  <c r="B1496" i="1"/>
  <c r="C1496" i="1"/>
  <c r="D1496" i="1"/>
  <c r="Q1496" i="1"/>
  <c r="R1496" i="1"/>
  <c r="E1496" i="1"/>
  <c r="G1496" i="1"/>
  <c r="H1496" i="1"/>
  <c r="J1496" i="1"/>
  <c r="K1496" i="1"/>
  <c r="L1496" i="1"/>
  <c r="A1497" i="1"/>
  <c r="B1497" i="1"/>
  <c r="C1497" i="1"/>
  <c r="D1497" i="1"/>
  <c r="Q1497" i="1"/>
  <c r="R1497" i="1"/>
  <c r="E1497" i="1"/>
  <c r="G1497" i="1"/>
  <c r="H1497" i="1"/>
  <c r="J1497" i="1"/>
  <c r="K1497" i="1"/>
  <c r="L1497" i="1"/>
  <c r="A1498" i="1"/>
  <c r="B1498" i="1"/>
  <c r="C1498" i="1"/>
  <c r="D1498" i="1"/>
  <c r="Q1498" i="1"/>
  <c r="R1498" i="1"/>
  <c r="E1498" i="1"/>
  <c r="G1498" i="1"/>
  <c r="H1498" i="1"/>
  <c r="J1498" i="1"/>
  <c r="K1498" i="1"/>
  <c r="L1498" i="1"/>
  <c r="A1499" i="1"/>
  <c r="B1499" i="1"/>
  <c r="C1499" i="1"/>
  <c r="D1499" i="1"/>
  <c r="Q1499" i="1"/>
  <c r="R1499" i="1"/>
  <c r="E1499" i="1"/>
  <c r="G1499" i="1"/>
  <c r="H1499" i="1"/>
  <c r="J1499" i="1"/>
  <c r="K1499" i="1"/>
  <c r="L1499" i="1"/>
  <c r="A1500" i="1"/>
  <c r="B1500" i="1"/>
  <c r="C1500" i="1"/>
  <c r="D1500" i="1"/>
  <c r="Q1500" i="1"/>
  <c r="R1500" i="1"/>
  <c r="E1500" i="1"/>
  <c r="G1500" i="1"/>
  <c r="H1500" i="1"/>
  <c r="J1500" i="1"/>
  <c r="K1500" i="1"/>
  <c r="L1500" i="1"/>
  <c r="A1501" i="1"/>
  <c r="B1501" i="1"/>
  <c r="C1501" i="1"/>
  <c r="D1501" i="1"/>
  <c r="Q1501" i="1"/>
  <c r="R1501" i="1"/>
  <c r="E1501" i="1"/>
  <c r="G1501" i="1"/>
  <c r="H1501" i="1"/>
  <c r="J1501" i="1"/>
  <c r="K1501" i="1"/>
  <c r="L1501" i="1"/>
  <c r="A1502" i="1"/>
  <c r="B1502" i="1"/>
  <c r="C1502" i="1"/>
  <c r="D1502" i="1"/>
  <c r="Q1502" i="1"/>
  <c r="R1502" i="1"/>
  <c r="E1502" i="1"/>
  <c r="G1502" i="1"/>
  <c r="H1502" i="1"/>
  <c r="J1502" i="1"/>
  <c r="K1502" i="1"/>
  <c r="L1502" i="1"/>
  <c r="A1503" i="1"/>
  <c r="B1503" i="1"/>
  <c r="C1503" i="1"/>
  <c r="D1503" i="1"/>
  <c r="Q1503" i="1"/>
  <c r="R1503" i="1"/>
  <c r="E1503" i="1"/>
  <c r="G1503" i="1"/>
  <c r="H1503" i="1"/>
  <c r="J1503" i="1"/>
  <c r="K1503" i="1"/>
  <c r="L1503" i="1"/>
  <c r="A1504" i="1"/>
  <c r="B1504" i="1"/>
  <c r="C1504" i="1"/>
  <c r="D1504" i="1"/>
  <c r="Q1504" i="1"/>
  <c r="R1504" i="1"/>
  <c r="E1504" i="1"/>
  <c r="G1504" i="1"/>
  <c r="H1504" i="1"/>
  <c r="J1504" i="1"/>
  <c r="K1504" i="1"/>
  <c r="L1504" i="1"/>
  <c r="A1505" i="1"/>
  <c r="B1505" i="1"/>
  <c r="C1505" i="1"/>
  <c r="D1505" i="1"/>
  <c r="Q1505" i="1"/>
  <c r="R1505" i="1"/>
  <c r="E1505" i="1"/>
  <c r="G1505" i="1"/>
  <c r="H1505" i="1"/>
  <c r="J1505" i="1"/>
  <c r="K1505" i="1"/>
  <c r="L1505" i="1"/>
  <c r="A1506" i="1"/>
  <c r="B1506" i="1"/>
  <c r="C1506" i="1"/>
  <c r="D1506" i="1"/>
  <c r="Q1506" i="1"/>
  <c r="R1506" i="1"/>
  <c r="E1506" i="1"/>
  <c r="G1506" i="1"/>
  <c r="H1506" i="1"/>
  <c r="J1506" i="1"/>
  <c r="K1506" i="1"/>
  <c r="L1506" i="1"/>
  <c r="A1507" i="1"/>
  <c r="B1507" i="1"/>
  <c r="C1507" i="1"/>
  <c r="D1507" i="1"/>
  <c r="Q1507" i="1"/>
  <c r="R1507" i="1"/>
  <c r="E1507" i="1"/>
  <c r="G1507" i="1"/>
  <c r="H1507" i="1"/>
  <c r="J1507" i="1"/>
  <c r="K1507" i="1"/>
  <c r="L1507" i="1"/>
  <c r="A1508" i="1"/>
  <c r="B1508" i="1"/>
  <c r="C1508" i="1"/>
  <c r="D1508" i="1"/>
  <c r="Q1508" i="1"/>
  <c r="R1508" i="1"/>
  <c r="E1508" i="1"/>
  <c r="G1508" i="1"/>
  <c r="H1508" i="1"/>
  <c r="J1508" i="1"/>
  <c r="K1508" i="1"/>
  <c r="L1508" i="1"/>
  <c r="A1509" i="1"/>
  <c r="B1509" i="1"/>
  <c r="C1509" i="1"/>
  <c r="D1509" i="1"/>
  <c r="Q1509" i="1"/>
  <c r="R1509" i="1"/>
  <c r="E1509" i="1"/>
  <c r="G1509" i="1"/>
  <c r="H1509" i="1"/>
  <c r="J1509" i="1"/>
  <c r="K1509" i="1"/>
  <c r="L1509" i="1"/>
  <c r="A1510" i="1"/>
  <c r="B1510" i="1"/>
  <c r="C1510" i="1"/>
  <c r="D1510" i="1"/>
  <c r="Q1510" i="1"/>
  <c r="R1510" i="1"/>
  <c r="E1510" i="1"/>
  <c r="G1510" i="1"/>
  <c r="H1510" i="1"/>
  <c r="J1510" i="1"/>
  <c r="K1510" i="1"/>
  <c r="L1510" i="1"/>
  <c r="A1511" i="1"/>
  <c r="B1511" i="1"/>
  <c r="C1511" i="1"/>
  <c r="D1511" i="1"/>
  <c r="Q1511" i="1"/>
  <c r="R1511" i="1"/>
  <c r="E1511" i="1"/>
  <c r="G1511" i="1"/>
  <c r="H1511" i="1"/>
  <c r="J1511" i="1"/>
  <c r="K1511" i="1"/>
  <c r="L1511" i="1"/>
  <c r="A1512" i="1"/>
  <c r="B1512" i="1"/>
  <c r="C1512" i="1"/>
  <c r="D1512" i="1"/>
  <c r="Q1512" i="1"/>
  <c r="R1512" i="1"/>
  <c r="E1512" i="1"/>
  <c r="G1512" i="1"/>
  <c r="H1512" i="1"/>
  <c r="J1512" i="1"/>
  <c r="K1512" i="1"/>
  <c r="L1512" i="1"/>
  <c r="A1513" i="1"/>
  <c r="B1513" i="1"/>
  <c r="C1513" i="1"/>
  <c r="D1513" i="1"/>
  <c r="Q1513" i="1"/>
  <c r="R1513" i="1"/>
  <c r="E1513" i="1"/>
  <c r="G1513" i="1"/>
  <c r="H1513" i="1"/>
  <c r="J1513" i="1"/>
  <c r="K1513" i="1"/>
  <c r="L1513" i="1"/>
  <c r="A1514" i="1"/>
  <c r="B1514" i="1"/>
  <c r="C1514" i="1"/>
  <c r="D1514" i="1"/>
  <c r="Q1514" i="1"/>
  <c r="R1514" i="1"/>
  <c r="E1514" i="1"/>
  <c r="G1514" i="1"/>
  <c r="H1514" i="1"/>
  <c r="J1514" i="1"/>
  <c r="K1514" i="1"/>
  <c r="L1514" i="1"/>
  <c r="A1515" i="1"/>
  <c r="B1515" i="1"/>
  <c r="C1515" i="1"/>
  <c r="D1515" i="1"/>
  <c r="Q1515" i="1"/>
  <c r="R1515" i="1"/>
  <c r="E1515" i="1"/>
  <c r="G1515" i="1"/>
  <c r="H1515" i="1"/>
  <c r="J1515" i="1"/>
  <c r="K1515" i="1"/>
  <c r="L1515" i="1"/>
  <c r="A1516" i="1"/>
  <c r="B1516" i="1"/>
  <c r="C1516" i="1"/>
  <c r="D1516" i="1"/>
  <c r="Q1516" i="1"/>
  <c r="R1516" i="1"/>
  <c r="E1516" i="1"/>
  <c r="G1516" i="1"/>
  <c r="H1516" i="1"/>
  <c r="J1516" i="1"/>
  <c r="K1516" i="1"/>
  <c r="L1516" i="1"/>
  <c r="A1517" i="1"/>
  <c r="B1517" i="1"/>
  <c r="C1517" i="1"/>
  <c r="D1517" i="1"/>
  <c r="Q1517" i="1"/>
  <c r="R1517" i="1"/>
  <c r="E1517" i="1"/>
  <c r="G1517" i="1"/>
  <c r="H1517" i="1"/>
  <c r="J1517" i="1"/>
  <c r="K1517" i="1"/>
  <c r="L1517" i="1"/>
  <c r="A1518" i="1"/>
  <c r="B1518" i="1"/>
  <c r="C1518" i="1"/>
  <c r="D1518" i="1"/>
  <c r="Q1518" i="1"/>
  <c r="R1518" i="1"/>
  <c r="E1518" i="1"/>
  <c r="G1518" i="1"/>
  <c r="H1518" i="1"/>
  <c r="J1518" i="1"/>
  <c r="K1518" i="1"/>
  <c r="L1518" i="1"/>
  <c r="A1519" i="1"/>
  <c r="B1519" i="1"/>
  <c r="C1519" i="1"/>
  <c r="D1519" i="1"/>
  <c r="Q1519" i="1"/>
  <c r="R1519" i="1"/>
  <c r="E1519" i="1"/>
  <c r="G1519" i="1"/>
  <c r="H1519" i="1"/>
  <c r="J1519" i="1"/>
  <c r="K1519" i="1"/>
  <c r="L1519" i="1"/>
  <c r="A1520" i="1"/>
  <c r="B1520" i="1"/>
  <c r="C1520" i="1"/>
  <c r="D1520" i="1"/>
  <c r="Q1520" i="1"/>
  <c r="R1520" i="1"/>
  <c r="E1520" i="1"/>
  <c r="G1520" i="1"/>
  <c r="H1520" i="1"/>
  <c r="J1520" i="1"/>
  <c r="K1520" i="1"/>
  <c r="L1520" i="1"/>
  <c r="A1521" i="1"/>
  <c r="B1521" i="1"/>
  <c r="C1521" i="1"/>
  <c r="D1521" i="1"/>
  <c r="Q1521" i="1"/>
  <c r="R1521" i="1"/>
  <c r="E1521" i="1"/>
  <c r="G1521" i="1"/>
  <c r="H1521" i="1"/>
  <c r="J1521" i="1"/>
  <c r="K1521" i="1"/>
  <c r="L1521" i="1"/>
  <c r="A1522" i="1"/>
  <c r="B1522" i="1"/>
  <c r="C1522" i="1"/>
  <c r="D1522" i="1"/>
  <c r="Q1522" i="1"/>
  <c r="R1522" i="1"/>
  <c r="E1522" i="1"/>
  <c r="G1522" i="1"/>
  <c r="H1522" i="1"/>
  <c r="J1522" i="1"/>
  <c r="K1522" i="1"/>
  <c r="L1522" i="1"/>
  <c r="A1523" i="1"/>
  <c r="B1523" i="1"/>
  <c r="C1523" i="1"/>
  <c r="D1523" i="1"/>
  <c r="Q1523" i="1"/>
  <c r="R1523" i="1"/>
  <c r="E1523" i="1"/>
  <c r="G1523" i="1"/>
  <c r="H1523" i="1"/>
  <c r="J1523" i="1"/>
  <c r="K1523" i="1"/>
  <c r="L1523" i="1"/>
  <c r="A1524" i="1"/>
  <c r="B1524" i="1"/>
  <c r="C1524" i="1"/>
  <c r="D1524" i="1"/>
  <c r="Q1524" i="1"/>
  <c r="R1524" i="1"/>
  <c r="E1524" i="1"/>
  <c r="G1524" i="1"/>
  <c r="H1524" i="1"/>
  <c r="J1524" i="1"/>
  <c r="K1524" i="1"/>
  <c r="L1524" i="1"/>
  <c r="A1525" i="1"/>
  <c r="B1525" i="1"/>
  <c r="C1525" i="1"/>
  <c r="D1525" i="1"/>
  <c r="Q1525" i="1"/>
  <c r="R1525" i="1"/>
  <c r="E1525" i="1"/>
  <c r="G1525" i="1"/>
  <c r="H1525" i="1"/>
  <c r="J1525" i="1"/>
  <c r="K1525" i="1"/>
  <c r="L1525" i="1"/>
  <c r="A1526" i="1"/>
  <c r="B1526" i="1"/>
  <c r="C1526" i="1"/>
  <c r="D1526" i="1"/>
  <c r="Q1526" i="1"/>
  <c r="R1526" i="1"/>
  <c r="E1526" i="1"/>
  <c r="G1526" i="1"/>
  <c r="H1526" i="1"/>
  <c r="J1526" i="1"/>
  <c r="K1526" i="1"/>
  <c r="L1526" i="1"/>
  <c r="A1527" i="1"/>
  <c r="B1527" i="1"/>
  <c r="C1527" i="1"/>
  <c r="D1527" i="1"/>
  <c r="Q1527" i="1"/>
  <c r="R1527" i="1"/>
  <c r="E1527" i="1"/>
  <c r="G1527" i="1"/>
  <c r="H1527" i="1"/>
  <c r="J1527" i="1"/>
  <c r="K1527" i="1"/>
  <c r="L1527" i="1"/>
  <c r="A1528" i="1"/>
  <c r="B1528" i="1"/>
  <c r="C1528" i="1"/>
  <c r="D1528" i="1"/>
  <c r="Q1528" i="1"/>
  <c r="R1528" i="1"/>
  <c r="E1528" i="1"/>
  <c r="G1528" i="1"/>
  <c r="H1528" i="1"/>
  <c r="J1528" i="1"/>
  <c r="K1528" i="1"/>
  <c r="L1528" i="1"/>
  <c r="A1529" i="1"/>
  <c r="B1529" i="1"/>
  <c r="C1529" i="1"/>
  <c r="D1529" i="1"/>
  <c r="Q1529" i="1"/>
  <c r="R1529" i="1"/>
  <c r="E1529" i="1"/>
  <c r="G1529" i="1"/>
  <c r="H1529" i="1"/>
  <c r="J1529" i="1"/>
  <c r="K1529" i="1"/>
  <c r="L1529" i="1"/>
  <c r="A1530" i="1"/>
  <c r="B1530" i="1"/>
  <c r="C1530" i="1"/>
  <c r="D1530" i="1"/>
  <c r="Q1530" i="1"/>
  <c r="R1530" i="1"/>
  <c r="E1530" i="1"/>
  <c r="G1530" i="1"/>
  <c r="H1530" i="1"/>
  <c r="J1530" i="1"/>
  <c r="K1530" i="1"/>
  <c r="L1530" i="1"/>
  <c r="A1531" i="1"/>
  <c r="B1531" i="1"/>
  <c r="C1531" i="1"/>
  <c r="D1531" i="1"/>
  <c r="Q1531" i="1"/>
  <c r="R1531" i="1"/>
  <c r="E1531" i="1"/>
  <c r="G1531" i="1"/>
  <c r="H1531" i="1"/>
  <c r="J1531" i="1"/>
  <c r="K1531" i="1"/>
  <c r="L1531" i="1"/>
  <c r="A1532" i="1"/>
  <c r="B1532" i="1"/>
  <c r="C1532" i="1"/>
  <c r="D1532" i="1"/>
  <c r="Q1532" i="1"/>
  <c r="R1532" i="1"/>
  <c r="E1532" i="1"/>
  <c r="G1532" i="1"/>
  <c r="H1532" i="1"/>
  <c r="J1532" i="1"/>
  <c r="K1532" i="1"/>
  <c r="L1532" i="1"/>
  <c r="A1533" i="1"/>
  <c r="B1533" i="1"/>
  <c r="C1533" i="1"/>
  <c r="D1533" i="1"/>
  <c r="Q1533" i="1"/>
  <c r="R1533" i="1"/>
  <c r="E1533" i="1"/>
  <c r="G1533" i="1"/>
  <c r="H1533" i="1"/>
  <c r="J1533" i="1"/>
  <c r="K1533" i="1"/>
  <c r="L1533" i="1"/>
  <c r="A1534" i="1"/>
  <c r="B1534" i="1"/>
  <c r="C1534" i="1"/>
  <c r="D1534" i="1"/>
  <c r="Q1534" i="1"/>
  <c r="R1534" i="1"/>
  <c r="E1534" i="1"/>
  <c r="G1534" i="1"/>
  <c r="H1534" i="1"/>
  <c r="J1534" i="1"/>
  <c r="K1534" i="1"/>
  <c r="L1534" i="1"/>
  <c r="A1535" i="1"/>
  <c r="B1535" i="1"/>
  <c r="C1535" i="1"/>
  <c r="D1535" i="1"/>
  <c r="Q1535" i="1"/>
  <c r="R1535" i="1"/>
  <c r="E1535" i="1"/>
  <c r="G1535" i="1"/>
  <c r="H1535" i="1"/>
  <c r="J1535" i="1"/>
  <c r="K1535" i="1"/>
  <c r="L1535" i="1"/>
  <c r="A1536" i="1"/>
  <c r="B1536" i="1"/>
  <c r="C1536" i="1"/>
  <c r="D1536" i="1"/>
  <c r="Q1536" i="1"/>
  <c r="R1536" i="1"/>
  <c r="E1536" i="1"/>
  <c r="G1536" i="1"/>
  <c r="H1536" i="1"/>
  <c r="J1536" i="1"/>
  <c r="K1536" i="1"/>
  <c r="L1536" i="1"/>
  <c r="A1537" i="1"/>
  <c r="B1537" i="1"/>
  <c r="C1537" i="1"/>
  <c r="D1537" i="1"/>
  <c r="Q1537" i="1"/>
  <c r="R1537" i="1"/>
  <c r="E1537" i="1"/>
  <c r="G1537" i="1"/>
  <c r="H1537" i="1"/>
  <c r="J1537" i="1"/>
  <c r="K1537" i="1"/>
  <c r="L1537" i="1"/>
  <c r="A1538" i="1"/>
  <c r="B1538" i="1"/>
  <c r="C1538" i="1"/>
  <c r="D1538" i="1"/>
  <c r="Q1538" i="1"/>
  <c r="R1538" i="1"/>
  <c r="E1538" i="1"/>
  <c r="G1538" i="1"/>
  <c r="H1538" i="1"/>
  <c r="J1538" i="1"/>
  <c r="K1538" i="1"/>
  <c r="L1538" i="1"/>
  <c r="A1539" i="1"/>
  <c r="B1539" i="1"/>
  <c r="C1539" i="1"/>
  <c r="D1539" i="1"/>
  <c r="Q1539" i="1"/>
  <c r="R1539" i="1"/>
  <c r="E1539" i="1"/>
  <c r="G1539" i="1"/>
  <c r="H1539" i="1"/>
  <c r="J1539" i="1"/>
  <c r="K1539" i="1"/>
  <c r="L1539" i="1"/>
  <c r="A1540" i="1"/>
  <c r="B1540" i="1"/>
  <c r="C1540" i="1"/>
  <c r="D1540" i="1"/>
  <c r="Q1540" i="1"/>
  <c r="R1540" i="1"/>
  <c r="E1540" i="1"/>
  <c r="G1540" i="1"/>
  <c r="H1540" i="1"/>
  <c r="J1540" i="1"/>
  <c r="K1540" i="1"/>
  <c r="L1540" i="1"/>
  <c r="A1541" i="1"/>
  <c r="B1541" i="1"/>
  <c r="C1541" i="1"/>
  <c r="D1541" i="1"/>
  <c r="Q1541" i="1"/>
  <c r="R1541" i="1"/>
  <c r="E1541" i="1"/>
  <c r="G1541" i="1"/>
  <c r="H1541" i="1"/>
  <c r="J1541" i="1"/>
  <c r="K1541" i="1"/>
  <c r="L1541" i="1"/>
  <c r="A1542" i="1"/>
  <c r="B1542" i="1"/>
  <c r="C1542" i="1"/>
  <c r="D1542" i="1"/>
  <c r="Q1542" i="1"/>
  <c r="R1542" i="1"/>
  <c r="E1542" i="1"/>
  <c r="G1542" i="1"/>
  <c r="H1542" i="1"/>
  <c r="J1542" i="1"/>
  <c r="K1542" i="1"/>
  <c r="L1542" i="1"/>
  <c r="A1543" i="1"/>
  <c r="B1543" i="1"/>
  <c r="C1543" i="1"/>
  <c r="D1543" i="1"/>
  <c r="Q1543" i="1"/>
  <c r="R1543" i="1"/>
  <c r="E1543" i="1"/>
  <c r="G1543" i="1"/>
  <c r="H1543" i="1"/>
  <c r="J1543" i="1"/>
  <c r="K1543" i="1"/>
  <c r="L1543" i="1"/>
  <c r="A1544" i="1"/>
  <c r="B1544" i="1"/>
  <c r="C1544" i="1"/>
  <c r="D1544" i="1"/>
  <c r="Q1544" i="1"/>
  <c r="R1544" i="1"/>
  <c r="E1544" i="1"/>
  <c r="G1544" i="1"/>
  <c r="H1544" i="1"/>
  <c r="J1544" i="1"/>
  <c r="K1544" i="1"/>
  <c r="L1544" i="1"/>
  <c r="A1545" i="1"/>
  <c r="B1545" i="1"/>
  <c r="C1545" i="1"/>
  <c r="D1545" i="1"/>
  <c r="Q1545" i="1"/>
  <c r="R1545" i="1"/>
  <c r="E1545" i="1"/>
  <c r="G1545" i="1"/>
  <c r="H1545" i="1"/>
  <c r="J1545" i="1"/>
  <c r="K1545" i="1"/>
  <c r="L1545" i="1"/>
  <c r="A1546" i="1"/>
  <c r="B1546" i="1"/>
  <c r="C1546" i="1"/>
  <c r="D1546" i="1"/>
  <c r="Q1546" i="1"/>
  <c r="R1546" i="1"/>
  <c r="E1546" i="1"/>
  <c r="G1546" i="1"/>
  <c r="H1546" i="1"/>
  <c r="J1546" i="1"/>
  <c r="K1546" i="1"/>
  <c r="L1546" i="1"/>
  <c r="A1547" i="1"/>
  <c r="B1547" i="1"/>
  <c r="C1547" i="1"/>
  <c r="D1547" i="1"/>
  <c r="Q1547" i="1"/>
  <c r="R1547" i="1"/>
  <c r="E1547" i="1"/>
  <c r="F1547" i="1"/>
  <c r="G1547" i="1"/>
  <c r="H1547" i="1"/>
  <c r="J1547" i="1"/>
  <c r="K1547" i="1"/>
  <c r="L1547" i="1"/>
  <c r="A1548" i="1"/>
  <c r="B1548" i="1"/>
  <c r="C1548" i="1"/>
  <c r="D1548" i="1"/>
  <c r="Q1548" i="1"/>
  <c r="R1548" i="1"/>
  <c r="E1548" i="1"/>
  <c r="G1548" i="1"/>
  <c r="H1548" i="1"/>
  <c r="J1548" i="1"/>
  <c r="K1548" i="1"/>
  <c r="L1548" i="1"/>
  <c r="A1549" i="1"/>
  <c r="B1549" i="1"/>
  <c r="C1549" i="1"/>
  <c r="D1549" i="1"/>
  <c r="Q1549" i="1"/>
  <c r="R1549" i="1"/>
  <c r="E1549" i="1"/>
  <c r="G1549" i="1"/>
  <c r="H1549" i="1"/>
  <c r="J1549" i="1"/>
  <c r="K1549" i="1"/>
  <c r="L1549" i="1"/>
  <c r="A1550" i="1"/>
  <c r="B1550" i="1"/>
  <c r="C1550" i="1"/>
  <c r="D1550" i="1"/>
  <c r="Q1550" i="1"/>
  <c r="R1550" i="1"/>
  <c r="E1550" i="1"/>
  <c r="G1550" i="1"/>
  <c r="H1550" i="1"/>
  <c r="J1550" i="1"/>
  <c r="K1550" i="1"/>
  <c r="L1550" i="1"/>
  <c r="A1551" i="1"/>
  <c r="B1551" i="1"/>
  <c r="C1551" i="1"/>
  <c r="D1551" i="1"/>
  <c r="Q1551" i="1"/>
  <c r="R1551" i="1"/>
  <c r="E1551" i="1"/>
  <c r="G1551" i="1"/>
  <c r="H1551" i="1"/>
  <c r="J1551" i="1"/>
  <c r="K1551" i="1"/>
  <c r="L1551" i="1"/>
  <c r="A1552" i="1"/>
  <c r="B1552" i="1"/>
  <c r="C1552" i="1"/>
  <c r="D1552" i="1"/>
  <c r="Q1552" i="1"/>
  <c r="R1552" i="1"/>
  <c r="E1552" i="1"/>
  <c r="G1552" i="1"/>
  <c r="H1552" i="1"/>
  <c r="J1552" i="1"/>
  <c r="K1552" i="1"/>
  <c r="L1552" i="1"/>
  <c r="A1553" i="1"/>
  <c r="B1553" i="1"/>
  <c r="C1553" i="1"/>
  <c r="D1553" i="1"/>
  <c r="Q1553" i="1"/>
  <c r="R1553" i="1"/>
  <c r="E1553" i="1"/>
  <c r="G1553" i="1"/>
  <c r="H1553" i="1"/>
  <c r="J1553" i="1"/>
  <c r="K1553" i="1"/>
  <c r="L1553" i="1"/>
  <c r="A1554" i="1"/>
  <c r="B1554" i="1"/>
  <c r="C1554" i="1"/>
  <c r="D1554" i="1"/>
  <c r="Q1554" i="1"/>
  <c r="R1554" i="1"/>
  <c r="E1554" i="1"/>
  <c r="G1554" i="1"/>
  <c r="H1554" i="1"/>
  <c r="J1554" i="1"/>
  <c r="K1554" i="1"/>
  <c r="L1554" i="1"/>
  <c r="A1555" i="1"/>
  <c r="B1555" i="1"/>
  <c r="C1555" i="1"/>
  <c r="D1555" i="1"/>
  <c r="Q1555" i="1"/>
  <c r="R1555" i="1"/>
  <c r="E1555" i="1"/>
  <c r="G1555" i="1"/>
  <c r="H1555" i="1"/>
  <c r="J1555" i="1"/>
  <c r="K1555" i="1"/>
  <c r="L1555" i="1"/>
  <c r="A1556" i="1"/>
  <c r="B1556" i="1"/>
  <c r="C1556" i="1"/>
  <c r="D1556" i="1"/>
  <c r="Q1556" i="1"/>
  <c r="R1556" i="1"/>
  <c r="E1556" i="1"/>
  <c r="G1556" i="1"/>
  <c r="H1556" i="1"/>
  <c r="J1556" i="1"/>
  <c r="K1556" i="1"/>
  <c r="L1556" i="1"/>
  <c r="A1557" i="1"/>
  <c r="B1557" i="1"/>
  <c r="C1557" i="1"/>
  <c r="D1557" i="1"/>
  <c r="Q1557" i="1"/>
  <c r="R1557" i="1"/>
  <c r="E1557" i="1"/>
  <c r="G1557" i="1"/>
  <c r="H1557" i="1"/>
  <c r="J1557" i="1"/>
  <c r="K1557" i="1"/>
  <c r="L1557" i="1"/>
  <c r="A1558" i="1"/>
  <c r="B1558" i="1"/>
  <c r="C1558" i="1"/>
  <c r="D1558" i="1"/>
  <c r="Q1558" i="1"/>
  <c r="R1558" i="1"/>
  <c r="E1558" i="1"/>
  <c r="G1558" i="1"/>
  <c r="H1558" i="1"/>
  <c r="J1558" i="1"/>
  <c r="K1558" i="1"/>
  <c r="L1558" i="1"/>
  <c r="A1559" i="1"/>
  <c r="B1559" i="1"/>
  <c r="C1559" i="1"/>
  <c r="D1559" i="1"/>
  <c r="Q1559" i="1"/>
  <c r="R1559" i="1"/>
  <c r="E1559" i="1"/>
  <c r="G1559" i="1"/>
  <c r="H1559" i="1"/>
  <c r="J1559" i="1"/>
  <c r="K1559" i="1"/>
  <c r="L1559" i="1"/>
  <c r="A1560" i="1"/>
  <c r="B1560" i="1"/>
  <c r="C1560" i="1"/>
  <c r="D1560" i="1"/>
  <c r="Q1560" i="1"/>
  <c r="R1560" i="1"/>
  <c r="E1560" i="1"/>
  <c r="G1560" i="1"/>
  <c r="H1560" i="1"/>
  <c r="J1560" i="1"/>
  <c r="K1560" i="1"/>
  <c r="L1560" i="1"/>
  <c r="A1561" i="1"/>
  <c r="B1561" i="1"/>
  <c r="C1561" i="1"/>
  <c r="D1561" i="1"/>
  <c r="Q1561" i="1"/>
  <c r="R1561" i="1"/>
  <c r="E1561" i="1"/>
  <c r="G1561" i="1"/>
  <c r="H1561" i="1"/>
  <c r="J1561" i="1"/>
  <c r="K1561" i="1"/>
  <c r="L1561" i="1"/>
  <c r="A1562" i="1"/>
  <c r="B1562" i="1"/>
  <c r="C1562" i="1"/>
  <c r="D1562" i="1"/>
  <c r="Q1562" i="1"/>
  <c r="R1562" i="1"/>
  <c r="E1562" i="1"/>
  <c r="G1562" i="1"/>
  <c r="H1562" i="1"/>
  <c r="J1562" i="1"/>
  <c r="K1562" i="1"/>
  <c r="L1562" i="1"/>
  <c r="A1563" i="1"/>
  <c r="B1563" i="1"/>
  <c r="C1563" i="1"/>
  <c r="D1563" i="1"/>
  <c r="Q1563" i="1"/>
  <c r="R1563" i="1"/>
  <c r="E1563" i="1"/>
  <c r="G1563" i="1"/>
  <c r="H1563" i="1"/>
  <c r="J1563" i="1"/>
  <c r="K1563" i="1"/>
  <c r="L1563" i="1"/>
  <c r="A1564" i="1"/>
  <c r="B1564" i="1"/>
  <c r="C1564" i="1"/>
  <c r="D1564" i="1"/>
  <c r="Q1564" i="1"/>
  <c r="R1564" i="1"/>
  <c r="E1564" i="1"/>
  <c r="G1564" i="1"/>
  <c r="H1564" i="1"/>
  <c r="J1564" i="1"/>
  <c r="K1564" i="1"/>
  <c r="L1564" i="1"/>
  <c r="A1565" i="1"/>
  <c r="B1565" i="1"/>
  <c r="C1565" i="1"/>
  <c r="D1565" i="1"/>
  <c r="Q1565" i="1"/>
  <c r="R1565" i="1"/>
  <c r="E1565" i="1"/>
  <c r="G1565" i="1"/>
  <c r="H1565" i="1"/>
  <c r="J1565" i="1"/>
  <c r="K1565" i="1"/>
  <c r="L1565" i="1"/>
  <c r="A1566" i="1"/>
  <c r="B1566" i="1"/>
  <c r="C1566" i="1"/>
  <c r="D1566" i="1"/>
  <c r="Q1566" i="1"/>
  <c r="R1566" i="1"/>
  <c r="E1566" i="1"/>
  <c r="G1566" i="1"/>
  <c r="H1566" i="1"/>
  <c r="J1566" i="1"/>
  <c r="K1566" i="1"/>
  <c r="L1566" i="1"/>
  <c r="A1567" i="1"/>
  <c r="B1567" i="1"/>
  <c r="C1567" i="1"/>
  <c r="D1567" i="1"/>
  <c r="Q1567" i="1"/>
  <c r="R1567" i="1"/>
  <c r="E1567" i="1"/>
  <c r="G1567" i="1"/>
  <c r="H1567" i="1"/>
  <c r="J1567" i="1"/>
  <c r="K1567" i="1"/>
  <c r="L1567" i="1"/>
  <c r="A1568" i="1"/>
  <c r="B1568" i="1"/>
  <c r="C1568" i="1"/>
  <c r="D1568" i="1"/>
  <c r="Q1568" i="1"/>
  <c r="R1568" i="1"/>
  <c r="E1568" i="1"/>
  <c r="G1568" i="1"/>
  <c r="H1568" i="1"/>
  <c r="J1568" i="1"/>
  <c r="K1568" i="1"/>
  <c r="L1568" i="1"/>
  <c r="A1569" i="1"/>
  <c r="B1569" i="1"/>
  <c r="C1569" i="1"/>
  <c r="D1569" i="1"/>
  <c r="Q1569" i="1"/>
  <c r="R1569" i="1"/>
  <c r="E1569" i="1"/>
  <c r="G1569" i="1"/>
  <c r="H1569" i="1"/>
  <c r="J1569" i="1"/>
  <c r="K1569" i="1"/>
  <c r="L1569" i="1"/>
  <c r="A1570" i="1"/>
  <c r="B1570" i="1"/>
  <c r="C1570" i="1"/>
  <c r="D1570" i="1"/>
  <c r="Q1570" i="1"/>
  <c r="R1570" i="1"/>
  <c r="E1570" i="1"/>
  <c r="G1570" i="1"/>
  <c r="H1570" i="1"/>
  <c r="J1570" i="1"/>
  <c r="K1570" i="1"/>
  <c r="L1570" i="1"/>
  <c r="A1571" i="1"/>
  <c r="B1571" i="1"/>
  <c r="C1571" i="1"/>
  <c r="D1571" i="1"/>
  <c r="Q1571" i="1"/>
  <c r="R1571" i="1"/>
  <c r="E1571" i="1"/>
  <c r="G1571" i="1"/>
  <c r="H1571" i="1"/>
  <c r="J1571" i="1"/>
  <c r="K1571" i="1"/>
  <c r="L1571" i="1"/>
  <c r="A1572" i="1"/>
  <c r="B1572" i="1"/>
  <c r="C1572" i="1"/>
  <c r="D1572" i="1"/>
  <c r="Q1572" i="1"/>
  <c r="R1572" i="1"/>
  <c r="E1572" i="1"/>
  <c r="G1572" i="1"/>
  <c r="H1572" i="1"/>
  <c r="J1572" i="1"/>
  <c r="K1572" i="1"/>
  <c r="L1572" i="1"/>
  <c r="A1573" i="1"/>
  <c r="B1573" i="1"/>
  <c r="C1573" i="1"/>
  <c r="D1573" i="1"/>
  <c r="Q1573" i="1"/>
  <c r="R1573" i="1"/>
  <c r="E1573" i="1"/>
  <c r="G1573" i="1"/>
  <c r="H1573" i="1"/>
  <c r="J1573" i="1"/>
  <c r="K1573" i="1"/>
  <c r="L1573" i="1"/>
  <c r="A1574" i="1"/>
  <c r="B1574" i="1"/>
  <c r="C1574" i="1"/>
  <c r="D1574" i="1"/>
  <c r="Q1574" i="1"/>
  <c r="R1574" i="1"/>
  <c r="E1574" i="1"/>
  <c r="G1574" i="1"/>
  <c r="H1574" i="1"/>
  <c r="J1574" i="1"/>
  <c r="K1574" i="1"/>
  <c r="L1574" i="1"/>
  <c r="A1575" i="1"/>
  <c r="B1575" i="1"/>
  <c r="C1575" i="1"/>
  <c r="D1575" i="1"/>
  <c r="Q1575" i="1"/>
  <c r="R1575" i="1"/>
  <c r="E1575" i="1"/>
  <c r="G1575" i="1"/>
  <c r="H1575" i="1"/>
  <c r="J1575" i="1"/>
  <c r="K1575" i="1"/>
  <c r="L1575" i="1"/>
  <c r="A1576" i="1"/>
  <c r="B1576" i="1"/>
  <c r="C1576" i="1"/>
  <c r="D1576" i="1"/>
  <c r="Q1576" i="1"/>
  <c r="R1576" i="1"/>
  <c r="E1576" i="1"/>
  <c r="G1576" i="1"/>
  <c r="H1576" i="1"/>
  <c r="J1576" i="1"/>
  <c r="K1576" i="1"/>
  <c r="L1576" i="1"/>
  <c r="A1577" i="1"/>
  <c r="B1577" i="1"/>
  <c r="C1577" i="1"/>
  <c r="D1577" i="1"/>
  <c r="Q1577" i="1"/>
  <c r="R1577" i="1"/>
  <c r="E1577" i="1"/>
  <c r="G1577" i="1"/>
  <c r="H1577" i="1"/>
  <c r="J1577" i="1"/>
  <c r="K1577" i="1"/>
  <c r="L1577" i="1"/>
  <c r="A1578" i="1"/>
  <c r="B1578" i="1"/>
  <c r="C1578" i="1"/>
  <c r="D1578" i="1"/>
  <c r="Q1578" i="1"/>
  <c r="R1578" i="1"/>
  <c r="E1578" i="1"/>
  <c r="G1578" i="1"/>
  <c r="H1578" i="1"/>
  <c r="J1578" i="1"/>
  <c r="K1578" i="1"/>
  <c r="L1578" i="1"/>
  <c r="A1579" i="1"/>
  <c r="B1579" i="1"/>
  <c r="C1579" i="1"/>
  <c r="D1579" i="1"/>
  <c r="Q1579" i="1"/>
  <c r="R1579" i="1"/>
  <c r="E1579" i="1"/>
  <c r="G1579" i="1"/>
  <c r="H1579" i="1"/>
  <c r="J1579" i="1"/>
  <c r="K1579" i="1"/>
  <c r="L1579" i="1"/>
  <c r="A1580" i="1"/>
  <c r="B1580" i="1"/>
  <c r="C1580" i="1"/>
  <c r="D1580" i="1"/>
  <c r="Q1580" i="1"/>
  <c r="R1580" i="1"/>
  <c r="E1580" i="1"/>
  <c r="G1580" i="1"/>
  <c r="H1580" i="1"/>
  <c r="J1580" i="1"/>
  <c r="K1580" i="1"/>
  <c r="L1580" i="1"/>
  <c r="A1581" i="1"/>
  <c r="B1581" i="1"/>
  <c r="C1581" i="1"/>
  <c r="D1581" i="1"/>
  <c r="Q1581" i="1"/>
  <c r="R1581" i="1"/>
  <c r="E1581" i="1"/>
  <c r="G1581" i="1"/>
  <c r="H1581" i="1"/>
  <c r="J1581" i="1"/>
  <c r="K1581" i="1"/>
  <c r="L1581" i="1"/>
  <c r="A1582" i="1"/>
  <c r="B1582" i="1"/>
  <c r="C1582" i="1"/>
  <c r="D1582" i="1"/>
  <c r="Q1582" i="1"/>
  <c r="R1582" i="1"/>
  <c r="E1582" i="1"/>
  <c r="G1582" i="1"/>
  <c r="H1582" i="1"/>
  <c r="J1582" i="1"/>
  <c r="K1582" i="1"/>
  <c r="L1582" i="1"/>
  <c r="A1583" i="1"/>
  <c r="B1583" i="1"/>
  <c r="C1583" i="1"/>
  <c r="D1583" i="1"/>
  <c r="Q1583" i="1"/>
  <c r="R1583" i="1"/>
  <c r="E1583" i="1"/>
  <c r="G1583" i="1"/>
  <c r="H1583" i="1"/>
  <c r="J1583" i="1"/>
  <c r="K1583" i="1"/>
  <c r="L1583" i="1"/>
  <c r="A1584" i="1"/>
  <c r="B1584" i="1"/>
  <c r="C1584" i="1"/>
  <c r="D1584" i="1"/>
  <c r="Q1584" i="1"/>
  <c r="R1584" i="1"/>
  <c r="E1584" i="1"/>
  <c r="G1584" i="1"/>
  <c r="H1584" i="1"/>
  <c r="J1584" i="1"/>
  <c r="K1584" i="1"/>
  <c r="L1584" i="1"/>
  <c r="A1585" i="1"/>
  <c r="B1585" i="1"/>
  <c r="C1585" i="1"/>
  <c r="D1585" i="1"/>
  <c r="Q1585" i="1"/>
  <c r="R1585" i="1"/>
  <c r="E1585" i="1"/>
  <c r="G1585" i="1"/>
  <c r="H1585" i="1"/>
  <c r="J1585" i="1"/>
  <c r="K1585" i="1"/>
  <c r="L1585" i="1"/>
  <c r="A1586" i="1"/>
  <c r="B1586" i="1"/>
  <c r="C1586" i="1"/>
  <c r="D1586" i="1"/>
  <c r="Q1586" i="1"/>
  <c r="R1586" i="1"/>
  <c r="E1586" i="1"/>
  <c r="G1586" i="1"/>
  <c r="H1586" i="1"/>
  <c r="J1586" i="1"/>
  <c r="K1586" i="1"/>
  <c r="L1586" i="1"/>
  <c r="A1587" i="1"/>
  <c r="B1587" i="1"/>
  <c r="C1587" i="1"/>
  <c r="D1587" i="1"/>
  <c r="Q1587" i="1"/>
  <c r="R1587" i="1"/>
  <c r="E1587" i="1"/>
  <c r="G1587" i="1"/>
  <c r="H1587" i="1"/>
  <c r="J1587" i="1"/>
  <c r="K1587" i="1"/>
  <c r="L1587" i="1"/>
  <c r="A1588" i="1"/>
  <c r="B1588" i="1"/>
  <c r="C1588" i="1"/>
  <c r="D1588" i="1"/>
  <c r="Q1588" i="1"/>
  <c r="R1588" i="1"/>
  <c r="E1588" i="1"/>
  <c r="G1588" i="1"/>
  <c r="H1588" i="1"/>
  <c r="J1588" i="1"/>
  <c r="K1588" i="1"/>
  <c r="L1588" i="1"/>
  <c r="A1589" i="1"/>
  <c r="B1589" i="1"/>
  <c r="C1589" i="1"/>
  <c r="D1589" i="1"/>
  <c r="Q1589" i="1"/>
  <c r="R1589" i="1"/>
  <c r="E1589" i="1"/>
  <c r="G1589" i="1"/>
  <c r="H1589" i="1"/>
  <c r="J1589" i="1"/>
  <c r="K1589" i="1"/>
  <c r="L1589" i="1"/>
  <c r="A1590" i="1"/>
  <c r="B1590" i="1"/>
  <c r="C1590" i="1"/>
  <c r="D1590" i="1"/>
  <c r="Q1590" i="1"/>
  <c r="R1590" i="1"/>
  <c r="E1590" i="1"/>
  <c r="G1590" i="1"/>
  <c r="H1590" i="1"/>
  <c r="J1590" i="1"/>
  <c r="K1590" i="1"/>
  <c r="L1590" i="1"/>
  <c r="A1591" i="1"/>
  <c r="B1591" i="1"/>
  <c r="C1591" i="1"/>
  <c r="D1591" i="1"/>
  <c r="Q1591" i="1"/>
  <c r="R1591" i="1"/>
  <c r="E1591" i="1"/>
  <c r="G1591" i="1"/>
  <c r="H1591" i="1"/>
  <c r="J1591" i="1"/>
  <c r="K1591" i="1"/>
  <c r="L1591" i="1"/>
  <c r="A1592" i="1"/>
  <c r="B1592" i="1"/>
  <c r="C1592" i="1"/>
  <c r="D1592" i="1"/>
  <c r="Q1592" i="1"/>
  <c r="R1592" i="1"/>
  <c r="E1592" i="1"/>
  <c r="G1592" i="1"/>
  <c r="H1592" i="1"/>
  <c r="J1592" i="1"/>
  <c r="K1592" i="1"/>
  <c r="L1592" i="1"/>
  <c r="A1593" i="1"/>
  <c r="B1593" i="1"/>
  <c r="C1593" i="1"/>
  <c r="D1593" i="1"/>
  <c r="Q1593" i="1"/>
  <c r="R1593" i="1"/>
  <c r="E1593" i="1"/>
  <c r="G1593" i="1"/>
  <c r="H1593" i="1"/>
  <c r="J1593" i="1"/>
  <c r="K1593" i="1"/>
  <c r="L1593" i="1"/>
  <c r="A1594" i="1"/>
  <c r="B1594" i="1"/>
  <c r="C1594" i="1"/>
  <c r="D1594" i="1"/>
  <c r="Q1594" i="1"/>
  <c r="R1594" i="1"/>
  <c r="E1594" i="1"/>
  <c r="G1594" i="1"/>
  <c r="H1594" i="1"/>
  <c r="J1594" i="1"/>
  <c r="K1594" i="1"/>
  <c r="L1594" i="1"/>
  <c r="A1595" i="1"/>
  <c r="B1595" i="1"/>
  <c r="C1595" i="1"/>
  <c r="D1595" i="1"/>
  <c r="Q1595" i="1"/>
  <c r="R1595" i="1"/>
  <c r="E1595" i="1"/>
  <c r="G1595" i="1"/>
  <c r="H1595" i="1"/>
  <c r="J1595" i="1"/>
  <c r="K1595" i="1"/>
  <c r="L1595" i="1"/>
  <c r="A1596" i="1"/>
  <c r="B1596" i="1"/>
  <c r="C1596" i="1"/>
  <c r="D1596" i="1"/>
  <c r="Q1596" i="1"/>
  <c r="R1596" i="1"/>
  <c r="E1596" i="1"/>
  <c r="G1596" i="1"/>
  <c r="H1596" i="1"/>
  <c r="J1596" i="1"/>
  <c r="K1596" i="1"/>
  <c r="L1596" i="1"/>
  <c r="A1597" i="1"/>
  <c r="B1597" i="1"/>
  <c r="C1597" i="1"/>
  <c r="D1597" i="1"/>
  <c r="Q1597" i="1"/>
  <c r="R1597" i="1"/>
  <c r="E1597" i="1"/>
  <c r="G1597" i="1"/>
  <c r="H1597" i="1"/>
  <c r="J1597" i="1"/>
  <c r="K1597" i="1"/>
  <c r="L1597" i="1"/>
  <c r="A1598" i="1"/>
  <c r="B1598" i="1"/>
  <c r="C1598" i="1"/>
  <c r="D1598" i="1"/>
  <c r="Q1598" i="1"/>
  <c r="R1598" i="1"/>
  <c r="E1598" i="1"/>
  <c r="G1598" i="1"/>
  <c r="H1598" i="1"/>
  <c r="J1598" i="1"/>
  <c r="K1598" i="1"/>
  <c r="L1598" i="1"/>
  <c r="A1599" i="1"/>
  <c r="B1599" i="1"/>
  <c r="C1599" i="1"/>
  <c r="D1599" i="1"/>
  <c r="Q1599" i="1"/>
  <c r="R1599" i="1"/>
  <c r="E1599" i="1"/>
  <c r="G1599" i="1"/>
  <c r="H1599" i="1"/>
  <c r="J1599" i="1"/>
  <c r="K1599" i="1"/>
  <c r="L1599" i="1"/>
  <c r="A1600" i="1"/>
  <c r="B1600" i="1"/>
  <c r="C1600" i="1"/>
  <c r="D1600" i="1"/>
  <c r="Q1600" i="1"/>
  <c r="R1600" i="1"/>
  <c r="E1600" i="1"/>
  <c r="G1600" i="1"/>
  <c r="H1600" i="1"/>
  <c r="J1600" i="1"/>
  <c r="K1600" i="1"/>
  <c r="L1600" i="1"/>
  <c r="A1601" i="1"/>
  <c r="B1601" i="1"/>
  <c r="C1601" i="1"/>
  <c r="D1601" i="1"/>
  <c r="Q1601" i="1"/>
  <c r="R1601" i="1"/>
  <c r="E1601" i="1"/>
  <c r="G1601" i="1"/>
  <c r="H1601" i="1"/>
  <c r="J1601" i="1"/>
  <c r="K1601" i="1"/>
  <c r="L1601" i="1"/>
  <c r="A1602" i="1"/>
  <c r="B1602" i="1"/>
  <c r="C1602" i="1"/>
  <c r="D1602" i="1"/>
  <c r="Q1602" i="1"/>
  <c r="R1602" i="1"/>
  <c r="E1602" i="1"/>
  <c r="G1602" i="1"/>
  <c r="H1602" i="1"/>
  <c r="J1602" i="1"/>
  <c r="K1602" i="1"/>
  <c r="L1602" i="1"/>
  <c r="A1603" i="1"/>
  <c r="B1603" i="1"/>
  <c r="C1603" i="1"/>
  <c r="D1603" i="1"/>
  <c r="Q1603" i="1"/>
  <c r="R1603" i="1"/>
  <c r="E1603" i="1"/>
  <c r="G1603" i="1"/>
  <c r="H1603" i="1"/>
  <c r="J1603" i="1"/>
  <c r="K1603" i="1"/>
  <c r="L1603" i="1"/>
  <c r="A1604" i="1"/>
  <c r="B1604" i="1"/>
  <c r="C1604" i="1"/>
  <c r="D1604" i="1"/>
  <c r="Q1604" i="1"/>
  <c r="R1604" i="1"/>
  <c r="E1604" i="1"/>
  <c r="G1604" i="1"/>
  <c r="H1604" i="1"/>
  <c r="J1604" i="1"/>
  <c r="K1604" i="1"/>
  <c r="L1604" i="1"/>
  <c r="A1605" i="1"/>
  <c r="B1605" i="1"/>
  <c r="C1605" i="1"/>
  <c r="D1605" i="1"/>
  <c r="Q1605" i="1"/>
  <c r="R1605" i="1"/>
  <c r="E1605" i="1"/>
  <c r="G1605" i="1"/>
  <c r="H1605" i="1"/>
  <c r="J1605" i="1"/>
  <c r="K1605" i="1"/>
  <c r="L1605" i="1"/>
  <c r="A1606" i="1"/>
  <c r="B1606" i="1"/>
  <c r="C1606" i="1"/>
  <c r="D1606" i="1"/>
  <c r="Q1606" i="1"/>
  <c r="R1606" i="1"/>
  <c r="E1606" i="1"/>
  <c r="G1606" i="1"/>
  <c r="H1606" i="1"/>
  <c r="J1606" i="1"/>
  <c r="K1606" i="1"/>
  <c r="L1606" i="1"/>
  <c r="A1607" i="1"/>
  <c r="B1607" i="1"/>
  <c r="C1607" i="1"/>
  <c r="D1607" i="1"/>
  <c r="Q1607" i="1"/>
  <c r="R1607" i="1"/>
  <c r="E1607" i="1"/>
  <c r="G1607" i="1"/>
  <c r="H1607" i="1"/>
  <c r="J1607" i="1"/>
  <c r="K1607" i="1"/>
  <c r="L1607" i="1"/>
  <c r="A1608" i="1"/>
  <c r="B1608" i="1"/>
  <c r="C1608" i="1"/>
  <c r="D1608" i="1"/>
  <c r="Q1608" i="1"/>
  <c r="R1608" i="1"/>
  <c r="E1608" i="1"/>
  <c r="G1608" i="1"/>
  <c r="H1608" i="1"/>
  <c r="J1608" i="1"/>
  <c r="K1608" i="1"/>
  <c r="L1608" i="1"/>
  <c r="A1609" i="1"/>
  <c r="B1609" i="1"/>
  <c r="C1609" i="1"/>
  <c r="D1609" i="1"/>
  <c r="Q1609" i="1"/>
  <c r="R1609" i="1"/>
  <c r="E1609" i="1"/>
  <c r="G1609" i="1"/>
  <c r="H1609" i="1"/>
  <c r="J1609" i="1"/>
  <c r="K1609" i="1"/>
  <c r="L1609" i="1"/>
  <c r="A1610" i="1"/>
  <c r="B1610" i="1"/>
  <c r="C1610" i="1"/>
  <c r="D1610" i="1"/>
  <c r="Q1610" i="1"/>
  <c r="R1610" i="1"/>
  <c r="E1610" i="1"/>
  <c r="G1610" i="1"/>
  <c r="H1610" i="1"/>
  <c r="J1610" i="1"/>
  <c r="K1610" i="1"/>
  <c r="L1610" i="1"/>
  <c r="A1611" i="1"/>
  <c r="B1611" i="1"/>
  <c r="C1611" i="1"/>
  <c r="D1611" i="1"/>
  <c r="Q1611" i="1"/>
  <c r="R1611" i="1"/>
  <c r="E1611" i="1"/>
  <c r="G1611" i="1"/>
  <c r="H1611" i="1"/>
  <c r="J1611" i="1"/>
  <c r="K1611" i="1"/>
  <c r="L1611" i="1"/>
  <c r="A1612" i="1"/>
  <c r="B1612" i="1"/>
  <c r="C1612" i="1"/>
  <c r="D1612" i="1"/>
  <c r="Q1612" i="1"/>
  <c r="R1612" i="1"/>
  <c r="E1612" i="1"/>
  <c r="G1612" i="1"/>
  <c r="H1612" i="1"/>
  <c r="J1612" i="1"/>
  <c r="K1612" i="1"/>
  <c r="L1612" i="1"/>
  <c r="A1613" i="1"/>
  <c r="B1613" i="1"/>
  <c r="C1613" i="1"/>
  <c r="D1613" i="1"/>
  <c r="Q1613" i="1"/>
  <c r="R1613" i="1"/>
  <c r="E1613" i="1"/>
  <c r="G1613" i="1"/>
  <c r="H1613" i="1"/>
  <c r="J1613" i="1"/>
  <c r="K1613" i="1"/>
  <c r="L1613" i="1"/>
  <c r="A1614" i="1"/>
  <c r="B1614" i="1"/>
  <c r="C1614" i="1"/>
  <c r="D1614" i="1"/>
  <c r="Q1614" i="1"/>
  <c r="R1614" i="1"/>
  <c r="E1614" i="1"/>
  <c r="G1614" i="1"/>
  <c r="H1614" i="1"/>
  <c r="J1614" i="1"/>
  <c r="K1614" i="1"/>
  <c r="L1614" i="1"/>
  <c r="A1615" i="1"/>
  <c r="B1615" i="1"/>
  <c r="C1615" i="1"/>
  <c r="D1615" i="1"/>
  <c r="Q1615" i="1"/>
  <c r="R1615" i="1"/>
  <c r="E1615" i="1"/>
  <c r="G1615" i="1"/>
  <c r="H1615" i="1"/>
  <c r="J1615" i="1"/>
  <c r="K1615" i="1"/>
  <c r="L1615" i="1"/>
  <c r="A1616" i="1"/>
  <c r="B1616" i="1"/>
  <c r="C1616" i="1"/>
  <c r="D1616" i="1"/>
  <c r="Q1616" i="1"/>
  <c r="R1616" i="1"/>
  <c r="E1616" i="1"/>
  <c r="G1616" i="1"/>
  <c r="H1616" i="1"/>
  <c r="J1616" i="1"/>
  <c r="K1616" i="1"/>
  <c r="L1616" i="1"/>
  <c r="A1617" i="1"/>
  <c r="B1617" i="1"/>
  <c r="C1617" i="1"/>
  <c r="D1617" i="1"/>
  <c r="Q1617" i="1"/>
  <c r="R1617" i="1"/>
  <c r="E1617" i="1"/>
  <c r="G1617" i="1"/>
  <c r="H1617" i="1"/>
  <c r="J1617" i="1"/>
  <c r="K1617" i="1"/>
  <c r="L1617" i="1"/>
  <c r="A1618" i="1"/>
  <c r="B1618" i="1"/>
  <c r="C1618" i="1"/>
  <c r="D1618" i="1"/>
  <c r="Q1618" i="1"/>
  <c r="R1618" i="1"/>
  <c r="E1618" i="1"/>
  <c r="G1618" i="1"/>
  <c r="H1618" i="1"/>
  <c r="J1618" i="1"/>
  <c r="K1618" i="1"/>
  <c r="L1618" i="1"/>
  <c r="A1619" i="1"/>
  <c r="B1619" i="1"/>
  <c r="C1619" i="1"/>
  <c r="D1619" i="1"/>
  <c r="Q1619" i="1"/>
  <c r="R1619" i="1"/>
  <c r="E1619" i="1"/>
  <c r="G1619" i="1"/>
  <c r="H1619" i="1"/>
  <c r="J1619" i="1"/>
  <c r="K1619" i="1"/>
  <c r="L1619" i="1"/>
  <c r="A1620" i="1"/>
  <c r="B1620" i="1"/>
  <c r="C1620" i="1"/>
  <c r="D1620" i="1"/>
  <c r="Q1620" i="1"/>
  <c r="R1620" i="1"/>
  <c r="E1620" i="1"/>
  <c r="G1620" i="1"/>
  <c r="H1620" i="1"/>
  <c r="J1620" i="1"/>
  <c r="K1620" i="1"/>
  <c r="L1620" i="1"/>
  <c r="A1621" i="1"/>
  <c r="B1621" i="1"/>
  <c r="C1621" i="1"/>
  <c r="D1621" i="1"/>
  <c r="Q1621" i="1"/>
  <c r="R1621" i="1"/>
  <c r="E1621" i="1"/>
  <c r="G1621" i="1"/>
  <c r="H1621" i="1"/>
  <c r="J1621" i="1"/>
  <c r="K1621" i="1"/>
  <c r="L1621" i="1"/>
  <c r="A1622" i="1"/>
  <c r="B1622" i="1"/>
  <c r="C1622" i="1"/>
  <c r="D1622" i="1"/>
  <c r="Q1622" i="1"/>
  <c r="R1622" i="1"/>
  <c r="E1622" i="1"/>
  <c r="G1622" i="1"/>
  <c r="H1622" i="1"/>
  <c r="J1622" i="1"/>
  <c r="K1622" i="1"/>
  <c r="L1622" i="1"/>
  <c r="A1623" i="1"/>
  <c r="B1623" i="1"/>
  <c r="C1623" i="1"/>
  <c r="D1623" i="1"/>
  <c r="Q1623" i="1"/>
  <c r="R1623" i="1"/>
  <c r="E1623" i="1"/>
  <c r="G1623" i="1"/>
  <c r="H1623" i="1"/>
  <c r="J1623" i="1"/>
  <c r="K1623" i="1"/>
  <c r="L1623" i="1"/>
  <c r="A1624" i="1"/>
  <c r="B1624" i="1"/>
  <c r="C1624" i="1"/>
  <c r="D1624" i="1"/>
  <c r="Q1624" i="1"/>
  <c r="R1624" i="1"/>
  <c r="E1624" i="1"/>
  <c r="G1624" i="1"/>
  <c r="H1624" i="1"/>
  <c r="J1624" i="1"/>
  <c r="K1624" i="1"/>
  <c r="L1624" i="1"/>
  <c r="A1625" i="1"/>
  <c r="B1625" i="1"/>
  <c r="C1625" i="1"/>
  <c r="D1625" i="1"/>
  <c r="Q1625" i="1"/>
  <c r="R1625" i="1"/>
  <c r="E1625" i="1"/>
  <c r="G1625" i="1"/>
  <c r="H1625" i="1"/>
  <c r="J1625" i="1"/>
  <c r="K1625" i="1"/>
  <c r="L1625" i="1"/>
  <c r="A1626" i="1"/>
  <c r="B1626" i="1"/>
  <c r="C1626" i="1"/>
  <c r="D1626" i="1"/>
  <c r="Q1626" i="1"/>
  <c r="R1626" i="1"/>
  <c r="E1626" i="1"/>
  <c r="G1626" i="1"/>
  <c r="H1626" i="1"/>
  <c r="J1626" i="1"/>
  <c r="K1626" i="1"/>
  <c r="L1626" i="1"/>
  <c r="A1627" i="1"/>
  <c r="B1627" i="1"/>
  <c r="C1627" i="1"/>
  <c r="D1627" i="1"/>
  <c r="Q1627" i="1"/>
  <c r="R1627" i="1"/>
  <c r="E1627" i="1"/>
  <c r="G1627" i="1"/>
  <c r="H1627" i="1"/>
  <c r="J1627" i="1"/>
  <c r="K1627" i="1"/>
  <c r="L1627" i="1"/>
  <c r="A1628" i="1"/>
  <c r="B1628" i="1"/>
  <c r="C1628" i="1"/>
  <c r="D1628" i="1"/>
  <c r="Q1628" i="1"/>
  <c r="R1628" i="1"/>
  <c r="E1628" i="1"/>
  <c r="G1628" i="1"/>
  <c r="H1628" i="1"/>
  <c r="J1628" i="1"/>
  <c r="K1628" i="1"/>
  <c r="L1628" i="1"/>
  <c r="A1629" i="1"/>
  <c r="B1629" i="1"/>
  <c r="C1629" i="1"/>
  <c r="D1629" i="1"/>
  <c r="Q1629" i="1"/>
  <c r="R1629" i="1"/>
  <c r="E1629" i="1"/>
  <c r="G1629" i="1"/>
  <c r="H1629" i="1"/>
  <c r="J1629" i="1"/>
  <c r="K1629" i="1"/>
  <c r="L1629" i="1"/>
  <c r="A1630" i="1"/>
  <c r="B1630" i="1"/>
  <c r="C1630" i="1"/>
  <c r="D1630" i="1"/>
  <c r="Q1630" i="1"/>
  <c r="R1630" i="1"/>
  <c r="E1630" i="1"/>
  <c r="G1630" i="1"/>
  <c r="H1630" i="1"/>
  <c r="J1630" i="1"/>
  <c r="K1630" i="1"/>
  <c r="L1630" i="1"/>
  <c r="A1631" i="1"/>
  <c r="B1631" i="1"/>
  <c r="C1631" i="1"/>
  <c r="D1631" i="1"/>
  <c r="Q1631" i="1"/>
  <c r="R1631" i="1"/>
  <c r="E1631" i="1"/>
  <c r="G1631" i="1"/>
  <c r="H1631" i="1"/>
  <c r="J1631" i="1"/>
  <c r="K1631" i="1"/>
  <c r="L1631" i="1"/>
  <c r="A1632" i="1"/>
  <c r="B1632" i="1"/>
  <c r="C1632" i="1"/>
  <c r="D1632" i="1"/>
  <c r="Q1632" i="1"/>
  <c r="R1632" i="1"/>
  <c r="E1632" i="1"/>
  <c r="G1632" i="1"/>
  <c r="H1632" i="1"/>
  <c r="J1632" i="1"/>
  <c r="K1632" i="1"/>
  <c r="L1632" i="1"/>
  <c r="A1633" i="1"/>
  <c r="B1633" i="1"/>
  <c r="C1633" i="1"/>
  <c r="D1633" i="1"/>
  <c r="Q1633" i="1"/>
  <c r="R1633" i="1"/>
  <c r="E1633" i="1"/>
  <c r="G1633" i="1"/>
  <c r="H1633" i="1"/>
  <c r="J1633" i="1"/>
  <c r="K1633" i="1"/>
  <c r="L1633" i="1"/>
  <c r="A1634" i="1"/>
  <c r="B1634" i="1"/>
  <c r="C1634" i="1"/>
  <c r="D1634" i="1"/>
  <c r="Q1634" i="1"/>
  <c r="R1634" i="1"/>
  <c r="E1634" i="1"/>
  <c r="G1634" i="1"/>
  <c r="H1634" i="1"/>
  <c r="J1634" i="1"/>
  <c r="K1634" i="1"/>
  <c r="L1634" i="1"/>
  <c r="A1635" i="1"/>
  <c r="B1635" i="1"/>
  <c r="C1635" i="1"/>
  <c r="D1635" i="1"/>
  <c r="Q1635" i="1"/>
  <c r="R1635" i="1"/>
  <c r="E1635" i="1"/>
  <c r="G1635" i="1"/>
  <c r="H1635" i="1"/>
  <c r="J1635" i="1"/>
  <c r="K1635" i="1"/>
  <c r="L1635" i="1"/>
  <c r="A1636" i="1"/>
  <c r="B1636" i="1"/>
  <c r="C1636" i="1"/>
  <c r="D1636" i="1"/>
  <c r="Q1636" i="1"/>
  <c r="R1636" i="1"/>
  <c r="E1636" i="1"/>
  <c r="G1636" i="1"/>
  <c r="H1636" i="1"/>
  <c r="J1636" i="1"/>
  <c r="K1636" i="1"/>
  <c r="L1636" i="1"/>
  <c r="A1637" i="1"/>
  <c r="B1637" i="1"/>
  <c r="C1637" i="1"/>
  <c r="D1637" i="1"/>
  <c r="Q1637" i="1"/>
  <c r="R1637" i="1"/>
  <c r="E1637" i="1"/>
  <c r="G1637" i="1"/>
  <c r="H1637" i="1"/>
  <c r="J1637" i="1"/>
  <c r="K1637" i="1"/>
  <c r="L1637" i="1"/>
  <c r="A1638" i="1"/>
  <c r="B1638" i="1"/>
  <c r="C1638" i="1"/>
  <c r="D1638" i="1"/>
  <c r="Q1638" i="1"/>
  <c r="R1638" i="1"/>
  <c r="E1638" i="1"/>
  <c r="G1638" i="1"/>
  <c r="H1638" i="1"/>
  <c r="J1638" i="1"/>
  <c r="K1638" i="1"/>
  <c r="L1638" i="1"/>
  <c r="A1639" i="1"/>
  <c r="B1639" i="1"/>
  <c r="C1639" i="1"/>
  <c r="D1639" i="1"/>
  <c r="Q1639" i="1"/>
  <c r="R1639" i="1"/>
  <c r="E1639" i="1"/>
  <c r="G1639" i="1"/>
  <c r="H1639" i="1"/>
  <c r="J1639" i="1"/>
  <c r="K1639" i="1"/>
  <c r="L1639" i="1"/>
  <c r="A1640" i="1"/>
  <c r="B1640" i="1"/>
  <c r="C1640" i="1"/>
  <c r="D1640" i="1"/>
  <c r="Q1640" i="1"/>
  <c r="R1640" i="1"/>
  <c r="E1640" i="1"/>
  <c r="G1640" i="1"/>
  <c r="H1640" i="1"/>
  <c r="J1640" i="1"/>
  <c r="K1640" i="1"/>
  <c r="L1640" i="1"/>
  <c r="A1641" i="1"/>
  <c r="B1641" i="1"/>
  <c r="C1641" i="1"/>
  <c r="D1641" i="1"/>
  <c r="Q1641" i="1"/>
  <c r="R1641" i="1"/>
  <c r="E1641" i="1"/>
  <c r="G1641" i="1"/>
  <c r="H1641" i="1"/>
  <c r="J1641" i="1"/>
  <c r="K1641" i="1"/>
  <c r="L1641" i="1"/>
  <c r="A1642" i="1"/>
  <c r="B1642" i="1"/>
  <c r="C1642" i="1"/>
  <c r="D1642" i="1"/>
  <c r="Q1642" i="1"/>
  <c r="R1642" i="1"/>
  <c r="E1642" i="1"/>
  <c r="G1642" i="1"/>
  <c r="H1642" i="1"/>
  <c r="J1642" i="1"/>
  <c r="K1642" i="1"/>
  <c r="L1642" i="1"/>
  <c r="A1643" i="1"/>
  <c r="B1643" i="1"/>
  <c r="C1643" i="1"/>
  <c r="D1643" i="1"/>
  <c r="Q1643" i="1"/>
  <c r="R1643" i="1"/>
  <c r="E1643" i="1"/>
  <c r="G1643" i="1"/>
  <c r="H1643" i="1"/>
  <c r="J1643" i="1"/>
  <c r="K1643" i="1"/>
  <c r="L1643" i="1"/>
  <c r="A1644" i="1"/>
  <c r="B1644" i="1"/>
  <c r="C1644" i="1"/>
  <c r="D1644" i="1"/>
  <c r="Q1644" i="1"/>
  <c r="R1644" i="1"/>
  <c r="E1644" i="1"/>
  <c r="G1644" i="1"/>
  <c r="H1644" i="1"/>
  <c r="J1644" i="1"/>
  <c r="K1644" i="1"/>
  <c r="L1644" i="1"/>
  <c r="A1645" i="1"/>
  <c r="B1645" i="1"/>
  <c r="C1645" i="1"/>
  <c r="D1645" i="1"/>
  <c r="Q1645" i="1"/>
  <c r="R1645" i="1"/>
  <c r="E1645" i="1"/>
  <c r="G1645" i="1"/>
  <c r="H1645" i="1"/>
  <c r="J1645" i="1"/>
  <c r="K1645" i="1"/>
  <c r="L1645" i="1"/>
  <c r="A1646" i="1"/>
  <c r="B1646" i="1"/>
  <c r="C1646" i="1"/>
  <c r="D1646" i="1"/>
  <c r="Q1646" i="1"/>
  <c r="R1646" i="1"/>
  <c r="E1646" i="1"/>
  <c r="G1646" i="1"/>
  <c r="H1646" i="1"/>
  <c r="J1646" i="1"/>
  <c r="K1646" i="1"/>
  <c r="L1646" i="1"/>
  <c r="A1647" i="1"/>
  <c r="B1647" i="1"/>
  <c r="C1647" i="1"/>
  <c r="D1647" i="1"/>
  <c r="Q1647" i="1"/>
  <c r="R1647" i="1"/>
  <c r="E1647" i="1"/>
  <c r="G1647" i="1"/>
  <c r="H1647" i="1"/>
  <c r="J1647" i="1"/>
  <c r="K1647" i="1"/>
  <c r="L1647" i="1"/>
  <c r="A1648" i="1"/>
  <c r="B1648" i="1"/>
  <c r="C1648" i="1"/>
  <c r="D1648" i="1"/>
  <c r="Q1648" i="1"/>
  <c r="R1648" i="1"/>
  <c r="E1648" i="1"/>
  <c r="G1648" i="1"/>
  <c r="H1648" i="1"/>
  <c r="J1648" i="1"/>
  <c r="K1648" i="1"/>
  <c r="L1648" i="1"/>
  <c r="A1649" i="1"/>
  <c r="B1649" i="1"/>
  <c r="C1649" i="1"/>
  <c r="D1649" i="1"/>
  <c r="Q1649" i="1"/>
  <c r="R1649" i="1"/>
  <c r="E1649" i="1"/>
  <c r="G1649" i="1"/>
  <c r="H1649" i="1"/>
  <c r="J1649" i="1"/>
  <c r="K1649" i="1"/>
  <c r="L1649" i="1"/>
  <c r="A1650" i="1"/>
  <c r="B1650" i="1"/>
  <c r="C1650" i="1"/>
  <c r="D1650" i="1"/>
  <c r="Q1650" i="1"/>
  <c r="R1650" i="1"/>
  <c r="E1650" i="1"/>
  <c r="G1650" i="1"/>
  <c r="H1650" i="1"/>
  <c r="J1650" i="1"/>
  <c r="K1650" i="1"/>
  <c r="L1650" i="1"/>
  <c r="A1651" i="1"/>
  <c r="B1651" i="1"/>
  <c r="C1651" i="1"/>
  <c r="D1651" i="1"/>
  <c r="Q1651" i="1"/>
  <c r="R1651" i="1"/>
  <c r="E1651" i="1"/>
  <c r="G1651" i="1"/>
  <c r="H1651" i="1"/>
  <c r="J1651" i="1"/>
  <c r="K1651" i="1"/>
  <c r="L1651" i="1"/>
  <c r="A1652" i="1"/>
  <c r="B1652" i="1"/>
  <c r="C1652" i="1"/>
  <c r="D1652" i="1"/>
  <c r="Q1652" i="1"/>
  <c r="R1652" i="1"/>
  <c r="E1652" i="1"/>
  <c r="G1652" i="1"/>
  <c r="H1652" i="1"/>
  <c r="J1652" i="1"/>
  <c r="K1652" i="1"/>
  <c r="L1652" i="1"/>
  <c r="A1653" i="1"/>
  <c r="B1653" i="1"/>
  <c r="C1653" i="1"/>
  <c r="D1653" i="1"/>
  <c r="Q1653" i="1"/>
  <c r="R1653" i="1"/>
  <c r="E1653" i="1"/>
  <c r="G1653" i="1"/>
  <c r="H1653" i="1"/>
  <c r="J1653" i="1"/>
  <c r="K1653" i="1"/>
  <c r="L1653" i="1"/>
  <c r="A1654" i="1"/>
  <c r="B1654" i="1"/>
  <c r="C1654" i="1"/>
  <c r="D1654" i="1"/>
  <c r="Q1654" i="1"/>
  <c r="R1654" i="1"/>
  <c r="E1654" i="1"/>
  <c r="G1654" i="1"/>
  <c r="H1654" i="1"/>
  <c r="J1654" i="1"/>
  <c r="K1654" i="1"/>
  <c r="L1654" i="1"/>
  <c r="A1655" i="1"/>
  <c r="B1655" i="1"/>
  <c r="C1655" i="1"/>
  <c r="D1655" i="1"/>
  <c r="Q1655" i="1"/>
  <c r="R1655" i="1"/>
  <c r="E1655" i="1"/>
  <c r="G1655" i="1"/>
  <c r="H1655" i="1"/>
  <c r="J1655" i="1"/>
  <c r="K1655" i="1"/>
  <c r="L1655" i="1"/>
  <c r="A1656" i="1"/>
  <c r="B1656" i="1"/>
  <c r="C1656" i="1"/>
  <c r="D1656" i="1"/>
  <c r="Q1656" i="1"/>
  <c r="R1656" i="1"/>
  <c r="E1656" i="1"/>
  <c r="G1656" i="1"/>
  <c r="H1656" i="1"/>
  <c r="J1656" i="1"/>
  <c r="K1656" i="1"/>
  <c r="L1656" i="1"/>
  <c r="A1657" i="1"/>
  <c r="B1657" i="1"/>
  <c r="C1657" i="1"/>
  <c r="D1657" i="1"/>
  <c r="Q1657" i="1"/>
  <c r="R1657" i="1"/>
  <c r="E1657" i="1"/>
  <c r="G1657" i="1"/>
  <c r="H1657" i="1"/>
  <c r="J1657" i="1"/>
  <c r="K1657" i="1"/>
  <c r="L1657" i="1"/>
  <c r="A1658" i="1"/>
  <c r="B1658" i="1"/>
  <c r="C1658" i="1"/>
  <c r="D1658" i="1"/>
  <c r="Q1658" i="1"/>
  <c r="R1658" i="1"/>
  <c r="E1658" i="1"/>
  <c r="G1658" i="1"/>
  <c r="H1658" i="1"/>
  <c r="J1658" i="1"/>
  <c r="K1658" i="1"/>
  <c r="L1658" i="1"/>
  <c r="A1659" i="1"/>
  <c r="B1659" i="1"/>
  <c r="C1659" i="1"/>
  <c r="D1659" i="1"/>
  <c r="Q1659" i="1"/>
  <c r="R1659" i="1"/>
  <c r="E1659" i="1"/>
  <c r="G1659" i="1"/>
  <c r="H1659" i="1"/>
  <c r="J1659" i="1"/>
  <c r="K1659" i="1"/>
  <c r="L1659" i="1"/>
  <c r="A1660" i="1"/>
  <c r="B1660" i="1"/>
  <c r="C1660" i="1"/>
  <c r="D1660" i="1"/>
  <c r="Q1660" i="1"/>
  <c r="R1660" i="1"/>
  <c r="E1660" i="1"/>
  <c r="G1660" i="1"/>
  <c r="H1660" i="1"/>
  <c r="J1660" i="1"/>
  <c r="K1660" i="1"/>
  <c r="L1660" i="1"/>
  <c r="A1661" i="1"/>
  <c r="B1661" i="1"/>
  <c r="C1661" i="1"/>
  <c r="D1661" i="1"/>
  <c r="Q1661" i="1"/>
  <c r="R1661" i="1"/>
  <c r="E1661" i="1"/>
  <c r="G1661" i="1"/>
  <c r="H1661" i="1"/>
  <c r="J1661" i="1"/>
  <c r="K1661" i="1"/>
  <c r="L1661" i="1"/>
  <c r="A1662" i="1"/>
  <c r="B1662" i="1"/>
  <c r="C1662" i="1"/>
  <c r="D1662" i="1"/>
  <c r="Q1662" i="1"/>
  <c r="R1662" i="1"/>
  <c r="E1662" i="1"/>
  <c r="G1662" i="1"/>
  <c r="H1662" i="1"/>
  <c r="J1662" i="1"/>
  <c r="K1662" i="1"/>
  <c r="L1662" i="1"/>
  <c r="A1663" i="1"/>
  <c r="B1663" i="1"/>
  <c r="C1663" i="1"/>
  <c r="D1663" i="1"/>
  <c r="Q1663" i="1"/>
  <c r="R1663" i="1"/>
  <c r="E1663" i="1"/>
  <c r="G1663" i="1"/>
  <c r="H1663" i="1"/>
  <c r="J1663" i="1"/>
  <c r="K1663" i="1"/>
  <c r="L1663" i="1"/>
  <c r="A1664" i="1"/>
  <c r="B1664" i="1"/>
  <c r="C1664" i="1"/>
  <c r="D1664" i="1"/>
  <c r="Q1664" i="1"/>
  <c r="R1664" i="1"/>
  <c r="E1664" i="1"/>
  <c r="G1664" i="1"/>
  <c r="H1664" i="1"/>
  <c r="J1664" i="1"/>
  <c r="K1664" i="1"/>
  <c r="L1664" i="1"/>
  <c r="A1665" i="1"/>
  <c r="B1665" i="1"/>
  <c r="C1665" i="1"/>
  <c r="D1665" i="1"/>
  <c r="Q1665" i="1"/>
  <c r="R1665" i="1"/>
  <c r="E1665" i="1"/>
  <c r="G1665" i="1"/>
  <c r="H1665" i="1"/>
  <c r="J1665" i="1"/>
  <c r="K1665" i="1"/>
  <c r="L1665" i="1"/>
  <c r="A1666" i="1"/>
  <c r="B1666" i="1"/>
  <c r="C1666" i="1"/>
  <c r="D1666" i="1"/>
  <c r="Q1666" i="1"/>
  <c r="R1666" i="1"/>
  <c r="E1666" i="1"/>
  <c r="G1666" i="1"/>
  <c r="H1666" i="1"/>
  <c r="J1666" i="1"/>
  <c r="K1666" i="1"/>
  <c r="L1666" i="1"/>
  <c r="A1667" i="1"/>
  <c r="B1667" i="1"/>
  <c r="C1667" i="1"/>
  <c r="D1667" i="1"/>
  <c r="Q1667" i="1"/>
  <c r="R1667" i="1"/>
  <c r="E1667" i="1"/>
  <c r="G1667" i="1"/>
  <c r="H1667" i="1"/>
  <c r="J1667" i="1"/>
  <c r="K1667" i="1"/>
  <c r="L1667" i="1"/>
  <c r="A1668" i="1"/>
  <c r="B1668" i="1"/>
  <c r="C1668" i="1"/>
  <c r="D1668" i="1"/>
  <c r="Q1668" i="1"/>
  <c r="R1668" i="1"/>
  <c r="E1668" i="1"/>
  <c r="G1668" i="1"/>
  <c r="H1668" i="1"/>
  <c r="J1668" i="1"/>
  <c r="K1668" i="1"/>
  <c r="L1668" i="1"/>
  <c r="A1669" i="1"/>
  <c r="B1669" i="1"/>
  <c r="C1669" i="1"/>
  <c r="D1669" i="1"/>
  <c r="Q1669" i="1"/>
  <c r="R1669" i="1"/>
  <c r="E1669" i="1"/>
  <c r="G1669" i="1"/>
  <c r="H1669" i="1"/>
  <c r="J1669" i="1"/>
  <c r="K1669" i="1"/>
  <c r="L1669" i="1"/>
  <c r="A1670" i="1"/>
  <c r="B1670" i="1"/>
  <c r="C1670" i="1"/>
  <c r="D1670" i="1"/>
  <c r="Q1670" i="1"/>
  <c r="R1670" i="1"/>
  <c r="E1670" i="1"/>
  <c r="G1670" i="1"/>
  <c r="H1670" i="1"/>
  <c r="J1670" i="1"/>
  <c r="K1670" i="1"/>
  <c r="L1670" i="1"/>
  <c r="A1671" i="1"/>
  <c r="B1671" i="1"/>
  <c r="C1671" i="1"/>
  <c r="D1671" i="1"/>
  <c r="Q1671" i="1"/>
  <c r="R1671" i="1"/>
  <c r="E1671" i="1"/>
  <c r="G1671" i="1"/>
  <c r="H1671" i="1"/>
  <c r="J1671" i="1"/>
  <c r="K1671" i="1"/>
  <c r="L1671" i="1"/>
  <c r="A1672" i="1"/>
  <c r="B1672" i="1"/>
  <c r="C1672" i="1"/>
  <c r="D1672" i="1"/>
  <c r="Q1672" i="1"/>
  <c r="R1672" i="1"/>
  <c r="E1672" i="1"/>
  <c r="G1672" i="1"/>
  <c r="H1672" i="1"/>
  <c r="J1672" i="1"/>
  <c r="K1672" i="1"/>
  <c r="L1672" i="1"/>
  <c r="A1673" i="1"/>
  <c r="B1673" i="1"/>
  <c r="C1673" i="1"/>
  <c r="D1673" i="1"/>
  <c r="Q1673" i="1"/>
  <c r="R1673" i="1"/>
  <c r="E1673" i="1"/>
  <c r="G1673" i="1"/>
  <c r="H1673" i="1"/>
  <c r="J1673" i="1"/>
  <c r="K1673" i="1"/>
  <c r="L1673" i="1"/>
  <c r="A1674" i="1"/>
  <c r="B1674" i="1"/>
  <c r="C1674" i="1"/>
  <c r="D1674" i="1"/>
  <c r="Q1674" i="1"/>
  <c r="R1674" i="1"/>
  <c r="E1674" i="1"/>
  <c r="G1674" i="1"/>
  <c r="H1674" i="1"/>
  <c r="J1674" i="1"/>
  <c r="K1674" i="1"/>
  <c r="L1674" i="1"/>
  <c r="A1675" i="1"/>
  <c r="B1675" i="1"/>
  <c r="C1675" i="1"/>
  <c r="D1675" i="1"/>
  <c r="Q1675" i="1"/>
  <c r="R1675" i="1"/>
  <c r="E1675" i="1"/>
  <c r="G1675" i="1"/>
  <c r="H1675" i="1"/>
  <c r="J1675" i="1"/>
  <c r="K1675" i="1"/>
  <c r="L1675" i="1"/>
  <c r="A1676" i="1"/>
  <c r="B1676" i="1"/>
  <c r="C1676" i="1"/>
  <c r="D1676" i="1"/>
  <c r="Q1676" i="1"/>
  <c r="R1676" i="1"/>
  <c r="E1676" i="1"/>
  <c r="F1676" i="1"/>
  <c r="G1676" i="1"/>
  <c r="H1676" i="1"/>
  <c r="J1676" i="1"/>
  <c r="K1676" i="1"/>
  <c r="L1676" i="1"/>
  <c r="A1677" i="1"/>
  <c r="B1677" i="1"/>
  <c r="C1677" i="1"/>
  <c r="D1677" i="1"/>
  <c r="Q1677" i="1"/>
  <c r="R1677" i="1"/>
  <c r="E1677" i="1"/>
  <c r="F1677" i="1"/>
  <c r="G1677" i="1"/>
  <c r="H1677" i="1"/>
  <c r="J1677" i="1"/>
  <c r="K1677" i="1"/>
  <c r="L1677" i="1"/>
  <c r="A1678" i="1"/>
  <c r="B1678" i="1"/>
  <c r="C1678" i="1"/>
  <c r="D1678" i="1"/>
  <c r="Q1678" i="1"/>
  <c r="R1678" i="1"/>
  <c r="E1678" i="1"/>
  <c r="F1678" i="1"/>
  <c r="G1678" i="1"/>
  <c r="H1678" i="1"/>
  <c r="J1678" i="1"/>
  <c r="K1678" i="1"/>
  <c r="L1678" i="1"/>
  <c r="A1679" i="1"/>
  <c r="B1679" i="1"/>
  <c r="C1679" i="1"/>
  <c r="D1679" i="1"/>
  <c r="Q1679" i="1"/>
  <c r="R1679" i="1"/>
  <c r="E1679" i="1"/>
  <c r="G1679" i="1"/>
  <c r="H1679" i="1"/>
  <c r="J1679" i="1"/>
  <c r="K1679" i="1"/>
  <c r="L1679" i="1"/>
  <c r="A1680" i="1"/>
  <c r="B1680" i="1"/>
  <c r="C1680" i="1"/>
  <c r="D1680" i="1"/>
  <c r="Q1680" i="1"/>
  <c r="R1680" i="1"/>
  <c r="E1680" i="1"/>
  <c r="G1680" i="1"/>
  <c r="H1680" i="1"/>
  <c r="J1680" i="1"/>
  <c r="K1680" i="1"/>
  <c r="L1680" i="1"/>
  <c r="A1681" i="1"/>
  <c r="B1681" i="1"/>
  <c r="C1681" i="1"/>
  <c r="D1681" i="1"/>
  <c r="Q1681" i="1"/>
  <c r="R1681" i="1"/>
  <c r="E1681" i="1"/>
  <c r="G1681" i="1"/>
  <c r="H1681" i="1"/>
  <c r="J1681" i="1"/>
  <c r="K1681" i="1"/>
  <c r="L1681" i="1"/>
  <c r="A1682" i="1"/>
  <c r="B1682" i="1"/>
  <c r="C1682" i="1"/>
  <c r="D1682" i="1"/>
  <c r="Q1682" i="1"/>
  <c r="R1682" i="1"/>
  <c r="E1682" i="1"/>
  <c r="G1682" i="1"/>
  <c r="H1682" i="1"/>
  <c r="J1682" i="1"/>
  <c r="K1682" i="1"/>
  <c r="L1682" i="1"/>
  <c r="A1683" i="1"/>
  <c r="B1683" i="1"/>
  <c r="C1683" i="1"/>
  <c r="D1683" i="1"/>
  <c r="Q1683" i="1"/>
  <c r="R1683" i="1"/>
  <c r="E1683" i="1"/>
  <c r="G1683" i="1"/>
  <c r="H1683" i="1"/>
  <c r="J1683" i="1"/>
  <c r="K1683" i="1"/>
  <c r="L1683" i="1"/>
  <c r="A1684" i="1"/>
  <c r="B1684" i="1"/>
  <c r="C1684" i="1"/>
  <c r="D1684" i="1"/>
  <c r="Q1684" i="1"/>
  <c r="R1684" i="1"/>
  <c r="E1684" i="1"/>
  <c r="G1684" i="1"/>
  <c r="H1684" i="1"/>
  <c r="J1684" i="1"/>
  <c r="K1684" i="1"/>
  <c r="L1684" i="1"/>
  <c r="A1685" i="1"/>
  <c r="B1685" i="1"/>
  <c r="C1685" i="1"/>
  <c r="D1685" i="1"/>
  <c r="Q1685" i="1"/>
  <c r="R1685" i="1"/>
  <c r="E1685" i="1"/>
  <c r="G1685" i="1"/>
  <c r="H1685" i="1"/>
  <c r="J1685" i="1"/>
  <c r="K1685" i="1"/>
  <c r="L1685" i="1"/>
  <c r="A1686" i="1"/>
  <c r="B1686" i="1"/>
  <c r="C1686" i="1"/>
  <c r="D1686" i="1"/>
  <c r="Q1686" i="1"/>
  <c r="R1686" i="1"/>
  <c r="E1686" i="1"/>
  <c r="G1686" i="1"/>
  <c r="H1686" i="1"/>
  <c r="J1686" i="1"/>
  <c r="K1686" i="1"/>
  <c r="L1686" i="1"/>
  <c r="A1687" i="1"/>
  <c r="B1687" i="1"/>
  <c r="C1687" i="1"/>
  <c r="D1687" i="1"/>
  <c r="Q1687" i="1"/>
  <c r="R1687" i="1"/>
  <c r="E1687" i="1"/>
  <c r="G1687" i="1"/>
  <c r="H1687" i="1"/>
  <c r="J1687" i="1"/>
  <c r="K1687" i="1"/>
  <c r="L1687" i="1"/>
  <c r="A1688" i="1"/>
  <c r="B1688" i="1"/>
  <c r="C1688" i="1"/>
  <c r="D1688" i="1"/>
  <c r="Q1688" i="1"/>
  <c r="R1688" i="1"/>
  <c r="E1688" i="1"/>
  <c r="G1688" i="1"/>
  <c r="H1688" i="1"/>
  <c r="J1688" i="1"/>
  <c r="K1688" i="1"/>
  <c r="L1688" i="1"/>
  <c r="A1689" i="1"/>
  <c r="B1689" i="1"/>
  <c r="C1689" i="1"/>
  <c r="D1689" i="1"/>
  <c r="Q1689" i="1"/>
  <c r="R1689" i="1"/>
  <c r="E1689" i="1"/>
  <c r="G1689" i="1"/>
  <c r="H1689" i="1"/>
  <c r="J1689" i="1"/>
  <c r="K1689" i="1"/>
  <c r="L1689" i="1"/>
  <c r="A1690" i="1"/>
  <c r="B1690" i="1"/>
  <c r="C1690" i="1"/>
  <c r="D1690" i="1"/>
  <c r="Q1690" i="1"/>
  <c r="R1690" i="1"/>
  <c r="E1690" i="1"/>
  <c r="G1690" i="1"/>
  <c r="H1690" i="1"/>
  <c r="J1690" i="1"/>
  <c r="K1690" i="1"/>
  <c r="L1690" i="1"/>
  <c r="A1691" i="1"/>
  <c r="B1691" i="1"/>
  <c r="C1691" i="1"/>
  <c r="D1691" i="1"/>
  <c r="Q1691" i="1"/>
  <c r="R1691" i="1"/>
  <c r="E1691" i="1"/>
  <c r="G1691" i="1"/>
  <c r="H1691" i="1"/>
  <c r="J1691" i="1"/>
  <c r="K1691" i="1"/>
  <c r="L1691" i="1"/>
  <c r="A1692" i="1"/>
  <c r="B1692" i="1"/>
  <c r="C1692" i="1"/>
  <c r="D1692" i="1"/>
  <c r="Q1692" i="1"/>
  <c r="R1692" i="1"/>
  <c r="E1692" i="1"/>
  <c r="G1692" i="1"/>
  <c r="H1692" i="1"/>
  <c r="J1692" i="1"/>
  <c r="K1692" i="1"/>
  <c r="L1692" i="1"/>
  <c r="A1693" i="1"/>
  <c r="B1693" i="1"/>
  <c r="C1693" i="1"/>
  <c r="D1693" i="1"/>
  <c r="Q1693" i="1"/>
  <c r="R1693" i="1"/>
  <c r="E1693" i="1"/>
  <c r="G1693" i="1"/>
  <c r="H1693" i="1"/>
  <c r="J1693" i="1"/>
  <c r="K1693" i="1"/>
  <c r="L1693" i="1"/>
  <c r="A1694" i="1"/>
  <c r="B1694" i="1"/>
  <c r="C1694" i="1"/>
  <c r="D1694" i="1"/>
  <c r="Q1694" i="1"/>
  <c r="R1694" i="1"/>
  <c r="E1694" i="1"/>
  <c r="G1694" i="1"/>
  <c r="H1694" i="1"/>
  <c r="J1694" i="1"/>
  <c r="K1694" i="1"/>
  <c r="L1694" i="1"/>
  <c r="A1695" i="1"/>
  <c r="B1695" i="1"/>
  <c r="C1695" i="1"/>
  <c r="D1695" i="1"/>
  <c r="Q1695" i="1"/>
  <c r="R1695" i="1"/>
  <c r="E1695" i="1"/>
  <c r="G1695" i="1"/>
  <c r="H1695" i="1"/>
  <c r="J1695" i="1"/>
  <c r="K1695" i="1"/>
  <c r="L1695" i="1"/>
  <c r="A1696" i="1"/>
  <c r="B1696" i="1"/>
  <c r="C1696" i="1"/>
  <c r="D1696" i="1"/>
  <c r="Q1696" i="1"/>
  <c r="R1696" i="1"/>
  <c r="E1696" i="1"/>
  <c r="G1696" i="1"/>
  <c r="H1696" i="1"/>
  <c r="J1696" i="1"/>
  <c r="K1696" i="1"/>
  <c r="L1696" i="1"/>
  <c r="A1697" i="1"/>
  <c r="B1697" i="1"/>
  <c r="C1697" i="1"/>
  <c r="D1697" i="1"/>
  <c r="Q1697" i="1"/>
  <c r="R1697" i="1"/>
  <c r="E1697" i="1"/>
  <c r="G1697" i="1"/>
  <c r="H1697" i="1"/>
  <c r="J1697" i="1"/>
  <c r="K1697" i="1"/>
  <c r="L1697" i="1"/>
  <c r="A1698" i="1"/>
  <c r="B1698" i="1"/>
  <c r="C1698" i="1"/>
  <c r="D1698" i="1"/>
  <c r="Q1698" i="1"/>
  <c r="R1698" i="1"/>
  <c r="E1698" i="1"/>
  <c r="G1698" i="1"/>
  <c r="H1698" i="1"/>
  <c r="J1698" i="1"/>
  <c r="K1698" i="1"/>
  <c r="L1698" i="1"/>
  <c r="A1699" i="1"/>
  <c r="B1699" i="1"/>
  <c r="C1699" i="1"/>
  <c r="D1699" i="1"/>
  <c r="Q1699" i="1"/>
  <c r="R1699" i="1"/>
  <c r="E1699" i="1"/>
  <c r="G1699" i="1"/>
  <c r="H1699" i="1"/>
  <c r="J1699" i="1"/>
  <c r="K1699" i="1"/>
  <c r="L1699" i="1"/>
  <c r="A1700" i="1"/>
  <c r="B1700" i="1"/>
  <c r="C1700" i="1"/>
  <c r="D1700" i="1"/>
  <c r="Q1700" i="1"/>
  <c r="R1700" i="1"/>
  <c r="E1700" i="1"/>
  <c r="G1700" i="1"/>
  <c r="H1700" i="1"/>
  <c r="J1700" i="1"/>
  <c r="K1700" i="1"/>
  <c r="L1700" i="1"/>
  <c r="A1701" i="1"/>
  <c r="B1701" i="1"/>
  <c r="C1701" i="1"/>
  <c r="D1701" i="1"/>
  <c r="Q1701" i="1"/>
  <c r="R1701" i="1"/>
  <c r="E1701" i="1"/>
  <c r="G1701" i="1"/>
  <c r="H1701" i="1"/>
  <c r="J1701" i="1"/>
  <c r="K1701" i="1"/>
  <c r="L1701" i="1"/>
  <c r="A1702" i="1"/>
  <c r="B1702" i="1"/>
  <c r="C1702" i="1"/>
  <c r="D1702" i="1"/>
  <c r="Q1702" i="1"/>
  <c r="R1702" i="1"/>
  <c r="E1702" i="1"/>
  <c r="G1702" i="1"/>
  <c r="H1702" i="1"/>
  <c r="J1702" i="1"/>
  <c r="K1702" i="1"/>
  <c r="L1702" i="1"/>
  <c r="A1703" i="1"/>
  <c r="B1703" i="1"/>
  <c r="C1703" i="1"/>
  <c r="D1703" i="1"/>
  <c r="Q1703" i="1"/>
  <c r="R1703" i="1"/>
  <c r="E1703" i="1"/>
  <c r="G1703" i="1"/>
  <c r="H1703" i="1"/>
  <c r="J1703" i="1"/>
  <c r="K1703" i="1"/>
  <c r="L1703" i="1"/>
  <c r="A1704" i="1"/>
  <c r="B1704" i="1"/>
  <c r="C1704" i="1"/>
  <c r="D1704" i="1"/>
  <c r="Q1704" i="1"/>
  <c r="R1704" i="1"/>
  <c r="E1704" i="1"/>
  <c r="G1704" i="1"/>
  <c r="H1704" i="1"/>
  <c r="J1704" i="1"/>
  <c r="K1704" i="1"/>
  <c r="L1704" i="1"/>
  <c r="A1705" i="1"/>
  <c r="B1705" i="1"/>
  <c r="C1705" i="1"/>
  <c r="D1705" i="1"/>
  <c r="Q1705" i="1"/>
  <c r="R1705" i="1"/>
  <c r="E1705" i="1"/>
  <c r="G1705" i="1"/>
  <c r="H1705" i="1"/>
  <c r="J1705" i="1"/>
  <c r="K1705" i="1"/>
  <c r="L1705" i="1"/>
  <c r="A1706" i="1"/>
  <c r="B1706" i="1"/>
  <c r="C1706" i="1"/>
  <c r="D1706" i="1"/>
  <c r="Q1706" i="1"/>
  <c r="R1706" i="1"/>
  <c r="E1706" i="1"/>
  <c r="G1706" i="1"/>
  <c r="H1706" i="1"/>
  <c r="J1706" i="1"/>
  <c r="K1706" i="1"/>
  <c r="L1706" i="1"/>
  <c r="A1707" i="1"/>
  <c r="B1707" i="1"/>
  <c r="C1707" i="1"/>
  <c r="D1707" i="1"/>
  <c r="Q1707" i="1"/>
  <c r="R1707" i="1"/>
  <c r="E1707" i="1"/>
  <c r="G1707" i="1"/>
  <c r="H1707" i="1"/>
  <c r="J1707" i="1"/>
  <c r="K1707" i="1"/>
  <c r="L1707" i="1"/>
  <c r="A1708" i="1"/>
  <c r="B1708" i="1"/>
  <c r="C1708" i="1"/>
  <c r="D1708" i="1"/>
  <c r="Q1708" i="1"/>
  <c r="R1708" i="1"/>
  <c r="E1708" i="1"/>
  <c r="G1708" i="1"/>
  <c r="H1708" i="1"/>
  <c r="J1708" i="1"/>
  <c r="K1708" i="1"/>
  <c r="L1708" i="1"/>
  <c r="A1709" i="1"/>
  <c r="B1709" i="1"/>
  <c r="C1709" i="1"/>
  <c r="D1709" i="1"/>
  <c r="Q1709" i="1"/>
  <c r="R1709" i="1"/>
  <c r="E1709" i="1"/>
  <c r="G1709" i="1"/>
  <c r="H1709" i="1"/>
  <c r="J1709" i="1"/>
  <c r="K1709" i="1"/>
  <c r="L1709" i="1"/>
  <c r="A1710" i="1"/>
  <c r="B1710" i="1"/>
  <c r="C1710" i="1"/>
  <c r="D1710" i="1"/>
  <c r="Q1710" i="1"/>
  <c r="R1710" i="1"/>
  <c r="E1710" i="1"/>
  <c r="G1710" i="1"/>
  <c r="H1710" i="1"/>
  <c r="J1710" i="1"/>
  <c r="K1710" i="1"/>
  <c r="L1710" i="1"/>
  <c r="A1711" i="1"/>
  <c r="B1711" i="1"/>
  <c r="C1711" i="1"/>
  <c r="D1711" i="1"/>
  <c r="Q1711" i="1"/>
  <c r="R1711" i="1"/>
  <c r="E1711" i="1"/>
  <c r="G1711" i="1"/>
  <c r="H1711" i="1"/>
  <c r="J1711" i="1"/>
  <c r="K1711" i="1"/>
  <c r="L1711" i="1"/>
  <c r="A1712" i="1"/>
  <c r="B1712" i="1"/>
  <c r="C1712" i="1"/>
  <c r="D1712" i="1"/>
  <c r="Q1712" i="1"/>
  <c r="R1712" i="1"/>
  <c r="E1712" i="1"/>
  <c r="G1712" i="1"/>
  <c r="H1712" i="1"/>
  <c r="J1712" i="1"/>
  <c r="K1712" i="1"/>
  <c r="L1712" i="1"/>
  <c r="A1713" i="1"/>
  <c r="B1713" i="1"/>
  <c r="C1713" i="1"/>
  <c r="D1713" i="1"/>
  <c r="Q1713" i="1"/>
  <c r="R1713" i="1"/>
  <c r="E1713" i="1"/>
  <c r="G1713" i="1"/>
  <c r="H1713" i="1"/>
  <c r="J1713" i="1"/>
  <c r="K1713" i="1"/>
  <c r="L1713" i="1"/>
  <c r="A1714" i="1"/>
  <c r="B1714" i="1"/>
  <c r="C1714" i="1"/>
  <c r="D1714" i="1"/>
  <c r="Q1714" i="1"/>
  <c r="R1714" i="1"/>
  <c r="E1714" i="1"/>
  <c r="G1714" i="1"/>
  <c r="H1714" i="1"/>
  <c r="J1714" i="1"/>
  <c r="K1714" i="1"/>
  <c r="L1714" i="1"/>
  <c r="A1715" i="1"/>
  <c r="B1715" i="1"/>
  <c r="C1715" i="1"/>
  <c r="D1715" i="1"/>
  <c r="Q1715" i="1"/>
  <c r="R1715" i="1"/>
  <c r="E1715" i="1"/>
  <c r="G1715" i="1"/>
  <c r="H1715" i="1"/>
  <c r="J1715" i="1"/>
  <c r="K1715" i="1"/>
  <c r="L1715" i="1"/>
  <c r="A1716" i="1"/>
  <c r="B1716" i="1"/>
  <c r="C1716" i="1"/>
  <c r="D1716" i="1"/>
  <c r="Q1716" i="1"/>
  <c r="R1716" i="1"/>
  <c r="E1716" i="1"/>
  <c r="G1716" i="1"/>
  <c r="H1716" i="1"/>
  <c r="J1716" i="1"/>
  <c r="K1716" i="1"/>
  <c r="L1716" i="1"/>
  <c r="A1717" i="1"/>
  <c r="B1717" i="1"/>
  <c r="C1717" i="1"/>
  <c r="D1717" i="1"/>
  <c r="Q1717" i="1"/>
  <c r="R1717" i="1"/>
  <c r="E1717" i="1"/>
  <c r="G1717" i="1"/>
  <c r="H1717" i="1"/>
  <c r="J1717" i="1"/>
  <c r="K1717" i="1"/>
  <c r="L1717" i="1"/>
  <c r="A1718" i="1"/>
  <c r="B1718" i="1"/>
  <c r="C1718" i="1"/>
  <c r="D1718" i="1"/>
  <c r="Q1718" i="1"/>
  <c r="R1718" i="1"/>
  <c r="E1718" i="1"/>
  <c r="G1718" i="1"/>
  <c r="H1718" i="1"/>
  <c r="J1718" i="1"/>
  <c r="K1718" i="1"/>
  <c r="L1718" i="1"/>
  <c r="A1719" i="1"/>
  <c r="B1719" i="1"/>
  <c r="C1719" i="1"/>
  <c r="D1719" i="1"/>
  <c r="Q1719" i="1"/>
  <c r="R1719" i="1"/>
  <c r="E1719" i="1"/>
  <c r="G1719" i="1"/>
  <c r="H1719" i="1"/>
  <c r="J1719" i="1"/>
  <c r="K1719" i="1"/>
  <c r="L1719" i="1"/>
  <c r="A1720" i="1"/>
  <c r="B1720" i="1"/>
  <c r="C1720" i="1"/>
  <c r="D1720" i="1"/>
  <c r="Q1720" i="1"/>
  <c r="R1720" i="1"/>
  <c r="E1720" i="1"/>
  <c r="G1720" i="1"/>
  <c r="H1720" i="1"/>
  <c r="J1720" i="1"/>
  <c r="K1720" i="1"/>
  <c r="L1720" i="1"/>
  <c r="A1721" i="1"/>
  <c r="B1721" i="1"/>
  <c r="C1721" i="1"/>
  <c r="D1721" i="1"/>
  <c r="Q1721" i="1"/>
  <c r="R1721" i="1"/>
  <c r="E1721" i="1"/>
  <c r="G1721" i="1"/>
  <c r="H1721" i="1"/>
  <c r="J1721" i="1"/>
  <c r="K1721" i="1"/>
  <c r="L1721" i="1"/>
  <c r="A1722" i="1"/>
  <c r="B1722" i="1"/>
  <c r="C1722" i="1"/>
  <c r="D1722" i="1"/>
  <c r="Q1722" i="1"/>
  <c r="R1722" i="1"/>
  <c r="E1722" i="1"/>
  <c r="G1722" i="1"/>
  <c r="H1722" i="1"/>
  <c r="J1722" i="1"/>
  <c r="K1722" i="1"/>
  <c r="L1722" i="1"/>
  <c r="A1723" i="1"/>
  <c r="B1723" i="1"/>
  <c r="C1723" i="1"/>
  <c r="D1723" i="1"/>
  <c r="Q1723" i="1"/>
  <c r="R1723" i="1"/>
  <c r="E1723" i="1"/>
  <c r="G1723" i="1"/>
  <c r="H1723" i="1"/>
  <c r="J1723" i="1"/>
  <c r="K1723" i="1"/>
  <c r="L1723" i="1"/>
  <c r="A1724" i="1"/>
  <c r="B1724" i="1"/>
  <c r="C1724" i="1"/>
  <c r="D1724" i="1"/>
  <c r="Q1724" i="1"/>
  <c r="R1724" i="1"/>
  <c r="E1724" i="1"/>
  <c r="G1724" i="1"/>
  <c r="H1724" i="1"/>
  <c r="J1724" i="1"/>
  <c r="K1724" i="1"/>
  <c r="L1724" i="1"/>
  <c r="A1725" i="1"/>
  <c r="B1725" i="1"/>
  <c r="C1725" i="1"/>
  <c r="D1725" i="1"/>
  <c r="Q1725" i="1"/>
  <c r="R1725" i="1"/>
  <c r="E1725" i="1"/>
  <c r="G1725" i="1"/>
  <c r="H1725" i="1"/>
  <c r="J1725" i="1"/>
  <c r="K1725" i="1"/>
  <c r="L1725" i="1"/>
  <c r="A1726" i="1"/>
  <c r="B1726" i="1"/>
  <c r="C1726" i="1"/>
  <c r="D1726" i="1"/>
  <c r="Q1726" i="1"/>
  <c r="R1726" i="1"/>
  <c r="E1726" i="1"/>
  <c r="G1726" i="1"/>
  <c r="H1726" i="1"/>
  <c r="J1726" i="1"/>
  <c r="K1726" i="1"/>
  <c r="L1726" i="1"/>
  <c r="A1727" i="1"/>
  <c r="B1727" i="1"/>
  <c r="C1727" i="1"/>
  <c r="D1727" i="1"/>
  <c r="Q1727" i="1"/>
  <c r="R1727" i="1"/>
  <c r="E1727" i="1"/>
  <c r="G1727" i="1"/>
  <c r="H1727" i="1"/>
  <c r="J1727" i="1"/>
  <c r="K1727" i="1"/>
  <c r="L1727" i="1"/>
  <c r="A1728" i="1"/>
  <c r="B1728" i="1"/>
  <c r="C1728" i="1"/>
  <c r="D1728" i="1"/>
  <c r="Q1728" i="1"/>
  <c r="R1728" i="1"/>
  <c r="E1728" i="1"/>
  <c r="G1728" i="1"/>
  <c r="H1728" i="1"/>
  <c r="J1728" i="1"/>
  <c r="K1728" i="1"/>
  <c r="L1728" i="1"/>
  <c r="A1729" i="1"/>
  <c r="B1729" i="1"/>
  <c r="C1729" i="1"/>
  <c r="D1729" i="1"/>
  <c r="Q1729" i="1"/>
  <c r="R1729" i="1"/>
  <c r="E1729" i="1"/>
  <c r="G1729" i="1"/>
  <c r="H1729" i="1"/>
  <c r="J1729" i="1"/>
  <c r="K1729" i="1"/>
  <c r="L1729" i="1"/>
  <c r="A1730" i="1"/>
  <c r="B1730" i="1"/>
  <c r="C1730" i="1"/>
  <c r="D1730" i="1"/>
  <c r="Q1730" i="1"/>
  <c r="R1730" i="1"/>
  <c r="E1730" i="1"/>
  <c r="G1730" i="1"/>
  <c r="H1730" i="1"/>
  <c r="J1730" i="1"/>
  <c r="K1730" i="1"/>
  <c r="L1730" i="1"/>
  <c r="A1731" i="1"/>
  <c r="B1731" i="1"/>
  <c r="C1731" i="1"/>
  <c r="D1731" i="1"/>
  <c r="Q1731" i="1"/>
  <c r="R1731" i="1"/>
  <c r="E1731" i="1"/>
  <c r="G1731" i="1"/>
  <c r="H1731" i="1"/>
  <c r="J1731" i="1"/>
  <c r="K1731" i="1"/>
  <c r="L1731" i="1"/>
  <c r="A1732" i="1"/>
  <c r="B1732" i="1"/>
  <c r="C1732" i="1"/>
  <c r="D1732" i="1"/>
  <c r="Q1732" i="1"/>
  <c r="R1732" i="1"/>
  <c r="E1732" i="1"/>
  <c r="G1732" i="1"/>
  <c r="H1732" i="1"/>
  <c r="J1732" i="1"/>
  <c r="K1732" i="1"/>
  <c r="L1732" i="1"/>
  <c r="A1733" i="1"/>
  <c r="B1733" i="1"/>
  <c r="C1733" i="1"/>
  <c r="D1733" i="1"/>
  <c r="Q1733" i="1"/>
  <c r="R1733" i="1"/>
  <c r="E1733" i="1"/>
  <c r="G1733" i="1"/>
  <c r="H1733" i="1"/>
  <c r="J1733" i="1"/>
  <c r="K1733" i="1"/>
  <c r="L1733" i="1"/>
  <c r="A1734" i="1"/>
  <c r="B1734" i="1"/>
  <c r="C1734" i="1"/>
  <c r="D1734" i="1"/>
  <c r="Q1734" i="1"/>
  <c r="R1734" i="1"/>
  <c r="E1734" i="1"/>
  <c r="G1734" i="1"/>
  <c r="H1734" i="1"/>
  <c r="J1734" i="1"/>
  <c r="K1734" i="1"/>
  <c r="L1734" i="1"/>
  <c r="A1735" i="1"/>
  <c r="B1735" i="1"/>
  <c r="C1735" i="1"/>
  <c r="D1735" i="1"/>
  <c r="Q1735" i="1"/>
  <c r="R1735" i="1"/>
  <c r="E1735" i="1"/>
  <c r="G1735" i="1"/>
  <c r="H1735" i="1"/>
  <c r="J1735" i="1"/>
  <c r="K1735" i="1"/>
  <c r="L1735" i="1"/>
  <c r="A1736" i="1"/>
  <c r="B1736" i="1"/>
  <c r="C1736" i="1"/>
  <c r="D1736" i="1"/>
  <c r="Q1736" i="1"/>
  <c r="R1736" i="1"/>
  <c r="E1736" i="1"/>
  <c r="G1736" i="1"/>
  <c r="H1736" i="1"/>
  <c r="J1736" i="1"/>
  <c r="K1736" i="1"/>
  <c r="L1736" i="1"/>
  <c r="A1737" i="1"/>
  <c r="B1737" i="1"/>
  <c r="C1737" i="1"/>
  <c r="D1737" i="1"/>
  <c r="Q1737" i="1"/>
  <c r="R1737" i="1"/>
  <c r="E1737" i="1"/>
  <c r="G1737" i="1"/>
  <c r="H1737" i="1"/>
  <c r="J1737" i="1"/>
  <c r="K1737" i="1"/>
  <c r="L1737" i="1"/>
  <c r="A1738" i="1"/>
  <c r="B1738" i="1"/>
  <c r="C1738" i="1"/>
  <c r="D1738" i="1"/>
  <c r="Q1738" i="1"/>
  <c r="R1738" i="1"/>
  <c r="E1738" i="1"/>
  <c r="G1738" i="1"/>
  <c r="H1738" i="1"/>
  <c r="J1738" i="1"/>
  <c r="K1738" i="1"/>
  <c r="L1738" i="1"/>
  <c r="A1739" i="1"/>
  <c r="B1739" i="1"/>
  <c r="C1739" i="1"/>
  <c r="D1739" i="1"/>
  <c r="Q1739" i="1"/>
  <c r="R1739" i="1"/>
  <c r="E1739" i="1"/>
  <c r="G1739" i="1"/>
  <c r="H1739" i="1"/>
  <c r="J1739" i="1"/>
  <c r="K1739" i="1"/>
  <c r="L1739" i="1"/>
  <c r="A1740" i="1"/>
  <c r="B1740" i="1"/>
  <c r="C1740" i="1"/>
  <c r="D1740" i="1"/>
  <c r="Q1740" i="1"/>
  <c r="R1740" i="1"/>
  <c r="E1740" i="1"/>
  <c r="G1740" i="1"/>
  <c r="H1740" i="1"/>
  <c r="J1740" i="1"/>
  <c r="K1740" i="1"/>
  <c r="L1740" i="1"/>
  <c r="A1741" i="1"/>
  <c r="B1741" i="1"/>
  <c r="C1741" i="1"/>
  <c r="D1741" i="1"/>
  <c r="Q1741" i="1"/>
  <c r="R1741" i="1"/>
  <c r="E1741" i="1"/>
  <c r="G1741" i="1"/>
  <c r="H1741" i="1"/>
  <c r="J1741" i="1"/>
  <c r="K1741" i="1"/>
  <c r="L1741" i="1"/>
  <c r="A1742" i="1"/>
  <c r="B1742" i="1"/>
  <c r="C1742" i="1"/>
  <c r="D1742" i="1"/>
  <c r="Q1742" i="1"/>
  <c r="R1742" i="1"/>
  <c r="E1742" i="1"/>
  <c r="G1742" i="1"/>
  <c r="H1742" i="1"/>
  <c r="J1742" i="1"/>
  <c r="K1742" i="1"/>
  <c r="L1742" i="1"/>
  <c r="A1743" i="1"/>
  <c r="B1743" i="1"/>
  <c r="C1743" i="1"/>
  <c r="D1743" i="1"/>
  <c r="Q1743" i="1"/>
  <c r="R1743" i="1"/>
  <c r="E1743" i="1"/>
  <c r="G1743" i="1"/>
  <c r="H1743" i="1"/>
  <c r="J1743" i="1"/>
  <c r="K1743" i="1"/>
  <c r="L1743" i="1"/>
  <c r="A1744" i="1"/>
  <c r="B1744" i="1"/>
  <c r="C1744" i="1"/>
  <c r="D1744" i="1"/>
  <c r="Q1744" i="1"/>
  <c r="R1744" i="1"/>
  <c r="E1744" i="1"/>
  <c r="G1744" i="1"/>
  <c r="H1744" i="1"/>
  <c r="J1744" i="1"/>
  <c r="K1744" i="1"/>
  <c r="L1744" i="1"/>
  <c r="A1745" i="1"/>
  <c r="B1745" i="1"/>
  <c r="C1745" i="1"/>
  <c r="D1745" i="1"/>
  <c r="Q1745" i="1"/>
  <c r="R1745" i="1"/>
  <c r="E1745" i="1"/>
  <c r="G1745" i="1"/>
  <c r="H1745" i="1"/>
  <c r="J1745" i="1"/>
  <c r="K1745" i="1"/>
  <c r="L1745" i="1"/>
  <c r="A1746" i="1"/>
  <c r="B1746" i="1"/>
  <c r="C1746" i="1"/>
  <c r="D1746" i="1"/>
  <c r="Q1746" i="1"/>
  <c r="R1746" i="1"/>
  <c r="E1746" i="1"/>
  <c r="G1746" i="1"/>
  <c r="H1746" i="1"/>
  <c r="J1746" i="1"/>
  <c r="K1746" i="1"/>
  <c r="L1746" i="1"/>
  <c r="A1747" i="1"/>
  <c r="B1747" i="1"/>
  <c r="C1747" i="1"/>
  <c r="D1747" i="1"/>
  <c r="Q1747" i="1"/>
  <c r="R1747" i="1"/>
  <c r="E1747" i="1"/>
  <c r="G1747" i="1"/>
  <c r="H1747" i="1"/>
  <c r="J1747" i="1"/>
  <c r="K1747" i="1"/>
  <c r="L1747" i="1"/>
  <c r="A1748" i="1"/>
  <c r="B1748" i="1"/>
  <c r="C1748" i="1"/>
  <c r="D1748" i="1"/>
  <c r="Q1748" i="1"/>
  <c r="R1748" i="1"/>
  <c r="E1748" i="1"/>
  <c r="G1748" i="1"/>
  <c r="H1748" i="1"/>
  <c r="J1748" i="1"/>
  <c r="K1748" i="1"/>
  <c r="L1748" i="1"/>
  <c r="A1749" i="1"/>
  <c r="B1749" i="1"/>
  <c r="C1749" i="1"/>
  <c r="D1749" i="1"/>
  <c r="Q1749" i="1"/>
  <c r="R1749" i="1"/>
  <c r="E1749" i="1"/>
  <c r="G1749" i="1"/>
  <c r="H1749" i="1"/>
  <c r="J1749" i="1"/>
  <c r="K1749" i="1"/>
  <c r="L1749" i="1"/>
  <c r="A1750" i="1"/>
  <c r="B1750" i="1"/>
  <c r="C1750" i="1"/>
  <c r="D1750" i="1"/>
  <c r="Q1750" i="1"/>
  <c r="R1750" i="1"/>
  <c r="E1750" i="1"/>
  <c r="G1750" i="1"/>
  <c r="H1750" i="1"/>
  <c r="J1750" i="1"/>
  <c r="K1750" i="1"/>
  <c r="L1750" i="1"/>
  <c r="A1751" i="1"/>
  <c r="B1751" i="1"/>
  <c r="C1751" i="1"/>
  <c r="D1751" i="1"/>
  <c r="Q1751" i="1"/>
  <c r="R1751" i="1"/>
  <c r="E1751" i="1"/>
  <c r="G1751" i="1"/>
  <c r="H1751" i="1"/>
  <c r="J1751" i="1"/>
  <c r="K1751" i="1"/>
  <c r="L1751" i="1"/>
  <c r="A1752" i="1"/>
  <c r="B1752" i="1"/>
  <c r="C1752" i="1"/>
  <c r="D1752" i="1"/>
  <c r="Q1752" i="1"/>
  <c r="R1752" i="1"/>
  <c r="E1752" i="1"/>
  <c r="G1752" i="1"/>
  <c r="H1752" i="1"/>
  <c r="J1752" i="1"/>
  <c r="K1752" i="1"/>
  <c r="L1752" i="1"/>
  <c r="A1753" i="1"/>
  <c r="B1753" i="1"/>
  <c r="C1753" i="1"/>
  <c r="D1753" i="1"/>
  <c r="Q1753" i="1"/>
  <c r="R1753" i="1"/>
  <c r="E1753" i="1"/>
  <c r="G1753" i="1"/>
  <c r="H1753" i="1"/>
  <c r="J1753" i="1"/>
  <c r="K1753" i="1"/>
  <c r="L1753" i="1"/>
  <c r="A1754" i="1"/>
  <c r="B1754" i="1"/>
  <c r="C1754" i="1"/>
  <c r="D1754" i="1"/>
  <c r="Q1754" i="1"/>
  <c r="R1754" i="1"/>
  <c r="E1754" i="1"/>
  <c r="G1754" i="1"/>
  <c r="H1754" i="1"/>
  <c r="J1754" i="1"/>
  <c r="K1754" i="1"/>
  <c r="L1754" i="1"/>
  <c r="A1755" i="1"/>
  <c r="B1755" i="1"/>
  <c r="C1755" i="1"/>
  <c r="D1755" i="1"/>
  <c r="Q1755" i="1"/>
  <c r="R1755" i="1"/>
  <c r="E1755" i="1"/>
  <c r="G1755" i="1"/>
  <c r="H1755" i="1"/>
  <c r="J1755" i="1"/>
  <c r="K1755" i="1"/>
  <c r="L1755" i="1"/>
  <c r="A1756" i="1"/>
  <c r="B1756" i="1"/>
  <c r="C1756" i="1"/>
  <c r="D1756" i="1"/>
  <c r="Q1756" i="1"/>
  <c r="R1756" i="1"/>
  <c r="E1756" i="1"/>
  <c r="G1756" i="1"/>
  <c r="H1756" i="1"/>
  <c r="J1756" i="1"/>
  <c r="K1756" i="1"/>
  <c r="L1756" i="1"/>
  <c r="A1757" i="1"/>
  <c r="B1757" i="1"/>
  <c r="C1757" i="1"/>
  <c r="D1757" i="1"/>
  <c r="Q1757" i="1"/>
  <c r="R1757" i="1"/>
  <c r="E1757" i="1"/>
  <c r="G1757" i="1"/>
  <c r="H1757" i="1"/>
  <c r="J1757" i="1"/>
  <c r="K1757" i="1"/>
  <c r="L1757" i="1"/>
  <c r="A1758" i="1"/>
  <c r="B1758" i="1"/>
  <c r="C1758" i="1"/>
  <c r="D1758" i="1"/>
  <c r="Q1758" i="1"/>
  <c r="R1758" i="1"/>
  <c r="E1758" i="1"/>
  <c r="G1758" i="1"/>
  <c r="H1758" i="1"/>
  <c r="J1758" i="1"/>
  <c r="K1758" i="1"/>
  <c r="L1758" i="1"/>
  <c r="A1759" i="1"/>
  <c r="B1759" i="1"/>
  <c r="C1759" i="1"/>
  <c r="D1759" i="1"/>
  <c r="Q1759" i="1"/>
  <c r="R1759" i="1"/>
  <c r="E1759" i="1"/>
  <c r="G1759" i="1"/>
  <c r="H1759" i="1"/>
  <c r="J1759" i="1"/>
  <c r="K1759" i="1"/>
  <c r="L1759" i="1"/>
  <c r="A1760" i="1"/>
  <c r="B1760" i="1"/>
  <c r="C1760" i="1"/>
  <c r="D1760" i="1"/>
  <c r="Q1760" i="1"/>
  <c r="R1760" i="1"/>
  <c r="E1760" i="1"/>
  <c r="G1760" i="1"/>
  <c r="H1760" i="1"/>
  <c r="J1760" i="1"/>
  <c r="K1760" i="1"/>
  <c r="L1760" i="1"/>
  <c r="A1761" i="1"/>
  <c r="B1761" i="1"/>
  <c r="C1761" i="1"/>
  <c r="D1761" i="1"/>
  <c r="Q1761" i="1"/>
  <c r="R1761" i="1"/>
  <c r="E1761" i="1"/>
  <c r="G1761" i="1"/>
  <c r="H1761" i="1"/>
  <c r="J1761" i="1"/>
  <c r="K1761" i="1"/>
  <c r="L1761" i="1"/>
  <c r="A1762" i="1"/>
  <c r="B1762" i="1"/>
  <c r="C1762" i="1"/>
  <c r="D1762" i="1"/>
  <c r="Q1762" i="1"/>
  <c r="R1762" i="1"/>
  <c r="E1762" i="1"/>
  <c r="G1762" i="1"/>
  <c r="H1762" i="1"/>
  <c r="J1762" i="1"/>
  <c r="K1762" i="1"/>
  <c r="L1762" i="1"/>
  <c r="A1763" i="1"/>
  <c r="B1763" i="1"/>
  <c r="C1763" i="1"/>
  <c r="D1763" i="1"/>
  <c r="Q1763" i="1"/>
  <c r="R1763" i="1"/>
  <c r="E1763" i="1"/>
  <c r="G1763" i="1"/>
  <c r="H1763" i="1"/>
  <c r="J1763" i="1"/>
  <c r="K1763" i="1"/>
  <c r="L1763" i="1"/>
  <c r="A1764" i="1"/>
  <c r="B1764" i="1"/>
  <c r="C1764" i="1"/>
  <c r="D1764" i="1"/>
  <c r="Q1764" i="1"/>
  <c r="R1764" i="1"/>
  <c r="E1764" i="1"/>
  <c r="G1764" i="1"/>
  <c r="H1764" i="1"/>
  <c r="J1764" i="1"/>
  <c r="K1764" i="1"/>
  <c r="L1764" i="1"/>
  <c r="A1765" i="1"/>
  <c r="B1765" i="1"/>
  <c r="C1765" i="1"/>
  <c r="D1765" i="1"/>
  <c r="Q1765" i="1"/>
  <c r="R1765" i="1"/>
  <c r="E1765" i="1"/>
  <c r="G1765" i="1"/>
  <c r="H1765" i="1"/>
  <c r="J1765" i="1"/>
  <c r="K1765" i="1"/>
  <c r="L1765" i="1"/>
  <c r="A1766" i="1"/>
  <c r="B1766" i="1"/>
  <c r="C1766" i="1"/>
  <c r="D1766" i="1"/>
  <c r="Q1766" i="1"/>
  <c r="R1766" i="1"/>
  <c r="E1766" i="1"/>
  <c r="G1766" i="1"/>
  <c r="H1766" i="1"/>
  <c r="J1766" i="1"/>
  <c r="K1766" i="1"/>
  <c r="L1766" i="1"/>
  <c r="A1767" i="1"/>
  <c r="B1767" i="1"/>
  <c r="C1767" i="1"/>
  <c r="D1767" i="1"/>
  <c r="Q1767" i="1"/>
  <c r="R1767" i="1"/>
  <c r="E1767" i="1"/>
  <c r="G1767" i="1"/>
  <c r="H1767" i="1"/>
  <c r="J1767" i="1"/>
  <c r="K1767" i="1"/>
  <c r="L1767" i="1"/>
  <c r="A1768" i="1"/>
  <c r="B1768" i="1"/>
  <c r="C1768" i="1"/>
  <c r="D1768" i="1"/>
  <c r="Q1768" i="1"/>
  <c r="R1768" i="1"/>
  <c r="E1768" i="1"/>
  <c r="G1768" i="1"/>
  <c r="H1768" i="1"/>
  <c r="J1768" i="1"/>
  <c r="K1768" i="1"/>
  <c r="L1768" i="1"/>
  <c r="A1769" i="1"/>
  <c r="B1769" i="1"/>
  <c r="C1769" i="1"/>
  <c r="D1769" i="1"/>
  <c r="Q1769" i="1"/>
  <c r="R1769" i="1"/>
  <c r="E1769" i="1"/>
  <c r="G1769" i="1"/>
  <c r="H1769" i="1"/>
  <c r="J1769" i="1"/>
  <c r="K1769" i="1"/>
  <c r="L1769" i="1"/>
  <c r="A1770" i="1"/>
  <c r="B1770" i="1"/>
  <c r="C1770" i="1"/>
  <c r="D1770" i="1"/>
  <c r="Q1770" i="1"/>
  <c r="R1770" i="1"/>
  <c r="E1770" i="1"/>
  <c r="G1770" i="1"/>
  <c r="H1770" i="1"/>
  <c r="J1770" i="1"/>
  <c r="K1770" i="1"/>
  <c r="L1770" i="1"/>
  <c r="A1771" i="1"/>
  <c r="B1771" i="1"/>
  <c r="C1771" i="1"/>
  <c r="D1771" i="1"/>
  <c r="Q1771" i="1"/>
  <c r="R1771" i="1"/>
  <c r="E1771" i="1"/>
  <c r="G1771" i="1"/>
  <c r="H1771" i="1"/>
  <c r="J1771" i="1"/>
  <c r="K1771" i="1"/>
  <c r="L1771" i="1"/>
  <c r="A1772" i="1"/>
  <c r="B1772" i="1"/>
  <c r="C1772" i="1"/>
  <c r="D1772" i="1"/>
  <c r="Q1772" i="1"/>
  <c r="R1772" i="1"/>
  <c r="E1772" i="1"/>
  <c r="G1772" i="1"/>
  <c r="H1772" i="1"/>
  <c r="J1772" i="1"/>
  <c r="K1772" i="1"/>
  <c r="L1772" i="1"/>
  <c r="A1773" i="1"/>
  <c r="B1773" i="1"/>
  <c r="C1773" i="1"/>
  <c r="D1773" i="1"/>
  <c r="Q1773" i="1"/>
  <c r="R1773" i="1"/>
  <c r="E1773" i="1"/>
  <c r="G1773" i="1"/>
  <c r="H1773" i="1"/>
  <c r="J1773" i="1"/>
  <c r="K1773" i="1"/>
  <c r="L1773" i="1"/>
  <c r="A1774" i="1"/>
  <c r="B1774" i="1"/>
  <c r="C1774" i="1"/>
  <c r="D1774" i="1"/>
  <c r="Q1774" i="1"/>
  <c r="R1774" i="1"/>
  <c r="E1774" i="1"/>
  <c r="G1774" i="1"/>
  <c r="H1774" i="1"/>
  <c r="J1774" i="1"/>
  <c r="K1774" i="1"/>
  <c r="L1774" i="1"/>
  <c r="A1775" i="1"/>
  <c r="B1775" i="1"/>
  <c r="C1775" i="1"/>
  <c r="D1775" i="1"/>
  <c r="Q1775" i="1"/>
  <c r="R1775" i="1"/>
  <c r="E1775" i="1"/>
  <c r="G1775" i="1"/>
  <c r="H1775" i="1"/>
  <c r="J1775" i="1"/>
  <c r="K1775" i="1"/>
  <c r="L1775" i="1"/>
  <c r="A1776" i="1"/>
  <c r="B1776" i="1"/>
  <c r="C1776" i="1"/>
  <c r="D1776" i="1"/>
  <c r="Q1776" i="1"/>
  <c r="R1776" i="1"/>
  <c r="E1776" i="1"/>
  <c r="G1776" i="1"/>
  <c r="H1776" i="1"/>
  <c r="J1776" i="1"/>
  <c r="K1776" i="1"/>
  <c r="L1776" i="1"/>
  <c r="A1777" i="1"/>
  <c r="B1777" i="1"/>
  <c r="C1777" i="1"/>
  <c r="D1777" i="1"/>
  <c r="Q1777" i="1"/>
  <c r="R1777" i="1"/>
  <c r="E1777" i="1"/>
  <c r="G1777" i="1"/>
  <c r="H1777" i="1"/>
  <c r="J1777" i="1"/>
  <c r="K1777" i="1"/>
  <c r="L1777" i="1"/>
  <c r="A1778" i="1"/>
  <c r="B1778" i="1"/>
  <c r="C1778" i="1"/>
  <c r="D1778" i="1"/>
  <c r="Q1778" i="1"/>
  <c r="R1778" i="1"/>
  <c r="E1778" i="1"/>
  <c r="G1778" i="1"/>
  <c r="H1778" i="1"/>
  <c r="J1778" i="1"/>
  <c r="K1778" i="1"/>
  <c r="L1778" i="1"/>
  <c r="A1779" i="1"/>
  <c r="B1779" i="1"/>
  <c r="C1779" i="1"/>
  <c r="D1779" i="1"/>
  <c r="Q1779" i="1"/>
  <c r="R1779" i="1"/>
  <c r="E1779" i="1"/>
  <c r="G1779" i="1"/>
  <c r="H1779" i="1"/>
  <c r="J1779" i="1"/>
  <c r="K1779" i="1"/>
  <c r="L1779" i="1"/>
  <c r="A1780" i="1"/>
  <c r="B1780" i="1"/>
  <c r="C1780" i="1"/>
  <c r="D1780" i="1"/>
  <c r="Q1780" i="1"/>
  <c r="R1780" i="1"/>
  <c r="E1780" i="1"/>
  <c r="G1780" i="1"/>
  <c r="H1780" i="1"/>
  <c r="J1780" i="1"/>
  <c r="K1780" i="1"/>
  <c r="L1780" i="1"/>
  <c r="A1781" i="1"/>
  <c r="B1781" i="1"/>
  <c r="C1781" i="1"/>
  <c r="D1781" i="1"/>
  <c r="Q1781" i="1"/>
  <c r="R1781" i="1"/>
  <c r="E1781" i="1"/>
  <c r="G1781" i="1"/>
  <c r="H1781" i="1"/>
  <c r="J1781" i="1"/>
  <c r="K1781" i="1"/>
  <c r="L1781" i="1"/>
  <c r="A1782" i="1"/>
  <c r="B1782" i="1"/>
  <c r="C1782" i="1"/>
  <c r="D1782" i="1"/>
  <c r="Q1782" i="1"/>
  <c r="R1782" i="1"/>
  <c r="E1782" i="1"/>
  <c r="G1782" i="1"/>
  <c r="H1782" i="1"/>
  <c r="J1782" i="1"/>
  <c r="K1782" i="1"/>
  <c r="L1782" i="1"/>
  <c r="A1783" i="1"/>
  <c r="B1783" i="1"/>
  <c r="C1783" i="1"/>
  <c r="D1783" i="1"/>
  <c r="Q1783" i="1"/>
  <c r="R1783" i="1"/>
  <c r="E1783" i="1"/>
  <c r="G1783" i="1"/>
  <c r="H1783" i="1"/>
  <c r="J1783" i="1"/>
  <c r="K1783" i="1"/>
  <c r="L1783" i="1"/>
  <c r="A1784" i="1"/>
  <c r="B1784" i="1"/>
  <c r="C1784" i="1"/>
  <c r="D1784" i="1"/>
  <c r="Q1784" i="1"/>
  <c r="R1784" i="1"/>
  <c r="E1784" i="1"/>
  <c r="G1784" i="1"/>
  <c r="H1784" i="1"/>
  <c r="J1784" i="1"/>
  <c r="K1784" i="1"/>
  <c r="L1784" i="1"/>
  <c r="A1785" i="1"/>
  <c r="B1785" i="1"/>
  <c r="C1785" i="1"/>
  <c r="D1785" i="1"/>
  <c r="Q1785" i="1"/>
  <c r="R1785" i="1"/>
  <c r="E1785" i="1"/>
  <c r="G1785" i="1"/>
  <c r="H1785" i="1"/>
  <c r="J1785" i="1"/>
  <c r="K1785" i="1"/>
  <c r="L1785" i="1"/>
  <c r="A1786" i="1"/>
  <c r="B1786" i="1"/>
  <c r="C1786" i="1"/>
  <c r="D1786" i="1"/>
  <c r="Q1786" i="1"/>
  <c r="R1786" i="1"/>
  <c r="E1786" i="1"/>
  <c r="G1786" i="1"/>
  <c r="H1786" i="1"/>
  <c r="J1786" i="1"/>
  <c r="K1786" i="1"/>
  <c r="L1786" i="1"/>
  <c r="A1787" i="1"/>
  <c r="B1787" i="1"/>
  <c r="C1787" i="1"/>
  <c r="D1787" i="1"/>
  <c r="Q1787" i="1"/>
  <c r="R1787" i="1"/>
  <c r="E1787" i="1"/>
  <c r="G1787" i="1"/>
  <c r="H1787" i="1"/>
  <c r="J1787" i="1"/>
  <c r="K1787" i="1"/>
  <c r="L1787" i="1"/>
  <c r="A1788" i="1"/>
  <c r="B1788" i="1"/>
  <c r="C1788" i="1"/>
  <c r="D1788" i="1"/>
  <c r="Q1788" i="1"/>
  <c r="R1788" i="1"/>
  <c r="E1788" i="1"/>
  <c r="G1788" i="1"/>
  <c r="H1788" i="1"/>
  <c r="J1788" i="1"/>
  <c r="K1788" i="1"/>
  <c r="L1788" i="1"/>
  <c r="A1789" i="1"/>
  <c r="B1789" i="1"/>
  <c r="C1789" i="1"/>
  <c r="D1789" i="1"/>
  <c r="Q1789" i="1"/>
  <c r="R1789" i="1"/>
  <c r="E1789" i="1"/>
  <c r="G1789" i="1"/>
  <c r="H1789" i="1"/>
  <c r="J1789" i="1"/>
  <c r="K1789" i="1"/>
  <c r="L1789" i="1"/>
  <c r="A1790" i="1"/>
  <c r="B1790" i="1"/>
  <c r="C1790" i="1"/>
  <c r="D1790" i="1"/>
  <c r="Q1790" i="1"/>
  <c r="R1790" i="1"/>
  <c r="E1790" i="1"/>
  <c r="G1790" i="1"/>
  <c r="H1790" i="1"/>
  <c r="J1790" i="1"/>
  <c r="K1790" i="1"/>
  <c r="L1790" i="1"/>
  <c r="A1791" i="1"/>
  <c r="B1791" i="1"/>
  <c r="C1791" i="1"/>
  <c r="D1791" i="1"/>
  <c r="Q1791" i="1"/>
  <c r="R1791" i="1"/>
  <c r="E1791" i="1"/>
  <c r="G1791" i="1"/>
  <c r="H1791" i="1"/>
  <c r="J1791" i="1"/>
  <c r="K1791" i="1"/>
  <c r="L1791" i="1"/>
  <c r="A1792" i="1"/>
  <c r="B1792" i="1"/>
  <c r="C1792" i="1"/>
  <c r="D1792" i="1"/>
  <c r="Q1792" i="1"/>
  <c r="R1792" i="1"/>
  <c r="E1792" i="1"/>
  <c r="G1792" i="1"/>
  <c r="H1792" i="1"/>
  <c r="J1792" i="1"/>
  <c r="K1792" i="1"/>
  <c r="L1792" i="1"/>
  <c r="A1793" i="1"/>
  <c r="B1793" i="1"/>
  <c r="C1793" i="1"/>
  <c r="D1793" i="1"/>
  <c r="Q1793" i="1"/>
  <c r="R1793" i="1"/>
  <c r="E1793" i="1"/>
  <c r="G1793" i="1"/>
  <c r="H1793" i="1"/>
  <c r="J1793" i="1"/>
  <c r="K1793" i="1"/>
  <c r="L1793" i="1"/>
  <c r="A1794" i="1"/>
  <c r="B1794" i="1"/>
  <c r="C1794" i="1"/>
  <c r="D1794" i="1"/>
  <c r="Q1794" i="1"/>
  <c r="R1794" i="1"/>
  <c r="E1794" i="1"/>
  <c r="G1794" i="1"/>
  <c r="H1794" i="1"/>
  <c r="J1794" i="1"/>
  <c r="K1794" i="1"/>
  <c r="L1794" i="1"/>
  <c r="A1795" i="1"/>
  <c r="B1795" i="1"/>
  <c r="C1795" i="1"/>
  <c r="D1795" i="1"/>
  <c r="Q1795" i="1"/>
  <c r="R1795" i="1"/>
  <c r="E1795" i="1"/>
  <c r="G1795" i="1"/>
  <c r="H1795" i="1"/>
  <c r="J1795" i="1"/>
  <c r="K1795" i="1"/>
  <c r="L1795" i="1"/>
  <c r="A1796" i="1"/>
  <c r="B1796" i="1"/>
  <c r="C1796" i="1"/>
  <c r="D1796" i="1"/>
  <c r="Q1796" i="1"/>
  <c r="R1796" i="1"/>
  <c r="E1796" i="1"/>
  <c r="G1796" i="1"/>
  <c r="H1796" i="1"/>
  <c r="J1796" i="1"/>
  <c r="K1796" i="1"/>
  <c r="L1796" i="1"/>
  <c r="A1797" i="1"/>
  <c r="B1797" i="1"/>
  <c r="C1797" i="1"/>
  <c r="D1797" i="1"/>
  <c r="Q1797" i="1"/>
  <c r="R1797" i="1"/>
  <c r="E1797" i="1"/>
  <c r="G1797" i="1"/>
  <c r="H1797" i="1"/>
  <c r="J1797" i="1"/>
  <c r="K1797" i="1"/>
  <c r="L1797" i="1"/>
  <c r="A1798" i="1"/>
  <c r="B1798" i="1"/>
  <c r="C1798" i="1"/>
  <c r="D1798" i="1"/>
  <c r="Q1798" i="1"/>
  <c r="R1798" i="1"/>
  <c r="E1798" i="1"/>
  <c r="G1798" i="1"/>
  <c r="H1798" i="1"/>
  <c r="J1798" i="1"/>
  <c r="K1798" i="1"/>
  <c r="L1798" i="1"/>
  <c r="A1799" i="1"/>
  <c r="B1799" i="1"/>
  <c r="C1799" i="1"/>
  <c r="D1799" i="1"/>
  <c r="Q1799" i="1"/>
  <c r="R1799" i="1"/>
  <c r="E1799" i="1"/>
  <c r="G1799" i="1"/>
  <c r="H1799" i="1"/>
  <c r="J1799" i="1"/>
  <c r="K1799" i="1"/>
  <c r="L1799" i="1"/>
  <c r="A1800" i="1"/>
  <c r="B1800" i="1"/>
  <c r="C1800" i="1"/>
  <c r="D1800" i="1"/>
  <c r="Q1800" i="1"/>
  <c r="R1800" i="1"/>
  <c r="E1800" i="1"/>
  <c r="G1800" i="1"/>
  <c r="H1800" i="1"/>
  <c r="J1800" i="1"/>
  <c r="K1800" i="1"/>
  <c r="L1800" i="1"/>
  <c r="A1801" i="1"/>
  <c r="B1801" i="1"/>
  <c r="C1801" i="1"/>
  <c r="D1801" i="1"/>
  <c r="Q1801" i="1"/>
  <c r="R1801" i="1"/>
  <c r="E1801" i="1"/>
  <c r="G1801" i="1"/>
  <c r="H1801" i="1"/>
  <c r="J1801" i="1"/>
  <c r="K1801" i="1"/>
  <c r="L1801" i="1"/>
  <c r="A1802" i="1"/>
  <c r="B1802" i="1"/>
  <c r="C1802" i="1"/>
  <c r="D1802" i="1"/>
  <c r="Q1802" i="1"/>
  <c r="R1802" i="1"/>
  <c r="E1802" i="1"/>
  <c r="G1802" i="1"/>
  <c r="H1802" i="1"/>
  <c r="J1802" i="1"/>
  <c r="K1802" i="1"/>
  <c r="L1802" i="1"/>
  <c r="A1803" i="1"/>
  <c r="B1803" i="1"/>
  <c r="C1803" i="1"/>
  <c r="D1803" i="1"/>
  <c r="Q1803" i="1"/>
  <c r="R1803" i="1"/>
  <c r="E1803" i="1"/>
  <c r="G1803" i="1"/>
  <c r="H1803" i="1"/>
  <c r="J1803" i="1"/>
  <c r="K1803" i="1"/>
  <c r="L1803" i="1"/>
  <c r="A1804" i="1"/>
  <c r="B1804" i="1"/>
  <c r="C1804" i="1"/>
  <c r="D1804" i="1"/>
  <c r="Q1804" i="1"/>
  <c r="R1804" i="1"/>
  <c r="E1804" i="1"/>
  <c r="G1804" i="1"/>
  <c r="H1804" i="1"/>
  <c r="J1804" i="1"/>
  <c r="K1804" i="1"/>
  <c r="L1804" i="1"/>
  <c r="A1805" i="1"/>
  <c r="B1805" i="1"/>
  <c r="C1805" i="1"/>
  <c r="D1805" i="1"/>
  <c r="Q1805" i="1"/>
  <c r="R1805" i="1"/>
  <c r="E1805" i="1"/>
  <c r="G1805" i="1"/>
  <c r="H1805" i="1"/>
  <c r="J1805" i="1"/>
  <c r="K1805" i="1"/>
  <c r="L1805" i="1"/>
  <c r="A1806" i="1"/>
  <c r="B1806" i="1"/>
  <c r="C1806" i="1"/>
  <c r="D1806" i="1"/>
  <c r="Q1806" i="1"/>
  <c r="R1806" i="1"/>
  <c r="E1806" i="1"/>
  <c r="G1806" i="1"/>
  <c r="H1806" i="1"/>
  <c r="J1806" i="1"/>
  <c r="K1806" i="1"/>
  <c r="L1806" i="1"/>
  <c r="A1807" i="1"/>
  <c r="B1807" i="1"/>
  <c r="C1807" i="1"/>
  <c r="D1807" i="1"/>
  <c r="Q1807" i="1"/>
  <c r="R1807" i="1"/>
  <c r="E1807" i="1"/>
  <c r="G1807" i="1"/>
  <c r="H1807" i="1"/>
  <c r="J1807" i="1"/>
  <c r="K1807" i="1"/>
  <c r="L1807" i="1"/>
  <c r="A1808" i="1"/>
  <c r="B1808" i="1"/>
  <c r="C1808" i="1"/>
  <c r="D1808" i="1"/>
  <c r="Q1808" i="1"/>
  <c r="R1808" i="1"/>
  <c r="E1808" i="1"/>
  <c r="G1808" i="1"/>
  <c r="H1808" i="1"/>
  <c r="J1808" i="1"/>
  <c r="K1808" i="1"/>
  <c r="L1808" i="1"/>
  <c r="A1809" i="1"/>
  <c r="B1809" i="1"/>
  <c r="C1809" i="1"/>
  <c r="D1809" i="1"/>
  <c r="Q1809" i="1"/>
  <c r="R1809" i="1"/>
  <c r="E1809" i="1"/>
  <c r="G1809" i="1"/>
  <c r="H1809" i="1"/>
  <c r="J1809" i="1"/>
  <c r="K1809" i="1"/>
  <c r="L1809" i="1"/>
  <c r="A1810" i="1"/>
  <c r="B1810" i="1"/>
  <c r="C1810" i="1"/>
  <c r="D1810" i="1"/>
  <c r="Q1810" i="1"/>
  <c r="R1810" i="1"/>
  <c r="E1810" i="1"/>
  <c r="G1810" i="1"/>
  <c r="H1810" i="1"/>
  <c r="J1810" i="1"/>
  <c r="K1810" i="1"/>
  <c r="L1810" i="1"/>
  <c r="A1811" i="1"/>
  <c r="B1811" i="1"/>
  <c r="C1811" i="1"/>
  <c r="D1811" i="1"/>
  <c r="Q1811" i="1"/>
  <c r="R1811" i="1"/>
  <c r="E1811" i="1"/>
  <c r="G1811" i="1"/>
  <c r="H1811" i="1"/>
  <c r="J1811" i="1"/>
  <c r="K1811" i="1"/>
  <c r="L1811" i="1"/>
  <c r="A1812" i="1"/>
  <c r="B1812" i="1"/>
  <c r="C1812" i="1"/>
  <c r="D1812" i="1"/>
  <c r="Q1812" i="1"/>
  <c r="R1812" i="1"/>
  <c r="E1812" i="1"/>
  <c r="G1812" i="1"/>
  <c r="H1812" i="1"/>
  <c r="J1812" i="1"/>
  <c r="K1812" i="1"/>
  <c r="L1812" i="1"/>
  <c r="A1813" i="1"/>
  <c r="B1813" i="1"/>
  <c r="C1813" i="1"/>
  <c r="D1813" i="1"/>
  <c r="Q1813" i="1"/>
  <c r="R1813" i="1"/>
  <c r="E1813" i="1"/>
  <c r="G1813" i="1"/>
  <c r="H1813" i="1"/>
  <c r="J1813" i="1"/>
  <c r="K1813" i="1"/>
  <c r="L1813" i="1"/>
  <c r="A1814" i="1"/>
  <c r="B1814" i="1"/>
  <c r="C1814" i="1"/>
  <c r="D1814" i="1"/>
  <c r="Q1814" i="1"/>
  <c r="R1814" i="1"/>
  <c r="E1814" i="1"/>
  <c r="G1814" i="1"/>
  <c r="H1814" i="1"/>
  <c r="J1814" i="1"/>
  <c r="K1814" i="1"/>
  <c r="L1814" i="1"/>
  <c r="A1815" i="1"/>
  <c r="B1815" i="1"/>
  <c r="C1815" i="1"/>
  <c r="D1815" i="1"/>
  <c r="Q1815" i="1"/>
  <c r="R1815" i="1"/>
  <c r="E1815" i="1"/>
  <c r="G1815" i="1"/>
  <c r="H1815" i="1"/>
  <c r="J1815" i="1"/>
  <c r="K1815" i="1"/>
  <c r="L1815" i="1"/>
  <c r="A1816" i="1"/>
  <c r="B1816" i="1"/>
  <c r="C1816" i="1"/>
  <c r="D1816" i="1"/>
  <c r="Q1816" i="1"/>
  <c r="R1816" i="1"/>
  <c r="E1816" i="1"/>
  <c r="G1816" i="1"/>
  <c r="H1816" i="1"/>
  <c r="J1816" i="1"/>
  <c r="K1816" i="1"/>
  <c r="L1816" i="1"/>
  <c r="A1817" i="1"/>
  <c r="B1817" i="1"/>
  <c r="C1817" i="1"/>
  <c r="D1817" i="1"/>
  <c r="Q1817" i="1"/>
  <c r="R1817" i="1"/>
  <c r="E1817" i="1"/>
  <c r="G1817" i="1"/>
  <c r="H1817" i="1"/>
  <c r="J1817" i="1"/>
  <c r="K1817" i="1"/>
  <c r="L1817" i="1"/>
  <c r="A1818" i="1"/>
  <c r="B1818" i="1"/>
  <c r="C1818" i="1"/>
  <c r="D1818" i="1"/>
  <c r="Q1818" i="1"/>
  <c r="R1818" i="1"/>
  <c r="E1818" i="1"/>
  <c r="G1818" i="1"/>
  <c r="H1818" i="1"/>
  <c r="J1818" i="1"/>
  <c r="K1818" i="1"/>
  <c r="L1818" i="1"/>
  <c r="A1819" i="1"/>
  <c r="B1819" i="1"/>
  <c r="C1819" i="1"/>
  <c r="D1819" i="1"/>
  <c r="Q1819" i="1"/>
  <c r="R1819" i="1"/>
  <c r="E1819" i="1"/>
  <c r="G1819" i="1"/>
  <c r="H1819" i="1"/>
  <c r="J1819" i="1"/>
  <c r="K1819" i="1"/>
  <c r="L1819" i="1"/>
  <c r="A1820" i="1"/>
  <c r="B1820" i="1"/>
  <c r="C1820" i="1"/>
  <c r="D1820" i="1"/>
  <c r="Q1820" i="1"/>
  <c r="R1820" i="1"/>
  <c r="E1820" i="1"/>
  <c r="G1820" i="1"/>
  <c r="H1820" i="1"/>
  <c r="J1820" i="1"/>
  <c r="K1820" i="1"/>
  <c r="L1820" i="1"/>
  <c r="A1821" i="1"/>
  <c r="B1821" i="1"/>
  <c r="C1821" i="1"/>
  <c r="D1821" i="1"/>
  <c r="Q1821" i="1"/>
  <c r="R1821" i="1"/>
  <c r="E1821" i="1"/>
  <c r="G1821" i="1"/>
  <c r="H1821" i="1"/>
  <c r="J1821" i="1"/>
  <c r="K1821" i="1"/>
  <c r="L1821" i="1"/>
  <c r="A1822" i="1"/>
  <c r="B1822" i="1"/>
  <c r="C1822" i="1"/>
  <c r="D1822" i="1"/>
  <c r="Q1822" i="1"/>
  <c r="R1822" i="1"/>
  <c r="E1822" i="1"/>
  <c r="G1822" i="1"/>
  <c r="H1822" i="1"/>
  <c r="J1822" i="1"/>
  <c r="K1822" i="1"/>
  <c r="L1822" i="1"/>
  <c r="A1823" i="1"/>
  <c r="B1823" i="1"/>
  <c r="C1823" i="1"/>
  <c r="D1823" i="1"/>
  <c r="Q1823" i="1"/>
  <c r="R1823" i="1"/>
  <c r="E1823" i="1"/>
  <c r="G1823" i="1"/>
  <c r="H1823" i="1"/>
  <c r="J1823" i="1"/>
  <c r="K1823" i="1"/>
  <c r="L1823" i="1"/>
  <c r="A1824" i="1"/>
  <c r="B1824" i="1"/>
  <c r="C1824" i="1"/>
  <c r="D1824" i="1"/>
  <c r="Q1824" i="1"/>
  <c r="R1824" i="1"/>
  <c r="E1824" i="1"/>
  <c r="G1824" i="1"/>
  <c r="H1824" i="1"/>
  <c r="J1824" i="1"/>
  <c r="K1824" i="1"/>
  <c r="L1824" i="1"/>
  <c r="A1825" i="1"/>
  <c r="B1825" i="1"/>
  <c r="C1825" i="1"/>
  <c r="D1825" i="1"/>
  <c r="Q1825" i="1"/>
  <c r="R1825" i="1"/>
  <c r="E1825" i="1"/>
  <c r="G1825" i="1"/>
  <c r="H1825" i="1"/>
  <c r="J1825" i="1"/>
  <c r="K1825" i="1"/>
  <c r="L1825" i="1"/>
  <c r="A1826" i="1"/>
  <c r="B1826" i="1"/>
  <c r="C1826" i="1"/>
  <c r="D1826" i="1"/>
  <c r="Q1826" i="1"/>
  <c r="R1826" i="1"/>
  <c r="E1826" i="1"/>
  <c r="G1826" i="1"/>
  <c r="H1826" i="1"/>
  <c r="J1826" i="1"/>
  <c r="K1826" i="1"/>
  <c r="L1826" i="1"/>
  <c r="A1827" i="1"/>
  <c r="B1827" i="1"/>
  <c r="C1827" i="1"/>
  <c r="D1827" i="1"/>
  <c r="Q1827" i="1"/>
  <c r="R1827" i="1"/>
  <c r="E1827" i="1"/>
  <c r="G1827" i="1"/>
  <c r="H1827" i="1"/>
  <c r="J1827" i="1"/>
  <c r="K1827" i="1"/>
  <c r="L1827" i="1"/>
  <c r="A1828" i="1"/>
  <c r="B1828" i="1"/>
  <c r="C1828" i="1"/>
  <c r="D1828" i="1"/>
  <c r="Q1828" i="1"/>
  <c r="R1828" i="1"/>
  <c r="E1828" i="1"/>
  <c r="G1828" i="1"/>
  <c r="H1828" i="1"/>
  <c r="J1828" i="1"/>
  <c r="K1828" i="1"/>
  <c r="L1828" i="1"/>
  <c r="A1829" i="1"/>
  <c r="B1829" i="1"/>
  <c r="C1829" i="1"/>
  <c r="D1829" i="1"/>
  <c r="Q1829" i="1"/>
  <c r="R1829" i="1"/>
  <c r="E1829" i="1"/>
  <c r="G1829" i="1"/>
  <c r="H1829" i="1"/>
  <c r="J1829" i="1"/>
  <c r="K1829" i="1"/>
  <c r="L1829" i="1"/>
  <c r="A1830" i="1"/>
  <c r="B1830" i="1"/>
  <c r="C1830" i="1"/>
  <c r="D1830" i="1"/>
  <c r="Q1830" i="1"/>
  <c r="R1830" i="1"/>
  <c r="E1830" i="1"/>
  <c r="G1830" i="1"/>
  <c r="H1830" i="1"/>
  <c r="J1830" i="1"/>
  <c r="K1830" i="1"/>
  <c r="L1830" i="1"/>
  <c r="A1831" i="1"/>
  <c r="B1831" i="1"/>
  <c r="C1831" i="1"/>
  <c r="D1831" i="1"/>
  <c r="Q1831" i="1"/>
  <c r="R1831" i="1"/>
  <c r="E1831" i="1"/>
  <c r="G1831" i="1"/>
  <c r="H1831" i="1"/>
  <c r="J1831" i="1"/>
  <c r="K1831" i="1"/>
  <c r="L1831" i="1"/>
  <c r="A1832" i="1"/>
  <c r="B1832" i="1"/>
  <c r="C1832" i="1"/>
  <c r="D1832" i="1"/>
  <c r="Q1832" i="1"/>
  <c r="R1832" i="1"/>
  <c r="E1832" i="1"/>
  <c r="G1832" i="1"/>
  <c r="H1832" i="1"/>
  <c r="J1832" i="1"/>
  <c r="K1832" i="1"/>
  <c r="L1832" i="1"/>
  <c r="A1833" i="1"/>
  <c r="B1833" i="1"/>
  <c r="C1833" i="1"/>
  <c r="D1833" i="1"/>
  <c r="Q1833" i="1"/>
  <c r="R1833" i="1"/>
  <c r="E1833" i="1"/>
  <c r="G1833" i="1"/>
  <c r="H1833" i="1"/>
  <c r="J1833" i="1"/>
  <c r="K1833" i="1"/>
  <c r="L1833" i="1"/>
  <c r="A1834" i="1"/>
  <c r="B1834" i="1"/>
  <c r="C1834" i="1"/>
  <c r="D1834" i="1"/>
  <c r="Q1834" i="1"/>
  <c r="R1834" i="1"/>
  <c r="E1834" i="1"/>
  <c r="G1834" i="1"/>
  <c r="H1834" i="1"/>
  <c r="J1834" i="1"/>
  <c r="K1834" i="1"/>
  <c r="L1834" i="1"/>
  <c r="A1835" i="1"/>
  <c r="B1835" i="1"/>
  <c r="C1835" i="1"/>
  <c r="D1835" i="1"/>
  <c r="Q1835" i="1"/>
  <c r="R1835" i="1"/>
  <c r="E1835" i="1"/>
  <c r="G1835" i="1"/>
  <c r="H1835" i="1"/>
  <c r="J1835" i="1"/>
  <c r="K1835" i="1"/>
  <c r="L1835" i="1"/>
  <c r="A1836" i="1"/>
  <c r="B1836" i="1"/>
  <c r="C1836" i="1"/>
  <c r="D1836" i="1"/>
  <c r="Q1836" i="1"/>
  <c r="R1836" i="1"/>
  <c r="E1836" i="1"/>
  <c r="G1836" i="1"/>
  <c r="H1836" i="1"/>
  <c r="J1836" i="1"/>
  <c r="K1836" i="1"/>
  <c r="L1836" i="1"/>
  <c r="A1837" i="1"/>
  <c r="B1837" i="1"/>
  <c r="C1837" i="1"/>
  <c r="D1837" i="1"/>
  <c r="Q1837" i="1"/>
  <c r="R1837" i="1"/>
  <c r="E1837" i="1"/>
  <c r="G1837" i="1"/>
  <c r="H1837" i="1"/>
  <c r="J1837" i="1"/>
  <c r="K1837" i="1"/>
  <c r="L1837" i="1"/>
  <c r="A1838" i="1"/>
  <c r="B1838" i="1"/>
  <c r="C1838" i="1"/>
  <c r="D1838" i="1"/>
  <c r="Q1838" i="1"/>
  <c r="R1838" i="1"/>
  <c r="E1838" i="1"/>
  <c r="G1838" i="1"/>
  <c r="H1838" i="1"/>
  <c r="J1838" i="1"/>
  <c r="K1838" i="1"/>
  <c r="L1838" i="1"/>
  <c r="A1839" i="1"/>
  <c r="B1839" i="1"/>
  <c r="C1839" i="1"/>
  <c r="D1839" i="1"/>
  <c r="Q1839" i="1"/>
  <c r="R1839" i="1"/>
  <c r="E1839" i="1"/>
  <c r="G1839" i="1"/>
  <c r="H1839" i="1"/>
  <c r="J1839" i="1"/>
  <c r="K1839" i="1"/>
  <c r="L1839" i="1"/>
  <c r="A1840" i="1"/>
  <c r="B1840" i="1"/>
  <c r="C1840" i="1"/>
  <c r="D1840" i="1"/>
  <c r="Q1840" i="1"/>
  <c r="R1840" i="1"/>
  <c r="E1840" i="1"/>
  <c r="G1840" i="1"/>
  <c r="H1840" i="1"/>
  <c r="J1840" i="1"/>
  <c r="K1840" i="1"/>
  <c r="L1840" i="1"/>
  <c r="A1841" i="1"/>
  <c r="B1841" i="1"/>
  <c r="C1841" i="1"/>
  <c r="D1841" i="1"/>
  <c r="Q1841" i="1"/>
  <c r="R1841" i="1"/>
  <c r="E1841" i="1"/>
  <c r="G1841" i="1"/>
  <c r="H1841" i="1"/>
  <c r="J1841" i="1"/>
  <c r="K1841" i="1"/>
  <c r="L1841" i="1"/>
  <c r="A1842" i="1"/>
  <c r="B1842" i="1"/>
  <c r="C1842" i="1"/>
  <c r="D1842" i="1"/>
  <c r="Q1842" i="1"/>
  <c r="R1842" i="1"/>
  <c r="E1842" i="1"/>
  <c r="G1842" i="1"/>
  <c r="H1842" i="1"/>
  <c r="J1842" i="1"/>
  <c r="K1842" i="1"/>
  <c r="L1842" i="1"/>
  <c r="A1843" i="1"/>
  <c r="B1843" i="1"/>
  <c r="C1843" i="1"/>
  <c r="D1843" i="1"/>
  <c r="Q1843" i="1"/>
  <c r="R1843" i="1"/>
  <c r="E1843" i="1"/>
  <c r="G1843" i="1"/>
  <c r="H1843" i="1"/>
  <c r="J1843" i="1"/>
  <c r="K1843" i="1"/>
  <c r="L1843" i="1"/>
  <c r="A1844" i="1"/>
  <c r="B1844" i="1"/>
  <c r="C1844" i="1"/>
  <c r="D1844" i="1"/>
  <c r="Q1844" i="1"/>
  <c r="R1844" i="1"/>
  <c r="E1844" i="1"/>
  <c r="G1844" i="1"/>
  <c r="H1844" i="1"/>
  <c r="J1844" i="1"/>
  <c r="K1844" i="1"/>
  <c r="L1844" i="1"/>
  <c r="A1845" i="1"/>
  <c r="B1845" i="1"/>
  <c r="C1845" i="1"/>
  <c r="D1845" i="1"/>
  <c r="Q1845" i="1"/>
  <c r="R1845" i="1"/>
  <c r="E1845" i="1"/>
  <c r="G1845" i="1"/>
  <c r="H1845" i="1"/>
  <c r="J1845" i="1"/>
  <c r="K1845" i="1"/>
  <c r="L1845" i="1"/>
  <c r="A1846" i="1"/>
  <c r="B1846" i="1"/>
  <c r="C1846" i="1"/>
  <c r="D1846" i="1"/>
  <c r="Q1846" i="1"/>
  <c r="R1846" i="1"/>
  <c r="E1846" i="1"/>
  <c r="G1846" i="1"/>
  <c r="H1846" i="1"/>
  <c r="J1846" i="1"/>
  <c r="K1846" i="1"/>
  <c r="L1846" i="1"/>
  <c r="A1847" i="1"/>
  <c r="B1847" i="1"/>
  <c r="C1847" i="1"/>
  <c r="D1847" i="1"/>
  <c r="Q1847" i="1"/>
  <c r="R1847" i="1"/>
  <c r="E1847" i="1"/>
  <c r="G1847" i="1"/>
  <c r="H1847" i="1"/>
  <c r="J1847" i="1"/>
  <c r="K1847" i="1"/>
  <c r="L1847" i="1"/>
  <c r="A1848" i="1"/>
  <c r="B1848" i="1"/>
  <c r="C1848" i="1"/>
  <c r="D1848" i="1"/>
  <c r="Q1848" i="1"/>
  <c r="R1848" i="1"/>
  <c r="E1848" i="1"/>
  <c r="G1848" i="1"/>
  <c r="H1848" i="1"/>
  <c r="J1848" i="1"/>
  <c r="K1848" i="1"/>
  <c r="L1848" i="1"/>
  <c r="A1849" i="1"/>
  <c r="B1849" i="1"/>
  <c r="C1849" i="1"/>
  <c r="D1849" i="1"/>
  <c r="Q1849" i="1"/>
  <c r="R1849" i="1"/>
  <c r="E1849" i="1"/>
  <c r="G1849" i="1"/>
  <c r="H1849" i="1"/>
  <c r="J1849" i="1"/>
  <c r="K1849" i="1"/>
  <c r="L1849" i="1"/>
  <c r="A1850" i="1"/>
  <c r="B1850" i="1"/>
  <c r="C1850" i="1"/>
  <c r="D1850" i="1"/>
  <c r="Q1850" i="1"/>
  <c r="R1850" i="1"/>
  <c r="E1850" i="1"/>
  <c r="G1850" i="1"/>
  <c r="H1850" i="1"/>
  <c r="J1850" i="1"/>
  <c r="K1850" i="1"/>
  <c r="L1850" i="1"/>
  <c r="A1851" i="1"/>
  <c r="B1851" i="1"/>
  <c r="C1851" i="1"/>
  <c r="D1851" i="1"/>
  <c r="Q1851" i="1"/>
  <c r="R1851" i="1"/>
  <c r="E1851" i="1"/>
  <c r="G1851" i="1"/>
  <c r="H1851" i="1"/>
  <c r="J1851" i="1"/>
  <c r="K1851" i="1"/>
  <c r="L1851" i="1"/>
  <c r="A1852" i="1"/>
  <c r="B1852" i="1"/>
  <c r="C1852" i="1"/>
  <c r="D1852" i="1"/>
  <c r="Q1852" i="1"/>
  <c r="R1852" i="1"/>
  <c r="E1852" i="1"/>
  <c r="G1852" i="1"/>
  <c r="H1852" i="1"/>
  <c r="J1852" i="1"/>
  <c r="K1852" i="1"/>
  <c r="L1852" i="1"/>
  <c r="A1853" i="1"/>
  <c r="B1853" i="1"/>
  <c r="C1853" i="1"/>
  <c r="D1853" i="1"/>
  <c r="Q1853" i="1"/>
  <c r="R1853" i="1"/>
  <c r="E1853" i="1"/>
  <c r="G1853" i="1"/>
  <c r="H1853" i="1"/>
  <c r="J1853" i="1"/>
  <c r="K1853" i="1"/>
  <c r="L1853" i="1"/>
  <c r="A1854" i="1"/>
  <c r="B1854" i="1"/>
  <c r="C1854" i="1"/>
  <c r="D1854" i="1"/>
  <c r="Q1854" i="1"/>
  <c r="R1854" i="1"/>
  <c r="E1854" i="1"/>
  <c r="G1854" i="1"/>
  <c r="H1854" i="1"/>
  <c r="J1854" i="1"/>
  <c r="K1854" i="1"/>
  <c r="L1854" i="1"/>
  <c r="A1855" i="1"/>
  <c r="B1855" i="1"/>
  <c r="C1855" i="1"/>
  <c r="D1855" i="1"/>
  <c r="Q1855" i="1"/>
  <c r="R1855" i="1"/>
  <c r="E1855" i="1"/>
  <c r="G1855" i="1"/>
  <c r="H1855" i="1"/>
  <c r="J1855" i="1"/>
  <c r="K1855" i="1"/>
  <c r="L1855" i="1"/>
  <c r="A1856" i="1"/>
  <c r="B1856" i="1"/>
  <c r="C1856" i="1"/>
  <c r="D1856" i="1"/>
  <c r="Q1856" i="1"/>
  <c r="R1856" i="1"/>
  <c r="E1856" i="1"/>
  <c r="G1856" i="1"/>
  <c r="H1856" i="1"/>
  <c r="J1856" i="1"/>
  <c r="K1856" i="1"/>
  <c r="L1856" i="1"/>
  <c r="A1857" i="1"/>
  <c r="B1857" i="1"/>
  <c r="C1857" i="1"/>
  <c r="D1857" i="1"/>
  <c r="Q1857" i="1"/>
  <c r="R1857" i="1"/>
  <c r="E1857" i="1"/>
  <c r="G1857" i="1"/>
  <c r="H1857" i="1"/>
  <c r="J1857" i="1"/>
  <c r="K1857" i="1"/>
  <c r="L1857" i="1"/>
  <c r="A1858" i="1"/>
  <c r="B1858" i="1"/>
  <c r="C1858" i="1"/>
  <c r="D1858" i="1"/>
  <c r="Q1858" i="1"/>
  <c r="R1858" i="1"/>
  <c r="E1858" i="1"/>
  <c r="G1858" i="1"/>
  <c r="H1858" i="1"/>
  <c r="J1858" i="1"/>
  <c r="K1858" i="1"/>
  <c r="L1858" i="1"/>
  <c r="A1859" i="1"/>
  <c r="B1859" i="1"/>
  <c r="C1859" i="1"/>
  <c r="D1859" i="1"/>
  <c r="Q1859" i="1"/>
  <c r="R1859" i="1"/>
  <c r="E1859" i="1"/>
  <c r="G1859" i="1"/>
  <c r="H1859" i="1"/>
  <c r="J1859" i="1"/>
  <c r="K1859" i="1"/>
  <c r="L1859" i="1"/>
  <c r="A1860" i="1"/>
  <c r="B1860" i="1"/>
  <c r="C1860" i="1"/>
  <c r="D1860" i="1"/>
  <c r="Q1860" i="1"/>
  <c r="R1860" i="1"/>
  <c r="E1860" i="1"/>
  <c r="G1860" i="1"/>
  <c r="H1860" i="1"/>
  <c r="J1860" i="1"/>
  <c r="K1860" i="1"/>
  <c r="L1860" i="1"/>
  <c r="A1861" i="1"/>
  <c r="B1861" i="1"/>
  <c r="C1861" i="1"/>
  <c r="D1861" i="1"/>
  <c r="Q1861" i="1"/>
  <c r="R1861" i="1"/>
  <c r="E1861" i="1"/>
  <c r="G1861" i="1"/>
  <c r="H1861" i="1"/>
  <c r="J1861" i="1"/>
  <c r="K1861" i="1"/>
  <c r="L1861" i="1"/>
  <c r="A1862" i="1"/>
  <c r="B1862" i="1"/>
  <c r="C1862" i="1"/>
  <c r="D1862" i="1"/>
  <c r="Q1862" i="1"/>
  <c r="R1862" i="1"/>
  <c r="E1862" i="1"/>
  <c r="G1862" i="1"/>
  <c r="H1862" i="1"/>
  <c r="J1862" i="1"/>
  <c r="K1862" i="1"/>
  <c r="L1862" i="1"/>
  <c r="A1863" i="1"/>
  <c r="B1863" i="1"/>
  <c r="C1863" i="1"/>
  <c r="D1863" i="1"/>
  <c r="Q1863" i="1"/>
  <c r="R1863" i="1"/>
  <c r="E1863" i="1"/>
  <c r="G1863" i="1"/>
  <c r="H1863" i="1"/>
  <c r="J1863" i="1"/>
  <c r="K1863" i="1"/>
  <c r="L1863" i="1"/>
  <c r="A1864" i="1"/>
  <c r="B1864" i="1"/>
  <c r="C1864" i="1"/>
  <c r="D1864" i="1"/>
  <c r="Q1864" i="1"/>
  <c r="R1864" i="1"/>
  <c r="E1864" i="1"/>
  <c r="G1864" i="1"/>
  <c r="H1864" i="1"/>
  <c r="J1864" i="1"/>
  <c r="K1864" i="1"/>
  <c r="L1864" i="1"/>
  <c r="A1865" i="1"/>
  <c r="B1865" i="1"/>
  <c r="C1865" i="1"/>
  <c r="D1865" i="1"/>
  <c r="Q1865" i="1"/>
  <c r="R1865" i="1"/>
  <c r="E1865" i="1"/>
  <c r="G1865" i="1"/>
  <c r="H1865" i="1"/>
  <c r="J1865" i="1"/>
  <c r="K1865" i="1"/>
  <c r="L1865" i="1"/>
  <c r="A1866" i="1"/>
  <c r="B1866" i="1"/>
  <c r="C1866" i="1"/>
  <c r="D1866" i="1"/>
  <c r="Q1866" i="1"/>
  <c r="R1866" i="1"/>
  <c r="E1866" i="1"/>
  <c r="G1866" i="1"/>
  <c r="H1866" i="1"/>
  <c r="J1866" i="1"/>
  <c r="K1866" i="1"/>
  <c r="L1866" i="1"/>
  <c r="A1867" i="1"/>
  <c r="B1867" i="1"/>
  <c r="C1867" i="1"/>
  <c r="D1867" i="1"/>
  <c r="Q1867" i="1"/>
  <c r="R1867" i="1"/>
  <c r="E1867" i="1"/>
  <c r="G1867" i="1"/>
  <c r="H1867" i="1"/>
  <c r="J1867" i="1"/>
  <c r="K1867" i="1"/>
  <c r="L1867" i="1"/>
  <c r="A1868" i="1"/>
  <c r="B1868" i="1"/>
  <c r="C1868" i="1"/>
  <c r="D1868" i="1"/>
  <c r="Q1868" i="1"/>
  <c r="R1868" i="1"/>
  <c r="E1868" i="1"/>
  <c r="G1868" i="1"/>
  <c r="H1868" i="1"/>
  <c r="J1868" i="1"/>
  <c r="K1868" i="1"/>
  <c r="L1868" i="1"/>
  <c r="A1869" i="1"/>
  <c r="B1869" i="1"/>
  <c r="C1869" i="1"/>
  <c r="D1869" i="1"/>
  <c r="Q1869" i="1"/>
  <c r="R1869" i="1"/>
  <c r="E1869" i="1"/>
  <c r="G1869" i="1"/>
  <c r="H1869" i="1"/>
  <c r="J1869" i="1"/>
  <c r="K1869" i="1"/>
  <c r="L1869" i="1"/>
  <c r="A1870" i="1"/>
  <c r="B1870" i="1"/>
  <c r="C1870" i="1"/>
  <c r="D1870" i="1"/>
  <c r="Q1870" i="1"/>
  <c r="R1870" i="1"/>
  <c r="E1870" i="1"/>
  <c r="G1870" i="1"/>
  <c r="H1870" i="1"/>
  <c r="J1870" i="1"/>
  <c r="K1870" i="1"/>
  <c r="L1870" i="1"/>
  <c r="A1871" i="1"/>
  <c r="B1871" i="1"/>
  <c r="C1871" i="1"/>
  <c r="D1871" i="1"/>
  <c r="Q1871" i="1"/>
  <c r="R1871" i="1"/>
  <c r="E1871" i="1"/>
  <c r="G1871" i="1"/>
  <c r="H1871" i="1"/>
  <c r="J1871" i="1"/>
  <c r="K1871" i="1"/>
  <c r="L1871" i="1"/>
  <c r="A1872" i="1"/>
  <c r="B1872" i="1"/>
  <c r="C1872" i="1"/>
  <c r="D1872" i="1"/>
  <c r="Q1872" i="1"/>
  <c r="R1872" i="1"/>
  <c r="E1872" i="1"/>
  <c r="G1872" i="1"/>
  <c r="H1872" i="1"/>
  <c r="J1872" i="1"/>
  <c r="K1872" i="1"/>
  <c r="L1872" i="1"/>
  <c r="A1873" i="1"/>
  <c r="B1873" i="1"/>
  <c r="C1873" i="1"/>
  <c r="D1873" i="1"/>
  <c r="Q1873" i="1"/>
  <c r="R1873" i="1"/>
  <c r="E1873" i="1"/>
  <c r="G1873" i="1"/>
  <c r="H1873" i="1"/>
  <c r="J1873" i="1"/>
  <c r="K1873" i="1"/>
  <c r="L1873" i="1"/>
  <c r="A1874" i="1"/>
  <c r="B1874" i="1"/>
  <c r="C1874" i="1"/>
  <c r="D1874" i="1"/>
  <c r="Q1874" i="1"/>
  <c r="R1874" i="1"/>
  <c r="E1874" i="1"/>
  <c r="G1874" i="1"/>
  <c r="H1874" i="1"/>
  <c r="J1874" i="1"/>
  <c r="K1874" i="1"/>
  <c r="L1874" i="1"/>
  <c r="A1875" i="1"/>
  <c r="B1875" i="1"/>
  <c r="C1875" i="1"/>
  <c r="D1875" i="1"/>
  <c r="Q1875" i="1"/>
  <c r="R1875" i="1"/>
  <c r="E1875" i="1"/>
  <c r="G1875" i="1"/>
  <c r="H1875" i="1"/>
  <c r="J1875" i="1"/>
  <c r="K1875" i="1"/>
  <c r="L1875" i="1"/>
  <c r="A1876" i="1"/>
  <c r="B1876" i="1"/>
  <c r="C1876" i="1"/>
  <c r="D1876" i="1"/>
  <c r="Q1876" i="1"/>
  <c r="R1876" i="1"/>
  <c r="E1876" i="1"/>
  <c r="G1876" i="1"/>
  <c r="H1876" i="1"/>
  <c r="J1876" i="1"/>
  <c r="K1876" i="1"/>
  <c r="L1876" i="1"/>
  <c r="A1877" i="1"/>
  <c r="B1877" i="1"/>
  <c r="C1877" i="1"/>
  <c r="D1877" i="1"/>
  <c r="Q1877" i="1"/>
  <c r="R1877" i="1"/>
  <c r="E1877" i="1"/>
  <c r="G1877" i="1"/>
  <c r="H1877" i="1"/>
  <c r="J1877" i="1"/>
  <c r="K1877" i="1"/>
  <c r="L1877" i="1"/>
  <c r="A1878" i="1"/>
  <c r="B1878" i="1"/>
  <c r="C1878" i="1"/>
  <c r="D1878" i="1"/>
  <c r="Q1878" i="1"/>
  <c r="R1878" i="1"/>
  <c r="E1878" i="1"/>
  <c r="G1878" i="1"/>
  <c r="H1878" i="1"/>
  <c r="J1878" i="1"/>
  <c r="K1878" i="1"/>
  <c r="L1878" i="1"/>
  <c r="A1879" i="1"/>
  <c r="B1879" i="1"/>
  <c r="C1879" i="1"/>
  <c r="D1879" i="1"/>
  <c r="Q1879" i="1"/>
  <c r="R1879" i="1"/>
  <c r="E1879" i="1"/>
  <c r="G1879" i="1"/>
  <c r="H1879" i="1"/>
  <c r="J1879" i="1"/>
  <c r="K1879" i="1"/>
  <c r="L1879" i="1"/>
  <c r="A1880" i="1"/>
  <c r="B1880" i="1"/>
  <c r="C1880" i="1"/>
  <c r="D1880" i="1"/>
  <c r="Q1880" i="1"/>
  <c r="R1880" i="1"/>
  <c r="E1880" i="1"/>
  <c r="G1880" i="1"/>
  <c r="H1880" i="1"/>
  <c r="J1880" i="1"/>
  <c r="K1880" i="1"/>
  <c r="L1880" i="1"/>
  <c r="A1881" i="1"/>
  <c r="B1881" i="1"/>
  <c r="C1881" i="1"/>
  <c r="D1881" i="1"/>
  <c r="Q1881" i="1"/>
  <c r="R1881" i="1"/>
  <c r="E1881" i="1"/>
  <c r="G1881" i="1"/>
  <c r="H1881" i="1"/>
  <c r="J1881" i="1"/>
  <c r="K1881" i="1"/>
  <c r="L1881" i="1"/>
  <c r="A1882" i="1"/>
  <c r="B1882" i="1"/>
  <c r="C1882" i="1"/>
  <c r="D1882" i="1"/>
  <c r="Q1882" i="1"/>
  <c r="R1882" i="1"/>
  <c r="E1882" i="1"/>
  <c r="G1882" i="1"/>
  <c r="H1882" i="1"/>
  <c r="J1882" i="1"/>
  <c r="K1882" i="1"/>
  <c r="L1882" i="1"/>
  <c r="A1883" i="1"/>
  <c r="B1883" i="1"/>
  <c r="C1883" i="1"/>
  <c r="D1883" i="1"/>
  <c r="Q1883" i="1"/>
  <c r="R1883" i="1"/>
  <c r="E1883" i="1"/>
  <c r="G1883" i="1"/>
  <c r="H1883" i="1"/>
  <c r="J1883" i="1"/>
  <c r="K1883" i="1"/>
  <c r="L1883" i="1"/>
  <c r="A1884" i="1"/>
  <c r="B1884" i="1"/>
  <c r="C1884" i="1"/>
  <c r="D1884" i="1"/>
  <c r="Q1884" i="1"/>
  <c r="R1884" i="1"/>
  <c r="E1884" i="1"/>
  <c r="G1884" i="1"/>
  <c r="H1884" i="1"/>
  <c r="J1884" i="1"/>
  <c r="K1884" i="1"/>
  <c r="L1884" i="1"/>
  <c r="A1885" i="1"/>
  <c r="B1885" i="1"/>
  <c r="C1885" i="1"/>
  <c r="D1885" i="1"/>
  <c r="Q1885" i="1"/>
  <c r="R1885" i="1"/>
  <c r="E1885" i="1"/>
  <c r="G1885" i="1"/>
  <c r="H1885" i="1"/>
  <c r="J1885" i="1"/>
  <c r="K1885" i="1"/>
  <c r="L1885" i="1"/>
  <c r="A1886" i="1"/>
  <c r="B1886" i="1"/>
  <c r="C1886" i="1"/>
  <c r="D1886" i="1"/>
  <c r="Q1886" i="1"/>
  <c r="R1886" i="1"/>
  <c r="E1886" i="1"/>
  <c r="G1886" i="1"/>
  <c r="H1886" i="1"/>
  <c r="J1886" i="1"/>
  <c r="K1886" i="1"/>
  <c r="L1886" i="1"/>
  <c r="A1887" i="1"/>
  <c r="B1887" i="1"/>
  <c r="C1887" i="1"/>
  <c r="D1887" i="1"/>
  <c r="Q1887" i="1"/>
  <c r="R1887" i="1"/>
  <c r="E1887" i="1"/>
  <c r="G1887" i="1"/>
  <c r="H1887" i="1"/>
  <c r="J1887" i="1"/>
  <c r="K1887" i="1"/>
  <c r="L1887" i="1"/>
  <c r="A1888" i="1"/>
  <c r="B1888" i="1"/>
  <c r="C1888" i="1"/>
  <c r="D1888" i="1"/>
  <c r="Q1888" i="1"/>
  <c r="R1888" i="1"/>
  <c r="E1888" i="1"/>
  <c r="G1888" i="1"/>
  <c r="H1888" i="1"/>
  <c r="J1888" i="1"/>
  <c r="K1888" i="1"/>
  <c r="L1888" i="1"/>
  <c r="A1889" i="1"/>
  <c r="B1889" i="1"/>
  <c r="C1889" i="1"/>
  <c r="D1889" i="1"/>
  <c r="Q1889" i="1"/>
  <c r="R1889" i="1"/>
  <c r="E1889" i="1"/>
  <c r="G1889" i="1"/>
  <c r="H1889" i="1"/>
  <c r="J1889" i="1"/>
  <c r="K1889" i="1"/>
  <c r="L1889" i="1"/>
  <c r="A1890" i="1"/>
  <c r="B1890" i="1"/>
  <c r="C1890" i="1"/>
  <c r="D1890" i="1"/>
  <c r="Q1890" i="1"/>
  <c r="R1890" i="1"/>
  <c r="E1890" i="1"/>
  <c r="G1890" i="1"/>
  <c r="H1890" i="1"/>
  <c r="J1890" i="1"/>
  <c r="K1890" i="1"/>
  <c r="L1890" i="1"/>
  <c r="A1891" i="1"/>
  <c r="B1891" i="1"/>
  <c r="C1891" i="1"/>
  <c r="D1891" i="1"/>
  <c r="Q1891" i="1"/>
  <c r="R1891" i="1"/>
  <c r="E1891" i="1"/>
  <c r="G1891" i="1"/>
  <c r="H1891" i="1"/>
  <c r="J1891" i="1"/>
  <c r="K1891" i="1"/>
  <c r="L1891" i="1"/>
  <c r="A1892" i="1"/>
  <c r="B1892" i="1"/>
  <c r="C1892" i="1"/>
  <c r="D1892" i="1"/>
  <c r="Q1892" i="1"/>
  <c r="R1892" i="1"/>
  <c r="E1892" i="1"/>
  <c r="G1892" i="1"/>
  <c r="H1892" i="1"/>
  <c r="J1892" i="1"/>
  <c r="K1892" i="1"/>
  <c r="L1892" i="1"/>
  <c r="A1893" i="1"/>
  <c r="B1893" i="1"/>
  <c r="C1893" i="1"/>
  <c r="D1893" i="1"/>
  <c r="Q1893" i="1"/>
  <c r="R1893" i="1"/>
  <c r="E1893" i="1"/>
  <c r="G1893" i="1"/>
  <c r="H1893" i="1"/>
  <c r="J1893" i="1"/>
  <c r="K1893" i="1"/>
  <c r="L1893" i="1"/>
  <c r="A1894" i="1"/>
  <c r="B1894" i="1"/>
  <c r="C1894" i="1"/>
  <c r="D1894" i="1"/>
  <c r="Q1894" i="1"/>
  <c r="R1894" i="1"/>
  <c r="E1894" i="1"/>
  <c r="G1894" i="1"/>
  <c r="H1894" i="1"/>
  <c r="J1894" i="1"/>
  <c r="K1894" i="1"/>
  <c r="L1894" i="1"/>
  <c r="A1895" i="1"/>
  <c r="B1895" i="1"/>
  <c r="C1895" i="1"/>
  <c r="D1895" i="1"/>
  <c r="Q1895" i="1"/>
  <c r="R1895" i="1"/>
  <c r="E1895" i="1"/>
  <c r="G1895" i="1"/>
  <c r="H1895" i="1"/>
  <c r="J1895" i="1"/>
  <c r="K1895" i="1"/>
  <c r="L1895" i="1"/>
  <c r="A1896" i="1"/>
  <c r="B1896" i="1"/>
  <c r="C1896" i="1"/>
  <c r="D1896" i="1"/>
  <c r="Q1896" i="1"/>
  <c r="R1896" i="1"/>
  <c r="E1896" i="1"/>
  <c r="G1896" i="1"/>
  <c r="H1896" i="1"/>
  <c r="J1896" i="1"/>
  <c r="K1896" i="1"/>
  <c r="L1896" i="1"/>
  <c r="A1897" i="1"/>
  <c r="B1897" i="1"/>
  <c r="C1897" i="1"/>
  <c r="D1897" i="1"/>
  <c r="Q1897" i="1"/>
  <c r="R1897" i="1"/>
  <c r="E1897" i="1"/>
  <c r="G1897" i="1"/>
  <c r="H1897" i="1"/>
  <c r="J1897" i="1"/>
  <c r="K1897" i="1"/>
  <c r="L1897" i="1"/>
  <c r="A1898" i="1"/>
  <c r="B1898" i="1"/>
  <c r="C1898" i="1"/>
  <c r="D1898" i="1"/>
  <c r="Q1898" i="1"/>
  <c r="R1898" i="1"/>
  <c r="E1898" i="1"/>
  <c r="G1898" i="1"/>
  <c r="H1898" i="1"/>
  <c r="J1898" i="1"/>
  <c r="K1898" i="1"/>
  <c r="L1898" i="1"/>
  <c r="A1899" i="1"/>
  <c r="B1899" i="1"/>
  <c r="C1899" i="1"/>
  <c r="D1899" i="1"/>
  <c r="Q1899" i="1"/>
  <c r="R1899" i="1"/>
  <c r="E1899" i="1"/>
  <c r="G1899" i="1"/>
  <c r="H1899" i="1"/>
  <c r="J1899" i="1"/>
  <c r="K1899" i="1"/>
  <c r="L1899" i="1"/>
  <c r="A1900" i="1"/>
  <c r="B1900" i="1"/>
  <c r="C1900" i="1"/>
  <c r="D1900" i="1"/>
  <c r="Q1900" i="1"/>
  <c r="R1900" i="1"/>
  <c r="E1900" i="1"/>
  <c r="G1900" i="1"/>
  <c r="H1900" i="1"/>
  <c r="J1900" i="1"/>
  <c r="K1900" i="1"/>
  <c r="L1900" i="1"/>
  <c r="A1901" i="1"/>
  <c r="B1901" i="1"/>
  <c r="C1901" i="1"/>
  <c r="D1901" i="1"/>
  <c r="Q1901" i="1"/>
  <c r="R1901" i="1"/>
  <c r="E1901" i="1"/>
  <c r="G1901" i="1"/>
  <c r="H1901" i="1"/>
  <c r="J1901" i="1"/>
  <c r="K1901" i="1"/>
  <c r="L1901" i="1"/>
  <c r="A1902" i="1"/>
  <c r="B1902" i="1"/>
  <c r="C1902" i="1"/>
  <c r="D1902" i="1"/>
  <c r="Q1902" i="1"/>
  <c r="R1902" i="1"/>
  <c r="E1902" i="1"/>
  <c r="G1902" i="1"/>
  <c r="H1902" i="1"/>
  <c r="J1902" i="1"/>
  <c r="K1902" i="1"/>
  <c r="L1902" i="1"/>
  <c r="A1903" i="1"/>
  <c r="B1903" i="1"/>
  <c r="C1903" i="1"/>
  <c r="D1903" i="1"/>
  <c r="Q1903" i="1"/>
  <c r="R1903" i="1"/>
  <c r="E1903" i="1"/>
  <c r="G1903" i="1"/>
  <c r="H1903" i="1"/>
  <c r="J1903" i="1"/>
  <c r="K1903" i="1"/>
  <c r="L1903" i="1"/>
  <c r="A1904" i="1"/>
  <c r="B1904" i="1"/>
  <c r="C1904" i="1"/>
  <c r="D1904" i="1"/>
  <c r="Q1904" i="1"/>
  <c r="R1904" i="1"/>
  <c r="E1904" i="1"/>
  <c r="G1904" i="1"/>
  <c r="H1904" i="1"/>
  <c r="J1904" i="1"/>
  <c r="K1904" i="1"/>
  <c r="L1904" i="1"/>
  <c r="A1905" i="1"/>
  <c r="B1905" i="1"/>
  <c r="C1905" i="1"/>
  <c r="D1905" i="1"/>
  <c r="Q1905" i="1"/>
  <c r="R1905" i="1"/>
  <c r="E1905" i="1"/>
  <c r="G1905" i="1"/>
  <c r="H1905" i="1"/>
  <c r="J1905" i="1"/>
  <c r="K1905" i="1"/>
  <c r="L1905" i="1"/>
  <c r="A1906" i="1"/>
  <c r="B1906" i="1"/>
  <c r="C1906" i="1"/>
  <c r="D1906" i="1"/>
  <c r="Q1906" i="1"/>
  <c r="R1906" i="1"/>
  <c r="E1906" i="1"/>
  <c r="G1906" i="1"/>
  <c r="H1906" i="1"/>
  <c r="J1906" i="1"/>
  <c r="K1906" i="1"/>
  <c r="L1906" i="1"/>
  <c r="A1907" i="1"/>
  <c r="B1907" i="1"/>
  <c r="C1907" i="1"/>
  <c r="D1907" i="1"/>
  <c r="Q1907" i="1"/>
  <c r="R1907" i="1"/>
  <c r="E1907" i="1"/>
  <c r="G1907" i="1"/>
  <c r="H1907" i="1"/>
  <c r="J1907" i="1"/>
  <c r="K1907" i="1"/>
  <c r="L1907" i="1"/>
  <c r="A1908" i="1"/>
  <c r="B1908" i="1"/>
  <c r="C1908" i="1"/>
  <c r="D1908" i="1"/>
  <c r="Q1908" i="1"/>
  <c r="R1908" i="1"/>
  <c r="E1908" i="1"/>
  <c r="G1908" i="1"/>
  <c r="H1908" i="1"/>
  <c r="J1908" i="1"/>
  <c r="K1908" i="1"/>
  <c r="L1908" i="1"/>
  <c r="A1909" i="1"/>
  <c r="B1909" i="1"/>
  <c r="C1909" i="1"/>
  <c r="D1909" i="1"/>
  <c r="Q1909" i="1"/>
  <c r="R1909" i="1"/>
  <c r="E1909" i="1"/>
  <c r="G1909" i="1"/>
  <c r="H1909" i="1"/>
  <c r="J1909" i="1"/>
  <c r="K1909" i="1"/>
  <c r="L1909" i="1"/>
  <c r="A1910" i="1"/>
  <c r="B1910" i="1"/>
  <c r="C1910" i="1"/>
  <c r="D1910" i="1"/>
  <c r="Q1910" i="1"/>
  <c r="R1910" i="1"/>
  <c r="E1910" i="1"/>
  <c r="G1910" i="1"/>
  <c r="H1910" i="1"/>
  <c r="J1910" i="1"/>
  <c r="K1910" i="1"/>
  <c r="L1910" i="1"/>
  <c r="A1911" i="1"/>
  <c r="B1911" i="1"/>
  <c r="C1911" i="1"/>
  <c r="D1911" i="1"/>
  <c r="Q1911" i="1"/>
  <c r="R1911" i="1"/>
  <c r="E1911" i="1"/>
  <c r="G1911" i="1"/>
  <c r="H1911" i="1"/>
  <c r="J1911" i="1"/>
  <c r="K1911" i="1"/>
  <c r="L1911" i="1"/>
  <c r="A1912" i="1"/>
  <c r="B1912" i="1"/>
  <c r="C1912" i="1"/>
  <c r="D1912" i="1"/>
  <c r="Q1912" i="1"/>
  <c r="R1912" i="1"/>
  <c r="E1912" i="1"/>
  <c r="G1912" i="1"/>
  <c r="H1912" i="1"/>
  <c r="J1912" i="1"/>
  <c r="K1912" i="1"/>
  <c r="L1912" i="1"/>
  <c r="A1913" i="1"/>
  <c r="B1913" i="1"/>
  <c r="C1913" i="1"/>
  <c r="D1913" i="1"/>
  <c r="Q1913" i="1"/>
  <c r="R1913" i="1"/>
  <c r="E1913" i="1"/>
  <c r="G1913" i="1"/>
  <c r="H1913" i="1"/>
  <c r="J1913" i="1"/>
  <c r="K1913" i="1"/>
  <c r="L1913" i="1"/>
  <c r="A1914" i="1"/>
  <c r="B1914" i="1"/>
  <c r="C1914" i="1"/>
  <c r="D1914" i="1"/>
  <c r="Q1914" i="1"/>
  <c r="R1914" i="1"/>
  <c r="E1914" i="1"/>
  <c r="G1914" i="1"/>
  <c r="H1914" i="1"/>
  <c r="J1914" i="1"/>
  <c r="K1914" i="1"/>
  <c r="L1914" i="1"/>
  <c r="A1915" i="1"/>
  <c r="B1915" i="1"/>
  <c r="C1915" i="1"/>
  <c r="D1915" i="1"/>
  <c r="Q1915" i="1"/>
  <c r="R1915" i="1"/>
  <c r="E1915" i="1"/>
  <c r="G1915" i="1"/>
  <c r="H1915" i="1"/>
  <c r="J1915" i="1"/>
  <c r="K1915" i="1"/>
  <c r="L1915" i="1"/>
  <c r="A1916" i="1"/>
  <c r="B1916" i="1"/>
  <c r="C1916" i="1"/>
  <c r="D1916" i="1"/>
  <c r="Q1916" i="1"/>
  <c r="R1916" i="1"/>
  <c r="E1916" i="1"/>
  <c r="G1916" i="1"/>
  <c r="H1916" i="1"/>
  <c r="J1916" i="1"/>
  <c r="K1916" i="1"/>
  <c r="L1916" i="1"/>
  <c r="A1917" i="1"/>
  <c r="B1917" i="1"/>
  <c r="C1917" i="1"/>
  <c r="D1917" i="1"/>
  <c r="Q1917" i="1"/>
  <c r="R1917" i="1"/>
  <c r="E1917" i="1"/>
  <c r="G1917" i="1"/>
  <c r="H1917" i="1"/>
  <c r="J1917" i="1"/>
  <c r="K1917" i="1"/>
  <c r="L1917" i="1"/>
  <c r="A1918" i="1"/>
  <c r="B1918" i="1"/>
  <c r="C1918" i="1"/>
  <c r="D1918" i="1"/>
  <c r="Q1918" i="1"/>
  <c r="R1918" i="1"/>
  <c r="E1918" i="1"/>
  <c r="G1918" i="1"/>
  <c r="H1918" i="1"/>
  <c r="J1918" i="1"/>
  <c r="K1918" i="1"/>
  <c r="L1918" i="1"/>
  <c r="A1919" i="1"/>
  <c r="B1919" i="1"/>
  <c r="C1919" i="1"/>
  <c r="D1919" i="1"/>
  <c r="Q1919" i="1"/>
  <c r="R1919" i="1"/>
  <c r="E1919" i="1"/>
  <c r="G1919" i="1"/>
  <c r="H1919" i="1"/>
  <c r="J1919" i="1"/>
  <c r="K1919" i="1"/>
  <c r="L1919" i="1"/>
  <c r="A1920" i="1"/>
  <c r="B1920" i="1"/>
  <c r="C1920" i="1"/>
  <c r="D1920" i="1"/>
  <c r="Q1920" i="1"/>
  <c r="R1920" i="1"/>
  <c r="E1920" i="1"/>
  <c r="G1920" i="1"/>
  <c r="H1920" i="1"/>
  <c r="J1920" i="1"/>
  <c r="K1920" i="1"/>
  <c r="L1920" i="1"/>
  <c r="A1921" i="1"/>
  <c r="B1921" i="1"/>
  <c r="C1921" i="1"/>
  <c r="D1921" i="1"/>
  <c r="Q1921" i="1"/>
  <c r="R1921" i="1"/>
  <c r="E1921" i="1"/>
  <c r="G1921" i="1"/>
  <c r="H1921" i="1"/>
  <c r="J1921" i="1"/>
  <c r="K1921" i="1"/>
  <c r="L1921" i="1"/>
  <c r="A1922" i="1"/>
  <c r="B1922" i="1"/>
  <c r="C1922" i="1"/>
  <c r="D1922" i="1"/>
  <c r="Q1922" i="1"/>
  <c r="R1922" i="1"/>
  <c r="E1922" i="1"/>
  <c r="G1922" i="1"/>
  <c r="H1922" i="1"/>
  <c r="J1922" i="1"/>
  <c r="K1922" i="1"/>
  <c r="L1922" i="1"/>
  <c r="A1923" i="1"/>
  <c r="B1923" i="1"/>
  <c r="C1923" i="1"/>
  <c r="D1923" i="1"/>
  <c r="Q1923" i="1"/>
  <c r="R1923" i="1"/>
  <c r="E1923" i="1"/>
  <c r="G1923" i="1"/>
  <c r="H1923" i="1"/>
  <c r="J1923" i="1"/>
  <c r="K1923" i="1"/>
  <c r="L1923" i="1"/>
  <c r="A1924" i="1"/>
  <c r="B1924" i="1"/>
  <c r="C1924" i="1"/>
  <c r="D1924" i="1"/>
  <c r="Q1924" i="1"/>
  <c r="R1924" i="1"/>
  <c r="E1924" i="1"/>
  <c r="G1924" i="1"/>
  <c r="H1924" i="1"/>
  <c r="J1924" i="1"/>
  <c r="K1924" i="1"/>
  <c r="L1924" i="1"/>
  <c r="A1925" i="1"/>
  <c r="B1925" i="1"/>
  <c r="C1925" i="1"/>
  <c r="D1925" i="1"/>
  <c r="Q1925" i="1"/>
  <c r="R1925" i="1"/>
  <c r="E1925" i="1"/>
  <c r="G1925" i="1"/>
  <c r="H1925" i="1"/>
  <c r="J1925" i="1"/>
  <c r="K1925" i="1"/>
  <c r="L1925" i="1"/>
  <c r="A1926" i="1"/>
  <c r="B1926" i="1"/>
  <c r="C1926" i="1"/>
  <c r="D1926" i="1"/>
  <c r="Q1926" i="1"/>
  <c r="R1926" i="1"/>
  <c r="E1926" i="1"/>
  <c r="G1926" i="1"/>
  <c r="H1926" i="1"/>
  <c r="J1926" i="1"/>
  <c r="K1926" i="1"/>
  <c r="L1926" i="1"/>
  <c r="A1927" i="1"/>
  <c r="B1927" i="1"/>
  <c r="C1927" i="1"/>
  <c r="D1927" i="1"/>
  <c r="Q1927" i="1"/>
  <c r="R1927" i="1"/>
  <c r="E1927" i="1"/>
  <c r="G1927" i="1"/>
  <c r="H1927" i="1"/>
  <c r="J1927" i="1"/>
  <c r="K1927" i="1"/>
  <c r="L1927" i="1"/>
  <c r="A1928" i="1"/>
  <c r="B1928" i="1"/>
  <c r="C1928" i="1"/>
  <c r="D1928" i="1"/>
  <c r="Q1928" i="1"/>
  <c r="R1928" i="1"/>
  <c r="E1928" i="1"/>
  <c r="G1928" i="1"/>
  <c r="H1928" i="1"/>
  <c r="J1928" i="1"/>
  <c r="K1928" i="1"/>
  <c r="L1928" i="1"/>
  <c r="A1929" i="1"/>
  <c r="B1929" i="1"/>
  <c r="C1929" i="1"/>
  <c r="D1929" i="1"/>
  <c r="Q1929" i="1"/>
  <c r="R1929" i="1"/>
  <c r="E1929" i="1"/>
  <c r="G1929" i="1"/>
  <c r="H1929" i="1"/>
  <c r="J1929" i="1"/>
  <c r="K1929" i="1"/>
  <c r="L1929" i="1"/>
  <c r="A1930" i="1"/>
  <c r="B1930" i="1"/>
  <c r="C1930" i="1"/>
  <c r="D1930" i="1"/>
  <c r="Q1930" i="1"/>
  <c r="R1930" i="1"/>
  <c r="E1930" i="1"/>
  <c r="G1930" i="1"/>
  <c r="H1930" i="1"/>
  <c r="J1930" i="1"/>
  <c r="K1930" i="1"/>
  <c r="L1930" i="1"/>
  <c r="A1931" i="1"/>
  <c r="B1931" i="1"/>
  <c r="C1931" i="1"/>
  <c r="D1931" i="1"/>
  <c r="Q1931" i="1"/>
  <c r="R1931" i="1"/>
  <c r="E1931" i="1"/>
  <c r="G1931" i="1"/>
  <c r="H1931" i="1"/>
  <c r="J1931" i="1"/>
  <c r="K1931" i="1"/>
  <c r="L1931" i="1"/>
  <c r="A1932" i="1"/>
  <c r="B1932" i="1"/>
  <c r="C1932" i="1"/>
  <c r="D1932" i="1"/>
  <c r="Q1932" i="1"/>
  <c r="R1932" i="1"/>
  <c r="E1932" i="1"/>
  <c r="G1932" i="1"/>
  <c r="H1932" i="1"/>
  <c r="J1932" i="1"/>
  <c r="K1932" i="1"/>
  <c r="L1932" i="1"/>
  <c r="A1933" i="1"/>
  <c r="B1933" i="1"/>
  <c r="C1933" i="1"/>
  <c r="D1933" i="1"/>
  <c r="Q1933" i="1"/>
  <c r="R1933" i="1"/>
  <c r="E1933" i="1"/>
  <c r="G1933" i="1"/>
  <c r="H1933" i="1"/>
  <c r="J1933" i="1"/>
  <c r="K1933" i="1"/>
  <c r="L1933" i="1"/>
  <c r="A1934" i="1"/>
  <c r="B1934" i="1"/>
  <c r="C1934" i="1"/>
  <c r="D1934" i="1"/>
  <c r="Q1934" i="1"/>
  <c r="R1934" i="1"/>
  <c r="E1934" i="1"/>
  <c r="G1934" i="1"/>
  <c r="H1934" i="1"/>
  <c r="J1934" i="1"/>
  <c r="K1934" i="1"/>
  <c r="L1934" i="1"/>
  <c r="A1935" i="1"/>
  <c r="B1935" i="1"/>
  <c r="C1935" i="1"/>
  <c r="D1935" i="1"/>
  <c r="Q1935" i="1"/>
  <c r="R1935" i="1"/>
  <c r="E1935" i="1"/>
  <c r="G1935" i="1"/>
  <c r="H1935" i="1"/>
  <c r="J1935" i="1"/>
  <c r="K1935" i="1"/>
  <c r="L1935" i="1"/>
  <c r="A1936" i="1"/>
  <c r="B1936" i="1"/>
  <c r="C1936" i="1"/>
  <c r="D1936" i="1"/>
  <c r="Q1936" i="1"/>
  <c r="R1936" i="1"/>
  <c r="E1936" i="1"/>
  <c r="G1936" i="1"/>
  <c r="H1936" i="1"/>
  <c r="J1936" i="1"/>
  <c r="K1936" i="1"/>
  <c r="L1936" i="1"/>
  <c r="A1937" i="1"/>
  <c r="B1937" i="1"/>
  <c r="C1937" i="1"/>
  <c r="D1937" i="1"/>
  <c r="Q1937" i="1"/>
  <c r="R1937" i="1"/>
  <c r="E1937" i="1"/>
  <c r="G1937" i="1"/>
  <c r="H1937" i="1"/>
  <c r="J1937" i="1"/>
  <c r="K1937" i="1"/>
  <c r="L1937" i="1"/>
  <c r="A1938" i="1"/>
  <c r="B1938" i="1"/>
  <c r="C1938" i="1"/>
  <c r="D1938" i="1"/>
  <c r="Q1938" i="1"/>
  <c r="R1938" i="1"/>
  <c r="E1938" i="1"/>
  <c r="G1938" i="1"/>
  <c r="H1938" i="1"/>
  <c r="J1938" i="1"/>
  <c r="K1938" i="1"/>
  <c r="L1938" i="1"/>
  <c r="A1939" i="1"/>
  <c r="B1939" i="1"/>
  <c r="C1939" i="1"/>
  <c r="D1939" i="1"/>
  <c r="Q1939" i="1"/>
  <c r="R1939" i="1"/>
  <c r="E1939" i="1"/>
  <c r="G1939" i="1"/>
  <c r="H1939" i="1"/>
  <c r="J1939" i="1"/>
  <c r="K1939" i="1"/>
  <c r="L1939" i="1"/>
  <c r="A1940" i="1"/>
  <c r="B1940" i="1"/>
  <c r="C1940" i="1"/>
  <c r="D1940" i="1"/>
  <c r="Q1940" i="1"/>
  <c r="R1940" i="1"/>
  <c r="E1940" i="1"/>
  <c r="G1940" i="1"/>
  <c r="H1940" i="1"/>
  <c r="J1940" i="1"/>
  <c r="K1940" i="1"/>
  <c r="L1940" i="1"/>
  <c r="A1941" i="1"/>
  <c r="B1941" i="1"/>
  <c r="C1941" i="1"/>
  <c r="D1941" i="1"/>
  <c r="Q1941" i="1"/>
  <c r="R1941" i="1"/>
  <c r="E1941" i="1"/>
  <c r="G1941" i="1"/>
  <c r="H1941" i="1"/>
  <c r="J1941" i="1"/>
  <c r="K1941" i="1"/>
  <c r="L1941" i="1"/>
  <c r="A1942" i="1"/>
  <c r="B1942" i="1"/>
  <c r="C1942" i="1"/>
  <c r="D1942" i="1"/>
  <c r="Q1942" i="1"/>
  <c r="R1942" i="1"/>
  <c r="E1942" i="1"/>
  <c r="G1942" i="1"/>
  <c r="H1942" i="1"/>
  <c r="J1942" i="1"/>
  <c r="K1942" i="1"/>
  <c r="L1942" i="1"/>
  <c r="A1943" i="1"/>
  <c r="B1943" i="1"/>
  <c r="C1943" i="1"/>
  <c r="D1943" i="1"/>
  <c r="Q1943" i="1"/>
  <c r="R1943" i="1"/>
  <c r="E1943" i="1"/>
  <c r="G1943" i="1"/>
  <c r="H1943" i="1"/>
  <c r="J1943" i="1"/>
  <c r="K1943" i="1"/>
  <c r="L1943" i="1"/>
  <c r="A1944" i="1"/>
  <c r="B1944" i="1"/>
  <c r="C1944" i="1"/>
  <c r="D1944" i="1"/>
  <c r="Q1944" i="1"/>
  <c r="R1944" i="1"/>
  <c r="E1944" i="1"/>
  <c r="G1944" i="1"/>
  <c r="H1944" i="1"/>
  <c r="J1944" i="1"/>
  <c r="K1944" i="1"/>
  <c r="L1944" i="1"/>
  <c r="A1945" i="1"/>
  <c r="B1945" i="1"/>
  <c r="C1945" i="1"/>
  <c r="D1945" i="1"/>
  <c r="Q1945" i="1"/>
  <c r="R1945" i="1"/>
  <c r="E1945" i="1"/>
  <c r="G1945" i="1"/>
  <c r="H1945" i="1"/>
  <c r="J1945" i="1"/>
  <c r="K1945" i="1"/>
  <c r="L1945" i="1"/>
  <c r="A1946" i="1"/>
  <c r="B1946" i="1"/>
  <c r="C1946" i="1"/>
  <c r="D1946" i="1"/>
  <c r="Q1946" i="1"/>
  <c r="R1946" i="1"/>
  <c r="E1946" i="1"/>
  <c r="G1946" i="1"/>
  <c r="H1946" i="1"/>
  <c r="J1946" i="1"/>
  <c r="K1946" i="1"/>
  <c r="L1946" i="1"/>
  <c r="A1947" i="1"/>
  <c r="B1947" i="1"/>
  <c r="C1947" i="1"/>
  <c r="D1947" i="1"/>
  <c r="Q1947" i="1"/>
  <c r="R1947" i="1"/>
  <c r="E1947" i="1"/>
  <c r="G1947" i="1"/>
  <c r="H1947" i="1"/>
  <c r="J1947" i="1"/>
  <c r="K1947" i="1"/>
  <c r="L1947" i="1"/>
  <c r="A1948" i="1"/>
  <c r="B1948" i="1"/>
  <c r="C1948" i="1"/>
  <c r="D1948" i="1"/>
  <c r="Q1948" i="1"/>
  <c r="R1948" i="1"/>
  <c r="E1948" i="1"/>
  <c r="G1948" i="1"/>
  <c r="H1948" i="1"/>
  <c r="J1948" i="1"/>
  <c r="K1948" i="1"/>
  <c r="L1948" i="1"/>
  <c r="A1949" i="1"/>
  <c r="B1949" i="1"/>
  <c r="C1949" i="1"/>
  <c r="D1949" i="1"/>
  <c r="Q1949" i="1"/>
  <c r="R1949" i="1"/>
  <c r="E1949" i="1"/>
  <c r="G1949" i="1"/>
  <c r="H1949" i="1"/>
  <c r="J1949" i="1"/>
  <c r="K1949" i="1"/>
  <c r="L1949" i="1"/>
  <c r="A1950" i="1"/>
  <c r="B1950" i="1"/>
  <c r="C1950" i="1"/>
  <c r="D1950" i="1"/>
  <c r="Q1950" i="1"/>
  <c r="R1950" i="1"/>
  <c r="E1950" i="1"/>
  <c r="G1950" i="1"/>
  <c r="H1950" i="1"/>
  <c r="J1950" i="1"/>
  <c r="K1950" i="1"/>
  <c r="L1950" i="1"/>
  <c r="A1951" i="1"/>
  <c r="B1951" i="1"/>
  <c r="C1951" i="1"/>
  <c r="D1951" i="1"/>
  <c r="Q1951" i="1"/>
  <c r="R1951" i="1"/>
  <c r="E1951" i="1"/>
  <c r="G1951" i="1"/>
  <c r="H1951" i="1"/>
  <c r="J1951" i="1"/>
  <c r="K1951" i="1"/>
  <c r="L1951" i="1"/>
  <c r="A1952" i="1"/>
  <c r="B1952" i="1"/>
  <c r="C1952" i="1"/>
  <c r="D1952" i="1"/>
  <c r="Q1952" i="1"/>
  <c r="R1952" i="1"/>
  <c r="E1952" i="1"/>
  <c r="G1952" i="1"/>
  <c r="H1952" i="1"/>
  <c r="J1952" i="1"/>
  <c r="K1952" i="1"/>
  <c r="L1952" i="1"/>
  <c r="A1953" i="1"/>
  <c r="B1953" i="1"/>
  <c r="C1953" i="1"/>
  <c r="D1953" i="1"/>
  <c r="Q1953" i="1"/>
  <c r="R1953" i="1"/>
  <c r="E1953" i="1"/>
  <c r="G1953" i="1"/>
  <c r="H1953" i="1"/>
  <c r="J1953" i="1"/>
  <c r="K1953" i="1"/>
  <c r="L1953" i="1"/>
  <c r="A1954" i="1"/>
  <c r="B1954" i="1"/>
  <c r="C1954" i="1"/>
  <c r="D1954" i="1"/>
  <c r="Q1954" i="1"/>
  <c r="R1954" i="1"/>
  <c r="E1954" i="1"/>
  <c r="G1954" i="1"/>
  <c r="H1954" i="1"/>
  <c r="J1954" i="1"/>
  <c r="K1954" i="1"/>
  <c r="L1954" i="1"/>
  <c r="A1955" i="1"/>
  <c r="B1955" i="1"/>
  <c r="C1955" i="1"/>
  <c r="D1955" i="1"/>
  <c r="Q1955" i="1"/>
  <c r="R1955" i="1"/>
  <c r="E1955" i="1"/>
  <c r="G1955" i="1"/>
  <c r="H1955" i="1"/>
  <c r="J1955" i="1"/>
  <c r="K1955" i="1"/>
  <c r="L1955" i="1"/>
  <c r="A1956" i="1"/>
  <c r="B1956" i="1"/>
  <c r="C1956" i="1"/>
  <c r="D1956" i="1"/>
  <c r="Q1956" i="1"/>
  <c r="R1956" i="1"/>
  <c r="E1956" i="1"/>
  <c r="G1956" i="1"/>
  <c r="H1956" i="1"/>
  <c r="J1956" i="1"/>
  <c r="K1956" i="1"/>
  <c r="L1956" i="1"/>
  <c r="A1957" i="1"/>
  <c r="B1957" i="1"/>
  <c r="C1957" i="1"/>
  <c r="D1957" i="1"/>
  <c r="Q1957" i="1"/>
  <c r="R1957" i="1"/>
  <c r="E1957" i="1"/>
  <c r="G1957" i="1"/>
  <c r="H1957" i="1"/>
  <c r="J1957" i="1"/>
  <c r="K1957" i="1"/>
  <c r="L1957" i="1"/>
  <c r="A1958" i="1"/>
  <c r="B1958" i="1"/>
  <c r="C1958" i="1"/>
  <c r="D1958" i="1"/>
  <c r="Q1958" i="1"/>
  <c r="R1958" i="1"/>
  <c r="E1958" i="1"/>
  <c r="G1958" i="1"/>
  <c r="H1958" i="1"/>
  <c r="J1958" i="1"/>
  <c r="K1958" i="1"/>
  <c r="L1958" i="1"/>
  <c r="A1959" i="1"/>
  <c r="B1959" i="1"/>
  <c r="C1959" i="1"/>
  <c r="D1959" i="1"/>
  <c r="Q1959" i="1"/>
  <c r="R1959" i="1"/>
  <c r="E1959" i="1"/>
  <c r="G1959" i="1"/>
  <c r="H1959" i="1"/>
  <c r="J1959" i="1"/>
  <c r="K1959" i="1"/>
  <c r="L1959" i="1"/>
  <c r="A1960" i="1"/>
  <c r="B1960" i="1"/>
  <c r="C1960" i="1"/>
  <c r="D1960" i="1"/>
  <c r="Q1960" i="1"/>
  <c r="R1960" i="1"/>
  <c r="E1960" i="1"/>
  <c r="G1960" i="1"/>
  <c r="H1960" i="1"/>
  <c r="J1960" i="1"/>
  <c r="K1960" i="1"/>
  <c r="L1960" i="1"/>
  <c r="A1961" i="1"/>
  <c r="B1961" i="1"/>
  <c r="C1961" i="1"/>
  <c r="D1961" i="1"/>
  <c r="Q1961" i="1"/>
  <c r="R1961" i="1"/>
  <c r="E1961" i="1"/>
  <c r="G1961" i="1"/>
  <c r="H1961" i="1"/>
  <c r="J1961" i="1"/>
  <c r="K1961" i="1"/>
  <c r="L1961" i="1"/>
  <c r="A1962" i="1"/>
  <c r="B1962" i="1"/>
  <c r="C1962" i="1"/>
  <c r="D1962" i="1"/>
  <c r="Q1962" i="1"/>
  <c r="R1962" i="1"/>
  <c r="E1962" i="1"/>
  <c r="G1962" i="1"/>
  <c r="H1962" i="1"/>
  <c r="J1962" i="1"/>
  <c r="K1962" i="1"/>
  <c r="L1962" i="1"/>
  <c r="A1963" i="1"/>
  <c r="B1963" i="1"/>
  <c r="C1963" i="1"/>
  <c r="D1963" i="1"/>
  <c r="Q1963" i="1"/>
  <c r="R1963" i="1"/>
  <c r="E1963" i="1"/>
  <c r="G1963" i="1"/>
  <c r="H1963" i="1"/>
  <c r="J1963" i="1"/>
  <c r="K1963" i="1"/>
  <c r="L1963" i="1"/>
  <c r="A1964" i="1"/>
  <c r="B1964" i="1"/>
  <c r="C1964" i="1"/>
  <c r="D1964" i="1"/>
  <c r="Q1964" i="1"/>
  <c r="R1964" i="1"/>
  <c r="E1964" i="1"/>
  <c r="G1964" i="1"/>
  <c r="H1964" i="1"/>
  <c r="J1964" i="1"/>
  <c r="K1964" i="1"/>
  <c r="L1964" i="1"/>
  <c r="A1965" i="1"/>
  <c r="B1965" i="1"/>
  <c r="C1965" i="1"/>
  <c r="D1965" i="1"/>
  <c r="Q1965" i="1"/>
  <c r="R1965" i="1"/>
  <c r="E1965" i="1"/>
  <c r="G1965" i="1"/>
  <c r="H1965" i="1"/>
  <c r="J1965" i="1"/>
  <c r="K1965" i="1"/>
  <c r="L1965" i="1"/>
  <c r="A1966" i="1"/>
  <c r="B1966" i="1"/>
  <c r="C1966" i="1"/>
  <c r="D1966" i="1"/>
  <c r="Q1966" i="1"/>
  <c r="R1966" i="1"/>
  <c r="E1966" i="1"/>
  <c r="G1966" i="1"/>
  <c r="H1966" i="1"/>
  <c r="J1966" i="1"/>
  <c r="K1966" i="1"/>
  <c r="L1966" i="1"/>
  <c r="A1967" i="1"/>
  <c r="B1967" i="1"/>
  <c r="C1967" i="1"/>
  <c r="D1967" i="1"/>
  <c r="Q1967" i="1"/>
  <c r="R1967" i="1"/>
  <c r="E1967" i="1"/>
  <c r="G1967" i="1"/>
  <c r="H1967" i="1"/>
  <c r="J1967" i="1"/>
  <c r="K1967" i="1"/>
  <c r="L1967" i="1"/>
  <c r="A1968" i="1"/>
  <c r="B1968" i="1"/>
  <c r="C1968" i="1"/>
  <c r="D1968" i="1"/>
  <c r="Q1968" i="1"/>
  <c r="R1968" i="1"/>
  <c r="E1968" i="1"/>
  <c r="G1968" i="1"/>
  <c r="H1968" i="1"/>
  <c r="J1968" i="1"/>
  <c r="K1968" i="1"/>
  <c r="L1968" i="1"/>
  <c r="A1969" i="1"/>
  <c r="B1969" i="1"/>
  <c r="C1969" i="1"/>
  <c r="D1969" i="1"/>
  <c r="Q1969" i="1"/>
  <c r="R1969" i="1"/>
  <c r="E1969" i="1"/>
  <c r="G1969" i="1"/>
  <c r="H1969" i="1"/>
  <c r="J1969" i="1"/>
  <c r="K1969" i="1"/>
  <c r="L1969" i="1"/>
  <c r="A1970" i="1"/>
  <c r="B1970" i="1"/>
  <c r="C1970" i="1"/>
  <c r="D1970" i="1"/>
  <c r="Q1970" i="1"/>
  <c r="R1970" i="1"/>
  <c r="E1970" i="1"/>
  <c r="G1970" i="1"/>
  <c r="H1970" i="1"/>
  <c r="J1970" i="1"/>
  <c r="K1970" i="1"/>
  <c r="L1970" i="1"/>
  <c r="A1971" i="1"/>
  <c r="B1971" i="1"/>
  <c r="C1971" i="1"/>
  <c r="D1971" i="1"/>
  <c r="Q1971" i="1"/>
  <c r="R1971" i="1"/>
  <c r="E1971" i="1"/>
  <c r="G1971" i="1"/>
  <c r="H1971" i="1"/>
  <c r="J1971" i="1"/>
  <c r="K1971" i="1"/>
  <c r="L1971" i="1"/>
  <c r="A1972" i="1"/>
  <c r="B1972" i="1"/>
  <c r="C1972" i="1"/>
  <c r="D1972" i="1"/>
  <c r="Q1972" i="1"/>
  <c r="R1972" i="1"/>
  <c r="E1972" i="1"/>
  <c r="G1972" i="1"/>
  <c r="H1972" i="1"/>
  <c r="J1972" i="1"/>
  <c r="K1972" i="1"/>
  <c r="L1972" i="1"/>
  <c r="A1973" i="1"/>
  <c r="B1973" i="1"/>
  <c r="C1973" i="1"/>
  <c r="D1973" i="1"/>
  <c r="Q1973" i="1"/>
  <c r="R1973" i="1"/>
  <c r="E1973" i="1"/>
  <c r="G1973" i="1"/>
  <c r="H1973" i="1"/>
  <c r="J1973" i="1"/>
  <c r="K1973" i="1"/>
  <c r="L1973" i="1"/>
  <c r="A1974" i="1"/>
  <c r="B1974" i="1"/>
  <c r="C1974" i="1"/>
  <c r="D1974" i="1"/>
  <c r="Q1974" i="1"/>
  <c r="R1974" i="1"/>
  <c r="E1974" i="1"/>
  <c r="G1974" i="1"/>
  <c r="H1974" i="1"/>
  <c r="J1974" i="1"/>
  <c r="K1974" i="1"/>
  <c r="L1974" i="1"/>
  <c r="A1975" i="1"/>
  <c r="B1975" i="1"/>
  <c r="C1975" i="1"/>
  <c r="D1975" i="1"/>
  <c r="Q1975" i="1"/>
  <c r="R1975" i="1"/>
  <c r="E1975" i="1"/>
  <c r="G1975" i="1"/>
  <c r="H1975" i="1"/>
  <c r="J1975" i="1"/>
  <c r="K1975" i="1"/>
  <c r="L1975" i="1"/>
  <c r="A1976" i="1"/>
  <c r="B1976" i="1"/>
  <c r="C1976" i="1"/>
  <c r="D1976" i="1"/>
  <c r="Q1976" i="1"/>
  <c r="R1976" i="1"/>
  <c r="E1976" i="1"/>
  <c r="G1976" i="1"/>
  <c r="H1976" i="1"/>
  <c r="J1976" i="1"/>
  <c r="K1976" i="1"/>
  <c r="L1976" i="1"/>
  <c r="A1977" i="1"/>
  <c r="B1977" i="1"/>
  <c r="C1977" i="1"/>
  <c r="D1977" i="1"/>
  <c r="Q1977" i="1"/>
  <c r="R1977" i="1"/>
  <c r="E1977" i="1"/>
  <c r="G1977" i="1"/>
  <c r="H1977" i="1"/>
  <c r="J1977" i="1"/>
  <c r="K1977" i="1"/>
  <c r="L1977" i="1"/>
  <c r="A1978" i="1"/>
  <c r="B1978" i="1"/>
  <c r="C1978" i="1"/>
  <c r="D1978" i="1"/>
  <c r="Q1978" i="1"/>
  <c r="R1978" i="1"/>
  <c r="E1978" i="1"/>
  <c r="G1978" i="1"/>
  <c r="H1978" i="1"/>
  <c r="J1978" i="1"/>
  <c r="K1978" i="1"/>
  <c r="L1978" i="1"/>
  <c r="A1979" i="1"/>
  <c r="B1979" i="1"/>
  <c r="C1979" i="1"/>
  <c r="D1979" i="1"/>
  <c r="Q1979" i="1"/>
  <c r="R1979" i="1"/>
  <c r="E1979" i="1"/>
  <c r="G1979" i="1"/>
  <c r="H1979" i="1"/>
  <c r="J1979" i="1"/>
  <c r="K1979" i="1"/>
  <c r="L1979" i="1"/>
  <c r="A1980" i="1"/>
  <c r="B1980" i="1"/>
  <c r="C1980" i="1"/>
  <c r="D1980" i="1"/>
  <c r="Q1980" i="1"/>
  <c r="R1980" i="1"/>
  <c r="E1980" i="1"/>
  <c r="G1980" i="1"/>
  <c r="H1980" i="1"/>
  <c r="J1980" i="1"/>
  <c r="K1980" i="1"/>
  <c r="L1980" i="1"/>
  <c r="A1981" i="1"/>
  <c r="B1981" i="1"/>
  <c r="C1981" i="1"/>
  <c r="D1981" i="1"/>
  <c r="Q1981" i="1"/>
  <c r="R1981" i="1"/>
  <c r="E1981" i="1"/>
  <c r="G1981" i="1"/>
  <c r="H1981" i="1"/>
  <c r="J1981" i="1"/>
  <c r="K1981" i="1"/>
  <c r="L1981" i="1"/>
  <c r="A1982" i="1"/>
  <c r="B1982" i="1"/>
  <c r="C1982" i="1"/>
  <c r="D1982" i="1"/>
  <c r="Q1982" i="1"/>
  <c r="R1982" i="1"/>
  <c r="E1982" i="1"/>
  <c r="G1982" i="1"/>
  <c r="H1982" i="1"/>
  <c r="J1982" i="1"/>
  <c r="K1982" i="1"/>
  <c r="L1982" i="1"/>
  <c r="A1983" i="1"/>
  <c r="B1983" i="1"/>
  <c r="C1983" i="1"/>
  <c r="D1983" i="1"/>
  <c r="Q1983" i="1"/>
  <c r="R1983" i="1"/>
  <c r="E1983" i="1"/>
  <c r="G1983" i="1"/>
  <c r="H1983" i="1"/>
  <c r="J1983" i="1"/>
  <c r="K1983" i="1"/>
  <c r="L1983" i="1"/>
  <c r="A1984" i="1"/>
  <c r="B1984" i="1"/>
  <c r="C1984" i="1"/>
  <c r="D1984" i="1"/>
  <c r="Q1984" i="1"/>
  <c r="R1984" i="1"/>
  <c r="E1984" i="1"/>
  <c r="G1984" i="1"/>
  <c r="H1984" i="1"/>
  <c r="J1984" i="1"/>
  <c r="K1984" i="1"/>
  <c r="L1984" i="1"/>
  <c r="A1985" i="1"/>
  <c r="B1985" i="1"/>
  <c r="C1985" i="1"/>
  <c r="D1985" i="1"/>
  <c r="Q1985" i="1"/>
  <c r="R1985" i="1"/>
  <c r="E1985" i="1"/>
  <c r="G1985" i="1"/>
  <c r="H1985" i="1"/>
  <c r="J1985" i="1"/>
  <c r="K1985" i="1"/>
  <c r="L1985" i="1"/>
  <c r="A1986" i="1"/>
  <c r="B1986" i="1"/>
  <c r="C1986" i="1"/>
  <c r="D1986" i="1"/>
  <c r="Q1986" i="1"/>
  <c r="R1986" i="1"/>
  <c r="E1986" i="1"/>
  <c r="G1986" i="1"/>
  <c r="H1986" i="1"/>
  <c r="J1986" i="1"/>
  <c r="K1986" i="1"/>
  <c r="L1986" i="1"/>
  <c r="A1987" i="1"/>
  <c r="B1987" i="1"/>
  <c r="C1987" i="1"/>
  <c r="D1987" i="1"/>
  <c r="Q1987" i="1"/>
  <c r="R1987" i="1"/>
  <c r="E1987" i="1"/>
  <c r="G1987" i="1"/>
  <c r="H1987" i="1"/>
  <c r="J1987" i="1"/>
  <c r="K1987" i="1"/>
  <c r="L1987" i="1"/>
  <c r="A1988" i="1"/>
  <c r="B1988" i="1"/>
  <c r="C1988" i="1"/>
  <c r="D1988" i="1"/>
  <c r="Q1988" i="1"/>
  <c r="R1988" i="1"/>
  <c r="E1988" i="1"/>
  <c r="G1988" i="1"/>
  <c r="H1988" i="1"/>
  <c r="J1988" i="1"/>
  <c r="K1988" i="1"/>
  <c r="L1988" i="1"/>
  <c r="A1989" i="1"/>
  <c r="B1989" i="1"/>
  <c r="C1989" i="1"/>
  <c r="D1989" i="1"/>
  <c r="Q1989" i="1"/>
  <c r="R1989" i="1"/>
  <c r="E1989" i="1"/>
  <c r="G1989" i="1"/>
  <c r="H1989" i="1"/>
  <c r="J1989" i="1"/>
  <c r="K1989" i="1"/>
  <c r="L1989" i="1"/>
  <c r="A1990" i="1"/>
  <c r="B1990" i="1"/>
  <c r="C1990" i="1"/>
  <c r="D1990" i="1"/>
  <c r="Q1990" i="1"/>
  <c r="R1990" i="1"/>
  <c r="E1990" i="1"/>
  <c r="G1990" i="1"/>
  <c r="H1990" i="1"/>
  <c r="J1990" i="1"/>
  <c r="K1990" i="1"/>
  <c r="L1990" i="1"/>
  <c r="A1991" i="1"/>
  <c r="B1991" i="1"/>
  <c r="C1991" i="1"/>
  <c r="D1991" i="1"/>
  <c r="Q1991" i="1"/>
  <c r="R1991" i="1"/>
  <c r="E1991" i="1"/>
  <c r="G1991" i="1"/>
  <c r="H1991" i="1"/>
  <c r="J1991" i="1"/>
  <c r="K1991" i="1"/>
  <c r="L1991" i="1"/>
  <c r="A1992" i="1"/>
  <c r="B1992" i="1"/>
  <c r="C1992" i="1"/>
  <c r="D1992" i="1"/>
  <c r="Q1992" i="1"/>
  <c r="R1992" i="1"/>
  <c r="E1992" i="1"/>
  <c r="G1992" i="1"/>
  <c r="H1992" i="1"/>
  <c r="J1992" i="1"/>
  <c r="K1992" i="1"/>
  <c r="L1992" i="1"/>
  <c r="A1993" i="1"/>
  <c r="B1993" i="1"/>
  <c r="C1993" i="1"/>
  <c r="D1993" i="1"/>
  <c r="Q1993" i="1"/>
  <c r="R1993" i="1"/>
  <c r="E1993" i="1"/>
  <c r="G1993" i="1"/>
  <c r="H1993" i="1"/>
  <c r="J1993" i="1"/>
  <c r="K1993" i="1"/>
  <c r="L1993" i="1"/>
  <c r="A1994" i="1"/>
  <c r="B1994" i="1"/>
  <c r="C1994" i="1"/>
  <c r="D1994" i="1"/>
  <c r="Q1994" i="1"/>
  <c r="R1994" i="1"/>
  <c r="E1994" i="1"/>
  <c r="G1994" i="1"/>
  <c r="H1994" i="1"/>
  <c r="J1994" i="1"/>
  <c r="K1994" i="1"/>
  <c r="L1994" i="1"/>
  <c r="A1995" i="1"/>
  <c r="B1995" i="1"/>
  <c r="C1995" i="1"/>
  <c r="D1995" i="1"/>
  <c r="Q1995" i="1"/>
  <c r="R1995" i="1"/>
  <c r="E1995" i="1"/>
  <c r="G1995" i="1"/>
  <c r="H1995" i="1"/>
  <c r="J1995" i="1"/>
  <c r="K1995" i="1"/>
  <c r="L1995" i="1"/>
  <c r="A1996" i="1"/>
  <c r="B1996" i="1"/>
  <c r="C1996" i="1"/>
  <c r="D1996" i="1"/>
  <c r="Q1996" i="1"/>
  <c r="R1996" i="1"/>
  <c r="E1996" i="1"/>
  <c r="G1996" i="1"/>
  <c r="H1996" i="1"/>
  <c r="J1996" i="1"/>
  <c r="K1996" i="1"/>
  <c r="L1996" i="1"/>
  <c r="A1997" i="1"/>
  <c r="B1997" i="1"/>
  <c r="C1997" i="1"/>
  <c r="D1997" i="1"/>
  <c r="Q1997" i="1"/>
  <c r="R1997" i="1"/>
  <c r="E1997" i="1"/>
  <c r="G1997" i="1"/>
  <c r="H1997" i="1"/>
  <c r="J1997" i="1"/>
  <c r="K1997" i="1"/>
  <c r="L1997" i="1"/>
  <c r="A1998" i="1"/>
  <c r="B1998" i="1"/>
  <c r="C1998" i="1"/>
  <c r="D1998" i="1"/>
  <c r="Q1998" i="1"/>
  <c r="R1998" i="1"/>
  <c r="E1998" i="1"/>
  <c r="G1998" i="1"/>
  <c r="H1998" i="1"/>
  <c r="J1998" i="1"/>
  <c r="K1998" i="1"/>
  <c r="L1998" i="1"/>
  <c r="A1999" i="1"/>
  <c r="B1999" i="1"/>
  <c r="C1999" i="1"/>
  <c r="D1999" i="1"/>
  <c r="Q1999" i="1"/>
  <c r="R1999" i="1"/>
  <c r="E1999" i="1"/>
  <c r="G1999" i="1"/>
  <c r="H1999" i="1"/>
  <c r="J1999" i="1"/>
  <c r="K1999" i="1"/>
  <c r="L1999" i="1"/>
  <c r="A2000" i="1"/>
  <c r="B2000" i="1"/>
  <c r="C2000" i="1"/>
  <c r="D2000" i="1"/>
  <c r="Q2000" i="1"/>
  <c r="R2000" i="1"/>
  <c r="E2000" i="1"/>
  <c r="G2000" i="1"/>
  <c r="H2000" i="1"/>
  <c r="J2000" i="1"/>
  <c r="K2000" i="1"/>
  <c r="L2000" i="1"/>
  <c r="A2001" i="1"/>
  <c r="B2001" i="1"/>
  <c r="C2001" i="1"/>
  <c r="D2001" i="1"/>
  <c r="Q2001" i="1"/>
  <c r="R2001" i="1"/>
  <c r="E2001" i="1"/>
  <c r="G2001" i="1"/>
  <c r="H2001" i="1"/>
  <c r="J2001" i="1"/>
  <c r="K2001" i="1"/>
  <c r="L2001" i="1"/>
  <c r="A2002" i="1"/>
  <c r="B2002" i="1"/>
  <c r="C2002" i="1"/>
  <c r="D2002" i="1"/>
  <c r="Q2002" i="1"/>
  <c r="R2002" i="1"/>
  <c r="E2002" i="1"/>
  <c r="G2002" i="1"/>
  <c r="H2002" i="1"/>
  <c r="J2002" i="1"/>
  <c r="K2002" i="1"/>
  <c r="L2002" i="1"/>
  <c r="A2003" i="1"/>
  <c r="B2003" i="1"/>
  <c r="C2003" i="1"/>
  <c r="D2003" i="1"/>
  <c r="Q2003" i="1"/>
  <c r="R2003" i="1"/>
  <c r="E2003" i="1"/>
  <c r="G2003" i="1"/>
  <c r="H2003" i="1"/>
  <c r="J2003" i="1"/>
  <c r="K2003" i="1"/>
  <c r="L2003" i="1"/>
  <c r="A2004" i="1"/>
  <c r="B2004" i="1"/>
  <c r="C2004" i="1"/>
  <c r="D2004" i="1"/>
  <c r="Q2004" i="1"/>
  <c r="R2004" i="1"/>
  <c r="E2004" i="1"/>
  <c r="G2004" i="1"/>
  <c r="H2004" i="1"/>
  <c r="J2004" i="1"/>
  <c r="K2004" i="1"/>
  <c r="L2004" i="1"/>
  <c r="A2005" i="1"/>
  <c r="B2005" i="1"/>
  <c r="C2005" i="1"/>
  <c r="D2005" i="1"/>
  <c r="Q2005" i="1"/>
  <c r="R2005" i="1"/>
  <c r="E2005" i="1"/>
  <c r="G2005" i="1"/>
  <c r="H2005" i="1"/>
  <c r="J2005" i="1"/>
  <c r="K2005" i="1"/>
  <c r="L2005" i="1"/>
  <c r="A2006" i="1"/>
  <c r="B2006" i="1"/>
  <c r="C2006" i="1"/>
  <c r="D2006" i="1"/>
  <c r="Q2006" i="1"/>
  <c r="R2006" i="1"/>
  <c r="E2006" i="1"/>
  <c r="G2006" i="1"/>
  <c r="H2006" i="1"/>
  <c r="J2006" i="1"/>
  <c r="K2006" i="1"/>
  <c r="L2006" i="1"/>
  <c r="A2007" i="1"/>
  <c r="B2007" i="1"/>
  <c r="C2007" i="1"/>
  <c r="D2007" i="1"/>
  <c r="Q2007" i="1"/>
  <c r="R2007" i="1"/>
  <c r="E2007" i="1"/>
  <c r="G2007" i="1"/>
  <c r="H2007" i="1"/>
  <c r="J2007" i="1"/>
  <c r="K2007" i="1"/>
  <c r="L2007" i="1"/>
  <c r="A2008" i="1"/>
  <c r="B2008" i="1"/>
  <c r="C2008" i="1"/>
  <c r="D2008" i="1"/>
  <c r="Q2008" i="1"/>
  <c r="R2008" i="1"/>
  <c r="E2008" i="1"/>
  <c r="G2008" i="1"/>
  <c r="H2008" i="1"/>
  <c r="J2008" i="1"/>
  <c r="K2008" i="1"/>
  <c r="L2008" i="1"/>
  <c r="A2009" i="1"/>
  <c r="B2009" i="1"/>
  <c r="C2009" i="1"/>
  <c r="D2009" i="1"/>
  <c r="Q2009" i="1"/>
  <c r="R2009" i="1"/>
  <c r="E2009" i="1"/>
  <c r="G2009" i="1"/>
  <c r="H2009" i="1"/>
  <c r="J2009" i="1"/>
  <c r="K2009" i="1"/>
  <c r="L2009" i="1"/>
  <c r="A2010" i="1"/>
  <c r="B2010" i="1"/>
  <c r="C2010" i="1"/>
  <c r="D2010" i="1"/>
  <c r="Q2010" i="1"/>
  <c r="R2010" i="1"/>
  <c r="E2010" i="1"/>
  <c r="G2010" i="1"/>
  <c r="H2010" i="1"/>
  <c r="J2010" i="1"/>
  <c r="K2010" i="1"/>
  <c r="L2010" i="1"/>
  <c r="A2011" i="1"/>
  <c r="B2011" i="1"/>
  <c r="C2011" i="1"/>
  <c r="D2011" i="1"/>
  <c r="Q2011" i="1"/>
  <c r="R2011" i="1"/>
  <c r="E2011" i="1"/>
  <c r="G2011" i="1"/>
  <c r="H2011" i="1"/>
  <c r="J2011" i="1"/>
  <c r="K2011" i="1"/>
  <c r="L2011" i="1"/>
  <c r="A2012" i="1"/>
  <c r="B2012" i="1"/>
  <c r="C2012" i="1"/>
  <c r="D2012" i="1"/>
  <c r="Q2012" i="1"/>
  <c r="R2012" i="1"/>
  <c r="E2012" i="1"/>
  <c r="G2012" i="1"/>
  <c r="H2012" i="1"/>
  <c r="J2012" i="1"/>
  <c r="K2012" i="1"/>
  <c r="L2012" i="1"/>
  <c r="A2013" i="1"/>
  <c r="B2013" i="1"/>
  <c r="C2013" i="1"/>
  <c r="D2013" i="1"/>
  <c r="Q2013" i="1"/>
  <c r="R2013" i="1"/>
  <c r="E2013" i="1"/>
  <c r="G2013" i="1"/>
  <c r="H2013" i="1"/>
  <c r="J2013" i="1"/>
  <c r="K2013" i="1"/>
  <c r="L2013" i="1"/>
  <c r="A2014" i="1"/>
  <c r="B2014" i="1"/>
  <c r="C2014" i="1"/>
  <c r="D2014" i="1"/>
  <c r="Q2014" i="1"/>
  <c r="R2014" i="1"/>
  <c r="E2014" i="1"/>
  <c r="G2014" i="1"/>
  <c r="H2014" i="1"/>
  <c r="J2014" i="1"/>
  <c r="K2014" i="1"/>
  <c r="L2014" i="1"/>
  <c r="A2015" i="1"/>
  <c r="B2015" i="1"/>
  <c r="C2015" i="1"/>
  <c r="D2015" i="1"/>
  <c r="Q2015" i="1"/>
  <c r="R2015" i="1"/>
  <c r="E2015" i="1"/>
  <c r="G2015" i="1"/>
  <c r="H2015" i="1"/>
  <c r="J2015" i="1"/>
  <c r="K2015" i="1"/>
  <c r="L2015" i="1"/>
  <c r="A2016" i="1"/>
  <c r="B2016" i="1"/>
  <c r="C2016" i="1"/>
  <c r="D2016" i="1"/>
  <c r="Q2016" i="1"/>
  <c r="R2016" i="1"/>
  <c r="E2016" i="1"/>
  <c r="G2016" i="1"/>
  <c r="H2016" i="1"/>
  <c r="J2016" i="1"/>
  <c r="K2016" i="1"/>
  <c r="L2016" i="1"/>
  <c r="A2017" i="1"/>
  <c r="B2017" i="1"/>
  <c r="C2017" i="1"/>
  <c r="D2017" i="1"/>
  <c r="Q2017" i="1"/>
  <c r="R2017" i="1"/>
  <c r="E2017" i="1"/>
  <c r="G2017" i="1"/>
  <c r="H2017" i="1"/>
  <c r="J2017" i="1"/>
  <c r="K2017" i="1"/>
  <c r="L2017" i="1"/>
  <c r="A2018" i="1"/>
  <c r="B2018" i="1"/>
  <c r="C2018" i="1"/>
  <c r="D2018" i="1"/>
  <c r="Q2018" i="1"/>
  <c r="R2018" i="1"/>
  <c r="E2018" i="1"/>
  <c r="G2018" i="1"/>
  <c r="H2018" i="1"/>
  <c r="J2018" i="1"/>
  <c r="K2018" i="1"/>
  <c r="L2018" i="1"/>
  <c r="A2019" i="1"/>
  <c r="B2019" i="1"/>
  <c r="C2019" i="1"/>
  <c r="D2019" i="1"/>
  <c r="Q2019" i="1"/>
  <c r="R2019" i="1"/>
  <c r="E2019" i="1"/>
  <c r="G2019" i="1"/>
  <c r="H2019" i="1"/>
  <c r="J2019" i="1"/>
  <c r="K2019" i="1"/>
  <c r="L2019" i="1"/>
  <c r="A2020" i="1"/>
  <c r="B2020" i="1"/>
  <c r="C2020" i="1"/>
  <c r="D2020" i="1"/>
  <c r="Q2020" i="1"/>
  <c r="R2020" i="1"/>
  <c r="E2020" i="1"/>
  <c r="G2020" i="1"/>
  <c r="H2020" i="1"/>
  <c r="J2020" i="1"/>
  <c r="K2020" i="1"/>
  <c r="L2020" i="1"/>
  <c r="A2021" i="1"/>
  <c r="B2021" i="1"/>
  <c r="C2021" i="1"/>
  <c r="D2021" i="1"/>
  <c r="Q2021" i="1"/>
  <c r="R2021" i="1"/>
  <c r="E2021" i="1"/>
  <c r="G2021" i="1"/>
  <c r="H2021" i="1"/>
  <c r="J2021" i="1"/>
  <c r="K2021" i="1"/>
  <c r="L2021" i="1"/>
  <c r="A2022" i="1"/>
  <c r="B2022" i="1"/>
  <c r="C2022" i="1"/>
  <c r="D2022" i="1"/>
  <c r="Q2022" i="1"/>
  <c r="R2022" i="1"/>
  <c r="E2022" i="1"/>
  <c r="G2022" i="1"/>
  <c r="H2022" i="1"/>
  <c r="J2022" i="1"/>
  <c r="K2022" i="1"/>
  <c r="L2022" i="1"/>
  <c r="A2023" i="1"/>
  <c r="B2023" i="1"/>
  <c r="C2023" i="1"/>
  <c r="D2023" i="1"/>
  <c r="Q2023" i="1"/>
  <c r="R2023" i="1"/>
  <c r="E2023" i="1"/>
  <c r="G2023" i="1"/>
  <c r="H2023" i="1"/>
  <c r="J2023" i="1"/>
  <c r="K2023" i="1"/>
  <c r="L2023" i="1"/>
  <c r="A2024" i="1"/>
  <c r="B2024" i="1"/>
  <c r="C2024" i="1"/>
  <c r="D2024" i="1"/>
  <c r="Q2024" i="1"/>
  <c r="R2024" i="1"/>
  <c r="E2024" i="1"/>
  <c r="G2024" i="1"/>
  <c r="H2024" i="1"/>
  <c r="J2024" i="1"/>
  <c r="K2024" i="1"/>
  <c r="L2024" i="1"/>
  <c r="A2025" i="1"/>
  <c r="B2025" i="1"/>
  <c r="C2025" i="1"/>
  <c r="D2025" i="1"/>
  <c r="Q2025" i="1"/>
  <c r="R2025" i="1"/>
  <c r="E2025" i="1"/>
  <c r="G2025" i="1"/>
  <c r="H2025" i="1"/>
  <c r="J2025" i="1"/>
  <c r="K2025" i="1"/>
  <c r="L2025" i="1"/>
  <c r="A2026" i="1"/>
  <c r="B2026" i="1"/>
  <c r="C2026" i="1"/>
  <c r="D2026" i="1"/>
  <c r="Q2026" i="1"/>
  <c r="R2026" i="1"/>
  <c r="E2026" i="1"/>
  <c r="G2026" i="1"/>
  <c r="H2026" i="1"/>
  <c r="J2026" i="1"/>
  <c r="K2026" i="1"/>
  <c r="L2026" i="1"/>
  <c r="A2027" i="1"/>
  <c r="B2027" i="1"/>
  <c r="C2027" i="1"/>
  <c r="D2027" i="1"/>
  <c r="Q2027" i="1"/>
  <c r="R2027" i="1"/>
  <c r="E2027" i="1"/>
  <c r="G2027" i="1"/>
  <c r="H2027" i="1"/>
  <c r="J2027" i="1"/>
  <c r="K2027" i="1"/>
  <c r="L2027" i="1"/>
  <c r="A2028" i="1"/>
  <c r="B2028" i="1"/>
  <c r="C2028" i="1"/>
  <c r="D2028" i="1"/>
  <c r="Q2028" i="1"/>
  <c r="R2028" i="1"/>
  <c r="E2028" i="1"/>
  <c r="G2028" i="1"/>
  <c r="H2028" i="1"/>
  <c r="J2028" i="1"/>
  <c r="K2028" i="1"/>
  <c r="L2028" i="1"/>
  <c r="A2029" i="1"/>
  <c r="B2029" i="1"/>
  <c r="C2029" i="1"/>
  <c r="D2029" i="1"/>
  <c r="Q2029" i="1"/>
  <c r="R2029" i="1"/>
  <c r="E2029" i="1"/>
  <c r="G2029" i="1"/>
  <c r="H2029" i="1"/>
  <c r="J2029" i="1"/>
  <c r="K2029" i="1"/>
  <c r="L2029" i="1"/>
  <c r="A2030" i="1"/>
  <c r="B2030" i="1"/>
  <c r="C2030" i="1"/>
  <c r="D2030" i="1"/>
  <c r="Q2030" i="1"/>
  <c r="R2030" i="1"/>
  <c r="E2030" i="1"/>
  <c r="G2030" i="1"/>
  <c r="H2030" i="1"/>
  <c r="J2030" i="1"/>
  <c r="K2030" i="1"/>
  <c r="L2030" i="1"/>
  <c r="A2031" i="1"/>
  <c r="B2031" i="1"/>
  <c r="C2031" i="1"/>
  <c r="D2031" i="1"/>
  <c r="Q2031" i="1"/>
  <c r="R2031" i="1"/>
  <c r="E2031" i="1"/>
  <c r="G2031" i="1"/>
  <c r="H2031" i="1"/>
  <c r="J2031" i="1"/>
  <c r="K2031" i="1"/>
  <c r="L2031" i="1"/>
  <c r="A2032" i="1"/>
  <c r="B2032" i="1"/>
  <c r="C2032" i="1"/>
  <c r="D2032" i="1"/>
  <c r="Q2032" i="1"/>
  <c r="R2032" i="1"/>
  <c r="E2032" i="1"/>
  <c r="G2032" i="1"/>
  <c r="H2032" i="1"/>
  <c r="J2032" i="1"/>
  <c r="K2032" i="1"/>
  <c r="L2032" i="1"/>
  <c r="A2033" i="1"/>
  <c r="B2033" i="1"/>
  <c r="C2033" i="1"/>
  <c r="D2033" i="1"/>
  <c r="Q2033" i="1"/>
  <c r="R2033" i="1"/>
  <c r="E2033" i="1"/>
  <c r="G2033" i="1"/>
  <c r="H2033" i="1"/>
  <c r="J2033" i="1"/>
  <c r="K2033" i="1"/>
  <c r="L2033" i="1"/>
  <c r="A2034" i="1"/>
  <c r="B2034" i="1"/>
  <c r="C2034" i="1"/>
  <c r="D2034" i="1"/>
  <c r="Q2034" i="1"/>
  <c r="R2034" i="1"/>
  <c r="E2034" i="1"/>
  <c r="G2034" i="1"/>
  <c r="H2034" i="1"/>
  <c r="J2034" i="1"/>
  <c r="K2034" i="1"/>
  <c r="L2034" i="1"/>
  <c r="A2035" i="1"/>
  <c r="B2035" i="1"/>
  <c r="C2035" i="1"/>
  <c r="D2035" i="1"/>
  <c r="Q2035" i="1"/>
  <c r="R2035" i="1"/>
  <c r="E2035" i="1"/>
  <c r="G2035" i="1"/>
  <c r="H2035" i="1"/>
  <c r="J2035" i="1"/>
  <c r="K2035" i="1"/>
  <c r="L2035" i="1"/>
  <c r="A2036" i="1"/>
  <c r="B2036" i="1"/>
  <c r="C2036" i="1"/>
  <c r="D2036" i="1"/>
  <c r="Q2036" i="1"/>
  <c r="R2036" i="1"/>
  <c r="E2036" i="1"/>
  <c r="G2036" i="1"/>
  <c r="H2036" i="1"/>
  <c r="J2036" i="1"/>
  <c r="K2036" i="1"/>
  <c r="L2036" i="1"/>
  <c r="A2037" i="1"/>
  <c r="B2037" i="1"/>
  <c r="C2037" i="1"/>
  <c r="D2037" i="1"/>
  <c r="Q2037" i="1"/>
  <c r="R2037" i="1"/>
  <c r="E2037" i="1"/>
  <c r="G2037" i="1"/>
  <c r="H2037" i="1"/>
  <c r="J2037" i="1"/>
  <c r="K2037" i="1"/>
  <c r="L2037" i="1"/>
  <c r="A2038" i="1"/>
  <c r="B2038" i="1"/>
  <c r="C2038" i="1"/>
  <c r="D2038" i="1"/>
  <c r="Q2038" i="1"/>
  <c r="R2038" i="1"/>
  <c r="E2038" i="1"/>
  <c r="G2038" i="1"/>
  <c r="H2038" i="1"/>
  <c r="J2038" i="1"/>
  <c r="K2038" i="1"/>
  <c r="L2038" i="1"/>
  <c r="A2039" i="1"/>
  <c r="B2039" i="1"/>
  <c r="C2039" i="1"/>
  <c r="D2039" i="1"/>
  <c r="Q2039" i="1"/>
  <c r="R2039" i="1"/>
  <c r="E2039" i="1"/>
  <c r="G2039" i="1"/>
  <c r="H2039" i="1"/>
  <c r="J2039" i="1"/>
  <c r="K2039" i="1"/>
  <c r="L2039" i="1"/>
  <c r="A2040" i="1"/>
  <c r="B2040" i="1"/>
  <c r="C2040" i="1"/>
  <c r="D2040" i="1"/>
  <c r="Q2040" i="1"/>
  <c r="R2040" i="1"/>
  <c r="E2040" i="1"/>
  <c r="G2040" i="1"/>
  <c r="H2040" i="1"/>
  <c r="J2040" i="1"/>
  <c r="K2040" i="1"/>
  <c r="L2040" i="1"/>
  <c r="A2041" i="1"/>
  <c r="B2041" i="1"/>
  <c r="C2041" i="1"/>
  <c r="D2041" i="1"/>
  <c r="Q2041" i="1"/>
  <c r="R2041" i="1"/>
  <c r="E2041" i="1"/>
  <c r="G2041" i="1"/>
  <c r="H2041" i="1"/>
  <c r="J2041" i="1"/>
  <c r="K2041" i="1"/>
  <c r="L2041" i="1"/>
  <c r="A2042" i="1"/>
  <c r="B2042" i="1"/>
  <c r="C2042" i="1"/>
  <c r="D2042" i="1"/>
  <c r="Q2042" i="1"/>
  <c r="R2042" i="1"/>
  <c r="E2042" i="1"/>
  <c r="G2042" i="1"/>
  <c r="H2042" i="1"/>
  <c r="J2042" i="1"/>
  <c r="K2042" i="1"/>
  <c r="L2042" i="1"/>
  <c r="A2043" i="1"/>
  <c r="B2043" i="1"/>
  <c r="C2043" i="1"/>
  <c r="D2043" i="1"/>
  <c r="Q2043" i="1"/>
  <c r="R2043" i="1"/>
  <c r="E2043" i="1"/>
  <c r="G2043" i="1"/>
  <c r="H2043" i="1"/>
  <c r="J2043" i="1"/>
  <c r="K2043" i="1"/>
  <c r="L2043" i="1"/>
  <c r="A2044" i="1"/>
  <c r="B2044" i="1"/>
  <c r="C2044" i="1"/>
  <c r="D2044" i="1"/>
  <c r="Q2044" i="1"/>
  <c r="R2044" i="1"/>
  <c r="E2044" i="1"/>
  <c r="G2044" i="1"/>
  <c r="H2044" i="1"/>
  <c r="J2044" i="1"/>
  <c r="K2044" i="1"/>
  <c r="L2044" i="1"/>
  <c r="A2045" i="1"/>
  <c r="B2045" i="1"/>
  <c r="C2045" i="1"/>
  <c r="D2045" i="1"/>
  <c r="Q2045" i="1"/>
  <c r="R2045" i="1"/>
  <c r="E2045" i="1"/>
  <c r="G2045" i="1"/>
  <c r="H2045" i="1"/>
  <c r="J2045" i="1"/>
  <c r="K2045" i="1"/>
  <c r="L2045" i="1"/>
  <c r="A2046" i="1"/>
  <c r="B2046" i="1"/>
  <c r="C2046" i="1"/>
  <c r="D2046" i="1"/>
  <c r="Q2046" i="1"/>
  <c r="R2046" i="1"/>
  <c r="E2046" i="1"/>
  <c r="G2046" i="1"/>
  <c r="H2046" i="1"/>
  <c r="J2046" i="1"/>
  <c r="K2046" i="1"/>
  <c r="L2046" i="1"/>
  <c r="A2047" i="1"/>
  <c r="B2047" i="1"/>
  <c r="C2047" i="1"/>
  <c r="D2047" i="1"/>
  <c r="Q2047" i="1"/>
  <c r="R2047" i="1"/>
  <c r="E2047" i="1"/>
  <c r="G2047" i="1"/>
  <c r="H2047" i="1"/>
  <c r="J2047" i="1"/>
  <c r="K2047" i="1"/>
  <c r="L2047" i="1"/>
  <c r="A2048" i="1"/>
  <c r="B2048" i="1"/>
  <c r="C2048" i="1"/>
  <c r="D2048" i="1"/>
  <c r="Q2048" i="1"/>
  <c r="R2048" i="1"/>
  <c r="E2048" i="1"/>
  <c r="G2048" i="1"/>
  <c r="H2048" i="1"/>
  <c r="J2048" i="1"/>
  <c r="K2048" i="1"/>
  <c r="L2048" i="1"/>
  <c r="A2049" i="1"/>
  <c r="B2049" i="1"/>
  <c r="C2049" i="1"/>
  <c r="D2049" i="1"/>
  <c r="Q2049" i="1"/>
  <c r="R2049" i="1"/>
  <c r="E2049" i="1"/>
  <c r="G2049" i="1"/>
  <c r="H2049" i="1"/>
  <c r="J2049" i="1"/>
  <c r="K2049" i="1"/>
  <c r="L2049" i="1"/>
  <c r="A2050" i="1"/>
  <c r="B2050" i="1"/>
  <c r="C2050" i="1"/>
  <c r="D2050" i="1"/>
  <c r="Q2050" i="1"/>
  <c r="R2050" i="1"/>
  <c r="E2050" i="1"/>
  <c r="G2050" i="1"/>
  <c r="H2050" i="1"/>
  <c r="J2050" i="1"/>
  <c r="K2050" i="1"/>
  <c r="L2050" i="1"/>
  <c r="A2051" i="1"/>
  <c r="B2051" i="1"/>
  <c r="C2051" i="1"/>
  <c r="D2051" i="1"/>
  <c r="Q2051" i="1"/>
  <c r="R2051" i="1"/>
  <c r="E2051" i="1"/>
  <c r="G2051" i="1"/>
  <c r="H2051" i="1"/>
  <c r="J2051" i="1"/>
  <c r="K2051" i="1"/>
  <c r="L2051" i="1"/>
  <c r="A2052" i="1"/>
  <c r="B2052" i="1"/>
  <c r="C2052" i="1"/>
  <c r="D2052" i="1"/>
  <c r="Q2052" i="1"/>
  <c r="R2052" i="1"/>
  <c r="E2052" i="1"/>
  <c r="G2052" i="1"/>
  <c r="H2052" i="1"/>
  <c r="J2052" i="1"/>
  <c r="K2052" i="1"/>
  <c r="L2052" i="1"/>
  <c r="A2053" i="1"/>
  <c r="B2053" i="1"/>
  <c r="C2053" i="1"/>
  <c r="D2053" i="1"/>
  <c r="Q2053" i="1"/>
  <c r="R2053" i="1"/>
  <c r="E2053" i="1"/>
  <c r="G2053" i="1"/>
  <c r="H2053" i="1"/>
  <c r="J2053" i="1"/>
  <c r="K2053" i="1"/>
  <c r="L2053" i="1"/>
  <c r="A2054" i="1"/>
  <c r="B2054" i="1"/>
  <c r="C2054" i="1"/>
  <c r="D2054" i="1"/>
  <c r="Q2054" i="1"/>
  <c r="R2054" i="1"/>
  <c r="E2054" i="1"/>
  <c r="G2054" i="1"/>
  <c r="H2054" i="1"/>
  <c r="J2054" i="1"/>
  <c r="K2054" i="1"/>
  <c r="L2054" i="1"/>
  <c r="A2055" i="1"/>
  <c r="B2055" i="1"/>
  <c r="C2055" i="1"/>
  <c r="D2055" i="1"/>
  <c r="Q2055" i="1"/>
  <c r="R2055" i="1"/>
  <c r="E2055" i="1"/>
  <c r="G2055" i="1"/>
  <c r="H2055" i="1"/>
  <c r="J2055" i="1"/>
  <c r="K2055" i="1"/>
  <c r="L2055" i="1"/>
  <c r="A2056" i="1"/>
  <c r="B2056" i="1"/>
  <c r="C2056" i="1"/>
  <c r="D2056" i="1"/>
  <c r="Q2056" i="1"/>
  <c r="R2056" i="1"/>
  <c r="E2056" i="1"/>
  <c r="G2056" i="1"/>
  <c r="H2056" i="1"/>
  <c r="J2056" i="1"/>
  <c r="K2056" i="1"/>
  <c r="L2056" i="1"/>
  <c r="A2057" i="1"/>
  <c r="B2057" i="1"/>
  <c r="C2057" i="1"/>
  <c r="D2057" i="1"/>
  <c r="Q2057" i="1"/>
  <c r="R2057" i="1"/>
  <c r="E2057" i="1"/>
  <c r="G2057" i="1"/>
  <c r="H2057" i="1"/>
  <c r="J2057" i="1"/>
  <c r="K2057" i="1"/>
  <c r="L2057" i="1"/>
  <c r="A2058" i="1"/>
  <c r="B2058" i="1"/>
  <c r="C2058" i="1"/>
  <c r="D2058" i="1"/>
  <c r="Q2058" i="1"/>
  <c r="R2058" i="1"/>
  <c r="E2058" i="1"/>
  <c r="G2058" i="1"/>
  <c r="H2058" i="1"/>
  <c r="J2058" i="1"/>
  <c r="K2058" i="1"/>
  <c r="L2058" i="1"/>
  <c r="A2059" i="1"/>
  <c r="B2059" i="1"/>
  <c r="C2059" i="1"/>
  <c r="D2059" i="1"/>
  <c r="Q2059" i="1"/>
  <c r="R2059" i="1"/>
  <c r="E2059" i="1"/>
  <c r="G2059" i="1"/>
  <c r="H2059" i="1"/>
  <c r="J2059" i="1"/>
  <c r="K2059" i="1"/>
  <c r="L2059" i="1"/>
  <c r="A2060" i="1"/>
  <c r="B2060" i="1"/>
  <c r="C2060" i="1"/>
  <c r="D2060" i="1"/>
  <c r="Q2060" i="1"/>
  <c r="R2060" i="1"/>
  <c r="E2060" i="1"/>
  <c r="G2060" i="1"/>
  <c r="H2060" i="1"/>
  <c r="J2060" i="1"/>
  <c r="K2060" i="1"/>
  <c r="L2060" i="1"/>
  <c r="A2061" i="1"/>
  <c r="B2061" i="1"/>
  <c r="C2061" i="1"/>
  <c r="D2061" i="1"/>
  <c r="Q2061" i="1"/>
  <c r="R2061" i="1"/>
  <c r="E2061" i="1"/>
  <c r="G2061" i="1"/>
  <c r="H2061" i="1"/>
  <c r="J2061" i="1"/>
  <c r="K2061" i="1"/>
  <c r="L2061" i="1"/>
  <c r="A2062" i="1"/>
  <c r="B2062" i="1"/>
  <c r="C2062" i="1"/>
  <c r="D2062" i="1"/>
  <c r="Q2062" i="1"/>
  <c r="R2062" i="1"/>
  <c r="E2062" i="1"/>
  <c r="G2062" i="1"/>
  <c r="H2062" i="1"/>
  <c r="J2062" i="1"/>
  <c r="K2062" i="1"/>
  <c r="L2062" i="1"/>
  <c r="A2063" i="1"/>
  <c r="B2063" i="1"/>
  <c r="C2063" i="1"/>
  <c r="D2063" i="1"/>
  <c r="Q2063" i="1"/>
  <c r="R2063" i="1"/>
  <c r="E2063" i="1"/>
  <c r="G2063" i="1"/>
  <c r="H2063" i="1"/>
  <c r="J2063" i="1"/>
  <c r="K2063" i="1"/>
  <c r="L2063" i="1"/>
  <c r="A2064" i="1"/>
  <c r="B2064" i="1"/>
  <c r="C2064" i="1"/>
  <c r="D2064" i="1"/>
  <c r="Q2064" i="1"/>
  <c r="R2064" i="1"/>
  <c r="E2064" i="1"/>
  <c r="G2064" i="1"/>
  <c r="H2064" i="1"/>
  <c r="J2064" i="1"/>
  <c r="K2064" i="1"/>
  <c r="L2064" i="1"/>
  <c r="A2065" i="1"/>
  <c r="B2065" i="1"/>
  <c r="C2065" i="1"/>
  <c r="D2065" i="1"/>
  <c r="Q2065" i="1"/>
  <c r="R2065" i="1"/>
  <c r="E2065" i="1"/>
  <c r="G2065" i="1"/>
  <c r="H2065" i="1"/>
  <c r="J2065" i="1"/>
  <c r="K2065" i="1"/>
  <c r="L2065" i="1"/>
  <c r="A2066" i="1"/>
  <c r="B2066" i="1"/>
  <c r="C2066" i="1"/>
  <c r="D2066" i="1"/>
  <c r="Q2066" i="1"/>
  <c r="R2066" i="1"/>
  <c r="E2066" i="1"/>
  <c r="G2066" i="1"/>
  <c r="H2066" i="1"/>
  <c r="J2066" i="1"/>
  <c r="K2066" i="1"/>
  <c r="L2066" i="1"/>
  <c r="A2067" i="1"/>
  <c r="B2067" i="1"/>
  <c r="C2067" i="1"/>
  <c r="D2067" i="1"/>
  <c r="Q2067" i="1"/>
  <c r="R2067" i="1"/>
  <c r="E2067" i="1"/>
  <c r="G2067" i="1"/>
  <c r="H2067" i="1"/>
  <c r="J2067" i="1"/>
  <c r="K2067" i="1"/>
  <c r="L2067" i="1"/>
  <c r="A2068" i="1"/>
  <c r="B2068" i="1"/>
  <c r="C2068" i="1"/>
  <c r="D2068" i="1"/>
  <c r="Q2068" i="1"/>
  <c r="R2068" i="1"/>
  <c r="E2068" i="1"/>
  <c r="G2068" i="1"/>
  <c r="H2068" i="1"/>
  <c r="J2068" i="1"/>
  <c r="K2068" i="1"/>
  <c r="L2068" i="1"/>
  <c r="A2069" i="1"/>
  <c r="B2069" i="1"/>
  <c r="C2069" i="1"/>
  <c r="D2069" i="1"/>
  <c r="Q2069" i="1"/>
  <c r="R2069" i="1"/>
  <c r="E2069" i="1"/>
  <c r="G2069" i="1"/>
  <c r="H2069" i="1"/>
  <c r="J2069" i="1"/>
  <c r="K2069" i="1"/>
  <c r="L2069" i="1"/>
  <c r="A2070" i="1"/>
  <c r="B2070" i="1"/>
  <c r="C2070" i="1"/>
  <c r="D2070" i="1"/>
  <c r="Q2070" i="1"/>
  <c r="R2070" i="1"/>
  <c r="E2070" i="1"/>
  <c r="G2070" i="1"/>
  <c r="H2070" i="1"/>
  <c r="J2070" i="1"/>
  <c r="K2070" i="1"/>
  <c r="L2070" i="1"/>
  <c r="A2071" i="1"/>
  <c r="B2071" i="1"/>
  <c r="C2071" i="1"/>
  <c r="D2071" i="1"/>
  <c r="Q2071" i="1"/>
  <c r="R2071" i="1"/>
  <c r="E2071" i="1"/>
  <c r="G2071" i="1"/>
  <c r="H2071" i="1"/>
  <c r="J2071" i="1"/>
  <c r="K2071" i="1"/>
  <c r="L2071" i="1"/>
  <c r="A2072" i="1"/>
  <c r="B2072" i="1"/>
  <c r="C2072" i="1"/>
  <c r="D2072" i="1"/>
  <c r="Q2072" i="1"/>
  <c r="R2072" i="1"/>
  <c r="E2072" i="1"/>
  <c r="G2072" i="1"/>
  <c r="H2072" i="1"/>
  <c r="J2072" i="1"/>
  <c r="K2072" i="1"/>
  <c r="L2072" i="1"/>
  <c r="A2073" i="1"/>
  <c r="B2073" i="1"/>
  <c r="C2073" i="1"/>
  <c r="D2073" i="1"/>
  <c r="Q2073" i="1"/>
  <c r="R2073" i="1"/>
  <c r="E2073" i="1"/>
  <c r="G2073" i="1"/>
  <c r="H2073" i="1"/>
  <c r="J2073" i="1"/>
  <c r="K2073" i="1"/>
  <c r="L2073" i="1"/>
  <c r="A2074" i="1"/>
  <c r="B2074" i="1"/>
  <c r="C2074" i="1"/>
  <c r="D2074" i="1"/>
  <c r="Q2074" i="1"/>
  <c r="R2074" i="1"/>
  <c r="E2074" i="1"/>
  <c r="G2074" i="1"/>
  <c r="H2074" i="1"/>
  <c r="J2074" i="1"/>
  <c r="K2074" i="1"/>
  <c r="L2074" i="1"/>
  <c r="A2075" i="1"/>
  <c r="B2075" i="1"/>
  <c r="C2075" i="1"/>
  <c r="D2075" i="1"/>
  <c r="Q2075" i="1"/>
  <c r="R2075" i="1"/>
  <c r="E2075" i="1"/>
  <c r="G2075" i="1"/>
  <c r="H2075" i="1"/>
  <c r="J2075" i="1"/>
  <c r="K2075" i="1"/>
  <c r="L2075" i="1"/>
  <c r="A2076" i="1"/>
  <c r="B2076" i="1"/>
  <c r="C2076" i="1"/>
  <c r="D2076" i="1"/>
  <c r="Q2076" i="1"/>
  <c r="R2076" i="1"/>
  <c r="E2076" i="1"/>
  <c r="G2076" i="1"/>
  <c r="H2076" i="1"/>
  <c r="J2076" i="1"/>
  <c r="K2076" i="1"/>
  <c r="L2076" i="1"/>
  <c r="A2077" i="1"/>
  <c r="B2077" i="1"/>
  <c r="C2077" i="1"/>
  <c r="D2077" i="1"/>
  <c r="Q2077" i="1"/>
  <c r="R2077" i="1"/>
  <c r="E2077" i="1"/>
  <c r="G2077" i="1"/>
  <c r="H2077" i="1"/>
  <c r="J2077" i="1"/>
  <c r="K2077" i="1"/>
  <c r="L2077" i="1"/>
  <c r="A2078" i="1"/>
  <c r="B2078" i="1"/>
  <c r="C2078" i="1"/>
  <c r="D2078" i="1"/>
  <c r="Q2078" i="1"/>
  <c r="R2078" i="1"/>
  <c r="E2078" i="1"/>
  <c r="G2078" i="1"/>
  <c r="H2078" i="1"/>
  <c r="J2078" i="1"/>
  <c r="K2078" i="1"/>
  <c r="L2078" i="1"/>
  <c r="A2079" i="1"/>
  <c r="B2079" i="1"/>
  <c r="C2079" i="1"/>
  <c r="D2079" i="1"/>
  <c r="Q2079" i="1"/>
  <c r="R2079" i="1"/>
  <c r="E2079" i="1"/>
  <c r="G2079" i="1"/>
  <c r="H2079" i="1"/>
  <c r="J2079" i="1"/>
  <c r="K2079" i="1"/>
  <c r="L2079" i="1"/>
  <c r="A2080" i="1"/>
  <c r="B2080" i="1"/>
  <c r="C2080" i="1"/>
  <c r="D2080" i="1"/>
  <c r="Q2080" i="1"/>
  <c r="R2080" i="1"/>
  <c r="E2080" i="1"/>
  <c r="G2080" i="1"/>
  <c r="H2080" i="1"/>
  <c r="J2080" i="1"/>
  <c r="K2080" i="1"/>
  <c r="L2080" i="1"/>
  <c r="A2081" i="1"/>
  <c r="B2081" i="1"/>
  <c r="C2081" i="1"/>
  <c r="D2081" i="1"/>
  <c r="Q2081" i="1"/>
  <c r="R2081" i="1"/>
  <c r="E2081" i="1"/>
  <c r="G2081" i="1"/>
  <c r="H2081" i="1"/>
  <c r="J2081" i="1"/>
  <c r="K2081" i="1"/>
  <c r="L2081" i="1"/>
  <c r="A2082" i="1"/>
  <c r="B2082" i="1"/>
  <c r="C2082" i="1"/>
  <c r="D2082" i="1"/>
  <c r="Q2082" i="1"/>
  <c r="R2082" i="1"/>
  <c r="E2082" i="1"/>
  <c r="G2082" i="1"/>
  <c r="H2082" i="1"/>
  <c r="J2082" i="1"/>
  <c r="K2082" i="1"/>
  <c r="L2082" i="1"/>
  <c r="A2083" i="1"/>
  <c r="B2083" i="1"/>
  <c r="C2083" i="1"/>
  <c r="D2083" i="1"/>
  <c r="Q2083" i="1"/>
  <c r="R2083" i="1"/>
  <c r="E2083" i="1"/>
  <c r="G2083" i="1"/>
  <c r="H2083" i="1"/>
  <c r="J2083" i="1"/>
  <c r="K2083" i="1"/>
  <c r="L2083" i="1"/>
  <c r="A2084" i="1"/>
  <c r="B2084" i="1"/>
  <c r="C2084" i="1"/>
  <c r="D2084" i="1"/>
  <c r="Q2084" i="1"/>
  <c r="R2084" i="1"/>
  <c r="E2084" i="1"/>
  <c r="G2084" i="1"/>
  <c r="H2084" i="1"/>
  <c r="J2084" i="1"/>
  <c r="K2084" i="1"/>
  <c r="L2084" i="1"/>
  <c r="A2085" i="1"/>
  <c r="B2085" i="1"/>
  <c r="C2085" i="1"/>
  <c r="D2085" i="1"/>
  <c r="Q2085" i="1"/>
  <c r="R2085" i="1"/>
  <c r="E2085" i="1"/>
  <c r="G2085" i="1"/>
  <c r="H2085" i="1"/>
  <c r="J2085" i="1"/>
  <c r="K2085" i="1"/>
  <c r="L2085" i="1"/>
  <c r="A2086" i="1"/>
  <c r="B2086" i="1"/>
  <c r="C2086" i="1"/>
  <c r="D2086" i="1"/>
  <c r="Q2086" i="1"/>
  <c r="R2086" i="1"/>
  <c r="E2086" i="1"/>
  <c r="G2086" i="1"/>
  <c r="H2086" i="1"/>
  <c r="J2086" i="1"/>
  <c r="K2086" i="1"/>
  <c r="L2086" i="1"/>
  <c r="A2087" i="1"/>
  <c r="B2087" i="1"/>
  <c r="C2087" i="1"/>
  <c r="D2087" i="1"/>
  <c r="Q2087" i="1"/>
  <c r="R2087" i="1"/>
  <c r="E2087" i="1"/>
  <c r="G2087" i="1"/>
  <c r="H2087" i="1"/>
  <c r="J2087" i="1"/>
  <c r="K2087" i="1"/>
  <c r="L2087" i="1"/>
  <c r="A2088" i="1"/>
  <c r="B2088" i="1"/>
  <c r="C2088" i="1"/>
  <c r="D2088" i="1"/>
  <c r="Q2088" i="1"/>
  <c r="R2088" i="1"/>
  <c r="E2088" i="1"/>
  <c r="G2088" i="1"/>
  <c r="H2088" i="1"/>
  <c r="J2088" i="1"/>
  <c r="K2088" i="1"/>
  <c r="L2088" i="1"/>
  <c r="A2089" i="1"/>
  <c r="B2089" i="1"/>
  <c r="C2089" i="1"/>
  <c r="D2089" i="1"/>
  <c r="Q2089" i="1"/>
  <c r="R2089" i="1"/>
  <c r="E2089" i="1"/>
  <c r="G2089" i="1"/>
  <c r="H2089" i="1"/>
  <c r="J2089" i="1"/>
  <c r="K2089" i="1"/>
  <c r="L2089" i="1"/>
  <c r="A2090" i="1"/>
  <c r="B2090" i="1"/>
  <c r="C2090" i="1"/>
  <c r="D2090" i="1"/>
  <c r="Q2090" i="1"/>
  <c r="R2090" i="1"/>
  <c r="E2090" i="1"/>
  <c r="G2090" i="1"/>
  <c r="H2090" i="1"/>
  <c r="J2090" i="1"/>
  <c r="K2090" i="1"/>
  <c r="L2090" i="1"/>
  <c r="A2091" i="1"/>
  <c r="B2091" i="1"/>
  <c r="C2091" i="1"/>
  <c r="D2091" i="1"/>
  <c r="Q2091" i="1"/>
  <c r="R2091" i="1"/>
  <c r="E2091" i="1"/>
  <c r="G2091" i="1"/>
  <c r="H2091" i="1"/>
  <c r="J2091" i="1"/>
  <c r="K2091" i="1"/>
  <c r="L2091" i="1"/>
  <c r="A2092" i="1"/>
  <c r="B2092" i="1"/>
  <c r="C2092" i="1"/>
  <c r="D2092" i="1"/>
  <c r="Q2092" i="1"/>
  <c r="R2092" i="1"/>
  <c r="E2092" i="1"/>
  <c r="G2092" i="1"/>
  <c r="H2092" i="1"/>
  <c r="J2092" i="1"/>
  <c r="K2092" i="1"/>
  <c r="L2092" i="1"/>
  <c r="A2093" i="1"/>
  <c r="B2093" i="1"/>
  <c r="C2093" i="1"/>
  <c r="D2093" i="1"/>
  <c r="Q2093" i="1"/>
  <c r="R2093" i="1"/>
  <c r="E2093" i="1"/>
  <c r="G2093" i="1"/>
  <c r="H2093" i="1"/>
  <c r="J2093" i="1"/>
  <c r="K2093" i="1"/>
  <c r="L2093" i="1"/>
  <c r="A2094" i="1"/>
  <c r="B2094" i="1"/>
  <c r="C2094" i="1"/>
  <c r="D2094" i="1"/>
  <c r="Q2094" i="1"/>
  <c r="R2094" i="1"/>
  <c r="E2094" i="1"/>
  <c r="G2094" i="1"/>
  <c r="H2094" i="1"/>
  <c r="J2094" i="1"/>
  <c r="K2094" i="1"/>
  <c r="L2094" i="1"/>
  <c r="A2095" i="1"/>
  <c r="B2095" i="1"/>
  <c r="C2095" i="1"/>
  <c r="D2095" i="1"/>
  <c r="Q2095" i="1"/>
  <c r="R2095" i="1"/>
  <c r="E2095" i="1"/>
  <c r="G2095" i="1"/>
  <c r="H2095" i="1"/>
  <c r="J2095" i="1"/>
  <c r="K2095" i="1"/>
  <c r="L2095" i="1"/>
  <c r="A2096" i="1"/>
  <c r="B2096" i="1"/>
  <c r="C2096" i="1"/>
  <c r="D2096" i="1"/>
  <c r="Q2096" i="1"/>
  <c r="R2096" i="1"/>
  <c r="E2096" i="1"/>
  <c r="G2096" i="1"/>
  <c r="H2096" i="1"/>
  <c r="J2096" i="1"/>
  <c r="K2096" i="1"/>
  <c r="L2096" i="1"/>
  <c r="A2097" i="1"/>
  <c r="B2097" i="1"/>
  <c r="C2097" i="1"/>
  <c r="D2097" i="1"/>
  <c r="Q2097" i="1"/>
  <c r="R2097" i="1"/>
  <c r="E2097" i="1"/>
  <c r="G2097" i="1"/>
  <c r="H2097" i="1"/>
  <c r="J2097" i="1"/>
  <c r="K2097" i="1"/>
  <c r="L2097" i="1"/>
  <c r="A2098" i="1"/>
  <c r="B2098" i="1"/>
  <c r="C2098" i="1"/>
  <c r="D2098" i="1"/>
  <c r="Q2098" i="1"/>
  <c r="R2098" i="1"/>
  <c r="E2098" i="1"/>
  <c r="G2098" i="1"/>
  <c r="H2098" i="1"/>
  <c r="J2098" i="1"/>
  <c r="K2098" i="1"/>
  <c r="L2098" i="1"/>
  <c r="A2099" i="1"/>
  <c r="B2099" i="1"/>
  <c r="C2099" i="1"/>
  <c r="D2099" i="1"/>
  <c r="Q2099" i="1"/>
  <c r="R2099" i="1"/>
  <c r="E2099" i="1"/>
  <c r="G2099" i="1"/>
  <c r="H2099" i="1"/>
  <c r="J2099" i="1"/>
  <c r="K2099" i="1"/>
  <c r="L2099" i="1"/>
  <c r="A2100" i="1"/>
  <c r="B2100" i="1"/>
  <c r="C2100" i="1"/>
  <c r="D2100" i="1"/>
  <c r="Q2100" i="1"/>
  <c r="R2100" i="1"/>
  <c r="E2100" i="1"/>
  <c r="G2100" i="1"/>
  <c r="H2100" i="1"/>
  <c r="J2100" i="1"/>
  <c r="K2100" i="1"/>
  <c r="L2100" i="1"/>
  <c r="A2101" i="1"/>
  <c r="B2101" i="1"/>
  <c r="C2101" i="1"/>
  <c r="D2101" i="1"/>
  <c r="Q2101" i="1"/>
  <c r="R2101" i="1"/>
  <c r="E2101" i="1"/>
  <c r="G2101" i="1"/>
  <c r="H2101" i="1"/>
  <c r="J2101" i="1"/>
  <c r="K2101" i="1"/>
  <c r="L2101" i="1"/>
  <c r="A2102" i="1"/>
  <c r="B2102" i="1"/>
  <c r="C2102" i="1"/>
  <c r="D2102" i="1"/>
  <c r="Q2102" i="1"/>
  <c r="R2102" i="1"/>
  <c r="E2102" i="1"/>
  <c r="G2102" i="1"/>
  <c r="H2102" i="1"/>
  <c r="J2102" i="1"/>
  <c r="K2102" i="1"/>
  <c r="L2102" i="1"/>
  <c r="A2103" i="1"/>
  <c r="B2103" i="1"/>
  <c r="C2103" i="1"/>
  <c r="D2103" i="1"/>
  <c r="Q2103" i="1"/>
  <c r="R2103" i="1"/>
  <c r="E2103" i="1"/>
  <c r="G2103" i="1"/>
  <c r="H2103" i="1"/>
  <c r="J2103" i="1"/>
  <c r="K2103" i="1"/>
  <c r="L2103" i="1"/>
  <c r="A2104" i="1"/>
  <c r="B2104" i="1"/>
  <c r="C2104" i="1"/>
  <c r="D2104" i="1"/>
  <c r="Q2104" i="1"/>
  <c r="R2104" i="1"/>
  <c r="E2104" i="1"/>
  <c r="G2104" i="1"/>
  <c r="H2104" i="1"/>
  <c r="J2104" i="1"/>
  <c r="K2104" i="1"/>
  <c r="L2104" i="1"/>
  <c r="A2105" i="1"/>
  <c r="B2105" i="1"/>
  <c r="C2105" i="1"/>
  <c r="D2105" i="1"/>
  <c r="Q2105" i="1"/>
  <c r="R2105" i="1"/>
  <c r="E2105" i="1"/>
  <c r="G2105" i="1"/>
  <c r="H2105" i="1"/>
  <c r="J2105" i="1"/>
  <c r="K2105" i="1"/>
  <c r="L2105" i="1"/>
  <c r="A2106" i="1"/>
  <c r="B2106" i="1"/>
  <c r="C2106" i="1"/>
  <c r="D2106" i="1"/>
  <c r="Q2106" i="1"/>
  <c r="R2106" i="1"/>
  <c r="E2106" i="1"/>
  <c r="G2106" i="1"/>
  <c r="H2106" i="1"/>
  <c r="J2106" i="1"/>
  <c r="K2106" i="1"/>
  <c r="L2106" i="1"/>
  <c r="A2107" i="1"/>
  <c r="B2107" i="1"/>
  <c r="C2107" i="1"/>
  <c r="D2107" i="1"/>
  <c r="Q2107" i="1"/>
  <c r="R2107" i="1"/>
  <c r="E2107" i="1"/>
  <c r="G2107" i="1"/>
  <c r="H2107" i="1"/>
  <c r="J2107" i="1"/>
  <c r="K2107" i="1"/>
  <c r="L2107" i="1"/>
  <c r="A2108" i="1"/>
  <c r="B2108" i="1"/>
  <c r="C2108" i="1"/>
  <c r="D2108" i="1"/>
  <c r="Q2108" i="1"/>
  <c r="R2108" i="1"/>
  <c r="E2108" i="1"/>
  <c r="G2108" i="1"/>
  <c r="H2108" i="1"/>
  <c r="J2108" i="1"/>
  <c r="K2108" i="1"/>
  <c r="L2108" i="1"/>
  <c r="A2109" i="1"/>
  <c r="B2109" i="1"/>
  <c r="C2109" i="1"/>
  <c r="D2109" i="1"/>
  <c r="Q2109" i="1"/>
  <c r="R2109" i="1"/>
  <c r="E2109" i="1"/>
  <c r="G2109" i="1"/>
  <c r="H2109" i="1"/>
  <c r="J2109" i="1"/>
  <c r="K2109" i="1"/>
  <c r="L2109" i="1"/>
  <c r="A2110" i="1"/>
  <c r="B2110" i="1"/>
  <c r="C2110" i="1"/>
  <c r="D2110" i="1"/>
  <c r="Q2110" i="1"/>
  <c r="R2110" i="1"/>
  <c r="E2110" i="1"/>
  <c r="G2110" i="1"/>
  <c r="H2110" i="1"/>
  <c r="J2110" i="1"/>
  <c r="K2110" i="1"/>
  <c r="L2110" i="1"/>
  <c r="A2111" i="1"/>
  <c r="B2111" i="1"/>
  <c r="C2111" i="1"/>
  <c r="D2111" i="1"/>
  <c r="Q2111" i="1"/>
  <c r="R2111" i="1"/>
  <c r="E2111" i="1"/>
  <c r="G2111" i="1"/>
  <c r="H2111" i="1"/>
  <c r="J2111" i="1"/>
  <c r="K2111" i="1"/>
  <c r="L2111" i="1"/>
  <c r="A2112" i="1"/>
  <c r="B2112" i="1"/>
  <c r="C2112" i="1"/>
  <c r="D2112" i="1"/>
  <c r="Q2112" i="1"/>
  <c r="R2112" i="1"/>
  <c r="E2112" i="1"/>
  <c r="G2112" i="1"/>
  <c r="H2112" i="1"/>
  <c r="J2112" i="1"/>
  <c r="K2112" i="1"/>
  <c r="L2112" i="1"/>
  <c r="A2113" i="1"/>
  <c r="B2113" i="1"/>
  <c r="C2113" i="1"/>
  <c r="D2113" i="1"/>
  <c r="Q2113" i="1"/>
  <c r="R2113" i="1"/>
  <c r="E2113" i="1"/>
  <c r="G2113" i="1"/>
  <c r="H2113" i="1"/>
  <c r="J2113" i="1"/>
  <c r="K2113" i="1"/>
  <c r="L2113" i="1"/>
  <c r="A2114" i="1"/>
  <c r="B2114" i="1"/>
  <c r="C2114" i="1"/>
  <c r="D2114" i="1"/>
  <c r="Q2114" i="1"/>
  <c r="R2114" i="1"/>
  <c r="E2114" i="1"/>
  <c r="G2114" i="1"/>
  <c r="H2114" i="1"/>
  <c r="J2114" i="1"/>
  <c r="K2114" i="1"/>
  <c r="L2114" i="1"/>
  <c r="A2115" i="1"/>
  <c r="B2115" i="1"/>
  <c r="C2115" i="1"/>
  <c r="D2115" i="1"/>
  <c r="Q2115" i="1"/>
  <c r="R2115" i="1"/>
  <c r="E2115" i="1"/>
  <c r="G2115" i="1"/>
  <c r="H2115" i="1"/>
  <c r="J2115" i="1"/>
  <c r="K2115" i="1"/>
  <c r="L2115" i="1"/>
  <c r="A2116" i="1"/>
  <c r="B2116" i="1"/>
  <c r="C2116" i="1"/>
  <c r="D2116" i="1"/>
  <c r="Q2116" i="1"/>
  <c r="R2116" i="1"/>
  <c r="E2116" i="1"/>
  <c r="G2116" i="1"/>
  <c r="H2116" i="1"/>
  <c r="J2116" i="1"/>
  <c r="K2116" i="1"/>
  <c r="L2116" i="1"/>
  <c r="A2117" i="1"/>
  <c r="B2117" i="1"/>
  <c r="C2117" i="1"/>
  <c r="D2117" i="1"/>
  <c r="Q2117" i="1"/>
  <c r="R2117" i="1"/>
  <c r="E2117" i="1"/>
  <c r="G2117" i="1"/>
  <c r="H2117" i="1"/>
  <c r="J2117" i="1"/>
  <c r="K2117" i="1"/>
  <c r="L2117" i="1"/>
  <c r="A2118" i="1"/>
  <c r="B2118" i="1"/>
  <c r="C2118" i="1"/>
  <c r="D2118" i="1"/>
  <c r="Q2118" i="1"/>
  <c r="R2118" i="1"/>
  <c r="E2118" i="1"/>
  <c r="G2118" i="1"/>
  <c r="H2118" i="1"/>
  <c r="J2118" i="1"/>
  <c r="K2118" i="1"/>
  <c r="L2118" i="1"/>
  <c r="A2119" i="1"/>
  <c r="B2119" i="1"/>
  <c r="C2119" i="1"/>
  <c r="D2119" i="1"/>
  <c r="Q2119" i="1"/>
  <c r="R2119" i="1"/>
  <c r="E2119" i="1"/>
  <c r="G2119" i="1"/>
  <c r="H2119" i="1"/>
  <c r="J2119" i="1"/>
  <c r="K2119" i="1"/>
  <c r="L2119" i="1"/>
  <c r="A2120" i="1"/>
  <c r="B2120" i="1"/>
  <c r="C2120" i="1"/>
  <c r="D2120" i="1"/>
  <c r="Q2120" i="1"/>
  <c r="R2120" i="1"/>
  <c r="E2120" i="1"/>
  <c r="G2120" i="1"/>
  <c r="H2120" i="1"/>
  <c r="J2120" i="1"/>
  <c r="K2120" i="1"/>
  <c r="L2120" i="1"/>
  <c r="A2121" i="1"/>
  <c r="B2121" i="1"/>
  <c r="C2121" i="1"/>
  <c r="D2121" i="1"/>
  <c r="Q2121" i="1"/>
  <c r="R2121" i="1"/>
  <c r="E2121" i="1"/>
  <c r="G2121" i="1"/>
  <c r="H2121" i="1"/>
  <c r="J2121" i="1"/>
  <c r="K2121" i="1"/>
  <c r="L2121" i="1"/>
  <c r="A2122" i="1"/>
  <c r="B2122" i="1"/>
  <c r="C2122" i="1"/>
  <c r="D2122" i="1"/>
  <c r="Q2122" i="1"/>
  <c r="R2122" i="1"/>
  <c r="E2122" i="1"/>
  <c r="G2122" i="1"/>
  <c r="H2122" i="1"/>
  <c r="J2122" i="1"/>
  <c r="K2122" i="1"/>
  <c r="L2122" i="1"/>
  <c r="A2123" i="1"/>
  <c r="B2123" i="1"/>
  <c r="C2123" i="1"/>
  <c r="D2123" i="1"/>
  <c r="Q2123" i="1"/>
  <c r="R2123" i="1"/>
  <c r="E2123" i="1"/>
  <c r="G2123" i="1"/>
  <c r="H2123" i="1"/>
  <c r="J2123" i="1"/>
  <c r="K2123" i="1"/>
  <c r="L2123" i="1"/>
  <c r="A2124" i="1"/>
  <c r="B2124" i="1"/>
  <c r="C2124" i="1"/>
  <c r="D2124" i="1"/>
  <c r="Q2124" i="1"/>
  <c r="R2124" i="1"/>
  <c r="E2124" i="1"/>
  <c r="G2124" i="1"/>
  <c r="H2124" i="1"/>
  <c r="J2124" i="1"/>
  <c r="K2124" i="1"/>
  <c r="L2124" i="1"/>
  <c r="A2125" i="1"/>
  <c r="B2125" i="1"/>
  <c r="C2125" i="1"/>
  <c r="D2125" i="1"/>
  <c r="Q2125" i="1"/>
  <c r="R2125" i="1"/>
  <c r="E2125" i="1"/>
  <c r="G2125" i="1"/>
  <c r="H2125" i="1"/>
  <c r="J2125" i="1"/>
  <c r="K2125" i="1"/>
  <c r="L2125" i="1"/>
  <c r="A2126" i="1"/>
  <c r="B2126" i="1"/>
  <c r="C2126" i="1"/>
  <c r="D2126" i="1"/>
  <c r="Q2126" i="1"/>
  <c r="R2126" i="1"/>
  <c r="E2126" i="1"/>
  <c r="G2126" i="1"/>
  <c r="H2126" i="1"/>
  <c r="J2126" i="1"/>
  <c r="K2126" i="1"/>
  <c r="L2126" i="1"/>
  <c r="A2127" i="1"/>
  <c r="B2127" i="1"/>
  <c r="C2127" i="1"/>
  <c r="D2127" i="1"/>
  <c r="Q2127" i="1"/>
  <c r="R2127" i="1"/>
  <c r="E2127" i="1"/>
  <c r="G2127" i="1"/>
  <c r="H2127" i="1"/>
  <c r="J2127" i="1"/>
  <c r="K2127" i="1"/>
  <c r="L2127" i="1"/>
  <c r="A2128" i="1"/>
  <c r="B2128" i="1"/>
  <c r="C2128" i="1"/>
  <c r="D2128" i="1"/>
  <c r="Q2128" i="1"/>
  <c r="R2128" i="1"/>
  <c r="E2128" i="1"/>
  <c r="G2128" i="1"/>
  <c r="H2128" i="1"/>
  <c r="J2128" i="1"/>
  <c r="K2128" i="1"/>
  <c r="L2128" i="1"/>
  <c r="A2129" i="1"/>
  <c r="B2129" i="1"/>
  <c r="C2129" i="1"/>
  <c r="D2129" i="1"/>
  <c r="Q2129" i="1"/>
  <c r="R2129" i="1"/>
  <c r="E2129" i="1"/>
  <c r="G2129" i="1"/>
  <c r="H2129" i="1"/>
  <c r="J2129" i="1"/>
  <c r="K2129" i="1"/>
  <c r="L2129" i="1"/>
  <c r="A2130" i="1"/>
  <c r="B2130" i="1"/>
  <c r="C2130" i="1"/>
  <c r="D2130" i="1"/>
  <c r="Q2130" i="1"/>
  <c r="R2130" i="1"/>
  <c r="E2130" i="1"/>
  <c r="G2130" i="1"/>
  <c r="H2130" i="1"/>
  <c r="J2130" i="1"/>
  <c r="K2130" i="1"/>
  <c r="L2130" i="1"/>
  <c r="A2131" i="1"/>
  <c r="B2131" i="1"/>
  <c r="C2131" i="1"/>
  <c r="D2131" i="1"/>
  <c r="Q2131" i="1"/>
  <c r="R2131" i="1"/>
  <c r="E2131" i="1"/>
  <c r="G2131" i="1"/>
  <c r="H2131" i="1"/>
  <c r="J2131" i="1"/>
  <c r="K2131" i="1"/>
  <c r="L2131" i="1"/>
  <c r="A2132" i="1"/>
  <c r="B2132" i="1"/>
  <c r="C2132" i="1"/>
  <c r="D2132" i="1"/>
  <c r="Q2132" i="1"/>
  <c r="R2132" i="1"/>
  <c r="E2132" i="1"/>
  <c r="G2132" i="1"/>
  <c r="H2132" i="1"/>
  <c r="J2132" i="1"/>
  <c r="K2132" i="1"/>
  <c r="L2132" i="1"/>
  <c r="A2133" i="1"/>
  <c r="B2133" i="1"/>
  <c r="C2133" i="1"/>
  <c r="D2133" i="1"/>
  <c r="Q2133" i="1"/>
  <c r="R2133" i="1"/>
  <c r="E2133" i="1"/>
  <c r="G2133" i="1"/>
  <c r="H2133" i="1"/>
  <c r="J2133" i="1"/>
  <c r="K2133" i="1"/>
  <c r="L2133" i="1"/>
  <c r="A2134" i="1"/>
  <c r="B2134" i="1"/>
  <c r="C2134" i="1"/>
  <c r="D2134" i="1"/>
  <c r="Q2134" i="1"/>
  <c r="R2134" i="1"/>
  <c r="E2134" i="1"/>
  <c r="G2134" i="1"/>
  <c r="H2134" i="1"/>
  <c r="J2134" i="1"/>
  <c r="K2134" i="1"/>
  <c r="L2134" i="1"/>
  <c r="A2135" i="1"/>
  <c r="B2135" i="1"/>
  <c r="C2135" i="1"/>
  <c r="D2135" i="1"/>
  <c r="Q2135" i="1"/>
  <c r="R2135" i="1"/>
  <c r="E2135" i="1"/>
  <c r="G2135" i="1"/>
  <c r="H2135" i="1"/>
  <c r="J2135" i="1"/>
  <c r="K2135" i="1"/>
  <c r="L2135" i="1"/>
  <c r="A2136" i="1"/>
  <c r="B2136" i="1"/>
  <c r="C2136" i="1"/>
  <c r="D2136" i="1"/>
  <c r="Q2136" i="1"/>
  <c r="R2136" i="1"/>
  <c r="E2136" i="1"/>
  <c r="G2136" i="1"/>
  <c r="H2136" i="1"/>
  <c r="J2136" i="1"/>
  <c r="K2136" i="1"/>
  <c r="L2136" i="1"/>
  <c r="A2137" i="1"/>
  <c r="B2137" i="1"/>
  <c r="C2137" i="1"/>
  <c r="D2137" i="1"/>
  <c r="Q2137" i="1"/>
  <c r="R2137" i="1"/>
  <c r="E2137" i="1"/>
  <c r="G2137" i="1"/>
  <c r="H2137" i="1"/>
  <c r="J2137" i="1"/>
  <c r="K2137" i="1"/>
  <c r="L2137" i="1"/>
  <c r="A2138" i="1"/>
  <c r="B2138" i="1"/>
  <c r="C2138" i="1"/>
  <c r="D2138" i="1"/>
  <c r="Q2138" i="1"/>
  <c r="R2138" i="1"/>
  <c r="E2138" i="1"/>
  <c r="G2138" i="1"/>
  <c r="H2138" i="1"/>
  <c r="J2138" i="1"/>
  <c r="K2138" i="1"/>
  <c r="L2138" i="1"/>
  <c r="A2139" i="1"/>
  <c r="B2139" i="1"/>
  <c r="C2139" i="1"/>
  <c r="D2139" i="1"/>
  <c r="Q2139" i="1"/>
  <c r="R2139" i="1"/>
  <c r="E2139" i="1"/>
  <c r="G2139" i="1"/>
  <c r="H2139" i="1"/>
  <c r="J2139" i="1"/>
  <c r="K2139" i="1"/>
  <c r="L2139" i="1"/>
  <c r="A2140" i="1"/>
  <c r="B2140" i="1"/>
  <c r="C2140" i="1"/>
  <c r="D2140" i="1"/>
  <c r="Q2140" i="1"/>
  <c r="R2140" i="1"/>
  <c r="E2140" i="1"/>
  <c r="G2140" i="1"/>
  <c r="H2140" i="1"/>
  <c r="J2140" i="1"/>
  <c r="K2140" i="1"/>
  <c r="L2140" i="1"/>
  <c r="A2141" i="1"/>
  <c r="B2141" i="1"/>
  <c r="C2141" i="1"/>
  <c r="D2141" i="1"/>
  <c r="Q2141" i="1"/>
  <c r="R2141" i="1"/>
  <c r="E2141" i="1"/>
  <c r="G2141" i="1"/>
  <c r="H2141" i="1"/>
  <c r="J2141" i="1"/>
  <c r="K2141" i="1"/>
  <c r="L2141" i="1"/>
  <c r="A2142" i="1"/>
  <c r="B2142" i="1"/>
  <c r="C2142" i="1"/>
  <c r="D2142" i="1"/>
  <c r="Q2142" i="1"/>
  <c r="R2142" i="1"/>
  <c r="E2142" i="1"/>
  <c r="G2142" i="1"/>
  <c r="H2142" i="1"/>
  <c r="J2142" i="1"/>
  <c r="K2142" i="1"/>
  <c r="L2142" i="1"/>
  <c r="A2143" i="1"/>
  <c r="B2143" i="1"/>
  <c r="C2143" i="1"/>
  <c r="D2143" i="1"/>
  <c r="Q2143" i="1"/>
  <c r="R2143" i="1"/>
  <c r="E2143" i="1"/>
  <c r="G2143" i="1"/>
  <c r="H2143" i="1"/>
  <c r="J2143" i="1"/>
  <c r="K2143" i="1"/>
  <c r="L2143" i="1"/>
  <c r="A2144" i="1"/>
  <c r="B2144" i="1"/>
  <c r="C2144" i="1"/>
  <c r="D2144" i="1"/>
  <c r="Q2144" i="1"/>
  <c r="R2144" i="1"/>
  <c r="E2144" i="1"/>
  <c r="G2144" i="1"/>
  <c r="H2144" i="1"/>
  <c r="J2144" i="1"/>
  <c r="K2144" i="1"/>
  <c r="L2144" i="1"/>
  <c r="A2145" i="1"/>
  <c r="B2145" i="1"/>
  <c r="C2145" i="1"/>
  <c r="D2145" i="1"/>
  <c r="Q2145" i="1"/>
  <c r="R2145" i="1"/>
  <c r="E2145" i="1"/>
  <c r="G2145" i="1"/>
  <c r="H2145" i="1"/>
  <c r="J2145" i="1"/>
  <c r="K2145" i="1"/>
  <c r="L2145" i="1"/>
  <c r="A2146" i="1"/>
  <c r="B2146" i="1"/>
  <c r="C2146" i="1"/>
  <c r="D2146" i="1"/>
  <c r="Q2146" i="1"/>
  <c r="R2146" i="1"/>
  <c r="E2146" i="1"/>
  <c r="G2146" i="1"/>
  <c r="H2146" i="1"/>
  <c r="J2146" i="1"/>
  <c r="K2146" i="1"/>
  <c r="L2146" i="1"/>
  <c r="A2147" i="1"/>
  <c r="B2147" i="1"/>
  <c r="C2147" i="1"/>
  <c r="D2147" i="1"/>
  <c r="Q2147" i="1"/>
  <c r="R2147" i="1"/>
  <c r="E2147" i="1"/>
  <c r="G2147" i="1"/>
  <c r="H2147" i="1"/>
  <c r="J2147" i="1"/>
  <c r="K2147" i="1"/>
  <c r="L2147" i="1"/>
  <c r="A2148" i="1"/>
  <c r="B2148" i="1"/>
  <c r="C2148" i="1"/>
  <c r="D2148" i="1"/>
  <c r="Q2148" i="1"/>
  <c r="R2148" i="1"/>
  <c r="E2148" i="1"/>
  <c r="G2148" i="1"/>
  <c r="H2148" i="1"/>
  <c r="J2148" i="1"/>
  <c r="K2148" i="1"/>
  <c r="L2148" i="1"/>
  <c r="A2149" i="1"/>
  <c r="B2149" i="1"/>
  <c r="C2149" i="1"/>
  <c r="D2149" i="1"/>
  <c r="Q2149" i="1"/>
  <c r="R2149" i="1"/>
  <c r="E2149" i="1"/>
  <c r="G2149" i="1"/>
  <c r="H2149" i="1"/>
  <c r="J2149" i="1"/>
  <c r="K2149" i="1"/>
  <c r="L2149" i="1"/>
  <c r="A2150" i="1"/>
  <c r="B2150" i="1"/>
  <c r="C2150" i="1"/>
  <c r="D2150" i="1"/>
  <c r="Q2150" i="1"/>
  <c r="R2150" i="1"/>
  <c r="E2150" i="1"/>
  <c r="G2150" i="1"/>
  <c r="H2150" i="1"/>
  <c r="J2150" i="1"/>
  <c r="K2150" i="1"/>
  <c r="L2150" i="1"/>
  <c r="A2151" i="1"/>
  <c r="B2151" i="1"/>
  <c r="C2151" i="1"/>
  <c r="D2151" i="1"/>
  <c r="Q2151" i="1"/>
  <c r="R2151" i="1"/>
  <c r="E2151" i="1"/>
  <c r="G2151" i="1"/>
  <c r="H2151" i="1"/>
  <c r="J2151" i="1"/>
  <c r="K2151" i="1"/>
  <c r="L2151" i="1"/>
  <c r="A2152" i="1"/>
  <c r="B2152" i="1"/>
  <c r="C2152" i="1"/>
  <c r="D2152" i="1"/>
  <c r="Q2152" i="1"/>
  <c r="R2152" i="1"/>
  <c r="E2152" i="1"/>
  <c r="G2152" i="1"/>
  <c r="H2152" i="1"/>
  <c r="J2152" i="1"/>
  <c r="K2152" i="1"/>
  <c r="L2152" i="1"/>
  <c r="A2153" i="1"/>
  <c r="B2153" i="1"/>
  <c r="C2153" i="1"/>
  <c r="D2153" i="1"/>
  <c r="Q2153" i="1"/>
  <c r="R2153" i="1"/>
  <c r="E2153" i="1"/>
  <c r="G2153" i="1"/>
  <c r="H2153" i="1"/>
  <c r="J2153" i="1"/>
  <c r="K2153" i="1"/>
  <c r="L2153" i="1"/>
  <c r="A2154" i="1"/>
  <c r="B2154" i="1"/>
  <c r="C2154" i="1"/>
  <c r="D2154" i="1"/>
  <c r="Q2154" i="1"/>
  <c r="R2154" i="1"/>
  <c r="E2154" i="1"/>
  <c r="G2154" i="1"/>
  <c r="H2154" i="1"/>
  <c r="J2154" i="1"/>
  <c r="K2154" i="1"/>
  <c r="L2154" i="1"/>
  <c r="A2155" i="1"/>
  <c r="B2155" i="1"/>
  <c r="C2155" i="1"/>
  <c r="D2155" i="1"/>
  <c r="Q2155" i="1"/>
  <c r="R2155" i="1"/>
  <c r="E2155" i="1"/>
  <c r="G2155" i="1"/>
  <c r="H2155" i="1"/>
  <c r="J2155" i="1"/>
  <c r="K2155" i="1"/>
  <c r="L2155" i="1"/>
  <c r="A2156" i="1"/>
  <c r="B2156" i="1"/>
  <c r="C2156" i="1"/>
  <c r="D2156" i="1"/>
  <c r="Q2156" i="1"/>
  <c r="R2156" i="1"/>
  <c r="E2156" i="1"/>
  <c r="G2156" i="1"/>
  <c r="H2156" i="1"/>
  <c r="J2156" i="1"/>
  <c r="K2156" i="1"/>
  <c r="L2156" i="1"/>
  <c r="A2157" i="1"/>
  <c r="B2157" i="1"/>
  <c r="C2157" i="1"/>
  <c r="D2157" i="1"/>
  <c r="Q2157" i="1"/>
  <c r="R2157" i="1"/>
  <c r="E2157" i="1"/>
  <c r="G2157" i="1"/>
  <c r="H2157" i="1"/>
  <c r="J2157" i="1"/>
  <c r="K2157" i="1"/>
  <c r="L2157" i="1"/>
  <c r="A2158" i="1"/>
  <c r="B2158" i="1"/>
  <c r="C2158" i="1"/>
  <c r="D2158" i="1"/>
  <c r="Q2158" i="1"/>
  <c r="R2158" i="1"/>
  <c r="E2158" i="1"/>
  <c r="G2158" i="1"/>
  <c r="H2158" i="1"/>
  <c r="J2158" i="1"/>
  <c r="K2158" i="1"/>
  <c r="L2158" i="1"/>
  <c r="A2159" i="1"/>
  <c r="B2159" i="1"/>
  <c r="C2159" i="1"/>
  <c r="D2159" i="1"/>
  <c r="Q2159" i="1"/>
  <c r="R2159" i="1"/>
  <c r="E2159" i="1"/>
  <c r="G2159" i="1"/>
  <c r="H2159" i="1"/>
  <c r="J2159" i="1"/>
  <c r="K2159" i="1"/>
  <c r="L2159" i="1"/>
  <c r="A2160" i="1"/>
  <c r="B2160" i="1"/>
  <c r="C2160" i="1"/>
  <c r="D2160" i="1"/>
  <c r="Q2160" i="1"/>
  <c r="R2160" i="1"/>
  <c r="E2160" i="1"/>
  <c r="G2160" i="1"/>
  <c r="H2160" i="1"/>
  <c r="J2160" i="1"/>
  <c r="K2160" i="1"/>
  <c r="L2160" i="1"/>
  <c r="A2161" i="1"/>
  <c r="B2161" i="1"/>
  <c r="C2161" i="1"/>
  <c r="D2161" i="1"/>
  <c r="Q2161" i="1"/>
  <c r="R2161" i="1"/>
  <c r="E2161" i="1"/>
  <c r="G2161" i="1"/>
  <c r="H2161" i="1"/>
  <c r="J2161" i="1"/>
  <c r="K2161" i="1"/>
  <c r="L2161" i="1"/>
  <c r="A2162" i="1"/>
  <c r="B2162" i="1"/>
  <c r="C2162" i="1"/>
  <c r="D2162" i="1"/>
  <c r="Q2162" i="1"/>
  <c r="R2162" i="1"/>
  <c r="E2162" i="1"/>
  <c r="G2162" i="1"/>
  <c r="H2162" i="1"/>
  <c r="J2162" i="1"/>
  <c r="K2162" i="1"/>
  <c r="L2162" i="1"/>
  <c r="A2163" i="1"/>
  <c r="B2163" i="1"/>
  <c r="C2163" i="1"/>
  <c r="D2163" i="1"/>
  <c r="Q2163" i="1"/>
  <c r="R2163" i="1"/>
  <c r="E2163" i="1"/>
  <c r="G2163" i="1"/>
  <c r="H2163" i="1"/>
  <c r="J2163" i="1"/>
  <c r="K2163" i="1"/>
  <c r="L2163" i="1"/>
  <c r="A2164" i="1"/>
  <c r="B2164" i="1"/>
  <c r="C2164" i="1"/>
  <c r="D2164" i="1"/>
  <c r="Q2164" i="1"/>
  <c r="R2164" i="1"/>
  <c r="E2164" i="1"/>
  <c r="G2164" i="1"/>
  <c r="H2164" i="1"/>
  <c r="J2164" i="1"/>
  <c r="K2164" i="1"/>
  <c r="L2164" i="1"/>
  <c r="A2165" i="1"/>
  <c r="B2165" i="1"/>
  <c r="C2165" i="1"/>
  <c r="D2165" i="1"/>
  <c r="Q2165" i="1"/>
  <c r="R2165" i="1"/>
  <c r="E2165" i="1"/>
  <c r="G2165" i="1"/>
  <c r="H2165" i="1"/>
  <c r="J2165" i="1"/>
  <c r="K2165" i="1"/>
  <c r="L2165" i="1"/>
  <c r="A2166" i="1"/>
  <c r="B2166" i="1"/>
  <c r="C2166" i="1"/>
  <c r="D2166" i="1"/>
  <c r="Q2166" i="1"/>
  <c r="R2166" i="1"/>
  <c r="E2166" i="1"/>
  <c r="G2166" i="1"/>
  <c r="H2166" i="1"/>
  <c r="J2166" i="1"/>
  <c r="K2166" i="1"/>
  <c r="L2166" i="1"/>
  <c r="A2167" i="1"/>
  <c r="B2167" i="1"/>
  <c r="C2167" i="1"/>
  <c r="D2167" i="1"/>
  <c r="Q2167" i="1"/>
  <c r="R2167" i="1"/>
  <c r="E2167" i="1"/>
  <c r="G2167" i="1"/>
  <c r="H2167" i="1"/>
  <c r="J2167" i="1"/>
  <c r="K2167" i="1"/>
  <c r="L2167" i="1"/>
  <c r="A2168" i="1"/>
  <c r="B2168" i="1"/>
  <c r="C2168" i="1"/>
  <c r="D2168" i="1"/>
  <c r="Q2168" i="1"/>
  <c r="R2168" i="1"/>
  <c r="E2168" i="1"/>
  <c r="G2168" i="1"/>
  <c r="H2168" i="1"/>
  <c r="J2168" i="1"/>
  <c r="K2168" i="1"/>
  <c r="L2168" i="1"/>
  <c r="A2169" i="1"/>
  <c r="B2169" i="1"/>
  <c r="C2169" i="1"/>
  <c r="D2169" i="1"/>
  <c r="Q2169" i="1"/>
  <c r="R2169" i="1"/>
  <c r="E2169" i="1"/>
  <c r="G2169" i="1"/>
  <c r="H2169" i="1"/>
  <c r="J2169" i="1"/>
  <c r="K2169" i="1"/>
  <c r="L2169" i="1"/>
  <c r="A2170" i="1"/>
  <c r="B2170" i="1"/>
  <c r="C2170" i="1"/>
  <c r="D2170" i="1"/>
  <c r="Q2170" i="1"/>
  <c r="R2170" i="1"/>
  <c r="E2170" i="1"/>
  <c r="G2170" i="1"/>
  <c r="H2170" i="1"/>
  <c r="J2170" i="1"/>
  <c r="K2170" i="1"/>
  <c r="L2170" i="1"/>
  <c r="A2171" i="1"/>
  <c r="B2171" i="1"/>
  <c r="C2171" i="1"/>
  <c r="D2171" i="1"/>
  <c r="Q2171" i="1"/>
  <c r="R2171" i="1"/>
  <c r="E2171" i="1"/>
  <c r="G2171" i="1"/>
  <c r="H2171" i="1"/>
  <c r="J2171" i="1"/>
  <c r="K2171" i="1"/>
  <c r="L2171" i="1"/>
  <c r="A2172" i="1"/>
  <c r="B2172" i="1"/>
  <c r="C2172" i="1"/>
  <c r="D2172" i="1"/>
  <c r="Q2172" i="1"/>
  <c r="R2172" i="1"/>
  <c r="E2172" i="1"/>
  <c r="G2172" i="1"/>
  <c r="H2172" i="1"/>
  <c r="J2172" i="1"/>
  <c r="K2172" i="1"/>
  <c r="L2172" i="1"/>
  <c r="A2173" i="1"/>
  <c r="B2173" i="1"/>
  <c r="C2173" i="1"/>
  <c r="D2173" i="1"/>
  <c r="Q2173" i="1"/>
  <c r="R2173" i="1"/>
  <c r="E2173" i="1"/>
  <c r="G2173" i="1"/>
  <c r="H2173" i="1"/>
  <c r="J2173" i="1"/>
  <c r="K2173" i="1"/>
  <c r="L2173" i="1"/>
  <c r="A2174" i="1"/>
  <c r="B2174" i="1"/>
  <c r="C2174" i="1"/>
  <c r="D2174" i="1"/>
  <c r="Q2174" i="1"/>
  <c r="R2174" i="1"/>
  <c r="E2174" i="1"/>
  <c r="G2174" i="1"/>
  <c r="H2174" i="1"/>
  <c r="J2174" i="1"/>
  <c r="K2174" i="1"/>
  <c r="L2174" i="1"/>
  <c r="A2175" i="1"/>
  <c r="B2175" i="1"/>
  <c r="C2175" i="1"/>
  <c r="D2175" i="1"/>
  <c r="Q2175" i="1"/>
  <c r="R2175" i="1"/>
  <c r="E2175" i="1"/>
  <c r="G2175" i="1"/>
  <c r="H2175" i="1"/>
  <c r="J2175" i="1"/>
  <c r="K2175" i="1"/>
  <c r="L2175" i="1"/>
  <c r="A2176" i="1"/>
  <c r="B2176" i="1"/>
  <c r="C2176" i="1"/>
  <c r="D2176" i="1"/>
  <c r="Q2176" i="1"/>
  <c r="R2176" i="1"/>
  <c r="E2176" i="1"/>
  <c r="G2176" i="1"/>
  <c r="H2176" i="1"/>
  <c r="J2176" i="1"/>
  <c r="K2176" i="1"/>
  <c r="L2176" i="1"/>
  <c r="A2177" i="1"/>
  <c r="B2177" i="1"/>
  <c r="C2177" i="1"/>
  <c r="D2177" i="1"/>
  <c r="Q2177" i="1"/>
  <c r="R2177" i="1"/>
  <c r="E2177" i="1"/>
  <c r="G2177" i="1"/>
  <c r="H2177" i="1"/>
  <c r="J2177" i="1"/>
  <c r="K2177" i="1"/>
  <c r="L2177" i="1"/>
  <c r="A2178" i="1"/>
  <c r="B2178" i="1"/>
  <c r="C2178" i="1"/>
  <c r="D2178" i="1"/>
  <c r="Q2178" i="1"/>
  <c r="R2178" i="1"/>
  <c r="E2178" i="1"/>
  <c r="G2178" i="1"/>
  <c r="H2178" i="1"/>
  <c r="J2178" i="1"/>
  <c r="K2178" i="1"/>
  <c r="L2178" i="1"/>
  <c r="A2179" i="1"/>
  <c r="B2179" i="1"/>
  <c r="C2179" i="1"/>
  <c r="D2179" i="1"/>
  <c r="Q2179" i="1"/>
  <c r="R2179" i="1"/>
  <c r="E2179" i="1"/>
  <c r="G2179" i="1"/>
  <c r="H2179" i="1"/>
  <c r="J2179" i="1"/>
  <c r="K2179" i="1"/>
  <c r="L2179" i="1"/>
  <c r="A2180" i="1"/>
  <c r="B2180" i="1"/>
  <c r="C2180" i="1"/>
  <c r="D2180" i="1"/>
  <c r="Q2180" i="1"/>
  <c r="R2180" i="1"/>
  <c r="E2180" i="1"/>
  <c r="G2180" i="1"/>
  <c r="H2180" i="1"/>
  <c r="J2180" i="1"/>
  <c r="K2180" i="1"/>
  <c r="L2180" i="1"/>
  <c r="A2181" i="1"/>
  <c r="B2181" i="1"/>
  <c r="C2181" i="1"/>
  <c r="D2181" i="1"/>
  <c r="Q2181" i="1"/>
  <c r="R2181" i="1"/>
  <c r="E2181" i="1"/>
  <c r="G2181" i="1"/>
  <c r="H2181" i="1"/>
  <c r="J2181" i="1"/>
  <c r="K2181" i="1"/>
  <c r="L2181" i="1"/>
  <c r="A2182" i="1"/>
  <c r="B2182" i="1"/>
  <c r="C2182" i="1"/>
  <c r="D2182" i="1"/>
  <c r="Q2182" i="1"/>
  <c r="R2182" i="1"/>
  <c r="E2182" i="1"/>
  <c r="G2182" i="1"/>
  <c r="H2182" i="1"/>
  <c r="J2182" i="1"/>
  <c r="K2182" i="1"/>
  <c r="L2182" i="1"/>
  <c r="A2183" i="1"/>
  <c r="B2183" i="1"/>
  <c r="C2183" i="1"/>
  <c r="D2183" i="1"/>
  <c r="Q2183" i="1"/>
  <c r="R2183" i="1"/>
  <c r="E2183" i="1"/>
  <c r="G2183" i="1"/>
  <c r="H2183" i="1"/>
  <c r="J2183" i="1"/>
  <c r="K2183" i="1"/>
  <c r="L2183" i="1"/>
  <c r="A2184" i="1"/>
  <c r="B2184" i="1"/>
  <c r="C2184" i="1"/>
  <c r="D2184" i="1"/>
  <c r="Q2184" i="1"/>
  <c r="R2184" i="1"/>
  <c r="E2184" i="1"/>
  <c r="G2184" i="1"/>
  <c r="H2184" i="1"/>
  <c r="J2184" i="1"/>
  <c r="K2184" i="1"/>
  <c r="L2184" i="1"/>
  <c r="A2185" i="1"/>
  <c r="B2185" i="1"/>
  <c r="C2185" i="1"/>
  <c r="D2185" i="1"/>
  <c r="Q2185" i="1"/>
  <c r="R2185" i="1"/>
  <c r="E2185" i="1"/>
  <c r="G2185" i="1"/>
  <c r="H2185" i="1"/>
  <c r="J2185" i="1"/>
  <c r="K2185" i="1"/>
  <c r="L2185" i="1"/>
  <c r="A2186" i="1"/>
  <c r="B2186" i="1"/>
  <c r="C2186" i="1"/>
  <c r="D2186" i="1"/>
  <c r="Q2186" i="1"/>
  <c r="R2186" i="1"/>
  <c r="E2186" i="1"/>
  <c r="G2186" i="1"/>
  <c r="H2186" i="1"/>
  <c r="J2186" i="1"/>
  <c r="K2186" i="1"/>
  <c r="L2186" i="1"/>
  <c r="A2187" i="1"/>
  <c r="B2187" i="1"/>
  <c r="C2187" i="1"/>
  <c r="D2187" i="1"/>
  <c r="Q2187" i="1"/>
  <c r="R2187" i="1"/>
  <c r="E2187" i="1"/>
  <c r="G2187" i="1"/>
  <c r="H2187" i="1"/>
  <c r="J2187" i="1"/>
  <c r="K2187" i="1"/>
  <c r="L2187" i="1"/>
  <c r="A2188" i="1"/>
  <c r="B2188" i="1"/>
  <c r="C2188" i="1"/>
  <c r="D2188" i="1"/>
  <c r="Q2188" i="1"/>
  <c r="R2188" i="1"/>
  <c r="E2188" i="1"/>
  <c r="G2188" i="1"/>
  <c r="H2188" i="1"/>
  <c r="J2188" i="1"/>
  <c r="K2188" i="1"/>
  <c r="L2188" i="1"/>
  <c r="A2189" i="1"/>
  <c r="B2189" i="1"/>
  <c r="C2189" i="1"/>
  <c r="D2189" i="1"/>
  <c r="Q2189" i="1"/>
  <c r="R2189" i="1"/>
  <c r="E2189" i="1"/>
  <c r="G2189" i="1"/>
  <c r="H2189" i="1"/>
  <c r="J2189" i="1"/>
  <c r="K2189" i="1"/>
  <c r="L2189" i="1"/>
  <c r="A2190" i="1"/>
  <c r="B2190" i="1"/>
  <c r="C2190" i="1"/>
  <c r="D2190" i="1"/>
  <c r="Q2190" i="1"/>
  <c r="R2190" i="1"/>
  <c r="E2190" i="1"/>
  <c r="G2190" i="1"/>
  <c r="H2190" i="1"/>
  <c r="J2190" i="1"/>
  <c r="K2190" i="1"/>
  <c r="L2190" i="1"/>
  <c r="A2191" i="1"/>
  <c r="B2191" i="1"/>
  <c r="C2191" i="1"/>
  <c r="D2191" i="1"/>
  <c r="Q2191" i="1"/>
  <c r="R2191" i="1"/>
  <c r="E2191" i="1"/>
  <c r="G2191" i="1"/>
  <c r="H2191" i="1"/>
  <c r="J2191" i="1"/>
  <c r="K2191" i="1"/>
  <c r="L2191" i="1"/>
  <c r="A2192" i="1"/>
  <c r="B2192" i="1"/>
  <c r="C2192" i="1"/>
  <c r="D2192" i="1"/>
  <c r="Q2192" i="1"/>
  <c r="R2192" i="1"/>
  <c r="E2192" i="1"/>
  <c r="G2192" i="1"/>
  <c r="H2192" i="1"/>
  <c r="J2192" i="1"/>
  <c r="K2192" i="1"/>
  <c r="L2192" i="1"/>
  <c r="A2193" i="1"/>
  <c r="B2193" i="1"/>
  <c r="C2193" i="1"/>
  <c r="D2193" i="1"/>
  <c r="Q2193" i="1"/>
  <c r="R2193" i="1"/>
  <c r="E2193" i="1"/>
  <c r="G2193" i="1"/>
  <c r="H2193" i="1"/>
  <c r="J2193" i="1"/>
  <c r="K2193" i="1"/>
  <c r="L2193" i="1"/>
  <c r="A2194" i="1"/>
  <c r="B2194" i="1"/>
  <c r="C2194" i="1"/>
  <c r="D2194" i="1"/>
  <c r="Q2194" i="1"/>
  <c r="R2194" i="1"/>
  <c r="E2194" i="1"/>
  <c r="G2194" i="1"/>
  <c r="H2194" i="1"/>
  <c r="J2194" i="1"/>
  <c r="K2194" i="1"/>
  <c r="L2194" i="1"/>
  <c r="A2195" i="1"/>
  <c r="B2195" i="1"/>
  <c r="C2195" i="1"/>
  <c r="D2195" i="1"/>
  <c r="Q2195" i="1"/>
  <c r="R2195" i="1"/>
  <c r="E2195" i="1"/>
  <c r="G2195" i="1"/>
  <c r="H2195" i="1"/>
  <c r="J2195" i="1"/>
  <c r="K2195" i="1"/>
  <c r="L2195" i="1"/>
  <c r="A2196" i="1"/>
  <c r="B2196" i="1"/>
  <c r="C2196" i="1"/>
  <c r="D2196" i="1"/>
  <c r="Q2196" i="1"/>
  <c r="R2196" i="1"/>
  <c r="E2196" i="1"/>
  <c r="G2196" i="1"/>
  <c r="H2196" i="1"/>
  <c r="J2196" i="1"/>
  <c r="K2196" i="1"/>
  <c r="L2196" i="1"/>
  <c r="A2197" i="1"/>
  <c r="B2197" i="1"/>
  <c r="C2197" i="1"/>
  <c r="D2197" i="1"/>
  <c r="Q2197" i="1"/>
  <c r="R2197" i="1"/>
  <c r="E2197" i="1"/>
  <c r="G2197" i="1"/>
  <c r="H2197" i="1"/>
  <c r="J2197" i="1"/>
  <c r="K2197" i="1"/>
  <c r="L2197" i="1"/>
  <c r="A2198" i="1"/>
  <c r="B2198" i="1"/>
  <c r="C2198" i="1"/>
  <c r="D2198" i="1"/>
  <c r="Q2198" i="1"/>
  <c r="R2198" i="1"/>
  <c r="E2198" i="1"/>
  <c r="G2198" i="1"/>
  <c r="H2198" i="1"/>
  <c r="J2198" i="1"/>
  <c r="K2198" i="1"/>
  <c r="L2198" i="1"/>
  <c r="A2199" i="1"/>
  <c r="B2199" i="1"/>
  <c r="C2199" i="1"/>
  <c r="D2199" i="1"/>
  <c r="Q2199" i="1"/>
  <c r="R2199" i="1"/>
  <c r="E2199" i="1"/>
  <c r="G2199" i="1"/>
  <c r="H2199" i="1"/>
  <c r="J2199" i="1"/>
  <c r="K2199" i="1"/>
  <c r="L2199" i="1"/>
  <c r="A2200" i="1"/>
  <c r="B2200" i="1"/>
  <c r="C2200" i="1"/>
  <c r="D2200" i="1"/>
  <c r="Q2200" i="1"/>
  <c r="R2200" i="1"/>
  <c r="E2200" i="1"/>
  <c r="G2200" i="1"/>
  <c r="H2200" i="1"/>
  <c r="J2200" i="1"/>
  <c r="K2200" i="1"/>
  <c r="L2200" i="1"/>
  <c r="A2201" i="1"/>
  <c r="B2201" i="1"/>
  <c r="C2201" i="1"/>
  <c r="D2201" i="1"/>
  <c r="Q2201" i="1"/>
  <c r="R2201" i="1"/>
  <c r="E2201" i="1"/>
  <c r="G2201" i="1"/>
  <c r="H2201" i="1"/>
  <c r="J2201" i="1"/>
  <c r="K2201" i="1"/>
  <c r="L2201" i="1"/>
  <c r="A2202" i="1"/>
  <c r="B2202" i="1"/>
  <c r="C2202" i="1"/>
  <c r="D2202" i="1"/>
  <c r="Q2202" i="1"/>
  <c r="R2202" i="1"/>
  <c r="E2202" i="1"/>
  <c r="G2202" i="1"/>
  <c r="H2202" i="1"/>
  <c r="J2202" i="1"/>
  <c r="K2202" i="1"/>
  <c r="L2202" i="1"/>
  <c r="A2203" i="1"/>
  <c r="B2203" i="1"/>
  <c r="C2203" i="1"/>
  <c r="D2203" i="1"/>
  <c r="Q2203" i="1"/>
  <c r="R2203" i="1"/>
  <c r="E2203" i="1"/>
  <c r="G2203" i="1"/>
  <c r="H2203" i="1"/>
  <c r="J2203" i="1"/>
  <c r="K2203" i="1"/>
  <c r="L2203" i="1"/>
  <c r="A2204" i="1"/>
  <c r="B2204" i="1"/>
  <c r="C2204" i="1"/>
  <c r="D2204" i="1"/>
  <c r="Q2204" i="1"/>
  <c r="R2204" i="1"/>
  <c r="E2204" i="1"/>
  <c r="G2204" i="1"/>
  <c r="H2204" i="1"/>
  <c r="J2204" i="1"/>
  <c r="K2204" i="1"/>
  <c r="L2204" i="1"/>
  <c r="A2205" i="1"/>
  <c r="B2205" i="1"/>
  <c r="C2205" i="1"/>
  <c r="D2205" i="1"/>
  <c r="Q2205" i="1"/>
  <c r="R2205" i="1"/>
  <c r="E2205" i="1"/>
  <c r="G2205" i="1"/>
  <c r="H2205" i="1"/>
  <c r="J2205" i="1"/>
  <c r="K2205" i="1"/>
  <c r="L2205" i="1"/>
  <c r="A2206" i="1"/>
  <c r="B2206" i="1"/>
  <c r="C2206" i="1"/>
  <c r="D2206" i="1"/>
  <c r="Q2206" i="1"/>
  <c r="R2206" i="1"/>
  <c r="E2206" i="1"/>
  <c r="G2206" i="1"/>
  <c r="H2206" i="1"/>
  <c r="J2206" i="1"/>
  <c r="K2206" i="1"/>
  <c r="L2206" i="1"/>
  <c r="A2207" i="1"/>
  <c r="B2207" i="1"/>
  <c r="C2207" i="1"/>
  <c r="D2207" i="1"/>
  <c r="Q2207" i="1"/>
  <c r="R2207" i="1"/>
  <c r="E2207" i="1"/>
  <c r="G2207" i="1"/>
  <c r="H2207" i="1"/>
  <c r="J2207" i="1"/>
  <c r="K2207" i="1"/>
  <c r="L2207" i="1"/>
  <c r="A2208" i="1"/>
  <c r="B2208" i="1"/>
  <c r="C2208" i="1"/>
  <c r="D2208" i="1"/>
  <c r="Q2208" i="1"/>
  <c r="R2208" i="1"/>
  <c r="E2208" i="1"/>
  <c r="G2208" i="1"/>
  <c r="H2208" i="1"/>
  <c r="J2208" i="1"/>
  <c r="K2208" i="1"/>
  <c r="L2208" i="1"/>
  <c r="A2209" i="1"/>
  <c r="B2209" i="1"/>
  <c r="C2209" i="1"/>
  <c r="D2209" i="1"/>
  <c r="Q2209" i="1"/>
  <c r="R2209" i="1"/>
  <c r="E2209" i="1"/>
  <c r="G2209" i="1"/>
  <c r="H2209" i="1"/>
  <c r="J2209" i="1"/>
  <c r="K2209" i="1"/>
  <c r="L2209" i="1"/>
  <c r="A2210" i="1"/>
  <c r="B2210" i="1"/>
  <c r="C2210" i="1"/>
  <c r="D2210" i="1"/>
  <c r="Q2210" i="1"/>
  <c r="R2210" i="1"/>
  <c r="E2210" i="1"/>
  <c r="G2210" i="1"/>
  <c r="H2210" i="1"/>
  <c r="J2210" i="1"/>
  <c r="K2210" i="1"/>
  <c r="L2210" i="1"/>
  <c r="A2211" i="1"/>
  <c r="B2211" i="1"/>
  <c r="C2211" i="1"/>
  <c r="D2211" i="1"/>
  <c r="Q2211" i="1"/>
  <c r="R2211" i="1"/>
  <c r="E2211" i="1"/>
  <c r="G2211" i="1"/>
  <c r="H2211" i="1"/>
  <c r="J2211" i="1"/>
  <c r="K2211" i="1"/>
  <c r="L2211" i="1"/>
  <c r="A2212" i="1"/>
  <c r="B2212" i="1"/>
  <c r="C2212" i="1"/>
  <c r="D2212" i="1"/>
  <c r="Q2212" i="1"/>
  <c r="R2212" i="1"/>
  <c r="E2212" i="1"/>
  <c r="G2212" i="1"/>
  <c r="H2212" i="1"/>
  <c r="J2212" i="1"/>
  <c r="K2212" i="1"/>
  <c r="L2212" i="1"/>
  <c r="A2213" i="1"/>
  <c r="B2213" i="1"/>
  <c r="C2213" i="1"/>
  <c r="D2213" i="1"/>
  <c r="Q2213" i="1"/>
  <c r="R2213" i="1"/>
  <c r="E2213" i="1"/>
  <c r="G2213" i="1"/>
  <c r="H2213" i="1"/>
  <c r="J2213" i="1"/>
  <c r="K2213" i="1"/>
  <c r="L2213" i="1"/>
  <c r="A2214" i="1"/>
  <c r="B2214" i="1"/>
  <c r="C2214" i="1"/>
  <c r="D2214" i="1"/>
  <c r="Q2214" i="1"/>
  <c r="R2214" i="1"/>
  <c r="E2214" i="1"/>
  <c r="G2214" i="1"/>
  <c r="H2214" i="1"/>
  <c r="J2214" i="1"/>
  <c r="K2214" i="1"/>
  <c r="L2214" i="1"/>
  <c r="A2215" i="1"/>
  <c r="B2215" i="1"/>
  <c r="C2215" i="1"/>
  <c r="D2215" i="1"/>
  <c r="Q2215" i="1"/>
  <c r="R2215" i="1"/>
  <c r="E2215" i="1"/>
  <c r="G2215" i="1"/>
  <c r="H2215" i="1"/>
  <c r="J2215" i="1"/>
  <c r="K2215" i="1"/>
  <c r="L2215" i="1"/>
  <c r="A2216" i="1"/>
  <c r="B2216" i="1"/>
  <c r="C2216" i="1"/>
  <c r="D2216" i="1"/>
  <c r="Q2216" i="1"/>
  <c r="R2216" i="1"/>
  <c r="E2216" i="1"/>
  <c r="G2216" i="1"/>
  <c r="H2216" i="1"/>
  <c r="J2216" i="1"/>
  <c r="K2216" i="1"/>
  <c r="L2216" i="1"/>
  <c r="A2217" i="1"/>
  <c r="B2217" i="1"/>
  <c r="C2217" i="1"/>
  <c r="D2217" i="1"/>
  <c r="Q2217" i="1"/>
  <c r="R2217" i="1"/>
  <c r="E2217" i="1"/>
  <c r="G2217" i="1"/>
  <c r="H2217" i="1"/>
  <c r="J2217" i="1"/>
  <c r="K2217" i="1"/>
  <c r="L2217" i="1"/>
  <c r="A2218" i="1"/>
  <c r="B2218" i="1"/>
  <c r="C2218" i="1"/>
  <c r="D2218" i="1"/>
  <c r="Q2218" i="1"/>
  <c r="R2218" i="1"/>
  <c r="E2218" i="1"/>
  <c r="G2218" i="1"/>
  <c r="H2218" i="1"/>
  <c r="J2218" i="1"/>
  <c r="K2218" i="1"/>
  <c r="L2218" i="1"/>
  <c r="A2219" i="1"/>
  <c r="B2219" i="1"/>
  <c r="C2219" i="1"/>
  <c r="D2219" i="1"/>
  <c r="Q2219" i="1"/>
  <c r="R2219" i="1"/>
  <c r="E2219" i="1"/>
  <c r="G2219" i="1"/>
  <c r="H2219" i="1"/>
  <c r="J2219" i="1"/>
  <c r="K2219" i="1"/>
  <c r="L2219" i="1"/>
  <c r="A2220" i="1"/>
  <c r="B2220" i="1"/>
  <c r="C2220" i="1"/>
  <c r="D2220" i="1"/>
  <c r="Q2220" i="1"/>
  <c r="R2220" i="1"/>
  <c r="E2220" i="1"/>
  <c r="G2220" i="1"/>
  <c r="H2220" i="1"/>
  <c r="J2220" i="1"/>
  <c r="K2220" i="1"/>
  <c r="L2220" i="1"/>
  <c r="A2221" i="1"/>
  <c r="B2221" i="1"/>
  <c r="C2221" i="1"/>
  <c r="D2221" i="1"/>
  <c r="Q2221" i="1"/>
  <c r="R2221" i="1"/>
  <c r="E2221" i="1"/>
  <c r="G2221" i="1"/>
  <c r="H2221" i="1"/>
  <c r="J2221" i="1"/>
  <c r="K2221" i="1"/>
  <c r="L2221" i="1"/>
  <c r="A2222" i="1"/>
  <c r="B2222" i="1"/>
  <c r="C2222" i="1"/>
  <c r="D2222" i="1"/>
  <c r="Q2222" i="1"/>
  <c r="R2222" i="1"/>
  <c r="E2222" i="1"/>
  <c r="G2222" i="1"/>
  <c r="H2222" i="1"/>
  <c r="J2222" i="1"/>
  <c r="K2222" i="1"/>
  <c r="L2222" i="1"/>
  <c r="A2223" i="1"/>
  <c r="B2223" i="1"/>
  <c r="C2223" i="1"/>
  <c r="D2223" i="1"/>
  <c r="Q2223" i="1"/>
  <c r="R2223" i="1"/>
  <c r="E2223" i="1"/>
  <c r="G2223" i="1"/>
  <c r="H2223" i="1"/>
  <c r="J2223" i="1"/>
  <c r="K2223" i="1"/>
  <c r="L2223" i="1"/>
  <c r="A2224" i="1"/>
  <c r="B2224" i="1"/>
  <c r="C2224" i="1"/>
  <c r="D2224" i="1"/>
  <c r="Q2224" i="1"/>
  <c r="R2224" i="1"/>
  <c r="E2224" i="1"/>
  <c r="G2224" i="1"/>
  <c r="H2224" i="1"/>
  <c r="J2224" i="1"/>
  <c r="K2224" i="1"/>
  <c r="L2224" i="1"/>
  <c r="A2225" i="1"/>
  <c r="B2225" i="1"/>
  <c r="C2225" i="1"/>
  <c r="D2225" i="1"/>
  <c r="Q2225" i="1"/>
  <c r="R2225" i="1"/>
  <c r="E2225" i="1"/>
  <c r="G2225" i="1"/>
  <c r="H2225" i="1"/>
  <c r="J2225" i="1"/>
  <c r="K2225" i="1"/>
  <c r="L2225" i="1"/>
  <c r="A2226" i="1"/>
  <c r="B2226" i="1"/>
  <c r="C2226" i="1"/>
  <c r="D2226" i="1"/>
  <c r="Q2226" i="1"/>
  <c r="R2226" i="1"/>
  <c r="E2226" i="1"/>
  <c r="G2226" i="1"/>
  <c r="H2226" i="1"/>
  <c r="J2226" i="1"/>
  <c r="K2226" i="1"/>
  <c r="L2226" i="1"/>
  <c r="A2227" i="1"/>
  <c r="B2227" i="1"/>
  <c r="C2227" i="1"/>
  <c r="D2227" i="1"/>
  <c r="Q2227" i="1"/>
  <c r="R2227" i="1"/>
  <c r="E2227" i="1"/>
  <c r="G2227" i="1"/>
  <c r="H2227" i="1"/>
  <c r="J2227" i="1"/>
  <c r="K2227" i="1"/>
  <c r="L2227" i="1"/>
  <c r="A2228" i="1"/>
  <c r="B2228" i="1"/>
  <c r="C2228" i="1"/>
  <c r="D2228" i="1"/>
  <c r="Q2228" i="1"/>
  <c r="R2228" i="1"/>
  <c r="E2228" i="1"/>
  <c r="G2228" i="1"/>
  <c r="H2228" i="1"/>
  <c r="J2228" i="1"/>
  <c r="K2228" i="1"/>
  <c r="L2228" i="1"/>
  <c r="A2229" i="1"/>
  <c r="B2229" i="1"/>
  <c r="C2229" i="1"/>
  <c r="D2229" i="1"/>
  <c r="Q2229" i="1"/>
  <c r="R2229" i="1"/>
  <c r="E2229" i="1"/>
  <c r="G2229" i="1"/>
  <c r="H2229" i="1"/>
  <c r="J2229" i="1"/>
  <c r="K2229" i="1"/>
  <c r="L2229" i="1"/>
  <c r="A2230" i="1"/>
  <c r="B2230" i="1"/>
  <c r="C2230" i="1"/>
  <c r="D2230" i="1"/>
  <c r="Q2230" i="1"/>
  <c r="R2230" i="1"/>
  <c r="E2230" i="1"/>
  <c r="G2230" i="1"/>
  <c r="H2230" i="1"/>
  <c r="J2230" i="1"/>
  <c r="K2230" i="1"/>
  <c r="L2230" i="1"/>
  <c r="A2231" i="1"/>
  <c r="B2231" i="1"/>
  <c r="C2231" i="1"/>
  <c r="D2231" i="1"/>
  <c r="Q2231" i="1"/>
  <c r="R2231" i="1"/>
  <c r="E2231" i="1"/>
  <c r="G2231" i="1"/>
  <c r="H2231" i="1"/>
  <c r="J2231" i="1"/>
  <c r="K2231" i="1"/>
  <c r="L2231" i="1"/>
  <c r="A2232" i="1"/>
  <c r="B2232" i="1"/>
  <c r="C2232" i="1"/>
  <c r="D2232" i="1"/>
  <c r="Q2232" i="1"/>
  <c r="R2232" i="1"/>
  <c r="E2232" i="1"/>
  <c r="G2232" i="1"/>
  <c r="H2232" i="1"/>
  <c r="J2232" i="1"/>
  <c r="K2232" i="1"/>
  <c r="L2232" i="1"/>
  <c r="A2233" i="1"/>
  <c r="B2233" i="1"/>
  <c r="C2233" i="1"/>
  <c r="D2233" i="1"/>
  <c r="Q2233" i="1"/>
  <c r="R2233" i="1"/>
  <c r="E2233" i="1"/>
  <c r="G2233" i="1"/>
  <c r="H2233" i="1"/>
  <c r="J2233" i="1"/>
  <c r="K2233" i="1"/>
  <c r="L2233" i="1"/>
  <c r="A2234" i="1"/>
  <c r="B2234" i="1"/>
  <c r="C2234" i="1"/>
  <c r="D2234" i="1"/>
  <c r="Q2234" i="1"/>
  <c r="R2234" i="1"/>
  <c r="E2234" i="1"/>
  <c r="G2234" i="1"/>
  <c r="H2234" i="1"/>
  <c r="J2234" i="1"/>
  <c r="K2234" i="1"/>
  <c r="L2234" i="1"/>
  <c r="A2235" i="1"/>
  <c r="B2235" i="1"/>
  <c r="C2235" i="1"/>
  <c r="D2235" i="1"/>
  <c r="Q2235" i="1"/>
  <c r="R2235" i="1"/>
  <c r="E2235" i="1"/>
  <c r="G2235" i="1"/>
  <c r="H2235" i="1"/>
  <c r="J2235" i="1"/>
  <c r="K2235" i="1"/>
  <c r="L2235" i="1"/>
  <c r="A2236" i="1"/>
  <c r="B2236" i="1"/>
  <c r="C2236" i="1"/>
  <c r="D2236" i="1"/>
  <c r="Q2236" i="1"/>
  <c r="R2236" i="1"/>
  <c r="E2236" i="1"/>
  <c r="G2236" i="1"/>
  <c r="H2236" i="1"/>
  <c r="J2236" i="1"/>
  <c r="K2236" i="1"/>
  <c r="L2236" i="1"/>
  <c r="A2237" i="1"/>
  <c r="B2237" i="1"/>
  <c r="C2237" i="1"/>
  <c r="D2237" i="1"/>
  <c r="Q2237" i="1"/>
  <c r="R2237" i="1"/>
  <c r="E2237" i="1"/>
  <c r="G2237" i="1"/>
  <c r="H2237" i="1"/>
  <c r="J2237" i="1"/>
  <c r="K2237" i="1"/>
  <c r="L2237" i="1"/>
  <c r="A2238" i="1"/>
  <c r="B2238" i="1"/>
  <c r="C2238" i="1"/>
  <c r="D2238" i="1"/>
  <c r="Q2238" i="1"/>
  <c r="R2238" i="1"/>
  <c r="E2238" i="1"/>
  <c r="G2238" i="1"/>
  <c r="H2238" i="1"/>
  <c r="J2238" i="1"/>
  <c r="K2238" i="1"/>
  <c r="L2238" i="1"/>
  <c r="A2239" i="1"/>
  <c r="B2239" i="1"/>
  <c r="C2239" i="1"/>
  <c r="D2239" i="1"/>
  <c r="Q2239" i="1"/>
  <c r="R2239" i="1"/>
  <c r="E2239" i="1"/>
  <c r="G2239" i="1"/>
  <c r="H2239" i="1"/>
  <c r="J2239" i="1"/>
  <c r="K2239" i="1"/>
  <c r="L2239" i="1"/>
  <c r="A2240" i="1"/>
  <c r="B2240" i="1"/>
  <c r="C2240" i="1"/>
  <c r="D2240" i="1"/>
  <c r="Q2240" i="1"/>
  <c r="R2240" i="1"/>
  <c r="E2240" i="1"/>
  <c r="G2240" i="1"/>
  <c r="H2240" i="1"/>
  <c r="J2240" i="1"/>
  <c r="K2240" i="1"/>
  <c r="L2240" i="1"/>
  <c r="A2241" i="1"/>
  <c r="B2241" i="1"/>
  <c r="C2241" i="1"/>
  <c r="D2241" i="1"/>
  <c r="Q2241" i="1"/>
  <c r="R2241" i="1"/>
  <c r="E2241" i="1"/>
  <c r="G2241" i="1"/>
  <c r="H2241" i="1"/>
  <c r="J2241" i="1"/>
  <c r="K2241" i="1"/>
  <c r="L2241" i="1"/>
  <c r="A2242" i="1"/>
  <c r="B2242" i="1"/>
  <c r="C2242" i="1"/>
  <c r="D2242" i="1"/>
  <c r="Q2242" i="1"/>
  <c r="R2242" i="1"/>
  <c r="E2242" i="1"/>
  <c r="G2242" i="1"/>
  <c r="H2242" i="1"/>
  <c r="J2242" i="1"/>
  <c r="K2242" i="1"/>
  <c r="L2242" i="1"/>
  <c r="A2243" i="1"/>
  <c r="B2243" i="1"/>
  <c r="C2243" i="1"/>
  <c r="D2243" i="1"/>
  <c r="Q2243" i="1"/>
  <c r="R2243" i="1"/>
  <c r="E2243" i="1"/>
  <c r="G2243" i="1"/>
  <c r="H2243" i="1"/>
  <c r="J2243" i="1"/>
  <c r="K2243" i="1"/>
  <c r="L2243" i="1"/>
  <c r="A2244" i="1"/>
  <c r="B2244" i="1"/>
  <c r="C2244" i="1"/>
  <c r="D2244" i="1"/>
  <c r="Q2244" i="1"/>
  <c r="R2244" i="1"/>
  <c r="E2244" i="1"/>
  <c r="G2244" i="1"/>
  <c r="H2244" i="1"/>
  <c r="J2244" i="1"/>
  <c r="K2244" i="1"/>
  <c r="L2244" i="1"/>
  <c r="A2245" i="1"/>
  <c r="B2245" i="1"/>
  <c r="C2245" i="1"/>
  <c r="D2245" i="1"/>
  <c r="Q2245" i="1"/>
  <c r="R2245" i="1"/>
  <c r="E2245" i="1"/>
  <c r="G2245" i="1"/>
  <c r="H2245" i="1"/>
  <c r="J2245" i="1"/>
  <c r="K2245" i="1"/>
  <c r="L2245" i="1"/>
  <c r="A2246" i="1"/>
  <c r="B2246" i="1"/>
  <c r="C2246" i="1"/>
  <c r="D2246" i="1"/>
  <c r="Q2246" i="1"/>
  <c r="R2246" i="1"/>
  <c r="E2246" i="1"/>
  <c r="G2246" i="1"/>
  <c r="H2246" i="1"/>
  <c r="J2246" i="1"/>
  <c r="K2246" i="1"/>
  <c r="L2246" i="1"/>
  <c r="A2247" i="1"/>
  <c r="B2247" i="1"/>
  <c r="C2247" i="1"/>
  <c r="D2247" i="1"/>
  <c r="Q2247" i="1"/>
  <c r="R2247" i="1"/>
  <c r="E2247" i="1"/>
  <c r="G2247" i="1"/>
  <c r="H2247" i="1"/>
  <c r="J2247" i="1"/>
  <c r="K2247" i="1"/>
  <c r="L2247" i="1"/>
  <c r="A2248" i="1"/>
  <c r="B2248" i="1"/>
  <c r="C2248" i="1"/>
  <c r="D2248" i="1"/>
  <c r="Q2248" i="1"/>
  <c r="R2248" i="1"/>
  <c r="E2248" i="1"/>
  <c r="G2248" i="1"/>
  <c r="H2248" i="1"/>
  <c r="J2248" i="1"/>
  <c r="K2248" i="1"/>
  <c r="L2248" i="1"/>
  <c r="A2249" i="1"/>
  <c r="B2249" i="1"/>
  <c r="C2249" i="1"/>
  <c r="D2249" i="1"/>
  <c r="Q2249" i="1"/>
  <c r="R2249" i="1"/>
  <c r="E2249" i="1"/>
  <c r="G2249" i="1"/>
  <c r="H2249" i="1"/>
  <c r="J2249" i="1"/>
  <c r="K2249" i="1"/>
  <c r="L2249" i="1"/>
  <c r="A2250" i="1"/>
  <c r="B2250" i="1"/>
  <c r="C2250" i="1"/>
  <c r="D2250" i="1"/>
  <c r="Q2250" i="1"/>
  <c r="R2250" i="1"/>
  <c r="E2250" i="1"/>
  <c r="G2250" i="1"/>
  <c r="H2250" i="1"/>
  <c r="J2250" i="1"/>
  <c r="K2250" i="1"/>
  <c r="L2250" i="1"/>
  <c r="A2251" i="1"/>
  <c r="B2251" i="1"/>
  <c r="C2251" i="1"/>
  <c r="D2251" i="1"/>
  <c r="Q2251" i="1"/>
  <c r="R2251" i="1"/>
  <c r="E2251" i="1"/>
  <c r="G2251" i="1"/>
  <c r="H2251" i="1"/>
  <c r="J2251" i="1"/>
  <c r="K2251" i="1"/>
  <c r="L2251" i="1"/>
  <c r="A2252" i="1"/>
  <c r="B2252" i="1"/>
  <c r="C2252" i="1"/>
  <c r="D2252" i="1"/>
  <c r="Q2252" i="1"/>
  <c r="R2252" i="1"/>
  <c r="E2252" i="1"/>
  <c r="G2252" i="1"/>
  <c r="H2252" i="1"/>
  <c r="J2252" i="1"/>
  <c r="K2252" i="1"/>
  <c r="L2252" i="1"/>
  <c r="A2253" i="1"/>
  <c r="B2253" i="1"/>
  <c r="C2253" i="1"/>
  <c r="D2253" i="1"/>
  <c r="Q2253" i="1"/>
  <c r="R2253" i="1"/>
  <c r="E2253" i="1"/>
  <c r="G2253" i="1"/>
  <c r="H2253" i="1"/>
  <c r="J2253" i="1"/>
  <c r="K2253" i="1"/>
  <c r="L2253" i="1"/>
  <c r="A2254" i="1"/>
  <c r="B2254" i="1"/>
  <c r="C2254" i="1"/>
  <c r="D2254" i="1"/>
  <c r="Q2254" i="1"/>
  <c r="R2254" i="1"/>
  <c r="E2254" i="1"/>
  <c r="G2254" i="1"/>
  <c r="H2254" i="1"/>
  <c r="J2254" i="1"/>
  <c r="K2254" i="1"/>
  <c r="L2254" i="1"/>
  <c r="A2255" i="1"/>
  <c r="B2255" i="1"/>
  <c r="C2255" i="1"/>
  <c r="D2255" i="1"/>
  <c r="Q2255" i="1"/>
  <c r="R2255" i="1"/>
  <c r="E2255" i="1"/>
  <c r="G2255" i="1"/>
  <c r="H2255" i="1"/>
  <c r="J2255" i="1"/>
  <c r="K2255" i="1"/>
  <c r="L2255" i="1"/>
  <c r="A2256" i="1"/>
  <c r="B2256" i="1"/>
  <c r="C2256" i="1"/>
  <c r="D2256" i="1"/>
  <c r="Q2256" i="1"/>
  <c r="R2256" i="1"/>
  <c r="E2256" i="1"/>
  <c r="G2256" i="1"/>
  <c r="H2256" i="1"/>
  <c r="J2256" i="1"/>
  <c r="K2256" i="1"/>
  <c r="L2256" i="1"/>
  <c r="A2257" i="1"/>
  <c r="B2257" i="1"/>
  <c r="C2257" i="1"/>
  <c r="D2257" i="1"/>
  <c r="Q2257" i="1"/>
  <c r="R2257" i="1"/>
  <c r="E2257" i="1"/>
  <c r="G2257" i="1"/>
  <c r="H2257" i="1"/>
  <c r="J2257" i="1"/>
  <c r="K2257" i="1"/>
  <c r="L2257" i="1"/>
  <c r="A2258" i="1"/>
  <c r="B2258" i="1"/>
  <c r="C2258" i="1"/>
  <c r="D2258" i="1"/>
  <c r="Q2258" i="1"/>
  <c r="R2258" i="1"/>
  <c r="E2258" i="1"/>
  <c r="G2258" i="1"/>
  <c r="H2258" i="1"/>
  <c r="J2258" i="1"/>
  <c r="K2258" i="1"/>
  <c r="L2258" i="1"/>
  <c r="A2259" i="1"/>
  <c r="B2259" i="1"/>
  <c r="C2259" i="1"/>
  <c r="D2259" i="1"/>
  <c r="Q2259" i="1"/>
  <c r="R2259" i="1"/>
  <c r="E2259" i="1"/>
  <c r="G2259" i="1"/>
  <c r="H2259" i="1"/>
  <c r="J2259" i="1"/>
  <c r="K2259" i="1"/>
  <c r="L2259" i="1"/>
  <c r="A2260" i="1"/>
  <c r="B2260" i="1"/>
  <c r="C2260" i="1"/>
  <c r="D2260" i="1"/>
  <c r="Q2260" i="1"/>
  <c r="R2260" i="1"/>
  <c r="E2260" i="1"/>
  <c r="G2260" i="1"/>
  <c r="H2260" i="1"/>
  <c r="J2260" i="1"/>
  <c r="K2260" i="1"/>
  <c r="L2260" i="1"/>
  <c r="A2261" i="1"/>
  <c r="B2261" i="1"/>
  <c r="C2261" i="1"/>
  <c r="D2261" i="1"/>
  <c r="Q2261" i="1"/>
  <c r="R2261" i="1"/>
  <c r="E2261" i="1"/>
  <c r="G2261" i="1"/>
  <c r="H2261" i="1"/>
  <c r="J2261" i="1"/>
  <c r="K2261" i="1"/>
  <c r="L2261" i="1"/>
  <c r="A2262" i="1"/>
  <c r="B2262" i="1"/>
  <c r="C2262" i="1"/>
  <c r="D2262" i="1"/>
  <c r="Q2262" i="1"/>
  <c r="R2262" i="1"/>
  <c r="E2262" i="1"/>
  <c r="G2262" i="1"/>
  <c r="H2262" i="1"/>
  <c r="J2262" i="1"/>
  <c r="K2262" i="1"/>
  <c r="L2262" i="1"/>
  <c r="A2263" i="1"/>
  <c r="B2263" i="1"/>
  <c r="C2263" i="1"/>
  <c r="D2263" i="1"/>
  <c r="Q2263" i="1"/>
  <c r="R2263" i="1"/>
  <c r="E2263" i="1"/>
  <c r="G2263" i="1"/>
  <c r="H2263" i="1"/>
  <c r="J2263" i="1"/>
  <c r="K2263" i="1"/>
  <c r="L2263" i="1"/>
  <c r="A2264" i="1"/>
  <c r="B2264" i="1"/>
  <c r="C2264" i="1"/>
  <c r="D2264" i="1"/>
  <c r="Q2264" i="1"/>
  <c r="R2264" i="1"/>
  <c r="E2264" i="1"/>
  <c r="G2264" i="1"/>
  <c r="H2264" i="1"/>
  <c r="J2264" i="1"/>
  <c r="K2264" i="1"/>
  <c r="L2264" i="1"/>
  <c r="A2265" i="1"/>
  <c r="B2265" i="1"/>
  <c r="C2265" i="1"/>
  <c r="D2265" i="1"/>
  <c r="Q2265" i="1"/>
  <c r="R2265" i="1"/>
  <c r="E2265" i="1"/>
  <c r="G2265" i="1"/>
  <c r="H2265" i="1"/>
  <c r="J2265" i="1"/>
  <c r="K2265" i="1"/>
  <c r="L2265" i="1"/>
  <c r="A2266" i="1"/>
  <c r="B2266" i="1"/>
  <c r="C2266" i="1"/>
  <c r="D2266" i="1"/>
  <c r="Q2266" i="1"/>
  <c r="R2266" i="1"/>
  <c r="E2266" i="1"/>
  <c r="G2266" i="1"/>
  <c r="H2266" i="1"/>
  <c r="J2266" i="1"/>
  <c r="K2266" i="1"/>
  <c r="L2266" i="1"/>
  <c r="A2267" i="1"/>
  <c r="B2267" i="1"/>
  <c r="C2267" i="1"/>
  <c r="D2267" i="1"/>
  <c r="Q2267" i="1"/>
  <c r="R2267" i="1"/>
  <c r="E2267" i="1"/>
  <c r="G2267" i="1"/>
  <c r="H2267" i="1"/>
  <c r="J2267" i="1"/>
  <c r="K2267" i="1"/>
  <c r="L2267" i="1"/>
  <c r="A2268" i="1"/>
  <c r="B2268" i="1"/>
  <c r="C2268" i="1"/>
  <c r="D2268" i="1"/>
  <c r="Q2268" i="1"/>
  <c r="R2268" i="1"/>
  <c r="E2268" i="1"/>
  <c r="G2268" i="1"/>
  <c r="H2268" i="1"/>
  <c r="J2268" i="1"/>
  <c r="K2268" i="1"/>
  <c r="L2268" i="1"/>
  <c r="A2269" i="1"/>
  <c r="B2269" i="1"/>
  <c r="C2269" i="1"/>
  <c r="D2269" i="1"/>
  <c r="Q2269" i="1"/>
  <c r="R2269" i="1"/>
  <c r="E2269" i="1"/>
  <c r="G2269" i="1"/>
  <c r="H2269" i="1"/>
  <c r="J2269" i="1"/>
  <c r="K2269" i="1"/>
  <c r="L2269" i="1"/>
  <c r="A2270" i="1"/>
  <c r="B2270" i="1"/>
  <c r="C2270" i="1"/>
  <c r="D2270" i="1"/>
  <c r="Q2270" i="1"/>
  <c r="R2270" i="1"/>
  <c r="E2270" i="1"/>
  <c r="G2270" i="1"/>
  <c r="H2270" i="1"/>
  <c r="J2270" i="1"/>
  <c r="K2270" i="1"/>
  <c r="L2270" i="1"/>
  <c r="A2271" i="1"/>
  <c r="B2271" i="1"/>
  <c r="C2271" i="1"/>
  <c r="D2271" i="1"/>
  <c r="Q2271" i="1"/>
  <c r="R2271" i="1"/>
  <c r="E2271" i="1"/>
  <c r="G2271" i="1"/>
  <c r="H2271" i="1"/>
  <c r="J2271" i="1"/>
  <c r="K2271" i="1"/>
  <c r="L2271" i="1"/>
  <c r="A2272" i="1"/>
  <c r="B2272" i="1"/>
  <c r="C2272" i="1"/>
  <c r="D2272" i="1"/>
  <c r="Q2272" i="1"/>
  <c r="R2272" i="1"/>
  <c r="E2272" i="1"/>
  <c r="G2272" i="1"/>
  <c r="H2272" i="1"/>
  <c r="J2272" i="1"/>
  <c r="K2272" i="1"/>
  <c r="L2272" i="1"/>
  <c r="A2273" i="1"/>
  <c r="B2273" i="1"/>
  <c r="C2273" i="1"/>
  <c r="D2273" i="1"/>
  <c r="Q2273" i="1"/>
  <c r="R2273" i="1"/>
  <c r="E2273" i="1"/>
  <c r="G2273" i="1"/>
  <c r="H2273" i="1"/>
  <c r="J2273" i="1"/>
  <c r="K2273" i="1"/>
  <c r="L2273" i="1"/>
  <c r="A2274" i="1"/>
  <c r="B2274" i="1"/>
  <c r="C2274" i="1"/>
  <c r="D2274" i="1"/>
  <c r="Q2274" i="1"/>
  <c r="R2274" i="1"/>
  <c r="E2274" i="1"/>
  <c r="G2274" i="1"/>
  <c r="H2274" i="1"/>
  <c r="J2274" i="1"/>
  <c r="K2274" i="1"/>
  <c r="L2274" i="1"/>
  <c r="A2275" i="1"/>
  <c r="B2275" i="1"/>
  <c r="C2275" i="1"/>
  <c r="D2275" i="1"/>
  <c r="Q2275" i="1"/>
  <c r="R2275" i="1"/>
  <c r="E2275" i="1"/>
  <c r="G2275" i="1"/>
  <c r="H2275" i="1"/>
  <c r="J2275" i="1"/>
  <c r="K2275" i="1"/>
  <c r="L2275" i="1"/>
  <c r="A2276" i="1"/>
  <c r="B2276" i="1"/>
  <c r="C2276" i="1"/>
  <c r="D2276" i="1"/>
  <c r="Q2276" i="1"/>
  <c r="R2276" i="1"/>
  <c r="E2276" i="1"/>
  <c r="G2276" i="1"/>
  <c r="H2276" i="1"/>
  <c r="J2276" i="1"/>
  <c r="K2276" i="1"/>
  <c r="L2276" i="1"/>
  <c r="A2277" i="1"/>
  <c r="B2277" i="1"/>
  <c r="C2277" i="1"/>
  <c r="D2277" i="1"/>
  <c r="Q2277" i="1"/>
  <c r="R2277" i="1"/>
  <c r="E2277" i="1"/>
  <c r="G2277" i="1"/>
  <c r="H2277" i="1"/>
  <c r="J2277" i="1"/>
  <c r="K2277" i="1"/>
  <c r="L2277" i="1"/>
  <c r="A2278" i="1"/>
  <c r="B2278" i="1"/>
  <c r="C2278" i="1"/>
  <c r="D2278" i="1"/>
  <c r="Q2278" i="1"/>
  <c r="R2278" i="1"/>
  <c r="E2278" i="1"/>
  <c r="G2278" i="1"/>
  <c r="H2278" i="1"/>
  <c r="J2278" i="1"/>
  <c r="K2278" i="1"/>
  <c r="L2278" i="1"/>
  <c r="A2279" i="1"/>
  <c r="B2279" i="1"/>
  <c r="C2279" i="1"/>
  <c r="D2279" i="1"/>
  <c r="Q2279" i="1"/>
  <c r="R2279" i="1"/>
  <c r="E2279" i="1"/>
  <c r="G2279" i="1"/>
  <c r="H2279" i="1"/>
  <c r="J2279" i="1"/>
  <c r="K2279" i="1"/>
  <c r="L2279" i="1"/>
  <c r="A2280" i="1"/>
  <c r="B2280" i="1"/>
  <c r="C2280" i="1"/>
  <c r="D2280" i="1"/>
  <c r="Q2280" i="1"/>
  <c r="R2280" i="1"/>
  <c r="E2280" i="1"/>
  <c r="G2280" i="1"/>
  <c r="H2280" i="1"/>
  <c r="J2280" i="1"/>
  <c r="K2280" i="1"/>
  <c r="L2280" i="1"/>
  <c r="A2281" i="1"/>
  <c r="B2281" i="1"/>
  <c r="C2281" i="1"/>
  <c r="D2281" i="1"/>
  <c r="Q2281" i="1"/>
  <c r="R2281" i="1"/>
  <c r="E2281" i="1"/>
  <c r="G2281" i="1"/>
  <c r="H2281" i="1"/>
  <c r="J2281" i="1"/>
  <c r="K2281" i="1"/>
  <c r="L2281" i="1"/>
  <c r="A2282" i="1"/>
  <c r="B2282" i="1"/>
  <c r="C2282" i="1"/>
  <c r="D2282" i="1"/>
  <c r="Q2282" i="1"/>
  <c r="R2282" i="1"/>
  <c r="E2282" i="1"/>
  <c r="G2282" i="1"/>
  <c r="H2282" i="1"/>
  <c r="J2282" i="1"/>
  <c r="K2282" i="1"/>
  <c r="L2282" i="1"/>
  <c r="A2283" i="1"/>
  <c r="B2283" i="1"/>
  <c r="C2283" i="1"/>
  <c r="D2283" i="1"/>
  <c r="Q2283" i="1"/>
  <c r="R2283" i="1"/>
  <c r="E2283" i="1"/>
  <c r="G2283" i="1"/>
  <c r="H2283" i="1"/>
  <c r="J2283" i="1"/>
  <c r="K2283" i="1"/>
  <c r="L2283" i="1"/>
  <c r="A2284" i="1"/>
  <c r="B2284" i="1"/>
  <c r="C2284" i="1"/>
  <c r="D2284" i="1"/>
  <c r="Q2284" i="1"/>
  <c r="R2284" i="1"/>
  <c r="E2284" i="1"/>
  <c r="G2284" i="1"/>
  <c r="H2284" i="1"/>
  <c r="J2284" i="1"/>
  <c r="K2284" i="1"/>
  <c r="L2284" i="1"/>
  <c r="A2285" i="1"/>
  <c r="B2285" i="1"/>
  <c r="C2285" i="1"/>
  <c r="D2285" i="1"/>
  <c r="Q2285" i="1"/>
  <c r="R2285" i="1"/>
  <c r="E2285" i="1"/>
  <c r="G2285" i="1"/>
  <c r="H2285" i="1"/>
  <c r="J2285" i="1"/>
  <c r="K2285" i="1"/>
  <c r="L2285" i="1"/>
  <c r="A2286" i="1"/>
  <c r="B2286" i="1"/>
  <c r="C2286" i="1"/>
  <c r="D2286" i="1"/>
  <c r="Q2286" i="1"/>
  <c r="R2286" i="1"/>
  <c r="E2286" i="1"/>
  <c r="G2286" i="1"/>
  <c r="H2286" i="1"/>
  <c r="J2286" i="1"/>
  <c r="K2286" i="1"/>
  <c r="L2286" i="1"/>
  <c r="A2287" i="1"/>
  <c r="B2287" i="1"/>
  <c r="C2287" i="1"/>
  <c r="D2287" i="1"/>
  <c r="Q2287" i="1"/>
  <c r="R2287" i="1"/>
  <c r="E2287" i="1"/>
  <c r="G2287" i="1"/>
  <c r="H2287" i="1"/>
  <c r="J2287" i="1"/>
  <c r="K2287" i="1"/>
  <c r="L2287" i="1"/>
  <c r="A2288" i="1"/>
  <c r="B2288" i="1"/>
  <c r="C2288" i="1"/>
  <c r="D2288" i="1"/>
  <c r="Q2288" i="1"/>
  <c r="R2288" i="1"/>
  <c r="E2288" i="1"/>
  <c r="G2288" i="1"/>
  <c r="H2288" i="1"/>
  <c r="J2288" i="1"/>
  <c r="K2288" i="1"/>
  <c r="L2288" i="1"/>
  <c r="A2289" i="1"/>
  <c r="B2289" i="1"/>
  <c r="C2289" i="1"/>
  <c r="D2289" i="1"/>
  <c r="Q2289" i="1"/>
  <c r="R2289" i="1"/>
  <c r="E2289" i="1"/>
  <c r="G2289" i="1"/>
  <c r="H2289" i="1"/>
  <c r="J2289" i="1"/>
  <c r="K2289" i="1"/>
  <c r="L2289" i="1"/>
  <c r="A2290" i="1"/>
  <c r="B2290" i="1"/>
  <c r="C2290" i="1"/>
  <c r="D2290" i="1"/>
  <c r="Q2290" i="1"/>
  <c r="R2290" i="1"/>
  <c r="E2290" i="1"/>
  <c r="G2290" i="1"/>
  <c r="H2290" i="1"/>
  <c r="J2290" i="1"/>
  <c r="K2290" i="1"/>
  <c r="L2290" i="1"/>
  <c r="A2291" i="1"/>
  <c r="B2291" i="1"/>
  <c r="C2291" i="1"/>
  <c r="D2291" i="1"/>
  <c r="Q2291" i="1"/>
  <c r="R2291" i="1"/>
  <c r="E2291" i="1"/>
  <c r="G2291" i="1"/>
  <c r="H2291" i="1"/>
  <c r="J2291" i="1"/>
  <c r="K2291" i="1"/>
  <c r="L2291" i="1"/>
  <c r="A2292" i="1"/>
  <c r="B2292" i="1"/>
  <c r="C2292" i="1"/>
  <c r="D2292" i="1"/>
  <c r="Q2292" i="1"/>
  <c r="R2292" i="1"/>
  <c r="E2292" i="1"/>
  <c r="G2292" i="1"/>
  <c r="H2292" i="1"/>
  <c r="J2292" i="1"/>
  <c r="K2292" i="1"/>
  <c r="L2292" i="1"/>
  <c r="A2293" i="1"/>
  <c r="B2293" i="1"/>
  <c r="C2293" i="1"/>
  <c r="D2293" i="1"/>
  <c r="Q2293" i="1"/>
  <c r="R2293" i="1"/>
  <c r="E2293" i="1"/>
  <c r="G2293" i="1"/>
  <c r="H2293" i="1"/>
  <c r="J2293" i="1"/>
  <c r="K2293" i="1"/>
  <c r="L2293" i="1"/>
  <c r="A2294" i="1"/>
  <c r="B2294" i="1"/>
  <c r="C2294" i="1"/>
  <c r="D2294" i="1"/>
  <c r="Q2294" i="1"/>
  <c r="R2294" i="1"/>
  <c r="E2294" i="1"/>
  <c r="G2294" i="1"/>
  <c r="H2294" i="1"/>
  <c r="J2294" i="1"/>
  <c r="K2294" i="1"/>
  <c r="L2294" i="1"/>
  <c r="A2295" i="1"/>
  <c r="B2295" i="1"/>
  <c r="C2295" i="1"/>
  <c r="D2295" i="1"/>
  <c r="Q2295" i="1"/>
  <c r="R2295" i="1"/>
  <c r="E2295" i="1"/>
  <c r="G2295" i="1"/>
  <c r="H2295" i="1"/>
  <c r="J2295" i="1"/>
  <c r="K2295" i="1"/>
  <c r="L2295" i="1"/>
  <c r="A2296" i="1"/>
  <c r="B2296" i="1"/>
  <c r="C2296" i="1"/>
  <c r="D2296" i="1"/>
  <c r="Q2296" i="1"/>
  <c r="R2296" i="1"/>
  <c r="E2296" i="1"/>
  <c r="G2296" i="1"/>
  <c r="H2296" i="1"/>
  <c r="J2296" i="1"/>
  <c r="K2296" i="1"/>
  <c r="L2296" i="1"/>
  <c r="A2297" i="1"/>
  <c r="B2297" i="1"/>
  <c r="C2297" i="1"/>
  <c r="D2297" i="1"/>
  <c r="Q2297" i="1"/>
  <c r="R2297" i="1"/>
  <c r="E2297" i="1"/>
  <c r="G2297" i="1"/>
  <c r="H2297" i="1"/>
  <c r="J2297" i="1"/>
  <c r="K2297" i="1"/>
  <c r="L2297" i="1"/>
  <c r="A2298" i="1"/>
  <c r="B2298" i="1"/>
  <c r="C2298" i="1"/>
  <c r="D2298" i="1"/>
  <c r="Q2298" i="1"/>
  <c r="R2298" i="1"/>
  <c r="E2298" i="1"/>
  <c r="G2298" i="1"/>
  <c r="H2298" i="1"/>
  <c r="J2298" i="1"/>
  <c r="K2298" i="1"/>
  <c r="L2298" i="1"/>
  <c r="A2299" i="1"/>
  <c r="B2299" i="1"/>
  <c r="C2299" i="1"/>
  <c r="D2299" i="1"/>
  <c r="Q2299" i="1"/>
  <c r="R2299" i="1"/>
  <c r="E2299" i="1"/>
  <c r="G2299" i="1"/>
  <c r="H2299" i="1"/>
  <c r="J2299" i="1"/>
  <c r="K2299" i="1"/>
  <c r="L2299" i="1"/>
  <c r="A2300" i="1"/>
  <c r="B2300" i="1"/>
  <c r="C2300" i="1"/>
  <c r="D2300" i="1"/>
  <c r="Q2300" i="1"/>
  <c r="R2300" i="1"/>
  <c r="E2300" i="1"/>
  <c r="G2300" i="1"/>
  <c r="H2300" i="1"/>
  <c r="J2300" i="1"/>
  <c r="K2300" i="1"/>
  <c r="L2300" i="1"/>
  <c r="A2301" i="1"/>
  <c r="B2301" i="1"/>
  <c r="C2301" i="1"/>
  <c r="D2301" i="1"/>
  <c r="Q2301" i="1"/>
  <c r="R2301" i="1"/>
  <c r="E2301" i="1"/>
  <c r="G2301" i="1"/>
  <c r="H2301" i="1"/>
  <c r="J2301" i="1"/>
  <c r="K2301" i="1"/>
  <c r="L2301" i="1"/>
  <c r="A2302" i="1"/>
  <c r="B2302" i="1"/>
  <c r="C2302" i="1"/>
  <c r="D2302" i="1"/>
  <c r="Q2302" i="1"/>
  <c r="R2302" i="1"/>
  <c r="E2302" i="1"/>
  <c r="G2302" i="1"/>
  <c r="H2302" i="1"/>
  <c r="J2302" i="1"/>
  <c r="K2302" i="1"/>
  <c r="L2302" i="1"/>
  <c r="A2303" i="1"/>
  <c r="B2303" i="1"/>
  <c r="C2303" i="1"/>
  <c r="D2303" i="1"/>
  <c r="Q2303" i="1"/>
  <c r="R2303" i="1"/>
  <c r="E2303" i="1"/>
  <c r="G2303" i="1"/>
  <c r="H2303" i="1"/>
  <c r="J2303" i="1"/>
  <c r="K2303" i="1"/>
  <c r="L2303" i="1"/>
  <c r="A2304" i="1"/>
  <c r="B2304" i="1"/>
  <c r="C2304" i="1"/>
  <c r="D2304" i="1"/>
  <c r="Q2304" i="1"/>
  <c r="R2304" i="1"/>
  <c r="E2304" i="1"/>
  <c r="G2304" i="1"/>
  <c r="H2304" i="1"/>
  <c r="J2304" i="1"/>
  <c r="K2304" i="1"/>
  <c r="L2304" i="1"/>
  <c r="A2305" i="1"/>
  <c r="B2305" i="1"/>
  <c r="C2305" i="1"/>
  <c r="D2305" i="1"/>
  <c r="Q2305" i="1"/>
  <c r="R2305" i="1"/>
  <c r="E2305" i="1"/>
  <c r="G2305" i="1"/>
  <c r="H2305" i="1"/>
  <c r="J2305" i="1"/>
  <c r="K2305" i="1"/>
  <c r="L2305" i="1"/>
  <c r="A2306" i="1"/>
  <c r="B2306" i="1"/>
  <c r="C2306" i="1"/>
  <c r="D2306" i="1"/>
  <c r="Q2306" i="1"/>
  <c r="R2306" i="1"/>
  <c r="E2306" i="1"/>
  <c r="G2306" i="1"/>
  <c r="H2306" i="1"/>
  <c r="J2306" i="1"/>
  <c r="K2306" i="1"/>
  <c r="L2306" i="1"/>
  <c r="A2307" i="1"/>
  <c r="B2307" i="1"/>
  <c r="C2307" i="1"/>
  <c r="D2307" i="1"/>
  <c r="Q2307" i="1"/>
  <c r="R2307" i="1"/>
  <c r="E2307" i="1"/>
  <c r="G2307" i="1"/>
  <c r="H2307" i="1"/>
  <c r="J2307" i="1"/>
  <c r="K2307" i="1"/>
  <c r="L2307" i="1"/>
  <c r="A2308" i="1"/>
  <c r="B2308" i="1"/>
  <c r="C2308" i="1"/>
  <c r="D2308" i="1"/>
  <c r="Q2308" i="1"/>
  <c r="R2308" i="1"/>
  <c r="E2308" i="1"/>
  <c r="G2308" i="1"/>
  <c r="H2308" i="1"/>
  <c r="J2308" i="1"/>
  <c r="K2308" i="1"/>
  <c r="L2308" i="1"/>
  <c r="A2309" i="1"/>
  <c r="B2309" i="1"/>
  <c r="C2309" i="1"/>
  <c r="D2309" i="1"/>
  <c r="Q2309" i="1"/>
  <c r="R2309" i="1"/>
  <c r="E2309" i="1"/>
  <c r="G2309" i="1"/>
  <c r="H2309" i="1"/>
  <c r="J2309" i="1"/>
  <c r="K2309" i="1"/>
  <c r="L2309" i="1"/>
  <c r="A2310" i="1"/>
  <c r="B2310" i="1"/>
  <c r="C2310" i="1"/>
  <c r="D2310" i="1"/>
  <c r="Q2310" i="1"/>
  <c r="R2310" i="1"/>
  <c r="E2310" i="1"/>
  <c r="G2310" i="1"/>
  <c r="H2310" i="1"/>
  <c r="J2310" i="1"/>
  <c r="K2310" i="1"/>
  <c r="L2310" i="1"/>
  <c r="A2311" i="1"/>
  <c r="B2311" i="1"/>
  <c r="C2311" i="1"/>
  <c r="D2311" i="1"/>
  <c r="Q2311" i="1"/>
  <c r="R2311" i="1"/>
  <c r="E2311" i="1"/>
  <c r="G2311" i="1"/>
  <c r="H2311" i="1"/>
  <c r="J2311" i="1"/>
  <c r="K2311" i="1"/>
  <c r="L2311" i="1"/>
  <c r="A2312" i="1"/>
  <c r="B2312" i="1"/>
  <c r="C2312" i="1"/>
  <c r="D2312" i="1"/>
  <c r="Q2312" i="1"/>
  <c r="R2312" i="1"/>
  <c r="E2312" i="1"/>
  <c r="G2312" i="1"/>
  <c r="H2312" i="1"/>
  <c r="J2312" i="1"/>
  <c r="K2312" i="1"/>
  <c r="L2312" i="1"/>
  <c r="A2313" i="1"/>
  <c r="B2313" i="1"/>
  <c r="C2313" i="1"/>
  <c r="D2313" i="1"/>
  <c r="Q2313" i="1"/>
  <c r="R2313" i="1"/>
  <c r="E2313" i="1"/>
  <c r="G2313" i="1"/>
  <c r="H2313" i="1"/>
  <c r="J2313" i="1"/>
  <c r="K2313" i="1"/>
  <c r="L2313" i="1"/>
  <c r="A2314" i="1"/>
  <c r="B2314" i="1"/>
  <c r="C2314" i="1"/>
  <c r="D2314" i="1"/>
  <c r="Q2314" i="1"/>
  <c r="R2314" i="1"/>
  <c r="E2314" i="1"/>
  <c r="G2314" i="1"/>
  <c r="H2314" i="1"/>
  <c r="J2314" i="1"/>
  <c r="K2314" i="1"/>
  <c r="L2314" i="1"/>
  <c r="A2315" i="1"/>
  <c r="B2315" i="1"/>
  <c r="C2315" i="1"/>
  <c r="D2315" i="1"/>
  <c r="Q2315" i="1"/>
  <c r="R2315" i="1"/>
  <c r="E2315" i="1"/>
  <c r="G2315" i="1"/>
  <c r="H2315" i="1"/>
  <c r="J2315" i="1"/>
  <c r="K2315" i="1"/>
  <c r="L2315" i="1"/>
  <c r="A2316" i="1"/>
  <c r="B2316" i="1"/>
  <c r="C2316" i="1"/>
  <c r="D2316" i="1"/>
  <c r="Q2316" i="1"/>
  <c r="R2316" i="1"/>
  <c r="E2316" i="1"/>
  <c r="G2316" i="1"/>
  <c r="H2316" i="1"/>
  <c r="J2316" i="1"/>
  <c r="K2316" i="1"/>
  <c r="L2316" i="1"/>
  <c r="A2317" i="1"/>
  <c r="B2317" i="1"/>
  <c r="C2317" i="1"/>
  <c r="D2317" i="1"/>
  <c r="Q2317" i="1"/>
  <c r="R2317" i="1"/>
  <c r="E2317" i="1"/>
  <c r="G2317" i="1"/>
  <c r="H2317" i="1"/>
  <c r="J2317" i="1"/>
  <c r="K2317" i="1"/>
  <c r="L2317" i="1"/>
  <c r="A2318" i="1"/>
  <c r="B2318" i="1"/>
  <c r="C2318" i="1"/>
  <c r="D2318" i="1"/>
  <c r="Q2318" i="1"/>
  <c r="R2318" i="1"/>
  <c r="E2318" i="1"/>
  <c r="G2318" i="1"/>
  <c r="H2318" i="1"/>
  <c r="J2318" i="1"/>
  <c r="K2318" i="1"/>
  <c r="L2318" i="1"/>
  <c r="A2319" i="1"/>
  <c r="B2319" i="1"/>
  <c r="C2319" i="1"/>
  <c r="D2319" i="1"/>
  <c r="Q2319" i="1"/>
  <c r="R2319" i="1"/>
  <c r="E2319" i="1"/>
  <c r="G2319" i="1"/>
  <c r="H2319" i="1"/>
  <c r="J2319" i="1"/>
  <c r="K2319" i="1"/>
  <c r="L2319" i="1"/>
  <c r="A2320" i="1"/>
  <c r="B2320" i="1"/>
  <c r="C2320" i="1"/>
  <c r="D2320" i="1"/>
  <c r="Q2320" i="1"/>
  <c r="R2320" i="1"/>
  <c r="E2320" i="1"/>
  <c r="G2320" i="1"/>
  <c r="H2320" i="1"/>
  <c r="J2320" i="1"/>
  <c r="K2320" i="1"/>
  <c r="L2320" i="1"/>
  <c r="A2321" i="1"/>
  <c r="B2321" i="1"/>
  <c r="C2321" i="1"/>
  <c r="D2321" i="1"/>
  <c r="Q2321" i="1"/>
  <c r="R2321" i="1"/>
  <c r="E2321" i="1"/>
  <c r="G2321" i="1"/>
  <c r="H2321" i="1"/>
  <c r="J2321" i="1"/>
  <c r="K2321" i="1"/>
  <c r="L2321" i="1"/>
  <c r="A2322" i="1"/>
  <c r="B2322" i="1"/>
  <c r="C2322" i="1"/>
  <c r="D2322" i="1"/>
  <c r="Q2322" i="1"/>
  <c r="R2322" i="1"/>
  <c r="E2322" i="1"/>
  <c r="G2322" i="1"/>
  <c r="H2322" i="1"/>
  <c r="J2322" i="1"/>
  <c r="K2322" i="1"/>
  <c r="L2322" i="1"/>
  <c r="A2323" i="1"/>
  <c r="B2323" i="1"/>
  <c r="C2323" i="1"/>
  <c r="D2323" i="1"/>
  <c r="Q2323" i="1"/>
  <c r="R2323" i="1"/>
  <c r="E2323" i="1"/>
  <c r="G2323" i="1"/>
  <c r="H2323" i="1"/>
  <c r="J2323" i="1"/>
  <c r="K2323" i="1"/>
  <c r="L2323" i="1"/>
  <c r="A2324" i="1"/>
  <c r="B2324" i="1"/>
  <c r="C2324" i="1"/>
  <c r="D2324" i="1"/>
  <c r="Q2324" i="1"/>
  <c r="R2324" i="1"/>
  <c r="E2324" i="1"/>
  <c r="G2324" i="1"/>
  <c r="H2324" i="1"/>
  <c r="J2324" i="1"/>
  <c r="K2324" i="1"/>
  <c r="L2324" i="1"/>
  <c r="A2325" i="1"/>
  <c r="B2325" i="1"/>
  <c r="C2325" i="1"/>
  <c r="D2325" i="1"/>
  <c r="Q2325" i="1"/>
  <c r="R2325" i="1"/>
  <c r="E2325" i="1"/>
  <c r="G2325" i="1"/>
  <c r="H2325" i="1"/>
  <c r="J2325" i="1"/>
  <c r="K2325" i="1"/>
  <c r="L2325" i="1"/>
  <c r="A2326" i="1"/>
  <c r="B2326" i="1"/>
  <c r="C2326" i="1"/>
  <c r="D2326" i="1"/>
  <c r="Q2326" i="1"/>
  <c r="R2326" i="1"/>
  <c r="E2326" i="1"/>
  <c r="G2326" i="1"/>
  <c r="H2326" i="1"/>
  <c r="J2326" i="1"/>
  <c r="K2326" i="1"/>
  <c r="L2326" i="1"/>
  <c r="A2327" i="1"/>
  <c r="B2327" i="1"/>
  <c r="C2327" i="1"/>
  <c r="D2327" i="1"/>
  <c r="Q2327" i="1"/>
  <c r="R2327" i="1"/>
  <c r="E2327" i="1"/>
  <c r="G2327" i="1"/>
  <c r="H2327" i="1"/>
  <c r="J2327" i="1"/>
  <c r="K2327" i="1"/>
  <c r="L2327" i="1"/>
  <c r="A2328" i="1"/>
  <c r="B2328" i="1"/>
  <c r="C2328" i="1"/>
  <c r="D2328" i="1"/>
  <c r="Q2328" i="1"/>
  <c r="R2328" i="1"/>
  <c r="E2328" i="1"/>
  <c r="G2328" i="1"/>
  <c r="H2328" i="1"/>
  <c r="J2328" i="1"/>
  <c r="K2328" i="1"/>
  <c r="L2328" i="1"/>
  <c r="A2329" i="1"/>
  <c r="B2329" i="1"/>
  <c r="C2329" i="1"/>
  <c r="D2329" i="1"/>
  <c r="Q2329" i="1"/>
  <c r="R2329" i="1"/>
  <c r="E2329" i="1"/>
  <c r="G2329" i="1"/>
  <c r="H2329" i="1"/>
  <c r="J2329" i="1"/>
  <c r="K2329" i="1"/>
  <c r="L2329" i="1"/>
  <c r="A2330" i="1"/>
  <c r="B2330" i="1"/>
  <c r="C2330" i="1"/>
  <c r="D2330" i="1"/>
  <c r="Q2330" i="1"/>
  <c r="R2330" i="1"/>
  <c r="E2330" i="1"/>
  <c r="G2330" i="1"/>
  <c r="H2330" i="1"/>
  <c r="J2330" i="1"/>
  <c r="K2330" i="1"/>
  <c r="L2330" i="1"/>
  <c r="A2331" i="1"/>
  <c r="B2331" i="1"/>
  <c r="C2331" i="1"/>
  <c r="D2331" i="1"/>
  <c r="Q2331" i="1"/>
  <c r="R2331" i="1"/>
  <c r="E2331" i="1"/>
  <c r="G2331" i="1"/>
  <c r="H2331" i="1"/>
  <c r="J2331" i="1"/>
  <c r="K2331" i="1"/>
  <c r="L2331" i="1"/>
  <c r="A2332" i="1"/>
  <c r="B2332" i="1"/>
  <c r="C2332" i="1"/>
  <c r="D2332" i="1"/>
  <c r="Q2332" i="1"/>
  <c r="R2332" i="1"/>
  <c r="E2332" i="1"/>
  <c r="G2332" i="1"/>
  <c r="H2332" i="1"/>
  <c r="J2332" i="1"/>
  <c r="K2332" i="1"/>
  <c r="L2332" i="1"/>
  <c r="A2333" i="1"/>
  <c r="B2333" i="1"/>
  <c r="C2333" i="1"/>
  <c r="D2333" i="1"/>
  <c r="Q2333" i="1"/>
  <c r="R2333" i="1"/>
  <c r="E2333" i="1"/>
  <c r="G2333" i="1"/>
  <c r="H2333" i="1"/>
  <c r="J2333" i="1"/>
  <c r="K2333" i="1"/>
  <c r="L2333" i="1"/>
  <c r="A2334" i="1"/>
  <c r="B2334" i="1"/>
  <c r="C2334" i="1"/>
  <c r="D2334" i="1"/>
  <c r="Q2334" i="1"/>
  <c r="R2334" i="1"/>
  <c r="E2334" i="1"/>
  <c r="G2334" i="1"/>
  <c r="H2334" i="1"/>
  <c r="J2334" i="1"/>
  <c r="K2334" i="1"/>
  <c r="L2334" i="1"/>
  <c r="A2335" i="1"/>
  <c r="B2335" i="1"/>
  <c r="C2335" i="1"/>
  <c r="D2335" i="1"/>
  <c r="Q2335" i="1"/>
  <c r="R2335" i="1"/>
  <c r="E2335" i="1"/>
  <c r="G2335" i="1"/>
  <c r="H2335" i="1"/>
  <c r="J2335" i="1"/>
  <c r="K2335" i="1"/>
  <c r="L2335" i="1"/>
  <c r="A2336" i="1"/>
  <c r="B2336" i="1"/>
  <c r="C2336" i="1"/>
  <c r="D2336" i="1"/>
  <c r="Q2336" i="1"/>
  <c r="R2336" i="1"/>
  <c r="E2336" i="1"/>
  <c r="G2336" i="1"/>
  <c r="H2336" i="1"/>
  <c r="J2336" i="1"/>
  <c r="K2336" i="1"/>
  <c r="L2336" i="1"/>
  <c r="A2337" i="1"/>
  <c r="B2337" i="1"/>
  <c r="C2337" i="1"/>
  <c r="D2337" i="1"/>
  <c r="Q2337" i="1"/>
  <c r="R2337" i="1"/>
  <c r="E2337" i="1"/>
  <c r="G2337" i="1"/>
  <c r="H2337" i="1"/>
  <c r="J2337" i="1"/>
  <c r="K2337" i="1"/>
  <c r="L2337" i="1"/>
  <c r="A2338" i="1"/>
  <c r="B2338" i="1"/>
  <c r="C2338" i="1"/>
  <c r="D2338" i="1"/>
  <c r="Q2338" i="1"/>
  <c r="R2338" i="1"/>
  <c r="E2338" i="1"/>
  <c r="G2338" i="1"/>
  <c r="H2338" i="1"/>
  <c r="J2338" i="1"/>
  <c r="K2338" i="1"/>
  <c r="L2338" i="1"/>
  <c r="A2339" i="1"/>
  <c r="B2339" i="1"/>
  <c r="C2339" i="1"/>
  <c r="D2339" i="1"/>
  <c r="Q2339" i="1"/>
  <c r="R2339" i="1"/>
  <c r="E2339" i="1"/>
  <c r="G2339" i="1"/>
  <c r="H2339" i="1"/>
  <c r="J2339" i="1"/>
  <c r="K2339" i="1"/>
  <c r="L2339" i="1"/>
  <c r="A2340" i="1"/>
  <c r="B2340" i="1"/>
  <c r="C2340" i="1"/>
  <c r="D2340" i="1"/>
  <c r="Q2340" i="1"/>
  <c r="R2340" i="1"/>
  <c r="E2340" i="1"/>
  <c r="G2340" i="1"/>
  <c r="H2340" i="1"/>
  <c r="J2340" i="1"/>
  <c r="K2340" i="1"/>
  <c r="L2340" i="1"/>
  <c r="A2341" i="1"/>
  <c r="B2341" i="1"/>
  <c r="C2341" i="1"/>
  <c r="D2341" i="1"/>
  <c r="Q2341" i="1"/>
  <c r="R2341" i="1"/>
  <c r="E2341" i="1"/>
  <c r="G2341" i="1"/>
  <c r="H2341" i="1"/>
  <c r="J2341" i="1"/>
  <c r="K2341" i="1"/>
  <c r="L2341" i="1"/>
  <c r="A2342" i="1"/>
  <c r="B2342" i="1"/>
  <c r="C2342" i="1"/>
  <c r="D2342" i="1"/>
  <c r="Q2342" i="1"/>
  <c r="R2342" i="1"/>
  <c r="E2342" i="1"/>
  <c r="G2342" i="1"/>
  <c r="H2342" i="1"/>
  <c r="J2342" i="1"/>
  <c r="K2342" i="1"/>
  <c r="L2342" i="1"/>
  <c r="A2343" i="1"/>
  <c r="B2343" i="1"/>
  <c r="C2343" i="1"/>
  <c r="D2343" i="1"/>
  <c r="Q2343" i="1"/>
  <c r="R2343" i="1"/>
  <c r="E2343" i="1"/>
  <c r="G2343" i="1"/>
  <c r="H2343" i="1"/>
  <c r="J2343" i="1"/>
  <c r="K2343" i="1"/>
  <c r="L2343" i="1"/>
  <c r="A2344" i="1"/>
  <c r="B2344" i="1"/>
  <c r="C2344" i="1"/>
  <c r="D2344" i="1"/>
  <c r="Q2344" i="1"/>
  <c r="R2344" i="1"/>
  <c r="E2344" i="1"/>
  <c r="G2344" i="1"/>
  <c r="H2344" i="1"/>
  <c r="J2344" i="1"/>
  <c r="K2344" i="1"/>
  <c r="L2344" i="1"/>
  <c r="A2345" i="1"/>
  <c r="B2345" i="1"/>
  <c r="C2345" i="1"/>
  <c r="D2345" i="1"/>
  <c r="Q2345" i="1"/>
  <c r="R2345" i="1"/>
  <c r="E2345" i="1"/>
  <c r="G2345" i="1"/>
  <c r="H2345" i="1"/>
  <c r="J2345" i="1"/>
  <c r="K2345" i="1"/>
  <c r="L2345" i="1"/>
  <c r="A2346" i="1"/>
  <c r="B2346" i="1"/>
  <c r="C2346" i="1"/>
  <c r="D2346" i="1"/>
  <c r="Q2346" i="1"/>
  <c r="R2346" i="1"/>
  <c r="E2346" i="1"/>
  <c r="G2346" i="1"/>
  <c r="H2346" i="1"/>
  <c r="J2346" i="1"/>
  <c r="K2346" i="1"/>
  <c r="L2346" i="1"/>
  <c r="A2347" i="1"/>
  <c r="B2347" i="1"/>
  <c r="C2347" i="1"/>
  <c r="D2347" i="1"/>
  <c r="Q2347" i="1"/>
  <c r="R2347" i="1"/>
  <c r="E2347" i="1"/>
  <c r="G2347" i="1"/>
  <c r="H2347" i="1"/>
  <c r="J2347" i="1"/>
  <c r="K2347" i="1"/>
  <c r="L2347" i="1"/>
  <c r="A2348" i="1"/>
  <c r="B2348" i="1"/>
  <c r="C2348" i="1"/>
  <c r="D2348" i="1"/>
  <c r="Q2348" i="1"/>
  <c r="R2348" i="1"/>
  <c r="E2348" i="1"/>
  <c r="G2348" i="1"/>
  <c r="H2348" i="1"/>
  <c r="J2348" i="1"/>
  <c r="K2348" i="1"/>
  <c r="L2348" i="1"/>
  <c r="A2349" i="1"/>
  <c r="B2349" i="1"/>
  <c r="C2349" i="1"/>
  <c r="D2349" i="1"/>
  <c r="Q2349" i="1"/>
  <c r="R2349" i="1"/>
  <c r="E2349" i="1"/>
  <c r="G2349" i="1"/>
  <c r="H2349" i="1"/>
  <c r="J2349" i="1"/>
  <c r="K2349" i="1"/>
  <c r="L2349" i="1"/>
  <c r="A2350" i="1"/>
  <c r="B2350" i="1"/>
  <c r="C2350" i="1"/>
  <c r="D2350" i="1"/>
  <c r="Q2350" i="1"/>
  <c r="R2350" i="1"/>
  <c r="E2350" i="1"/>
  <c r="G2350" i="1"/>
  <c r="H2350" i="1"/>
  <c r="J2350" i="1"/>
  <c r="K2350" i="1"/>
  <c r="L2350" i="1"/>
  <c r="A2351" i="1"/>
  <c r="B2351" i="1"/>
  <c r="C2351" i="1"/>
  <c r="D2351" i="1"/>
  <c r="Q2351" i="1"/>
  <c r="R2351" i="1"/>
  <c r="E2351" i="1"/>
  <c r="G2351" i="1"/>
  <c r="H2351" i="1"/>
  <c r="J2351" i="1"/>
  <c r="K2351" i="1"/>
  <c r="L2351" i="1"/>
  <c r="A2352" i="1"/>
  <c r="B2352" i="1"/>
  <c r="C2352" i="1"/>
  <c r="D2352" i="1"/>
  <c r="Q2352" i="1"/>
  <c r="R2352" i="1"/>
  <c r="E2352" i="1"/>
  <c r="G2352" i="1"/>
  <c r="H2352" i="1"/>
  <c r="J2352" i="1"/>
  <c r="K2352" i="1"/>
  <c r="L2352" i="1"/>
  <c r="A2353" i="1"/>
  <c r="B2353" i="1"/>
  <c r="C2353" i="1"/>
  <c r="D2353" i="1"/>
  <c r="Q2353" i="1"/>
  <c r="R2353" i="1"/>
  <c r="E2353" i="1"/>
  <c r="G2353" i="1"/>
  <c r="H2353" i="1"/>
  <c r="J2353" i="1"/>
  <c r="K2353" i="1"/>
  <c r="L2353" i="1"/>
  <c r="A2354" i="1"/>
  <c r="B2354" i="1"/>
  <c r="C2354" i="1"/>
  <c r="D2354" i="1"/>
  <c r="Q2354" i="1"/>
  <c r="R2354" i="1"/>
  <c r="E2354" i="1"/>
  <c r="G2354" i="1"/>
  <c r="H2354" i="1"/>
  <c r="J2354" i="1"/>
  <c r="K2354" i="1"/>
  <c r="L2354" i="1"/>
  <c r="A2355" i="1"/>
  <c r="B2355" i="1"/>
  <c r="C2355" i="1"/>
  <c r="D2355" i="1"/>
  <c r="Q2355" i="1"/>
  <c r="R2355" i="1"/>
  <c r="E2355" i="1"/>
  <c r="G2355" i="1"/>
  <c r="H2355" i="1"/>
  <c r="J2355" i="1"/>
  <c r="K2355" i="1"/>
  <c r="L2355" i="1"/>
  <c r="A2356" i="1"/>
  <c r="B2356" i="1"/>
  <c r="C2356" i="1"/>
  <c r="D2356" i="1"/>
  <c r="Q2356" i="1"/>
  <c r="R2356" i="1"/>
  <c r="E2356" i="1"/>
  <c r="G2356" i="1"/>
  <c r="H2356" i="1"/>
  <c r="J2356" i="1"/>
  <c r="K2356" i="1"/>
  <c r="L2356" i="1"/>
  <c r="A2357" i="1"/>
  <c r="B2357" i="1"/>
  <c r="C2357" i="1"/>
  <c r="D2357" i="1"/>
  <c r="Q2357" i="1"/>
  <c r="R2357" i="1"/>
  <c r="E2357" i="1"/>
  <c r="G2357" i="1"/>
  <c r="H2357" i="1"/>
  <c r="J2357" i="1"/>
  <c r="K2357" i="1"/>
  <c r="L2357" i="1"/>
  <c r="A2358" i="1"/>
  <c r="B2358" i="1"/>
  <c r="C2358" i="1"/>
  <c r="D2358" i="1"/>
  <c r="Q2358" i="1"/>
  <c r="R2358" i="1"/>
  <c r="E2358" i="1"/>
  <c r="G2358" i="1"/>
  <c r="H2358" i="1"/>
  <c r="J2358" i="1"/>
  <c r="K2358" i="1"/>
  <c r="L2358" i="1"/>
  <c r="A2359" i="1"/>
  <c r="B2359" i="1"/>
  <c r="C2359" i="1"/>
  <c r="D2359" i="1"/>
  <c r="Q2359" i="1"/>
  <c r="R2359" i="1"/>
  <c r="E2359" i="1"/>
  <c r="G2359" i="1"/>
  <c r="H2359" i="1"/>
  <c r="J2359" i="1"/>
  <c r="K2359" i="1"/>
  <c r="L2359" i="1"/>
  <c r="A2360" i="1"/>
  <c r="B2360" i="1"/>
  <c r="C2360" i="1"/>
  <c r="D2360" i="1"/>
  <c r="Q2360" i="1"/>
  <c r="R2360" i="1"/>
  <c r="E2360" i="1"/>
  <c r="G2360" i="1"/>
  <c r="H2360" i="1"/>
  <c r="J2360" i="1"/>
  <c r="K2360" i="1"/>
  <c r="L2360" i="1"/>
  <c r="A2361" i="1"/>
  <c r="B2361" i="1"/>
  <c r="C2361" i="1"/>
  <c r="D2361" i="1"/>
  <c r="Q2361" i="1"/>
  <c r="R2361" i="1"/>
  <c r="E2361" i="1"/>
  <c r="G2361" i="1"/>
  <c r="H2361" i="1"/>
  <c r="J2361" i="1"/>
  <c r="K2361" i="1"/>
  <c r="L2361" i="1"/>
  <c r="A2362" i="1"/>
  <c r="B2362" i="1"/>
  <c r="C2362" i="1"/>
  <c r="D2362" i="1"/>
  <c r="Q2362" i="1"/>
  <c r="R2362" i="1"/>
  <c r="E2362" i="1"/>
  <c r="G2362" i="1"/>
  <c r="H2362" i="1"/>
  <c r="J2362" i="1"/>
  <c r="K2362" i="1"/>
  <c r="L2362" i="1"/>
  <c r="A2363" i="1"/>
  <c r="B2363" i="1"/>
  <c r="C2363" i="1"/>
  <c r="D2363" i="1"/>
  <c r="Q2363" i="1"/>
  <c r="R2363" i="1"/>
  <c r="E2363" i="1"/>
  <c r="G2363" i="1"/>
  <c r="H2363" i="1"/>
  <c r="J2363" i="1"/>
  <c r="K2363" i="1"/>
  <c r="L2363" i="1"/>
  <c r="A2364" i="1"/>
  <c r="B2364" i="1"/>
  <c r="C2364" i="1"/>
  <c r="D2364" i="1"/>
  <c r="Q2364" i="1"/>
  <c r="R2364" i="1"/>
  <c r="E2364" i="1"/>
  <c r="G2364" i="1"/>
  <c r="H2364" i="1"/>
  <c r="J2364" i="1"/>
  <c r="K2364" i="1"/>
  <c r="L2364" i="1"/>
  <c r="A2365" i="1"/>
  <c r="B2365" i="1"/>
  <c r="C2365" i="1"/>
  <c r="D2365" i="1"/>
  <c r="Q2365" i="1"/>
  <c r="R2365" i="1"/>
  <c r="E2365" i="1"/>
  <c r="G2365" i="1"/>
  <c r="H2365" i="1"/>
  <c r="J2365" i="1"/>
  <c r="K2365" i="1"/>
  <c r="L2365" i="1"/>
  <c r="A2366" i="1"/>
  <c r="B2366" i="1"/>
  <c r="C2366" i="1"/>
  <c r="D2366" i="1"/>
  <c r="Q2366" i="1"/>
  <c r="R2366" i="1"/>
  <c r="E2366" i="1"/>
  <c r="G2366" i="1"/>
  <c r="H2366" i="1"/>
  <c r="J2366" i="1"/>
  <c r="K2366" i="1"/>
  <c r="L2366" i="1"/>
  <c r="A2367" i="1"/>
  <c r="B2367" i="1"/>
  <c r="C2367" i="1"/>
  <c r="D2367" i="1"/>
  <c r="Q2367" i="1"/>
  <c r="R2367" i="1"/>
  <c r="E2367" i="1"/>
  <c r="G2367" i="1"/>
  <c r="H2367" i="1"/>
  <c r="J2367" i="1"/>
  <c r="K2367" i="1"/>
  <c r="L2367" i="1"/>
  <c r="A2368" i="1"/>
  <c r="B2368" i="1"/>
  <c r="C2368" i="1"/>
  <c r="D2368" i="1"/>
  <c r="Q2368" i="1"/>
  <c r="R2368" i="1"/>
  <c r="E2368" i="1"/>
  <c r="G2368" i="1"/>
  <c r="H2368" i="1"/>
  <c r="J2368" i="1"/>
  <c r="K2368" i="1"/>
  <c r="L2368" i="1"/>
  <c r="A2369" i="1"/>
  <c r="B2369" i="1"/>
  <c r="C2369" i="1"/>
  <c r="D2369" i="1"/>
  <c r="Q2369" i="1"/>
  <c r="R2369" i="1"/>
  <c r="E2369" i="1"/>
  <c r="G2369" i="1"/>
  <c r="H2369" i="1"/>
  <c r="J2369" i="1"/>
  <c r="K2369" i="1"/>
  <c r="L2369" i="1"/>
  <c r="A2370" i="1"/>
  <c r="B2370" i="1"/>
  <c r="C2370" i="1"/>
  <c r="D2370" i="1"/>
  <c r="Q2370" i="1"/>
  <c r="R2370" i="1"/>
  <c r="E2370" i="1"/>
  <c r="G2370" i="1"/>
  <c r="H2370" i="1"/>
  <c r="J2370" i="1"/>
  <c r="K2370" i="1"/>
  <c r="L2370" i="1"/>
  <c r="A2371" i="1"/>
  <c r="B2371" i="1"/>
  <c r="C2371" i="1"/>
  <c r="D2371" i="1"/>
  <c r="Q2371" i="1"/>
  <c r="R2371" i="1"/>
  <c r="E2371" i="1"/>
  <c r="G2371" i="1"/>
  <c r="H2371" i="1"/>
  <c r="J2371" i="1"/>
  <c r="K2371" i="1"/>
  <c r="L2371" i="1"/>
  <c r="A2372" i="1"/>
  <c r="B2372" i="1"/>
  <c r="C2372" i="1"/>
  <c r="D2372" i="1"/>
  <c r="Q2372" i="1"/>
  <c r="R2372" i="1"/>
  <c r="E2372" i="1"/>
  <c r="G2372" i="1"/>
  <c r="H2372" i="1"/>
  <c r="J2372" i="1"/>
  <c r="K2372" i="1"/>
  <c r="L2372" i="1"/>
  <c r="A2373" i="1"/>
  <c r="B2373" i="1"/>
  <c r="C2373" i="1"/>
  <c r="D2373" i="1"/>
  <c r="Q2373" i="1"/>
  <c r="R2373" i="1"/>
  <c r="E2373" i="1"/>
  <c r="G2373" i="1"/>
  <c r="H2373" i="1"/>
  <c r="J2373" i="1"/>
  <c r="K2373" i="1"/>
  <c r="L2373" i="1"/>
  <c r="A2374" i="1"/>
  <c r="B2374" i="1"/>
  <c r="C2374" i="1"/>
  <c r="D2374" i="1"/>
  <c r="Q2374" i="1"/>
  <c r="R2374" i="1"/>
  <c r="E2374" i="1"/>
  <c r="G2374" i="1"/>
  <c r="H2374" i="1"/>
  <c r="J2374" i="1"/>
  <c r="K2374" i="1"/>
  <c r="L2374" i="1"/>
  <c r="A2375" i="1"/>
  <c r="B2375" i="1"/>
  <c r="C2375" i="1"/>
  <c r="D2375" i="1"/>
  <c r="Q2375" i="1"/>
  <c r="R2375" i="1"/>
  <c r="E2375" i="1"/>
  <c r="G2375" i="1"/>
  <c r="H2375" i="1"/>
  <c r="J2375" i="1"/>
  <c r="K2375" i="1"/>
  <c r="L2375" i="1"/>
  <c r="A2376" i="1"/>
  <c r="B2376" i="1"/>
  <c r="C2376" i="1"/>
  <c r="D2376" i="1"/>
  <c r="Q2376" i="1"/>
  <c r="R2376" i="1"/>
  <c r="E2376" i="1"/>
  <c r="G2376" i="1"/>
  <c r="H2376" i="1"/>
  <c r="J2376" i="1"/>
  <c r="K2376" i="1"/>
  <c r="L2376" i="1"/>
  <c r="A2377" i="1"/>
  <c r="B2377" i="1"/>
  <c r="C2377" i="1"/>
  <c r="D2377" i="1"/>
  <c r="Q2377" i="1"/>
  <c r="R2377" i="1"/>
  <c r="E2377" i="1"/>
  <c r="G2377" i="1"/>
  <c r="H2377" i="1"/>
  <c r="J2377" i="1"/>
  <c r="K2377" i="1"/>
  <c r="L2377" i="1"/>
  <c r="A2378" i="1"/>
  <c r="B2378" i="1"/>
  <c r="C2378" i="1"/>
  <c r="D2378" i="1"/>
  <c r="Q2378" i="1"/>
  <c r="R2378" i="1"/>
  <c r="E2378" i="1"/>
  <c r="G2378" i="1"/>
  <c r="H2378" i="1"/>
  <c r="J2378" i="1"/>
  <c r="K2378" i="1"/>
  <c r="L2378" i="1"/>
  <c r="A2379" i="1"/>
  <c r="B2379" i="1"/>
  <c r="C2379" i="1"/>
  <c r="D2379" i="1"/>
  <c r="Q2379" i="1"/>
  <c r="R2379" i="1"/>
  <c r="E2379" i="1"/>
  <c r="G2379" i="1"/>
  <c r="H2379" i="1"/>
  <c r="J2379" i="1"/>
  <c r="K2379" i="1"/>
  <c r="L2379" i="1"/>
  <c r="A2380" i="1"/>
  <c r="B2380" i="1"/>
  <c r="C2380" i="1"/>
  <c r="D2380" i="1"/>
  <c r="Q2380" i="1"/>
  <c r="R2380" i="1"/>
  <c r="E2380" i="1"/>
  <c r="G2380" i="1"/>
  <c r="H2380" i="1"/>
  <c r="J2380" i="1"/>
  <c r="K2380" i="1"/>
  <c r="L2380" i="1"/>
  <c r="A2381" i="1"/>
  <c r="B2381" i="1"/>
  <c r="C2381" i="1"/>
  <c r="D2381" i="1"/>
  <c r="Q2381" i="1"/>
  <c r="R2381" i="1"/>
  <c r="E2381" i="1"/>
  <c r="G2381" i="1"/>
  <c r="H2381" i="1"/>
  <c r="J2381" i="1"/>
  <c r="K2381" i="1"/>
  <c r="L2381" i="1"/>
  <c r="A2382" i="1"/>
  <c r="B2382" i="1"/>
  <c r="C2382" i="1"/>
  <c r="D2382" i="1"/>
  <c r="Q2382" i="1"/>
  <c r="R2382" i="1"/>
  <c r="E2382" i="1"/>
  <c r="G2382" i="1"/>
  <c r="H2382" i="1"/>
  <c r="J2382" i="1"/>
  <c r="K2382" i="1"/>
  <c r="L2382" i="1"/>
  <c r="A2383" i="1"/>
  <c r="B2383" i="1"/>
  <c r="C2383" i="1"/>
  <c r="D2383" i="1"/>
  <c r="Q2383" i="1"/>
  <c r="R2383" i="1"/>
  <c r="E2383" i="1"/>
  <c r="G2383" i="1"/>
  <c r="H2383" i="1"/>
  <c r="J2383" i="1"/>
  <c r="K2383" i="1"/>
  <c r="L2383" i="1"/>
  <c r="A2384" i="1"/>
  <c r="B2384" i="1"/>
  <c r="C2384" i="1"/>
  <c r="D2384" i="1"/>
  <c r="Q2384" i="1"/>
  <c r="R2384" i="1"/>
  <c r="E2384" i="1"/>
  <c r="G2384" i="1"/>
  <c r="H2384" i="1"/>
  <c r="J2384" i="1"/>
  <c r="K2384" i="1"/>
  <c r="L2384" i="1"/>
  <c r="A2385" i="1"/>
  <c r="B2385" i="1"/>
  <c r="C2385" i="1"/>
  <c r="D2385" i="1"/>
  <c r="Q2385" i="1"/>
  <c r="R2385" i="1"/>
  <c r="E2385" i="1"/>
  <c r="G2385" i="1"/>
  <c r="H2385" i="1"/>
  <c r="J2385" i="1"/>
  <c r="K2385" i="1"/>
  <c r="L2385" i="1"/>
  <c r="A2386" i="1"/>
  <c r="B2386" i="1"/>
  <c r="C2386" i="1"/>
  <c r="D2386" i="1"/>
  <c r="Q2386" i="1"/>
  <c r="R2386" i="1"/>
  <c r="E2386" i="1"/>
  <c r="G2386" i="1"/>
  <c r="H2386" i="1"/>
  <c r="J2386" i="1"/>
  <c r="K2386" i="1"/>
  <c r="L2386" i="1"/>
  <c r="A2387" i="1"/>
  <c r="B2387" i="1"/>
  <c r="C2387" i="1"/>
  <c r="D2387" i="1"/>
  <c r="Q2387" i="1"/>
  <c r="R2387" i="1"/>
  <c r="E2387" i="1"/>
  <c r="G2387" i="1"/>
  <c r="H2387" i="1"/>
  <c r="J2387" i="1"/>
  <c r="K2387" i="1"/>
  <c r="L2387" i="1"/>
  <c r="A2388" i="1"/>
  <c r="B2388" i="1"/>
  <c r="C2388" i="1"/>
  <c r="D2388" i="1"/>
  <c r="Q2388" i="1"/>
  <c r="R2388" i="1"/>
  <c r="E2388" i="1"/>
  <c r="G2388" i="1"/>
  <c r="H2388" i="1"/>
  <c r="J2388" i="1"/>
  <c r="K2388" i="1"/>
  <c r="L2388" i="1"/>
  <c r="A2389" i="1"/>
  <c r="B2389" i="1"/>
  <c r="C2389" i="1"/>
  <c r="D2389" i="1"/>
  <c r="Q2389" i="1"/>
  <c r="R2389" i="1"/>
  <c r="E2389" i="1"/>
  <c r="G2389" i="1"/>
  <c r="H2389" i="1"/>
  <c r="J2389" i="1"/>
  <c r="K2389" i="1"/>
  <c r="L2389" i="1"/>
  <c r="A2390" i="1"/>
  <c r="B2390" i="1"/>
  <c r="C2390" i="1"/>
  <c r="D2390" i="1"/>
  <c r="Q2390" i="1"/>
  <c r="R2390" i="1"/>
  <c r="E2390" i="1"/>
  <c r="G2390" i="1"/>
  <c r="H2390" i="1"/>
  <c r="J2390" i="1"/>
  <c r="K2390" i="1"/>
  <c r="L2390" i="1"/>
  <c r="A2391" i="1"/>
  <c r="B2391" i="1"/>
  <c r="C2391" i="1"/>
  <c r="D2391" i="1"/>
  <c r="Q2391" i="1"/>
  <c r="R2391" i="1"/>
  <c r="E2391" i="1"/>
  <c r="G2391" i="1"/>
  <c r="H2391" i="1"/>
  <c r="J2391" i="1"/>
  <c r="K2391" i="1"/>
  <c r="L2391" i="1"/>
  <c r="A2392" i="1"/>
  <c r="B2392" i="1"/>
  <c r="C2392" i="1"/>
  <c r="D2392" i="1"/>
  <c r="Q2392" i="1"/>
  <c r="R2392" i="1"/>
  <c r="E2392" i="1"/>
  <c r="G2392" i="1"/>
  <c r="H2392" i="1"/>
  <c r="J2392" i="1"/>
  <c r="K2392" i="1"/>
  <c r="L2392" i="1"/>
  <c r="A2393" i="1"/>
  <c r="B2393" i="1"/>
  <c r="C2393" i="1"/>
  <c r="D2393" i="1"/>
  <c r="Q2393" i="1"/>
  <c r="R2393" i="1"/>
  <c r="E2393" i="1"/>
  <c r="G2393" i="1"/>
  <c r="H2393" i="1"/>
  <c r="J2393" i="1"/>
  <c r="K2393" i="1"/>
  <c r="L2393" i="1"/>
  <c r="A2394" i="1"/>
  <c r="B2394" i="1"/>
  <c r="C2394" i="1"/>
  <c r="D2394" i="1"/>
  <c r="Q2394" i="1"/>
  <c r="R2394" i="1"/>
  <c r="E2394" i="1"/>
  <c r="G2394" i="1"/>
  <c r="H2394" i="1"/>
  <c r="J2394" i="1"/>
  <c r="K2394" i="1"/>
  <c r="L2394" i="1"/>
  <c r="A2395" i="1"/>
  <c r="B2395" i="1"/>
  <c r="C2395" i="1"/>
  <c r="D2395" i="1"/>
  <c r="Q2395" i="1"/>
  <c r="R2395" i="1"/>
  <c r="E2395" i="1"/>
  <c r="G2395" i="1"/>
  <c r="H2395" i="1"/>
  <c r="J2395" i="1"/>
  <c r="K2395" i="1"/>
  <c r="L2395" i="1"/>
  <c r="A2396" i="1"/>
  <c r="B2396" i="1"/>
  <c r="C2396" i="1"/>
  <c r="D2396" i="1"/>
  <c r="Q2396" i="1"/>
  <c r="R2396" i="1"/>
  <c r="E2396" i="1"/>
  <c r="G2396" i="1"/>
  <c r="H2396" i="1"/>
  <c r="J2396" i="1"/>
  <c r="K2396" i="1"/>
  <c r="L2396" i="1"/>
  <c r="A2397" i="1"/>
  <c r="B2397" i="1"/>
  <c r="C2397" i="1"/>
  <c r="D2397" i="1"/>
  <c r="Q2397" i="1"/>
  <c r="R2397" i="1"/>
  <c r="E2397" i="1"/>
  <c r="G2397" i="1"/>
  <c r="H2397" i="1"/>
  <c r="J2397" i="1"/>
  <c r="K2397" i="1"/>
  <c r="L2397" i="1"/>
  <c r="A2398" i="1"/>
  <c r="B2398" i="1"/>
  <c r="C2398" i="1"/>
  <c r="D2398" i="1"/>
  <c r="Q2398" i="1"/>
  <c r="R2398" i="1"/>
  <c r="E2398" i="1"/>
  <c r="G2398" i="1"/>
  <c r="H2398" i="1"/>
  <c r="J2398" i="1"/>
  <c r="K2398" i="1"/>
  <c r="L2398" i="1"/>
  <c r="A2399" i="1"/>
  <c r="B2399" i="1"/>
  <c r="C2399" i="1"/>
  <c r="D2399" i="1"/>
  <c r="Q2399" i="1"/>
  <c r="R2399" i="1"/>
  <c r="E2399" i="1"/>
  <c r="G2399" i="1"/>
  <c r="H2399" i="1"/>
  <c r="J2399" i="1"/>
  <c r="K2399" i="1"/>
  <c r="L2399" i="1"/>
  <c r="A2400" i="1"/>
  <c r="B2400" i="1"/>
  <c r="C2400" i="1"/>
  <c r="D2400" i="1"/>
  <c r="Q2400" i="1"/>
  <c r="R2400" i="1"/>
  <c r="E2400" i="1"/>
  <c r="G2400" i="1"/>
  <c r="H2400" i="1"/>
  <c r="J2400" i="1"/>
  <c r="K2400" i="1"/>
  <c r="L2400" i="1"/>
  <c r="A2401" i="1"/>
  <c r="B2401" i="1"/>
  <c r="C2401" i="1"/>
  <c r="D2401" i="1"/>
  <c r="Q2401" i="1"/>
  <c r="R2401" i="1"/>
  <c r="E2401" i="1"/>
  <c r="G2401" i="1"/>
  <c r="H2401" i="1"/>
  <c r="J2401" i="1"/>
  <c r="K2401" i="1"/>
  <c r="L2401" i="1"/>
  <c r="A2402" i="1"/>
  <c r="B2402" i="1"/>
  <c r="C2402" i="1"/>
  <c r="D2402" i="1"/>
  <c r="Q2402" i="1"/>
  <c r="R2402" i="1"/>
  <c r="E2402" i="1"/>
  <c r="G2402" i="1"/>
  <c r="H2402" i="1"/>
  <c r="J2402" i="1"/>
  <c r="K2402" i="1"/>
  <c r="L2402" i="1"/>
  <c r="A2403" i="1"/>
  <c r="B2403" i="1"/>
  <c r="C2403" i="1"/>
  <c r="D2403" i="1"/>
  <c r="Q2403" i="1"/>
  <c r="R2403" i="1"/>
  <c r="E2403" i="1"/>
  <c r="G2403" i="1"/>
  <c r="H2403" i="1"/>
  <c r="J2403" i="1"/>
  <c r="K2403" i="1"/>
  <c r="L2403" i="1"/>
  <c r="A2404" i="1"/>
  <c r="B2404" i="1"/>
  <c r="C2404" i="1"/>
  <c r="D2404" i="1"/>
  <c r="Q2404" i="1"/>
  <c r="R2404" i="1"/>
  <c r="E2404" i="1"/>
  <c r="G2404" i="1"/>
  <c r="H2404" i="1"/>
  <c r="J2404" i="1"/>
  <c r="K2404" i="1"/>
  <c r="L2404" i="1"/>
  <c r="A2405" i="1"/>
  <c r="B2405" i="1"/>
  <c r="C2405" i="1"/>
  <c r="D2405" i="1"/>
  <c r="Q2405" i="1"/>
  <c r="R2405" i="1"/>
  <c r="E2405" i="1"/>
  <c r="G2405" i="1"/>
  <c r="H2405" i="1"/>
  <c r="J2405" i="1"/>
  <c r="K2405" i="1"/>
  <c r="L2405" i="1"/>
  <c r="A2406" i="1"/>
  <c r="B2406" i="1"/>
  <c r="C2406" i="1"/>
  <c r="D2406" i="1"/>
  <c r="Q2406" i="1"/>
  <c r="R2406" i="1"/>
  <c r="E2406" i="1"/>
  <c r="G2406" i="1"/>
  <c r="H2406" i="1"/>
  <c r="J2406" i="1"/>
  <c r="K2406" i="1"/>
  <c r="L2406" i="1"/>
  <c r="A2407" i="1"/>
  <c r="B2407" i="1"/>
  <c r="C2407" i="1"/>
  <c r="D2407" i="1"/>
  <c r="Q2407" i="1"/>
  <c r="R2407" i="1"/>
  <c r="E2407" i="1"/>
  <c r="G2407" i="1"/>
  <c r="H2407" i="1"/>
  <c r="J2407" i="1"/>
  <c r="K2407" i="1"/>
  <c r="L2407" i="1"/>
  <c r="A2408" i="1"/>
  <c r="B2408" i="1"/>
  <c r="C2408" i="1"/>
  <c r="D2408" i="1"/>
  <c r="Q2408" i="1"/>
  <c r="R2408" i="1"/>
  <c r="E2408" i="1"/>
  <c r="G2408" i="1"/>
  <c r="H2408" i="1"/>
  <c r="J2408" i="1"/>
  <c r="K2408" i="1"/>
  <c r="L2408" i="1"/>
  <c r="A2409" i="1"/>
  <c r="B2409" i="1"/>
  <c r="C2409" i="1"/>
  <c r="D2409" i="1"/>
  <c r="Q2409" i="1"/>
  <c r="R2409" i="1"/>
  <c r="E2409" i="1"/>
  <c r="G2409" i="1"/>
  <c r="H2409" i="1"/>
  <c r="J2409" i="1"/>
  <c r="K2409" i="1"/>
  <c r="L2409" i="1"/>
  <c r="A2410" i="1"/>
  <c r="B2410" i="1"/>
  <c r="C2410" i="1"/>
  <c r="D2410" i="1"/>
  <c r="Q2410" i="1"/>
  <c r="R2410" i="1"/>
  <c r="E2410" i="1"/>
  <c r="G2410" i="1"/>
  <c r="H2410" i="1"/>
  <c r="J2410" i="1"/>
  <c r="K2410" i="1"/>
  <c r="L2410" i="1"/>
  <c r="A2411" i="1"/>
  <c r="B2411" i="1"/>
  <c r="C2411" i="1"/>
  <c r="D2411" i="1"/>
  <c r="Q2411" i="1"/>
  <c r="R2411" i="1"/>
  <c r="E2411" i="1"/>
  <c r="G2411" i="1"/>
  <c r="H2411" i="1"/>
  <c r="J2411" i="1"/>
  <c r="K2411" i="1"/>
  <c r="L2411" i="1"/>
  <c r="A2412" i="1"/>
  <c r="B2412" i="1"/>
  <c r="C2412" i="1"/>
  <c r="D2412" i="1"/>
  <c r="Q2412" i="1"/>
  <c r="R2412" i="1"/>
  <c r="E2412" i="1"/>
  <c r="G2412" i="1"/>
  <c r="H2412" i="1"/>
  <c r="J2412" i="1"/>
  <c r="K2412" i="1"/>
  <c r="L2412" i="1"/>
  <c r="A2413" i="1"/>
  <c r="B2413" i="1"/>
  <c r="C2413" i="1"/>
  <c r="D2413" i="1"/>
  <c r="Q2413" i="1"/>
  <c r="R2413" i="1"/>
  <c r="E2413" i="1"/>
  <c r="G2413" i="1"/>
  <c r="H2413" i="1"/>
  <c r="J2413" i="1"/>
  <c r="K2413" i="1"/>
  <c r="L2413" i="1"/>
  <c r="A2414" i="1"/>
  <c r="B2414" i="1"/>
  <c r="C2414" i="1"/>
  <c r="D2414" i="1"/>
  <c r="Q2414" i="1"/>
  <c r="R2414" i="1"/>
  <c r="E2414" i="1"/>
  <c r="G2414" i="1"/>
  <c r="H2414" i="1"/>
  <c r="J2414" i="1"/>
  <c r="K2414" i="1"/>
  <c r="L2414" i="1"/>
  <c r="A2415" i="1"/>
  <c r="B2415" i="1"/>
  <c r="C2415" i="1"/>
  <c r="D2415" i="1"/>
  <c r="Q2415" i="1"/>
  <c r="R2415" i="1"/>
  <c r="E2415" i="1"/>
  <c r="G2415" i="1"/>
  <c r="H2415" i="1"/>
  <c r="J2415" i="1"/>
  <c r="K2415" i="1"/>
  <c r="L2415" i="1"/>
  <c r="A2416" i="1"/>
  <c r="B2416" i="1"/>
  <c r="C2416" i="1"/>
  <c r="D2416" i="1"/>
  <c r="Q2416" i="1"/>
  <c r="R2416" i="1"/>
  <c r="E2416" i="1"/>
  <c r="G2416" i="1"/>
  <c r="H2416" i="1"/>
  <c r="J2416" i="1"/>
  <c r="K2416" i="1"/>
  <c r="L2416" i="1"/>
  <c r="A2417" i="1"/>
  <c r="B2417" i="1"/>
  <c r="C2417" i="1"/>
  <c r="D2417" i="1"/>
  <c r="Q2417" i="1"/>
  <c r="R2417" i="1"/>
  <c r="E2417" i="1"/>
  <c r="G2417" i="1"/>
  <c r="H2417" i="1"/>
  <c r="J2417" i="1"/>
  <c r="K2417" i="1"/>
  <c r="L2417" i="1"/>
  <c r="A2418" i="1"/>
  <c r="B2418" i="1"/>
  <c r="C2418" i="1"/>
  <c r="D2418" i="1"/>
  <c r="Q2418" i="1"/>
  <c r="R2418" i="1"/>
  <c r="E2418" i="1"/>
  <c r="G2418" i="1"/>
  <c r="H2418" i="1"/>
  <c r="J2418" i="1"/>
  <c r="K2418" i="1"/>
  <c r="L2418" i="1"/>
  <c r="A2419" i="1"/>
  <c r="B2419" i="1"/>
  <c r="C2419" i="1"/>
  <c r="D2419" i="1"/>
  <c r="Q2419" i="1"/>
  <c r="R2419" i="1"/>
  <c r="E2419" i="1"/>
  <c r="G2419" i="1"/>
  <c r="H2419" i="1"/>
  <c r="J2419" i="1"/>
  <c r="K2419" i="1"/>
  <c r="L2419" i="1"/>
  <c r="A2420" i="1"/>
  <c r="B2420" i="1"/>
  <c r="C2420" i="1"/>
  <c r="D2420" i="1"/>
  <c r="Q2420" i="1"/>
  <c r="R2420" i="1"/>
  <c r="E2420" i="1"/>
  <c r="G2420" i="1"/>
  <c r="H2420" i="1"/>
  <c r="J2420" i="1"/>
  <c r="K2420" i="1"/>
  <c r="L2420" i="1"/>
  <c r="A2421" i="1"/>
  <c r="B2421" i="1"/>
  <c r="C2421" i="1"/>
  <c r="D2421" i="1"/>
  <c r="Q2421" i="1"/>
  <c r="R2421" i="1"/>
  <c r="E2421" i="1"/>
  <c r="G2421" i="1"/>
  <c r="H2421" i="1"/>
  <c r="J2421" i="1"/>
  <c r="K2421" i="1"/>
  <c r="L2421" i="1"/>
  <c r="A2422" i="1"/>
  <c r="B2422" i="1"/>
  <c r="C2422" i="1"/>
  <c r="D2422" i="1"/>
  <c r="Q2422" i="1"/>
  <c r="R2422" i="1"/>
  <c r="E2422" i="1"/>
  <c r="G2422" i="1"/>
  <c r="H2422" i="1"/>
  <c r="J2422" i="1"/>
  <c r="K2422" i="1"/>
  <c r="L2422" i="1"/>
  <c r="A2423" i="1"/>
  <c r="B2423" i="1"/>
  <c r="C2423" i="1"/>
  <c r="D2423" i="1"/>
  <c r="Q2423" i="1"/>
  <c r="R2423" i="1"/>
  <c r="E2423" i="1"/>
  <c r="G2423" i="1"/>
  <c r="H2423" i="1"/>
  <c r="J2423" i="1"/>
  <c r="K2423" i="1"/>
  <c r="L2423" i="1"/>
  <c r="A2424" i="1"/>
  <c r="B2424" i="1"/>
  <c r="C2424" i="1"/>
  <c r="D2424" i="1"/>
  <c r="Q2424" i="1"/>
  <c r="R2424" i="1"/>
  <c r="E2424" i="1"/>
  <c r="G2424" i="1"/>
  <c r="H2424" i="1"/>
  <c r="J2424" i="1"/>
  <c r="K2424" i="1"/>
  <c r="L2424" i="1"/>
  <c r="A2425" i="1"/>
  <c r="B2425" i="1"/>
  <c r="C2425" i="1"/>
  <c r="D2425" i="1"/>
  <c r="Q2425" i="1"/>
  <c r="R2425" i="1"/>
  <c r="E2425" i="1"/>
  <c r="G2425" i="1"/>
  <c r="H2425" i="1"/>
  <c r="J2425" i="1"/>
  <c r="K2425" i="1"/>
  <c r="L2425" i="1"/>
  <c r="A2426" i="1"/>
  <c r="B2426" i="1"/>
  <c r="C2426" i="1"/>
  <c r="D2426" i="1"/>
  <c r="Q2426" i="1"/>
  <c r="R2426" i="1"/>
  <c r="E2426" i="1"/>
  <c r="G2426" i="1"/>
  <c r="H2426" i="1"/>
  <c r="J2426" i="1"/>
  <c r="K2426" i="1"/>
  <c r="L2426" i="1"/>
  <c r="A2427" i="1"/>
  <c r="B2427" i="1"/>
  <c r="C2427" i="1"/>
  <c r="D2427" i="1"/>
  <c r="Q2427" i="1"/>
  <c r="R2427" i="1"/>
  <c r="E2427" i="1"/>
  <c r="G2427" i="1"/>
  <c r="H2427" i="1"/>
  <c r="J2427" i="1"/>
  <c r="K2427" i="1"/>
  <c r="L2427" i="1"/>
  <c r="A2428" i="1"/>
  <c r="B2428" i="1"/>
  <c r="C2428" i="1"/>
  <c r="D2428" i="1"/>
  <c r="Q2428" i="1"/>
  <c r="R2428" i="1"/>
  <c r="E2428" i="1"/>
  <c r="G2428" i="1"/>
  <c r="H2428" i="1"/>
  <c r="J2428" i="1"/>
  <c r="K2428" i="1"/>
  <c r="L2428" i="1"/>
  <c r="A2429" i="1"/>
  <c r="B2429" i="1"/>
  <c r="C2429" i="1"/>
  <c r="D2429" i="1"/>
  <c r="Q2429" i="1"/>
  <c r="R2429" i="1"/>
  <c r="E2429" i="1"/>
  <c r="G2429" i="1"/>
  <c r="H2429" i="1"/>
  <c r="J2429" i="1"/>
  <c r="K2429" i="1"/>
  <c r="L2429" i="1"/>
  <c r="A2430" i="1"/>
  <c r="B2430" i="1"/>
  <c r="C2430" i="1"/>
  <c r="D2430" i="1"/>
  <c r="Q2430" i="1"/>
  <c r="R2430" i="1"/>
  <c r="E2430" i="1"/>
  <c r="G2430" i="1"/>
  <c r="H2430" i="1"/>
  <c r="J2430" i="1"/>
  <c r="K2430" i="1"/>
  <c r="L2430" i="1"/>
  <c r="A2431" i="1"/>
  <c r="B2431" i="1"/>
  <c r="C2431" i="1"/>
  <c r="D2431" i="1"/>
  <c r="Q2431" i="1"/>
  <c r="R2431" i="1"/>
  <c r="E2431" i="1"/>
  <c r="G2431" i="1"/>
  <c r="H2431" i="1"/>
  <c r="J2431" i="1"/>
  <c r="K2431" i="1"/>
  <c r="L2431" i="1"/>
  <c r="A2432" i="1"/>
  <c r="B2432" i="1"/>
  <c r="C2432" i="1"/>
  <c r="D2432" i="1"/>
  <c r="Q2432" i="1"/>
  <c r="R2432" i="1"/>
  <c r="E2432" i="1"/>
  <c r="G2432" i="1"/>
  <c r="H2432" i="1"/>
  <c r="J2432" i="1"/>
  <c r="K2432" i="1"/>
  <c r="L2432" i="1"/>
  <c r="A2433" i="1"/>
  <c r="B2433" i="1"/>
  <c r="C2433" i="1"/>
  <c r="D2433" i="1"/>
  <c r="Q2433" i="1"/>
  <c r="R2433" i="1"/>
  <c r="E2433" i="1"/>
  <c r="G2433" i="1"/>
  <c r="H2433" i="1"/>
  <c r="J2433" i="1"/>
  <c r="K2433" i="1"/>
  <c r="L2433" i="1"/>
  <c r="A2434" i="1"/>
  <c r="B2434" i="1"/>
  <c r="C2434" i="1"/>
  <c r="D2434" i="1"/>
  <c r="Q2434" i="1"/>
  <c r="R2434" i="1"/>
  <c r="E2434" i="1"/>
  <c r="G2434" i="1"/>
  <c r="H2434" i="1"/>
  <c r="J2434" i="1"/>
  <c r="K2434" i="1"/>
  <c r="L2434" i="1"/>
  <c r="A2435" i="1"/>
  <c r="B2435" i="1"/>
  <c r="C2435" i="1"/>
  <c r="D2435" i="1"/>
  <c r="Q2435" i="1"/>
  <c r="R2435" i="1"/>
  <c r="E2435" i="1"/>
  <c r="G2435" i="1"/>
  <c r="H2435" i="1"/>
  <c r="J2435" i="1"/>
  <c r="K2435" i="1"/>
  <c r="L2435" i="1"/>
  <c r="A2436" i="1"/>
  <c r="B2436" i="1"/>
  <c r="C2436" i="1"/>
  <c r="D2436" i="1"/>
  <c r="Q2436" i="1"/>
  <c r="R2436" i="1"/>
  <c r="E2436" i="1"/>
  <c r="G2436" i="1"/>
  <c r="H2436" i="1"/>
  <c r="J2436" i="1"/>
  <c r="K2436" i="1"/>
  <c r="L2436" i="1"/>
  <c r="A2437" i="1"/>
  <c r="B2437" i="1"/>
  <c r="C2437" i="1"/>
  <c r="D2437" i="1"/>
  <c r="Q2437" i="1"/>
  <c r="R2437" i="1"/>
  <c r="E2437" i="1"/>
  <c r="G2437" i="1"/>
  <c r="H2437" i="1"/>
  <c r="J2437" i="1"/>
  <c r="K2437" i="1"/>
  <c r="L2437" i="1"/>
  <c r="A2438" i="1"/>
  <c r="B2438" i="1"/>
  <c r="C2438" i="1"/>
  <c r="D2438" i="1"/>
  <c r="Q2438" i="1"/>
  <c r="R2438" i="1"/>
  <c r="E2438" i="1"/>
  <c r="G2438" i="1"/>
  <c r="H2438" i="1"/>
  <c r="J2438" i="1"/>
  <c r="K2438" i="1"/>
  <c r="L2438" i="1"/>
  <c r="A2439" i="1"/>
  <c r="B2439" i="1"/>
  <c r="C2439" i="1"/>
  <c r="D2439" i="1"/>
  <c r="Q2439" i="1"/>
  <c r="R2439" i="1"/>
  <c r="E2439" i="1"/>
  <c r="G2439" i="1"/>
  <c r="H2439" i="1"/>
  <c r="J2439" i="1"/>
  <c r="K2439" i="1"/>
  <c r="L2439" i="1"/>
  <c r="A2440" i="1"/>
  <c r="B2440" i="1"/>
  <c r="C2440" i="1"/>
  <c r="D2440" i="1"/>
  <c r="Q2440" i="1"/>
  <c r="R2440" i="1"/>
  <c r="E2440" i="1"/>
  <c r="G2440" i="1"/>
  <c r="H2440" i="1"/>
  <c r="J2440" i="1"/>
  <c r="K2440" i="1"/>
  <c r="L2440" i="1"/>
  <c r="A2441" i="1"/>
  <c r="B2441" i="1"/>
  <c r="C2441" i="1"/>
  <c r="D2441" i="1"/>
  <c r="Q2441" i="1"/>
  <c r="R2441" i="1"/>
  <c r="E2441" i="1"/>
  <c r="G2441" i="1"/>
  <c r="H2441" i="1"/>
  <c r="J2441" i="1"/>
  <c r="K2441" i="1"/>
  <c r="L2441" i="1"/>
  <c r="A2442" i="1"/>
  <c r="B2442" i="1"/>
  <c r="C2442" i="1"/>
  <c r="D2442" i="1"/>
  <c r="Q2442" i="1"/>
  <c r="R2442" i="1"/>
  <c r="E2442" i="1"/>
  <c r="G2442" i="1"/>
  <c r="H2442" i="1"/>
  <c r="J2442" i="1"/>
  <c r="K2442" i="1"/>
  <c r="L2442" i="1"/>
  <c r="A2443" i="1"/>
  <c r="B2443" i="1"/>
  <c r="C2443" i="1"/>
  <c r="D2443" i="1"/>
  <c r="Q2443" i="1"/>
  <c r="R2443" i="1"/>
  <c r="E2443" i="1"/>
  <c r="G2443" i="1"/>
  <c r="H2443" i="1"/>
  <c r="J2443" i="1"/>
  <c r="K2443" i="1"/>
  <c r="L2443" i="1"/>
  <c r="A2444" i="1"/>
  <c r="B2444" i="1"/>
  <c r="C2444" i="1"/>
  <c r="D2444" i="1"/>
  <c r="Q2444" i="1"/>
  <c r="R2444" i="1"/>
  <c r="E2444" i="1"/>
  <c r="G2444" i="1"/>
  <c r="H2444" i="1"/>
  <c r="J2444" i="1"/>
  <c r="K2444" i="1"/>
  <c r="L2444" i="1"/>
  <c r="A2445" i="1"/>
  <c r="B2445" i="1"/>
  <c r="C2445" i="1"/>
  <c r="D2445" i="1"/>
  <c r="Q2445" i="1"/>
  <c r="R2445" i="1"/>
  <c r="E2445" i="1"/>
  <c r="G2445" i="1"/>
  <c r="H2445" i="1"/>
  <c r="J2445" i="1"/>
  <c r="K2445" i="1"/>
  <c r="L2445" i="1"/>
  <c r="A2446" i="1"/>
  <c r="B2446" i="1"/>
  <c r="C2446" i="1"/>
  <c r="D2446" i="1"/>
  <c r="Q2446" i="1"/>
  <c r="R2446" i="1"/>
  <c r="E2446" i="1"/>
  <c r="G2446" i="1"/>
  <c r="H2446" i="1"/>
  <c r="J2446" i="1"/>
  <c r="K2446" i="1"/>
  <c r="L2446" i="1"/>
  <c r="A2447" i="1"/>
  <c r="B2447" i="1"/>
  <c r="C2447" i="1"/>
  <c r="D2447" i="1"/>
  <c r="Q2447" i="1"/>
  <c r="R2447" i="1"/>
  <c r="E2447" i="1"/>
  <c r="G2447" i="1"/>
  <c r="H2447" i="1"/>
  <c r="J2447" i="1"/>
  <c r="K2447" i="1"/>
  <c r="L2447" i="1"/>
  <c r="A2448" i="1"/>
  <c r="B2448" i="1"/>
  <c r="C2448" i="1"/>
  <c r="D2448" i="1"/>
  <c r="Q2448" i="1"/>
  <c r="R2448" i="1"/>
  <c r="E2448" i="1"/>
  <c r="G2448" i="1"/>
  <c r="H2448" i="1"/>
  <c r="J2448" i="1"/>
  <c r="K2448" i="1"/>
  <c r="L2448" i="1"/>
  <c r="A2449" i="1"/>
  <c r="B2449" i="1"/>
  <c r="C2449" i="1"/>
  <c r="D2449" i="1"/>
  <c r="Q2449" i="1"/>
  <c r="R2449" i="1"/>
  <c r="E2449" i="1"/>
  <c r="G2449" i="1"/>
  <c r="H2449" i="1"/>
  <c r="J2449" i="1"/>
  <c r="K2449" i="1"/>
  <c r="L2449" i="1"/>
  <c r="A2450" i="1"/>
  <c r="B2450" i="1"/>
  <c r="C2450" i="1"/>
  <c r="D2450" i="1"/>
  <c r="Q2450" i="1"/>
  <c r="R2450" i="1"/>
  <c r="E2450" i="1"/>
  <c r="G2450" i="1"/>
  <c r="H2450" i="1"/>
  <c r="J2450" i="1"/>
  <c r="K2450" i="1"/>
  <c r="L2450" i="1"/>
  <c r="A2451" i="1"/>
  <c r="B2451" i="1"/>
  <c r="C2451" i="1"/>
  <c r="D2451" i="1"/>
  <c r="Q2451" i="1"/>
  <c r="R2451" i="1"/>
  <c r="E2451" i="1"/>
  <c r="G2451" i="1"/>
  <c r="H2451" i="1"/>
  <c r="J2451" i="1"/>
  <c r="K2451" i="1"/>
  <c r="L2451" i="1"/>
  <c r="A2452" i="1"/>
  <c r="B2452" i="1"/>
  <c r="C2452" i="1"/>
  <c r="D2452" i="1"/>
  <c r="Q2452" i="1"/>
  <c r="R2452" i="1"/>
  <c r="E2452" i="1"/>
  <c r="G2452" i="1"/>
  <c r="H2452" i="1"/>
  <c r="J2452" i="1"/>
  <c r="K2452" i="1"/>
  <c r="L2452" i="1"/>
  <c r="A2453" i="1"/>
  <c r="B2453" i="1"/>
  <c r="C2453" i="1"/>
  <c r="D2453" i="1"/>
  <c r="Q2453" i="1"/>
  <c r="R2453" i="1"/>
  <c r="E2453" i="1"/>
  <c r="G2453" i="1"/>
  <c r="H2453" i="1"/>
  <c r="J2453" i="1"/>
  <c r="K2453" i="1"/>
  <c r="L2453" i="1"/>
  <c r="A2454" i="1"/>
  <c r="B2454" i="1"/>
  <c r="C2454" i="1"/>
  <c r="D2454" i="1"/>
  <c r="Q2454" i="1"/>
  <c r="R2454" i="1"/>
  <c r="E2454" i="1"/>
  <c r="G2454" i="1"/>
  <c r="H2454" i="1"/>
  <c r="J2454" i="1"/>
  <c r="K2454" i="1"/>
  <c r="L2454" i="1"/>
  <c r="A2455" i="1"/>
  <c r="B2455" i="1"/>
  <c r="C2455" i="1"/>
  <c r="D2455" i="1"/>
  <c r="Q2455" i="1"/>
  <c r="R2455" i="1"/>
  <c r="E2455" i="1"/>
  <c r="G2455" i="1"/>
  <c r="H2455" i="1"/>
  <c r="J2455" i="1"/>
  <c r="K2455" i="1"/>
  <c r="L2455" i="1"/>
  <c r="A2456" i="1"/>
  <c r="B2456" i="1"/>
  <c r="C2456" i="1"/>
  <c r="D2456" i="1"/>
  <c r="Q2456" i="1"/>
  <c r="R2456" i="1"/>
  <c r="E2456" i="1"/>
  <c r="G2456" i="1"/>
  <c r="H2456" i="1"/>
  <c r="J2456" i="1"/>
  <c r="K2456" i="1"/>
  <c r="L2456" i="1"/>
  <c r="A2457" i="1"/>
  <c r="B2457" i="1"/>
  <c r="C2457" i="1"/>
  <c r="D2457" i="1"/>
  <c r="Q2457" i="1"/>
  <c r="R2457" i="1"/>
  <c r="E2457" i="1"/>
  <c r="G2457" i="1"/>
  <c r="H2457" i="1"/>
  <c r="J2457" i="1"/>
  <c r="K2457" i="1"/>
  <c r="L2457" i="1"/>
  <c r="A2458" i="1"/>
  <c r="B2458" i="1"/>
  <c r="C2458" i="1"/>
  <c r="D2458" i="1"/>
  <c r="Q2458" i="1"/>
  <c r="R2458" i="1"/>
  <c r="E2458" i="1"/>
  <c r="G2458" i="1"/>
  <c r="H2458" i="1"/>
  <c r="J2458" i="1"/>
  <c r="K2458" i="1"/>
  <c r="L2458" i="1"/>
  <c r="A2459" i="1"/>
  <c r="B2459" i="1"/>
  <c r="C2459" i="1"/>
  <c r="D2459" i="1"/>
  <c r="Q2459" i="1"/>
  <c r="R2459" i="1"/>
  <c r="E2459" i="1"/>
  <c r="G2459" i="1"/>
  <c r="H2459" i="1"/>
  <c r="J2459" i="1"/>
  <c r="K2459" i="1"/>
  <c r="L2459" i="1"/>
  <c r="A2460" i="1"/>
  <c r="B2460" i="1"/>
  <c r="C2460" i="1"/>
  <c r="D2460" i="1"/>
  <c r="Q2460" i="1"/>
  <c r="R2460" i="1"/>
  <c r="E2460" i="1"/>
  <c r="G2460" i="1"/>
  <c r="H2460" i="1"/>
  <c r="J2460" i="1"/>
  <c r="K2460" i="1"/>
  <c r="L2460" i="1"/>
  <c r="A2461" i="1"/>
  <c r="B2461" i="1"/>
  <c r="C2461" i="1"/>
  <c r="D2461" i="1"/>
  <c r="Q2461" i="1"/>
  <c r="R2461" i="1"/>
  <c r="E2461" i="1"/>
  <c r="G2461" i="1"/>
  <c r="H2461" i="1"/>
  <c r="J2461" i="1"/>
  <c r="K2461" i="1"/>
  <c r="L2461" i="1"/>
  <c r="A2462" i="1"/>
  <c r="B2462" i="1"/>
  <c r="C2462" i="1"/>
  <c r="D2462" i="1"/>
  <c r="Q2462" i="1"/>
  <c r="R2462" i="1"/>
  <c r="E2462" i="1"/>
  <c r="G2462" i="1"/>
  <c r="H2462" i="1"/>
  <c r="J2462" i="1"/>
  <c r="K2462" i="1"/>
  <c r="L2462" i="1"/>
  <c r="A2463" i="1"/>
  <c r="B2463" i="1"/>
  <c r="C2463" i="1"/>
  <c r="D2463" i="1"/>
  <c r="Q2463" i="1"/>
  <c r="R2463" i="1"/>
  <c r="E2463" i="1"/>
  <c r="G2463" i="1"/>
  <c r="H2463" i="1"/>
  <c r="J2463" i="1"/>
  <c r="K2463" i="1"/>
  <c r="L2463" i="1"/>
  <c r="A2464" i="1"/>
  <c r="B2464" i="1"/>
  <c r="C2464" i="1"/>
  <c r="D2464" i="1"/>
  <c r="Q2464" i="1"/>
  <c r="R2464" i="1"/>
  <c r="E2464" i="1"/>
  <c r="G2464" i="1"/>
  <c r="H2464" i="1"/>
  <c r="J2464" i="1"/>
  <c r="K2464" i="1"/>
  <c r="L2464" i="1"/>
  <c r="A2465" i="1"/>
  <c r="B2465" i="1"/>
  <c r="C2465" i="1"/>
  <c r="D2465" i="1"/>
  <c r="Q2465" i="1"/>
  <c r="R2465" i="1"/>
  <c r="E2465" i="1"/>
  <c r="G2465" i="1"/>
  <c r="H2465" i="1"/>
  <c r="J2465" i="1"/>
  <c r="K2465" i="1"/>
  <c r="L2465" i="1"/>
  <c r="A2466" i="1"/>
  <c r="B2466" i="1"/>
  <c r="C2466" i="1"/>
  <c r="D2466" i="1"/>
  <c r="Q2466" i="1"/>
  <c r="R2466" i="1"/>
  <c r="E2466" i="1"/>
  <c r="G2466" i="1"/>
  <c r="H2466" i="1"/>
  <c r="J2466" i="1"/>
  <c r="K2466" i="1"/>
  <c r="L2466" i="1"/>
  <c r="A2467" i="1"/>
  <c r="B2467" i="1"/>
  <c r="C2467" i="1"/>
  <c r="D2467" i="1"/>
  <c r="Q2467" i="1"/>
  <c r="R2467" i="1"/>
  <c r="E2467" i="1"/>
  <c r="G2467" i="1"/>
  <c r="H2467" i="1"/>
  <c r="J2467" i="1"/>
  <c r="K2467" i="1"/>
  <c r="L2467" i="1"/>
  <c r="A2468" i="1"/>
  <c r="B2468" i="1"/>
  <c r="C2468" i="1"/>
  <c r="D2468" i="1"/>
  <c r="Q2468" i="1"/>
  <c r="R2468" i="1"/>
  <c r="E2468" i="1"/>
  <c r="G2468" i="1"/>
  <c r="H2468" i="1"/>
  <c r="J2468" i="1"/>
  <c r="K2468" i="1"/>
  <c r="L2468" i="1"/>
  <c r="A2469" i="1"/>
  <c r="B2469" i="1"/>
  <c r="C2469" i="1"/>
  <c r="D2469" i="1"/>
  <c r="Q2469" i="1"/>
  <c r="R2469" i="1"/>
  <c r="E2469" i="1"/>
  <c r="G2469" i="1"/>
  <c r="H2469" i="1"/>
  <c r="J2469" i="1"/>
  <c r="K2469" i="1"/>
  <c r="L2469" i="1"/>
  <c r="A2470" i="1"/>
  <c r="B2470" i="1"/>
  <c r="C2470" i="1"/>
  <c r="D2470" i="1"/>
  <c r="Q2470" i="1"/>
  <c r="R2470" i="1"/>
  <c r="E2470" i="1"/>
  <c r="G2470" i="1"/>
  <c r="H2470" i="1"/>
  <c r="J2470" i="1"/>
  <c r="K2470" i="1"/>
  <c r="L2470" i="1"/>
  <c r="A2471" i="1"/>
  <c r="B2471" i="1"/>
  <c r="C2471" i="1"/>
  <c r="D2471" i="1"/>
  <c r="Q2471" i="1"/>
  <c r="R2471" i="1"/>
  <c r="E2471" i="1"/>
  <c r="G2471" i="1"/>
  <c r="H2471" i="1"/>
  <c r="J2471" i="1"/>
  <c r="K2471" i="1"/>
  <c r="L2471" i="1"/>
  <c r="A2472" i="1"/>
  <c r="B2472" i="1"/>
  <c r="C2472" i="1"/>
  <c r="D2472" i="1"/>
  <c r="Q2472" i="1"/>
  <c r="R2472" i="1"/>
  <c r="E2472" i="1"/>
  <c r="G2472" i="1"/>
  <c r="H2472" i="1"/>
  <c r="J2472" i="1"/>
  <c r="K2472" i="1"/>
  <c r="L2472" i="1"/>
  <c r="A2473" i="1"/>
  <c r="B2473" i="1"/>
  <c r="C2473" i="1"/>
  <c r="D2473" i="1"/>
  <c r="Q2473" i="1"/>
  <c r="R2473" i="1"/>
  <c r="E2473" i="1"/>
  <c r="G2473" i="1"/>
  <c r="H2473" i="1"/>
  <c r="J2473" i="1"/>
  <c r="K2473" i="1"/>
  <c r="L2473" i="1"/>
  <c r="A2474" i="1"/>
  <c r="B2474" i="1"/>
  <c r="C2474" i="1"/>
  <c r="D2474" i="1"/>
  <c r="Q2474" i="1"/>
  <c r="R2474" i="1"/>
  <c r="E2474" i="1"/>
  <c r="G2474" i="1"/>
  <c r="H2474" i="1"/>
  <c r="J2474" i="1"/>
  <c r="K2474" i="1"/>
  <c r="L2474" i="1"/>
  <c r="A2475" i="1"/>
  <c r="B2475" i="1"/>
  <c r="C2475" i="1"/>
  <c r="D2475" i="1"/>
  <c r="Q2475" i="1"/>
  <c r="R2475" i="1"/>
  <c r="E2475" i="1"/>
  <c r="G2475" i="1"/>
  <c r="H2475" i="1"/>
  <c r="J2475" i="1"/>
  <c r="K2475" i="1"/>
  <c r="L2475" i="1"/>
  <c r="A2476" i="1"/>
  <c r="B2476" i="1"/>
  <c r="C2476" i="1"/>
  <c r="D2476" i="1"/>
  <c r="Q2476" i="1"/>
  <c r="R2476" i="1"/>
  <c r="E2476" i="1"/>
  <c r="G2476" i="1"/>
  <c r="H2476" i="1"/>
  <c r="J2476" i="1"/>
  <c r="K2476" i="1"/>
  <c r="L2476" i="1"/>
  <c r="A2477" i="1"/>
  <c r="B2477" i="1"/>
  <c r="C2477" i="1"/>
  <c r="D2477" i="1"/>
  <c r="Q2477" i="1"/>
  <c r="R2477" i="1"/>
  <c r="E2477" i="1"/>
  <c r="G2477" i="1"/>
  <c r="H2477" i="1"/>
  <c r="J2477" i="1"/>
  <c r="K2477" i="1"/>
  <c r="L2477" i="1"/>
  <c r="A2478" i="1"/>
  <c r="B2478" i="1"/>
  <c r="C2478" i="1"/>
  <c r="D2478" i="1"/>
  <c r="Q2478" i="1"/>
  <c r="R2478" i="1"/>
  <c r="E2478" i="1"/>
  <c r="G2478" i="1"/>
  <c r="H2478" i="1"/>
  <c r="J2478" i="1"/>
  <c r="K2478" i="1"/>
  <c r="L2478" i="1"/>
  <c r="A2479" i="1"/>
  <c r="B2479" i="1"/>
  <c r="C2479" i="1"/>
  <c r="D2479" i="1"/>
  <c r="Q2479" i="1"/>
  <c r="R2479" i="1"/>
  <c r="E2479" i="1"/>
  <c r="G2479" i="1"/>
  <c r="H2479" i="1"/>
  <c r="J2479" i="1"/>
  <c r="K2479" i="1"/>
  <c r="L2479" i="1"/>
  <c r="A2480" i="1"/>
  <c r="B2480" i="1"/>
  <c r="C2480" i="1"/>
  <c r="D2480" i="1"/>
  <c r="Q2480" i="1"/>
  <c r="R2480" i="1"/>
  <c r="E2480" i="1"/>
  <c r="G2480" i="1"/>
  <c r="H2480" i="1"/>
  <c r="J2480" i="1"/>
  <c r="K2480" i="1"/>
  <c r="L2480" i="1"/>
  <c r="A2481" i="1"/>
  <c r="B2481" i="1"/>
  <c r="C2481" i="1"/>
  <c r="D2481" i="1"/>
  <c r="Q2481" i="1"/>
  <c r="R2481" i="1"/>
  <c r="E2481" i="1"/>
  <c r="G2481" i="1"/>
  <c r="H2481" i="1"/>
  <c r="J2481" i="1"/>
  <c r="K2481" i="1"/>
  <c r="L2481" i="1"/>
  <c r="A2482" i="1"/>
  <c r="B2482" i="1"/>
  <c r="C2482" i="1"/>
  <c r="D2482" i="1"/>
  <c r="Q2482" i="1"/>
  <c r="R2482" i="1"/>
  <c r="E2482" i="1"/>
  <c r="G2482" i="1"/>
  <c r="H2482" i="1"/>
  <c r="J2482" i="1"/>
  <c r="K2482" i="1"/>
  <c r="L2482" i="1"/>
  <c r="A2483" i="1"/>
  <c r="B2483" i="1"/>
  <c r="C2483" i="1"/>
  <c r="D2483" i="1"/>
  <c r="Q2483" i="1"/>
  <c r="R2483" i="1"/>
  <c r="E2483" i="1"/>
  <c r="G2483" i="1"/>
  <c r="H2483" i="1"/>
  <c r="J2483" i="1"/>
  <c r="K2483" i="1"/>
  <c r="L2483" i="1"/>
  <c r="A2484" i="1"/>
  <c r="B2484" i="1"/>
  <c r="C2484" i="1"/>
  <c r="D2484" i="1"/>
  <c r="Q2484" i="1"/>
  <c r="R2484" i="1"/>
  <c r="E2484" i="1"/>
  <c r="G2484" i="1"/>
  <c r="H2484" i="1"/>
  <c r="J2484" i="1"/>
  <c r="K2484" i="1"/>
  <c r="L2484" i="1"/>
  <c r="A2485" i="1"/>
  <c r="B2485" i="1"/>
  <c r="C2485" i="1"/>
  <c r="D2485" i="1"/>
  <c r="Q2485" i="1"/>
  <c r="R2485" i="1"/>
  <c r="E2485" i="1"/>
  <c r="G2485" i="1"/>
  <c r="H2485" i="1"/>
  <c r="J2485" i="1"/>
  <c r="K2485" i="1"/>
  <c r="L2485" i="1"/>
  <c r="A2486" i="1"/>
  <c r="B2486" i="1"/>
  <c r="C2486" i="1"/>
  <c r="D2486" i="1"/>
  <c r="Q2486" i="1"/>
  <c r="R2486" i="1"/>
  <c r="E2486" i="1"/>
  <c r="G2486" i="1"/>
  <c r="H2486" i="1"/>
  <c r="J2486" i="1"/>
  <c r="K2486" i="1"/>
  <c r="L2486" i="1"/>
  <c r="A2487" i="1"/>
  <c r="B2487" i="1"/>
  <c r="C2487" i="1"/>
  <c r="D2487" i="1"/>
  <c r="Q2487" i="1"/>
  <c r="R2487" i="1"/>
  <c r="E2487" i="1"/>
  <c r="G2487" i="1"/>
  <c r="H2487" i="1"/>
  <c r="J2487" i="1"/>
  <c r="K2487" i="1"/>
  <c r="L2487" i="1"/>
  <c r="A2488" i="1"/>
  <c r="B2488" i="1"/>
  <c r="C2488" i="1"/>
  <c r="D2488" i="1"/>
  <c r="Q2488" i="1"/>
  <c r="R2488" i="1"/>
  <c r="E2488" i="1"/>
  <c r="G2488" i="1"/>
  <c r="H2488" i="1"/>
  <c r="J2488" i="1"/>
  <c r="K2488" i="1"/>
  <c r="L2488" i="1"/>
  <c r="A2489" i="1"/>
  <c r="B2489" i="1"/>
  <c r="C2489" i="1"/>
  <c r="D2489" i="1"/>
  <c r="Q2489" i="1"/>
  <c r="R2489" i="1"/>
  <c r="E2489" i="1"/>
  <c r="G2489" i="1"/>
  <c r="H2489" i="1"/>
  <c r="J2489" i="1"/>
  <c r="K2489" i="1"/>
  <c r="L2489" i="1"/>
  <c r="A2490" i="1"/>
  <c r="B2490" i="1"/>
  <c r="C2490" i="1"/>
  <c r="D2490" i="1"/>
  <c r="Q2490" i="1"/>
  <c r="R2490" i="1"/>
  <c r="E2490" i="1"/>
  <c r="G2490" i="1"/>
  <c r="H2490" i="1"/>
  <c r="J2490" i="1"/>
  <c r="K2490" i="1"/>
  <c r="L2490" i="1"/>
  <c r="A2491" i="1"/>
  <c r="B2491" i="1"/>
  <c r="C2491" i="1"/>
  <c r="D2491" i="1"/>
  <c r="Q2491" i="1"/>
  <c r="R2491" i="1"/>
  <c r="E2491" i="1"/>
  <c r="G2491" i="1"/>
  <c r="H2491" i="1"/>
  <c r="J2491" i="1"/>
  <c r="K2491" i="1"/>
  <c r="L2491" i="1"/>
  <c r="A2492" i="1"/>
  <c r="B2492" i="1"/>
  <c r="C2492" i="1"/>
  <c r="D2492" i="1"/>
  <c r="Q2492" i="1"/>
  <c r="R2492" i="1"/>
  <c r="E2492" i="1"/>
  <c r="G2492" i="1"/>
  <c r="H2492" i="1"/>
  <c r="J2492" i="1"/>
  <c r="K2492" i="1"/>
  <c r="L2492" i="1"/>
  <c r="A2493" i="1"/>
  <c r="B2493" i="1"/>
  <c r="C2493" i="1"/>
  <c r="D2493" i="1"/>
  <c r="Q2493" i="1"/>
  <c r="R2493" i="1"/>
  <c r="E2493" i="1"/>
  <c r="G2493" i="1"/>
  <c r="H2493" i="1"/>
  <c r="J2493" i="1"/>
  <c r="K2493" i="1"/>
  <c r="L2493" i="1"/>
  <c r="A2494" i="1"/>
  <c r="B2494" i="1"/>
  <c r="C2494" i="1"/>
  <c r="D2494" i="1"/>
  <c r="Q2494" i="1"/>
  <c r="R2494" i="1"/>
  <c r="E2494" i="1"/>
  <c r="G2494" i="1"/>
  <c r="H2494" i="1"/>
  <c r="J2494" i="1"/>
  <c r="K2494" i="1"/>
  <c r="L2494" i="1"/>
  <c r="A2495" i="1"/>
  <c r="B2495" i="1"/>
  <c r="C2495" i="1"/>
  <c r="D2495" i="1"/>
  <c r="Q2495" i="1"/>
  <c r="R2495" i="1"/>
  <c r="E2495" i="1"/>
  <c r="G2495" i="1"/>
  <c r="H2495" i="1"/>
  <c r="J2495" i="1"/>
  <c r="K2495" i="1"/>
  <c r="L2495" i="1"/>
  <c r="A2496" i="1"/>
  <c r="B2496" i="1"/>
  <c r="C2496" i="1"/>
  <c r="D2496" i="1"/>
  <c r="Q2496" i="1"/>
  <c r="R2496" i="1"/>
  <c r="E2496" i="1"/>
  <c r="G2496" i="1"/>
  <c r="H2496" i="1"/>
  <c r="J2496" i="1"/>
  <c r="K2496" i="1"/>
  <c r="L2496" i="1"/>
  <c r="A2497" i="1"/>
  <c r="B2497" i="1"/>
  <c r="C2497" i="1"/>
  <c r="D2497" i="1"/>
  <c r="Q2497" i="1"/>
  <c r="R2497" i="1"/>
  <c r="E2497" i="1"/>
  <c r="G2497" i="1"/>
  <c r="H2497" i="1"/>
  <c r="J2497" i="1"/>
  <c r="K2497" i="1"/>
  <c r="L2497" i="1"/>
  <c r="A2498" i="1"/>
  <c r="B2498" i="1"/>
  <c r="C2498" i="1"/>
  <c r="D2498" i="1"/>
  <c r="Q2498" i="1"/>
  <c r="R2498" i="1"/>
  <c r="E2498" i="1"/>
  <c r="G2498" i="1"/>
  <c r="H2498" i="1"/>
  <c r="J2498" i="1"/>
  <c r="K2498" i="1"/>
  <c r="L2498" i="1"/>
  <c r="A2499" i="1"/>
  <c r="B2499" i="1"/>
  <c r="C2499" i="1"/>
  <c r="D2499" i="1"/>
  <c r="Q2499" i="1"/>
  <c r="R2499" i="1"/>
  <c r="E2499" i="1"/>
  <c r="G2499" i="1"/>
  <c r="H2499" i="1"/>
  <c r="J2499" i="1"/>
  <c r="K2499" i="1"/>
  <c r="L2499" i="1"/>
  <c r="A2500" i="1"/>
  <c r="B2500" i="1"/>
  <c r="C2500" i="1"/>
  <c r="D2500" i="1"/>
  <c r="Q2500" i="1"/>
  <c r="R2500" i="1"/>
  <c r="E2500" i="1"/>
  <c r="G2500" i="1"/>
  <c r="H2500" i="1"/>
  <c r="J2500" i="1"/>
  <c r="K2500" i="1"/>
  <c r="L2500" i="1"/>
  <c r="A2501" i="1"/>
  <c r="B2501" i="1"/>
  <c r="C2501" i="1"/>
  <c r="D2501" i="1"/>
  <c r="Q2501" i="1"/>
  <c r="R2501" i="1"/>
  <c r="E2501" i="1"/>
  <c r="G2501" i="1"/>
  <c r="H2501" i="1"/>
  <c r="J2501" i="1"/>
  <c r="K2501" i="1"/>
  <c r="L2501" i="1"/>
  <c r="A2502" i="1"/>
  <c r="B2502" i="1"/>
  <c r="C2502" i="1"/>
  <c r="D2502" i="1"/>
  <c r="Q2502" i="1"/>
  <c r="R2502" i="1"/>
  <c r="E2502" i="1"/>
  <c r="G2502" i="1"/>
  <c r="H2502" i="1"/>
  <c r="J2502" i="1"/>
  <c r="K2502" i="1"/>
  <c r="L2502" i="1"/>
  <c r="A2503" i="1"/>
  <c r="B2503" i="1"/>
  <c r="C2503" i="1"/>
  <c r="D2503" i="1"/>
  <c r="Q2503" i="1"/>
  <c r="R2503" i="1"/>
  <c r="E2503" i="1"/>
  <c r="G2503" i="1"/>
  <c r="H2503" i="1"/>
  <c r="J2503" i="1"/>
  <c r="K2503" i="1"/>
  <c r="L2503" i="1"/>
  <c r="A2504" i="1"/>
  <c r="B2504" i="1"/>
  <c r="C2504" i="1"/>
  <c r="D2504" i="1"/>
  <c r="Q2504" i="1"/>
  <c r="R2504" i="1"/>
  <c r="E2504" i="1"/>
  <c r="G2504" i="1"/>
  <c r="H2504" i="1"/>
  <c r="J2504" i="1"/>
  <c r="K2504" i="1"/>
  <c r="L2504" i="1"/>
  <c r="A2505" i="1"/>
  <c r="B2505" i="1"/>
  <c r="C2505" i="1"/>
  <c r="D2505" i="1"/>
  <c r="Q2505" i="1"/>
  <c r="R2505" i="1"/>
  <c r="E2505" i="1"/>
  <c r="G2505" i="1"/>
  <c r="H2505" i="1"/>
  <c r="J2505" i="1"/>
  <c r="K2505" i="1"/>
  <c r="L2505" i="1"/>
  <c r="A2506" i="1"/>
  <c r="B2506" i="1"/>
  <c r="C2506" i="1"/>
  <c r="D2506" i="1"/>
  <c r="Q2506" i="1"/>
  <c r="R2506" i="1"/>
  <c r="E2506" i="1"/>
  <c r="G2506" i="1"/>
  <c r="H2506" i="1"/>
  <c r="J2506" i="1"/>
  <c r="K2506" i="1"/>
  <c r="L2506" i="1"/>
  <c r="A2507" i="1"/>
  <c r="B2507" i="1"/>
  <c r="C2507" i="1"/>
  <c r="D2507" i="1"/>
  <c r="Q2507" i="1"/>
  <c r="R2507" i="1"/>
  <c r="E2507" i="1"/>
  <c r="G2507" i="1"/>
  <c r="H2507" i="1"/>
  <c r="J2507" i="1"/>
  <c r="K2507" i="1"/>
  <c r="L2507" i="1"/>
  <c r="A2508" i="1"/>
  <c r="B2508" i="1"/>
  <c r="C2508" i="1"/>
  <c r="D2508" i="1"/>
  <c r="Q2508" i="1"/>
  <c r="R2508" i="1"/>
  <c r="E2508" i="1"/>
  <c r="G2508" i="1"/>
  <c r="H2508" i="1"/>
  <c r="J2508" i="1"/>
  <c r="K2508" i="1"/>
  <c r="L2508" i="1"/>
  <c r="A2509" i="1"/>
  <c r="B2509" i="1"/>
  <c r="C2509" i="1"/>
  <c r="D2509" i="1"/>
  <c r="Q2509" i="1"/>
  <c r="R2509" i="1"/>
  <c r="E2509" i="1"/>
  <c r="G2509" i="1"/>
  <c r="H2509" i="1"/>
  <c r="J2509" i="1"/>
  <c r="K2509" i="1"/>
  <c r="L2509" i="1"/>
  <c r="A2510" i="1"/>
  <c r="B2510" i="1"/>
  <c r="C2510" i="1"/>
  <c r="D2510" i="1"/>
  <c r="Q2510" i="1"/>
  <c r="R2510" i="1"/>
  <c r="E2510" i="1"/>
  <c r="G2510" i="1"/>
  <c r="H2510" i="1"/>
  <c r="J2510" i="1"/>
  <c r="K2510" i="1"/>
  <c r="L2510" i="1"/>
  <c r="A2511" i="1"/>
  <c r="B2511" i="1"/>
  <c r="C2511" i="1"/>
  <c r="D2511" i="1"/>
  <c r="Q2511" i="1"/>
  <c r="R2511" i="1"/>
  <c r="E2511" i="1"/>
  <c r="G2511" i="1"/>
  <c r="H2511" i="1"/>
  <c r="J2511" i="1"/>
  <c r="K2511" i="1"/>
  <c r="L2511" i="1"/>
  <c r="A2512" i="1"/>
  <c r="B2512" i="1"/>
  <c r="C2512" i="1"/>
  <c r="D2512" i="1"/>
  <c r="Q2512" i="1"/>
  <c r="R2512" i="1"/>
  <c r="E2512" i="1"/>
  <c r="G2512" i="1"/>
  <c r="H2512" i="1"/>
  <c r="J2512" i="1"/>
  <c r="K2512" i="1"/>
  <c r="L2512" i="1"/>
  <c r="A2513" i="1"/>
  <c r="B2513" i="1"/>
  <c r="C2513" i="1"/>
  <c r="D2513" i="1"/>
  <c r="Q2513" i="1"/>
  <c r="R2513" i="1"/>
  <c r="E2513" i="1"/>
  <c r="G2513" i="1"/>
  <c r="H2513" i="1"/>
  <c r="J2513" i="1"/>
  <c r="K2513" i="1"/>
  <c r="L2513" i="1"/>
  <c r="A2514" i="1"/>
  <c r="B2514" i="1"/>
  <c r="C2514" i="1"/>
  <c r="D2514" i="1"/>
  <c r="Q2514" i="1"/>
  <c r="R2514" i="1"/>
  <c r="E2514" i="1"/>
  <c r="G2514" i="1"/>
  <c r="H2514" i="1"/>
  <c r="J2514" i="1"/>
  <c r="K2514" i="1"/>
  <c r="L2514" i="1"/>
  <c r="A2515" i="1"/>
  <c r="B2515" i="1"/>
  <c r="C2515" i="1"/>
  <c r="D2515" i="1"/>
  <c r="Q2515" i="1"/>
  <c r="R2515" i="1"/>
  <c r="E2515" i="1"/>
  <c r="G2515" i="1"/>
  <c r="H2515" i="1"/>
  <c r="J2515" i="1"/>
  <c r="K2515" i="1"/>
  <c r="L2515" i="1"/>
  <c r="A2516" i="1"/>
  <c r="B2516" i="1"/>
  <c r="C2516" i="1"/>
  <c r="D2516" i="1"/>
  <c r="Q2516" i="1"/>
  <c r="R2516" i="1"/>
  <c r="E2516" i="1"/>
  <c r="G2516" i="1"/>
  <c r="H2516" i="1"/>
  <c r="J2516" i="1"/>
  <c r="K2516" i="1"/>
  <c r="L2516" i="1"/>
  <c r="A2517" i="1"/>
  <c r="B2517" i="1"/>
  <c r="C2517" i="1"/>
  <c r="D2517" i="1"/>
  <c r="Q2517" i="1"/>
  <c r="R2517" i="1"/>
  <c r="E2517" i="1"/>
  <c r="G2517" i="1"/>
  <c r="H2517" i="1"/>
  <c r="J2517" i="1"/>
  <c r="K2517" i="1"/>
  <c r="L2517" i="1"/>
  <c r="A2518" i="1"/>
  <c r="B2518" i="1"/>
  <c r="C2518" i="1"/>
  <c r="D2518" i="1"/>
  <c r="Q2518" i="1"/>
  <c r="R2518" i="1"/>
  <c r="E2518" i="1"/>
  <c r="G2518" i="1"/>
  <c r="H2518" i="1"/>
  <c r="J2518" i="1"/>
  <c r="K2518" i="1"/>
  <c r="L2518" i="1"/>
  <c r="A2519" i="1"/>
  <c r="B2519" i="1"/>
  <c r="C2519" i="1"/>
  <c r="D2519" i="1"/>
  <c r="Q2519" i="1"/>
  <c r="R2519" i="1"/>
  <c r="E2519" i="1"/>
  <c r="G2519" i="1"/>
  <c r="H2519" i="1"/>
  <c r="J2519" i="1"/>
  <c r="K2519" i="1"/>
  <c r="L2519" i="1"/>
  <c r="A2520" i="1"/>
  <c r="B2520" i="1"/>
  <c r="C2520" i="1"/>
  <c r="D2520" i="1"/>
  <c r="Q2520" i="1"/>
  <c r="R2520" i="1"/>
  <c r="E2520" i="1"/>
  <c r="G2520" i="1"/>
  <c r="H2520" i="1"/>
  <c r="J2520" i="1"/>
  <c r="K2520" i="1"/>
  <c r="L2520" i="1"/>
  <c r="A2521" i="1"/>
  <c r="B2521" i="1"/>
  <c r="C2521" i="1"/>
  <c r="D2521" i="1"/>
  <c r="Q2521" i="1"/>
  <c r="R2521" i="1"/>
  <c r="E2521" i="1"/>
  <c r="G2521" i="1"/>
  <c r="H2521" i="1"/>
  <c r="J2521" i="1"/>
  <c r="K2521" i="1"/>
  <c r="L2521" i="1"/>
  <c r="A2522" i="1"/>
  <c r="B2522" i="1"/>
  <c r="C2522" i="1"/>
  <c r="D2522" i="1"/>
  <c r="Q2522" i="1"/>
  <c r="R2522" i="1"/>
  <c r="E2522" i="1"/>
  <c r="G2522" i="1"/>
  <c r="H2522" i="1"/>
  <c r="J2522" i="1"/>
  <c r="K2522" i="1"/>
  <c r="L2522" i="1"/>
  <c r="A2523" i="1"/>
  <c r="B2523" i="1"/>
  <c r="C2523" i="1"/>
  <c r="D2523" i="1"/>
  <c r="Q2523" i="1"/>
  <c r="R2523" i="1"/>
  <c r="E2523" i="1"/>
  <c r="G2523" i="1"/>
  <c r="H2523" i="1"/>
  <c r="J2523" i="1"/>
  <c r="K2523" i="1"/>
  <c r="L2523" i="1"/>
  <c r="A2524" i="1"/>
  <c r="B2524" i="1"/>
  <c r="C2524" i="1"/>
  <c r="D2524" i="1"/>
  <c r="Q2524" i="1"/>
  <c r="R2524" i="1"/>
  <c r="E2524" i="1"/>
  <c r="G2524" i="1"/>
  <c r="H2524" i="1"/>
  <c r="J2524" i="1"/>
  <c r="K2524" i="1"/>
  <c r="L2524" i="1"/>
  <c r="A2525" i="1"/>
  <c r="B2525" i="1"/>
  <c r="C2525" i="1"/>
  <c r="D2525" i="1"/>
  <c r="Q2525" i="1"/>
  <c r="R2525" i="1"/>
  <c r="E2525" i="1"/>
  <c r="G2525" i="1"/>
  <c r="H2525" i="1"/>
  <c r="J2525" i="1"/>
  <c r="K2525" i="1"/>
  <c r="L2525" i="1"/>
  <c r="A2526" i="1"/>
  <c r="B2526" i="1"/>
  <c r="C2526" i="1"/>
  <c r="D2526" i="1"/>
  <c r="Q2526" i="1"/>
  <c r="R2526" i="1"/>
  <c r="E2526" i="1"/>
  <c r="G2526" i="1"/>
  <c r="H2526" i="1"/>
  <c r="J2526" i="1"/>
  <c r="K2526" i="1"/>
  <c r="L2526" i="1"/>
  <c r="A2527" i="1"/>
  <c r="B2527" i="1"/>
  <c r="C2527" i="1"/>
  <c r="D2527" i="1"/>
  <c r="Q2527" i="1"/>
  <c r="R2527" i="1"/>
  <c r="E2527" i="1"/>
  <c r="G2527" i="1"/>
  <c r="H2527" i="1"/>
  <c r="J2527" i="1"/>
  <c r="K2527" i="1"/>
  <c r="L2527" i="1"/>
  <c r="A2528" i="1"/>
  <c r="B2528" i="1"/>
  <c r="C2528" i="1"/>
  <c r="D2528" i="1"/>
  <c r="Q2528" i="1"/>
  <c r="R2528" i="1"/>
  <c r="E2528" i="1"/>
  <c r="G2528" i="1"/>
  <c r="H2528" i="1"/>
  <c r="J2528" i="1"/>
  <c r="K2528" i="1"/>
  <c r="L2528" i="1"/>
  <c r="A2529" i="1"/>
  <c r="B2529" i="1"/>
  <c r="C2529" i="1"/>
  <c r="D2529" i="1"/>
  <c r="Q2529" i="1"/>
  <c r="R2529" i="1"/>
  <c r="E2529" i="1"/>
  <c r="G2529" i="1"/>
  <c r="H2529" i="1"/>
  <c r="J2529" i="1"/>
  <c r="K2529" i="1"/>
  <c r="L2529" i="1"/>
  <c r="A2530" i="1"/>
  <c r="B2530" i="1"/>
  <c r="C2530" i="1"/>
  <c r="D2530" i="1"/>
  <c r="Q2530" i="1"/>
  <c r="R2530" i="1"/>
  <c r="E2530" i="1"/>
  <c r="G2530" i="1"/>
  <c r="H2530" i="1"/>
  <c r="J2530" i="1"/>
  <c r="K2530" i="1"/>
  <c r="L2530" i="1"/>
  <c r="A2531" i="1"/>
  <c r="B2531" i="1"/>
  <c r="C2531" i="1"/>
  <c r="D2531" i="1"/>
  <c r="Q2531" i="1"/>
  <c r="R2531" i="1"/>
  <c r="E2531" i="1"/>
  <c r="G2531" i="1"/>
  <c r="H2531" i="1"/>
  <c r="J2531" i="1"/>
  <c r="K2531" i="1"/>
  <c r="L2531" i="1"/>
  <c r="A2532" i="1"/>
  <c r="B2532" i="1"/>
  <c r="C2532" i="1"/>
  <c r="D2532" i="1"/>
  <c r="Q2532" i="1"/>
  <c r="R2532" i="1"/>
  <c r="E2532" i="1"/>
  <c r="G2532" i="1"/>
  <c r="H2532" i="1"/>
  <c r="J2532" i="1"/>
  <c r="K2532" i="1"/>
  <c r="L2532" i="1"/>
  <c r="A2533" i="1"/>
  <c r="B2533" i="1"/>
  <c r="C2533" i="1"/>
  <c r="D2533" i="1"/>
  <c r="Q2533" i="1"/>
  <c r="R2533" i="1"/>
  <c r="E2533" i="1"/>
  <c r="G2533" i="1"/>
  <c r="H2533" i="1"/>
  <c r="J2533" i="1"/>
  <c r="K2533" i="1"/>
  <c r="L2533" i="1"/>
  <c r="A2534" i="1"/>
  <c r="B2534" i="1"/>
  <c r="C2534" i="1"/>
  <c r="D2534" i="1"/>
  <c r="Q2534" i="1"/>
  <c r="R2534" i="1"/>
  <c r="E2534" i="1"/>
  <c r="G2534" i="1"/>
  <c r="H2534" i="1"/>
  <c r="J2534" i="1"/>
  <c r="K2534" i="1"/>
  <c r="L2534" i="1"/>
  <c r="A2535" i="1"/>
  <c r="B2535" i="1"/>
  <c r="C2535" i="1"/>
  <c r="D2535" i="1"/>
  <c r="Q2535" i="1"/>
  <c r="R2535" i="1"/>
  <c r="E2535" i="1"/>
  <c r="G2535" i="1"/>
  <c r="H2535" i="1"/>
  <c r="J2535" i="1"/>
  <c r="K2535" i="1"/>
  <c r="L2535" i="1"/>
  <c r="A2536" i="1"/>
  <c r="B2536" i="1"/>
  <c r="C2536" i="1"/>
  <c r="D2536" i="1"/>
  <c r="Q2536" i="1"/>
  <c r="R2536" i="1"/>
  <c r="E2536" i="1"/>
  <c r="G2536" i="1"/>
  <c r="H2536" i="1"/>
  <c r="J2536" i="1"/>
  <c r="K2536" i="1"/>
  <c r="L2536" i="1"/>
  <c r="A2537" i="1"/>
  <c r="B2537" i="1"/>
  <c r="C2537" i="1"/>
  <c r="D2537" i="1"/>
  <c r="Q2537" i="1"/>
  <c r="R2537" i="1"/>
  <c r="E2537" i="1"/>
  <c r="G2537" i="1"/>
  <c r="H2537" i="1"/>
  <c r="J2537" i="1"/>
  <c r="K2537" i="1"/>
  <c r="L2537" i="1"/>
  <c r="A2538" i="1"/>
  <c r="B2538" i="1"/>
  <c r="C2538" i="1"/>
  <c r="D2538" i="1"/>
  <c r="Q2538" i="1"/>
  <c r="R2538" i="1"/>
  <c r="E2538" i="1"/>
  <c r="G2538" i="1"/>
  <c r="H2538" i="1"/>
  <c r="J2538" i="1"/>
  <c r="K2538" i="1"/>
  <c r="L2538" i="1"/>
  <c r="A2539" i="1"/>
  <c r="B2539" i="1"/>
  <c r="C2539" i="1"/>
  <c r="D2539" i="1"/>
  <c r="Q2539" i="1"/>
  <c r="R2539" i="1"/>
  <c r="E2539" i="1"/>
  <c r="G2539" i="1"/>
  <c r="H2539" i="1"/>
  <c r="J2539" i="1"/>
  <c r="K2539" i="1"/>
  <c r="L2539" i="1"/>
  <c r="A2540" i="1"/>
  <c r="B2540" i="1"/>
  <c r="C2540" i="1"/>
  <c r="D2540" i="1"/>
  <c r="Q2540" i="1"/>
  <c r="R2540" i="1"/>
  <c r="E2540" i="1"/>
  <c r="G2540" i="1"/>
  <c r="H2540" i="1"/>
  <c r="J2540" i="1"/>
  <c r="K2540" i="1"/>
  <c r="L2540" i="1"/>
  <c r="A2541" i="1"/>
  <c r="B2541" i="1"/>
  <c r="C2541" i="1"/>
  <c r="D2541" i="1"/>
  <c r="Q2541" i="1"/>
  <c r="R2541" i="1"/>
  <c r="E2541" i="1"/>
  <c r="G2541" i="1"/>
  <c r="H2541" i="1"/>
  <c r="J2541" i="1"/>
  <c r="K2541" i="1"/>
  <c r="L2541" i="1"/>
  <c r="A2542" i="1"/>
  <c r="B2542" i="1"/>
  <c r="C2542" i="1"/>
  <c r="D2542" i="1"/>
  <c r="Q2542" i="1"/>
  <c r="R2542" i="1"/>
  <c r="E2542" i="1"/>
  <c r="G2542" i="1"/>
  <c r="H2542" i="1"/>
  <c r="J2542" i="1"/>
  <c r="K2542" i="1"/>
  <c r="L2542" i="1"/>
  <c r="A2543" i="1"/>
  <c r="B2543" i="1"/>
  <c r="C2543" i="1"/>
  <c r="D2543" i="1"/>
  <c r="Q2543" i="1"/>
  <c r="R2543" i="1"/>
  <c r="E2543" i="1"/>
  <c r="G2543" i="1"/>
  <c r="H2543" i="1"/>
  <c r="J2543" i="1"/>
  <c r="K2543" i="1"/>
  <c r="L2543" i="1"/>
  <c r="A2544" i="1"/>
  <c r="B2544" i="1"/>
  <c r="C2544" i="1"/>
  <c r="D2544" i="1"/>
  <c r="Q2544" i="1"/>
  <c r="R2544" i="1"/>
  <c r="E2544" i="1"/>
  <c r="G2544" i="1"/>
  <c r="H2544" i="1"/>
  <c r="J2544" i="1"/>
  <c r="K2544" i="1"/>
  <c r="L2544" i="1"/>
  <c r="A2545" i="1"/>
  <c r="B2545" i="1"/>
  <c r="C2545" i="1"/>
  <c r="D2545" i="1"/>
  <c r="Q2545" i="1"/>
  <c r="R2545" i="1"/>
  <c r="E2545" i="1"/>
  <c r="G2545" i="1"/>
  <c r="H2545" i="1"/>
  <c r="J2545" i="1"/>
  <c r="K2545" i="1"/>
  <c r="L2545" i="1"/>
  <c r="A2546" i="1"/>
  <c r="B2546" i="1"/>
  <c r="C2546" i="1"/>
  <c r="D2546" i="1"/>
  <c r="Q2546" i="1"/>
  <c r="R2546" i="1"/>
  <c r="E2546" i="1"/>
  <c r="G2546" i="1"/>
  <c r="H2546" i="1"/>
  <c r="J2546" i="1"/>
  <c r="K2546" i="1"/>
  <c r="L2546" i="1"/>
  <c r="A2547" i="1"/>
  <c r="B2547" i="1"/>
  <c r="C2547" i="1"/>
  <c r="D2547" i="1"/>
  <c r="Q2547" i="1"/>
  <c r="R2547" i="1"/>
  <c r="E2547" i="1"/>
  <c r="G2547" i="1"/>
  <c r="H2547" i="1"/>
  <c r="J2547" i="1"/>
  <c r="K2547" i="1"/>
  <c r="L2547" i="1"/>
  <c r="A2548" i="1"/>
  <c r="B2548" i="1"/>
  <c r="C2548" i="1"/>
  <c r="D2548" i="1"/>
  <c r="Q2548" i="1"/>
  <c r="R2548" i="1"/>
  <c r="E2548" i="1"/>
  <c r="G2548" i="1"/>
  <c r="H2548" i="1"/>
  <c r="J2548" i="1"/>
  <c r="K2548" i="1"/>
  <c r="L2548" i="1"/>
  <c r="A2549" i="1"/>
  <c r="B2549" i="1"/>
  <c r="C2549" i="1"/>
  <c r="D2549" i="1"/>
  <c r="Q2549" i="1"/>
  <c r="R2549" i="1"/>
  <c r="E2549" i="1"/>
  <c r="G2549" i="1"/>
  <c r="H2549" i="1"/>
  <c r="J2549" i="1"/>
  <c r="K2549" i="1"/>
  <c r="L2549" i="1"/>
  <c r="A2550" i="1"/>
  <c r="B2550" i="1"/>
  <c r="C2550" i="1"/>
  <c r="D2550" i="1"/>
  <c r="Q2550" i="1"/>
  <c r="R2550" i="1"/>
  <c r="E2550" i="1"/>
  <c r="G2550" i="1"/>
  <c r="H2550" i="1"/>
  <c r="J2550" i="1"/>
  <c r="K2550" i="1"/>
  <c r="L2550" i="1"/>
  <c r="A2551" i="1"/>
  <c r="B2551" i="1"/>
  <c r="C2551" i="1"/>
  <c r="D2551" i="1"/>
  <c r="Q2551" i="1"/>
  <c r="R2551" i="1"/>
  <c r="E2551" i="1"/>
  <c r="G2551" i="1"/>
  <c r="H2551" i="1"/>
  <c r="J2551" i="1"/>
  <c r="K2551" i="1"/>
  <c r="L2551" i="1"/>
  <c r="A2552" i="1"/>
  <c r="B2552" i="1"/>
  <c r="C2552" i="1"/>
  <c r="D2552" i="1"/>
  <c r="Q2552" i="1"/>
  <c r="R2552" i="1"/>
  <c r="E2552" i="1"/>
  <c r="G2552" i="1"/>
  <c r="H2552" i="1"/>
  <c r="J2552" i="1"/>
  <c r="K2552" i="1"/>
  <c r="L2552" i="1"/>
  <c r="A2553" i="1"/>
  <c r="B2553" i="1"/>
  <c r="C2553" i="1"/>
  <c r="D2553" i="1"/>
  <c r="Q2553" i="1"/>
  <c r="R2553" i="1"/>
  <c r="E2553" i="1"/>
  <c r="G2553" i="1"/>
  <c r="H2553" i="1"/>
  <c r="J2553" i="1"/>
  <c r="K2553" i="1"/>
  <c r="L2553" i="1"/>
  <c r="A2554" i="1"/>
  <c r="B2554" i="1"/>
  <c r="C2554" i="1"/>
  <c r="D2554" i="1"/>
  <c r="Q2554" i="1"/>
  <c r="R2554" i="1"/>
  <c r="E2554" i="1"/>
  <c r="G2554" i="1"/>
  <c r="H2554" i="1"/>
  <c r="J2554" i="1"/>
  <c r="K2554" i="1"/>
  <c r="L2554" i="1"/>
  <c r="A2555" i="1"/>
  <c r="B2555" i="1"/>
  <c r="C2555" i="1"/>
  <c r="D2555" i="1"/>
  <c r="Q2555" i="1"/>
  <c r="R2555" i="1"/>
  <c r="E2555" i="1"/>
  <c r="G2555" i="1"/>
  <c r="H2555" i="1"/>
  <c r="J2555" i="1"/>
  <c r="K2555" i="1"/>
  <c r="L2555" i="1"/>
  <c r="A2556" i="1"/>
  <c r="B2556" i="1"/>
  <c r="C2556" i="1"/>
  <c r="D2556" i="1"/>
  <c r="Q2556" i="1"/>
  <c r="R2556" i="1"/>
  <c r="E2556" i="1"/>
  <c r="G2556" i="1"/>
  <c r="H2556" i="1"/>
  <c r="J2556" i="1"/>
  <c r="K2556" i="1"/>
  <c r="L2556" i="1"/>
  <c r="A2557" i="1"/>
  <c r="B2557" i="1"/>
  <c r="C2557" i="1"/>
  <c r="D2557" i="1"/>
  <c r="Q2557" i="1"/>
  <c r="R2557" i="1"/>
  <c r="E2557" i="1"/>
  <c r="G2557" i="1"/>
  <c r="H2557" i="1"/>
  <c r="J2557" i="1"/>
  <c r="K2557" i="1"/>
  <c r="L2557" i="1"/>
  <c r="A2558" i="1"/>
  <c r="B2558" i="1"/>
  <c r="C2558" i="1"/>
  <c r="D2558" i="1"/>
  <c r="Q2558" i="1"/>
  <c r="R2558" i="1"/>
  <c r="E2558" i="1"/>
  <c r="G2558" i="1"/>
  <c r="H2558" i="1"/>
  <c r="J2558" i="1"/>
  <c r="K2558" i="1"/>
  <c r="L2558" i="1"/>
  <c r="A2559" i="1"/>
  <c r="B2559" i="1"/>
  <c r="C2559" i="1"/>
  <c r="D2559" i="1"/>
  <c r="Q2559" i="1"/>
  <c r="R2559" i="1"/>
  <c r="E2559" i="1"/>
  <c r="G2559" i="1"/>
  <c r="H2559" i="1"/>
  <c r="J2559" i="1"/>
  <c r="K2559" i="1"/>
  <c r="L2559" i="1"/>
  <c r="A2560" i="1"/>
  <c r="B2560" i="1"/>
  <c r="C2560" i="1"/>
  <c r="D2560" i="1"/>
  <c r="Q2560" i="1"/>
  <c r="R2560" i="1"/>
  <c r="E2560" i="1"/>
  <c r="G2560" i="1"/>
  <c r="H2560" i="1"/>
  <c r="J2560" i="1"/>
  <c r="K2560" i="1"/>
  <c r="L2560" i="1"/>
  <c r="A2561" i="1"/>
  <c r="B2561" i="1"/>
  <c r="C2561" i="1"/>
  <c r="D2561" i="1"/>
  <c r="Q2561" i="1"/>
  <c r="R2561" i="1"/>
  <c r="E2561" i="1"/>
  <c r="G2561" i="1"/>
  <c r="H2561" i="1"/>
  <c r="J2561" i="1"/>
  <c r="K2561" i="1"/>
  <c r="L2561" i="1"/>
  <c r="A2562" i="1"/>
  <c r="B2562" i="1"/>
  <c r="C2562" i="1"/>
  <c r="D2562" i="1"/>
  <c r="Q2562" i="1"/>
  <c r="R2562" i="1"/>
  <c r="E2562" i="1"/>
  <c r="G2562" i="1"/>
  <c r="H2562" i="1"/>
  <c r="J2562" i="1"/>
  <c r="K2562" i="1"/>
  <c r="L2562" i="1"/>
  <c r="A2563" i="1"/>
  <c r="B2563" i="1"/>
  <c r="C2563" i="1"/>
  <c r="D2563" i="1"/>
  <c r="Q2563" i="1"/>
  <c r="R2563" i="1"/>
  <c r="E2563" i="1"/>
  <c r="G2563" i="1"/>
  <c r="H2563" i="1"/>
  <c r="J2563" i="1"/>
  <c r="K2563" i="1"/>
  <c r="L2563" i="1"/>
  <c r="A2564" i="1"/>
  <c r="B2564" i="1"/>
  <c r="C2564" i="1"/>
  <c r="D2564" i="1"/>
  <c r="Q2564" i="1"/>
  <c r="R2564" i="1"/>
  <c r="E2564" i="1"/>
  <c r="G2564" i="1"/>
  <c r="H2564" i="1"/>
  <c r="J2564" i="1"/>
  <c r="K2564" i="1"/>
  <c r="L2564" i="1"/>
  <c r="A2565" i="1"/>
  <c r="B2565" i="1"/>
  <c r="C2565" i="1"/>
  <c r="D2565" i="1"/>
  <c r="Q2565" i="1"/>
  <c r="R2565" i="1"/>
  <c r="E2565" i="1"/>
  <c r="G2565" i="1"/>
  <c r="H2565" i="1"/>
  <c r="J2565" i="1"/>
  <c r="K2565" i="1"/>
  <c r="L2565" i="1"/>
  <c r="A2566" i="1"/>
  <c r="B2566" i="1"/>
  <c r="C2566" i="1"/>
  <c r="D2566" i="1"/>
  <c r="Q2566" i="1"/>
  <c r="R2566" i="1"/>
  <c r="E2566" i="1"/>
  <c r="G2566" i="1"/>
  <c r="H2566" i="1"/>
  <c r="J2566" i="1"/>
  <c r="K2566" i="1"/>
  <c r="L2566" i="1"/>
  <c r="A2567" i="1"/>
  <c r="B2567" i="1"/>
  <c r="C2567" i="1"/>
  <c r="D2567" i="1"/>
  <c r="Q2567" i="1"/>
  <c r="R2567" i="1"/>
  <c r="E2567" i="1"/>
  <c r="G2567" i="1"/>
  <c r="H2567" i="1"/>
  <c r="J2567" i="1"/>
  <c r="K2567" i="1"/>
  <c r="L2567" i="1"/>
  <c r="A2568" i="1"/>
  <c r="B2568" i="1"/>
  <c r="C2568" i="1"/>
  <c r="D2568" i="1"/>
  <c r="Q2568" i="1"/>
  <c r="R2568" i="1"/>
  <c r="E2568" i="1"/>
  <c r="G2568" i="1"/>
  <c r="H2568" i="1"/>
  <c r="J2568" i="1"/>
  <c r="K2568" i="1"/>
  <c r="L2568" i="1"/>
  <c r="A2569" i="1"/>
  <c r="B2569" i="1"/>
  <c r="C2569" i="1"/>
  <c r="D2569" i="1"/>
  <c r="Q2569" i="1"/>
  <c r="R2569" i="1"/>
  <c r="E2569" i="1"/>
  <c r="G2569" i="1"/>
  <c r="H2569" i="1"/>
  <c r="J2569" i="1"/>
  <c r="K2569" i="1"/>
  <c r="L2569" i="1"/>
  <c r="A2570" i="1"/>
  <c r="B2570" i="1"/>
  <c r="C2570" i="1"/>
  <c r="D2570" i="1"/>
  <c r="Q2570" i="1"/>
  <c r="R2570" i="1"/>
  <c r="E2570" i="1"/>
  <c r="G2570" i="1"/>
  <c r="H2570" i="1"/>
  <c r="J2570" i="1"/>
  <c r="K2570" i="1"/>
  <c r="L2570" i="1"/>
  <c r="A2571" i="1"/>
  <c r="B2571" i="1"/>
  <c r="C2571" i="1"/>
  <c r="D2571" i="1"/>
  <c r="Q2571" i="1"/>
  <c r="R2571" i="1"/>
  <c r="E2571" i="1"/>
  <c r="G2571" i="1"/>
  <c r="H2571" i="1"/>
  <c r="J2571" i="1"/>
  <c r="K2571" i="1"/>
  <c r="L2571" i="1"/>
  <c r="A2572" i="1"/>
  <c r="B2572" i="1"/>
  <c r="C2572" i="1"/>
  <c r="D2572" i="1"/>
  <c r="Q2572" i="1"/>
  <c r="R2572" i="1"/>
  <c r="E2572" i="1"/>
  <c r="G2572" i="1"/>
  <c r="H2572" i="1"/>
  <c r="J2572" i="1"/>
  <c r="K2572" i="1"/>
  <c r="L2572" i="1"/>
  <c r="A2573" i="1"/>
  <c r="B2573" i="1"/>
  <c r="C2573" i="1"/>
  <c r="D2573" i="1"/>
  <c r="Q2573" i="1"/>
  <c r="R2573" i="1"/>
  <c r="E2573" i="1"/>
  <c r="G2573" i="1"/>
  <c r="H2573" i="1"/>
  <c r="J2573" i="1"/>
  <c r="K2573" i="1"/>
  <c r="L2573" i="1"/>
  <c r="A2574" i="1"/>
  <c r="B2574" i="1"/>
  <c r="C2574" i="1"/>
  <c r="D2574" i="1"/>
  <c r="Q2574" i="1"/>
  <c r="R2574" i="1"/>
  <c r="E2574" i="1"/>
  <c r="G2574" i="1"/>
  <c r="H2574" i="1"/>
  <c r="J2574" i="1"/>
  <c r="K2574" i="1"/>
  <c r="L2574" i="1"/>
  <c r="A2575" i="1"/>
  <c r="B2575" i="1"/>
  <c r="C2575" i="1"/>
  <c r="D2575" i="1"/>
  <c r="Q2575" i="1"/>
  <c r="R2575" i="1"/>
  <c r="E2575" i="1"/>
  <c r="G2575" i="1"/>
  <c r="H2575" i="1"/>
  <c r="J2575" i="1"/>
  <c r="K2575" i="1"/>
  <c r="L2575" i="1"/>
  <c r="A2576" i="1"/>
  <c r="B2576" i="1"/>
  <c r="C2576" i="1"/>
  <c r="D2576" i="1"/>
  <c r="Q2576" i="1"/>
  <c r="R2576" i="1"/>
  <c r="E2576" i="1"/>
  <c r="G2576" i="1"/>
  <c r="H2576" i="1"/>
  <c r="J2576" i="1"/>
  <c r="K2576" i="1"/>
  <c r="L2576" i="1"/>
  <c r="A2577" i="1"/>
  <c r="B2577" i="1"/>
  <c r="C2577" i="1"/>
  <c r="D2577" i="1"/>
  <c r="Q2577" i="1"/>
  <c r="R2577" i="1"/>
  <c r="E2577" i="1"/>
  <c r="G2577" i="1"/>
  <c r="H2577" i="1"/>
  <c r="J2577" i="1"/>
  <c r="K2577" i="1"/>
  <c r="L2577" i="1"/>
  <c r="A2578" i="1"/>
  <c r="B2578" i="1"/>
  <c r="C2578" i="1"/>
  <c r="D2578" i="1"/>
  <c r="Q2578" i="1"/>
  <c r="R2578" i="1"/>
  <c r="E2578" i="1"/>
  <c r="G2578" i="1"/>
  <c r="H2578" i="1"/>
  <c r="J2578" i="1"/>
  <c r="K2578" i="1"/>
  <c r="L2578" i="1"/>
  <c r="A2579" i="1"/>
  <c r="B2579" i="1"/>
  <c r="C2579" i="1"/>
  <c r="D2579" i="1"/>
  <c r="Q2579" i="1"/>
  <c r="R2579" i="1"/>
  <c r="E2579" i="1"/>
  <c r="G2579" i="1"/>
  <c r="H2579" i="1"/>
  <c r="J2579" i="1"/>
  <c r="K2579" i="1"/>
  <c r="L2579" i="1"/>
  <c r="A2580" i="1"/>
  <c r="B2580" i="1"/>
  <c r="C2580" i="1"/>
  <c r="D2580" i="1"/>
  <c r="Q2580" i="1"/>
  <c r="R2580" i="1"/>
  <c r="E2580" i="1"/>
  <c r="G2580" i="1"/>
  <c r="H2580" i="1"/>
  <c r="J2580" i="1"/>
  <c r="K2580" i="1"/>
  <c r="L2580" i="1"/>
  <c r="A2581" i="1"/>
  <c r="B2581" i="1"/>
  <c r="C2581" i="1"/>
  <c r="D2581" i="1"/>
  <c r="Q2581" i="1"/>
  <c r="R2581" i="1"/>
  <c r="E2581" i="1"/>
  <c r="G2581" i="1"/>
  <c r="H2581" i="1"/>
  <c r="J2581" i="1"/>
  <c r="K2581" i="1"/>
  <c r="L2581" i="1"/>
  <c r="A2582" i="1"/>
  <c r="B2582" i="1"/>
  <c r="C2582" i="1"/>
  <c r="D2582" i="1"/>
  <c r="Q2582" i="1"/>
  <c r="R2582" i="1"/>
  <c r="E2582" i="1"/>
  <c r="G2582" i="1"/>
  <c r="H2582" i="1"/>
  <c r="J2582" i="1"/>
  <c r="K2582" i="1"/>
  <c r="L2582" i="1"/>
  <c r="A2583" i="1"/>
  <c r="B2583" i="1"/>
  <c r="C2583" i="1"/>
  <c r="D2583" i="1"/>
  <c r="Q2583" i="1"/>
  <c r="R2583" i="1"/>
  <c r="E2583" i="1"/>
  <c r="G2583" i="1"/>
  <c r="H2583" i="1"/>
  <c r="J2583" i="1"/>
  <c r="K2583" i="1"/>
  <c r="L2583" i="1"/>
  <c r="A2584" i="1"/>
  <c r="B2584" i="1"/>
  <c r="C2584" i="1"/>
  <c r="D2584" i="1"/>
  <c r="Q2584" i="1"/>
  <c r="R2584" i="1"/>
  <c r="E2584" i="1"/>
  <c r="G2584" i="1"/>
  <c r="H2584" i="1"/>
  <c r="J2584" i="1"/>
  <c r="K2584" i="1"/>
  <c r="L2584" i="1"/>
  <c r="A2585" i="1"/>
  <c r="B2585" i="1"/>
  <c r="C2585" i="1"/>
  <c r="D2585" i="1"/>
  <c r="Q2585" i="1"/>
  <c r="R2585" i="1"/>
  <c r="E2585" i="1"/>
  <c r="G2585" i="1"/>
  <c r="H2585" i="1"/>
  <c r="J2585" i="1"/>
  <c r="K2585" i="1"/>
  <c r="L2585" i="1"/>
  <c r="A2586" i="1"/>
  <c r="B2586" i="1"/>
  <c r="C2586" i="1"/>
  <c r="D2586" i="1"/>
  <c r="Q2586" i="1"/>
  <c r="R2586" i="1"/>
  <c r="E2586" i="1"/>
  <c r="G2586" i="1"/>
  <c r="H2586" i="1"/>
  <c r="J2586" i="1"/>
  <c r="K2586" i="1"/>
  <c r="L2586" i="1"/>
  <c r="A2587" i="1"/>
  <c r="B2587" i="1"/>
  <c r="C2587" i="1"/>
  <c r="D2587" i="1"/>
  <c r="Q2587" i="1"/>
  <c r="R2587" i="1"/>
  <c r="E2587" i="1"/>
  <c r="G2587" i="1"/>
  <c r="H2587" i="1"/>
  <c r="J2587" i="1"/>
  <c r="K2587" i="1"/>
  <c r="L2587" i="1"/>
  <c r="A2588" i="1"/>
  <c r="B2588" i="1"/>
  <c r="C2588" i="1"/>
  <c r="D2588" i="1"/>
  <c r="Q2588" i="1"/>
  <c r="R2588" i="1"/>
  <c r="E2588" i="1"/>
  <c r="G2588" i="1"/>
  <c r="H2588" i="1"/>
  <c r="J2588" i="1"/>
  <c r="K2588" i="1"/>
  <c r="L2588" i="1"/>
  <c r="A2589" i="1"/>
  <c r="B2589" i="1"/>
  <c r="C2589" i="1"/>
  <c r="D2589" i="1"/>
  <c r="Q2589" i="1"/>
  <c r="R2589" i="1"/>
  <c r="E2589" i="1"/>
  <c r="G2589" i="1"/>
  <c r="H2589" i="1"/>
  <c r="J2589" i="1"/>
  <c r="K2589" i="1"/>
  <c r="L2589" i="1"/>
  <c r="A2590" i="1"/>
  <c r="B2590" i="1"/>
  <c r="C2590" i="1"/>
  <c r="D2590" i="1"/>
  <c r="Q2590" i="1"/>
  <c r="R2590" i="1"/>
  <c r="E2590" i="1"/>
  <c r="G2590" i="1"/>
  <c r="H2590" i="1"/>
  <c r="J2590" i="1"/>
  <c r="K2590" i="1"/>
  <c r="L2590" i="1"/>
  <c r="A2591" i="1"/>
  <c r="B2591" i="1"/>
  <c r="C2591" i="1"/>
  <c r="D2591" i="1"/>
  <c r="Q2591" i="1"/>
  <c r="R2591" i="1"/>
  <c r="E2591" i="1"/>
  <c r="G2591" i="1"/>
  <c r="H2591" i="1"/>
  <c r="J2591" i="1"/>
  <c r="K2591" i="1"/>
  <c r="L2591" i="1"/>
  <c r="A2592" i="1"/>
  <c r="B2592" i="1"/>
  <c r="C2592" i="1"/>
  <c r="D2592" i="1"/>
  <c r="Q2592" i="1"/>
  <c r="R2592" i="1"/>
  <c r="E2592" i="1"/>
  <c r="G2592" i="1"/>
  <c r="H2592" i="1"/>
  <c r="J2592" i="1"/>
  <c r="K2592" i="1"/>
  <c r="L2592" i="1"/>
  <c r="A2593" i="1"/>
  <c r="B2593" i="1"/>
  <c r="C2593" i="1"/>
  <c r="D2593" i="1"/>
  <c r="Q2593" i="1"/>
  <c r="R2593" i="1"/>
  <c r="E2593" i="1"/>
  <c r="G2593" i="1"/>
  <c r="H2593" i="1"/>
  <c r="J2593" i="1"/>
  <c r="K2593" i="1"/>
  <c r="L2593" i="1"/>
  <c r="A2594" i="1"/>
  <c r="B2594" i="1"/>
  <c r="C2594" i="1"/>
  <c r="D2594" i="1"/>
  <c r="Q2594" i="1"/>
  <c r="R2594" i="1"/>
  <c r="E2594" i="1"/>
  <c r="G2594" i="1"/>
  <c r="H2594" i="1"/>
  <c r="J2594" i="1"/>
  <c r="K2594" i="1"/>
  <c r="L2594" i="1"/>
  <c r="A2595" i="1"/>
  <c r="B2595" i="1"/>
  <c r="C2595" i="1"/>
  <c r="D2595" i="1"/>
  <c r="Q2595" i="1"/>
  <c r="R2595" i="1"/>
  <c r="E2595" i="1"/>
  <c r="G2595" i="1"/>
  <c r="H2595" i="1"/>
  <c r="J2595" i="1"/>
  <c r="K2595" i="1"/>
  <c r="L2595" i="1"/>
  <c r="A2596" i="1"/>
  <c r="B2596" i="1"/>
  <c r="C2596" i="1"/>
  <c r="D2596" i="1"/>
  <c r="Q2596" i="1"/>
  <c r="R2596" i="1"/>
  <c r="E2596" i="1"/>
  <c r="G2596" i="1"/>
  <c r="H2596" i="1"/>
  <c r="J2596" i="1"/>
  <c r="K2596" i="1"/>
  <c r="L2596" i="1"/>
  <c r="A2597" i="1"/>
  <c r="B2597" i="1"/>
  <c r="C2597" i="1"/>
  <c r="D2597" i="1"/>
  <c r="Q2597" i="1"/>
  <c r="R2597" i="1"/>
  <c r="E2597" i="1"/>
  <c r="G2597" i="1"/>
  <c r="H2597" i="1"/>
  <c r="J2597" i="1"/>
  <c r="K2597" i="1"/>
  <c r="L2597" i="1"/>
  <c r="A2598" i="1"/>
  <c r="B2598" i="1"/>
  <c r="C2598" i="1"/>
  <c r="D2598" i="1"/>
  <c r="Q2598" i="1"/>
  <c r="R2598" i="1"/>
  <c r="E2598" i="1"/>
  <c r="G2598" i="1"/>
  <c r="H2598" i="1"/>
  <c r="J2598" i="1"/>
  <c r="K2598" i="1"/>
  <c r="L2598" i="1"/>
  <c r="A2599" i="1"/>
  <c r="B2599" i="1"/>
  <c r="C2599" i="1"/>
  <c r="D2599" i="1"/>
  <c r="Q2599" i="1"/>
  <c r="R2599" i="1"/>
  <c r="E2599" i="1"/>
  <c r="G2599" i="1"/>
  <c r="H2599" i="1"/>
  <c r="J2599" i="1"/>
  <c r="K2599" i="1"/>
  <c r="L2599" i="1"/>
  <c r="A2600" i="1"/>
  <c r="B2600" i="1"/>
  <c r="C2600" i="1"/>
  <c r="D2600" i="1"/>
  <c r="Q2600" i="1"/>
  <c r="R2600" i="1"/>
  <c r="E2600" i="1"/>
  <c r="G2600" i="1"/>
  <c r="H2600" i="1"/>
  <c r="J2600" i="1"/>
  <c r="K2600" i="1"/>
  <c r="L2600" i="1"/>
  <c r="A2601" i="1"/>
  <c r="B2601" i="1"/>
  <c r="C2601" i="1"/>
  <c r="D2601" i="1"/>
  <c r="Q2601" i="1"/>
  <c r="R2601" i="1"/>
  <c r="E2601" i="1"/>
  <c r="G2601" i="1"/>
  <c r="H2601" i="1"/>
  <c r="J2601" i="1"/>
  <c r="K2601" i="1"/>
  <c r="L2601" i="1"/>
  <c r="A2602" i="1"/>
  <c r="B2602" i="1"/>
  <c r="C2602" i="1"/>
  <c r="D2602" i="1"/>
  <c r="Q2602" i="1"/>
  <c r="R2602" i="1"/>
  <c r="E2602" i="1"/>
  <c r="G2602" i="1"/>
  <c r="H2602" i="1"/>
  <c r="J2602" i="1"/>
  <c r="K2602" i="1"/>
  <c r="L2602" i="1"/>
  <c r="A2603" i="1"/>
  <c r="B2603" i="1"/>
  <c r="C2603" i="1"/>
  <c r="D2603" i="1"/>
  <c r="Q2603" i="1"/>
  <c r="R2603" i="1"/>
  <c r="E2603" i="1"/>
  <c r="G2603" i="1"/>
  <c r="H2603" i="1"/>
  <c r="J2603" i="1"/>
  <c r="K2603" i="1"/>
  <c r="L2603" i="1"/>
  <c r="A2604" i="1"/>
  <c r="B2604" i="1"/>
  <c r="C2604" i="1"/>
  <c r="D2604" i="1"/>
  <c r="Q2604" i="1"/>
  <c r="R2604" i="1"/>
  <c r="E2604" i="1"/>
  <c r="G2604" i="1"/>
  <c r="H2604" i="1"/>
  <c r="J2604" i="1"/>
  <c r="K2604" i="1"/>
  <c r="L2604" i="1"/>
  <c r="A2605" i="1"/>
  <c r="B2605" i="1"/>
  <c r="C2605" i="1"/>
  <c r="D2605" i="1"/>
  <c r="Q2605" i="1"/>
  <c r="R2605" i="1"/>
  <c r="E2605" i="1"/>
  <c r="G2605" i="1"/>
  <c r="H2605" i="1"/>
  <c r="J2605" i="1"/>
  <c r="K2605" i="1"/>
  <c r="L2605" i="1"/>
  <c r="A2606" i="1"/>
  <c r="B2606" i="1"/>
  <c r="C2606" i="1"/>
  <c r="D2606" i="1"/>
  <c r="Q2606" i="1"/>
  <c r="R2606" i="1"/>
  <c r="E2606" i="1"/>
  <c r="G2606" i="1"/>
  <c r="H2606" i="1"/>
  <c r="J2606" i="1"/>
  <c r="K2606" i="1"/>
  <c r="L2606" i="1"/>
  <c r="A2607" i="1"/>
  <c r="B2607" i="1"/>
  <c r="C2607" i="1"/>
  <c r="D2607" i="1"/>
  <c r="Q2607" i="1"/>
  <c r="R2607" i="1"/>
  <c r="E2607" i="1"/>
  <c r="G2607" i="1"/>
  <c r="H2607" i="1"/>
  <c r="J2607" i="1"/>
  <c r="K2607" i="1"/>
  <c r="L2607" i="1"/>
  <c r="A2608" i="1"/>
  <c r="B2608" i="1"/>
  <c r="C2608" i="1"/>
  <c r="D2608" i="1"/>
  <c r="Q2608" i="1"/>
  <c r="R2608" i="1"/>
  <c r="E2608" i="1"/>
  <c r="G2608" i="1"/>
  <c r="H2608" i="1"/>
  <c r="J2608" i="1"/>
  <c r="K2608" i="1"/>
  <c r="L2608" i="1"/>
  <c r="A2609" i="1"/>
  <c r="B2609" i="1"/>
  <c r="C2609" i="1"/>
  <c r="D2609" i="1"/>
  <c r="Q2609" i="1"/>
  <c r="R2609" i="1"/>
  <c r="E2609" i="1"/>
  <c r="G2609" i="1"/>
  <c r="H2609" i="1"/>
  <c r="J2609" i="1"/>
  <c r="K2609" i="1"/>
  <c r="L2609" i="1"/>
  <c r="A2610" i="1"/>
  <c r="B2610" i="1"/>
  <c r="C2610" i="1"/>
  <c r="D2610" i="1"/>
  <c r="Q2610" i="1"/>
  <c r="R2610" i="1"/>
  <c r="E2610" i="1"/>
  <c r="G2610" i="1"/>
  <c r="H2610" i="1"/>
  <c r="J2610" i="1"/>
  <c r="K2610" i="1"/>
  <c r="L2610" i="1"/>
  <c r="A2611" i="1"/>
  <c r="B2611" i="1"/>
  <c r="C2611" i="1"/>
  <c r="D2611" i="1"/>
  <c r="Q2611" i="1"/>
  <c r="R2611" i="1"/>
  <c r="E2611" i="1"/>
  <c r="G2611" i="1"/>
  <c r="H2611" i="1"/>
  <c r="J2611" i="1"/>
  <c r="K2611" i="1"/>
  <c r="L2611" i="1"/>
  <c r="A2612" i="1"/>
  <c r="B2612" i="1"/>
  <c r="C2612" i="1"/>
  <c r="D2612" i="1"/>
  <c r="Q2612" i="1"/>
  <c r="R2612" i="1"/>
  <c r="E2612" i="1"/>
  <c r="G2612" i="1"/>
  <c r="H2612" i="1"/>
  <c r="J2612" i="1"/>
  <c r="K2612" i="1"/>
  <c r="L2612" i="1"/>
  <c r="A2613" i="1"/>
  <c r="B2613" i="1"/>
  <c r="C2613" i="1"/>
  <c r="D2613" i="1"/>
  <c r="Q2613" i="1"/>
  <c r="R2613" i="1"/>
  <c r="E2613" i="1"/>
  <c r="G2613" i="1"/>
  <c r="H2613" i="1"/>
  <c r="J2613" i="1"/>
  <c r="K2613" i="1"/>
  <c r="L2613" i="1"/>
  <c r="A2614" i="1"/>
  <c r="B2614" i="1"/>
  <c r="C2614" i="1"/>
  <c r="D2614" i="1"/>
  <c r="Q2614" i="1"/>
  <c r="R2614" i="1"/>
  <c r="E2614" i="1"/>
  <c r="G2614" i="1"/>
  <c r="H2614" i="1"/>
  <c r="J2614" i="1"/>
  <c r="K2614" i="1"/>
  <c r="L2614" i="1"/>
  <c r="A2615" i="1"/>
  <c r="B2615" i="1"/>
  <c r="C2615" i="1"/>
  <c r="D2615" i="1"/>
  <c r="Q2615" i="1"/>
  <c r="R2615" i="1"/>
  <c r="E2615" i="1"/>
  <c r="G2615" i="1"/>
  <c r="H2615" i="1"/>
  <c r="J2615" i="1"/>
  <c r="K2615" i="1"/>
  <c r="L2615" i="1"/>
  <c r="A2616" i="1"/>
  <c r="B2616" i="1"/>
  <c r="C2616" i="1"/>
  <c r="D2616" i="1"/>
  <c r="Q2616" i="1"/>
  <c r="R2616" i="1"/>
  <c r="E2616" i="1"/>
  <c r="G2616" i="1"/>
  <c r="H2616" i="1"/>
  <c r="J2616" i="1"/>
  <c r="K2616" i="1"/>
  <c r="L2616" i="1"/>
  <c r="A2617" i="1"/>
  <c r="B2617" i="1"/>
  <c r="C2617" i="1"/>
  <c r="D2617" i="1"/>
  <c r="Q2617" i="1"/>
  <c r="R2617" i="1"/>
  <c r="E2617" i="1"/>
  <c r="G2617" i="1"/>
  <c r="H2617" i="1"/>
  <c r="J2617" i="1"/>
  <c r="K2617" i="1"/>
  <c r="L2617" i="1"/>
  <c r="A2618" i="1"/>
  <c r="B2618" i="1"/>
  <c r="C2618" i="1"/>
  <c r="D2618" i="1"/>
  <c r="Q2618" i="1"/>
  <c r="R2618" i="1"/>
  <c r="E2618" i="1"/>
  <c r="G2618" i="1"/>
  <c r="H2618" i="1"/>
  <c r="J2618" i="1"/>
  <c r="K2618" i="1"/>
  <c r="L2618" i="1"/>
  <c r="A2619" i="1"/>
  <c r="B2619" i="1"/>
  <c r="C2619" i="1"/>
  <c r="D2619" i="1"/>
  <c r="Q2619" i="1"/>
  <c r="R2619" i="1"/>
  <c r="E2619" i="1"/>
  <c r="G2619" i="1"/>
  <c r="H2619" i="1"/>
  <c r="J2619" i="1"/>
  <c r="K2619" i="1"/>
  <c r="L2619" i="1"/>
  <c r="A2620" i="1"/>
  <c r="B2620" i="1"/>
  <c r="C2620" i="1"/>
  <c r="D2620" i="1"/>
  <c r="Q2620" i="1"/>
  <c r="R2620" i="1"/>
  <c r="E2620" i="1"/>
  <c r="G2620" i="1"/>
  <c r="H2620" i="1"/>
  <c r="J2620" i="1"/>
  <c r="K2620" i="1"/>
  <c r="L2620" i="1"/>
  <c r="A2621" i="1"/>
  <c r="B2621" i="1"/>
  <c r="C2621" i="1"/>
  <c r="D2621" i="1"/>
  <c r="Q2621" i="1"/>
  <c r="R2621" i="1"/>
  <c r="E2621" i="1"/>
  <c r="G2621" i="1"/>
  <c r="H2621" i="1"/>
  <c r="J2621" i="1"/>
  <c r="K2621" i="1"/>
  <c r="L2621" i="1"/>
  <c r="A2622" i="1"/>
  <c r="B2622" i="1"/>
  <c r="C2622" i="1"/>
  <c r="D2622" i="1"/>
  <c r="Q2622" i="1"/>
  <c r="R2622" i="1"/>
  <c r="E2622" i="1"/>
  <c r="G2622" i="1"/>
  <c r="H2622" i="1"/>
  <c r="J2622" i="1"/>
  <c r="K2622" i="1"/>
  <c r="L2622" i="1"/>
  <c r="A2623" i="1"/>
  <c r="B2623" i="1"/>
  <c r="C2623" i="1"/>
  <c r="D2623" i="1"/>
  <c r="Q2623" i="1"/>
  <c r="R2623" i="1"/>
  <c r="E2623" i="1"/>
  <c r="G2623" i="1"/>
  <c r="H2623" i="1"/>
  <c r="J2623" i="1"/>
  <c r="K2623" i="1"/>
  <c r="L2623" i="1"/>
  <c r="A2624" i="1"/>
  <c r="B2624" i="1"/>
  <c r="C2624" i="1"/>
  <c r="D2624" i="1"/>
  <c r="Q2624" i="1"/>
  <c r="R2624" i="1"/>
  <c r="E2624" i="1"/>
  <c r="G2624" i="1"/>
  <c r="H2624" i="1"/>
  <c r="J2624" i="1"/>
  <c r="K2624" i="1"/>
  <c r="L2624" i="1"/>
  <c r="A2625" i="1"/>
  <c r="B2625" i="1"/>
  <c r="C2625" i="1"/>
  <c r="D2625" i="1"/>
  <c r="Q2625" i="1"/>
  <c r="R2625" i="1"/>
  <c r="E2625" i="1"/>
  <c r="G2625" i="1"/>
  <c r="H2625" i="1"/>
  <c r="J2625" i="1"/>
  <c r="K2625" i="1"/>
  <c r="L2625" i="1"/>
  <c r="A2626" i="1"/>
  <c r="B2626" i="1"/>
  <c r="C2626" i="1"/>
  <c r="D2626" i="1"/>
  <c r="Q2626" i="1"/>
  <c r="R2626" i="1"/>
  <c r="E2626" i="1"/>
  <c r="G2626" i="1"/>
  <c r="H2626" i="1"/>
  <c r="J2626" i="1"/>
  <c r="K2626" i="1"/>
  <c r="L2626" i="1"/>
  <c r="A2627" i="1"/>
  <c r="B2627" i="1"/>
  <c r="C2627" i="1"/>
  <c r="D2627" i="1"/>
  <c r="Q2627" i="1"/>
  <c r="R2627" i="1"/>
  <c r="E2627" i="1"/>
  <c r="G2627" i="1"/>
  <c r="H2627" i="1"/>
  <c r="J2627" i="1"/>
  <c r="K2627" i="1"/>
  <c r="L2627" i="1"/>
  <c r="A2628" i="1"/>
  <c r="B2628" i="1"/>
  <c r="C2628" i="1"/>
  <c r="D2628" i="1"/>
  <c r="Q2628" i="1"/>
  <c r="R2628" i="1"/>
  <c r="E2628" i="1"/>
  <c r="G2628" i="1"/>
  <c r="H2628" i="1"/>
  <c r="J2628" i="1"/>
  <c r="K2628" i="1"/>
  <c r="L2628" i="1"/>
  <c r="A2629" i="1"/>
  <c r="B2629" i="1"/>
  <c r="C2629" i="1"/>
  <c r="D2629" i="1"/>
  <c r="Q2629" i="1"/>
  <c r="R2629" i="1"/>
  <c r="E2629" i="1"/>
  <c r="G2629" i="1"/>
  <c r="H2629" i="1"/>
  <c r="J2629" i="1"/>
  <c r="K2629" i="1"/>
  <c r="L2629" i="1"/>
  <c r="A2630" i="1"/>
  <c r="B2630" i="1"/>
  <c r="C2630" i="1"/>
  <c r="D2630" i="1"/>
  <c r="Q2630" i="1"/>
  <c r="R2630" i="1"/>
  <c r="E2630" i="1"/>
  <c r="G2630" i="1"/>
  <c r="H2630" i="1"/>
  <c r="J2630" i="1"/>
  <c r="K2630" i="1"/>
  <c r="L2630" i="1"/>
  <c r="A2631" i="1"/>
  <c r="B2631" i="1"/>
  <c r="C2631" i="1"/>
  <c r="D2631" i="1"/>
  <c r="Q2631" i="1"/>
  <c r="R2631" i="1"/>
  <c r="E2631" i="1"/>
  <c r="G2631" i="1"/>
  <c r="H2631" i="1"/>
  <c r="J2631" i="1"/>
  <c r="K2631" i="1"/>
  <c r="L2631" i="1"/>
  <c r="A2632" i="1"/>
  <c r="B2632" i="1"/>
  <c r="C2632" i="1"/>
  <c r="D2632" i="1"/>
  <c r="Q2632" i="1"/>
  <c r="R2632" i="1"/>
  <c r="E2632" i="1"/>
  <c r="G2632" i="1"/>
  <c r="H2632" i="1"/>
  <c r="J2632" i="1"/>
  <c r="K2632" i="1"/>
  <c r="L2632" i="1"/>
  <c r="A2633" i="1"/>
  <c r="B2633" i="1"/>
  <c r="C2633" i="1"/>
  <c r="D2633" i="1"/>
  <c r="Q2633" i="1"/>
  <c r="R2633" i="1"/>
  <c r="E2633" i="1"/>
  <c r="G2633" i="1"/>
  <c r="H2633" i="1"/>
  <c r="J2633" i="1"/>
  <c r="K2633" i="1"/>
  <c r="L2633" i="1"/>
  <c r="A2634" i="1"/>
  <c r="B2634" i="1"/>
  <c r="C2634" i="1"/>
  <c r="D2634" i="1"/>
  <c r="Q2634" i="1"/>
  <c r="R2634" i="1"/>
  <c r="E2634" i="1"/>
  <c r="G2634" i="1"/>
  <c r="H2634" i="1"/>
  <c r="J2634" i="1"/>
  <c r="K2634" i="1"/>
  <c r="L2634" i="1"/>
  <c r="A2635" i="1"/>
  <c r="B2635" i="1"/>
  <c r="C2635" i="1"/>
  <c r="D2635" i="1"/>
  <c r="Q2635" i="1"/>
  <c r="R2635" i="1"/>
  <c r="E2635" i="1"/>
  <c r="G2635" i="1"/>
  <c r="H2635" i="1"/>
  <c r="J2635" i="1"/>
  <c r="K2635" i="1"/>
  <c r="L2635" i="1"/>
  <c r="A2636" i="1"/>
  <c r="B2636" i="1"/>
  <c r="C2636" i="1"/>
  <c r="D2636" i="1"/>
  <c r="Q2636" i="1"/>
  <c r="R2636" i="1"/>
  <c r="E2636" i="1"/>
  <c r="G2636" i="1"/>
  <c r="H2636" i="1"/>
  <c r="J2636" i="1"/>
  <c r="K2636" i="1"/>
  <c r="L2636" i="1"/>
  <c r="A2637" i="1"/>
  <c r="B2637" i="1"/>
  <c r="C2637" i="1"/>
  <c r="D2637" i="1"/>
  <c r="Q2637" i="1"/>
  <c r="R2637" i="1"/>
  <c r="E2637" i="1"/>
  <c r="G2637" i="1"/>
  <c r="H2637" i="1"/>
  <c r="J2637" i="1"/>
  <c r="K2637" i="1"/>
  <c r="L2637" i="1"/>
  <c r="A2638" i="1"/>
  <c r="B2638" i="1"/>
  <c r="C2638" i="1"/>
  <c r="D2638" i="1"/>
  <c r="Q2638" i="1"/>
  <c r="R2638" i="1"/>
  <c r="E2638" i="1"/>
  <c r="G2638" i="1"/>
  <c r="H2638" i="1"/>
  <c r="J2638" i="1"/>
  <c r="K2638" i="1"/>
  <c r="L2638" i="1"/>
  <c r="A2639" i="1"/>
  <c r="B2639" i="1"/>
  <c r="C2639" i="1"/>
  <c r="D2639" i="1"/>
  <c r="Q2639" i="1"/>
  <c r="R2639" i="1"/>
  <c r="E2639" i="1"/>
  <c r="G2639" i="1"/>
  <c r="H2639" i="1"/>
  <c r="J2639" i="1"/>
  <c r="K2639" i="1"/>
  <c r="L2639" i="1"/>
  <c r="A2640" i="1"/>
  <c r="B2640" i="1"/>
  <c r="C2640" i="1"/>
  <c r="D2640" i="1"/>
  <c r="Q2640" i="1"/>
  <c r="R2640" i="1"/>
  <c r="E2640" i="1"/>
  <c r="G2640" i="1"/>
  <c r="H2640" i="1"/>
  <c r="J2640" i="1"/>
  <c r="K2640" i="1"/>
  <c r="L2640" i="1"/>
  <c r="A2641" i="1"/>
  <c r="B2641" i="1"/>
  <c r="C2641" i="1"/>
  <c r="D2641" i="1"/>
  <c r="Q2641" i="1"/>
  <c r="R2641" i="1"/>
  <c r="E2641" i="1"/>
  <c r="G2641" i="1"/>
  <c r="H2641" i="1"/>
  <c r="J2641" i="1"/>
  <c r="K2641" i="1"/>
  <c r="L2641" i="1"/>
  <c r="A2642" i="1"/>
  <c r="B2642" i="1"/>
  <c r="C2642" i="1"/>
  <c r="D2642" i="1"/>
  <c r="Q2642" i="1"/>
  <c r="R2642" i="1"/>
  <c r="E2642" i="1"/>
  <c r="G2642" i="1"/>
  <c r="H2642" i="1"/>
  <c r="J2642" i="1"/>
  <c r="K2642" i="1"/>
  <c r="L2642" i="1"/>
  <c r="A2643" i="1"/>
  <c r="B2643" i="1"/>
  <c r="C2643" i="1"/>
  <c r="D2643" i="1"/>
  <c r="Q2643" i="1"/>
  <c r="R2643" i="1"/>
  <c r="E2643" i="1"/>
  <c r="G2643" i="1"/>
  <c r="H2643" i="1"/>
  <c r="J2643" i="1"/>
  <c r="K2643" i="1"/>
  <c r="L2643" i="1"/>
  <c r="A2644" i="1"/>
  <c r="B2644" i="1"/>
  <c r="C2644" i="1"/>
  <c r="D2644" i="1"/>
  <c r="Q2644" i="1"/>
  <c r="R2644" i="1"/>
  <c r="E2644" i="1"/>
  <c r="G2644" i="1"/>
  <c r="H2644" i="1"/>
  <c r="J2644" i="1"/>
  <c r="K2644" i="1"/>
  <c r="L2644" i="1"/>
  <c r="A2645" i="1"/>
  <c r="B2645" i="1"/>
  <c r="C2645" i="1"/>
  <c r="D2645" i="1"/>
  <c r="Q2645" i="1"/>
  <c r="R2645" i="1"/>
  <c r="E2645" i="1"/>
  <c r="G2645" i="1"/>
  <c r="H2645" i="1"/>
  <c r="J2645" i="1"/>
  <c r="K2645" i="1"/>
  <c r="L2645" i="1"/>
  <c r="A2646" i="1"/>
  <c r="B2646" i="1"/>
  <c r="C2646" i="1"/>
  <c r="D2646" i="1"/>
  <c r="Q2646" i="1"/>
  <c r="R2646" i="1"/>
  <c r="E2646" i="1"/>
  <c r="G2646" i="1"/>
  <c r="H2646" i="1"/>
  <c r="J2646" i="1"/>
  <c r="K2646" i="1"/>
  <c r="L2646" i="1"/>
  <c r="A2647" i="1"/>
  <c r="B2647" i="1"/>
  <c r="C2647" i="1"/>
  <c r="D2647" i="1"/>
  <c r="Q2647" i="1"/>
  <c r="R2647" i="1"/>
  <c r="E2647" i="1"/>
  <c r="G2647" i="1"/>
  <c r="H2647" i="1"/>
  <c r="J2647" i="1"/>
  <c r="K2647" i="1"/>
  <c r="L2647" i="1"/>
  <c r="A2648" i="1"/>
  <c r="B2648" i="1"/>
  <c r="C2648" i="1"/>
  <c r="D2648" i="1"/>
  <c r="Q2648" i="1"/>
  <c r="R2648" i="1"/>
  <c r="E2648" i="1"/>
  <c r="G2648" i="1"/>
  <c r="H2648" i="1"/>
  <c r="J2648" i="1"/>
  <c r="K2648" i="1"/>
  <c r="L2648" i="1"/>
  <c r="A2649" i="1"/>
  <c r="B2649" i="1"/>
  <c r="C2649" i="1"/>
  <c r="D2649" i="1"/>
  <c r="Q2649" i="1"/>
  <c r="R2649" i="1"/>
  <c r="E2649" i="1"/>
  <c r="G2649" i="1"/>
  <c r="H2649" i="1"/>
  <c r="J2649" i="1"/>
  <c r="K2649" i="1"/>
  <c r="L2649" i="1"/>
  <c r="A2650" i="1"/>
  <c r="B2650" i="1"/>
  <c r="C2650" i="1"/>
  <c r="D2650" i="1"/>
  <c r="Q2650" i="1"/>
  <c r="R2650" i="1"/>
  <c r="E2650" i="1"/>
  <c r="G2650" i="1"/>
  <c r="H2650" i="1"/>
  <c r="J2650" i="1"/>
  <c r="K2650" i="1"/>
  <c r="L2650" i="1"/>
  <c r="A2651" i="1"/>
  <c r="B2651" i="1"/>
  <c r="C2651" i="1"/>
  <c r="D2651" i="1"/>
  <c r="Q2651" i="1"/>
  <c r="R2651" i="1"/>
  <c r="E2651" i="1"/>
  <c r="G2651" i="1"/>
  <c r="H2651" i="1"/>
  <c r="J2651" i="1"/>
  <c r="K2651" i="1"/>
  <c r="L2651" i="1"/>
  <c r="A2652" i="1"/>
  <c r="B2652" i="1"/>
  <c r="C2652" i="1"/>
  <c r="D2652" i="1"/>
  <c r="Q2652" i="1"/>
  <c r="R2652" i="1"/>
  <c r="E2652" i="1"/>
  <c r="G2652" i="1"/>
  <c r="H2652" i="1"/>
  <c r="J2652" i="1"/>
  <c r="K2652" i="1"/>
  <c r="L2652" i="1"/>
  <c r="A2653" i="1"/>
  <c r="B2653" i="1"/>
  <c r="C2653" i="1"/>
  <c r="D2653" i="1"/>
  <c r="Q2653" i="1"/>
  <c r="R2653" i="1"/>
  <c r="E2653" i="1"/>
  <c r="G2653" i="1"/>
  <c r="H2653" i="1"/>
  <c r="J2653" i="1"/>
  <c r="K2653" i="1"/>
  <c r="L2653" i="1"/>
  <c r="A2654" i="1"/>
  <c r="B2654" i="1"/>
  <c r="C2654" i="1"/>
  <c r="D2654" i="1"/>
  <c r="Q2654" i="1"/>
  <c r="R2654" i="1"/>
  <c r="E2654" i="1"/>
  <c r="G2654" i="1"/>
  <c r="H2654" i="1"/>
  <c r="J2654" i="1"/>
  <c r="K2654" i="1"/>
  <c r="L2654" i="1"/>
  <c r="A2655" i="1"/>
  <c r="B2655" i="1"/>
  <c r="C2655" i="1"/>
  <c r="D2655" i="1"/>
  <c r="Q2655" i="1"/>
  <c r="R2655" i="1"/>
  <c r="E2655" i="1"/>
  <c r="G2655" i="1"/>
  <c r="H2655" i="1"/>
  <c r="J2655" i="1"/>
  <c r="K2655" i="1"/>
  <c r="L2655" i="1"/>
  <c r="A2656" i="1"/>
  <c r="B2656" i="1"/>
  <c r="C2656" i="1"/>
  <c r="D2656" i="1"/>
  <c r="Q2656" i="1"/>
  <c r="R2656" i="1"/>
  <c r="E2656" i="1"/>
  <c r="G2656" i="1"/>
  <c r="H2656" i="1"/>
  <c r="J2656" i="1"/>
  <c r="K2656" i="1"/>
  <c r="L2656" i="1"/>
  <c r="A2657" i="1"/>
  <c r="B2657" i="1"/>
  <c r="C2657" i="1"/>
  <c r="D2657" i="1"/>
  <c r="Q2657" i="1"/>
  <c r="R2657" i="1"/>
  <c r="E2657" i="1"/>
  <c r="G2657" i="1"/>
  <c r="H2657" i="1"/>
  <c r="J2657" i="1"/>
  <c r="K2657" i="1"/>
  <c r="L2657" i="1"/>
  <c r="A2658" i="1"/>
  <c r="B2658" i="1"/>
  <c r="C2658" i="1"/>
  <c r="D2658" i="1"/>
  <c r="Q2658" i="1"/>
  <c r="R2658" i="1"/>
  <c r="E2658" i="1"/>
  <c r="G2658" i="1"/>
  <c r="H2658" i="1"/>
  <c r="J2658" i="1"/>
  <c r="K2658" i="1"/>
  <c r="L2658" i="1"/>
  <c r="A2659" i="1"/>
  <c r="B2659" i="1"/>
  <c r="C2659" i="1"/>
  <c r="D2659" i="1"/>
  <c r="Q2659" i="1"/>
  <c r="R2659" i="1"/>
  <c r="E2659" i="1"/>
  <c r="G2659" i="1"/>
  <c r="H2659" i="1"/>
  <c r="J2659" i="1"/>
  <c r="K2659" i="1"/>
  <c r="L2659" i="1"/>
  <c r="A2660" i="1"/>
  <c r="B2660" i="1"/>
  <c r="C2660" i="1"/>
  <c r="D2660" i="1"/>
  <c r="Q2660" i="1"/>
  <c r="R2660" i="1"/>
  <c r="E2660" i="1"/>
  <c r="G2660" i="1"/>
  <c r="H2660" i="1"/>
  <c r="J2660" i="1"/>
  <c r="K2660" i="1"/>
  <c r="L2660" i="1"/>
  <c r="A2661" i="1"/>
  <c r="B2661" i="1"/>
  <c r="C2661" i="1"/>
  <c r="D2661" i="1"/>
  <c r="Q2661" i="1"/>
  <c r="R2661" i="1"/>
  <c r="E2661" i="1"/>
  <c r="G2661" i="1"/>
  <c r="H2661" i="1"/>
  <c r="J2661" i="1"/>
  <c r="K2661" i="1"/>
  <c r="L2661" i="1"/>
  <c r="A2662" i="1"/>
  <c r="B2662" i="1"/>
  <c r="C2662" i="1"/>
  <c r="D2662" i="1"/>
  <c r="Q2662" i="1"/>
  <c r="R2662" i="1"/>
  <c r="E2662" i="1"/>
  <c r="G2662" i="1"/>
  <c r="H2662" i="1"/>
  <c r="J2662" i="1"/>
  <c r="K2662" i="1"/>
  <c r="L2662" i="1"/>
  <c r="A2663" i="1"/>
  <c r="B2663" i="1"/>
  <c r="C2663" i="1"/>
  <c r="D2663" i="1"/>
  <c r="Q2663" i="1"/>
  <c r="R2663" i="1"/>
  <c r="E2663" i="1"/>
  <c r="G2663" i="1"/>
  <c r="H2663" i="1"/>
  <c r="J2663" i="1"/>
  <c r="K2663" i="1"/>
  <c r="L2663" i="1"/>
  <c r="A2664" i="1"/>
  <c r="B2664" i="1"/>
  <c r="C2664" i="1"/>
  <c r="D2664" i="1"/>
  <c r="Q2664" i="1"/>
  <c r="R2664" i="1"/>
  <c r="E2664" i="1"/>
  <c r="G2664" i="1"/>
  <c r="H2664" i="1"/>
  <c r="J2664" i="1"/>
  <c r="K2664" i="1"/>
  <c r="L2664" i="1"/>
  <c r="A2665" i="1"/>
  <c r="B2665" i="1"/>
  <c r="C2665" i="1"/>
  <c r="D2665" i="1"/>
  <c r="Q2665" i="1"/>
  <c r="R2665" i="1"/>
  <c r="E2665" i="1"/>
  <c r="G2665" i="1"/>
  <c r="H2665" i="1"/>
  <c r="J2665" i="1"/>
  <c r="K2665" i="1"/>
  <c r="L2665" i="1"/>
  <c r="A2666" i="1"/>
  <c r="B2666" i="1"/>
  <c r="C2666" i="1"/>
  <c r="D2666" i="1"/>
  <c r="Q2666" i="1"/>
  <c r="R2666" i="1"/>
  <c r="E2666" i="1"/>
  <c r="G2666" i="1"/>
  <c r="H2666" i="1"/>
  <c r="J2666" i="1"/>
  <c r="K2666" i="1"/>
  <c r="L2666" i="1"/>
  <c r="A2667" i="1"/>
  <c r="B2667" i="1"/>
  <c r="C2667" i="1"/>
  <c r="D2667" i="1"/>
  <c r="Q2667" i="1"/>
  <c r="R2667" i="1"/>
  <c r="E2667" i="1"/>
  <c r="G2667" i="1"/>
  <c r="H2667" i="1"/>
  <c r="J2667" i="1"/>
  <c r="K2667" i="1"/>
  <c r="L2667" i="1"/>
  <c r="A2668" i="1"/>
  <c r="B2668" i="1"/>
  <c r="C2668" i="1"/>
  <c r="D2668" i="1"/>
  <c r="Q2668" i="1"/>
  <c r="R2668" i="1"/>
  <c r="E2668" i="1"/>
  <c r="G2668" i="1"/>
  <c r="H2668" i="1"/>
  <c r="J2668" i="1"/>
  <c r="K2668" i="1"/>
  <c r="L2668" i="1"/>
  <c r="A2669" i="1"/>
  <c r="B2669" i="1"/>
  <c r="C2669" i="1"/>
  <c r="D2669" i="1"/>
  <c r="Q2669" i="1"/>
  <c r="R2669" i="1"/>
  <c r="E2669" i="1"/>
  <c r="G2669" i="1"/>
  <c r="H2669" i="1"/>
  <c r="J2669" i="1"/>
  <c r="K2669" i="1"/>
  <c r="L2669" i="1"/>
  <c r="A2670" i="1"/>
  <c r="B2670" i="1"/>
  <c r="C2670" i="1"/>
  <c r="D2670" i="1"/>
  <c r="Q2670" i="1"/>
  <c r="R2670" i="1"/>
  <c r="E2670" i="1"/>
  <c r="G2670" i="1"/>
  <c r="H2670" i="1"/>
  <c r="J2670" i="1"/>
  <c r="K2670" i="1"/>
  <c r="L2670" i="1"/>
  <c r="A2671" i="1"/>
  <c r="B2671" i="1"/>
  <c r="C2671" i="1"/>
  <c r="D2671" i="1"/>
  <c r="Q2671" i="1"/>
  <c r="R2671" i="1"/>
  <c r="E2671" i="1"/>
  <c r="G2671" i="1"/>
  <c r="H2671" i="1"/>
  <c r="J2671" i="1"/>
  <c r="K2671" i="1"/>
  <c r="L2671" i="1"/>
  <c r="A2672" i="1"/>
  <c r="B2672" i="1"/>
  <c r="C2672" i="1"/>
  <c r="D2672" i="1"/>
  <c r="Q2672" i="1"/>
  <c r="R2672" i="1"/>
  <c r="E2672" i="1"/>
  <c r="G2672" i="1"/>
  <c r="H2672" i="1"/>
  <c r="J2672" i="1"/>
  <c r="K2672" i="1"/>
  <c r="L2672" i="1"/>
  <c r="A2673" i="1"/>
  <c r="B2673" i="1"/>
  <c r="C2673" i="1"/>
  <c r="D2673" i="1"/>
  <c r="Q2673" i="1"/>
  <c r="R2673" i="1"/>
  <c r="E2673" i="1"/>
  <c r="G2673" i="1"/>
  <c r="H2673" i="1"/>
  <c r="J2673" i="1"/>
  <c r="K2673" i="1"/>
  <c r="L2673" i="1"/>
  <c r="A2674" i="1"/>
  <c r="B2674" i="1"/>
  <c r="C2674" i="1"/>
  <c r="D2674" i="1"/>
  <c r="Q2674" i="1"/>
  <c r="R2674" i="1"/>
  <c r="E2674" i="1"/>
  <c r="G2674" i="1"/>
  <c r="H2674" i="1"/>
  <c r="J2674" i="1"/>
  <c r="K2674" i="1"/>
  <c r="L2674" i="1"/>
  <c r="A2675" i="1"/>
  <c r="B2675" i="1"/>
  <c r="C2675" i="1"/>
  <c r="D2675" i="1"/>
  <c r="Q2675" i="1"/>
  <c r="R2675" i="1"/>
  <c r="E2675" i="1"/>
  <c r="G2675" i="1"/>
  <c r="H2675" i="1"/>
  <c r="J2675" i="1"/>
  <c r="K2675" i="1"/>
  <c r="L2675" i="1"/>
  <c r="A2676" i="1"/>
  <c r="B2676" i="1"/>
  <c r="C2676" i="1"/>
  <c r="D2676" i="1"/>
  <c r="Q2676" i="1"/>
  <c r="R2676" i="1"/>
  <c r="E2676" i="1"/>
  <c r="G2676" i="1"/>
  <c r="H2676" i="1"/>
  <c r="J2676" i="1"/>
  <c r="K2676" i="1"/>
  <c r="L2676" i="1"/>
  <c r="A2677" i="1"/>
  <c r="B2677" i="1"/>
  <c r="C2677" i="1"/>
  <c r="D2677" i="1"/>
  <c r="Q2677" i="1"/>
  <c r="R2677" i="1"/>
  <c r="E2677" i="1"/>
  <c r="G2677" i="1"/>
  <c r="H2677" i="1"/>
  <c r="J2677" i="1"/>
  <c r="K2677" i="1"/>
  <c r="L2677" i="1"/>
  <c r="A2678" i="1"/>
  <c r="B2678" i="1"/>
  <c r="C2678" i="1"/>
  <c r="D2678" i="1"/>
  <c r="Q2678" i="1"/>
  <c r="R2678" i="1"/>
  <c r="E2678" i="1"/>
  <c r="G2678" i="1"/>
  <c r="H2678" i="1"/>
  <c r="J2678" i="1"/>
  <c r="K2678" i="1"/>
  <c r="L2678" i="1"/>
  <c r="A2679" i="1"/>
  <c r="B2679" i="1"/>
  <c r="C2679" i="1"/>
  <c r="D2679" i="1"/>
  <c r="Q2679" i="1"/>
  <c r="R2679" i="1"/>
  <c r="E2679" i="1"/>
  <c r="G2679" i="1"/>
  <c r="H2679" i="1"/>
  <c r="J2679" i="1"/>
  <c r="K2679" i="1"/>
  <c r="L2679" i="1"/>
  <c r="A2680" i="1"/>
  <c r="B2680" i="1"/>
  <c r="C2680" i="1"/>
  <c r="D2680" i="1"/>
  <c r="Q2680" i="1"/>
  <c r="R2680" i="1"/>
  <c r="E2680" i="1"/>
  <c r="G2680" i="1"/>
  <c r="H2680" i="1"/>
  <c r="J2680" i="1"/>
  <c r="K2680" i="1"/>
  <c r="L2680" i="1"/>
  <c r="A2681" i="1"/>
  <c r="B2681" i="1"/>
  <c r="C2681" i="1"/>
  <c r="D2681" i="1"/>
  <c r="Q2681" i="1"/>
  <c r="R2681" i="1"/>
  <c r="E2681" i="1"/>
  <c r="G2681" i="1"/>
  <c r="H2681" i="1"/>
  <c r="J2681" i="1"/>
  <c r="K2681" i="1"/>
  <c r="L2681" i="1"/>
  <c r="A2682" i="1"/>
  <c r="B2682" i="1"/>
  <c r="C2682" i="1"/>
  <c r="D2682" i="1"/>
  <c r="Q2682" i="1"/>
  <c r="R2682" i="1"/>
  <c r="E2682" i="1"/>
  <c r="G2682" i="1"/>
  <c r="H2682" i="1"/>
  <c r="J2682" i="1"/>
  <c r="K2682" i="1"/>
  <c r="L2682" i="1"/>
  <c r="A2683" i="1"/>
  <c r="B2683" i="1"/>
  <c r="C2683" i="1"/>
  <c r="D2683" i="1"/>
  <c r="Q2683" i="1"/>
  <c r="R2683" i="1"/>
  <c r="E2683" i="1"/>
  <c r="G2683" i="1"/>
  <c r="H2683" i="1"/>
  <c r="J2683" i="1"/>
  <c r="K2683" i="1"/>
  <c r="L2683" i="1"/>
  <c r="A2684" i="1"/>
  <c r="B2684" i="1"/>
  <c r="C2684" i="1"/>
  <c r="D2684" i="1"/>
  <c r="Q2684" i="1"/>
  <c r="R2684" i="1"/>
  <c r="E2684" i="1"/>
  <c r="G2684" i="1"/>
  <c r="H2684" i="1"/>
  <c r="J2684" i="1"/>
  <c r="K2684" i="1"/>
  <c r="L2684" i="1"/>
  <c r="A2685" i="1"/>
  <c r="B2685" i="1"/>
  <c r="C2685" i="1"/>
  <c r="D2685" i="1"/>
  <c r="Q2685" i="1"/>
  <c r="R2685" i="1"/>
  <c r="E2685" i="1"/>
  <c r="G2685" i="1"/>
  <c r="H2685" i="1"/>
  <c r="J2685" i="1"/>
  <c r="K2685" i="1"/>
  <c r="L2685" i="1"/>
  <c r="A2686" i="1"/>
  <c r="B2686" i="1"/>
  <c r="C2686" i="1"/>
  <c r="D2686" i="1"/>
  <c r="Q2686" i="1"/>
  <c r="R2686" i="1"/>
  <c r="E2686" i="1"/>
  <c r="G2686" i="1"/>
  <c r="H2686" i="1"/>
  <c r="J2686" i="1"/>
  <c r="K2686" i="1"/>
  <c r="L2686" i="1"/>
  <c r="A2687" i="1"/>
  <c r="B2687" i="1"/>
  <c r="C2687" i="1"/>
  <c r="D2687" i="1"/>
  <c r="Q2687" i="1"/>
  <c r="R2687" i="1"/>
  <c r="E2687" i="1"/>
  <c r="G2687" i="1"/>
  <c r="H2687" i="1"/>
  <c r="J2687" i="1"/>
  <c r="K2687" i="1"/>
  <c r="L2687" i="1"/>
  <c r="A2688" i="1"/>
  <c r="B2688" i="1"/>
  <c r="C2688" i="1"/>
  <c r="D2688" i="1"/>
  <c r="Q2688" i="1"/>
  <c r="R2688" i="1"/>
  <c r="E2688" i="1"/>
  <c r="G2688" i="1"/>
  <c r="H2688" i="1"/>
  <c r="J2688" i="1"/>
  <c r="K2688" i="1"/>
  <c r="L2688" i="1"/>
  <c r="A2689" i="1"/>
  <c r="B2689" i="1"/>
  <c r="C2689" i="1"/>
  <c r="D2689" i="1"/>
  <c r="Q2689" i="1"/>
  <c r="R2689" i="1"/>
  <c r="E2689" i="1"/>
  <c r="G2689" i="1"/>
  <c r="H2689" i="1"/>
  <c r="J2689" i="1"/>
  <c r="K2689" i="1"/>
  <c r="L2689" i="1"/>
  <c r="A2690" i="1"/>
  <c r="B2690" i="1"/>
  <c r="C2690" i="1"/>
  <c r="D2690" i="1"/>
  <c r="Q2690" i="1"/>
  <c r="R2690" i="1"/>
  <c r="E2690" i="1"/>
  <c r="G2690" i="1"/>
  <c r="H2690" i="1"/>
  <c r="J2690" i="1"/>
  <c r="K2690" i="1"/>
  <c r="L2690" i="1"/>
  <c r="A2691" i="1"/>
  <c r="B2691" i="1"/>
  <c r="C2691" i="1"/>
  <c r="D2691" i="1"/>
  <c r="Q2691" i="1"/>
  <c r="R2691" i="1"/>
  <c r="E2691" i="1"/>
  <c r="G2691" i="1"/>
  <c r="H2691" i="1"/>
  <c r="J2691" i="1"/>
  <c r="K2691" i="1"/>
  <c r="L2691" i="1"/>
  <c r="A2692" i="1"/>
  <c r="B2692" i="1"/>
  <c r="C2692" i="1"/>
  <c r="D2692" i="1"/>
  <c r="Q2692" i="1"/>
  <c r="R2692" i="1"/>
  <c r="E2692" i="1"/>
  <c r="G2692" i="1"/>
  <c r="H2692" i="1"/>
  <c r="J2692" i="1"/>
  <c r="K2692" i="1"/>
  <c r="L2692" i="1"/>
  <c r="A2693" i="1"/>
  <c r="B2693" i="1"/>
  <c r="C2693" i="1"/>
  <c r="D2693" i="1"/>
  <c r="Q2693" i="1"/>
  <c r="R2693" i="1"/>
  <c r="E2693" i="1"/>
  <c r="G2693" i="1"/>
  <c r="H2693" i="1"/>
  <c r="J2693" i="1"/>
  <c r="K2693" i="1"/>
  <c r="L2693" i="1"/>
  <c r="A2694" i="1"/>
  <c r="B2694" i="1"/>
  <c r="C2694" i="1"/>
  <c r="D2694" i="1"/>
  <c r="Q2694" i="1"/>
  <c r="R2694" i="1"/>
  <c r="E2694" i="1"/>
  <c r="G2694" i="1"/>
  <c r="H2694" i="1"/>
  <c r="J2694" i="1"/>
  <c r="K2694" i="1"/>
  <c r="L2694" i="1"/>
  <c r="A2695" i="1"/>
  <c r="B2695" i="1"/>
  <c r="C2695" i="1"/>
  <c r="D2695" i="1"/>
  <c r="Q2695" i="1"/>
  <c r="R2695" i="1"/>
  <c r="E2695" i="1"/>
  <c r="G2695" i="1"/>
  <c r="H2695" i="1"/>
  <c r="J2695" i="1"/>
  <c r="K2695" i="1"/>
  <c r="L2695" i="1"/>
  <c r="A2696" i="1"/>
  <c r="B2696" i="1"/>
  <c r="C2696" i="1"/>
  <c r="D2696" i="1"/>
  <c r="Q2696" i="1"/>
  <c r="R2696" i="1"/>
  <c r="E2696" i="1"/>
  <c r="G2696" i="1"/>
  <c r="H2696" i="1"/>
  <c r="J2696" i="1"/>
  <c r="K2696" i="1"/>
  <c r="L2696" i="1"/>
  <c r="A2697" i="1"/>
  <c r="B2697" i="1"/>
  <c r="C2697" i="1"/>
  <c r="D2697" i="1"/>
  <c r="Q2697" i="1"/>
  <c r="R2697" i="1"/>
  <c r="E2697" i="1"/>
  <c r="G2697" i="1"/>
  <c r="H2697" i="1"/>
  <c r="J2697" i="1"/>
  <c r="K2697" i="1"/>
  <c r="L2697" i="1"/>
  <c r="A2698" i="1"/>
  <c r="B2698" i="1"/>
  <c r="C2698" i="1"/>
  <c r="D2698" i="1"/>
  <c r="Q2698" i="1"/>
  <c r="R2698" i="1"/>
  <c r="E2698" i="1"/>
  <c r="G2698" i="1"/>
  <c r="H2698" i="1"/>
  <c r="J2698" i="1"/>
  <c r="K2698" i="1"/>
  <c r="L2698" i="1"/>
  <c r="A2699" i="1"/>
  <c r="B2699" i="1"/>
  <c r="C2699" i="1"/>
  <c r="D2699" i="1"/>
  <c r="Q2699" i="1"/>
  <c r="R2699" i="1"/>
  <c r="E2699" i="1"/>
  <c r="G2699" i="1"/>
  <c r="H2699" i="1"/>
  <c r="J2699" i="1"/>
  <c r="K2699" i="1"/>
  <c r="L2699" i="1"/>
  <c r="A2700" i="1"/>
  <c r="B2700" i="1"/>
  <c r="C2700" i="1"/>
  <c r="D2700" i="1"/>
  <c r="Q2700" i="1"/>
  <c r="R2700" i="1"/>
  <c r="E2700" i="1"/>
  <c r="G2700" i="1"/>
  <c r="H2700" i="1"/>
  <c r="J2700" i="1"/>
  <c r="K2700" i="1"/>
  <c r="L2700" i="1"/>
  <c r="A2701" i="1"/>
  <c r="B2701" i="1"/>
  <c r="C2701" i="1"/>
  <c r="D2701" i="1"/>
  <c r="Q2701" i="1"/>
  <c r="R2701" i="1"/>
  <c r="E2701" i="1"/>
  <c r="G2701" i="1"/>
  <c r="H2701" i="1"/>
  <c r="J2701" i="1"/>
  <c r="K2701" i="1"/>
  <c r="L2701" i="1"/>
  <c r="A2702" i="1"/>
  <c r="B2702" i="1"/>
  <c r="C2702" i="1"/>
  <c r="D2702" i="1"/>
  <c r="Q2702" i="1"/>
  <c r="R2702" i="1"/>
  <c r="E2702" i="1"/>
  <c r="G2702" i="1"/>
  <c r="H2702" i="1"/>
  <c r="J2702" i="1"/>
  <c r="K2702" i="1"/>
  <c r="L2702" i="1"/>
  <c r="A2703" i="1"/>
  <c r="B2703" i="1"/>
  <c r="C2703" i="1"/>
  <c r="D2703" i="1"/>
  <c r="Q2703" i="1"/>
  <c r="R2703" i="1"/>
  <c r="E2703" i="1"/>
  <c r="G2703" i="1"/>
  <c r="H2703" i="1"/>
  <c r="J2703" i="1"/>
  <c r="K2703" i="1"/>
  <c r="L2703" i="1"/>
  <c r="A2704" i="1"/>
  <c r="B2704" i="1"/>
  <c r="C2704" i="1"/>
  <c r="D2704" i="1"/>
  <c r="Q2704" i="1"/>
  <c r="R2704" i="1"/>
  <c r="E2704" i="1"/>
  <c r="G2704" i="1"/>
  <c r="H2704" i="1"/>
  <c r="J2704" i="1"/>
  <c r="K2704" i="1"/>
  <c r="L2704" i="1"/>
  <c r="A2705" i="1"/>
  <c r="B2705" i="1"/>
  <c r="C2705" i="1"/>
  <c r="D2705" i="1"/>
  <c r="Q2705" i="1"/>
  <c r="R2705" i="1"/>
  <c r="E2705" i="1"/>
  <c r="G2705" i="1"/>
  <c r="H2705" i="1"/>
  <c r="J2705" i="1"/>
  <c r="K2705" i="1"/>
  <c r="L2705" i="1"/>
  <c r="A2706" i="1"/>
  <c r="B2706" i="1"/>
  <c r="C2706" i="1"/>
  <c r="D2706" i="1"/>
  <c r="Q2706" i="1"/>
  <c r="R2706" i="1"/>
  <c r="E2706" i="1"/>
  <c r="G2706" i="1"/>
  <c r="H2706" i="1"/>
  <c r="J2706" i="1"/>
  <c r="K2706" i="1"/>
  <c r="L2706" i="1"/>
  <c r="A2707" i="1"/>
  <c r="B2707" i="1"/>
  <c r="C2707" i="1"/>
  <c r="D2707" i="1"/>
  <c r="Q2707" i="1"/>
  <c r="R2707" i="1"/>
  <c r="E2707" i="1"/>
  <c r="G2707" i="1"/>
  <c r="H2707" i="1"/>
  <c r="J2707" i="1"/>
  <c r="K2707" i="1"/>
  <c r="L2707" i="1"/>
  <c r="A2708" i="1"/>
  <c r="B2708" i="1"/>
  <c r="C2708" i="1"/>
  <c r="D2708" i="1"/>
  <c r="Q2708" i="1"/>
  <c r="R2708" i="1"/>
  <c r="E2708" i="1"/>
  <c r="G2708" i="1"/>
  <c r="H2708" i="1"/>
  <c r="J2708" i="1"/>
  <c r="K2708" i="1"/>
  <c r="L2708" i="1"/>
  <c r="A2709" i="1"/>
  <c r="B2709" i="1"/>
  <c r="C2709" i="1"/>
  <c r="D2709" i="1"/>
  <c r="Q2709" i="1"/>
  <c r="R2709" i="1"/>
  <c r="E2709" i="1"/>
  <c r="G2709" i="1"/>
  <c r="H2709" i="1"/>
  <c r="J2709" i="1"/>
  <c r="K2709" i="1"/>
  <c r="L2709" i="1"/>
  <c r="A2710" i="1"/>
  <c r="B2710" i="1"/>
  <c r="C2710" i="1"/>
  <c r="D2710" i="1"/>
  <c r="Q2710" i="1"/>
  <c r="R2710" i="1"/>
  <c r="E2710" i="1"/>
  <c r="G2710" i="1"/>
  <c r="H2710" i="1"/>
  <c r="J2710" i="1"/>
  <c r="K2710" i="1"/>
  <c r="L2710" i="1"/>
  <c r="A2711" i="1"/>
  <c r="B2711" i="1"/>
  <c r="C2711" i="1"/>
  <c r="D2711" i="1"/>
  <c r="Q2711" i="1"/>
  <c r="R2711" i="1"/>
  <c r="E2711" i="1"/>
  <c r="G2711" i="1"/>
  <c r="H2711" i="1"/>
  <c r="J2711" i="1"/>
  <c r="K2711" i="1"/>
  <c r="L2711" i="1"/>
  <c r="A2712" i="1"/>
  <c r="B2712" i="1"/>
  <c r="C2712" i="1"/>
  <c r="D2712" i="1"/>
  <c r="Q2712" i="1"/>
  <c r="R2712" i="1"/>
  <c r="E2712" i="1"/>
  <c r="G2712" i="1"/>
  <c r="H2712" i="1"/>
  <c r="J2712" i="1"/>
  <c r="K2712" i="1"/>
  <c r="L2712" i="1"/>
  <c r="A2713" i="1"/>
  <c r="B2713" i="1"/>
  <c r="C2713" i="1"/>
  <c r="D2713" i="1"/>
  <c r="Q2713" i="1"/>
  <c r="R2713" i="1"/>
  <c r="E2713" i="1"/>
  <c r="G2713" i="1"/>
  <c r="H2713" i="1"/>
  <c r="J2713" i="1"/>
  <c r="K2713" i="1"/>
  <c r="L2713" i="1"/>
  <c r="A2714" i="1"/>
  <c r="B2714" i="1"/>
  <c r="C2714" i="1"/>
  <c r="D2714" i="1"/>
  <c r="Q2714" i="1"/>
  <c r="R2714" i="1"/>
  <c r="E2714" i="1"/>
  <c r="G2714" i="1"/>
  <c r="H2714" i="1"/>
  <c r="J2714" i="1"/>
  <c r="K2714" i="1"/>
  <c r="L2714" i="1"/>
  <c r="A2715" i="1"/>
  <c r="B2715" i="1"/>
  <c r="C2715" i="1"/>
  <c r="D2715" i="1"/>
  <c r="Q2715" i="1"/>
  <c r="R2715" i="1"/>
  <c r="E2715" i="1"/>
  <c r="G2715" i="1"/>
  <c r="H2715" i="1"/>
  <c r="J2715" i="1"/>
  <c r="K2715" i="1"/>
  <c r="L2715" i="1"/>
  <c r="A2716" i="1"/>
  <c r="B2716" i="1"/>
  <c r="C2716" i="1"/>
  <c r="D2716" i="1"/>
  <c r="Q2716" i="1"/>
  <c r="R2716" i="1"/>
  <c r="E2716" i="1"/>
  <c r="G2716" i="1"/>
  <c r="H2716" i="1"/>
  <c r="J2716" i="1"/>
  <c r="K2716" i="1"/>
  <c r="L2716" i="1"/>
  <c r="A2717" i="1"/>
  <c r="B2717" i="1"/>
  <c r="C2717" i="1"/>
  <c r="D2717" i="1"/>
  <c r="Q2717" i="1"/>
  <c r="R2717" i="1"/>
  <c r="E2717" i="1"/>
  <c r="G2717" i="1"/>
  <c r="H2717" i="1"/>
  <c r="J2717" i="1"/>
  <c r="K2717" i="1"/>
  <c r="L2717" i="1"/>
  <c r="A2718" i="1"/>
  <c r="B2718" i="1"/>
  <c r="C2718" i="1"/>
  <c r="D2718" i="1"/>
  <c r="Q2718" i="1"/>
  <c r="R2718" i="1"/>
  <c r="E2718" i="1"/>
  <c r="G2718" i="1"/>
  <c r="H2718" i="1"/>
  <c r="J2718" i="1"/>
  <c r="K2718" i="1"/>
  <c r="L2718" i="1"/>
  <c r="A2719" i="1"/>
  <c r="B2719" i="1"/>
  <c r="C2719" i="1"/>
  <c r="D2719" i="1"/>
  <c r="Q2719" i="1"/>
  <c r="R2719" i="1"/>
  <c r="E2719" i="1"/>
  <c r="G2719" i="1"/>
  <c r="H2719" i="1"/>
  <c r="J2719" i="1"/>
  <c r="K2719" i="1"/>
  <c r="L2719" i="1"/>
  <c r="A2720" i="1"/>
  <c r="B2720" i="1"/>
  <c r="C2720" i="1"/>
  <c r="D2720" i="1"/>
  <c r="Q2720" i="1"/>
  <c r="R2720" i="1"/>
  <c r="E2720" i="1"/>
  <c r="G2720" i="1"/>
  <c r="H2720" i="1"/>
  <c r="J2720" i="1"/>
  <c r="K2720" i="1"/>
  <c r="L2720" i="1"/>
  <c r="A2721" i="1"/>
  <c r="B2721" i="1"/>
  <c r="C2721" i="1"/>
  <c r="D2721" i="1"/>
  <c r="Q2721" i="1"/>
  <c r="R2721" i="1"/>
  <c r="E2721" i="1"/>
  <c r="G2721" i="1"/>
  <c r="H2721" i="1"/>
  <c r="J2721" i="1"/>
  <c r="K2721" i="1"/>
  <c r="L2721" i="1"/>
  <c r="A2722" i="1"/>
  <c r="B2722" i="1"/>
  <c r="C2722" i="1"/>
  <c r="D2722" i="1"/>
  <c r="Q2722" i="1"/>
  <c r="R2722" i="1"/>
  <c r="E2722" i="1"/>
  <c r="G2722" i="1"/>
  <c r="H2722" i="1"/>
  <c r="J2722" i="1"/>
  <c r="K2722" i="1"/>
  <c r="L2722" i="1"/>
  <c r="A2723" i="1"/>
  <c r="B2723" i="1"/>
  <c r="C2723" i="1"/>
  <c r="D2723" i="1"/>
  <c r="Q2723" i="1"/>
  <c r="R2723" i="1"/>
  <c r="E2723" i="1"/>
  <c r="G2723" i="1"/>
  <c r="H2723" i="1"/>
  <c r="J2723" i="1"/>
  <c r="K2723" i="1"/>
  <c r="L2723" i="1"/>
  <c r="A2724" i="1"/>
  <c r="B2724" i="1"/>
  <c r="C2724" i="1"/>
  <c r="D2724" i="1"/>
  <c r="Q2724" i="1"/>
  <c r="R2724" i="1"/>
  <c r="E2724" i="1"/>
  <c r="G2724" i="1"/>
  <c r="H2724" i="1"/>
  <c r="J2724" i="1"/>
  <c r="K2724" i="1"/>
  <c r="L2724" i="1"/>
  <c r="A2725" i="1"/>
  <c r="B2725" i="1"/>
  <c r="C2725" i="1"/>
  <c r="D2725" i="1"/>
  <c r="Q2725" i="1"/>
  <c r="R2725" i="1"/>
  <c r="E2725" i="1"/>
  <c r="G2725" i="1"/>
  <c r="H2725" i="1"/>
  <c r="J2725" i="1"/>
  <c r="K2725" i="1"/>
  <c r="L2725" i="1"/>
  <c r="A2726" i="1"/>
  <c r="B2726" i="1"/>
  <c r="C2726" i="1"/>
  <c r="D2726" i="1"/>
  <c r="Q2726" i="1"/>
  <c r="R2726" i="1"/>
  <c r="E2726" i="1"/>
  <c r="G2726" i="1"/>
  <c r="H2726" i="1"/>
  <c r="J2726" i="1"/>
  <c r="K2726" i="1"/>
  <c r="L2726" i="1"/>
  <c r="A2727" i="1"/>
  <c r="B2727" i="1"/>
  <c r="C2727" i="1"/>
  <c r="D2727" i="1"/>
  <c r="Q2727" i="1"/>
  <c r="R2727" i="1"/>
  <c r="E2727" i="1"/>
  <c r="G2727" i="1"/>
  <c r="H2727" i="1"/>
  <c r="J2727" i="1"/>
  <c r="K2727" i="1"/>
  <c r="L2727" i="1"/>
  <c r="A2728" i="1"/>
  <c r="B2728" i="1"/>
  <c r="C2728" i="1"/>
  <c r="D2728" i="1"/>
  <c r="Q2728" i="1"/>
  <c r="R2728" i="1"/>
  <c r="E2728" i="1"/>
  <c r="G2728" i="1"/>
  <c r="H2728" i="1"/>
  <c r="J2728" i="1"/>
  <c r="K2728" i="1"/>
  <c r="L2728" i="1"/>
  <c r="A2729" i="1"/>
  <c r="B2729" i="1"/>
  <c r="C2729" i="1"/>
  <c r="D2729" i="1"/>
  <c r="Q2729" i="1"/>
  <c r="R2729" i="1"/>
  <c r="E2729" i="1"/>
  <c r="G2729" i="1"/>
  <c r="H2729" i="1"/>
  <c r="J2729" i="1"/>
  <c r="K2729" i="1"/>
  <c r="L2729" i="1"/>
  <c r="A2730" i="1"/>
  <c r="B2730" i="1"/>
  <c r="C2730" i="1"/>
  <c r="D2730" i="1"/>
  <c r="Q2730" i="1"/>
  <c r="R2730" i="1"/>
  <c r="E2730" i="1"/>
  <c r="G2730" i="1"/>
  <c r="H2730" i="1"/>
  <c r="J2730" i="1"/>
  <c r="K2730" i="1"/>
  <c r="L2730" i="1"/>
  <c r="A2731" i="1"/>
  <c r="B2731" i="1"/>
  <c r="C2731" i="1"/>
  <c r="D2731" i="1"/>
  <c r="Q2731" i="1"/>
  <c r="R2731" i="1"/>
  <c r="E2731" i="1"/>
  <c r="G2731" i="1"/>
  <c r="H2731" i="1"/>
  <c r="J2731" i="1"/>
  <c r="K2731" i="1"/>
  <c r="L2731" i="1"/>
  <c r="A2732" i="1"/>
  <c r="B2732" i="1"/>
  <c r="C2732" i="1"/>
  <c r="D2732" i="1"/>
  <c r="Q2732" i="1"/>
  <c r="R2732" i="1"/>
  <c r="E2732" i="1"/>
  <c r="G2732" i="1"/>
  <c r="H2732" i="1"/>
  <c r="J2732" i="1"/>
  <c r="K2732" i="1"/>
  <c r="L2732" i="1"/>
  <c r="A2733" i="1"/>
  <c r="B2733" i="1"/>
  <c r="C2733" i="1"/>
  <c r="D2733" i="1"/>
  <c r="Q2733" i="1"/>
  <c r="R2733" i="1"/>
  <c r="E2733" i="1"/>
  <c r="G2733" i="1"/>
  <c r="H2733" i="1"/>
  <c r="J2733" i="1"/>
  <c r="K2733" i="1"/>
  <c r="L2733" i="1"/>
  <c r="A2734" i="1"/>
  <c r="B2734" i="1"/>
  <c r="C2734" i="1"/>
  <c r="D2734" i="1"/>
  <c r="Q2734" i="1"/>
  <c r="R2734" i="1"/>
  <c r="E2734" i="1"/>
  <c r="G2734" i="1"/>
  <c r="H2734" i="1"/>
  <c r="J2734" i="1"/>
  <c r="K2734" i="1"/>
  <c r="L2734" i="1"/>
  <c r="A2735" i="1"/>
  <c r="B2735" i="1"/>
  <c r="C2735" i="1"/>
  <c r="D2735" i="1"/>
  <c r="Q2735" i="1"/>
  <c r="R2735" i="1"/>
  <c r="E2735" i="1"/>
  <c r="G2735" i="1"/>
  <c r="H2735" i="1"/>
  <c r="J2735" i="1"/>
  <c r="K2735" i="1"/>
  <c r="L2735" i="1"/>
  <c r="A2736" i="1"/>
  <c r="B2736" i="1"/>
  <c r="C2736" i="1"/>
  <c r="D2736" i="1"/>
  <c r="Q2736" i="1"/>
  <c r="R2736" i="1"/>
  <c r="E2736" i="1"/>
  <c r="G2736" i="1"/>
  <c r="H2736" i="1"/>
  <c r="J2736" i="1"/>
  <c r="K2736" i="1"/>
  <c r="L2736" i="1"/>
  <c r="A2737" i="1"/>
  <c r="B2737" i="1"/>
  <c r="C2737" i="1"/>
  <c r="D2737" i="1"/>
  <c r="Q2737" i="1"/>
  <c r="R2737" i="1"/>
  <c r="E2737" i="1"/>
  <c r="G2737" i="1"/>
  <c r="H2737" i="1"/>
  <c r="J2737" i="1"/>
  <c r="K2737" i="1"/>
  <c r="L2737" i="1"/>
  <c r="A2738" i="1"/>
  <c r="B2738" i="1"/>
  <c r="C2738" i="1"/>
  <c r="D2738" i="1"/>
  <c r="Q2738" i="1"/>
  <c r="R2738" i="1"/>
  <c r="E2738" i="1"/>
  <c r="G2738" i="1"/>
  <c r="H2738" i="1"/>
  <c r="J2738" i="1"/>
  <c r="K2738" i="1"/>
  <c r="L2738" i="1"/>
  <c r="A2739" i="1"/>
  <c r="B2739" i="1"/>
  <c r="C2739" i="1"/>
  <c r="D2739" i="1"/>
  <c r="Q2739" i="1"/>
  <c r="R2739" i="1"/>
  <c r="E2739" i="1"/>
  <c r="G2739" i="1"/>
  <c r="H2739" i="1"/>
  <c r="J2739" i="1"/>
  <c r="K2739" i="1"/>
  <c r="L2739" i="1"/>
  <c r="A2740" i="1"/>
  <c r="B2740" i="1"/>
  <c r="C2740" i="1"/>
  <c r="D2740" i="1"/>
  <c r="Q2740" i="1"/>
  <c r="R2740" i="1"/>
  <c r="E2740" i="1"/>
  <c r="G2740" i="1"/>
  <c r="H2740" i="1"/>
  <c r="J2740" i="1"/>
  <c r="K2740" i="1"/>
  <c r="L2740" i="1"/>
  <c r="A2741" i="1"/>
  <c r="B2741" i="1"/>
  <c r="C2741" i="1"/>
  <c r="D2741" i="1"/>
  <c r="Q2741" i="1"/>
  <c r="R2741" i="1"/>
  <c r="E2741" i="1"/>
  <c r="G2741" i="1"/>
  <c r="H2741" i="1"/>
  <c r="J2741" i="1"/>
  <c r="K2741" i="1"/>
  <c r="L2741" i="1"/>
  <c r="A2742" i="1"/>
  <c r="B2742" i="1"/>
  <c r="C2742" i="1"/>
  <c r="D2742" i="1"/>
  <c r="Q2742" i="1"/>
  <c r="R2742" i="1"/>
  <c r="E2742" i="1"/>
  <c r="G2742" i="1"/>
  <c r="H2742" i="1"/>
  <c r="J2742" i="1"/>
  <c r="K2742" i="1"/>
  <c r="L2742" i="1"/>
  <c r="A2743" i="1"/>
  <c r="B2743" i="1"/>
  <c r="C2743" i="1"/>
  <c r="D2743" i="1"/>
  <c r="Q2743" i="1"/>
  <c r="R2743" i="1"/>
  <c r="E2743" i="1"/>
  <c r="G2743" i="1"/>
  <c r="H2743" i="1"/>
  <c r="J2743" i="1"/>
  <c r="K2743" i="1"/>
  <c r="L2743" i="1"/>
  <c r="A2744" i="1"/>
  <c r="B2744" i="1"/>
  <c r="C2744" i="1"/>
  <c r="D2744" i="1"/>
  <c r="Q2744" i="1"/>
  <c r="R2744" i="1"/>
  <c r="E2744" i="1"/>
  <c r="G2744" i="1"/>
  <c r="H2744" i="1"/>
  <c r="J2744" i="1"/>
  <c r="K2744" i="1"/>
  <c r="L2744" i="1"/>
  <c r="A2745" i="1"/>
  <c r="B2745" i="1"/>
  <c r="C2745" i="1"/>
  <c r="D2745" i="1"/>
  <c r="Q2745" i="1"/>
  <c r="R2745" i="1"/>
  <c r="E2745" i="1"/>
  <c r="G2745" i="1"/>
  <c r="H2745" i="1"/>
  <c r="J2745" i="1"/>
  <c r="K2745" i="1"/>
  <c r="L2745" i="1"/>
  <c r="A2746" i="1"/>
  <c r="B2746" i="1"/>
  <c r="C2746" i="1"/>
  <c r="D2746" i="1"/>
  <c r="Q2746" i="1"/>
  <c r="R2746" i="1"/>
  <c r="E2746" i="1"/>
  <c r="G2746" i="1"/>
  <c r="H2746" i="1"/>
  <c r="J2746" i="1"/>
  <c r="K2746" i="1"/>
  <c r="L2746" i="1"/>
  <c r="A2747" i="1"/>
  <c r="B2747" i="1"/>
  <c r="C2747" i="1"/>
  <c r="D2747" i="1"/>
  <c r="Q2747" i="1"/>
  <c r="R2747" i="1"/>
  <c r="E2747" i="1"/>
  <c r="G2747" i="1"/>
  <c r="H2747" i="1"/>
  <c r="J2747" i="1"/>
  <c r="K2747" i="1"/>
  <c r="L2747" i="1"/>
  <c r="A2748" i="1"/>
  <c r="B2748" i="1"/>
  <c r="C2748" i="1"/>
  <c r="D2748" i="1"/>
  <c r="Q2748" i="1"/>
  <c r="R2748" i="1"/>
  <c r="E2748" i="1"/>
  <c r="G2748" i="1"/>
  <c r="H2748" i="1"/>
  <c r="J2748" i="1"/>
  <c r="K2748" i="1"/>
  <c r="L2748" i="1"/>
  <c r="A2749" i="1"/>
  <c r="B2749" i="1"/>
  <c r="C2749" i="1"/>
  <c r="D2749" i="1"/>
  <c r="Q2749" i="1"/>
  <c r="R2749" i="1"/>
  <c r="E2749" i="1"/>
  <c r="G2749" i="1"/>
  <c r="H2749" i="1"/>
  <c r="J2749" i="1"/>
  <c r="K2749" i="1"/>
  <c r="L2749" i="1"/>
  <c r="A2750" i="1"/>
  <c r="B2750" i="1"/>
  <c r="C2750" i="1"/>
  <c r="D2750" i="1"/>
  <c r="Q2750" i="1"/>
  <c r="R2750" i="1"/>
  <c r="E2750" i="1"/>
  <c r="G2750" i="1"/>
  <c r="H2750" i="1"/>
  <c r="J2750" i="1"/>
  <c r="K2750" i="1"/>
  <c r="L2750" i="1"/>
  <c r="A2751" i="1"/>
  <c r="B2751" i="1"/>
  <c r="C2751" i="1"/>
  <c r="D2751" i="1"/>
  <c r="Q2751" i="1"/>
  <c r="R2751" i="1"/>
  <c r="E2751" i="1"/>
  <c r="G2751" i="1"/>
  <c r="H2751" i="1"/>
  <c r="J2751" i="1"/>
  <c r="K2751" i="1"/>
  <c r="L2751" i="1"/>
  <c r="A2752" i="1"/>
  <c r="B2752" i="1"/>
  <c r="C2752" i="1"/>
  <c r="D2752" i="1"/>
  <c r="Q2752" i="1"/>
  <c r="R2752" i="1"/>
  <c r="E2752" i="1"/>
  <c r="G2752" i="1"/>
  <c r="H2752" i="1"/>
  <c r="J2752" i="1"/>
  <c r="K2752" i="1"/>
  <c r="L2752" i="1"/>
  <c r="A2753" i="1"/>
  <c r="B2753" i="1"/>
  <c r="C2753" i="1"/>
  <c r="D2753" i="1"/>
  <c r="Q2753" i="1"/>
  <c r="R2753" i="1"/>
  <c r="E2753" i="1"/>
  <c r="G2753" i="1"/>
  <c r="H2753" i="1"/>
  <c r="J2753" i="1"/>
  <c r="K2753" i="1"/>
  <c r="L2753" i="1"/>
  <c r="A2754" i="1"/>
  <c r="B2754" i="1"/>
  <c r="C2754" i="1"/>
  <c r="D2754" i="1"/>
  <c r="Q2754" i="1"/>
  <c r="R2754" i="1"/>
  <c r="E2754" i="1"/>
  <c r="G2754" i="1"/>
  <c r="H2754" i="1"/>
  <c r="J2754" i="1"/>
  <c r="K2754" i="1"/>
  <c r="L2754" i="1"/>
  <c r="A2755" i="1"/>
  <c r="B2755" i="1"/>
  <c r="C2755" i="1"/>
  <c r="D2755" i="1"/>
  <c r="Q2755" i="1"/>
  <c r="R2755" i="1"/>
  <c r="E2755" i="1"/>
  <c r="G2755" i="1"/>
  <c r="H2755" i="1"/>
  <c r="J2755" i="1"/>
  <c r="K2755" i="1"/>
  <c r="L2755" i="1"/>
  <c r="A2756" i="1"/>
  <c r="B2756" i="1"/>
  <c r="C2756" i="1"/>
  <c r="D2756" i="1"/>
  <c r="Q2756" i="1"/>
  <c r="R2756" i="1"/>
  <c r="E2756" i="1"/>
  <c r="G2756" i="1"/>
  <c r="H2756" i="1"/>
  <c r="J2756" i="1"/>
  <c r="K2756" i="1"/>
  <c r="L2756" i="1"/>
  <c r="A2757" i="1"/>
  <c r="B2757" i="1"/>
  <c r="C2757" i="1"/>
  <c r="D2757" i="1"/>
  <c r="Q2757" i="1"/>
  <c r="R2757" i="1"/>
  <c r="E2757" i="1"/>
  <c r="G2757" i="1"/>
  <c r="H2757" i="1"/>
  <c r="J2757" i="1"/>
  <c r="K2757" i="1"/>
  <c r="L2757" i="1"/>
  <c r="A2758" i="1"/>
  <c r="B2758" i="1"/>
  <c r="C2758" i="1"/>
  <c r="D2758" i="1"/>
  <c r="Q2758" i="1"/>
  <c r="R2758" i="1"/>
  <c r="E2758" i="1"/>
  <c r="G2758" i="1"/>
  <c r="H2758" i="1"/>
  <c r="J2758" i="1"/>
  <c r="K2758" i="1"/>
  <c r="L2758" i="1"/>
  <c r="A2759" i="1"/>
  <c r="B2759" i="1"/>
  <c r="C2759" i="1"/>
  <c r="D2759" i="1"/>
  <c r="Q2759" i="1"/>
  <c r="R2759" i="1"/>
  <c r="E2759" i="1"/>
  <c r="G2759" i="1"/>
  <c r="H2759" i="1"/>
  <c r="J2759" i="1"/>
  <c r="K2759" i="1"/>
  <c r="L2759" i="1"/>
  <c r="A2760" i="1"/>
  <c r="B2760" i="1"/>
  <c r="C2760" i="1"/>
  <c r="D2760" i="1"/>
  <c r="Q2760" i="1"/>
  <c r="R2760" i="1"/>
  <c r="E2760" i="1"/>
  <c r="G2760" i="1"/>
  <c r="H2760" i="1"/>
  <c r="J2760" i="1"/>
  <c r="K2760" i="1"/>
  <c r="L2760" i="1"/>
  <c r="A2761" i="1"/>
  <c r="B2761" i="1"/>
  <c r="C2761" i="1"/>
  <c r="D2761" i="1"/>
  <c r="Q2761" i="1"/>
  <c r="R2761" i="1"/>
  <c r="E2761" i="1"/>
  <c r="G2761" i="1"/>
  <c r="H2761" i="1"/>
  <c r="J2761" i="1"/>
  <c r="K2761" i="1"/>
  <c r="L2761" i="1"/>
  <c r="A2762" i="1"/>
  <c r="B2762" i="1"/>
  <c r="C2762" i="1"/>
  <c r="D2762" i="1"/>
  <c r="Q2762" i="1"/>
  <c r="R2762" i="1"/>
  <c r="E2762" i="1"/>
  <c r="G2762" i="1"/>
  <c r="H2762" i="1"/>
  <c r="J2762" i="1"/>
  <c r="K2762" i="1"/>
  <c r="L2762" i="1"/>
  <c r="A2763" i="1"/>
  <c r="B2763" i="1"/>
  <c r="C2763" i="1"/>
  <c r="D2763" i="1"/>
  <c r="Q2763" i="1"/>
  <c r="R2763" i="1"/>
  <c r="E2763" i="1"/>
  <c r="G2763" i="1"/>
  <c r="H2763" i="1"/>
  <c r="J2763" i="1"/>
  <c r="K2763" i="1"/>
  <c r="L2763" i="1"/>
  <c r="A2764" i="1"/>
  <c r="B2764" i="1"/>
  <c r="C2764" i="1"/>
  <c r="D2764" i="1"/>
  <c r="Q2764" i="1"/>
  <c r="R2764" i="1"/>
  <c r="E2764" i="1"/>
  <c r="G2764" i="1"/>
  <c r="H2764" i="1"/>
  <c r="J2764" i="1"/>
  <c r="K2764" i="1"/>
  <c r="L2764" i="1"/>
  <c r="A2765" i="1"/>
  <c r="B2765" i="1"/>
  <c r="C2765" i="1"/>
  <c r="D2765" i="1"/>
  <c r="Q2765" i="1"/>
  <c r="R2765" i="1"/>
  <c r="E2765" i="1"/>
  <c r="G2765" i="1"/>
  <c r="H2765" i="1"/>
  <c r="J2765" i="1"/>
  <c r="K2765" i="1"/>
  <c r="L2765" i="1"/>
  <c r="A2766" i="1"/>
  <c r="B2766" i="1"/>
  <c r="C2766" i="1"/>
  <c r="D2766" i="1"/>
  <c r="Q2766" i="1"/>
  <c r="R2766" i="1"/>
  <c r="E2766" i="1"/>
  <c r="G2766" i="1"/>
  <c r="H2766" i="1"/>
  <c r="J2766" i="1"/>
  <c r="K2766" i="1"/>
  <c r="L2766" i="1"/>
  <c r="A2767" i="1"/>
  <c r="B2767" i="1"/>
  <c r="C2767" i="1"/>
  <c r="D2767" i="1"/>
  <c r="Q2767" i="1"/>
  <c r="R2767" i="1"/>
  <c r="E2767" i="1"/>
  <c r="G2767" i="1"/>
  <c r="H2767" i="1"/>
  <c r="J2767" i="1"/>
  <c r="K2767" i="1"/>
  <c r="L2767" i="1"/>
  <c r="A2768" i="1"/>
  <c r="B2768" i="1"/>
  <c r="C2768" i="1"/>
  <c r="D2768" i="1"/>
  <c r="Q2768" i="1"/>
  <c r="R2768" i="1"/>
  <c r="E2768" i="1"/>
  <c r="G2768" i="1"/>
  <c r="H2768" i="1"/>
  <c r="J2768" i="1"/>
  <c r="K2768" i="1"/>
  <c r="L2768" i="1"/>
  <c r="A2769" i="1"/>
  <c r="B2769" i="1"/>
  <c r="C2769" i="1"/>
  <c r="D2769" i="1"/>
  <c r="Q2769" i="1"/>
  <c r="R2769" i="1"/>
  <c r="E2769" i="1"/>
  <c r="G2769" i="1"/>
  <c r="H2769" i="1"/>
  <c r="J2769" i="1"/>
  <c r="K2769" i="1"/>
  <c r="L2769" i="1"/>
  <c r="A2770" i="1"/>
  <c r="B2770" i="1"/>
  <c r="C2770" i="1"/>
  <c r="D2770" i="1"/>
  <c r="Q2770" i="1"/>
  <c r="R2770" i="1"/>
  <c r="E2770" i="1"/>
  <c r="G2770" i="1"/>
  <c r="H2770" i="1"/>
  <c r="J2770" i="1"/>
  <c r="K2770" i="1"/>
  <c r="L2770" i="1"/>
  <c r="A2771" i="1"/>
  <c r="B2771" i="1"/>
  <c r="C2771" i="1"/>
  <c r="D2771" i="1"/>
  <c r="Q2771" i="1"/>
  <c r="R2771" i="1"/>
  <c r="E2771" i="1"/>
  <c r="G2771" i="1"/>
  <c r="H2771" i="1"/>
  <c r="J2771" i="1"/>
  <c r="K2771" i="1"/>
  <c r="L2771" i="1"/>
  <c r="A2772" i="1"/>
  <c r="B2772" i="1"/>
  <c r="C2772" i="1"/>
  <c r="D2772" i="1"/>
  <c r="Q2772" i="1"/>
  <c r="R2772" i="1"/>
  <c r="E2772" i="1"/>
  <c r="G2772" i="1"/>
  <c r="H2772" i="1"/>
  <c r="J2772" i="1"/>
  <c r="K2772" i="1"/>
  <c r="L2772" i="1"/>
  <c r="A2773" i="1"/>
  <c r="B2773" i="1"/>
  <c r="C2773" i="1"/>
  <c r="D2773" i="1"/>
  <c r="Q2773" i="1"/>
  <c r="R2773" i="1"/>
  <c r="E2773" i="1"/>
  <c r="G2773" i="1"/>
  <c r="H2773" i="1"/>
  <c r="J2773" i="1"/>
  <c r="K2773" i="1"/>
  <c r="L2773" i="1"/>
  <c r="A2774" i="1"/>
  <c r="B2774" i="1"/>
  <c r="C2774" i="1"/>
  <c r="D2774" i="1"/>
  <c r="Q2774" i="1"/>
  <c r="R2774" i="1"/>
  <c r="E2774" i="1"/>
  <c r="G2774" i="1"/>
  <c r="H2774" i="1"/>
  <c r="J2774" i="1"/>
  <c r="K2774" i="1"/>
  <c r="L2774" i="1"/>
  <c r="A2775" i="1"/>
  <c r="B2775" i="1"/>
  <c r="C2775" i="1"/>
  <c r="D2775" i="1"/>
  <c r="Q2775" i="1"/>
  <c r="R2775" i="1"/>
  <c r="E2775" i="1"/>
  <c r="G2775" i="1"/>
  <c r="H2775" i="1"/>
  <c r="J2775" i="1"/>
  <c r="K2775" i="1"/>
  <c r="L2775" i="1"/>
  <c r="A2776" i="1"/>
  <c r="B2776" i="1"/>
  <c r="C2776" i="1"/>
  <c r="D2776" i="1"/>
  <c r="Q2776" i="1"/>
  <c r="R2776" i="1"/>
  <c r="E2776" i="1"/>
  <c r="G2776" i="1"/>
  <c r="H2776" i="1"/>
  <c r="J2776" i="1"/>
  <c r="K2776" i="1"/>
  <c r="L2776" i="1"/>
  <c r="A2777" i="1"/>
  <c r="B2777" i="1"/>
  <c r="C2777" i="1"/>
  <c r="D2777" i="1"/>
  <c r="Q2777" i="1"/>
  <c r="R2777" i="1"/>
  <c r="E2777" i="1"/>
  <c r="G2777" i="1"/>
  <c r="H2777" i="1"/>
  <c r="J2777" i="1"/>
  <c r="K2777" i="1"/>
  <c r="L2777" i="1"/>
  <c r="A2778" i="1"/>
  <c r="B2778" i="1"/>
  <c r="C2778" i="1"/>
  <c r="D2778" i="1"/>
  <c r="Q2778" i="1"/>
  <c r="R2778" i="1"/>
  <c r="E2778" i="1"/>
  <c r="G2778" i="1"/>
  <c r="H2778" i="1"/>
  <c r="J2778" i="1"/>
  <c r="K2778" i="1"/>
  <c r="L2778" i="1"/>
  <c r="A2779" i="1"/>
  <c r="B2779" i="1"/>
  <c r="C2779" i="1"/>
  <c r="D2779" i="1"/>
  <c r="Q2779" i="1"/>
  <c r="R2779" i="1"/>
  <c r="E2779" i="1"/>
  <c r="G2779" i="1"/>
  <c r="H2779" i="1"/>
  <c r="J2779" i="1"/>
  <c r="K2779" i="1"/>
  <c r="L2779" i="1"/>
  <c r="A2780" i="1"/>
  <c r="B2780" i="1"/>
  <c r="C2780" i="1"/>
  <c r="D2780" i="1"/>
  <c r="Q2780" i="1"/>
  <c r="R2780" i="1"/>
  <c r="E2780" i="1"/>
  <c r="G2780" i="1"/>
  <c r="H2780" i="1"/>
  <c r="J2780" i="1"/>
  <c r="K2780" i="1"/>
  <c r="L2780" i="1"/>
  <c r="A2781" i="1"/>
  <c r="B2781" i="1"/>
  <c r="C2781" i="1"/>
  <c r="D2781" i="1"/>
  <c r="Q2781" i="1"/>
  <c r="R2781" i="1"/>
  <c r="E2781" i="1"/>
  <c r="G2781" i="1"/>
  <c r="H2781" i="1"/>
  <c r="J2781" i="1"/>
  <c r="K2781" i="1"/>
  <c r="L2781" i="1"/>
  <c r="A2782" i="1"/>
  <c r="B2782" i="1"/>
  <c r="C2782" i="1"/>
  <c r="D2782" i="1"/>
  <c r="Q2782" i="1"/>
  <c r="R2782" i="1"/>
  <c r="E2782" i="1"/>
  <c r="G2782" i="1"/>
  <c r="H2782" i="1"/>
  <c r="J2782" i="1"/>
  <c r="K2782" i="1"/>
  <c r="L2782" i="1"/>
  <c r="A2783" i="1"/>
  <c r="B2783" i="1"/>
  <c r="C2783" i="1"/>
  <c r="D2783" i="1"/>
  <c r="Q2783" i="1"/>
  <c r="R2783" i="1"/>
  <c r="E2783" i="1"/>
  <c r="G2783" i="1"/>
  <c r="H2783" i="1"/>
  <c r="J2783" i="1"/>
  <c r="K2783" i="1"/>
  <c r="L2783" i="1"/>
  <c r="A2784" i="1"/>
  <c r="B2784" i="1"/>
  <c r="C2784" i="1"/>
  <c r="D2784" i="1"/>
  <c r="Q2784" i="1"/>
  <c r="R2784" i="1"/>
  <c r="E2784" i="1"/>
  <c r="G2784" i="1"/>
  <c r="H2784" i="1"/>
  <c r="J2784" i="1"/>
  <c r="K2784" i="1"/>
  <c r="L2784" i="1"/>
  <c r="A2785" i="1"/>
  <c r="B2785" i="1"/>
  <c r="C2785" i="1"/>
  <c r="D2785" i="1"/>
  <c r="Q2785" i="1"/>
  <c r="R2785" i="1"/>
  <c r="E2785" i="1"/>
  <c r="G2785" i="1"/>
  <c r="H2785" i="1"/>
  <c r="J2785" i="1"/>
  <c r="K2785" i="1"/>
  <c r="L2785" i="1"/>
  <c r="A2786" i="1"/>
  <c r="B2786" i="1"/>
  <c r="C2786" i="1"/>
  <c r="D2786" i="1"/>
  <c r="Q2786" i="1"/>
  <c r="R2786" i="1"/>
  <c r="E2786" i="1"/>
  <c r="G2786" i="1"/>
  <c r="H2786" i="1"/>
  <c r="J2786" i="1"/>
  <c r="K2786" i="1"/>
  <c r="L2786" i="1"/>
  <c r="A2787" i="1"/>
  <c r="B2787" i="1"/>
  <c r="C2787" i="1"/>
  <c r="D2787" i="1"/>
  <c r="Q2787" i="1"/>
  <c r="R2787" i="1"/>
  <c r="E2787" i="1"/>
  <c r="G2787" i="1"/>
  <c r="H2787" i="1"/>
  <c r="J2787" i="1"/>
  <c r="K2787" i="1"/>
  <c r="L2787" i="1"/>
  <c r="A2788" i="1"/>
  <c r="B2788" i="1"/>
  <c r="C2788" i="1"/>
  <c r="D2788" i="1"/>
  <c r="Q2788" i="1"/>
  <c r="R2788" i="1"/>
  <c r="E2788" i="1"/>
  <c r="G2788" i="1"/>
  <c r="H2788" i="1"/>
  <c r="J2788" i="1"/>
  <c r="K2788" i="1"/>
  <c r="L2788" i="1"/>
  <c r="A2789" i="1"/>
  <c r="B2789" i="1"/>
  <c r="C2789" i="1"/>
  <c r="D2789" i="1"/>
  <c r="Q2789" i="1"/>
  <c r="R2789" i="1"/>
  <c r="E2789" i="1"/>
  <c r="G2789" i="1"/>
  <c r="H2789" i="1"/>
  <c r="J2789" i="1"/>
  <c r="K2789" i="1"/>
  <c r="L2789" i="1"/>
  <c r="A2790" i="1"/>
  <c r="B2790" i="1"/>
  <c r="C2790" i="1"/>
  <c r="D2790" i="1"/>
  <c r="Q2790" i="1"/>
  <c r="R2790" i="1"/>
  <c r="E2790" i="1"/>
  <c r="G2790" i="1"/>
  <c r="H2790" i="1"/>
  <c r="J2790" i="1"/>
  <c r="K2790" i="1"/>
  <c r="L2790" i="1"/>
  <c r="A2791" i="1"/>
  <c r="B2791" i="1"/>
  <c r="C2791" i="1"/>
  <c r="D2791" i="1"/>
  <c r="Q2791" i="1"/>
  <c r="R2791" i="1"/>
  <c r="E2791" i="1"/>
  <c r="G2791" i="1"/>
  <c r="H2791" i="1"/>
  <c r="J2791" i="1"/>
  <c r="K2791" i="1"/>
  <c r="L2791" i="1"/>
  <c r="A2792" i="1"/>
  <c r="B2792" i="1"/>
  <c r="C2792" i="1"/>
  <c r="D2792" i="1"/>
  <c r="Q2792" i="1"/>
  <c r="R2792" i="1"/>
  <c r="E2792" i="1"/>
  <c r="G2792" i="1"/>
  <c r="H2792" i="1"/>
  <c r="J2792" i="1"/>
  <c r="K2792" i="1"/>
  <c r="L2792" i="1"/>
  <c r="A2793" i="1"/>
  <c r="B2793" i="1"/>
  <c r="C2793" i="1"/>
  <c r="D2793" i="1"/>
  <c r="Q2793" i="1"/>
  <c r="R2793" i="1"/>
  <c r="E2793" i="1"/>
  <c r="G2793" i="1"/>
  <c r="H2793" i="1"/>
  <c r="J2793" i="1"/>
  <c r="K2793" i="1"/>
  <c r="L2793" i="1"/>
  <c r="A2794" i="1"/>
  <c r="B2794" i="1"/>
  <c r="C2794" i="1"/>
  <c r="D2794" i="1"/>
  <c r="Q2794" i="1"/>
  <c r="R2794" i="1"/>
  <c r="E2794" i="1"/>
  <c r="G2794" i="1"/>
  <c r="H2794" i="1"/>
  <c r="J2794" i="1"/>
  <c r="K2794" i="1"/>
  <c r="L2794" i="1"/>
  <c r="A2795" i="1"/>
  <c r="B2795" i="1"/>
  <c r="C2795" i="1"/>
  <c r="D2795" i="1"/>
  <c r="Q2795" i="1"/>
  <c r="R2795" i="1"/>
  <c r="E2795" i="1"/>
  <c r="G2795" i="1"/>
  <c r="H2795" i="1"/>
  <c r="J2795" i="1"/>
  <c r="K2795" i="1"/>
  <c r="L2795" i="1"/>
  <c r="A2796" i="1"/>
  <c r="B2796" i="1"/>
  <c r="C2796" i="1"/>
  <c r="D2796" i="1"/>
  <c r="Q2796" i="1"/>
  <c r="R2796" i="1"/>
  <c r="E2796" i="1"/>
  <c r="G2796" i="1"/>
  <c r="H2796" i="1"/>
  <c r="J2796" i="1"/>
  <c r="K2796" i="1"/>
  <c r="L2796" i="1"/>
  <c r="A2797" i="1"/>
  <c r="B2797" i="1"/>
  <c r="C2797" i="1"/>
  <c r="D2797" i="1"/>
  <c r="Q2797" i="1"/>
  <c r="R2797" i="1"/>
  <c r="E2797" i="1"/>
  <c r="G2797" i="1"/>
  <c r="H2797" i="1"/>
  <c r="J2797" i="1"/>
  <c r="K2797" i="1"/>
  <c r="L2797" i="1"/>
  <c r="A2798" i="1"/>
  <c r="B2798" i="1"/>
  <c r="C2798" i="1"/>
  <c r="D2798" i="1"/>
  <c r="Q2798" i="1"/>
  <c r="R2798" i="1"/>
  <c r="E2798" i="1"/>
  <c r="G2798" i="1"/>
  <c r="H2798" i="1"/>
  <c r="J2798" i="1"/>
  <c r="K2798" i="1"/>
  <c r="L2798" i="1"/>
  <c r="A2799" i="1"/>
  <c r="B2799" i="1"/>
  <c r="C2799" i="1"/>
  <c r="D2799" i="1"/>
  <c r="Q2799" i="1"/>
  <c r="R2799" i="1"/>
  <c r="E2799" i="1"/>
  <c r="G2799" i="1"/>
  <c r="H2799" i="1"/>
  <c r="J2799" i="1"/>
  <c r="K2799" i="1"/>
  <c r="L2799" i="1"/>
  <c r="A2800" i="1"/>
  <c r="B2800" i="1"/>
  <c r="C2800" i="1"/>
  <c r="D2800" i="1"/>
  <c r="Q2800" i="1"/>
  <c r="R2800" i="1"/>
  <c r="E2800" i="1"/>
  <c r="G2800" i="1"/>
  <c r="H2800" i="1"/>
  <c r="J2800" i="1"/>
  <c r="K2800" i="1"/>
  <c r="L2800" i="1"/>
  <c r="A2801" i="1"/>
  <c r="B2801" i="1"/>
  <c r="C2801" i="1"/>
  <c r="D2801" i="1"/>
  <c r="Q2801" i="1"/>
  <c r="R2801" i="1"/>
  <c r="E2801" i="1"/>
  <c r="G2801" i="1"/>
  <c r="H2801" i="1"/>
  <c r="J2801" i="1"/>
  <c r="K2801" i="1"/>
  <c r="L2801" i="1"/>
  <c r="A2802" i="1"/>
  <c r="B2802" i="1"/>
  <c r="C2802" i="1"/>
  <c r="D2802" i="1"/>
  <c r="Q2802" i="1"/>
  <c r="R2802" i="1"/>
  <c r="E2802" i="1"/>
  <c r="G2802" i="1"/>
  <c r="H2802" i="1"/>
  <c r="J2802" i="1"/>
  <c r="K2802" i="1"/>
  <c r="L2802" i="1"/>
  <c r="A2803" i="1"/>
  <c r="B2803" i="1"/>
  <c r="C2803" i="1"/>
  <c r="D2803" i="1"/>
  <c r="Q2803" i="1"/>
  <c r="R2803" i="1"/>
  <c r="E2803" i="1"/>
  <c r="G2803" i="1"/>
  <c r="H2803" i="1"/>
  <c r="J2803" i="1"/>
  <c r="K2803" i="1"/>
  <c r="L2803" i="1"/>
  <c r="A2804" i="1"/>
  <c r="B2804" i="1"/>
  <c r="C2804" i="1"/>
  <c r="D2804" i="1"/>
  <c r="Q2804" i="1"/>
  <c r="R2804" i="1"/>
  <c r="E2804" i="1"/>
  <c r="G2804" i="1"/>
  <c r="H2804" i="1"/>
  <c r="J2804" i="1"/>
  <c r="K2804" i="1"/>
  <c r="L2804" i="1"/>
  <c r="A2805" i="1"/>
  <c r="B2805" i="1"/>
  <c r="C2805" i="1"/>
  <c r="D2805" i="1"/>
  <c r="Q2805" i="1"/>
  <c r="R2805" i="1"/>
  <c r="E2805" i="1"/>
  <c r="G2805" i="1"/>
  <c r="H2805" i="1"/>
  <c r="J2805" i="1"/>
  <c r="K2805" i="1"/>
  <c r="L2805" i="1"/>
  <c r="A2806" i="1"/>
  <c r="B2806" i="1"/>
  <c r="C2806" i="1"/>
  <c r="D2806" i="1"/>
  <c r="Q2806" i="1"/>
  <c r="R2806" i="1"/>
  <c r="E2806" i="1"/>
  <c r="G2806" i="1"/>
  <c r="H2806" i="1"/>
  <c r="J2806" i="1"/>
  <c r="K2806" i="1"/>
  <c r="L2806" i="1"/>
  <c r="A2807" i="1"/>
  <c r="B2807" i="1"/>
  <c r="C2807" i="1"/>
  <c r="D2807" i="1"/>
  <c r="Q2807" i="1"/>
  <c r="R2807" i="1"/>
  <c r="E2807" i="1"/>
  <c r="G2807" i="1"/>
  <c r="H2807" i="1"/>
  <c r="J2807" i="1"/>
  <c r="K2807" i="1"/>
  <c r="L2807" i="1"/>
  <c r="A2808" i="1"/>
  <c r="B2808" i="1"/>
  <c r="C2808" i="1"/>
  <c r="D2808" i="1"/>
  <c r="Q2808" i="1"/>
  <c r="R2808" i="1"/>
  <c r="E2808" i="1"/>
  <c r="G2808" i="1"/>
  <c r="H2808" i="1"/>
  <c r="J2808" i="1"/>
  <c r="K2808" i="1"/>
  <c r="L2808" i="1"/>
  <c r="A2809" i="1"/>
  <c r="B2809" i="1"/>
  <c r="C2809" i="1"/>
  <c r="D2809" i="1"/>
  <c r="Q2809" i="1"/>
  <c r="R2809" i="1"/>
  <c r="E2809" i="1"/>
  <c r="G2809" i="1"/>
  <c r="H2809" i="1"/>
  <c r="J2809" i="1"/>
  <c r="K2809" i="1"/>
  <c r="L2809" i="1"/>
  <c r="A2810" i="1"/>
  <c r="B2810" i="1"/>
  <c r="C2810" i="1"/>
  <c r="D2810" i="1"/>
  <c r="Q2810" i="1"/>
  <c r="R2810" i="1"/>
  <c r="E2810" i="1"/>
  <c r="G2810" i="1"/>
  <c r="H2810" i="1"/>
  <c r="J2810" i="1"/>
  <c r="K2810" i="1"/>
  <c r="L2810" i="1"/>
  <c r="A2811" i="1"/>
  <c r="B2811" i="1"/>
  <c r="C2811" i="1"/>
  <c r="D2811" i="1"/>
  <c r="Q2811" i="1"/>
  <c r="R2811" i="1"/>
  <c r="E2811" i="1"/>
  <c r="G2811" i="1"/>
  <c r="H2811" i="1"/>
  <c r="J2811" i="1"/>
  <c r="K2811" i="1"/>
  <c r="L2811" i="1"/>
  <c r="A2812" i="1"/>
  <c r="B2812" i="1"/>
  <c r="C2812" i="1"/>
  <c r="D2812" i="1"/>
  <c r="Q2812" i="1"/>
  <c r="R2812" i="1"/>
  <c r="E2812" i="1"/>
  <c r="G2812" i="1"/>
  <c r="H2812" i="1"/>
  <c r="J2812" i="1"/>
  <c r="K2812" i="1"/>
  <c r="L2812" i="1"/>
  <c r="A2813" i="1"/>
  <c r="B2813" i="1"/>
  <c r="C2813" i="1"/>
  <c r="D2813" i="1"/>
  <c r="Q2813" i="1"/>
  <c r="R2813" i="1"/>
  <c r="E2813" i="1"/>
  <c r="G2813" i="1"/>
  <c r="H2813" i="1"/>
  <c r="J2813" i="1"/>
  <c r="K2813" i="1"/>
  <c r="L2813" i="1"/>
  <c r="A2814" i="1"/>
  <c r="B2814" i="1"/>
  <c r="C2814" i="1"/>
  <c r="D2814" i="1"/>
  <c r="Q2814" i="1"/>
  <c r="R2814" i="1"/>
  <c r="E2814" i="1"/>
  <c r="G2814" i="1"/>
  <c r="H2814" i="1"/>
  <c r="J2814" i="1"/>
  <c r="K2814" i="1"/>
  <c r="L2814" i="1"/>
  <c r="A2815" i="1"/>
  <c r="B2815" i="1"/>
  <c r="C2815" i="1"/>
  <c r="D2815" i="1"/>
  <c r="Q2815" i="1"/>
  <c r="R2815" i="1"/>
  <c r="E2815" i="1"/>
  <c r="G2815" i="1"/>
  <c r="H2815" i="1"/>
  <c r="J2815" i="1"/>
  <c r="K2815" i="1"/>
  <c r="L2815" i="1"/>
  <c r="A2816" i="1"/>
  <c r="B2816" i="1"/>
  <c r="C2816" i="1"/>
  <c r="D2816" i="1"/>
  <c r="Q2816" i="1"/>
  <c r="R2816" i="1"/>
  <c r="E2816" i="1"/>
  <c r="G2816" i="1"/>
  <c r="H2816" i="1"/>
  <c r="J2816" i="1"/>
  <c r="K2816" i="1"/>
  <c r="L2816" i="1"/>
  <c r="A2817" i="1"/>
  <c r="B2817" i="1"/>
  <c r="C2817" i="1"/>
  <c r="D2817" i="1"/>
  <c r="Q2817" i="1"/>
  <c r="R2817" i="1"/>
  <c r="E2817" i="1"/>
  <c r="G2817" i="1"/>
  <c r="H2817" i="1"/>
  <c r="J2817" i="1"/>
  <c r="K2817" i="1"/>
  <c r="L2817" i="1"/>
  <c r="A2818" i="1"/>
  <c r="B2818" i="1"/>
  <c r="C2818" i="1"/>
  <c r="D2818" i="1"/>
  <c r="Q2818" i="1"/>
  <c r="R2818" i="1"/>
  <c r="E2818" i="1"/>
  <c r="G2818" i="1"/>
  <c r="H2818" i="1"/>
  <c r="J2818" i="1"/>
  <c r="K2818" i="1"/>
  <c r="L2818" i="1"/>
  <c r="A2819" i="1"/>
  <c r="B2819" i="1"/>
  <c r="C2819" i="1"/>
  <c r="D2819" i="1"/>
  <c r="Q2819" i="1"/>
  <c r="R2819" i="1"/>
  <c r="E2819" i="1"/>
  <c r="G2819" i="1"/>
  <c r="H2819" i="1"/>
  <c r="J2819" i="1"/>
  <c r="K2819" i="1"/>
  <c r="L2819" i="1"/>
  <c r="A2820" i="1"/>
  <c r="B2820" i="1"/>
  <c r="C2820" i="1"/>
  <c r="D2820" i="1"/>
  <c r="Q2820" i="1"/>
  <c r="R2820" i="1"/>
  <c r="E2820" i="1"/>
  <c r="G2820" i="1"/>
  <c r="H2820" i="1"/>
  <c r="J2820" i="1"/>
  <c r="K2820" i="1"/>
  <c r="L2820" i="1"/>
  <c r="A2821" i="1"/>
  <c r="B2821" i="1"/>
  <c r="C2821" i="1"/>
  <c r="D2821" i="1"/>
  <c r="Q2821" i="1"/>
  <c r="R2821" i="1"/>
  <c r="E2821" i="1"/>
  <c r="G2821" i="1"/>
  <c r="H2821" i="1"/>
  <c r="J2821" i="1"/>
  <c r="K2821" i="1"/>
  <c r="L2821" i="1"/>
  <c r="A2822" i="1"/>
  <c r="B2822" i="1"/>
  <c r="C2822" i="1"/>
  <c r="D2822" i="1"/>
  <c r="Q2822" i="1"/>
  <c r="R2822" i="1"/>
  <c r="E2822" i="1"/>
  <c r="G2822" i="1"/>
  <c r="H2822" i="1"/>
  <c r="J2822" i="1"/>
  <c r="K2822" i="1"/>
  <c r="L2822" i="1"/>
  <c r="A2823" i="1"/>
  <c r="B2823" i="1"/>
  <c r="C2823" i="1"/>
  <c r="D2823" i="1"/>
  <c r="Q2823" i="1"/>
  <c r="R2823" i="1"/>
  <c r="E2823" i="1"/>
  <c r="G2823" i="1"/>
  <c r="H2823" i="1"/>
  <c r="J2823" i="1"/>
  <c r="K2823" i="1"/>
  <c r="L2823" i="1"/>
  <c r="A2824" i="1"/>
  <c r="B2824" i="1"/>
  <c r="C2824" i="1"/>
  <c r="D2824" i="1"/>
  <c r="Q2824" i="1"/>
  <c r="R2824" i="1"/>
  <c r="E2824" i="1"/>
  <c r="G2824" i="1"/>
  <c r="H2824" i="1"/>
  <c r="J2824" i="1"/>
  <c r="K2824" i="1"/>
  <c r="L2824" i="1"/>
  <c r="A2825" i="1"/>
  <c r="B2825" i="1"/>
  <c r="C2825" i="1"/>
  <c r="D2825" i="1"/>
  <c r="Q2825" i="1"/>
  <c r="R2825" i="1"/>
  <c r="E2825" i="1"/>
  <c r="G2825" i="1"/>
  <c r="H2825" i="1"/>
  <c r="J2825" i="1"/>
  <c r="K2825" i="1"/>
  <c r="L2825" i="1"/>
  <c r="A2826" i="1"/>
  <c r="B2826" i="1"/>
  <c r="C2826" i="1"/>
  <c r="D2826" i="1"/>
  <c r="Q2826" i="1"/>
  <c r="R2826" i="1"/>
  <c r="E2826" i="1"/>
  <c r="G2826" i="1"/>
  <c r="H2826" i="1"/>
  <c r="J2826" i="1"/>
  <c r="K2826" i="1"/>
  <c r="L2826" i="1"/>
  <c r="A2827" i="1"/>
  <c r="B2827" i="1"/>
  <c r="C2827" i="1"/>
  <c r="D2827" i="1"/>
  <c r="Q2827" i="1"/>
  <c r="R2827" i="1"/>
  <c r="E2827" i="1"/>
  <c r="G2827" i="1"/>
  <c r="H2827" i="1"/>
  <c r="J2827" i="1"/>
  <c r="K2827" i="1"/>
  <c r="L2827" i="1"/>
  <c r="A2828" i="1"/>
  <c r="B2828" i="1"/>
  <c r="C2828" i="1"/>
  <c r="D2828" i="1"/>
  <c r="Q2828" i="1"/>
  <c r="R2828" i="1"/>
  <c r="E2828" i="1"/>
  <c r="G2828" i="1"/>
  <c r="H2828" i="1"/>
  <c r="J2828" i="1"/>
  <c r="K2828" i="1"/>
  <c r="L2828" i="1"/>
  <c r="A2829" i="1"/>
  <c r="B2829" i="1"/>
  <c r="C2829" i="1"/>
  <c r="D2829" i="1"/>
  <c r="Q2829" i="1"/>
  <c r="R2829" i="1"/>
  <c r="E2829" i="1"/>
  <c r="G2829" i="1"/>
  <c r="H2829" i="1"/>
  <c r="J2829" i="1"/>
  <c r="K2829" i="1"/>
  <c r="L2829" i="1"/>
  <c r="A2830" i="1"/>
  <c r="B2830" i="1"/>
  <c r="C2830" i="1"/>
  <c r="D2830" i="1"/>
  <c r="Q2830" i="1"/>
  <c r="R2830" i="1"/>
  <c r="E2830" i="1"/>
  <c r="G2830" i="1"/>
  <c r="H2830" i="1"/>
  <c r="J2830" i="1"/>
  <c r="K2830" i="1"/>
  <c r="L2830" i="1"/>
  <c r="A2831" i="1"/>
  <c r="B2831" i="1"/>
  <c r="C2831" i="1"/>
  <c r="D2831" i="1"/>
  <c r="Q2831" i="1"/>
  <c r="R2831" i="1"/>
  <c r="E2831" i="1"/>
  <c r="G2831" i="1"/>
  <c r="H2831" i="1"/>
  <c r="J2831" i="1"/>
  <c r="K2831" i="1"/>
  <c r="L2831" i="1"/>
  <c r="A2832" i="1"/>
  <c r="B2832" i="1"/>
  <c r="C2832" i="1"/>
  <c r="D2832" i="1"/>
  <c r="Q2832" i="1"/>
  <c r="R2832" i="1"/>
  <c r="E2832" i="1"/>
  <c r="G2832" i="1"/>
  <c r="H2832" i="1"/>
  <c r="J2832" i="1"/>
  <c r="K2832" i="1"/>
  <c r="L2832" i="1"/>
  <c r="A2833" i="1"/>
  <c r="B2833" i="1"/>
  <c r="C2833" i="1"/>
  <c r="D2833" i="1"/>
  <c r="Q2833" i="1"/>
  <c r="R2833" i="1"/>
  <c r="E2833" i="1"/>
  <c r="G2833" i="1"/>
  <c r="H2833" i="1"/>
  <c r="J2833" i="1"/>
  <c r="K2833" i="1"/>
  <c r="L2833" i="1"/>
  <c r="A2834" i="1"/>
  <c r="B2834" i="1"/>
  <c r="C2834" i="1"/>
  <c r="D2834" i="1"/>
  <c r="Q2834" i="1"/>
  <c r="R2834" i="1"/>
  <c r="E2834" i="1"/>
  <c r="G2834" i="1"/>
  <c r="H2834" i="1"/>
  <c r="J2834" i="1"/>
  <c r="K2834" i="1"/>
  <c r="L2834" i="1"/>
  <c r="A2835" i="1"/>
  <c r="B2835" i="1"/>
  <c r="C2835" i="1"/>
  <c r="D2835" i="1"/>
  <c r="Q2835" i="1"/>
  <c r="R2835" i="1"/>
  <c r="E2835" i="1"/>
  <c r="G2835" i="1"/>
  <c r="H2835" i="1"/>
  <c r="J2835" i="1"/>
  <c r="K2835" i="1"/>
  <c r="L2835" i="1"/>
  <c r="A2836" i="1"/>
  <c r="B2836" i="1"/>
  <c r="C2836" i="1"/>
  <c r="D2836" i="1"/>
  <c r="Q2836" i="1"/>
  <c r="R2836" i="1"/>
  <c r="E2836" i="1"/>
  <c r="G2836" i="1"/>
  <c r="H2836" i="1"/>
  <c r="J2836" i="1"/>
  <c r="K2836" i="1"/>
  <c r="L2836" i="1"/>
  <c r="A2837" i="1"/>
  <c r="B2837" i="1"/>
  <c r="C2837" i="1"/>
  <c r="D2837" i="1"/>
  <c r="Q2837" i="1"/>
  <c r="R2837" i="1"/>
  <c r="E2837" i="1"/>
  <c r="G2837" i="1"/>
  <c r="H2837" i="1"/>
  <c r="J2837" i="1"/>
  <c r="K2837" i="1"/>
  <c r="L2837" i="1"/>
  <c r="A2838" i="1"/>
  <c r="B2838" i="1"/>
  <c r="C2838" i="1"/>
  <c r="D2838" i="1"/>
  <c r="Q2838" i="1"/>
  <c r="R2838" i="1"/>
  <c r="E2838" i="1"/>
  <c r="G2838" i="1"/>
  <c r="H2838" i="1"/>
  <c r="J2838" i="1"/>
  <c r="K2838" i="1"/>
  <c r="L2838" i="1"/>
  <c r="A2839" i="1"/>
  <c r="B2839" i="1"/>
  <c r="C2839" i="1"/>
  <c r="D2839" i="1"/>
  <c r="Q2839" i="1"/>
  <c r="R2839" i="1"/>
  <c r="E2839" i="1"/>
  <c r="G2839" i="1"/>
  <c r="H2839" i="1"/>
  <c r="J2839" i="1"/>
  <c r="K2839" i="1"/>
  <c r="L2839" i="1"/>
  <c r="A2840" i="1"/>
  <c r="B2840" i="1"/>
  <c r="C2840" i="1"/>
  <c r="D2840" i="1"/>
  <c r="Q2840" i="1"/>
  <c r="R2840" i="1"/>
  <c r="E2840" i="1"/>
  <c r="G2840" i="1"/>
  <c r="H2840" i="1"/>
  <c r="J2840" i="1"/>
  <c r="K2840" i="1"/>
  <c r="L2840" i="1"/>
  <c r="A2841" i="1"/>
  <c r="B2841" i="1"/>
  <c r="C2841" i="1"/>
  <c r="D2841" i="1"/>
  <c r="Q2841" i="1"/>
  <c r="R2841" i="1"/>
  <c r="E2841" i="1"/>
  <c r="G2841" i="1"/>
  <c r="H2841" i="1"/>
  <c r="J2841" i="1"/>
  <c r="K2841" i="1"/>
  <c r="L2841" i="1"/>
  <c r="A2842" i="1"/>
  <c r="B2842" i="1"/>
  <c r="C2842" i="1"/>
  <c r="D2842" i="1"/>
  <c r="Q2842" i="1"/>
  <c r="R2842" i="1"/>
  <c r="E2842" i="1"/>
  <c r="G2842" i="1"/>
  <c r="H2842" i="1"/>
  <c r="J2842" i="1"/>
  <c r="K2842" i="1"/>
  <c r="L2842" i="1"/>
  <c r="A2843" i="1"/>
  <c r="B2843" i="1"/>
  <c r="C2843" i="1"/>
  <c r="D2843" i="1"/>
  <c r="Q2843" i="1"/>
  <c r="R2843" i="1"/>
  <c r="E2843" i="1"/>
  <c r="G2843" i="1"/>
  <c r="H2843" i="1"/>
  <c r="J2843" i="1"/>
  <c r="K2843" i="1"/>
  <c r="L2843" i="1"/>
  <c r="A2844" i="1"/>
  <c r="B2844" i="1"/>
  <c r="C2844" i="1"/>
  <c r="D2844" i="1"/>
  <c r="Q2844" i="1"/>
  <c r="R2844" i="1"/>
  <c r="E2844" i="1"/>
  <c r="G2844" i="1"/>
  <c r="H2844" i="1"/>
  <c r="J2844" i="1"/>
  <c r="K2844" i="1"/>
  <c r="L2844" i="1"/>
  <c r="A2845" i="1"/>
  <c r="B2845" i="1"/>
  <c r="C2845" i="1"/>
  <c r="D2845" i="1"/>
  <c r="Q2845" i="1"/>
  <c r="R2845" i="1"/>
  <c r="E2845" i="1"/>
  <c r="G2845" i="1"/>
  <c r="H2845" i="1"/>
  <c r="J2845" i="1"/>
  <c r="K2845" i="1"/>
  <c r="L2845" i="1"/>
  <c r="A2846" i="1"/>
  <c r="B2846" i="1"/>
  <c r="C2846" i="1"/>
  <c r="D2846" i="1"/>
  <c r="Q2846" i="1"/>
  <c r="R2846" i="1"/>
  <c r="E2846" i="1"/>
  <c r="G2846" i="1"/>
  <c r="H2846" i="1"/>
  <c r="J2846" i="1"/>
  <c r="K2846" i="1"/>
  <c r="L2846" i="1"/>
  <c r="A2847" i="1"/>
  <c r="B2847" i="1"/>
  <c r="C2847" i="1"/>
  <c r="D2847" i="1"/>
  <c r="Q2847" i="1"/>
  <c r="R2847" i="1"/>
  <c r="E2847" i="1"/>
  <c r="G2847" i="1"/>
  <c r="H2847" i="1"/>
  <c r="J2847" i="1"/>
  <c r="K2847" i="1"/>
  <c r="L2847" i="1"/>
  <c r="A2848" i="1"/>
  <c r="B2848" i="1"/>
  <c r="C2848" i="1"/>
  <c r="D2848" i="1"/>
  <c r="Q2848" i="1"/>
  <c r="R2848" i="1"/>
  <c r="E2848" i="1"/>
  <c r="G2848" i="1"/>
  <c r="H2848" i="1"/>
  <c r="J2848" i="1"/>
  <c r="K2848" i="1"/>
  <c r="L2848" i="1"/>
  <c r="A2849" i="1"/>
  <c r="B2849" i="1"/>
  <c r="C2849" i="1"/>
  <c r="D2849" i="1"/>
  <c r="Q2849" i="1"/>
  <c r="R2849" i="1"/>
  <c r="E2849" i="1"/>
  <c r="G2849" i="1"/>
  <c r="H2849" i="1"/>
  <c r="J2849" i="1"/>
  <c r="K2849" i="1"/>
  <c r="L2849" i="1"/>
  <c r="A2850" i="1"/>
  <c r="B2850" i="1"/>
  <c r="C2850" i="1"/>
  <c r="D2850" i="1"/>
  <c r="Q2850" i="1"/>
  <c r="R2850" i="1"/>
  <c r="E2850" i="1"/>
  <c r="G2850" i="1"/>
  <c r="H2850" i="1"/>
  <c r="J2850" i="1"/>
  <c r="K2850" i="1"/>
  <c r="L2850" i="1"/>
  <c r="A2851" i="1"/>
  <c r="B2851" i="1"/>
  <c r="C2851" i="1"/>
  <c r="D2851" i="1"/>
  <c r="Q2851" i="1"/>
  <c r="R2851" i="1"/>
  <c r="E2851" i="1"/>
  <c r="G2851" i="1"/>
  <c r="H2851" i="1"/>
  <c r="J2851" i="1"/>
  <c r="K2851" i="1"/>
  <c r="L2851" i="1"/>
  <c r="A2852" i="1"/>
  <c r="B2852" i="1"/>
  <c r="C2852" i="1"/>
  <c r="D2852" i="1"/>
  <c r="Q2852" i="1"/>
  <c r="R2852" i="1"/>
  <c r="E2852" i="1"/>
  <c r="G2852" i="1"/>
  <c r="H2852" i="1"/>
  <c r="J2852" i="1"/>
  <c r="K2852" i="1"/>
  <c r="L2852" i="1"/>
  <c r="A2853" i="1"/>
  <c r="B2853" i="1"/>
  <c r="C2853" i="1"/>
  <c r="D2853" i="1"/>
  <c r="Q2853" i="1"/>
  <c r="R2853" i="1"/>
  <c r="E2853" i="1"/>
  <c r="G2853" i="1"/>
  <c r="H2853" i="1"/>
  <c r="J2853" i="1"/>
  <c r="K2853" i="1"/>
  <c r="L2853" i="1"/>
  <c r="A2854" i="1"/>
  <c r="B2854" i="1"/>
  <c r="C2854" i="1"/>
  <c r="D2854" i="1"/>
  <c r="Q2854" i="1"/>
  <c r="R2854" i="1"/>
  <c r="E2854" i="1"/>
  <c r="G2854" i="1"/>
  <c r="H2854" i="1"/>
  <c r="J2854" i="1"/>
  <c r="K2854" i="1"/>
  <c r="L2854" i="1"/>
  <c r="A2855" i="1"/>
  <c r="B2855" i="1"/>
  <c r="C2855" i="1"/>
  <c r="D2855" i="1"/>
  <c r="Q2855" i="1"/>
  <c r="R2855" i="1"/>
  <c r="E2855" i="1"/>
  <c r="G2855" i="1"/>
  <c r="H2855" i="1"/>
  <c r="J2855" i="1"/>
  <c r="K2855" i="1"/>
  <c r="L2855" i="1"/>
  <c r="A2856" i="1"/>
  <c r="B2856" i="1"/>
  <c r="C2856" i="1"/>
  <c r="D2856" i="1"/>
  <c r="Q2856" i="1"/>
  <c r="R2856" i="1"/>
  <c r="E2856" i="1"/>
  <c r="G2856" i="1"/>
  <c r="H2856" i="1"/>
  <c r="J2856" i="1"/>
  <c r="K2856" i="1"/>
  <c r="L2856" i="1"/>
  <c r="A2857" i="1"/>
  <c r="B2857" i="1"/>
  <c r="C2857" i="1"/>
  <c r="D2857" i="1"/>
  <c r="Q2857" i="1"/>
  <c r="R2857" i="1"/>
  <c r="E2857" i="1"/>
  <c r="G2857" i="1"/>
  <c r="H2857" i="1"/>
  <c r="J2857" i="1"/>
  <c r="K2857" i="1"/>
  <c r="L2857" i="1"/>
  <c r="A2858" i="1"/>
  <c r="B2858" i="1"/>
  <c r="C2858" i="1"/>
  <c r="D2858" i="1"/>
  <c r="Q2858" i="1"/>
  <c r="R2858" i="1"/>
  <c r="E2858" i="1"/>
  <c r="G2858" i="1"/>
  <c r="H2858" i="1"/>
  <c r="J2858" i="1"/>
  <c r="K2858" i="1"/>
  <c r="L2858" i="1"/>
  <c r="A2859" i="1"/>
  <c r="B2859" i="1"/>
  <c r="C2859" i="1"/>
  <c r="D2859" i="1"/>
  <c r="Q2859" i="1"/>
  <c r="R2859" i="1"/>
  <c r="E2859" i="1"/>
  <c r="G2859" i="1"/>
  <c r="H2859" i="1"/>
  <c r="J2859" i="1"/>
  <c r="K2859" i="1"/>
  <c r="L2859" i="1"/>
  <c r="A2860" i="1"/>
  <c r="B2860" i="1"/>
  <c r="C2860" i="1"/>
  <c r="D2860" i="1"/>
  <c r="Q2860" i="1"/>
  <c r="R2860" i="1"/>
  <c r="E2860" i="1"/>
  <c r="G2860" i="1"/>
  <c r="H2860" i="1"/>
  <c r="J2860" i="1"/>
  <c r="K2860" i="1"/>
  <c r="L2860" i="1"/>
  <c r="A2861" i="1"/>
  <c r="B2861" i="1"/>
  <c r="C2861" i="1"/>
  <c r="D2861" i="1"/>
  <c r="Q2861" i="1"/>
  <c r="R2861" i="1"/>
  <c r="E2861" i="1"/>
  <c r="G2861" i="1"/>
  <c r="H2861" i="1"/>
  <c r="J2861" i="1"/>
  <c r="K2861" i="1"/>
  <c r="L2861" i="1"/>
  <c r="A2862" i="1"/>
  <c r="B2862" i="1"/>
  <c r="C2862" i="1"/>
  <c r="D2862" i="1"/>
  <c r="Q2862" i="1"/>
  <c r="R2862" i="1"/>
  <c r="E2862" i="1"/>
  <c r="G2862" i="1"/>
  <c r="H2862" i="1"/>
  <c r="J2862" i="1"/>
  <c r="K2862" i="1"/>
  <c r="L2862" i="1"/>
  <c r="A2863" i="1"/>
  <c r="B2863" i="1"/>
  <c r="C2863" i="1"/>
  <c r="D2863" i="1"/>
  <c r="Q2863" i="1"/>
  <c r="R2863" i="1"/>
  <c r="E2863" i="1"/>
  <c r="G2863" i="1"/>
  <c r="H2863" i="1"/>
  <c r="J2863" i="1"/>
  <c r="K2863" i="1"/>
  <c r="L2863" i="1"/>
  <c r="A2864" i="1"/>
  <c r="B2864" i="1"/>
  <c r="C2864" i="1"/>
  <c r="D2864" i="1"/>
  <c r="Q2864" i="1"/>
  <c r="R2864" i="1"/>
  <c r="E2864" i="1"/>
  <c r="G2864" i="1"/>
  <c r="H2864" i="1"/>
  <c r="J2864" i="1"/>
  <c r="K2864" i="1"/>
  <c r="L2864" i="1"/>
  <c r="A2865" i="1"/>
  <c r="B2865" i="1"/>
  <c r="C2865" i="1"/>
  <c r="D2865" i="1"/>
  <c r="Q2865" i="1"/>
  <c r="R2865" i="1"/>
  <c r="E2865" i="1"/>
  <c r="G2865" i="1"/>
  <c r="H2865" i="1"/>
  <c r="J2865" i="1"/>
  <c r="K2865" i="1"/>
  <c r="L2865" i="1"/>
  <c r="A2866" i="1"/>
  <c r="B2866" i="1"/>
  <c r="C2866" i="1"/>
  <c r="D2866" i="1"/>
  <c r="Q2866" i="1"/>
  <c r="R2866" i="1"/>
  <c r="E2866" i="1"/>
  <c r="G2866" i="1"/>
  <c r="H2866" i="1"/>
  <c r="J2866" i="1"/>
  <c r="K2866" i="1"/>
  <c r="L2866" i="1"/>
  <c r="A2867" i="1"/>
  <c r="B2867" i="1"/>
  <c r="C2867" i="1"/>
  <c r="D2867" i="1"/>
  <c r="Q2867" i="1"/>
  <c r="R2867" i="1"/>
  <c r="E2867" i="1"/>
  <c r="G2867" i="1"/>
  <c r="H2867" i="1"/>
  <c r="J2867" i="1"/>
  <c r="K2867" i="1"/>
  <c r="L2867" i="1"/>
  <c r="A2868" i="1"/>
  <c r="B2868" i="1"/>
  <c r="C2868" i="1"/>
  <c r="D2868" i="1"/>
  <c r="Q2868" i="1"/>
  <c r="R2868" i="1"/>
  <c r="E2868" i="1"/>
  <c r="G2868" i="1"/>
  <c r="H2868" i="1"/>
  <c r="J2868" i="1"/>
  <c r="K2868" i="1"/>
  <c r="L2868" i="1"/>
  <c r="A2869" i="1"/>
  <c r="B2869" i="1"/>
  <c r="C2869" i="1"/>
  <c r="D2869" i="1"/>
  <c r="Q2869" i="1"/>
  <c r="R2869" i="1"/>
  <c r="E2869" i="1"/>
  <c r="G2869" i="1"/>
  <c r="H2869" i="1"/>
  <c r="J2869" i="1"/>
  <c r="K2869" i="1"/>
  <c r="L2869" i="1"/>
  <c r="A2870" i="1"/>
  <c r="B2870" i="1"/>
  <c r="C2870" i="1"/>
  <c r="D2870" i="1"/>
  <c r="Q2870" i="1"/>
  <c r="R2870" i="1"/>
  <c r="E2870" i="1"/>
  <c r="G2870" i="1"/>
  <c r="H2870" i="1"/>
  <c r="J2870" i="1"/>
  <c r="K2870" i="1"/>
  <c r="L2870" i="1"/>
  <c r="A2871" i="1"/>
  <c r="B2871" i="1"/>
  <c r="C2871" i="1"/>
  <c r="D2871" i="1"/>
  <c r="Q2871" i="1"/>
  <c r="R2871" i="1"/>
  <c r="E2871" i="1"/>
  <c r="G2871" i="1"/>
  <c r="H2871" i="1"/>
  <c r="J2871" i="1"/>
  <c r="K2871" i="1"/>
  <c r="L2871" i="1"/>
  <c r="A2872" i="1"/>
  <c r="B2872" i="1"/>
  <c r="C2872" i="1"/>
  <c r="D2872" i="1"/>
  <c r="Q2872" i="1"/>
  <c r="R2872" i="1"/>
  <c r="E2872" i="1"/>
  <c r="G2872" i="1"/>
  <c r="H2872" i="1"/>
  <c r="J2872" i="1"/>
  <c r="K2872" i="1"/>
  <c r="L2872" i="1"/>
  <c r="A2873" i="1"/>
  <c r="B2873" i="1"/>
  <c r="C2873" i="1"/>
  <c r="D2873" i="1"/>
  <c r="Q2873" i="1"/>
  <c r="R2873" i="1"/>
  <c r="E2873" i="1"/>
  <c r="G2873" i="1"/>
  <c r="H2873" i="1"/>
  <c r="J2873" i="1"/>
  <c r="K2873" i="1"/>
  <c r="L2873" i="1"/>
  <c r="A2874" i="1"/>
  <c r="B2874" i="1"/>
  <c r="C2874" i="1"/>
  <c r="D2874" i="1"/>
  <c r="Q2874" i="1"/>
  <c r="R2874" i="1"/>
  <c r="E2874" i="1"/>
  <c r="G2874" i="1"/>
  <c r="H2874" i="1"/>
  <c r="J2874" i="1"/>
  <c r="K2874" i="1"/>
  <c r="L2874" i="1"/>
  <c r="A2875" i="1"/>
  <c r="B2875" i="1"/>
  <c r="C2875" i="1"/>
  <c r="D2875" i="1"/>
  <c r="Q2875" i="1"/>
  <c r="R2875" i="1"/>
  <c r="E2875" i="1"/>
  <c r="G2875" i="1"/>
  <c r="H2875" i="1"/>
  <c r="J2875" i="1"/>
  <c r="K2875" i="1"/>
  <c r="L2875" i="1"/>
  <c r="A2876" i="1"/>
  <c r="B2876" i="1"/>
  <c r="C2876" i="1"/>
  <c r="D2876" i="1"/>
  <c r="Q2876" i="1"/>
  <c r="R2876" i="1"/>
  <c r="E2876" i="1"/>
  <c r="G2876" i="1"/>
  <c r="H2876" i="1"/>
  <c r="J2876" i="1"/>
  <c r="K2876" i="1"/>
  <c r="L2876" i="1"/>
  <c r="A2877" i="1"/>
  <c r="B2877" i="1"/>
  <c r="C2877" i="1"/>
  <c r="D2877" i="1"/>
  <c r="Q2877" i="1"/>
  <c r="R2877" i="1"/>
  <c r="E2877" i="1"/>
  <c r="G2877" i="1"/>
  <c r="H2877" i="1"/>
  <c r="J2877" i="1"/>
  <c r="K2877" i="1"/>
  <c r="L2877" i="1"/>
  <c r="A2878" i="1"/>
  <c r="B2878" i="1"/>
  <c r="C2878" i="1"/>
  <c r="D2878" i="1"/>
  <c r="Q2878" i="1"/>
  <c r="R2878" i="1"/>
  <c r="E2878" i="1"/>
  <c r="G2878" i="1"/>
  <c r="H2878" i="1"/>
  <c r="J2878" i="1"/>
  <c r="K2878" i="1"/>
  <c r="L2878" i="1"/>
  <c r="A2879" i="1"/>
  <c r="B2879" i="1"/>
  <c r="C2879" i="1"/>
  <c r="D2879" i="1"/>
  <c r="Q2879" i="1"/>
  <c r="R2879" i="1"/>
  <c r="E2879" i="1"/>
  <c r="G2879" i="1"/>
  <c r="H2879" i="1"/>
  <c r="J2879" i="1"/>
  <c r="K2879" i="1"/>
  <c r="L2879" i="1"/>
  <c r="A2880" i="1"/>
  <c r="B2880" i="1"/>
  <c r="C2880" i="1"/>
  <c r="D2880" i="1"/>
  <c r="Q2880" i="1"/>
  <c r="R2880" i="1"/>
  <c r="E2880" i="1"/>
  <c r="G2880" i="1"/>
  <c r="H2880" i="1"/>
  <c r="J2880" i="1"/>
  <c r="K2880" i="1"/>
  <c r="L2880" i="1"/>
  <c r="A2881" i="1"/>
  <c r="B2881" i="1"/>
  <c r="C2881" i="1"/>
  <c r="D2881" i="1"/>
  <c r="Q2881" i="1"/>
  <c r="R2881" i="1"/>
  <c r="E2881" i="1"/>
  <c r="G2881" i="1"/>
  <c r="H2881" i="1"/>
  <c r="J2881" i="1"/>
  <c r="K2881" i="1"/>
  <c r="L2881" i="1"/>
  <c r="A2882" i="1"/>
  <c r="B2882" i="1"/>
  <c r="C2882" i="1"/>
  <c r="D2882" i="1"/>
  <c r="Q2882" i="1"/>
  <c r="R2882" i="1"/>
  <c r="E2882" i="1"/>
  <c r="G2882" i="1"/>
  <c r="H2882" i="1"/>
  <c r="J2882" i="1"/>
  <c r="K2882" i="1"/>
  <c r="L2882" i="1"/>
  <c r="A2883" i="1"/>
  <c r="B2883" i="1"/>
  <c r="C2883" i="1"/>
  <c r="D2883" i="1"/>
  <c r="Q2883" i="1"/>
  <c r="R2883" i="1"/>
  <c r="E2883" i="1"/>
  <c r="G2883" i="1"/>
  <c r="H2883" i="1"/>
  <c r="J2883" i="1"/>
  <c r="K2883" i="1"/>
  <c r="L2883" i="1"/>
  <c r="A2884" i="1"/>
  <c r="B2884" i="1"/>
  <c r="C2884" i="1"/>
  <c r="D2884" i="1"/>
  <c r="Q2884" i="1"/>
  <c r="R2884" i="1"/>
  <c r="E2884" i="1"/>
  <c r="G2884" i="1"/>
  <c r="H2884" i="1"/>
  <c r="J2884" i="1"/>
  <c r="K2884" i="1"/>
  <c r="L2884" i="1"/>
  <c r="A2885" i="1"/>
  <c r="B2885" i="1"/>
  <c r="C2885" i="1"/>
  <c r="D2885" i="1"/>
  <c r="Q2885" i="1"/>
  <c r="R2885" i="1"/>
  <c r="E2885" i="1"/>
  <c r="G2885" i="1"/>
  <c r="H2885" i="1"/>
  <c r="J2885" i="1"/>
  <c r="K2885" i="1"/>
  <c r="L2885" i="1"/>
  <c r="A2886" i="1"/>
  <c r="B2886" i="1"/>
  <c r="C2886" i="1"/>
  <c r="D2886" i="1"/>
  <c r="Q2886" i="1"/>
  <c r="R2886" i="1"/>
  <c r="E2886" i="1"/>
  <c r="G2886" i="1"/>
  <c r="H2886" i="1"/>
  <c r="J2886" i="1"/>
  <c r="K2886" i="1"/>
  <c r="L2886" i="1"/>
  <c r="A2887" i="1"/>
  <c r="B2887" i="1"/>
  <c r="C2887" i="1"/>
  <c r="D2887" i="1"/>
  <c r="Q2887" i="1"/>
  <c r="R2887" i="1"/>
  <c r="E2887" i="1"/>
  <c r="G2887" i="1"/>
  <c r="H2887" i="1"/>
  <c r="J2887" i="1"/>
  <c r="K2887" i="1"/>
  <c r="L2887" i="1"/>
  <c r="A2888" i="1"/>
  <c r="B2888" i="1"/>
  <c r="C2888" i="1"/>
  <c r="D2888" i="1"/>
  <c r="Q2888" i="1"/>
  <c r="R2888" i="1"/>
  <c r="E2888" i="1"/>
  <c r="G2888" i="1"/>
  <c r="H2888" i="1"/>
  <c r="J2888" i="1"/>
  <c r="K2888" i="1"/>
  <c r="L2888" i="1"/>
  <c r="A2889" i="1"/>
  <c r="B2889" i="1"/>
  <c r="C2889" i="1"/>
  <c r="D2889" i="1"/>
  <c r="Q2889" i="1"/>
  <c r="R2889" i="1"/>
  <c r="E2889" i="1"/>
  <c r="G2889" i="1"/>
  <c r="H2889" i="1"/>
  <c r="J2889" i="1"/>
  <c r="K2889" i="1"/>
  <c r="L2889" i="1"/>
  <c r="A2890" i="1"/>
  <c r="B2890" i="1"/>
  <c r="C2890" i="1"/>
  <c r="D2890" i="1"/>
  <c r="Q2890" i="1"/>
  <c r="R2890" i="1"/>
  <c r="E2890" i="1"/>
  <c r="G2890" i="1"/>
  <c r="H2890" i="1"/>
  <c r="J2890" i="1"/>
  <c r="K2890" i="1"/>
  <c r="L2890" i="1"/>
  <c r="A2891" i="1"/>
  <c r="B2891" i="1"/>
  <c r="C2891" i="1"/>
  <c r="D2891" i="1"/>
  <c r="Q2891" i="1"/>
  <c r="R2891" i="1"/>
  <c r="E2891" i="1"/>
  <c r="G2891" i="1"/>
  <c r="H2891" i="1"/>
  <c r="J2891" i="1"/>
  <c r="K2891" i="1"/>
  <c r="L2891" i="1"/>
  <c r="A2892" i="1"/>
  <c r="B2892" i="1"/>
  <c r="C2892" i="1"/>
  <c r="D2892" i="1"/>
  <c r="Q2892" i="1"/>
  <c r="R2892" i="1"/>
  <c r="E2892" i="1"/>
  <c r="G2892" i="1"/>
  <c r="H2892" i="1"/>
  <c r="J2892" i="1"/>
  <c r="K2892" i="1"/>
  <c r="L2892" i="1"/>
  <c r="A2893" i="1"/>
  <c r="B2893" i="1"/>
  <c r="C2893" i="1"/>
  <c r="D2893" i="1"/>
  <c r="Q2893" i="1"/>
  <c r="R2893" i="1"/>
  <c r="E2893" i="1"/>
  <c r="G2893" i="1"/>
  <c r="H2893" i="1"/>
  <c r="J2893" i="1"/>
  <c r="K2893" i="1"/>
  <c r="L2893" i="1"/>
  <c r="A2894" i="1"/>
  <c r="B2894" i="1"/>
  <c r="C2894" i="1"/>
  <c r="D2894" i="1"/>
  <c r="Q2894" i="1"/>
  <c r="R2894" i="1"/>
  <c r="E2894" i="1"/>
  <c r="G2894" i="1"/>
  <c r="H2894" i="1"/>
  <c r="J2894" i="1"/>
  <c r="K2894" i="1"/>
  <c r="L2894" i="1"/>
  <c r="A2895" i="1"/>
  <c r="B2895" i="1"/>
  <c r="C2895" i="1"/>
  <c r="D2895" i="1"/>
  <c r="Q2895" i="1"/>
  <c r="R2895" i="1"/>
  <c r="E2895" i="1"/>
  <c r="G2895" i="1"/>
  <c r="H2895" i="1"/>
  <c r="J2895" i="1"/>
  <c r="K2895" i="1"/>
  <c r="L2895" i="1"/>
  <c r="A2896" i="1"/>
  <c r="B2896" i="1"/>
  <c r="C2896" i="1"/>
  <c r="D2896" i="1"/>
  <c r="Q2896" i="1"/>
  <c r="R2896" i="1"/>
  <c r="E2896" i="1"/>
  <c r="G2896" i="1"/>
  <c r="H2896" i="1"/>
  <c r="J2896" i="1"/>
  <c r="K2896" i="1"/>
  <c r="L2896" i="1"/>
  <c r="A2897" i="1"/>
  <c r="B2897" i="1"/>
  <c r="C2897" i="1"/>
  <c r="D2897" i="1"/>
  <c r="Q2897" i="1"/>
  <c r="R2897" i="1"/>
  <c r="E2897" i="1"/>
  <c r="G2897" i="1"/>
  <c r="H2897" i="1"/>
  <c r="J2897" i="1"/>
  <c r="K2897" i="1"/>
  <c r="L2897" i="1"/>
  <c r="A2898" i="1"/>
  <c r="B2898" i="1"/>
  <c r="C2898" i="1"/>
  <c r="D2898" i="1"/>
  <c r="Q2898" i="1"/>
  <c r="R2898" i="1"/>
  <c r="E2898" i="1"/>
  <c r="G2898" i="1"/>
  <c r="H2898" i="1"/>
  <c r="J2898" i="1"/>
  <c r="K2898" i="1"/>
  <c r="L2898" i="1"/>
  <c r="A2899" i="1"/>
  <c r="B2899" i="1"/>
  <c r="C2899" i="1"/>
  <c r="D2899" i="1"/>
  <c r="Q2899" i="1"/>
  <c r="R2899" i="1"/>
  <c r="E2899" i="1"/>
  <c r="G2899" i="1"/>
  <c r="H2899" i="1"/>
  <c r="J2899" i="1"/>
  <c r="K2899" i="1"/>
  <c r="L2899" i="1"/>
  <c r="A2900" i="1"/>
  <c r="B2900" i="1"/>
  <c r="C2900" i="1"/>
  <c r="D2900" i="1"/>
  <c r="Q2900" i="1"/>
  <c r="R2900" i="1"/>
  <c r="E2900" i="1"/>
  <c r="G2900" i="1"/>
  <c r="H2900" i="1"/>
  <c r="J2900" i="1"/>
  <c r="K2900" i="1"/>
  <c r="L2900" i="1"/>
  <c r="A2901" i="1"/>
  <c r="B2901" i="1"/>
  <c r="C2901" i="1"/>
  <c r="D2901" i="1"/>
  <c r="Q2901" i="1"/>
  <c r="R2901" i="1"/>
  <c r="E2901" i="1"/>
  <c r="G2901" i="1"/>
  <c r="H2901" i="1"/>
  <c r="J2901" i="1"/>
  <c r="K2901" i="1"/>
  <c r="L2901" i="1"/>
  <c r="A2902" i="1"/>
  <c r="B2902" i="1"/>
  <c r="C2902" i="1"/>
  <c r="D2902" i="1"/>
  <c r="Q2902" i="1"/>
  <c r="R2902" i="1"/>
  <c r="E2902" i="1"/>
  <c r="G2902" i="1"/>
  <c r="H2902" i="1"/>
  <c r="J2902" i="1"/>
  <c r="K2902" i="1"/>
  <c r="L2902" i="1"/>
  <c r="A2903" i="1"/>
  <c r="B2903" i="1"/>
  <c r="C2903" i="1"/>
  <c r="D2903" i="1"/>
  <c r="Q2903" i="1"/>
  <c r="R2903" i="1"/>
  <c r="E2903" i="1"/>
  <c r="G2903" i="1"/>
  <c r="H2903" i="1"/>
  <c r="J2903" i="1"/>
  <c r="K2903" i="1"/>
  <c r="L2903" i="1"/>
  <c r="A2904" i="1"/>
  <c r="B2904" i="1"/>
  <c r="C2904" i="1"/>
  <c r="D2904" i="1"/>
  <c r="Q2904" i="1"/>
  <c r="R2904" i="1"/>
  <c r="E2904" i="1"/>
  <c r="G2904" i="1"/>
  <c r="H2904" i="1"/>
  <c r="J2904" i="1"/>
  <c r="K2904" i="1"/>
  <c r="L2904" i="1"/>
  <c r="A2905" i="1"/>
  <c r="B2905" i="1"/>
  <c r="C2905" i="1"/>
  <c r="D2905" i="1"/>
  <c r="Q2905" i="1"/>
  <c r="R2905" i="1"/>
  <c r="E2905" i="1"/>
  <c r="G2905" i="1"/>
  <c r="H2905" i="1"/>
  <c r="J2905" i="1"/>
  <c r="K2905" i="1"/>
  <c r="L2905" i="1"/>
  <c r="A2906" i="1"/>
  <c r="B2906" i="1"/>
  <c r="C2906" i="1"/>
  <c r="D2906" i="1"/>
  <c r="Q2906" i="1"/>
  <c r="R2906" i="1"/>
  <c r="E2906" i="1"/>
  <c r="G2906" i="1"/>
  <c r="H2906" i="1"/>
  <c r="J2906" i="1"/>
  <c r="K2906" i="1"/>
  <c r="L2906" i="1"/>
  <c r="A2907" i="1"/>
  <c r="B2907" i="1"/>
  <c r="C2907" i="1"/>
  <c r="D2907" i="1"/>
  <c r="Q2907" i="1"/>
  <c r="R2907" i="1"/>
  <c r="E2907" i="1"/>
  <c r="G2907" i="1"/>
  <c r="H2907" i="1"/>
  <c r="J2907" i="1"/>
  <c r="K2907" i="1"/>
  <c r="L2907" i="1"/>
  <c r="A2908" i="1"/>
  <c r="B2908" i="1"/>
  <c r="C2908" i="1"/>
  <c r="D2908" i="1"/>
  <c r="Q2908" i="1"/>
  <c r="R2908" i="1"/>
  <c r="E2908" i="1"/>
  <c r="G2908" i="1"/>
  <c r="H2908" i="1"/>
  <c r="J2908" i="1"/>
  <c r="K2908" i="1"/>
  <c r="L2908" i="1"/>
  <c r="A2909" i="1"/>
  <c r="B2909" i="1"/>
  <c r="C2909" i="1"/>
  <c r="D2909" i="1"/>
  <c r="Q2909" i="1"/>
  <c r="R2909" i="1"/>
  <c r="E2909" i="1"/>
  <c r="G2909" i="1"/>
  <c r="H2909" i="1"/>
  <c r="J2909" i="1"/>
  <c r="K2909" i="1"/>
  <c r="L2909" i="1"/>
  <c r="A2910" i="1"/>
  <c r="B2910" i="1"/>
  <c r="C2910" i="1"/>
  <c r="D2910" i="1"/>
  <c r="Q2910" i="1"/>
  <c r="R2910" i="1"/>
  <c r="E2910" i="1"/>
  <c r="G2910" i="1"/>
  <c r="H2910" i="1"/>
  <c r="J2910" i="1"/>
  <c r="K2910" i="1"/>
  <c r="L2910" i="1"/>
  <c r="A2911" i="1"/>
  <c r="B2911" i="1"/>
  <c r="C2911" i="1"/>
  <c r="D2911" i="1"/>
  <c r="Q2911" i="1"/>
  <c r="R2911" i="1"/>
  <c r="E2911" i="1"/>
  <c r="G2911" i="1"/>
  <c r="H2911" i="1"/>
  <c r="J2911" i="1"/>
  <c r="K2911" i="1"/>
  <c r="L2911" i="1"/>
  <c r="A2912" i="1"/>
  <c r="B2912" i="1"/>
  <c r="C2912" i="1"/>
  <c r="D2912" i="1"/>
  <c r="Q2912" i="1"/>
  <c r="R2912" i="1"/>
  <c r="E2912" i="1"/>
  <c r="G2912" i="1"/>
  <c r="H2912" i="1"/>
  <c r="J2912" i="1"/>
  <c r="K2912" i="1"/>
  <c r="L2912" i="1"/>
  <c r="A2913" i="1"/>
  <c r="B2913" i="1"/>
  <c r="C2913" i="1"/>
  <c r="D2913" i="1"/>
  <c r="Q2913" i="1"/>
  <c r="R2913" i="1"/>
  <c r="E2913" i="1"/>
  <c r="G2913" i="1"/>
  <c r="H2913" i="1"/>
  <c r="J2913" i="1"/>
  <c r="K2913" i="1"/>
  <c r="L2913" i="1"/>
  <c r="A2914" i="1"/>
  <c r="B2914" i="1"/>
  <c r="C2914" i="1"/>
  <c r="D2914" i="1"/>
  <c r="Q2914" i="1"/>
  <c r="R2914" i="1"/>
  <c r="E2914" i="1"/>
  <c r="G2914" i="1"/>
  <c r="H2914" i="1"/>
  <c r="J2914" i="1"/>
  <c r="K2914" i="1"/>
  <c r="L2914" i="1"/>
  <c r="A2915" i="1"/>
  <c r="B2915" i="1"/>
  <c r="C2915" i="1"/>
  <c r="D2915" i="1"/>
  <c r="Q2915" i="1"/>
  <c r="R2915" i="1"/>
  <c r="E2915" i="1"/>
  <c r="G2915" i="1"/>
  <c r="H2915" i="1"/>
  <c r="J2915" i="1"/>
  <c r="K2915" i="1"/>
  <c r="L2915" i="1"/>
  <c r="A2916" i="1"/>
  <c r="B2916" i="1"/>
  <c r="C2916" i="1"/>
  <c r="D2916" i="1"/>
  <c r="Q2916" i="1"/>
  <c r="R2916" i="1"/>
  <c r="E2916" i="1"/>
  <c r="G2916" i="1"/>
  <c r="H2916" i="1"/>
  <c r="J2916" i="1"/>
  <c r="K2916" i="1"/>
  <c r="L2916" i="1"/>
  <c r="A2917" i="1"/>
  <c r="B2917" i="1"/>
  <c r="C2917" i="1"/>
  <c r="D2917" i="1"/>
  <c r="Q2917" i="1"/>
  <c r="R2917" i="1"/>
  <c r="E2917" i="1"/>
  <c r="G2917" i="1"/>
  <c r="H2917" i="1"/>
  <c r="J2917" i="1"/>
  <c r="K2917" i="1"/>
  <c r="L2917" i="1"/>
  <c r="A2918" i="1"/>
  <c r="B2918" i="1"/>
  <c r="C2918" i="1"/>
  <c r="D2918" i="1"/>
  <c r="Q2918" i="1"/>
  <c r="R2918" i="1"/>
  <c r="E2918" i="1"/>
  <c r="G2918" i="1"/>
  <c r="H2918" i="1"/>
  <c r="J2918" i="1"/>
  <c r="K2918" i="1"/>
  <c r="L2918" i="1"/>
  <c r="A2919" i="1"/>
  <c r="B2919" i="1"/>
  <c r="C2919" i="1"/>
  <c r="D2919" i="1"/>
  <c r="Q2919" i="1"/>
  <c r="R2919" i="1"/>
  <c r="E2919" i="1"/>
  <c r="G2919" i="1"/>
  <c r="H2919" i="1"/>
  <c r="J2919" i="1"/>
  <c r="K2919" i="1"/>
  <c r="L2919" i="1"/>
  <c r="A2920" i="1"/>
  <c r="B2920" i="1"/>
  <c r="C2920" i="1"/>
  <c r="D2920" i="1"/>
  <c r="Q2920" i="1"/>
  <c r="R2920" i="1"/>
  <c r="E2920" i="1"/>
  <c r="G2920" i="1"/>
  <c r="H2920" i="1"/>
  <c r="J2920" i="1"/>
  <c r="K2920" i="1"/>
  <c r="L2920" i="1"/>
  <c r="A2921" i="1"/>
  <c r="B2921" i="1"/>
  <c r="C2921" i="1"/>
  <c r="D2921" i="1"/>
  <c r="Q2921" i="1"/>
  <c r="R2921" i="1"/>
  <c r="E2921" i="1"/>
  <c r="G2921" i="1"/>
  <c r="H2921" i="1"/>
  <c r="J2921" i="1"/>
  <c r="K2921" i="1"/>
  <c r="L2921" i="1"/>
  <c r="A2922" i="1"/>
  <c r="B2922" i="1"/>
  <c r="C2922" i="1"/>
  <c r="D2922" i="1"/>
  <c r="Q2922" i="1"/>
  <c r="R2922" i="1"/>
  <c r="E2922" i="1"/>
  <c r="G2922" i="1"/>
  <c r="H2922" i="1"/>
  <c r="J2922" i="1"/>
  <c r="K2922" i="1"/>
  <c r="L2922" i="1"/>
  <c r="A2923" i="1"/>
  <c r="B2923" i="1"/>
  <c r="C2923" i="1"/>
  <c r="D2923" i="1"/>
  <c r="Q2923" i="1"/>
  <c r="R2923" i="1"/>
  <c r="E2923" i="1"/>
  <c r="G2923" i="1"/>
  <c r="H2923" i="1"/>
  <c r="J2923" i="1"/>
  <c r="K2923" i="1"/>
  <c r="L2923" i="1"/>
  <c r="A2924" i="1"/>
  <c r="B2924" i="1"/>
  <c r="C2924" i="1"/>
  <c r="D2924" i="1"/>
  <c r="Q2924" i="1"/>
  <c r="R2924" i="1"/>
  <c r="E2924" i="1"/>
  <c r="G2924" i="1"/>
  <c r="H2924" i="1"/>
  <c r="J2924" i="1"/>
  <c r="K2924" i="1"/>
  <c r="L2924" i="1"/>
  <c r="A2925" i="1"/>
  <c r="B2925" i="1"/>
  <c r="C2925" i="1"/>
  <c r="D2925" i="1"/>
  <c r="Q2925" i="1"/>
  <c r="R2925" i="1"/>
  <c r="E2925" i="1"/>
  <c r="G2925" i="1"/>
  <c r="H2925" i="1"/>
  <c r="J2925" i="1"/>
  <c r="K2925" i="1"/>
  <c r="L2925" i="1"/>
  <c r="A2926" i="1"/>
  <c r="B2926" i="1"/>
  <c r="C2926" i="1"/>
  <c r="D2926" i="1"/>
  <c r="Q2926" i="1"/>
  <c r="R2926" i="1"/>
  <c r="E2926" i="1"/>
  <c r="G2926" i="1"/>
  <c r="H2926" i="1"/>
  <c r="J2926" i="1"/>
  <c r="K2926" i="1"/>
  <c r="L2926" i="1"/>
  <c r="A2927" i="1"/>
  <c r="B2927" i="1"/>
  <c r="C2927" i="1"/>
  <c r="D2927" i="1"/>
  <c r="Q2927" i="1"/>
  <c r="R2927" i="1"/>
  <c r="E2927" i="1"/>
  <c r="G2927" i="1"/>
  <c r="H2927" i="1"/>
  <c r="J2927" i="1"/>
  <c r="K2927" i="1"/>
  <c r="L2927" i="1"/>
  <c r="A2928" i="1"/>
  <c r="B2928" i="1"/>
  <c r="C2928" i="1"/>
  <c r="D2928" i="1"/>
  <c r="Q2928" i="1"/>
  <c r="R2928" i="1"/>
  <c r="E2928" i="1"/>
  <c r="G2928" i="1"/>
  <c r="H2928" i="1"/>
  <c r="J2928" i="1"/>
  <c r="K2928" i="1"/>
  <c r="L2928" i="1"/>
  <c r="A2929" i="1"/>
  <c r="B2929" i="1"/>
  <c r="C2929" i="1"/>
  <c r="D2929" i="1"/>
  <c r="Q2929" i="1"/>
  <c r="R2929" i="1"/>
  <c r="E2929" i="1"/>
  <c r="G2929" i="1"/>
  <c r="H2929" i="1"/>
  <c r="J2929" i="1"/>
  <c r="K2929" i="1"/>
  <c r="L2929" i="1"/>
  <c r="A2930" i="1"/>
  <c r="B2930" i="1"/>
  <c r="C2930" i="1"/>
  <c r="D2930" i="1"/>
  <c r="Q2930" i="1"/>
  <c r="R2930" i="1"/>
  <c r="E2930" i="1"/>
  <c r="G2930" i="1"/>
  <c r="H2930" i="1"/>
  <c r="J2930" i="1"/>
  <c r="K2930" i="1"/>
  <c r="L2930" i="1"/>
  <c r="A2931" i="1"/>
  <c r="B2931" i="1"/>
  <c r="C2931" i="1"/>
  <c r="D2931" i="1"/>
  <c r="Q2931" i="1"/>
  <c r="R2931" i="1"/>
  <c r="E2931" i="1"/>
  <c r="G2931" i="1"/>
  <c r="H2931" i="1"/>
  <c r="J2931" i="1"/>
  <c r="K2931" i="1"/>
  <c r="L2931" i="1"/>
  <c r="A2932" i="1"/>
  <c r="B2932" i="1"/>
  <c r="C2932" i="1"/>
  <c r="D2932" i="1"/>
  <c r="Q2932" i="1"/>
  <c r="R2932" i="1"/>
  <c r="E2932" i="1"/>
  <c r="G2932" i="1"/>
  <c r="H2932" i="1"/>
  <c r="J2932" i="1"/>
  <c r="K2932" i="1"/>
  <c r="L2932" i="1"/>
  <c r="A2933" i="1"/>
  <c r="B2933" i="1"/>
  <c r="C2933" i="1"/>
  <c r="D2933" i="1"/>
  <c r="Q2933" i="1"/>
  <c r="R2933" i="1"/>
  <c r="E2933" i="1"/>
  <c r="G2933" i="1"/>
  <c r="H2933" i="1"/>
  <c r="J2933" i="1"/>
  <c r="K2933" i="1"/>
  <c r="L2933" i="1"/>
  <c r="A2934" i="1"/>
  <c r="B2934" i="1"/>
  <c r="C2934" i="1"/>
  <c r="D2934" i="1"/>
  <c r="Q2934" i="1"/>
  <c r="R2934" i="1"/>
  <c r="E2934" i="1"/>
  <c r="G2934" i="1"/>
  <c r="H2934" i="1"/>
  <c r="J2934" i="1"/>
  <c r="K2934" i="1"/>
  <c r="L2934" i="1"/>
  <c r="A2935" i="1"/>
  <c r="B2935" i="1"/>
  <c r="C2935" i="1"/>
  <c r="D2935" i="1"/>
  <c r="Q2935" i="1"/>
  <c r="R2935" i="1"/>
  <c r="E2935" i="1"/>
  <c r="G2935" i="1"/>
  <c r="H2935" i="1"/>
  <c r="J2935" i="1"/>
  <c r="K2935" i="1"/>
  <c r="L2935" i="1"/>
  <c r="A2936" i="1"/>
  <c r="B2936" i="1"/>
  <c r="C2936" i="1"/>
  <c r="D2936" i="1"/>
  <c r="Q2936" i="1"/>
  <c r="R2936" i="1"/>
  <c r="E2936" i="1"/>
  <c r="G2936" i="1"/>
  <c r="H2936" i="1"/>
  <c r="J2936" i="1"/>
  <c r="K2936" i="1"/>
  <c r="L2936" i="1"/>
  <c r="A2937" i="1"/>
  <c r="B2937" i="1"/>
  <c r="C2937" i="1"/>
  <c r="D2937" i="1"/>
  <c r="Q2937" i="1"/>
  <c r="R2937" i="1"/>
  <c r="E2937" i="1"/>
  <c r="G2937" i="1"/>
  <c r="H2937" i="1"/>
  <c r="J2937" i="1"/>
  <c r="K2937" i="1"/>
  <c r="L2937" i="1"/>
  <c r="A2938" i="1"/>
  <c r="B2938" i="1"/>
  <c r="C2938" i="1"/>
  <c r="D2938" i="1"/>
  <c r="Q2938" i="1"/>
  <c r="R2938" i="1"/>
  <c r="E2938" i="1"/>
  <c r="G2938" i="1"/>
  <c r="H2938" i="1"/>
  <c r="J2938" i="1"/>
  <c r="K2938" i="1"/>
  <c r="L2938" i="1"/>
  <c r="A2939" i="1"/>
  <c r="B2939" i="1"/>
  <c r="C2939" i="1"/>
  <c r="D2939" i="1"/>
  <c r="Q2939" i="1"/>
  <c r="R2939" i="1"/>
  <c r="E2939" i="1"/>
  <c r="G2939" i="1"/>
  <c r="H2939" i="1"/>
  <c r="J2939" i="1"/>
  <c r="K2939" i="1"/>
  <c r="L2939" i="1"/>
  <c r="A2940" i="1"/>
  <c r="B2940" i="1"/>
  <c r="C2940" i="1"/>
  <c r="D2940" i="1"/>
  <c r="Q2940" i="1"/>
  <c r="R2940" i="1"/>
  <c r="E2940" i="1"/>
  <c r="G2940" i="1"/>
  <c r="H2940" i="1"/>
  <c r="J2940" i="1"/>
  <c r="K2940" i="1"/>
  <c r="L2940" i="1"/>
  <c r="A2941" i="1"/>
  <c r="B2941" i="1"/>
  <c r="C2941" i="1"/>
  <c r="D2941" i="1"/>
  <c r="Q2941" i="1"/>
  <c r="R2941" i="1"/>
  <c r="E2941" i="1"/>
  <c r="G2941" i="1"/>
  <c r="H2941" i="1"/>
  <c r="J2941" i="1"/>
  <c r="K2941" i="1"/>
  <c r="L2941" i="1"/>
  <c r="A2942" i="1"/>
  <c r="B2942" i="1"/>
  <c r="C2942" i="1"/>
  <c r="D2942" i="1"/>
  <c r="Q2942" i="1"/>
  <c r="R2942" i="1"/>
  <c r="E2942" i="1"/>
  <c r="G2942" i="1"/>
  <c r="H2942" i="1"/>
  <c r="J2942" i="1"/>
  <c r="K2942" i="1"/>
  <c r="L2942" i="1"/>
  <c r="A2943" i="1"/>
  <c r="B2943" i="1"/>
  <c r="C2943" i="1"/>
  <c r="D2943" i="1"/>
  <c r="Q2943" i="1"/>
  <c r="R2943" i="1"/>
  <c r="E2943" i="1"/>
  <c r="G2943" i="1"/>
  <c r="H2943" i="1"/>
  <c r="J2943" i="1"/>
  <c r="K2943" i="1"/>
  <c r="L2943" i="1"/>
  <c r="A2944" i="1"/>
  <c r="B2944" i="1"/>
  <c r="C2944" i="1"/>
  <c r="D2944" i="1"/>
  <c r="Q2944" i="1"/>
  <c r="R2944" i="1"/>
  <c r="E2944" i="1"/>
  <c r="G2944" i="1"/>
  <c r="H2944" i="1"/>
  <c r="J2944" i="1"/>
  <c r="K2944" i="1"/>
  <c r="L2944" i="1"/>
  <c r="A2945" i="1"/>
  <c r="B2945" i="1"/>
  <c r="C2945" i="1"/>
  <c r="D2945" i="1"/>
  <c r="Q2945" i="1"/>
  <c r="R2945" i="1"/>
  <c r="E2945" i="1"/>
  <c r="G2945" i="1"/>
  <c r="H2945" i="1"/>
  <c r="J2945" i="1"/>
  <c r="K2945" i="1"/>
  <c r="L2945" i="1"/>
  <c r="A2946" i="1"/>
  <c r="B2946" i="1"/>
  <c r="C2946" i="1"/>
  <c r="D2946" i="1"/>
  <c r="Q2946" i="1"/>
  <c r="R2946" i="1"/>
  <c r="E2946" i="1"/>
  <c r="G2946" i="1"/>
  <c r="H2946" i="1"/>
  <c r="J2946" i="1"/>
  <c r="K2946" i="1"/>
  <c r="L2946" i="1"/>
  <c r="A2947" i="1"/>
  <c r="B2947" i="1"/>
  <c r="C2947" i="1"/>
  <c r="D2947" i="1"/>
  <c r="Q2947" i="1"/>
  <c r="R2947" i="1"/>
  <c r="E2947" i="1"/>
  <c r="G2947" i="1"/>
  <c r="H2947" i="1"/>
  <c r="J2947" i="1"/>
  <c r="K2947" i="1"/>
  <c r="L2947" i="1"/>
  <c r="A2948" i="1"/>
  <c r="B2948" i="1"/>
  <c r="C2948" i="1"/>
  <c r="D2948" i="1"/>
  <c r="Q2948" i="1"/>
  <c r="R2948" i="1"/>
  <c r="E2948" i="1"/>
  <c r="G2948" i="1"/>
  <c r="H2948" i="1"/>
  <c r="J2948" i="1"/>
  <c r="K2948" i="1"/>
  <c r="L2948" i="1"/>
  <c r="A2949" i="1"/>
  <c r="B2949" i="1"/>
  <c r="C2949" i="1"/>
  <c r="D2949" i="1"/>
  <c r="Q2949" i="1"/>
  <c r="R2949" i="1"/>
  <c r="E2949" i="1"/>
  <c r="G2949" i="1"/>
  <c r="H2949" i="1"/>
  <c r="J2949" i="1"/>
  <c r="K2949" i="1"/>
  <c r="L2949" i="1"/>
  <c r="A2950" i="1"/>
  <c r="B2950" i="1"/>
  <c r="C2950" i="1"/>
  <c r="D2950" i="1"/>
  <c r="Q2950" i="1"/>
  <c r="R2950" i="1"/>
  <c r="E2950" i="1"/>
  <c r="G2950" i="1"/>
  <c r="H2950" i="1"/>
  <c r="J2950" i="1"/>
  <c r="K2950" i="1"/>
  <c r="L2950" i="1"/>
  <c r="A2951" i="1"/>
  <c r="B2951" i="1"/>
  <c r="C2951" i="1"/>
  <c r="D2951" i="1"/>
  <c r="Q2951" i="1"/>
  <c r="R2951" i="1"/>
  <c r="E2951" i="1"/>
  <c r="G2951" i="1"/>
  <c r="H2951" i="1"/>
  <c r="J2951" i="1"/>
  <c r="K2951" i="1"/>
  <c r="L2951" i="1"/>
  <c r="A2952" i="1"/>
  <c r="B2952" i="1"/>
  <c r="C2952" i="1"/>
  <c r="D2952" i="1"/>
  <c r="Q2952" i="1"/>
  <c r="R2952" i="1"/>
  <c r="E2952" i="1"/>
  <c r="G2952" i="1"/>
  <c r="H2952" i="1"/>
  <c r="J2952" i="1"/>
  <c r="K2952" i="1"/>
  <c r="L2952" i="1"/>
  <c r="A2953" i="1"/>
  <c r="B2953" i="1"/>
  <c r="C2953" i="1"/>
  <c r="D2953" i="1"/>
  <c r="Q2953" i="1"/>
  <c r="R2953" i="1"/>
  <c r="E2953" i="1"/>
  <c r="G2953" i="1"/>
  <c r="H2953" i="1"/>
  <c r="J2953" i="1"/>
  <c r="K2953" i="1"/>
  <c r="L2953" i="1"/>
  <c r="A2954" i="1"/>
  <c r="B2954" i="1"/>
  <c r="C2954" i="1"/>
  <c r="D2954" i="1"/>
  <c r="Q2954" i="1"/>
  <c r="R2954" i="1"/>
  <c r="E2954" i="1"/>
  <c r="G2954" i="1"/>
  <c r="H2954" i="1"/>
  <c r="J2954" i="1"/>
  <c r="K2954" i="1"/>
  <c r="L2954" i="1"/>
  <c r="A2955" i="1"/>
  <c r="B2955" i="1"/>
  <c r="C2955" i="1"/>
  <c r="D2955" i="1"/>
  <c r="Q2955" i="1"/>
  <c r="R2955" i="1"/>
  <c r="E2955" i="1"/>
  <c r="G2955" i="1"/>
  <c r="H2955" i="1"/>
  <c r="J2955" i="1"/>
  <c r="K2955" i="1"/>
  <c r="L2955" i="1"/>
  <c r="A2956" i="1"/>
  <c r="B2956" i="1"/>
  <c r="C2956" i="1"/>
  <c r="D2956" i="1"/>
  <c r="Q2956" i="1"/>
  <c r="R2956" i="1"/>
  <c r="E2956" i="1"/>
  <c r="G2956" i="1"/>
  <c r="H2956" i="1"/>
  <c r="J2956" i="1"/>
  <c r="K2956" i="1"/>
  <c r="L2956" i="1"/>
  <c r="A2957" i="1"/>
  <c r="B2957" i="1"/>
  <c r="C2957" i="1"/>
  <c r="D2957" i="1"/>
  <c r="Q2957" i="1"/>
  <c r="R2957" i="1"/>
  <c r="E2957" i="1"/>
  <c r="G2957" i="1"/>
  <c r="H2957" i="1"/>
  <c r="J2957" i="1"/>
  <c r="K2957" i="1"/>
  <c r="L2957" i="1"/>
  <c r="A2958" i="1"/>
  <c r="B2958" i="1"/>
  <c r="C2958" i="1"/>
  <c r="D2958" i="1"/>
  <c r="Q2958" i="1"/>
  <c r="R2958" i="1"/>
  <c r="E2958" i="1"/>
  <c r="G2958" i="1"/>
  <c r="H2958" i="1"/>
  <c r="J2958" i="1"/>
  <c r="K2958" i="1"/>
  <c r="L2958" i="1"/>
  <c r="A2959" i="1"/>
  <c r="B2959" i="1"/>
  <c r="C2959" i="1"/>
  <c r="D2959" i="1"/>
  <c r="Q2959" i="1"/>
  <c r="R2959" i="1"/>
  <c r="E2959" i="1"/>
  <c r="G2959" i="1"/>
  <c r="H2959" i="1"/>
  <c r="J2959" i="1"/>
  <c r="K2959" i="1"/>
  <c r="L2959" i="1"/>
  <c r="A2960" i="1"/>
  <c r="B2960" i="1"/>
  <c r="C2960" i="1"/>
  <c r="D2960" i="1"/>
  <c r="Q2960" i="1"/>
  <c r="R2960" i="1"/>
  <c r="E2960" i="1"/>
  <c r="G2960" i="1"/>
  <c r="H2960" i="1"/>
  <c r="J2960" i="1"/>
  <c r="K2960" i="1"/>
  <c r="L2960" i="1"/>
  <c r="A2961" i="1"/>
  <c r="B2961" i="1"/>
  <c r="C2961" i="1"/>
  <c r="D2961" i="1"/>
  <c r="Q2961" i="1"/>
  <c r="R2961" i="1"/>
  <c r="E2961" i="1"/>
  <c r="G2961" i="1"/>
  <c r="H2961" i="1"/>
  <c r="J2961" i="1"/>
  <c r="K2961" i="1"/>
  <c r="L2961" i="1"/>
  <c r="A2962" i="1"/>
  <c r="B2962" i="1"/>
  <c r="C2962" i="1"/>
  <c r="D2962" i="1"/>
  <c r="Q2962" i="1"/>
  <c r="R2962" i="1"/>
  <c r="E2962" i="1"/>
  <c r="G2962" i="1"/>
  <c r="H2962" i="1"/>
  <c r="J2962" i="1"/>
  <c r="K2962" i="1"/>
  <c r="L2962" i="1"/>
  <c r="A2963" i="1"/>
  <c r="B2963" i="1"/>
  <c r="C2963" i="1"/>
  <c r="D2963" i="1"/>
  <c r="Q2963" i="1"/>
  <c r="R2963" i="1"/>
  <c r="E2963" i="1"/>
  <c r="G2963" i="1"/>
  <c r="H2963" i="1"/>
  <c r="J2963" i="1"/>
  <c r="K2963" i="1"/>
  <c r="L2963" i="1"/>
  <c r="A2964" i="1"/>
  <c r="B2964" i="1"/>
  <c r="C2964" i="1"/>
  <c r="D2964" i="1"/>
  <c r="Q2964" i="1"/>
  <c r="R2964" i="1"/>
  <c r="E2964" i="1"/>
  <c r="G2964" i="1"/>
  <c r="H2964" i="1"/>
  <c r="J2964" i="1"/>
  <c r="K2964" i="1"/>
  <c r="L2964" i="1"/>
  <c r="A2965" i="1"/>
  <c r="B2965" i="1"/>
  <c r="C2965" i="1"/>
  <c r="D2965" i="1"/>
  <c r="Q2965" i="1"/>
  <c r="R2965" i="1"/>
  <c r="E2965" i="1"/>
  <c r="G2965" i="1"/>
  <c r="H2965" i="1"/>
  <c r="J2965" i="1"/>
  <c r="K2965" i="1"/>
  <c r="L2965" i="1"/>
  <c r="A2966" i="1"/>
  <c r="B2966" i="1"/>
  <c r="C2966" i="1"/>
  <c r="D2966" i="1"/>
  <c r="Q2966" i="1"/>
  <c r="R2966" i="1"/>
  <c r="E2966" i="1"/>
  <c r="G2966" i="1"/>
  <c r="H2966" i="1"/>
  <c r="J2966" i="1"/>
  <c r="K2966" i="1"/>
  <c r="L2966" i="1"/>
  <c r="A2967" i="1"/>
  <c r="B2967" i="1"/>
  <c r="C2967" i="1"/>
  <c r="D2967" i="1"/>
  <c r="Q2967" i="1"/>
  <c r="R2967" i="1"/>
  <c r="E2967" i="1"/>
  <c r="G2967" i="1"/>
  <c r="H2967" i="1"/>
  <c r="J2967" i="1"/>
  <c r="K2967" i="1"/>
  <c r="L2967" i="1"/>
  <c r="A2968" i="1"/>
  <c r="B2968" i="1"/>
  <c r="C2968" i="1"/>
  <c r="D2968" i="1"/>
  <c r="Q2968" i="1"/>
  <c r="R2968" i="1"/>
  <c r="E2968" i="1"/>
  <c r="G2968" i="1"/>
  <c r="H2968" i="1"/>
  <c r="J2968" i="1"/>
  <c r="K2968" i="1"/>
  <c r="L2968" i="1"/>
  <c r="A2969" i="1"/>
  <c r="B2969" i="1"/>
  <c r="C2969" i="1"/>
  <c r="D2969" i="1"/>
  <c r="Q2969" i="1"/>
  <c r="R2969" i="1"/>
  <c r="E2969" i="1"/>
  <c r="G2969" i="1"/>
  <c r="H2969" i="1"/>
  <c r="J2969" i="1"/>
  <c r="K2969" i="1"/>
  <c r="L2969" i="1"/>
  <c r="A2970" i="1"/>
  <c r="B2970" i="1"/>
  <c r="C2970" i="1"/>
  <c r="D2970" i="1"/>
  <c r="Q2970" i="1"/>
  <c r="R2970" i="1"/>
  <c r="E2970" i="1"/>
  <c r="G2970" i="1"/>
  <c r="H2970" i="1"/>
  <c r="J2970" i="1"/>
  <c r="K2970" i="1"/>
  <c r="L2970" i="1"/>
  <c r="A2971" i="1"/>
  <c r="B2971" i="1"/>
  <c r="C2971" i="1"/>
  <c r="D2971" i="1"/>
  <c r="Q2971" i="1"/>
  <c r="R2971" i="1"/>
  <c r="E2971" i="1"/>
  <c r="G2971" i="1"/>
  <c r="H2971" i="1"/>
  <c r="J2971" i="1"/>
  <c r="K2971" i="1"/>
  <c r="L2971" i="1"/>
  <c r="A2972" i="1"/>
  <c r="B2972" i="1"/>
  <c r="C2972" i="1"/>
  <c r="D2972" i="1"/>
  <c r="Q2972" i="1"/>
  <c r="R2972" i="1"/>
  <c r="E2972" i="1"/>
  <c r="G2972" i="1"/>
  <c r="H2972" i="1"/>
  <c r="J2972" i="1"/>
  <c r="K2972" i="1"/>
  <c r="L2972" i="1"/>
  <c r="A2973" i="1"/>
  <c r="B2973" i="1"/>
  <c r="C2973" i="1"/>
  <c r="D2973" i="1"/>
  <c r="Q2973" i="1"/>
  <c r="R2973" i="1"/>
  <c r="E2973" i="1"/>
  <c r="G2973" i="1"/>
  <c r="H2973" i="1"/>
  <c r="J2973" i="1"/>
  <c r="K2973" i="1"/>
  <c r="L2973" i="1"/>
  <c r="A2974" i="1"/>
  <c r="B2974" i="1"/>
  <c r="C2974" i="1"/>
  <c r="D2974" i="1"/>
  <c r="Q2974" i="1"/>
  <c r="R2974" i="1"/>
  <c r="E2974" i="1"/>
  <c r="G2974" i="1"/>
  <c r="H2974" i="1"/>
  <c r="J2974" i="1"/>
  <c r="K2974" i="1"/>
  <c r="L2974" i="1"/>
  <c r="A2975" i="1"/>
  <c r="B2975" i="1"/>
  <c r="C2975" i="1"/>
  <c r="D2975" i="1"/>
  <c r="Q2975" i="1"/>
  <c r="R2975" i="1"/>
  <c r="E2975" i="1"/>
  <c r="G2975" i="1"/>
  <c r="H2975" i="1"/>
  <c r="J2975" i="1"/>
  <c r="K2975" i="1"/>
  <c r="L2975" i="1"/>
  <c r="A2976" i="1"/>
  <c r="B2976" i="1"/>
  <c r="C2976" i="1"/>
  <c r="D2976" i="1"/>
  <c r="Q2976" i="1"/>
  <c r="R2976" i="1"/>
  <c r="E2976" i="1"/>
  <c r="G2976" i="1"/>
  <c r="H2976" i="1"/>
  <c r="J2976" i="1"/>
  <c r="K2976" i="1"/>
  <c r="L2976" i="1"/>
  <c r="A2977" i="1"/>
  <c r="B2977" i="1"/>
  <c r="C2977" i="1"/>
  <c r="D2977" i="1"/>
  <c r="Q2977" i="1"/>
  <c r="R2977" i="1"/>
  <c r="E2977" i="1"/>
  <c r="G2977" i="1"/>
  <c r="H2977" i="1"/>
  <c r="J2977" i="1"/>
  <c r="K2977" i="1"/>
  <c r="L2977" i="1"/>
  <c r="A2978" i="1"/>
  <c r="B2978" i="1"/>
  <c r="C2978" i="1"/>
  <c r="D2978" i="1"/>
  <c r="Q2978" i="1"/>
  <c r="R2978" i="1"/>
  <c r="E2978" i="1"/>
  <c r="G2978" i="1"/>
  <c r="H2978" i="1"/>
  <c r="J2978" i="1"/>
  <c r="K2978" i="1"/>
  <c r="L2978" i="1"/>
  <c r="A2979" i="1"/>
  <c r="B2979" i="1"/>
  <c r="C2979" i="1"/>
  <c r="D2979" i="1"/>
  <c r="Q2979" i="1"/>
  <c r="R2979" i="1"/>
  <c r="E2979" i="1"/>
  <c r="G2979" i="1"/>
  <c r="H2979" i="1"/>
  <c r="J2979" i="1"/>
  <c r="K2979" i="1"/>
  <c r="L2979" i="1"/>
  <c r="A2980" i="1"/>
  <c r="B2980" i="1"/>
  <c r="C2980" i="1"/>
  <c r="D2980" i="1"/>
  <c r="Q2980" i="1"/>
  <c r="R2980" i="1"/>
  <c r="E2980" i="1"/>
  <c r="G2980" i="1"/>
  <c r="H2980" i="1"/>
  <c r="J2980" i="1"/>
  <c r="K2980" i="1"/>
  <c r="L2980" i="1"/>
  <c r="A2981" i="1"/>
  <c r="B2981" i="1"/>
  <c r="C2981" i="1"/>
  <c r="D2981" i="1"/>
  <c r="Q2981" i="1"/>
  <c r="R2981" i="1"/>
  <c r="E2981" i="1"/>
  <c r="G2981" i="1"/>
  <c r="H2981" i="1"/>
  <c r="J2981" i="1"/>
  <c r="K2981" i="1"/>
  <c r="L2981" i="1"/>
  <c r="A2982" i="1"/>
  <c r="B2982" i="1"/>
  <c r="C2982" i="1"/>
  <c r="D2982" i="1"/>
  <c r="Q2982" i="1"/>
  <c r="R2982" i="1"/>
  <c r="E2982" i="1"/>
  <c r="G2982" i="1"/>
  <c r="H2982" i="1"/>
  <c r="J2982" i="1"/>
  <c r="K2982" i="1"/>
  <c r="L2982" i="1"/>
  <c r="A2983" i="1"/>
  <c r="B2983" i="1"/>
  <c r="C2983" i="1"/>
  <c r="D2983" i="1"/>
  <c r="Q2983" i="1"/>
  <c r="R2983" i="1"/>
  <c r="E2983" i="1"/>
  <c r="G2983" i="1"/>
  <c r="H2983" i="1"/>
  <c r="J2983" i="1"/>
  <c r="K2983" i="1"/>
  <c r="L2983" i="1"/>
  <c r="A2984" i="1"/>
  <c r="B2984" i="1"/>
  <c r="C2984" i="1"/>
  <c r="D2984" i="1"/>
  <c r="Q2984" i="1"/>
  <c r="R2984" i="1"/>
  <c r="E2984" i="1"/>
  <c r="G2984" i="1"/>
  <c r="H2984" i="1"/>
  <c r="J2984" i="1"/>
  <c r="K2984" i="1"/>
  <c r="L2984" i="1"/>
  <c r="A2985" i="1"/>
  <c r="B2985" i="1"/>
  <c r="C2985" i="1"/>
  <c r="D2985" i="1"/>
  <c r="Q2985" i="1"/>
  <c r="R2985" i="1"/>
  <c r="E2985" i="1"/>
  <c r="G2985" i="1"/>
  <c r="H2985" i="1"/>
  <c r="J2985" i="1"/>
  <c r="K2985" i="1"/>
  <c r="L2985" i="1"/>
  <c r="A2986" i="1"/>
  <c r="B2986" i="1"/>
  <c r="C2986" i="1"/>
  <c r="D2986" i="1"/>
  <c r="Q2986" i="1"/>
  <c r="R2986" i="1"/>
  <c r="E2986" i="1"/>
  <c r="G2986" i="1"/>
  <c r="H2986" i="1"/>
  <c r="J2986" i="1"/>
  <c r="K2986" i="1"/>
  <c r="L2986" i="1"/>
  <c r="A2987" i="1"/>
  <c r="B2987" i="1"/>
  <c r="C2987" i="1"/>
  <c r="D2987" i="1"/>
  <c r="Q2987" i="1"/>
  <c r="R2987" i="1"/>
  <c r="E2987" i="1"/>
  <c r="G2987" i="1"/>
  <c r="H2987" i="1"/>
  <c r="J2987" i="1"/>
  <c r="K2987" i="1"/>
  <c r="L2987" i="1"/>
  <c r="A2988" i="1"/>
  <c r="B2988" i="1"/>
  <c r="C2988" i="1"/>
  <c r="D2988" i="1"/>
  <c r="Q2988" i="1"/>
  <c r="R2988" i="1"/>
  <c r="E2988" i="1"/>
  <c r="G2988" i="1"/>
  <c r="H2988" i="1"/>
  <c r="J2988" i="1"/>
  <c r="K2988" i="1"/>
  <c r="L2988" i="1"/>
  <c r="A2989" i="1"/>
  <c r="B2989" i="1"/>
  <c r="C2989" i="1"/>
  <c r="D2989" i="1"/>
  <c r="Q2989" i="1"/>
  <c r="R2989" i="1"/>
  <c r="E2989" i="1"/>
  <c r="G2989" i="1"/>
  <c r="H2989" i="1"/>
  <c r="J2989" i="1"/>
  <c r="K2989" i="1"/>
  <c r="L2989" i="1"/>
  <c r="A2990" i="1"/>
  <c r="B2990" i="1"/>
  <c r="C2990" i="1"/>
  <c r="D2990" i="1"/>
  <c r="Q2990" i="1"/>
  <c r="R2990" i="1"/>
  <c r="E2990" i="1"/>
  <c r="G2990" i="1"/>
  <c r="H2990" i="1"/>
  <c r="J2990" i="1"/>
  <c r="K2990" i="1"/>
  <c r="L2990" i="1"/>
  <c r="A2991" i="1"/>
  <c r="B2991" i="1"/>
  <c r="C2991" i="1"/>
  <c r="D2991" i="1"/>
  <c r="Q2991" i="1"/>
  <c r="R2991" i="1"/>
  <c r="E2991" i="1"/>
  <c r="G2991" i="1"/>
  <c r="H2991" i="1"/>
  <c r="J2991" i="1"/>
  <c r="K2991" i="1"/>
  <c r="L2991" i="1"/>
  <c r="A2992" i="1"/>
  <c r="B2992" i="1"/>
  <c r="C2992" i="1"/>
  <c r="D2992" i="1"/>
  <c r="Q2992" i="1"/>
  <c r="R2992" i="1"/>
  <c r="E2992" i="1"/>
  <c r="G2992" i="1"/>
  <c r="H2992" i="1"/>
  <c r="J2992" i="1"/>
  <c r="K2992" i="1"/>
  <c r="L2992" i="1"/>
  <c r="A2993" i="1"/>
  <c r="B2993" i="1"/>
  <c r="C2993" i="1"/>
  <c r="D2993" i="1"/>
  <c r="Q2993" i="1"/>
  <c r="R2993" i="1"/>
  <c r="E2993" i="1"/>
  <c r="G2993" i="1"/>
  <c r="H2993" i="1"/>
  <c r="J2993" i="1"/>
  <c r="K2993" i="1"/>
  <c r="L2993" i="1"/>
  <c r="A2994" i="1"/>
  <c r="B2994" i="1"/>
  <c r="C2994" i="1"/>
  <c r="D2994" i="1"/>
  <c r="Q2994" i="1"/>
  <c r="R2994" i="1"/>
  <c r="E2994" i="1"/>
  <c r="G2994" i="1"/>
  <c r="H2994" i="1"/>
  <c r="J2994" i="1"/>
  <c r="K2994" i="1"/>
  <c r="L2994" i="1"/>
  <c r="A2995" i="1"/>
  <c r="B2995" i="1"/>
  <c r="C2995" i="1"/>
  <c r="D2995" i="1"/>
  <c r="Q2995" i="1"/>
  <c r="R2995" i="1"/>
  <c r="E2995" i="1"/>
  <c r="G2995" i="1"/>
  <c r="H2995" i="1"/>
  <c r="J2995" i="1"/>
  <c r="K2995" i="1"/>
  <c r="L2995" i="1"/>
  <c r="A2996" i="1"/>
  <c r="B2996" i="1"/>
  <c r="C2996" i="1"/>
  <c r="D2996" i="1"/>
  <c r="Q2996" i="1"/>
  <c r="R2996" i="1"/>
  <c r="E2996" i="1"/>
  <c r="G2996" i="1"/>
  <c r="H2996" i="1"/>
  <c r="J2996" i="1"/>
  <c r="K2996" i="1"/>
  <c r="L2996" i="1"/>
  <c r="A2997" i="1"/>
  <c r="B2997" i="1"/>
  <c r="C2997" i="1"/>
  <c r="D2997" i="1"/>
  <c r="Q2997" i="1"/>
  <c r="R2997" i="1"/>
  <c r="E2997" i="1"/>
  <c r="G2997" i="1"/>
  <c r="H2997" i="1"/>
  <c r="J2997" i="1"/>
  <c r="K2997" i="1"/>
  <c r="L2997" i="1"/>
  <c r="A2998" i="1"/>
  <c r="B2998" i="1"/>
  <c r="C2998" i="1"/>
  <c r="D2998" i="1"/>
  <c r="Q2998" i="1"/>
  <c r="R2998" i="1"/>
  <c r="E2998" i="1"/>
  <c r="G2998" i="1"/>
  <c r="H2998" i="1"/>
  <c r="J2998" i="1"/>
  <c r="K2998" i="1"/>
  <c r="L2998" i="1"/>
  <c r="A2999" i="1"/>
  <c r="B2999" i="1"/>
  <c r="C2999" i="1"/>
  <c r="D2999" i="1"/>
  <c r="Q2999" i="1"/>
  <c r="R2999" i="1"/>
  <c r="E2999" i="1"/>
  <c r="G2999" i="1"/>
  <c r="H2999" i="1"/>
  <c r="J2999" i="1"/>
  <c r="K2999" i="1"/>
  <c r="L2999" i="1"/>
  <c r="A3000" i="1"/>
  <c r="B3000" i="1"/>
  <c r="C3000" i="1"/>
  <c r="D3000" i="1"/>
  <c r="Q3000" i="1"/>
  <c r="R3000" i="1"/>
  <c r="E3000" i="1"/>
  <c r="G3000" i="1"/>
  <c r="H3000" i="1"/>
  <c r="J3000" i="1"/>
  <c r="K3000" i="1"/>
  <c r="L3000" i="1"/>
  <c r="A3001" i="1"/>
  <c r="B3001" i="1"/>
  <c r="C3001" i="1"/>
  <c r="D3001" i="1"/>
  <c r="Q3001" i="1"/>
  <c r="R3001" i="1"/>
  <c r="E3001" i="1"/>
  <c r="G3001" i="1"/>
  <c r="H3001" i="1"/>
  <c r="J3001" i="1"/>
  <c r="K3001" i="1"/>
  <c r="L3001" i="1"/>
  <c r="A3002" i="1"/>
  <c r="B3002" i="1"/>
  <c r="C3002" i="1"/>
  <c r="D3002" i="1"/>
  <c r="Q3002" i="1"/>
  <c r="R3002" i="1"/>
  <c r="E3002" i="1"/>
  <c r="G3002" i="1"/>
  <c r="H3002" i="1"/>
  <c r="J3002" i="1"/>
  <c r="K3002" i="1"/>
  <c r="L3002" i="1"/>
  <c r="A3003" i="1"/>
  <c r="B3003" i="1"/>
  <c r="C3003" i="1"/>
  <c r="D3003" i="1"/>
  <c r="Q3003" i="1"/>
  <c r="R3003" i="1"/>
  <c r="E3003" i="1"/>
  <c r="G3003" i="1"/>
  <c r="H3003" i="1"/>
  <c r="J3003" i="1"/>
  <c r="K3003" i="1"/>
  <c r="L3003" i="1"/>
  <c r="A3004" i="1"/>
  <c r="B3004" i="1"/>
  <c r="C3004" i="1"/>
  <c r="D3004" i="1"/>
  <c r="Q3004" i="1"/>
  <c r="R3004" i="1"/>
  <c r="E3004" i="1"/>
  <c r="G3004" i="1"/>
  <c r="H3004" i="1"/>
  <c r="J3004" i="1"/>
  <c r="K3004" i="1"/>
  <c r="L3004" i="1"/>
  <c r="A3005" i="1"/>
  <c r="B3005" i="1"/>
  <c r="C3005" i="1"/>
  <c r="D3005" i="1"/>
  <c r="Q3005" i="1"/>
  <c r="R3005" i="1"/>
  <c r="E3005" i="1"/>
  <c r="G3005" i="1"/>
  <c r="H3005" i="1"/>
  <c r="J3005" i="1"/>
  <c r="K3005" i="1"/>
  <c r="L3005" i="1"/>
  <c r="A3006" i="1"/>
  <c r="B3006" i="1"/>
  <c r="C3006" i="1"/>
  <c r="D3006" i="1"/>
  <c r="Q3006" i="1"/>
  <c r="R3006" i="1"/>
  <c r="E3006" i="1"/>
  <c r="G3006" i="1"/>
  <c r="H3006" i="1"/>
  <c r="J3006" i="1"/>
  <c r="K3006" i="1"/>
  <c r="L3006" i="1"/>
  <c r="A3007" i="1"/>
  <c r="B3007" i="1"/>
  <c r="C3007" i="1"/>
  <c r="D3007" i="1"/>
  <c r="Q3007" i="1"/>
  <c r="R3007" i="1"/>
  <c r="E3007" i="1"/>
  <c r="G3007" i="1"/>
  <c r="H3007" i="1"/>
  <c r="J3007" i="1"/>
  <c r="K3007" i="1"/>
  <c r="L3007" i="1"/>
  <c r="A3008" i="1"/>
  <c r="B3008" i="1"/>
  <c r="C3008" i="1"/>
  <c r="D3008" i="1"/>
  <c r="Q3008" i="1"/>
  <c r="R3008" i="1"/>
  <c r="E3008" i="1"/>
  <c r="G3008" i="1"/>
  <c r="H3008" i="1"/>
  <c r="J3008" i="1"/>
  <c r="K3008" i="1"/>
  <c r="L3008" i="1"/>
  <c r="A3009" i="1"/>
  <c r="B3009" i="1"/>
  <c r="C3009" i="1"/>
  <c r="D3009" i="1"/>
  <c r="Q3009" i="1"/>
  <c r="R3009" i="1"/>
  <c r="E3009" i="1"/>
  <c r="G3009" i="1"/>
  <c r="H3009" i="1"/>
  <c r="J3009" i="1"/>
  <c r="K3009" i="1"/>
  <c r="L3009" i="1"/>
  <c r="A3010" i="1"/>
  <c r="B3010" i="1"/>
  <c r="C3010" i="1"/>
  <c r="D3010" i="1"/>
  <c r="Q3010" i="1"/>
  <c r="R3010" i="1"/>
  <c r="E3010" i="1"/>
  <c r="G3010" i="1"/>
  <c r="H3010" i="1"/>
  <c r="J3010" i="1"/>
  <c r="K3010" i="1"/>
  <c r="L3010" i="1"/>
  <c r="A3011" i="1"/>
  <c r="B3011" i="1"/>
  <c r="C3011" i="1"/>
  <c r="D3011" i="1"/>
  <c r="Q3011" i="1"/>
  <c r="R3011" i="1"/>
  <c r="E3011" i="1"/>
  <c r="G3011" i="1"/>
  <c r="H3011" i="1"/>
  <c r="J3011" i="1"/>
  <c r="K3011" i="1"/>
  <c r="L3011" i="1"/>
  <c r="A3012" i="1"/>
  <c r="B3012" i="1"/>
  <c r="C3012" i="1"/>
  <c r="D3012" i="1"/>
  <c r="Q3012" i="1"/>
  <c r="R3012" i="1"/>
  <c r="E3012" i="1"/>
  <c r="G3012" i="1"/>
  <c r="H3012" i="1"/>
  <c r="J3012" i="1"/>
  <c r="K3012" i="1"/>
  <c r="L3012" i="1"/>
  <c r="A3013" i="1"/>
  <c r="B3013" i="1"/>
  <c r="C3013" i="1"/>
  <c r="D3013" i="1"/>
  <c r="Q3013" i="1"/>
  <c r="R3013" i="1"/>
  <c r="E3013" i="1"/>
  <c r="G3013" i="1"/>
  <c r="H3013" i="1"/>
  <c r="J3013" i="1"/>
  <c r="K3013" i="1"/>
  <c r="L3013" i="1"/>
  <c r="A3014" i="1"/>
  <c r="B3014" i="1"/>
  <c r="C3014" i="1"/>
  <c r="D3014" i="1"/>
  <c r="Q3014" i="1"/>
  <c r="R3014" i="1"/>
  <c r="E3014" i="1"/>
  <c r="G3014" i="1"/>
  <c r="H3014" i="1"/>
  <c r="J3014" i="1"/>
  <c r="K3014" i="1"/>
  <c r="L3014" i="1"/>
  <c r="A3015" i="1"/>
  <c r="B3015" i="1"/>
  <c r="C3015" i="1"/>
  <c r="D3015" i="1"/>
  <c r="Q3015" i="1"/>
  <c r="R3015" i="1"/>
  <c r="E3015" i="1"/>
  <c r="G3015" i="1"/>
  <c r="H3015" i="1"/>
  <c r="J3015" i="1"/>
  <c r="K3015" i="1"/>
  <c r="L3015" i="1"/>
  <c r="A3016" i="1"/>
  <c r="B3016" i="1"/>
  <c r="C3016" i="1"/>
  <c r="D3016" i="1"/>
  <c r="Q3016" i="1"/>
  <c r="R3016" i="1"/>
  <c r="E3016" i="1"/>
  <c r="G3016" i="1"/>
  <c r="H3016" i="1"/>
  <c r="J3016" i="1"/>
  <c r="K3016" i="1"/>
  <c r="L3016" i="1"/>
  <c r="A3017" i="1"/>
  <c r="B3017" i="1"/>
  <c r="C3017" i="1"/>
  <c r="D3017" i="1"/>
  <c r="Q3017" i="1"/>
  <c r="R3017" i="1"/>
  <c r="E3017" i="1"/>
  <c r="G3017" i="1"/>
  <c r="H3017" i="1"/>
  <c r="J3017" i="1"/>
  <c r="K3017" i="1"/>
  <c r="L3017" i="1"/>
  <c r="A3018" i="1"/>
  <c r="B3018" i="1"/>
  <c r="C3018" i="1"/>
  <c r="D3018" i="1"/>
  <c r="Q3018" i="1"/>
  <c r="R3018" i="1"/>
  <c r="E3018" i="1"/>
  <c r="G3018" i="1"/>
  <c r="H3018" i="1"/>
  <c r="J3018" i="1"/>
  <c r="K3018" i="1"/>
  <c r="L3018" i="1"/>
  <c r="A3019" i="1"/>
  <c r="B3019" i="1"/>
  <c r="C3019" i="1"/>
  <c r="D3019" i="1"/>
  <c r="Q3019" i="1"/>
  <c r="R3019" i="1"/>
  <c r="E3019" i="1"/>
  <c r="G3019" i="1"/>
  <c r="H3019" i="1"/>
  <c r="J3019" i="1"/>
  <c r="K3019" i="1"/>
  <c r="L3019" i="1"/>
  <c r="A3020" i="1"/>
  <c r="B3020" i="1"/>
  <c r="C3020" i="1"/>
  <c r="D3020" i="1"/>
  <c r="Q3020" i="1"/>
  <c r="R3020" i="1"/>
  <c r="E3020" i="1"/>
  <c r="G3020" i="1"/>
  <c r="H3020" i="1"/>
  <c r="J3020" i="1"/>
  <c r="K3020" i="1"/>
  <c r="L3020" i="1"/>
  <c r="A3021" i="1"/>
  <c r="B3021" i="1"/>
  <c r="C3021" i="1"/>
  <c r="D3021" i="1"/>
  <c r="Q3021" i="1"/>
  <c r="R3021" i="1"/>
  <c r="E3021" i="1"/>
  <c r="G3021" i="1"/>
  <c r="H3021" i="1"/>
  <c r="J3021" i="1"/>
  <c r="K3021" i="1"/>
  <c r="L3021" i="1"/>
  <c r="A3022" i="1"/>
  <c r="B3022" i="1"/>
  <c r="C3022" i="1"/>
  <c r="D3022" i="1"/>
  <c r="Q3022" i="1"/>
  <c r="R3022" i="1"/>
  <c r="E3022" i="1"/>
  <c r="G3022" i="1"/>
  <c r="H3022" i="1"/>
  <c r="J3022" i="1"/>
  <c r="K3022" i="1"/>
  <c r="L3022" i="1"/>
  <c r="A3023" i="1"/>
  <c r="B3023" i="1"/>
  <c r="C3023" i="1"/>
  <c r="D3023" i="1"/>
  <c r="Q3023" i="1"/>
  <c r="R3023" i="1"/>
  <c r="E3023" i="1"/>
  <c r="G3023" i="1"/>
  <c r="H3023" i="1"/>
  <c r="J3023" i="1"/>
  <c r="K3023" i="1"/>
  <c r="L3023" i="1"/>
  <c r="A3024" i="1"/>
  <c r="B3024" i="1"/>
  <c r="C3024" i="1"/>
  <c r="D3024" i="1"/>
  <c r="Q3024" i="1"/>
  <c r="R3024" i="1"/>
  <c r="E3024" i="1"/>
  <c r="G3024" i="1"/>
  <c r="H3024" i="1"/>
  <c r="J3024" i="1"/>
  <c r="K3024" i="1"/>
  <c r="L3024" i="1"/>
  <c r="A3025" i="1"/>
  <c r="B3025" i="1"/>
  <c r="C3025" i="1"/>
  <c r="D3025" i="1"/>
  <c r="Q3025" i="1"/>
  <c r="R3025" i="1"/>
  <c r="E3025" i="1"/>
  <c r="G3025" i="1"/>
  <c r="H3025" i="1"/>
  <c r="J3025" i="1"/>
  <c r="K3025" i="1"/>
  <c r="L3025" i="1"/>
  <c r="A3026" i="1"/>
  <c r="B3026" i="1"/>
  <c r="C3026" i="1"/>
  <c r="D3026" i="1"/>
  <c r="Q3026" i="1"/>
  <c r="R3026" i="1"/>
  <c r="E3026" i="1"/>
  <c r="G3026" i="1"/>
  <c r="H3026" i="1"/>
  <c r="J3026" i="1"/>
  <c r="K3026" i="1"/>
  <c r="L3026" i="1"/>
  <c r="A3027" i="1"/>
  <c r="B3027" i="1"/>
  <c r="C3027" i="1"/>
  <c r="D3027" i="1"/>
  <c r="Q3027" i="1"/>
  <c r="R3027" i="1"/>
  <c r="E3027" i="1"/>
  <c r="G3027" i="1"/>
  <c r="H3027" i="1"/>
  <c r="J3027" i="1"/>
  <c r="K3027" i="1"/>
  <c r="L3027" i="1"/>
  <c r="A3028" i="1"/>
  <c r="B3028" i="1"/>
  <c r="C3028" i="1"/>
  <c r="D3028" i="1"/>
  <c r="Q3028" i="1"/>
  <c r="R3028" i="1"/>
  <c r="E3028" i="1"/>
  <c r="G3028" i="1"/>
  <c r="H3028" i="1"/>
  <c r="J3028" i="1"/>
  <c r="K3028" i="1"/>
  <c r="L3028" i="1"/>
  <c r="A3029" i="1"/>
  <c r="B3029" i="1"/>
  <c r="C3029" i="1"/>
  <c r="D3029" i="1"/>
  <c r="Q3029" i="1"/>
  <c r="R3029" i="1"/>
  <c r="E3029" i="1"/>
  <c r="G3029" i="1"/>
  <c r="H3029" i="1"/>
  <c r="J3029" i="1"/>
  <c r="K3029" i="1"/>
  <c r="L3029" i="1"/>
  <c r="A3030" i="1"/>
  <c r="B3030" i="1"/>
  <c r="C3030" i="1"/>
  <c r="D3030" i="1"/>
  <c r="Q3030" i="1"/>
  <c r="R3030" i="1"/>
  <c r="E3030" i="1"/>
  <c r="G3030" i="1"/>
  <c r="H3030" i="1"/>
  <c r="J3030" i="1"/>
  <c r="K3030" i="1"/>
  <c r="L3030" i="1"/>
  <c r="A3031" i="1"/>
  <c r="B3031" i="1"/>
  <c r="C3031" i="1"/>
  <c r="D3031" i="1"/>
  <c r="Q3031" i="1"/>
  <c r="R3031" i="1"/>
  <c r="E3031" i="1"/>
  <c r="G3031" i="1"/>
  <c r="H3031" i="1"/>
  <c r="J3031" i="1"/>
  <c r="K3031" i="1"/>
  <c r="L3031" i="1"/>
  <c r="A3032" i="1"/>
  <c r="B3032" i="1"/>
  <c r="C3032" i="1"/>
  <c r="D3032" i="1"/>
  <c r="Q3032" i="1"/>
  <c r="R3032" i="1"/>
  <c r="E3032" i="1"/>
  <c r="G3032" i="1"/>
  <c r="H3032" i="1"/>
  <c r="J3032" i="1"/>
  <c r="K3032" i="1"/>
  <c r="L3032" i="1"/>
  <c r="A3033" i="1"/>
  <c r="B3033" i="1"/>
  <c r="C3033" i="1"/>
  <c r="D3033" i="1"/>
  <c r="Q3033" i="1"/>
  <c r="R3033" i="1"/>
  <c r="E3033" i="1"/>
  <c r="G3033" i="1"/>
  <c r="H3033" i="1"/>
  <c r="J3033" i="1"/>
  <c r="K3033" i="1"/>
  <c r="L3033" i="1"/>
  <c r="A3034" i="1"/>
  <c r="B3034" i="1"/>
  <c r="C3034" i="1"/>
  <c r="D3034" i="1"/>
  <c r="Q3034" i="1"/>
  <c r="R3034" i="1"/>
  <c r="E3034" i="1"/>
  <c r="G3034" i="1"/>
  <c r="H3034" i="1"/>
  <c r="J3034" i="1"/>
  <c r="K3034" i="1"/>
  <c r="L3034" i="1"/>
  <c r="A3035" i="1"/>
  <c r="B3035" i="1"/>
  <c r="C3035" i="1"/>
  <c r="D3035" i="1"/>
  <c r="Q3035" i="1"/>
  <c r="R3035" i="1"/>
  <c r="E3035" i="1"/>
  <c r="G3035" i="1"/>
  <c r="H3035" i="1"/>
  <c r="J3035" i="1"/>
  <c r="K3035" i="1"/>
  <c r="L3035" i="1"/>
  <c r="A3036" i="1"/>
  <c r="B3036" i="1"/>
  <c r="C3036" i="1"/>
  <c r="D3036" i="1"/>
  <c r="Q3036" i="1"/>
  <c r="R3036" i="1"/>
  <c r="E3036" i="1"/>
  <c r="G3036" i="1"/>
  <c r="H3036" i="1"/>
  <c r="J3036" i="1"/>
  <c r="K3036" i="1"/>
  <c r="L3036" i="1"/>
  <c r="A3037" i="1"/>
  <c r="B3037" i="1"/>
  <c r="C3037" i="1"/>
  <c r="D3037" i="1"/>
  <c r="Q3037" i="1"/>
  <c r="R3037" i="1"/>
  <c r="E3037" i="1"/>
  <c r="G3037" i="1"/>
  <c r="H3037" i="1"/>
  <c r="J3037" i="1"/>
  <c r="K3037" i="1"/>
  <c r="L3037" i="1"/>
  <c r="A3038" i="1"/>
  <c r="B3038" i="1"/>
  <c r="C3038" i="1"/>
  <c r="D3038" i="1"/>
  <c r="Q3038" i="1"/>
  <c r="R3038" i="1"/>
  <c r="E3038" i="1"/>
  <c r="G3038" i="1"/>
  <c r="H3038" i="1"/>
  <c r="J3038" i="1"/>
  <c r="K3038" i="1"/>
  <c r="L3038" i="1"/>
  <c r="A3039" i="1"/>
  <c r="B3039" i="1"/>
  <c r="C3039" i="1"/>
  <c r="D3039" i="1"/>
  <c r="Q3039" i="1"/>
  <c r="R3039" i="1"/>
  <c r="E3039" i="1"/>
  <c r="G3039" i="1"/>
  <c r="H3039" i="1"/>
  <c r="J3039" i="1"/>
  <c r="K3039" i="1"/>
  <c r="L3039" i="1"/>
  <c r="A3040" i="1"/>
  <c r="B3040" i="1"/>
  <c r="C3040" i="1"/>
  <c r="D3040" i="1"/>
  <c r="Q3040" i="1"/>
  <c r="R3040" i="1"/>
  <c r="E3040" i="1"/>
  <c r="G3040" i="1"/>
  <c r="H3040" i="1"/>
  <c r="J3040" i="1"/>
  <c r="K3040" i="1"/>
  <c r="L3040" i="1"/>
  <c r="A3041" i="1"/>
  <c r="B3041" i="1"/>
  <c r="C3041" i="1"/>
  <c r="D3041" i="1"/>
  <c r="Q3041" i="1"/>
  <c r="R3041" i="1"/>
  <c r="E3041" i="1"/>
  <c r="G3041" i="1"/>
  <c r="H3041" i="1"/>
  <c r="J3041" i="1"/>
  <c r="K3041" i="1"/>
  <c r="L3041" i="1"/>
  <c r="A3042" i="1"/>
  <c r="B3042" i="1"/>
  <c r="C3042" i="1"/>
  <c r="D3042" i="1"/>
  <c r="Q3042" i="1"/>
  <c r="R3042" i="1"/>
  <c r="E3042" i="1"/>
  <c r="G3042" i="1"/>
  <c r="H3042" i="1"/>
  <c r="J3042" i="1"/>
  <c r="K3042" i="1"/>
  <c r="L3042" i="1"/>
  <c r="A3043" i="1"/>
  <c r="B3043" i="1"/>
  <c r="C3043" i="1"/>
  <c r="D3043" i="1"/>
  <c r="Q3043" i="1"/>
  <c r="R3043" i="1"/>
  <c r="E3043" i="1"/>
  <c r="G3043" i="1"/>
  <c r="H3043" i="1"/>
  <c r="J3043" i="1"/>
  <c r="K3043" i="1"/>
  <c r="L3043" i="1"/>
  <c r="A3044" i="1"/>
  <c r="B3044" i="1"/>
  <c r="C3044" i="1"/>
  <c r="D3044" i="1"/>
  <c r="Q3044" i="1"/>
  <c r="R3044" i="1"/>
  <c r="E3044" i="1"/>
  <c r="G3044" i="1"/>
  <c r="H3044" i="1"/>
  <c r="J3044" i="1"/>
  <c r="K3044" i="1"/>
  <c r="L3044" i="1"/>
  <c r="A3045" i="1"/>
  <c r="B3045" i="1"/>
  <c r="C3045" i="1"/>
  <c r="D3045" i="1"/>
  <c r="Q3045" i="1"/>
  <c r="R3045" i="1"/>
  <c r="E3045" i="1"/>
  <c r="G3045" i="1"/>
  <c r="H3045" i="1"/>
  <c r="J3045" i="1"/>
  <c r="K3045" i="1"/>
  <c r="L3045" i="1"/>
  <c r="A3046" i="1"/>
  <c r="B3046" i="1"/>
  <c r="C3046" i="1"/>
  <c r="D3046" i="1"/>
  <c r="Q3046" i="1"/>
  <c r="R3046" i="1"/>
  <c r="E3046" i="1"/>
  <c r="G3046" i="1"/>
  <c r="H3046" i="1"/>
  <c r="J3046" i="1"/>
  <c r="K3046" i="1"/>
  <c r="L3046" i="1"/>
  <c r="A3047" i="1"/>
  <c r="B3047" i="1"/>
  <c r="C3047" i="1"/>
  <c r="D3047" i="1"/>
  <c r="Q3047" i="1"/>
  <c r="R3047" i="1"/>
  <c r="E3047" i="1"/>
  <c r="G3047" i="1"/>
  <c r="H3047" i="1"/>
  <c r="J3047" i="1"/>
  <c r="K3047" i="1"/>
  <c r="L3047" i="1"/>
  <c r="A3048" i="1"/>
  <c r="B3048" i="1"/>
  <c r="C3048" i="1"/>
  <c r="D3048" i="1"/>
  <c r="Q3048" i="1"/>
  <c r="R3048" i="1"/>
  <c r="E3048" i="1"/>
  <c r="G3048" i="1"/>
  <c r="H3048" i="1"/>
  <c r="J3048" i="1"/>
  <c r="K3048" i="1"/>
  <c r="L3048" i="1"/>
  <c r="A3049" i="1"/>
  <c r="B3049" i="1"/>
  <c r="C3049" i="1"/>
  <c r="D3049" i="1"/>
  <c r="Q3049" i="1"/>
  <c r="R3049" i="1"/>
  <c r="E3049" i="1"/>
  <c r="G3049" i="1"/>
  <c r="H3049" i="1"/>
  <c r="J3049" i="1"/>
  <c r="K3049" i="1"/>
  <c r="L3049" i="1"/>
  <c r="A3050" i="1"/>
  <c r="B3050" i="1"/>
  <c r="C3050" i="1"/>
  <c r="D3050" i="1"/>
  <c r="Q3050" i="1"/>
  <c r="R3050" i="1"/>
  <c r="E3050" i="1"/>
  <c r="G3050" i="1"/>
  <c r="H3050" i="1"/>
  <c r="J3050" i="1"/>
  <c r="K3050" i="1"/>
  <c r="L3050" i="1"/>
  <c r="A3051" i="1"/>
  <c r="B3051" i="1"/>
  <c r="C3051" i="1"/>
  <c r="D3051" i="1"/>
  <c r="Q3051" i="1"/>
  <c r="R3051" i="1"/>
  <c r="E3051" i="1"/>
  <c r="G3051" i="1"/>
  <c r="H3051" i="1"/>
  <c r="J3051" i="1"/>
  <c r="K3051" i="1"/>
  <c r="L3051" i="1"/>
  <c r="A3052" i="1"/>
  <c r="B3052" i="1"/>
  <c r="C3052" i="1"/>
  <c r="D3052" i="1"/>
  <c r="Q3052" i="1"/>
  <c r="R3052" i="1"/>
  <c r="E3052" i="1"/>
  <c r="G3052" i="1"/>
  <c r="H3052" i="1"/>
  <c r="J3052" i="1"/>
  <c r="K3052" i="1"/>
  <c r="L3052" i="1"/>
  <c r="A3053" i="1"/>
  <c r="B3053" i="1"/>
  <c r="C3053" i="1"/>
  <c r="D3053" i="1"/>
  <c r="Q3053" i="1"/>
  <c r="R3053" i="1"/>
  <c r="E3053" i="1"/>
  <c r="G3053" i="1"/>
  <c r="H3053" i="1"/>
  <c r="J3053" i="1"/>
  <c r="K3053" i="1"/>
  <c r="L3053" i="1"/>
  <c r="A3054" i="1"/>
  <c r="B3054" i="1"/>
  <c r="C3054" i="1"/>
  <c r="D3054" i="1"/>
  <c r="Q3054" i="1"/>
  <c r="R3054" i="1"/>
  <c r="E3054" i="1"/>
  <c r="G3054" i="1"/>
  <c r="H3054" i="1"/>
  <c r="J3054" i="1"/>
  <c r="K3054" i="1"/>
  <c r="L3054" i="1"/>
  <c r="A3055" i="1"/>
  <c r="B3055" i="1"/>
  <c r="C3055" i="1"/>
  <c r="D3055" i="1"/>
  <c r="Q3055" i="1"/>
  <c r="R3055" i="1"/>
  <c r="E3055" i="1"/>
  <c r="G3055" i="1"/>
  <c r="H3055" i="1"/>
  <c r="J3055" i="1"/>
  <c r="K3055" i="1"/>
  <c r="L3055" i="1"/>
  <c r="A3056" i="1"/>
  <c r="B3056" i="1"/>
  <c r="C3056" i="1"/>
  <c r="D3056" i="1"/>
  <c r="Q3056" i="1"/>
  <c r="R3056" i="1"/>
  <c r="E3056" i="1"/>
  <c r="G3056" i="1"/>
  <c r="H3056" i="1"/>
  <c r="J3056" i="1"/>
  <c r="K3056" i="1"/>
  <c r="L3056" i="1"/>
  <c r="A3057" i="1"/>
  <c r="B3057" i="1"/>
  <c r="C3057" i="1"/>
  <c r="D3057" i="1"/>
  <c r="Q3057" i="1"/>
  <c r="R3057" i="1"/>
  <c r="E3057" i="1"/>
  <c r="G3057" i="1"/>
  <c r="H3057" i="1"/>
  <c r="J3057" i="1"/>
  <c r="K3057" i="1"/>
  <c r="L3057" i="1"/>
  <c r="A3058" i="1"/>
  <c r="B3058" i="1"/>
  <c r="C3058" i="1"/>
  <c r="D3058" i="1"/>
  <c r="Q3058" i="1"/>
  <c r="R3058" i="1"/>
  <c r="E3058" i="1"/>
  <c r="G3058" i="1"/>
  <c r="H3058" i="1"/>
  <c r="J3058" i="1"/>
  <c r="K3058" i="1"/>
  <c r="L3058" i="1"/>
  <c r="A3059" i="1"/>
  <c r="B3059" i="1"/>
  <c r="C3059" i="1"/>
  <c r="D3059" i="1"/>
  <c r="Q3059" i="1"/>
  <c r="R3059" i="1"/>
  <c r="E3059" i="1"/>
  <c r="G3059" i="1"/>
  <c r="H3059" i="1"/>
  <c r="J3059" i="1"/>
  <c r="K3059" i="1"/>
  <c r="L3059" i="1"/>
  <c r="A3060" i="1"/>
  <c r="B3060" i="1"/>
  <c r="C3060" i="1"/>
  <c r="D3060" i="1"/>
  <c r="Q3060" i="1"/>
  <c r="R3060" i="1"/>
  <c r="E3060" i="1"/>
  <c r="G3060" i="1"/>
  <c r="H3060" i="1"/>
  <c r="J3060" i="1"/>
  <c r="K3060" i="1"/>
  <c r="L3060" i="1"/>
  <c r="A3061" i="1"/>
  <c r="B3061" i="1"/>
  <c r="C3061" i="1"/>
  <c r="D3061" i="1"/>
  <c r="Q3061" i="1"/>
  <c r="R3061" i="1"/>
  <c r="E3061" i="1"/>
  <c r="G3061" i="1"/>
  <c r="H3061" i="1"/>
  <c r="J3061" i="1"/>
  <c r="K3061" i="1"/>
  <c r="L3061" i="1"/>
  <c r="A3062" i="1"/>
  <c r="B3062" i="1"/>
  <c r="C3062" i="1"/>
  <c r="D3062" i="1"/>
  <c r="Q3062" i="1"/>
  <c r="R3062" i="1"/>
  <c r="E3062" i="1"/>
  <c r="G3062" i="1"/>
  <c r="H3062" i="1"/>
  <c r="J3062" i="1"/>
  <c r="K3062" i="1"/>
  <c r="L3062" i="1"/>
  <c r="A3063" i="1"/>
  <c r="B3063" i="1"/>
  <c r="C3063" i="1"/>
  <c r="D3063" i="1"/>
  <c r="Q3063" i="1"/>
  <c r="R3063" i="1"/>
  <c r="E3063" i="1"/>
  <c r="G3063" i="1"/>
  <c r="H3063" i="1"/>
  <c r="J3063" i="1"/>
  <c r="K3063" i="1"/>
  <c r="L3063" i="1"/>
  <c r="A3064" i="1"/>
  <c r="B3064" i="1"/>
  <c r="C3064" i="1"/>
  <c r="D3064" i="1"/>
  <c r="Q3064" i="1"/>
  <c r="R3064" i="1"/>
  <c r="E3064" i="1"/>
  <c r="G3064" i="1"/>
  <c r="H3064" i="1"/>
  <c r="J3064" i="1"/>
  <c r="K3064" i="1"/>
  <c r="L3064" i="1"/>
  <c r="A3065" i="1"/>
  <c r="B3065" i="1"/>
  <c r="C3065" i="1"/>
  <c r="D3065" i="1"/>
  <c r="Q3065" i="1"/>
  <c r="R3065" i="1"/>
  <c r="E3065" i="1"/>
  <c r="G3065" i="1"/>
  <c r="H3065" i="1"/>
  <c r="J3065" i="1"/>
  <c r="K3065" i="1"/>
  <c r="L3065" i="1"/>
  <c r="A3066" i="1"/>
  <c r="B3066" i="1"/>
  <c r="C3066" i="1"/>
  <c r="D3066" i="1"/>
  <c r="Q3066" i="1"/>
  <c r="R3066" i="1"/>
  <c r="E3066" i="1"/>
  <c r="G3066" i="1"/>
  <c r="H3066" i="1"/>
  <c r="J3066" i="1"/>
  <c r="K3066" i="1"/>
  <c r="L3066" i="1"/>
  <c r="A3067" i="1"/>
  <c r="B3067" i="1"/>
  <c r="C3067" i="1"/>
  <c r="D3067" i="1"/>
  <c r="Q3067" i="1"/>
  <c r="R3067" i="1"/>
  <c r="E3067" i="1"/>
  <c r="G3067" i="1"/>
  <c r="H3067" i="1"/>
  <c r="J3067" i="1"/>
  <c r="K3067" i="1"/>
  <c r="L3067" i="1"/>
  <c r="A3068" i="1"/>
  <c r="B3068" i="1"/>
  <c r="C3068" i="1"/>
  <c r="D3068" i="1"/>
  <c r="Q3068" i="1"/>
  <c r="R3068" i="1"/>
  <c r="E3068" i="1"/>
  <c r="G3068" i="1"/>
  <c r="H3068" i="1"/>
  <c r="J3068" i="1"/>
  <c r="K3068" i="1"/>
  <c r="L3068" i="1"/>
  <c r="A3069" i="1"/>
  <c r="B3069" i="1"/>
  <c r="C3069" i="1"/>
  <c r="D3069" i="1"/>
  <c r="Q3069" i="1"/>
  <c r="R3069" i="1"/>
  <c r="E3069" i="1"/>
  <c r="G3069" i="1"/>
  <c r="H3069" i="1"/>
  <c r="J3069" i="1"/>
  <c r="K3069" i="1"/>
  <c r="L3069" i="1"/>
  <c r="A3070" i="1"/>
  <c r="B3070" i="1"/>
  <c r="C3070" i="1"/>
  <c r="D3070" i="1"/>
  <c r="Q3070" i="1"/>
  <c r="R3070" i="1"/>
  <c r="E3070" i="1"/>
  <c r="G3070" i="1"/>
  <c r="H3070" i="1"/>
  <c r="J3070" i="1"/>
  <c r="K3070" i="1"/>
  <c r="L3070" i="1"/>
  <c r="A3071" i="1"/>
  <c r="B3071" i="1"/>
  <c r="C3071" i="1"/>
  <c r="D3071" i="1"/>
  <c r="Q3071" i="1"/>
  <c r="R3071" i="1"/>
  <c r="E3071" i="1"/>
  <c r="G3071" i="1"/>
  <c r="H3071" i="1"/>
  <c r="J3071" i="1"/>
  <c r="K3071" i="1"/>
  <c r="L3071" i="1"/>
  <c r="A3072" i="1"/>
  <c r="B3072" i="1"/>
  <c r="C3072" i="1"/>
  <c r="D3072" i="1"/>
  <c r="Q3072" i="1"/>
  <c r="R3072" i="1"/>
  <c r="E3072" i="1"/>
  <c r="G3072" i="1"/>
  <c r="H3072" i="1"/>
  <c r="J3072" i="1"/>
  <c r="K3072" i="1"/>
  <c r="L3072" i="1"/>
  <c r="A3073" i="1"/>
  <c r="B3073" i="1"/>
  <c r="C3073" i="1"/>
  <c r="D3073" i="1"/>
  <c r="Q3073" i="1"/>
  <c r="R3073" i="1"/>
  <c r="E3073" i="1"/>
  <c r="G3073" i="1"/>
  <c r="H3073" i="1"/>
  <c r="J3073" i="1"/>
  <c r="K3073" i="1"/>
  <c r="L3073" i="1"/>
  <c r="A3074" i="1"/>
  <c r="B3074" i="1"/>
  <c r="C3074" i="1"/>
  <c r="D3074" i="1"/>
  <c r="Q3074" i="1"/>
  <c r="R3074" i="1"/>
  <c r="E3074" i="1"/>
  <c r="G3074" i="1"/>
  <c r="H3074" i="1"/>
  <c r="J3074" i="1"/>
  <c r="K3074" i="1"/>
  <c r="L3074" i="1"/>
  <c r="A3075" i="1"/>
  <c r="B3075" i="1"/>
  <c r="C3075" i="1"/>
  <c r="D3075" i="1"/>
  <c r="Q3075" i="1"/>
  <c r="R3075" i="1"/>
  <c r="E3075" i="1"/>
  <c r="G3075" i="1"/>
  <c r="H3075" i="1"/>
  <c r="J3075" i="1"/>
  <c r="K3075" i="1"/>
  <c r="L3075" i="1"/>
  <c r="A3076" i="1"/>
  <c r="B3076" i="1"/>
  <c r="C3076" i="1"/>
  <c r="D3076" i="1"/>
  <c r="Q3076" i="1"/>
  <c r="R3076" i="1"/>
  <c r="E3076" i="1"/>
  <c r="G3076" i="1"/>
  <c r="H3076" i="1"/>
  <c r="J3076" i="1"/>
  <c r="K3076" i="1"/>
  <c r="L3076" i="1"/>
  <c r="A3077" i="1"/>
  <c r="B3077" i="1"/>
  <c r="C3077" i="1"/>
  <c r="D3077" i="1"/>
  <c r="Q3077" i="1"/>
  <c r="R3077" i="1"/>
  <c r="E3077" i="1"/>
  <c r="G3077" i="1"/>
  <c r="H3077" i="1"/>
  <c r="J3077" i="1"/>
  <c r="K3077" i="1"/>
  <c r="L3077" i="1"/>
  <c r="A3078" i="1"/>
  <c r="B3078" i="1"/>
  <c r="C3078" i="1"/>
  <c r="D3078" i="1"/>
  <c r="Q3078" i="1"/>
  <c r="R3078" i="1"/>
  <c r="E3078" i="1"/>
  <c r="G3078" i="1"/>
  <c r="H3078" i="1"/>
  <c r="J3078" i="1"/>
  <c r="K3078" i="1"/>
  <c r="L3078" i="1"/>
  <c r="A3079" i="1"/>
  <c r="B3079" i="1"/>
  <c r="C3079" i="1"/>
  <c r="D3079" i="1"/>
  <c r="Q3079" i="1"/>
  <c r="R3079" i="1"/>
  <c r="E3079" i="1"/>
  <c r="G3079" i="1"/>
  <c r="H3079" i="1"/>
  <c r="J3079" i="1"/>
  <c r="K3079" i="1"/>
  <c r="L3079" i="1"/>
  <c r="A3080" i="1"/>
  <c r="B3080" i="1"/>
  <c r="C3080" i="1"/>
  <c r="D3080" i="1"/>
  <c r="Q3080" i="1"/>
  <c r="R3080" i="1"/>
  <c r="E3080" i="1"/>
  <c r="G3080" i="1"/>
  <c r="H3080" i="1"/>
  <c r="J3080" i="1"/>
  <c r="K3080" i="1"/>
  <c r="L3080" i="1"/>
  <c r="A3081" i="1"/>
  <c r="B3081" i="1"/>
  <c r="C3081" i="1"/>
  <c r="D3081" i="1"/>
  <c r="Q3081" i="1"/>
  <c r="R3081" i="1"/>
  <c r="E3081" i="1"/>
  <c r="G3081" i="1"/>
  <c r="H3081" i="1"/>
  <c r="J3081" i="1"/>
  <c r="K3081" i="1"/>
  <c r="L3081" i="1"/>
  <c r="A3082" i="1"/>
  <c r="B3082" i="1"/>
  <c r="C3082" i="1"/>
  <c r="D3082" i="1"/>
  <c r="Q3082" i="1"/>
  <c r="R3082" i="1"/>
  <c r="E3082" i="1"/>
  <c r="G3082" i="1"/>
  <c r="H3082" i="1"/>
  <c r="J3082" i="1"/>
  <c r="K3082" i="1"/>
  <c r="L3082" i="1"/>
  <c r="A3083" i="1"/>
  <c r="B3083" i="1"/>
  <c r="C3083" i="1"/>
  <c r="D3083" i="1"/>
  <c r="Q3083" i="1"/>
  <c r="R3083" i="1"/>
  <c r="E3083" i="1"/>
  <c r="G3083" i="1"/>
  <c r="H3083" i="1"/>
  <c r="J3083" i="1"/>
  <c r="K3083" i="1"/>
  <c r="L3083" i="1"/>
  <c r="A3084" i="1"/>
  <c r="B3084" i="1"/>
  <c r="C3084" i="1"/>
  <c r="D3084" i="1"/>
  <c r="Q3084" i="1"/>
  <c r="R3084" i="1"/>
  <c r="E3084" i="1"/>
  <c r="G3084" i="1"/>
  <c r="H3084" i="1"/>
  <c r="J3084" i="1"/>
  <c r="K3084" i="1"/>
  <c r="L3084" i="1"/>
  <c r="A3085" i="1"/>
  <c r="B3085" i="1"/>
  <c r="C3085" i="1"/>
  <c r="D3085" i="1"/>
  <c r="Q3085" i="1"/>
  <c r="R3085" i="1"/>
  <c r="E3085" i="1"/>
  <c r="G3085" i="1"/>
  <c r="H3085" i="1"/>
  <c r="J3085" i="1"/>
  <c r="K3085" i="1"/>
  <c r="L3085" i="1"/>
  <c r="A3086" i="1"/>
  <c r="B3086" i="1"/>
  <c r="C3086" i="1"/>
  <c r="D3086" i="1"/>
  <c r="Q3086" i="1"/>
  <c r="R3086" i="1"/>
  <c r="E3086" i="1"/>
  <c r="G3086" i="1"/>
  <c r="H3086" i="1"/>
  <c r="J3086" i="1"/>
  <c r="K3086" i="1"/>
  <c r="L3086" i="1"/>
  <c r="A3087" i="1"/>
  <c r="B3087" i="1"/>
  <c r="C3087" i="1"/>
  <c r="D3087" i="1"/>
  <c r="Q3087" i="1"/>
  <c r="R3087" i="1"/>
  <c r="E3087" i="1"/>
  <c r="G3087" i="1"/>
  <c r="H3087" i="1"/>
  <c r="J3087" i="1"/>
  <c r="K3087" i="1"/>
  <c r="L3087" i="1"/>
  <c r="A3088" i="1"/>
  <c r="B3088" i="1"/>
  <c r="C3088" i="1"/>
  <c r="D3088" i="1"/>
  <c r="Q3088" i="1"/>
  <c r="R3088" i="1"/>
  <c r="E3088" i="1"/>
  <c r="G3088" i="1"/>
  <c r="H3088" i="1"/>
  <c r="J3088" i="1"/>
  <c r="K3088" i="1"/>
  <c r="L3088" i="1"/>
  <c r="A3089" i="1"/>
  <c r="B3089" i="1"/>
  <c r="C3089" i="1"/>
  <c r="D3089" i="1"/>
  <c r="Q3089" i="1"/>
  <c r="R3089" i="1"/>
  <c r="E3089" i="1"/>
  <c r="G3089" i="1"/>
  <c r="H3089" i="1"/>
  <c r="J3089" i="1"/>
  <c r="K3089" i="1"/>
  <c r="L3089" i="1"/>
  <c r="A3090" i="1"/>
  <c r="B3090" i="1"/>
  <c r="C3090" i="1"/>
  <c r="D3090" i="1"/>
  <c r="Q3090" i="1"/>
  <c r="R3090" i="1"/>
  <c r="E3090" i="1"/>
  <c r="G3090" i="1"/>
  <c r="H3090" i="1"/>
  <c r="J3090" i="1"/>
  <c r="K3090" i="1"/>
  <c r="L3090" i="1"/>
  <c r="A3091" i="1"/>
  <c r="B3091" i="1"/>
  <c r="C3091" i="1"/>
  <c r="D3091" i="1"/>
  <c r="Q3091" i="1"/>
  <c r="R3091" i="1"/>
  <c r="E3091" i="1"/>
  <c r="G3091" i="1"/>
  <c r="H3091" i="1"/>
  <c r="J3091" i="1"/>
  <c r="K3091" i="1"/>
  <c r="L3091" i="1"/>
  <c r="A3092" i="1"/>
  <c r="B3092" i="1"/>
  <c r="C3092" i="1"/>
  <c r="D3092" i="1"/>
  <c r="Q3092" i="1"/>
  <c r="R3092" i="1"/>
  <c r="E3092" i="1"/>
  <c r="G3092" i="1"/>
  <c r="H3092" i="1"/>
  <c r="J3092" i="1"/>
  <c r="K3092" i="1"/>
  <c r="L3092" i="1"/>
  <c r="A3093" i="1"/>
  <c r="B3093" i="1"/>
  <c r="C3093" i="1"/>
  <c r="D3093" i="1"/>
  <c r="Q3093" i="1"/>
  <c r="R3093" i="1"/>
  <c r="E3093" i="1"/>
  <c r="G3093" i="1"/>
  <c r="H3093" i="1"/>
  <c r="J3093" i="1"/>
  <c r="K3093" i="1"/>
  <c r="L3093" i="1"/>
  <c r="A3094" i="1"/>
  <c r="B3094" i="1"/>
  <c r="C3094" i="1"/>
  <c r="D3094" i="1"/>
  <c r="Q3094" i="1"/>
  <c r="R3094" i="1"/>
  <c r="E3094" i="1"/>
  <c r="G3094" i="1"/>
  <c r="H3094" i="1"/>
  <c r="J3094" i="1"/>
  <c r="K3094" i="1"/>
  <c r="L3094" i="1"/>
  <c r="A3095" i="1"/>
  <c r="B3095" i="1"/>
  <c r="C3095" i="1"/>
  <c r="D3095" i="1"/>
  <c r="Q3095" i="1"/>
  <c r="R3095" i="1"/>
  <c r="E3095" i="1"/>
  <c r="G3095" i="1"/>
  <c r="H3095" i="1"/>
  <c r="J3095" i="1"/>
  <c r="K3095" i="1"/>
  <c r="L3095" i="1"/>
  <c r="A3096" i="1"/>
  <c r="B3096" i="1"/>
  <c r="C3096" i="1"/>
  <c r="D3096" i="1"/>
  <c r="Q3096" i="1"/>
  <c r="R3096" i="1"/>
  <c r="E3096" i="1"/>
  <c r="G3096" i="1"/>
  <c r="H3096" i="1"/>
  <c r="J3096" i="1"/>
  <c r="K3096" i="1"/>
  <c r="L3096" i="1"/>
  <c r="A3097" i="1"/>
  <c r="B3097" i="1"/>
  <c r="C3097" i="1"/>
  <c r="D3097" i="1"/>
  <c r="Q3097" i="1"/>
  <c r="R3097" i="1"/>
  <c r="E3097" i="1"/>
  <c r="G3097" i="1"/>
  <c r="H3097" i="1"/>
  <c r="J3097" i="1"/>
  <c r="K3097" i="1"/>
  <c r="L3097" i="1"/>
  <c r="A3098" i="1"/>
  <c r="B3098" i="1"/>
  <c r="C3098" i="1"/>
  <c r="D3098" i="1"/>
  <c r="Q3098" i="1"/>
  <c r="R3098" i="1"/>
  <c r="E3098" i="1"/>
  <c r="G3098" i="1"/>
  <c r="H3098" i="1"/>
  <c r="J3098" i="1"/>
  <c r="K3098" i="1"/>
  <c r="L3098" i="1"/>
  <c r="A3099" i="1"/>
  <c r="B3099" i="1"/>
  <c r="C3099" i="1"/>
  <c r="D3099" i="1"/>
  <c r="Q3099" i="1"/>
  <c r="R3099" i="1"/>
  <c r="E3099" i="1"/>
  <c r="G3099" i="1"/>
  <c r="H3099" i="1"/>
  <c r="J3099" i="1"/>
  <c r="K3099" i="1"/>
  <c r="L3099" i="1"/>
  <c r="A3100" i="1"/>
  <c r="B3100" i="1"/>
  <c r="C3100" i="1"/>
  <c r="D3100" i="1"/>
  <c r="Q3100" i="1"/>
  <c r="R3100" i="1"/>
  <c r="E3100" i="1"/>
  <c r="G3100" i="1"/>
  <c r="H3100" i="1"/>
  <c r="J3100" i="1"/>
  <c r="K3100" i="1"/>
  <c r="L3100" i="1"/>
  <c r="A3101" i="1"/>
  <c r="B3101" i="1"/>
  <c r="C3101" i="1"/>
  <c r="D3101" i="1"/>
  <c r="Q3101" i="1"/>
  <c r="R3101" i="1"/>
  <c r="E3101" i="1"/>
  <c r="G3101" i="1"/>
  <c r="H3101" i="1"/>
  <c r="J3101" i="1"/>
  <c r="K3101" i="1"/>
  <c r="L3101" i="1"/>
  <c r="A3102" i="1"/>
  <c r="B3102" i="1"/>
  <c r="C3102" i="1"/>
  <c r="D3102" i="1"/>
  <c r="Q3102" i="1"/>
  <c r="R3102" i="1"/>
  <c r="E3102" i="1"/>
  <c r="G3102" i="1"/>
  <c r="H3102" i="1"/>
  <c r="J3102" i="1"/>
  <c r="K3102" i="1"/>
  <c r="L3102" i="1"/>
  <c r="A3103" i="1"/>
  <c r="B3103" i="1"/>
  <c r="C3103" i="1"/>
  <c r="D3103" i="1"/>
  <c r="Q3103" i="1"/>
  <c r="R3103" i="1"/>
  <c r="E3103" i="1"/>
  <c r="G3103" i="1"/>
  <c r="H3103" i="1"/>
  <c r="J3103" i="1"/>
  <c r="K3103" i="1"/>
  <c r="L3103" i="1"/>
  <c r="A3104" i="1"/>
  <c r="B3104" i="1"/>
  <c r="C3104" i="1"/>
  <c r="D3104" i="1"/>
  <c r="Q3104" i="1"/>
  <c r="R3104" i="1"/>
  <c r="E3104" i="1"/>
  <c r="G3104" i="1"/>
  <c r="H3104" i="1"/>
  <c r="J3104" i="1"/>
  <c r="K3104" i="1"/>
  <c r="L3104" i="1"/>
  <c r="A3105" i="1"/>
  <c r="B3105" i="1"/>
  <c r="C3105" i="1"/>
  <c r="D3105" i="1"/>
  <c r="Q3105" i="1"/>
  <c r="R3105" i="1"/>
  <c r="E3105" i="1"/>
  <c r="G3105" i="1"/>
  <c r="H3105" i="1"/>
  <c r="J3105" i="1"/>
  <c r="K3105" i="1"/>
  <c r="L3105" i="1"/>
  <c r="A3106" i="1"/>
  <c r="B3106" i="1"/>
  <c r="C3106" i="1"/>
  <c r="D3106" i="1"/>
  <c r="Q3106" i="1"/>
  <c r="R3106" i="1"/>
  <c r="E3106" i="1"/>
  <c r="G3106" i="1"/>
  <c r="H3106" i="1"/>
  <c r="J3106" i="1"/>
  <c r="K3106" i="1"/>
  <c r="L3106" i="1"/>
  <c r="A3107" i="1"/>
  <c r="B3107" i="1"/>
  <c r="C3107" i="1"/>
  <c r="D3107" i="1"/>
  <c r="Q3107" i="1"/>
  <c r="R3107" i="1"/>
  <c r="E3107" i="1"/>
  <c r="G3107" i="1"/>
  <c r="H3107" i="1"/>
  <c r="J3107" i="1"/>
  <c r="K3107" i="1"/>
  <c r="L3107" i="1"/>
  <c r="A3108" i="1"/>
  <c r="B3108" i="1"/>
  <c r="C3108" i="1"/>
  <c r="D3108" i="1"/>
  <c r="Q3108" i="1"/>
  <c r="R3108" i="1"/>
  <c r="E3108" i="1"/>
  <c r="G3108" i="1"/>
  <c r="H3108" i="1"/>
  <c r="J3108" i="1"/>
  <c r="K3108" i="1"/>
  <c r="L3108" i="1"/>
  <c r="A3109" i="1"/>
  <c r="B3109" i="1"/>
  <c r="C3109" i="1"/>
  <c r="D3109" i="1"/>
  <c r="Q3109" i="1"/>
  <c r="R3109" i="1"/>
  <c r="E3109" i="1"/>
  <c r="G3109" i="1"/>
  <c r="H3109" i="1"/>
  <c r="J3109" i="1"/>
  <c r="K3109" i="1"/>
  <c r="L3109" i="1"/>
  <c r="A3110" i="1"/>
  <c r="B3110" i="1"/>
  <c r="C3110" i="1"/>
  <c r="D3110" i="1"/>
  <c r="Q3110" i="1"/>
  <c r="R3110" i="1"/>
  <c r="E3110" i="1"/>
  <c r="G3110" i="1"/>
  <c r="H3110" i="1"/>
  <c r="J3110" i="1"/>
  <c r="K3110" i="1"/>
  <c r="L3110" i="1"/>
  <c r="A3111" i="1"/>
  <c r="B3111" i="1"/>
  <c r="C3111" i="1"/>
  <c r="D3111" i="1"/>
  <c r="Q3111" i="1"/>
  <c r="R3111" i="1"/>
  <c r="E3111" i="1"/>
  <c r="G3111" i="1"/>
  <c r="H3111" i="1"/>
  <c r="J3111" i="1"/>
  <c r="K3111" i="1"/>
  <c r="L3111" i="1"/>
  <c r="A3112" i="1"/>
  <c r="B3112" i="1"/>
  <c r="C3112" i="1"/>
  <c r="D3112" i="1"/>
  <c r="Q3112" i="1"/>
  <c r="R3112" i="1"/>
  <c r="E3112" i="1"/>
  <c r="G3112" i="1"/>
  <c r="H3112" i="1"/>
  <c r="J3112" i="1"/>
  <c r="K3112" i="1"/>
  <c r="L3112" i="1"/>
  <c r="A3113" i="1"/>
  <c r="B3113" i="1"/>
  <c r="C3113" i="1"/>
  <c r="D3113" i="1"/>
  <c r="Q3113" i="1"/>
  <c r="R3113" i="1"/>
  <c r="E3113" i="1"/>
  <c r="G3113" i="1"/>
  <c r="H3113" i="1"/>
  <c r="J3113" i="1"/>
  <c r="K3113" i="1"/>
  <c r="L3113" i="1"/>
  <c r="A3114" i="1"/>
  <c r="B3114" i="1"/>
  <c r="C3114" i="1"/>
  <c r="D3114" i="1"/>
  <c r="Q3114" i="1"/>
  <c r="R3114" i="1"/>
  <c r="E3114" i="1"/>
  <c r="G3114" i="1"/>
  <c r="H3114" i="1"/>
  <c r="J3114" i="1"/>
  <c r="K3114" i="1"/>
  <c r="L3114" i="1"/>
  <c r="A3115" i="1"/>
  <c r="B3115" i="1"/>
  <c r="C3115" i="1"/>
  <c r="D3115" i="1"/>
  <c r="Q3115" i="1"/>
  <c r="R3115" i="1"/>
  <c r="E3115" i="1"/>
  <c r="G3115" i="1"/>
  <c r="H3115" i="1"/>
  <c r="J3115" i="1"/>
  <c r="K3115" i="1"/>
  <c r="L3115" i="1"/>
  <c r="A3116" i="1"/>
  <c r="B3116" i="1"/>
  <c r="C3116" i="1"/>
  <c r="D3116" i="1"/>
  <c r="Q3116" i="1"/>
  <c r="R3116" i="1"/>
  <c r="E3116" i="1"/>
  <c r="G3116" i="1"/>
  <c r="H3116" i="1"/>
  <c r="J3116" i="1"/>
  <c r="K3116" i="1"/>
  <c r="L3116" i="1"/>
  <c r="A3117" i="1"/>
  <c r="B3117" i="1"/>
  <c r="C3117" i="1"/>
  <c r="D3117" i="1"/>
  <c r="Q3117" i="1"/>
  <c r="R3117" i="1"/>
  <c r="E3117" i="1"/>
  <c r="G3117" i="1"/>
  <c r="H3117" i="1"/>
  <c r="J3117" i="1"/>
  <c r="K3117" i="1"/>
  <c r="L3117" i="1"/>
  <c r="A3118" i="1"/>
  <c r="B3118" i="1"/>
  <c r="C3118" i="1"/>
  <c r="D3118" i="1"/>
  <c r="Q3118" i="1"/>
  <c r="R3118" i="1"/>
  <c r="E3118" i="1"/>
  <c r="G3118" i="1"/>
  <c r="H3118" i="1"/>
  <c r="J3118" i="1"/>
  <c r="K3118" i="1"/>
  <c r="L3118" i="1"/>
  <c r="A3119" i="1"/>
  <c r="B3119" i="1"/>
  <c r="C3119" i="1"/>
  <c r="D3119" i="1"/>
  <c r="Q3119" i="1"/>
  <c r="R3119" i="1"/>
  <c r="E3119" i="1"/>
  <c r="G3119" i="1"/>
  <c r="H3119" i="1"/>
  <c r="J3119" i="1"/>
  <c r="K3119" i="1"/>
  <c r="L3119" i="1"/>
  <c r="A3120" i="1"/>
  <c r="B3120" i="1"/>
  <c r="C3120" i="1"/>
  <c r="D3120" i="1"/>
  <c r="Q3120" i="1"/>
  <c r="R3120" i="1"/>
  <c r="E3120" i="1"/>
  <c r="G3120" i="1"/>
  <c r="H3120" i="1"/>
  <c r="J3120" i="1"/>
  <c r="K3120" i="1"/>
  <c r="L3120" i="1"/>
  <c r="A3121" i="1"/>
  <c r="B3121" i="1"/>
  <c r="C3121" i="1"/>
  <c r="D3121" i="1"/>
  <c r="Q3121" i="1"/>
  <c r="R3121" i="1"/>
  <c r="E3121" i="1"/>
  <c r="G3121" i="1"/>
  <c r="H3121" i="1"/>
  <c r="J3121" i="1"/>
  <c r="K3121" i="1"/>
  <c r="L3121" i="1"/>
  <c r="A3122" i="1"/>
  <c r="B3122" i="1"/>
  <c r="C3122" i="1"/>
  <c r="D3122" i="1"/>
  <c r="Q3122" i="1"/>
  <c r="R3122" i="1"/>
  <c r="E3122" i="1"/>
  <c r="G3122" i="1"/>
  <c r="H3122" i="1"/>
  <c r="J3122" i="1"/>
  <c r="K3122" i="1"/>
  <c r="L3122" i="1"/>
  <c r="A3123" i="1"/>
  <c r="B3123" i="1"/>
  <c r="C3123" i="1"/>
  <c r="D3123" i="1"/>
  <c r="Q3123" i="1"/>
  <c r="R3123" i="1"/>
  <c r="E3123" i="1"/>
  <c r="G3123" i="1"/>
  <c r="H3123" i="1"/>
  <c r="J3123" i="1"/>
  <c r="K3123" i="1"/>
  <c r="L3123" i="1"/>
  <c r="A3124" i="1"/>
  <c r="B3124" i="1"/>
  <c r="C3124" i="1"/>
  <c r="D3124" i="1"/>
  <c r="Q3124" i="1"/>
  <c r="R3124" i="1"/>
  <c r="E3124" i="1"/>
  <c r="G3124" i="1"/>
  <c r="H3124" i="1"/>
  <c r="J3124" i="1"/>
  <c r="K3124" i="1"/>
  <c r="L3124" i="1"/>
  <c r="A3125" i="1"/>
  <c r="B3125" i="1"/>
  <c r="C3125" i="1"/>
  <c r="D3125" i="1"/>
  <c r="Q3125" i="1"/>
  <c r="R3125" i="1"/>
  <c r="E3125" i="1"/>
  <c r="G3125" i="1"/>
  <c r="H3125" i="1"/>
  <c r="J3125" i="1"/>
  <c r="K3125" i="1"/>
  <c r="L3125" i="1"/>
  <c r="A3126" i="1"/>
  <c r="B3126" i="1"/>
  <c r="C3126" i="1"/>
  <c r="D3126" i="1"/>
  <c r="Q3126" i="1"/>
  <c r="R3126" i="1"/>
  <c r="E3126" i="1"/>
  <c r="G3126" i="1"/>
  <c r="H3126" i="1"/>
  <c r="J3126" i="1"/>
  <c r="K3126" i="1"/>
  <c r="L3126" i="1"/>
  <c r="A3127" i="1"/>
  <c r="B3127" i="1"/>
  <c r="C3127" i="1"/>
  <c r="D3127" i="1"/>
  <c r="Q3127" i="1"/>
  <c r="R3127" i="1"/>
  <c r="E3127" i="1"/>
  <c r="G3127" i="1"/>
  <c r="H3127" i="1"/>
  <c r="J3127" i="1"/>
  <c r="K3127" i="1"/>
  <c r="L3127" i="1"/>
  <c r="A3128" i="1"/>
  <c r="B3128" i="1"/>
  <c r="C3128" i="1"/>
  <c r="D3128" i="1"/>
  <c r="Q3128" i="1"/>
  <c r="R3128" i="1"/>
  <c r="E3128" i="1"/>
  <c r="G3128" i="1"/>
  <c r="H3128" i="1"/>
  <c r="J3128" i="1"/>
  <c r="K3128" i="1"/>
  <c r="L3128" i="1"/>
  <c r="A3129" i="1"/>
  <c r="B3129" i="1"/>
  <c r="C3129" i="1"/>
  <c r="D3129" i="1"/>
  <c r="Q3129" i="1"/>
  <c r="R3129" i="1"/>
  <c r="E3129" i="1"/>
  <c r="G3129" i="1"/>
  <c r="H3129" i="1"/>
  <c r="J3129" i="1"/>
  <c r="K3129" i="1"/>
  <c r="L3129" i="1"/>
  <c r="A3130" i="1"/>
  <c r="B3130" i="1"/>
  <c r="C3130" i="1"/>
  <c r="D3130" i="1"/>
  <c r="Q3130" i="1"/>
  <c r="R3130" i="1"/>
  <c r="E3130" i="1"/>
  <c r="G3130" i="1"/>
  <c r="H3130" i="1"/>
  <c r="J3130" i="1"/>
  <c r="K3130" i="1"/>
  <c r="L3130" i="1"/>
  <c r="A3131" i="1"/>
  <c r="B3131" i="1"/>
  <c r="C3131" i="1"/>
  <c r="D3131" i="1"/>
  <c r="Q3131" i="1"/>
  <c r="R3131" i="1"/>
  <c r="E3131" i="1"/>
  <c r="G3131" i="1"/>
  <c r="H3131" i="1"/>
  <c r="J3131" i="1"/>
  <c r="K3131" i="1"/>
  <c r="L3131" i="1"/>
  <c r="A3132" i="1"/>
  <c r="B3132" i="1"/>
  <c r="C3132" i="1"/>
  <c r="D3132" i="1"/>
  <c r="Q3132" i="1"/>
  <c r="R3132" i="1"/>
  <c r="E3132" i="1"/>
  <c r="G3132" i="1"/>
  <c r="H3132" i="1"/>
  <c r="J3132" i="1"/>
  <c r="K3132" i="1"/>
  <c r="L3132" i="1"/>
  <c r="A3133" i="1"/>
  <c r="B3133" i="1"/>
  <c r="C3133" i="1"/>
  <c r="D3133" i="1"/>
  <c r="Q3133" i="1"/>
  <c r="R3133" i="1"/>
  <c r="E3133" i="1"/>
  <c r="G3133" i="1"/>
  <c r="H3133" i="1"/>
  <c r="J3133" i="1"/>
  <c r="K3133" i="1"/>
  <c r="L3133" i="1"/>
  <c r="A3134" i="1"/>
  <c r="B3134" i="1"/>
  <c r="C3134" i="1"/>
  <c r="D3134" i="1"/>
  <c r="Q3134" i="1"/>
  <c r="R3134" i="1"/>
  <c r="E3134" i="1"/>
  <c r="G3134" i="1"/>
  <c r="H3134" i="1"/>
  <c r="J3134" i="1"/>
  <c r="K3134" i="1"/>
  <c r="L3134" i="1"/>
  <c r="A3135" i="1"/>
  <c r="B3135" i="1"/>
  <c r="C3135" i="1"/>
  <c r="D3135" i="1"/>
  <c r="Q3135" i="1"/>
  <c r="R3135" i="1"/>
  <c r="E3135" i="1"/>
  <c r="G3135" i="1"/>
  <c r="H3135" i="1"/>
  <c r="J3135" i="1"/>
  <c r="K3135" i="1"/>
  <c r="L3135" i="1"/>
  <c r="A3136" i="1"/>
  <c r="B3136" i="1"/>
  <c r="C3136" i="1"/>
  <c r="D3136" i="1"/>
  <c r="Q3136" i="1"/>
  <c r="R3136" i="1"/>
  <c r="E3136" i="1"/>
  <c r="G3136" i="1"/>
  <c r="H3136" i="1"/>
  <c r="J3136" i="1"/>
  <c r="K3136" i="1"/>
  <c r="L3136" i="1"/>
  <c r="A3137" i="1"/>
  <c r="B3137" i="1"/>
  <c r="C3137" i="1"/>
  <c r="D3137" i="1"/>
  <c r="Q3137" i="1"/>
  <c r="R3137" i="1"/>
  <c r="E3137" i="1"/>
  <c r="G3137" i="1"/>
  <c r="H3137" i="1"/>
  <c r="J3137" i="1"/>
  <c r="K3137" i="1"/>
  <c r="L3137" i="1"/>
  <c r="A3138" i="1"/>
  <c r="B3138" i="1"/>
  <c r="C3138" i="1"/>
  <c r="D3138" i="1"/>
  <c r="Q3138" i="1"/>
  <c r="R3138" i="1"/>
  <c r="E3138" i="1"/>
  <c r="G3138" i="1"/>
  <c r="H3138" i="1"/>
  <c r="J3138" i="1"/>
  <c r="K3138" i="1"/>
  <c r="L3138" i="1"/>
  <c r="A3139" i="1"/>
  <c r="B3139" i="1"/>
  <c r="C3139" i="1"/>
  <c r="D3139" i="1"/>
  <c r="Q3139" i="1"/>
  <c r="R3139" i="1"/>
  <c r="E3139" i="1"/>
  <c r="G3139" i="1"/>
  <c r="H3139" i="1"/>
  <c r="J3139" i="1"/>
  <c r="K3139" i="1"/>
  <c r="L3139" i="1"/>
  <c r="A3140" i="1"/>
  <c r="B3140" i="1"/>
  <c r="C3140" i="1"/>
  <c r="D3140" i="1"/>
  <c r="Q3140" i="1"/>
  <c r="R3140" i="1"/>
  <c r="E3140" i="1"/>
  <c r="G3140" i="1"/>
  <c r="H3140" i="1"/>
  <c r="J3140" i="1"/>
  <c r="K3140" i="1"/>
  <c r="L3140" i="1"/>
  <c r="A3141" i="1"/>
  <c r="B3141" i="1"/>
  <c r="C3141" i="1"/>
  <c r="D3141" i="1"/>
  <c r="Q3141" i="1"/>
  <c r="R3141" i="1"/>
  <c r="E3141" i="1"/>
  <c r="G3141" i="1"/>
  <c r="H3141" i="1"/>
  <c r="J3141" i="1"/>
  <c r="K3141" i="1"/>
  <c r="L3141" i="1"/>
  <c r="A3142" i="1"/>
  <c r="B3142" i="1"/>
  <c r="C3142" i="1"/>
  <c r="D3142" i="1"/>
  <c r="Q3142" i="1"/>
  <c r="R3142" i="1"/>
  <c r="E3142" i="1"/>
  <c r="G3142" i="1"/>
  <c r="H3142" i="1"/>
  <c r="J3142" i="1"/>
  <c r="K3142" i="1"/>
  <c r="L3142" i="1"/>
  <c r="A3143" i="1"/>
  <c r="B3143" i="1"/>
  <c r="C3143" i="1"/>
  <c r="D3143" i="1"/>
  <c r="Q3143" i="1"/>
  <c r="R3143" i="1"/>
  <c r="E3143" i="1"/>
  <c r="G3143" i="1"/>
  <c r="H3143" i="1"/>
  <c r="J3143" i="1"/>
  <c r="K3143" i="1"/>
  <c r="L3143" i="1"/>
  <c r="A3144" i="1"/>
  <c r="B3144" i="1"/>
  <c r="C3144" i="1"/>
  <c r="D3144" i="1"/>
  <c r="Q3144" i="1"/>
  <c r="R3144" i="1"/>
  <c r="E3144" i="1"/>
  <c r="G3144" i="1"/>
  <c r="H3144" i="1"/>
  <c r="J3144" i="1"/>
  <c r="K3144" i="1"/>
  <c r="L3144" i="1"/>
  <c r="A3145" i="1"/>
  <c r="B3145" i="1"/>
  <c r="C3145" i="1"/>
  <c r="D3145" i="1"/>
  <c r="Q3145" i="1"/>
  <c r="R3145" i="1"/>
  <c r="E3145" i="1"/>
  <c r="G3145" i="1"/>
  <c r="H3145" i="1"/>
  <c r="J3145" i="1"/>
  <c r="K3145" i="1"/>
  <c r="L3145" i="1"/>
  <c r="A3146" i="1"/>
  <c r="B3146" i="1"/>
  <c r="C3146" i="1"/>
  <c r="D3146" i="1"/>
  <c r="Q3146" i="1"/>
  <c r="R3146" i="1"/>
  <c r="E3146" i="1"/>
  <c r="G3146" i="1"/>
  <c r="H3146" i="1"/>
  <c r="J3146" i="1"/>
  <c r="K3146" i="1"/>
  <c r="L3146" i="1"/>
  <c r="A3147" i="1"/>
  <c r="B3147" i="1"/>
  <c r="C3147" i="1"/>
  <c r="D3147" i="1"/>
  <c r="Q3147" i="1"/>
  <c r="R3147" i="1"/>
  <c r="E3147" i="1"/>
  <c r="G3147" i="1"/>
  <c r="H3147" i="1"/>
  <c r="J3147" i="1"/>
  <c r="K3147" i="1"/>
  <c r="L3147" i="1"/>
  <c r="A3148" i="1"/>
  <c r="B3148" i="1"/>
  <c r="C3148" i="1"/>
  <c r="D3148" i="1"/>
  <c r="Q3148" i="1"/>
  <c r="R3148" i="1"/>
  <c r="E3148" i="1"/>
  <c r="G3148" i="1"/>
  <c r="H3148" i="1"/>
  <c r="J3148" i="1"/>
  <c r="K3148" i="1"/>
  <c r="L3148" i="1"/>
  <c r="A3149" i="1"/>
  <c r="B3149" i="1"/>
  <c r="C3149" i="1"/>
  <c r="D3149" i="1"/>
  <c r="Q3149" i="1"/>
  <c r="R3149" i="1"/>
  <c r="E3149" i="1"/>
  <c r="G3149" i="1"/>
  <c r="H3149" i="1"/>
  <c r="J3149" i="1"/>
  <c r="K3149" i="1"/>
  <c r="L3149" i="1"/>
  <c r="A3150" i="1"/>
  <c r="B3150" i="1"/>
  <c r="C3150" i="1"/>
  <c r="D3150" i="1"/>
  <c r="Q3150" i="1"/>
  <c r="R3150" i="1"/>
  <c r="E3150" i="1"/>
  <c r="G3150" i="1"/>
  <c r="H3150" i="1"/>
  <c r="J3150" i="1"/>
  <c r="K3150" i="1"/>
  <c r="L3150" i="1"/>
  <c r="A3151" i="1"/>
  <c r="B3151" i="1"/>
  <c r="C3151" i="1"/>
  <c r="D3151" i="1"/>
  <c r="Q3151" i="1"/>
  <c r="R3151" i="1"/>
  <c r="E3151" i="1"/>
  <c r="G3151" i="1"/>
  <c r="H3151" i="1"/>
  <c r="J3151" i="1"/>
  <c r="K3151" i="1"/>
  <c r="L3151" i="1"/>
  <c r="A3152" i="1"/>
  <c r="B3152" i="1"/>
  <c r="C3152" i="1"/>
  <c r="D3152" i="1"/>
  <c r="Q3152" i="1"/>
  <c r="R3152" i="1"/>
  <c r="E3152" i="1"/>
  <c r="G3152" i="1"/>
  <c r="H3152" i="1"/>
  <c r="J3152" i="1"/>
  <c r="K3152" i="1"/>
  <c r="L3152" i="1"/>
  <c r="A3153" i="1"/>
  <c r="B3153" i="1"/>
  <c r="C3153" i="1"/>
  <c r="D3153" i="1"/>
  <c r="Q3153" i="1"/>
  <c r="R3153" i="1"/>
  <c r="E3153" i="1"/>
  <c r="G3153" i="1"/>
  <c r="H3153" i="1"/>
  <c r="J3153" i="1"/>
  <c r="K3153" i="1"/>
  <c r="L3153" i="1"/>
  <c r="A3154" i="1"/>
  <c r="B3154" i="1"/>
  <c r="C3154" i="1"/>
  <c r="D3154" i="1"/>
  <c r="Q3154" i="1"/>
  <c r="R3154" i="1"/>
  <c r="E3154" i="1"/>
  <c r="G3154" i="1"/>
  <c r="H3154" i="1"/>
  <c r="J3154" i="1"/>
  <c r="K3154" i="1"/>
  <c r="L3154" i="1"/>
  <c r="A3155" i="1"/>
  <c r="B3155" i="1"/>
  <c r="C3155" i="1"/>
  <c r="D3155" i="1"/>
  <c r="Q3155" i="1"/>
  <c r="R3155" i="1"/>
  <c r="E3155" i="1"/>
  <c r="G3155" i="1"/>
  <c r="H3155" i="1"/>
  <c r="J3155" i="1"/>
  <c r="K3155" i="1"/>
  <c r="L3155" i="1"/>
  <c r="A3156" i="1"/>
  <c r="B3156" i="1"/>
  <c r="C3156" i="1"/>
  <c r="D3156" i="1"/>
  <c r="Q3156" i="1"/>
  <c r="R3156" i="1"/>
  <c r="E3156" i="1"/>
  <c r="G3156" i="1"/>
  <c r="H3156" i="1"/>
  <c r="J3156" i="1"/>
  <c r="K3156" i="1"/>
  <c r="L3156" i="1"/>
  <c r="A3157" i="1"/>
  <c r="B3157" i="1"/>
  <c r="C3157" i="1"/>
  <c r="D3157" i="1"/>
  <c r="Q3157" i="1"/>
  <c r="R3157" i="1"/>
  <c r="E3157" i="1"/>
  <c r="G3157" i="1"/>
  <c r="H3157" i="1"/>
  <c r="J3157" i="1"/>
  <c r="K3157" i="1"/>
  <c r="L3157" i="1"/>
  <c r="A3158" i="1"/>
  <c r="B3158" i="1"/>
  <c r="C3158" i="1"/>
  <c r="D3158" i="1"/>
  <c r="Q3158" i="1"/>
  <c r="R3158" i="1"/>
  <c r="E3158" i="1"/>
  <c r="G3158" i="1"/>
  <c r="H3158" i="1"/>
  <c r="J3158" i="1"/>
  <c r="K3158" i="1"/>
  <c r="L3158" i="1"/>
  <c r="A3159" i="1"/>
  <c r="B3159" i="1"/>
  <c r="C3159" i="1"/>
  <c r="D3159" i="1"/>
  <c r="Q3159" i="1"/>
  <c r="R3159" i="1"/>
  <c r="E3159" i="1"/>
  <c r="G3159" i="1"/>
  <c r="H3159" i="1"/>
  <c r="J3159" i="1"/>
  <c r="K3159" i="1"/>
  <c r="L3159" i="1"/>
  <c r="A3160" i="1"/>
  <c r="B3160" i="1"/>
  <c r="C3160" i="1"/>
  <c r="D3160" i="1"/>
  <c r="Q3160" i="1"/>
  <c r="R3160" i="1"/>
  <c r="E3160" i="1"/>
  <c r="G3160" i="1"/>
  <c r="H3160" i="1"/>
  <c r="J3160" i="1"/>
  <c r="K3160" i="1"/>
  <c r="L3160" i="1"/>
  <c r="A3161" i="1"/>
  <c r="B3161" i="1"/>
  <c r="C3161" i="1"/>
  <c r="D3161" i="1"/>
  <c r="Q3161" i="1"/>
  <c r="R3161" i="1"/>
  <c r="E3161" i="1"/>
  <c r="G3161" i="1"/>
  <c r="H3161" i="1"/>
  <c r="J3161" i="1"/>
  <c r="K3161" i="1"/>
  <c r="L3161" i="1"/>
  <c r="A3162" i="1"/>
  <c r="B3162" i="1"/>
  <c r="C3162" i="1"/>
  <c r="D3162" i="1"/>
  <c r="Q3162" i="1"/>
  <c r="R3162" i="1"/>
  <c r="E3162" i="1"/>
  <c r="G3162" i="1"/>
  <c r="H3162" i="1"/>
  <c r="J3162" i="1"/>
  <c r="K3162" i="1"/>
  <c r="L3162" i="1"/>
  <c r="A3163" i="1"/>
  <c r="B3163" i="1"/>
  <c r="C3163" i="1"/>
  <c r="D3163" i="1"/>
  <c r="Q3163" i="1"/>
  <c r="R3163" i="1"/>
  <c r="E3163" i="1"/>
  <c r="G3163" i="1"/>
  <c r="H3163" i="1"/>
  <c r="J3163" i="1"/>
  <c r="K3163" i="1"/>
  <c r="L3163" i="1"/>
  <c r="A3164" i="1"/>
  <c r="B3164" i="1"/>
  <c r="C3164" i="1"/>
  <c r="D3164" i="1"/>
  <c r="Q3164" i="1"/>
  <c r="R3164" i="1"/>
  <c r="E3164" i="1"/>
  <c r="G3164" i="1"/>
  <c r="H3164" i="1"/>
  <c r="J3164" i="1"/>
  <c r="K3164" i="1"/>
  <c r="L3164" i="1"/>
  <c r="A3165" i="1"/>
  <c r="B3165" i="1"/>
  <c r="C3165" i="1"/>
  <c r="D3165" i="1"/>
  <c r="Q3165" i="1"/>
  <c r="R3165" i="1"/>
  <c r="E3165" i="1"/>
  <c r="G3165" i="1"/>
  <c r="H3165" i="1"/>
  <c r="J3165" i="1"/>
  <c r="K3165" i="1"/>
  <c r="L3165" i="1"/>
  <c r="A3166" i="1"/>
  <c r="B3166" i="1"/>
  <c r="C3166" i="1"/>
  <c r="D3166" i="1"/>
  <c r="Q3166" i="1"/>
  <c r="R3166" i="1"/>
  <c r="E3166" i="1"/>
  <c r="G3166" i="1"/>
  <c r="H3166" i="1"/>
  <c r="J3166" i="1"/>
  <c r="K3166" i="1"/>
  <c r="L3166" i="1"/>
  <c r="A3167" i="1"/>
  <c r="B3167" i="1"/>
  <c r="C3167" i="1"/>
  <c r="D3167" i="1"/>
  <c r="Q3167" i="1"/>
  <c r="R3167" i="1"/>
  <c r="E3167" i="1"/>
  <c r="G3167" i="1"/>
  <c r="H3167" i="1"/>
  <c r="J3167" i="1"/>
  <c r="K3167" i="1"/>
  <c r="L3167" i="1"/>
  <c r="A3168" i="1"/>
  <c r="B3168" i="1"/>
  <c r="C3168" i="1"/>
  <c r="D3168" i="1"/>
  <c r="Q3168" i="1"/>
  <c r="R3168" i="1"/>
  <c r="E3168" i="1"/>
  <c r="G3168" i="1"/>
  <c r="H3168" i="1"/>
  <c r="J3168" i="1"/>
  <c r="K3168" i="1"/>
  <c r="L3168" i="1"/>
  <c r="A3169" i="1"/>
  <c r="B3169" i="1"/>
  <c r="C3169" i="1"/>
  <c r="D3169" i="1"/>
  <c r="Q3169" i="1"/>
  <c r="R3169" i="1"/>
  <c r="E3169" i="1"/>
  <c r="G3169" i="1"/>
  <c r="H3169" i="1"/>
  <c r="J3169" i="1"/>
  <c r="K3169" i="1"/>
  <c r="L3169" i="1"/>
  <c r="A3170" i="1"/>
  <c r="B3170" i="1"/>
  <c r="C3170" i="1"/>
  <c r="D3170" i="1"/>
  <c r="Q3170" i="1"/>
  <c r="R3170" i="1"/>
  <c r="E3170" i="1"/>
  <c r="G3170" i="1"/>
  <c r="H3170" i="1"/>
  <c r="J3170" i="1"/>
  <c r="K3170" i="1"/>
  <c r="L3170" i="1"/>
  <c r="A3171" i="1"/>
  <c r="B3171" i="1"/>
  <c r="C3171" i="1"/>
  <c r="D3171" i="1"/>
  <c r="Q3171" i="1"/>
  <c r="R3171" i="1"/>
  <c r="E3171" i="1"/>
  <c r="G3171" i="1"/>
  <c r="H3171" i="1"/>
  <c r="J3171" i="1"/>
  <c r="K3171" i="1"/>
  <c r="L3171" i="1"/>
  <c r="A3172" i="1"/>
  <c r="B3172" i="1"/>
  <c r="C3172" i="1"/>
  <c r="D3172" i="1"/>
  <c r="Q3172" i="1"/>
  <c r="R3172" i="1"/>
  <c r="E3172" i="1"/>
  <c r="G3172" i="1"/>
  <c r="H3172" i="1"/>
  <c r="J3172" i="1"/>
  <c r="K3172" i="1"/>
  <c r="L3172" i="1"/>
  <c r="A3173" i="1"/>
  <c r="B3173" i="1"/>
  <c r="C3173" i="1"/>
  <c r="D3173" i="1"/>
  <c r="Q3173" i="1"/>
  <c r="R3173" i="1"/>
  <c r="E3173" i="1"/>
  <c r="G3173" i="1"/>
  <c r="H3173" i="1"/>
  <c r="J3173" i="1"/>
  <c r="K3173" i="1"/>
  <c r="L3173" i="1"/>
  <c r="A3174" i="1"/>
  <c r="B3174" i="1"/>
  <c r="C3174" i="1"/>
  <c r="D3174" i="1"/>
  <c r="Q3174" i="1"/>
  <c r="R3174" i="1"/>
  <c r="E3174" i="1"/>
  <c r="G3174" i="1"/>
  <c r="H3174" i="1"/>
  <c r="J3174" i="1"/>
  <c r="K3174" i="1"/>
  <c r="L3174" i="1"/>
  <c r="A3175" i="1"/>
  <c r="B3175" i="1"/>
  <c r="C3175" i="1"/>
  <c r="D3175" i="1"/>
  <c r="Q3175" i="1"/>
  <c r="R3175" i="1"/>
  <c r="E3175" i="1"/>
  <c r="G3175" i="1"/>
  <c r="H3175" i="1"/>
  <c r="J3175" i="1"/>
  <c r="K3175" i="1"/>
  <c r="L3175" i="1"/>
  <c r="A3176" i="1"/>
  <c r="B3176" i="1"/>
  <c r="C3176" i="1"/>
  <c r="D3176" i="1"/>
  <c r="Q3176" i="1"/>
  <c r="R3176" i="1"/>
  <c r="E3176" i="1"/>
  <c r="G3176" i="1"/>
  <c r="H3176" i="1"/>
  <c r="J3176" i="1"/>
  <c r="K3176" i="1"/>
  <c r="L3176" i="1"/>
  <c r="A3177" i="1"/>
  <c r="B3177" i="1"/>
  <c r="C3177" i="1"/>
  <c r="D3177" i="1"/>
  <c r="Q3177" i="1"/>
  <c r="R3177" i="1"/>
  <c r="E3177" i="1"/>
  <c r="G3177" i="1"/>
  <c r="H3177" i="1"/>
  <c r="J3177" i="1"/>
  <c r="K3177" i="1"/>
  <c r="L3177" i="1"/>
  <c r="A3178" i="1"/>
  <c r="B3178" i="1"/>
  <c r="C3178" i="1"/>
  <c r="D3178" i="1"/>
  <c r="Q3178" i="1"/>
  <c r="R3178" i="1"/>
  <c r="E3178" i="1"/>
  <c r="G3178" i="1"/>
  <c r="H3178" i="1"/>
  <c r="J3178" i="1"/>
  <c r="K3178" i="1"/>
  <c r="L3178" i="1"/>
  <c r="A3179" i="1"/>
  <c r="B3179" i="1"/>
  <c r="C3179" i="1"/>
  <c r="D3179" i="1"/>
  <c r="Q3179" i="1"/>
  <c r="R3179" i="1"/>
  <c r="E3179" i="1"/>
  <c r="G3179" i="1"/>
  <c r="H3179" i="1"/>
  <c r="J3179" i="1"/>
  <c r="K3179" i="1"/>
  <c r="L3179" i="1"/>
  <c r="A3180" i="1"/>
  <c r="B3180" i="1"/>
  <c r="C3180" i="1"/>
  <c r="D3180" i="1"/>
  <c r="Q3180" i="1"/>
  <c r="R3180" i="1"/>
  <c r="E3180" i="1"/>
  <c r="G3180" i="1"/>
  <c r="H3180" i="1"/>
  <c r="J3180" i="1"/>
  <c r="K3180" i="1"/>
  <c r="L3180" i="1"/>
  <c r="A3181" i="1"/>
  <c r="B3181" i="1"/>
  <c r="C3181" i="1"/>
  <c r="D3181" i="1"/>
  <c r="Q3181" i="1"/>
  <c r="R3181" i="1"/>
  <c r="E3181" i="1"/>
  <c r="G3181" i="1"/>
  <c r="H3181" i="1"/>
  <c r="J3181" i="1"/>
  <c r="K3181" i="1"/>
  <c r="L3181" i="1"/>
  <c r="A3182" i="1"/>
  <c r="B3182" i="1"/>
  <c r="C3182" i="1"/>
  <c r="D3182" i="1"/>
  <c r="Q3182" i="1"/>
  <c r="R3182" i="1"/>
  <c r="E3182" i="1"/>
  <c r="G3182" i="1"/>
  <c r="H3182" i="1"/>
  <c r="J3182" i="1"/>
  <c r="K3182" i="1"/>
  <c r="L3182" i="1"/>
  <c r="A3183" i="1"/>
  <c r="B3183" i="1"/>
  <c r="C3183" i="1"/>
  <c r="D3183" i="1"/>
  <c r="Q3183" i="1"/>
  <c r="R3183" i="1"/>
  <c r="E3183" i="1"/>
  <c r="G3183" i="1"/>
  <c r="H3183" i="1"/>
  <c r="J3183" i="1"/>
  <c r="K3183" i="1"/>
  <c r="L3183" i="1"/>
  <c r="A3184" i="1"/>
  <c r="B3184" i="1"/>
  <c r="C3184" i="1"/>
  <c r="D3184" i="1"/>
  <c r="Q3184" i="1"/>
  <c r="R3184" i="1"/>
  <c r="E3184" i="1"/>
  <c r="G3184" i="1"/>
  <c r="H3184" i="1"/>
  <c r="J3184" i="1"/>
  <c r="K3184" i="1"/>
  <c r="L3184" i="1"/>
  <c r="A3185" i="1"/>
  <c r="B3185" i="1"/>
  <c r="C3185" i="1"/>
  <c r="D3185" i="1"/>
  <c r="Q3185" i="1"/>
  <c r="R3185" i="1"/>
  <c r="E3185" i="1"/>
  <c r="G3185" i="1"/>
  <c r="H3185" i="1"/>
  <c r="J3185" i="1"/>
  <c r="K3185" i="1"/>
  <c r="L3185" i="1"/>
  <c r="A3186" i="1"/>
  <c r="B3186" i="1"/>
  <c r="C3186" i="1"/>
  <c r="D3186" i="1"/>
  <c r="Q3186" i="1"/>
  <c r="R3186" i="1"/>
  <c r="E3186" i="1"/>
  <c r="G3186" i="1"/>
  <c r="H3186" i="1"/>
  <c r="J3186" i="1"/>
  <c r="K3186" i="1"/>
  <c r="L3186" i="1"/>
  <c r="A3187" i="1"/>
  <c r="B3187" i="1"/>
  <c r="C3187" i="1"/>
  <c r="D3187" i="1"/>
  <c r="Q3187" i="1"/>
  <c r="R3187" i="1"/>
  <c r="E3187" i="1"/>
  <c r="G3187" i="1"/>
  <c r="H3187" i="1"/>
  <c r="J3187" i="1"/>
  <c r="K3187" i="1"/>
  <c r="L3187" i="1"/>
  <c r="A3188" i="1"/>
  <c r="B3188" i="1"/>
  <c r="C3188" i="1"/>
  <c r="D3188" i="1"/>
  <c r="Q3188" i="1"/>
  <c r="R3188" i="1"/>
  <c r="E3188" i="1"/>
  <c r="G3188" i="1"/>
  <c r="H3188" i="1"/>
  <c r="J3188" i="1"/>
  <c r="K3188" i="1"/>
  <c r="L3188" i="1"/>
  <c r="A3189" i="1"/>
  <c r="B3189" i="1"/>
  <c r="C3189" i="1"/>
  <c r="D3189" i="1"/>
  <c r="Q3189" i="1"/>
  <c r="R3189" i="1"/>
  <c r="E3189" i="1"/>
  <c r="G3189" i="1"/>
  <c r="H3189" i="1"/>
  <c r="J3189" i="1"/>
  <c r="K3189" i="1"/>
  <c r="L3189" i="1"/>
  <c r="A3190" i="1"/>
  <c r="B3190" i="1"/>
  <c r="C3190" i="1"/>
  <c r="D3190" i="1"/>
  <c r="Q3190" i="1"/>
  <c r="R3190" i="1"/>
  <c r="E3190" i="1"/>
  <c r="G3190" i="1"/>
  <c r="H3190" i="1"/>
  <c r="J3190" i="1"/>
  <c r="K3190" i="1"/>
  <c r="L3190" i="1"/>
  <c r="A3191" i="1"/>
  <c r="B3191" i="1"/>
  <c r="C3191" i="1"/>
  <c r="D3191" i="1"/>
  <c r="Q3191" i="1"/>
  <c r="R3191" i="1"/>
  <c r="E3191" i="1"/>
  <c r="G3191" i="1"/>
  <c r="H3191" i="1"/>
  <c r="J3191" i="1"/>
  <c r="K3191" i="1"/>
  <c r="L3191" i="1"/>
  <c r="A3192" i="1"/>
  <c r="B3192" i="1"/>
  <c r="C3192" i="1"/>
  <c r="D3192" i="1"/>
  <c r="Q3192" i="1"/>
  <c r="R3192" i="1"/>
  <c r="E3192" i="1"/>
  <c r="G3192" i="1"/>
  <c r="H3192" i="1"/>
  <c r="J3192" i="1"/>
  <c r="K3192" i="1"/>
  <c r="L3192" i="1"/>
  <c r="A3193" i="1"/>
  <c r="B3193" i="1"/>
  <c r="C3193" i="1"/>
  <c r="D3193" i="1"/>
  <c r="Q3193" i="1"/>
  <c r="R3193" i="1"/>
  <c r="E3193" i="1"/>
  <c r="G3193" i="1"/>
  <c r="H3193" i="1"/>
  <c r="J3193" i="1"/>
  <c r="K3193" i="1"/>
  <c r="L3193" i="1"/>
  <c r="A3194" i="1"/>
  <c r="B3194" i="1"/>
  <c r="C3194" i="1"/>
  <c r="D3194" i="1"/>
  <c r="Q3194" i="1"/>
  <c r="R3194" i="1"/>
  <c r="E3194" i="1"/>
  <c r="G3194" i="1"/>
  <c r="H3194" i="1"/>
  <c r="J3194" i="1"/>
  <c r="K3194" i="1"/>
  <c r="L3194" i="1"/>
  <c r="A3195" i="1"/>
  <c r="B3195" i="1"/>
  <c r="C3195" i="1"/>
  <c r="D3195" i="1"/>
  <c r="Q3195" i="1"/>
  <c r="R3195" i="1"/>
  <c r="E3195" i="1"/>
  <c r="G3195" i="1"/>
  <c r="H3195" i="1"/>
  <c r="J3195" i="1"/>
  <c r="K3195" i="1"/>
  <c r="L3195" i="1"/>
  <c r="A3196" i="1"/>
  <c r="B3196" i="1"/>
  <c r="C3196" i="1"/>
  <c r="D3196" i="1"/>
  <c r="Q3196" i="1"/>
  <c r="R3196" i="1"/>
  <c r="E3196" i="1"/>
  <c r="G3196" i="1"/>
  <c r="H3196" i="1"/>
  <c r="J3196" i="1"/>
  <c r="K3196" i="1"/>
  <c r="L3196" i="1"/>
  <c r="A3197" i="1"/>
  <c r="B3197" i="1"/>
  <c r="C3197" i="1"/>
  <c r="D3197" i="1"/>
  <c r="Q3197" i="1"/>
  <c r="R3197" i="1"/>
  <c r="E3197" i="1"/>
  <c r="G3197" i="1"/>
  <c r="H3197" i="1"/>
  <c r="J3197" i="1"/>
  <c r="K3197" i="1"/>
  <c r="L3197" i="1"/>
  <c r="A3198" i="1"/>
  <c r="B3198" i="1"/>
  <c r="C3198" i="1"/>
  <c r="D3198" i="1"/>
  <c r="Q3198" i="1"/>
  <c r="R3198" i="1"/>
  <c r="E3198" i="1"/>
  <c r="G3198" i="1"/>
  <c r="H3198" i="1"/>
  <c r="J3198" i="1"/>
  <c r="K3198" i="1"/>
  <c r="L3198" i="1"/>
  <c r="A3199" i="1"/>
  <c r="B3199" i="1"/>
  <c r="C3199" i="1"/>
  <c r="D3199" i="1"/>
  <c r="Q3199" i="1"/>
  <c r="R3199" i="1"/>
  <c r="E3199" i="1"/>
  <c r="G3199" i="1"/>
  <c r="H3199" i="1"/>
  <c r="J3199" i="1"/>
  <c r="K3199" i="1"/>
  <c r="L3199" i="1"/>
  <c r="A3200" i="1"/>
  <c r="B3200" i="1"/>
  <c r="C3200" i="1"/>
  <c r="D3200" i="1"/>
  <c r="Q3200" i="1"/>
  <c r="R3200" i="1"/>
  <c r="E3200" i="1"/>
  <c r="G3200" i="1"/>
  <c r="H3200" i="1"/>
  <c r="J3200" i="1"/>
  <c r="K3200" i="1"/>
  <c r="L3200" i="1"/>
  <c r="A3201" i="1"/>
  <c r="B3201" i="1"/>
  <c r="C3201" i="1"/>
  <c r="D3201" i="1"/>
  <c r="Q3201" i="1"/>
  <c r="R3201" i="1"/>
  <c r="E3201" i="1"/>
  <c r="G3201" i="1"/>
  <c r="H3201" i="1"/>
  <c r="J3201" i="1"/>
  <c r="K3201" i="1"/>
  <c r="L3201" i="1"/>
  <c r="A3202" i="1"/>
  <c r="B3202" i="1"/>
  <c r="C3202" i="1"/>
  <c r="D3202" i="1"/>
  <c r="Q3202" i="1"/>
  <c r="R3202" i="1"/>
  <c r="E3202" i="1"/>
  <c r="G3202" i="1"/>
  <c r="H3202" i="1"/>
  <c r="J3202" i="1"/>
  <c r="K3202" i="1"/>
  <c r="L3202" i="1"/>
  <c r="A3203" i="1"/>
  <c r="B3203" i="1"/>
  <c r="C3203" i="1"/>
  <c r="D3203" i="1"/>
  <c r="Q3203" i="1"/>
  <c r="R3203" i="1"/>
  <c r="E3203" i="1"/>
  <c r="G3203" i="1"/>
  <c r="H3203" i="1"/>
  <c r="J3203" i="1"/>
  <c r="K3203" i="1"/>
  <c r="L3203" i="1"/>
  <c r="A3204" i="1"/>
  <c r="B3204" i="1"/>
  <c r="C3204" i="1"/>
  <c r="D3204" i="1"/>
  <c r="Q3204" i="1"/>
  <c r="R3204" i="1"/>
  <c r="E3204" i="1"/>
  <c r="G3204" i="1"/>
  <c r="H3204" i="1"/>
  <c r="J3204" i="1"/>
  <c r="K3204" i="1"/>
  <c r="L3204" i="1"/>
  <c r="A3205" i="1"/>
  <c r="B3205" i="1"/>
  <c r="C3205" i="1"/>
  <c r="D3205" i="1"/>
  <c r="Q3205" i="1"/>
  <c r="R3205" i="1"/>
  <c r="E3205" i="1"/>
  <c r="G3205" i="1"/>
  <c r="H3205" i="1"/>
  <c r="J3205" i="1"/>
  <c r="K3205" i="1"/>
  <c r="L3205" i="1"/>
  <c r="A3206" i="1"/>
  <c r="B3206" i="1"/>
  <c r="C3206" i="1"/>
  <c r="D3206" i="1"/>
  <c r="Q3206" i="1"/>
  <c r="R3206" i="1"/>
  <c r="E3206" i="1"/>
  <c r="G3206" i="1"/>
  <c r="H3206" i="1"/>
  <c r="J3206" i="1"/>
  <c r="K3206" i="1"/>
  <c r="L3206" i="1"/>
  <c r="A3207" i="1"/>
  <c r="B3207" i="1"/>
  <c r="C3207" i="1"/>
  <c r="D3207" i="1"/>
  <c r="Q3207" i="1"/>
  <c r="R3207" i="1"/>
  <c r="E3207" i="1"/>
  <c r="G3207" i="1"/>
  <c r="H3207" i="1"/>
  <c r="J3207" i="1"/>
  <c r="K3207" i="1"/>
  <c r="L3207" i="1"/>
  <c r="A3208" i="1"/>
  <c r="B3208" i="1"/>
  <c r="C3208" i="1"/>
  <c r="D3208" i="1"/>
  <c r="Q3208" i="1"/>
  <c r="R3208" i="1"/>
  <c r="E3208" i="1"/>
  <c r="G3208" i="1"/>
  <c r="H3208" i="1"/>
  <c r="J3208" i="1"/>
  <c r="K3208" i="1"/>
  <c r="L3208" i="1"/>
  <c r="A3209" i="1"/>
  <c r="B3209" i="1"/>
  <c r="C3209" i="1"/>
  <c r="D3209" i="1"/>
  <c r="Q3209" i="1"/>
  <c r="R3209" i="1"/>
  <c r="E3209" i="1"/>
  <c r="G3209" i="1"/>
  <c r="H3209" i="1"/>
  <c r="J3209" i="1"/>
  <c r="K3209" i="1"/>
  <c r="L3209" i="1"/>
  <c r="A3210" i="1"/>
  <c r="B3210" i="1"/>
  <c r="C3210" i="1"/>
  <c r="D3210" i="1"/>
  <c r="Q3210" i="1"/>
  <c r="R3210" i="1"/>
  <c r="E3210" i="1"/>
  <c r="G3210" i="1"/>
  <c r="H3210" i="1"/>
  <c r="J3210" i="1"/>
  <c r="K3210" i="1"/>
  <c r="L3210" i="1"/>
  <c r="A3211" i="1"/>
  <c r="B3211" i="1"/>
  <c r="C3211" i="1"/>
  <c r="D3211" i="1"/>
  <c r="Q3211" i="1"/>
  <c r="R3211" i="1"/>
  <c r="E3211" i="1"/>
  <c r="G3211" i="1"/>
  <c r="H3211" i="1"/>
  <c r="J3211" i="1"/>
  <c r="K3211" i="1"/>
  <c r="L3211" i="1"/>
  <c r="A3212" i="1"/>
  <c r="B3212" i="1"/>
  <c r="C3212" i="1"/>
  <c r="D3212" i="1"/>
  <c r="Q3212" i="1"/>
  <c r="R3212" i="1"/>
  <c r="E3212" i="1"/>
  <c r="G3212" i="1"/>
  <c r="H3212" i="1"/>
  <c r="J3212" i="1"/>
  <c r="K3212" i="1"/>
  <c r="L3212" i="1"/>
  <c r="A3213" i="1"/>
  <c r="B3213" i="1"/>
  <c r="C3213" i="1"/>
  <c r="D3213" i="1"/>
  <c r="Q3213" i="1"/>
  <c r="R3213" i="1"/>
  <c r="E3213" i="1"/>
  <c r="G3213" i="1"/>
  <c r="H3213" i="1"/>
  <c r="J3213" i="1"/>
  <c r="K3213" i="1"/>
  <c r="L3213" i="1"/>
  <c r="A3214" i="1"/>
  <c r="B3214" i="1"/>
  <c r="C3214" i="1"/>
  <c r="D3214" i="1"/>
  <c r="Q3214" i="1"/>
  <c r="R3214" i="1"/>
  <c r="E3214" i="1"/>
  <c r="G3214" i="1"/>
  <c r="H3214" i="1"/>
  <c r="J3214" i="1"/>
  <c r="K3214" i="1"/>
  <c r="L3214" i="1"/>
  <c r="A3215" i="1"/>
  <c r="B3215" i="1"/>
  <c r="C3215" i="1"/>
  <c r="D3215" i="1"/>
  <c r="Q3215" i="1"/>
  <c r="R3215" i="1"/>
  <c r="E3215" i="1"/>
  <c r="G3215" i="1"/>
  <c r="H3215" i="1"/>
  <c r="J3215" i="1"/>
  <c r="K3215" i="1"/>
  <c r="L3215" i="1"/>
  <c r="A3216" i="1"/>
  <c r="B3216" i="1"/>
  <c r="C3216" i="1"/>
  <c r="D3216" i="1"/>
  <c r="Q3216" i="1"/>
  <c r="R3216" i="1"/>
  <c r="E3216" i="1"/>
  <c r="G3216" i="1"/>
  <c r="H3216" i="1"/>
  <c r="J3216" i="1"/>
  <c r="K3216" i="1"/>
  <c r="L3216" i="1"/>
  <c r="A3217" i="1"/>
  <c r="B3217" i="1"/>
  <c r="C3217" i="1"/>
  <c r="D3217" i="1"/>
  <c r="Q3217" i="1"/>
  <c r="R3217" i="1"/>
  <c r="E3217" i="1"/>
  <c r="G3217" i="1"/>
  <c r="H3217" i="1"/>
  <c r="J3217" i="1"/>
  <c r="K3217" i="1"/>
  <c r="L3217" i="1"/>
  <c r="A3218" i="1"/>
  <c r="B3218" i="1"/>
  <c r="C3218" i="1"/>
  <c r="D3218" i="1"/>
  <c r="Q3218" i="1"/>
  <c r="R3218" i="1"/>
  <c r="E3218" i="1"/>
  <c r="G3218" i="1"/>
  <c r="H3218" i="1"/>
  <c r="J3218" i="1"/>
  <c r="K3218" i="1"/>
  <c r="L3218" i="1"/>
  <c r="A3219" i="1"/>
  <c r="B3219" i="1"/>
  <c r="C3219" i="1"/>
  <c r="D3219" i="1"/>
  <c r="Q3219" i="1"/>
  <c r="R3219" i="1"/>
  <c r="E3219" i="1"/>
  <c r="G3219" i="1"/>
  <c r="H3219" i="1"/>
  <c r="J3219" i="1"/>
  <c r="K3219" i="1"/>
  <c r="L3219" i="1"/>
  <c r="A3220" i="1"/>
  <c r="B3220" i="1"/>
  <c r="C3220" i="1"/>
  <c r="D3220" i="1"/>
  <c r="Q3220" i="1"/>
  <c r="R3220" i="1"/>
  <c r="E3220" i="1"/>
  <c r="G3220" i="1"/>
  <c r="H3220" i="1"/>
  <c r="J3220" i="1"/>
  <c r="K3220" i="1"/>
  <c r="L3220" i="1"/>
  <c r="A3221" i="1"/>
  <c r="B3221" i="1"/>
  <c r="C3221" i="1"/>
  <c r="D3221" i="1"/>
  <c r="Q3221" i="1"/>
  <c r="R3221" i="1"/>
  <c r="E3221" i="1"/>
  <c r="G3221" i="1"/>
  <c r="H3221" i="1"/>
  <c r="J3221" i="1"/>
  <c r="K3221" i="1"/>
  <c r="L3221" i="1"/>
  <c r="A3222" i="1"/>
  <c r="B3222" i="1"/>
  <c r="C3222" i="1"/>
  <c r="D3222" i="1"/>
  <c r="Q3222" i="1"/>
  <c r="R3222" i="1"/>
  <c r="E3222" i="1"/>
  <c r="G3222" i="1"/>
  <c r="H3222" i="1"/>
  <c r="J3222" i="1"/>
  <c r="K3222" i="1"/>
  <c r="L3222" i="1"/>
  <c r="A3223" i="1"/>
  <c r="B3223" i="1"/>
  <c r="C3223" i="1"/>
  <c r="D3223" i="1"/>
  <c r="Q3223" i="1"/>
  <c r="R3223" i="1"/>
  <c r="E3223" i="1"/>
  <c r="G3223" i="1"/>
  <c r="H3223" i="1"/>
  <c r="J3223" i="1"/>
  <c r="K3223" i="1"/>
  <c r="L3223" i="1"/>
  <c r="A3224" i="1"/>
  <c r="B3224" i="1"/>
  <c r="C3224" i="1"/>
  <c r="D3224" i="1"/>
  <c r="Q3224" i="1"/>
  <c r="R3224" i="1"/>
  <c r="E3224" i="1"/>
  <c r="G3224" i="1"/>
  <c r="H3224" i="1"/>
  <c r="J3224" i="1"/>
  <c r="K3224" i="1"/>
  <c r="L3224" i="1"/>
  <c r="A3225" i="1"/>
  <c r="B3225" i="1"/>
  <c r="C3225" i="1"/>
  <c r="D3225" i="1"/>
  <c r="Q3225" i="1"/>
  <c r="R3225" i="1"/>
  <c r="E3225" i="1"/>
  <c r="G3225" i="1"/>
  <c r="H3225" i="1"/>
  <c r="J3225" i="1"/>
  <c r="K3225" i="1"/>
  <c r="L3225" i="1"/>
  <c r="A3226" i="1"/>
  <c r="B3226" i="1"/>
  <c r="C3226" i="1"/>
  <c r="D3226" i="1"/>
  <c r="Q3226" i="1"/>
  <c r="R3226" i="1"/>
  <c r="E3226" i="1"/>
  <c r="G3226" i="1"/>
  <c r="H3226" i="1"/>
  <c r="J3226" i="1"/>
  <c r="K3226" i="1"/>
  <c r="L3226" i="1"/>
  <c r="A3227" i="1"/>
  <c r="B3227" i="1"/>
  <c r="C3227" i="1"/>
  <c r="D3227" i="1"/>
  <c r="Q3227" i="1"/>
  <c r="R3227" i="1"/>
  <c r="E3227" i="1"/>
  <c r="G3227" i="1"/>
  <c r="H3227" i="1"/>
  <c r="J3227" i="1"/>
  <c r="K3227" i="1"/>
  <c r="L3227" i="1"/>
  <c r="A3228" i="1"/>
  <c r="B3228" i="1"/>
  <c r="C3228" i="1"/>
  <c r="D3228" i="1"/>
  <c r="Q3228" i="1"/>
  <c r="R3228" i="1"/>
  <c r="E3228" i="1"/>
  <c r="G3228" i="1"/>
  <c r="H3228" i="1"/>
  <c r="J3228" i="1"/>
  <c r="K3228" i="1"/>
  <c r="L3228" i="1"/>
  <c r="A3229" i="1"/>
  <c r="B3229" i="1"/>
  <c r="C3229" i="1"/>
  <c r="D3229" i="1"/>
  <c r="Q3229" i="1"/>
  <c r="R3229" i="1"/>
  <c r="E3229" i="1"/>
  <c r="G3229" i="1"/>
  <c r="H3229" i="1"/>
  <c r="J3229" i="1"/>
  <c r="K3229" i="1"/>
  <c r="L3229" i="1"/>
  <c r="A3230" i="1"/>
  <c r="B3230" i="1"/>
  <c r="C3230" i="1"/>
  <c r="D3230" i="1"/>
  <c r="Q3230" i="1"/>
  <c r="R3230" i="1"/>
  <c r="E3230" i="1"/>
  <c r="G3230" i="1"/>
  <c r="H3230" i="1"/>
  <c r="J3230" i="1"/>
  <c r="K3230" i="1"/>
  <c r="L3230" i="1"/>
  <c r="A3231" i="1"/>
  <c r="B3231" i="1"/>
  <c r="C3231" i="1"/>
  <c r="D3231" i="1"/>
  <c r="Q3231" i="1"/>
  <c r="R3231" i="1"/>
  <c r="E3231" i="1"/>
  <c r="G3231" i="1"/>
  <c r="H3231" i="1"/>
  <c r="J3231" i="1"/>
  <c r="K3231" i="1"/>
  <c r="L3231" i="1"/>
  <c r="A3232" i="1"/>
  <c r="B3232" i="1"/>
  <c r="C3232" i="1"/>
  <c r="D3232" i="1"/>
  <c r="Q3232" i="1"/>
  <c r="R3232" i="1"/>
  <c r="E3232" i="1"/>
  <c r="G3232" i="1"/>
  <c r="H3232" i="1"/>
  <c r="J3232" i="1"/>
  <c r="K3232" i="1"/>
  <c r="L3232" i="1"/>
  <c r="A3233" i="1"/>
  <c r="B3233" i="1"/>
  <c r="C3233" i="1"/>
  <c r="D3233" i="1"/>
  <c r="Q3233" i="1"/>
  <c r="R3233" i="1"/>
  <c r="E3233" i="1"/>
  <c r="G3233" i="1"/>
  <c r="H3233" i="1"/>
  <c r="J3233" i="1"/>
  <c r="K3233" i="1"/>
  <c r="L3233" i="1"/>
  <c r="A3234" i="1"/>
  <c r="B3234" i="1"/>
  <c r="C3234" i="1"/>
  <c r="D3234" i="1"/>
  <c r="Q3234" i="1"/>
  <c r="R3234" i="1"/>
  <c r="E3234" i="1"/>
  <c r="G3234" i="1"/>
  <c r="H3234" i="1"/>
  <c r="J3234" i="1"/>
  <c r="K3234" i="1"/>
  <c r="L3234" i="1"/>
  <c r="A3235" i="1"/>
  <c r="B3235" i="1"/>
  <c r="C3235" i="1"/>
  <c r="D3235" i="1"/>
  <c r="Q3235" i="1"/>
  <c r="R3235" i="1"/>
  <c r="E3235" i="1"/>
  <c r="G3235" i="1"/>
  <c r="H3235" i="1"/>
  <c r="J3235" i="1"/>
  <c r="K3235" i="1"/>
  <c r="L3235" i="1"/>
  <c r="A3236" i="1"/>
  <c r="B3236" i="1"/>
  <c r="C3236" i="1"/>
  <c r="D3236" i="1"/>
  <c r="Q3236" i="1"/>
  <c r="R3236" i="1"/>
  <c r="E3236" i="1"/>
  <c r="G3236" i="1"/>
  <c r="H3236" i="1"/>
  <c r="J3236" i="1"/>
  <c r="K3236" i="1"/>
  <c r="L3236" i="1"/>
  <c r="A3237" i="1"/>
  <c r="B3237" i="1"/>
  <c r="C3237" i="1"/>
  <c r="D3237" i="1"/>
  <c r="Q3237" i="1"/>
  <c r="R3237" i="1"/>
  <c r="E3237" i="1"/>
  <c r="G3237" i="1"/>
  <c r="H3237" i="1"/>
  <c r="J3237" i="1"/>
  <c r="K3237" i="1"/>
  <c r="L3237" i="1"/>
  <c r="A3238" i="1"/>
  <c r="B3238" i="1"/>
  <c r="C3238" i="1"/>
  <c r="D3238" i="1"/>
  <c r="Q3238" i="1"/>
  <c r="R3238" i="1"/>
  <c r="E3238" i="1"/>
  <c r="G3238" i="1"/>
  <c r="H3238" i="1"/>
  <c r="J3238" i="1"/>
  <c r="K3238" i="1"/>
  <c r="L3238" i="1"/>
  <c r="A3239" i="1"/>
  <c r="B3239" i="1"/>
  <c r="C3239" i="1"/>
  <c r="D3239" i="1"/>
  <c r="Q3239" i="1"/>
  <c r="R3239" i="1"/>
  <c r="E3239" i="1"/>
  <c r="G3239" i="1"/>
  <c r="H3239" i="1"/>
  <c r="J3239" i="1"/>
  <c r="K3239" i="1"/>
  <c r="L3239" i="1"/>
  <c r="A3240" i="1"/>
  <c r="B3240" i="1"/>
  <c r="C3240" i="1"/>
  <c r="D3240" i="1"/>
  <c r="Q3240" i="1"/>
  <c r="R3240" i="1"/>
  <c r="E3240" i="1"/>
  <c r="G3240" i="1"/>
  <c r="H3240" i="1"/>
  <c r="J3240" i="1"/>
  <c r="K3240" i="1"/>
  <c r="L3240" i="1"/>
  <c r="A3241" i="1"/>
  <c r="B3241" i="1"/>
  <c r="C3241" i="1"/>
  <c r="D3241" i="1"/>
  <c r="Q3241" i="1"/>
  <c r="R3241" i="1"/>
  <c r="E3241" i="1"/>
  <c r="G3241" i="1"/>
  <c r="H3241" i="1"/>
  <c r="J3241" i="1"/>
  <c r="K3241" i="1"/>
  <c r="L3241" i="1"/>
  <c r="A3242" i="1"/>
  <c r="B3242" i="1"/>
  <c r="C3242" i="1"/>
  <c r="D3242" i="1"/>
  <c r="Q3242" i="1"/>
  <c r="R3242" i="1"/>
  <c r="E3242" i="1"/>
  <c r="G3242" i="1"/>
  <c r="H3242" i="1"/>
  <c r="J3242" i="1"/>
  <c r="K3242" i="1"/>
  <c r="L3242" i="1"/>
  <c r="A3243" i="1"/>
  <c r="B3243" i="1"/>
  <c r="C3243" i="1"/>
  <c r="D3243" i="1"/>
  <c r="Q3243" i="1"/>
  <c r="R3243" i="1"/>
  <c r="E3243" i="1"/>
  <c r="G3243" i="1"/>
  <c r="H3243" i="1"/>
  <c r="J3243" i="1"/>
  <c r="K3243" i="1"/>
  <c r="L3243" i="1"/>
  <c r="A3244" i="1"/>
  <c r="B3244" i="1"/>
  <c r="C3244" i="1"/>
  <c r="D3244" i="1"/>
  <c r="Q3244" i="1"/>
  <c r="R3244" i="1"/>
  <c r="E3244" i="1"/>
  <c r="G3244" i="1"/>
  <c r="H3244" i="1"/>
  <c r="J3244" i="1"/>
  <c r="K3244" i="1"/>
  <c r="L3244" i="1"/>
  <c r="A3245" i="1"/>
  <c r="B3245" i="1"/>
  <c r="C3245" i="1"/>
  <c r="D3245" i="1"/>
  <c r="Q3245" i="1"/>
  <c r="R3245" i="1"/>
  <c r="E3245" i="1"/>
  <c r="G3245" i="1"/>
  <c r="H3245" i="1"/>
  <c r="J3245" i="1"/>
  <c r="K3245" i="1"/>
  <c r="L3245" i="1"/>
  <c r="A3246" i="1"/>
  <c r="B3246" i="1"/>
  <c r="C3246" i="1"/>
  <c r="D3246" i="1"/>
  <c r="Q3246" i="1"/>
  <c r="R3246" i="1"/>
  <c r="E3246" i="1"/>
  <c r="G3246" i="1"/>
  <c r="H3246" i="1"/>
  <c r="J3246" i="1"/>
  <c r="K3246" i="1"/>
  <c r="L3246" i="1"/>
  <c r="A3247" i="1"/>
  <c r="B3247" i="1"/>
  <c r="C3247" i="1"/>
  <c r="D3247" i="1"/>
  <c r="Q3247" i="1"/>
  <c r="R3247" i="1"/>
  <c r="E3247" i="1"/>
  <c r="G3247" i="1"/>
  <c r="H3247" i="1"/>
  <c r="J3247" i="1"/>
  <c r="K3247" i="1"/>
  <c r="L3247" i="1"/>
  <c r="A3248" i="1"/>
  <c r="B3248" i="1"/>
  <c r="C3248" i="1"/>
  <c r="D3248" i="1"/>
  <c r="Q3248" i="1"/>
  <c r="R3248" i="1"/>
  <c r="E3248" i="1"/>
  <c r="G3248" i="1"/>
  <c r="H3248" i="1"/>
  <c r="J3248" i="1"/>
  <c r="K3248" i="1"/>
  <c r="L3248" i="1"/>
  <c r="A3249" i="1"/>
  <c r="B3249" i="1"/>
  <c r="C3249" i="1"/>
  <c r="D3249" i="1"/>
  <c r="Q3249" i="1"/>
  <c r="R3249" i="1"/>
  <c r="E3249" i="1"/>
  <c r="G3249" i="1"/>
  <c r="H3249" i="1"/>
  <c r="J3249" i="1"/>
  <c r="K3249" i="1"/>
  <c r="L3249" i="1"/>
  <c r="A3250" i="1"/>
  <c r="B3250" i="1"/>
  <c r="C3250" i="1"/>
  <c r="D3250" i="1"/>
  <c r="Q3250" i="1"/>
  <c r="R3250" i="1"/>
  <c r="E3250" i="1"/>
  <c r="G3250" i="1"/>
  <c r="H3250" i="1"/>
  <c r="J3250" i="1"/>
  <c r="K3250" i="1"/>
  <c r="L3250" i="1"/>
  <c r="A3251" i="1"/>
  <c r="B3251" i="1"/>
  <c r="C3251" i="1"/>
  <c r="D3251" i="1"/>
  <c r="Q3251" i="1"/>
  <c r="R3251" i="1"/>
  <c r="E3251" i="1"/>
  <c r="G3251" i="1"/>
  <c r="H3251" i="1"/>
  <c r="J3251" i="1"/>
  <c r="K3251" i="1"/>
  <c r="L3251" i="1"/>
  <c r="A3252" i="1"/>
  <c r="B3252" i="1"/>
  <c r="C3252" i="1"/>
  <c r="D3252" i="1"/>
  <c r="Q3252" i="1"/>
  <c r="R3252" i="1"/>
  <c r="E3252" i="1"/>
  <c r="G3252" i="1"/>
  <c r="H3252" i="1"/>
  <c r="J3252" i="1"/>
  <c r="K3252" i="1"/>
  <c r="L3252" i="1"/>
  <c r="A3253" i="1"/>
  <c r="B3253" i="1"/>
  <c r="C3253" i="1"/>
  <c r="D3253" i="1"/>
  <c r="Q3253" i="1"/>
  <c r="R3253" i="1"/>
  <c r="E3253" i="1"/>
  <c r="G3253" i="1"/>
  <c r="H3253" i="1"/>
  <c r="J3253" i="1"/>
  <c r="K3253" i="1"/>
  <c r="L3253" i="1"/>
  <c r="A3254" i="1"/>
  <c r="B3254" i="1"/>
  <c r="C3254" i="1"/>
  <c r="D3254" i="1"/>
  <c r="Q3254" i="1"/>
  <c r="R3254" i="1"/>
  <c r="E3254" i="1"/>
  <c r="G3254" i="1"/>
  <c r="H3254" i="1"/>
  <c r="J3254" i="1"/>
  <c r="K3254" i="1"/>
  <c r="L3254" i="1"/>
  <c r="A3255" i="1"/>
  <c r="B3255" i="1"/>
  <c r="C3255" i="1"/>
  <c r="D3255" i="1"/>
  <c r="Q3255" i="1"/>
  <c r="R3255" i="1"/>
  <c r="E3255" i="1"/>
  <c r="G3255" i="1"/>
  <c r="H3255" i="1"/>
  <c r="J3255" i="1"/>
  <c r="K3255" i="1"/>
  <c r="L3255" i="1"/>
  <c r="A3256" i="1"/>
  <c r="B3256" i="1"/>
  <c r="C3256" i="1"/>
  <c r="D3256" i="1"/>
  <c r="Q3256" i="1"/>
  <c r="R3256" i="1"/>
  <c r="E3256" i="1"/>
  <c r="G3256" i="1"/>
  <c r="H3256" i="1"/>
  <c r="J3256" i="1"/>
  <c r="K3256" i="1"/>
  <c r="L3256" i="1"/>
  <c r="A3257" i="1"/>
  <c r="B3257" i="1"/>
  <c r="C3257" i="1"/>
  <c r="D3257" i="1"/>
  <c r="Q3257" i="1"/>
  <c r="R3257" i="1"/>
  <c r="E3257" i="1"/>
  <c r="G3257" i="1"/>
  <c r="H3257" i="1"/>
  <c r="J3257" i="1"/>
  <c r="K3257" i="1"/>
  <c r="L3257" i="1"/>
  <c r="A3258" i="1"/>
  <c r="B3258" i="1"/>
  <c r="C3258" i="1"/>
  <c r="D3258" i="1"/>
  <c r="Q3258" i="1"/>
  <c r="R3258" i="1"/>
  <c r="E3258" i="1"/>
  <c r="G3258" i="1"/>
  <c r="H3258" i="1"/>
  <c r="J3258" i="1"/>
  <c r="K3258" i="1"/>
  <c r="L3258" i="1"/>
  <c r="A3259" i="1"/>
  <c r="B3259" i="1"/>
  <c r="C3259" i="1"/>
  <c r="D3259" i="1"/>
  <c r="Q3259" i="1"/>
  <c r="R3259" i="1"/>
  <c r="E3259" i="1"/>
  <c r="G3259" i="1"/>
  <c r="H3259" i="1"/>
  <c r="J3259" i="1"/>
  <c r="K3259" i="1"/>
  <c r="L3259" i="1"/>
  <c r="A3260" i="1"/>
  <c r="B3260" i="1"/>
  <c r="C3260" i="1"/>
  <c r="D3260" i="1"/>
  <c r="Q3260" i="1"/>
  <c r="R3260" i="1"/>
  <c r="E3260" i="1"/>
  <c r="G3260" i="1"/>
  <c r="H3260" i="1"/>
  <c r="J3260" i="1"/>
  <c r="K3260" i="1"/>
  <c r="L3260" i="1"/>
  <c r="A3261" i="1"/>
  <c r="B3261" i="1"/>
  <c r="C3261" i="1"/>
  <c r="D3261" i="1"/>
  <c r="Q3261" i="1"/>
  <c r="R3261" i="1"/>
  <c r="E3261" i="1"/>
  <c r="G3261" i="1"/>
  <c r="H3261" i="1"/>
  <c r="J3261" i="1"/>
  <c r="K3261" i="1"/>
  <c r="L3261" i="1"/>
  <c r="A3262" i="1"/>
  <c r="B3262" i="1"/>
  <c r="C3262" i="1"/>
  <c r="D3262" i="1"/>
  <c r="Q3262" i="1"/>
  <c r="R3262" i="1"/>
  <c r="E3262" i="1"/>
  <c r="G3262" i="1"/>
  <c r="H3262" i="1"/>
  <c r="J3262" i="1"/>
  <c r="K3262" i="1"/>
  <c r="L3262" i="1"/>
  <c r="A3263" i="1"/>
  <c r="B3263" i="1"/>
  <c r="C3263" i="1"/>
  <c r="D3263" i="1"/>
  <c r="Q3263" i="1"/>
  <c r="R3263" i="1"/>
  <c r="E3263" i="1"/>
  <c r="G3263" i="1"/>
  <c r="H3263" i="1"/>
  <c r="J3263" i="1"/>
  <c r="K3263" i="1"/>
  <c r="L3263" i="1"/>
  <c r="A3264" i="1"/>
  <c r="B3264" i="1"/>
  <c r="C3264" i="1"/>
  <c r="D3264" i="1"/>
  <c r="Q3264" i="1"/>
  <c r="R3264" i="1"/>
  <c r="E3264" i="1"/>
  <c r="G3264" i="1"/>
  <c r="H3264" i="1"/>
  <c r="J3264" i="1"/>
  <c r="K3264" i="1"/>
  <c r="L3264" i="1"/>
  <c r="A3265" i="1"/>
  <c r="B3265" i="1"/>
  <c r="C3265" i="1"/>
  <c r="D3265" i="1"/>
  <c r="Q3265" i="1"/>
  <c r="R3265" i="1"/>
  <c r="E3265" i="1"/>
  <c r="G3265" i="1"/>
  <c r="H3265" i="1"/>
  <c r="J3265" i="1"/>
  <c r="K3265" i="1"/>
  <c r="L3265" i="1"/>
  <c r="A3266" i="1"/>
  <c r="B3266" i="1"/>
  <c r="C3266" i="1"/>
  <c r="D3266" i="1"/>
  <c r="Q3266" i="1"/>
  <c r="R3266" i="1"/>
  <c r="E3266" i="1"/>
  <c r="G3266" i="1"/>
  <c r="H3266" i="1"/>
  <c r="J3266" i="1"/>
  <c r="K3266" i="1"/>
  <c r="L3266" i="1"/>
  <c r="A3267" i="1"/>
  <c r="B3267" i="1"/>
  <c r="C3267" i="1"/>
  <c r="D3267" i="1"/>
  <c r="Q3267" i="1"/>
  <c r="R3267" i="1"/>
  <c r="E3267" i="1"/>
  <c r="G3267" i="1"/>
  <c r="H3267" i="1"/>
  <c r="J3267" i="1"/>
  <c r="K3267" i="1"/>
  <c r="L3267" i="1"/>
  <c r="A3268" i="1"/>
  <c r="B3268" i="1"/>
  <c r="C3268" i="1"/>
  <c r="D3268" i="1"/>
  <c r="Q3268" i="1"/>
  <c r="R3268" i="1"/>
  <c r="E3268" i="1"/>
  <c r="G3268" i="1"/>
  <c r="H3268" i="1"/>
  <c r="J3268" i="1"/>
  <c r="K3268" i="1"/>
  <c r="L3268" i="1"/>
  <c r="A3269" i="1"/>
  <c r="B3269" i="1"/>
  <c r="C3269" i="1"/>
  <c r="D3269" i="1"/>
  <c r="Q3269" i="1"/>
  <c r="R3269" i="1"/>
  <c r="E3269" i="1"/>
  <c r="G3269" i="1"/>
  <c r="H3269" i="1"/>
  <c r="J3269" i="1"/>
  <c r="K3269" i="1"/>
  <c r="L3269" i="1"/>
  <c r="A3270" i="1"/>
  <c r="B3270" i="1"/>
  <c r="C3270" i="1"/>
  <c r="D3270" i="1"/>
  <c r="Q3270" i="1"/>
  <c r="R3270" i="1"/>
  <c r="E3270" i="1"/>
  <c r="G3270" i="1"/>
  <c r="H3270" i="1"/>
  <c r="J3270" i="1"/>
  <c r="K3270" i="1"/>
  <c r="L3270" i="1"/>
  <c r="A3271" i="1"/>
  <c r="B3271" i="1"/>
  <c r="C3271" i="1"/>
  <c r="D3271" i="1"/>
  <c r="Q3271" i="1"/>
  <c r="R3271" i="1"/>
  <c r="E3271" i="1"/>
  <c r="G3271" i="1"/>
  <c r="H3271" i="1"/>
  <c r="J3271" i="1"/>
  <c r="K3271" i="1"/>
  <c r="L3271" i="1"/>
  <c r="A3272" i="1"/>
  <c r="B3272" i="1"/>
  <c r="C3272" i="1"/>
  <c r="D3272" i="1"/>
  <c r="Q3272" i="1"/>
  <c r="R3272" i="1"/>
  <c r="E3272" i="1"/>
  <c r="G3272" i="1"/>
  <c r="H3272" i="1"/>
  <c r="J3272" i="1"/>
  <c r="K3272" i="1"/>
  <c r="L3272" i="1"/>
  <c r="A3273" i="1"/>
  <c r="B3273" i="1"/>
  <c r="C3273" i="1"/>
  <c r="D3273" i="1"/>
  <c r="Q3273" i="1"/>
  <c r="R3273" i="1"/>
  <c r="E3273" i="1"/>
  <c r="G3273" i="1"/>
  <c r="H3273" i="1"/>
  <c r="J3273" i="1"/>
  <c r="K3273" i="1"/>
  <c r="L3273" i="1"/>
  <c r="A3274" i="1"/>
  <c r="B3274" i="1"/>
  <c r="C3274" i="1"/>
  <c r="D3274" i="1"/>
  <c r="Q3274" i="1"/>
  <c r="R3274" i="1"/>
  <c r="E3274" i="1"/>
  <c r="G3274" i="1"/>
  <c r="H3274" i="1"/>
  <c r="J3274" i="1"/>
  <c r="K3274" i="1"/>
  <c r="L3274" i="1"/>
  <c r="A3275" i="1"/>
  <c r="B3275" i="1"/>
  <c r="C3275" i="1"/>
  <c r="D3275" i="1"/>
  <c r="Q3275" i="1"/>
  <c r="R3275" i="1"/>
  <c r="E3275" i="1"/>
  <c r="G3275" i="1"/>
  <c r="H3275" i="1"/>
  <c r="J3275" i="1"/>
  <c r="K3275" i="1"/>
  <c r="L3275" i="1"/>
  <c r="A3276" i="1"/>
  <c r="B3276" i="1"/>
  <c r="C3276" i="1"/>
  <c r="D3276" i="1"/>
  <c r="Q3276" i="1"/>
  <c r="R3276" i="1"/>
  <c r="E3276" i="1"/>
  <c r="G3276" i="1"/>
  <c r="H3276" i="1"/>
  <c r="J3276" i="1"/>
  <c r="K3276" i="1"/>
  <c r="L3276" i="1"/>
  <c r="A3277" i="1"/>
  <c r="B3277" i="1"/>
  <c r="C3277" i="1"/>
  <c r="D3277" i="1"/>
  <c r="Q3277" i="1"/>
  <c r="R3277" i="1"/>
  <c r="E3277" i="1"/>
  <c r="G3277" i="1"/>
  <c r="H3277" i="1"/>
  <c r="J3277" i="1"/>
  <c r="K3277" i="1"/>
  <c r="L3277" i="1"/>
  <c r="A3278" i="1"/>
  <c r="B3278" i="1"/>
  <c r="C3278" i="1"/>
  <c r="D3278" i="1"/>
  <c r="Q3278" i="1"/>
  <c r="R3278" i="1"/>
  <c r="E3278" i="1"/>
  <c r="G3278" i="1"/>
  <c r="H3278" i="1"/>
  <c r="J3278" i="1"/>
  <c r="K3278" i="1"/>
  <c r="L3278" i="1"/>
  <c r="A3279" i="1"/>
  <c r="B3279" i="1"/>
  <c r="C3279" i="1"/>
  <c r="D3279" i="1"/>
  <c r="Q3279" i="1"/>
  <c r="R3279" i="1"/>
  <c r="E3279" i="1"/>
  <c r="G3279" i="1"/>
  <c r="H3279" i="1"/>
  <c r="J3279" i="1"/>
  <c r="K3279" i="1"/>
  <c r="L3279" i="1"/>
  <c r="A3280" i="1"/>
  <c r="B3280" i="1"/>
  <c r="C3280" i="1"/>
  <c r="D3280" i="1"/>
  <c r="Q3280" i="1"/>
  <c r="R3280" i="1"/>
  <c r="E3280" i="1"/>
  <c r="G3280" i="1"/>
  <c r="H3280" i="1"/>
  <c r="J3280" i="1"/>
  <c r="K3280" i="1"/>
  <c r="L3280" i="1"/>
  <c r="A3281" i="1"/>
  <c r="B3281" i="1"/>
  <c r="C3281" i="1"/>
  <c r="D3281" i="1"/>
  <c r="Q3281" i="1"/>
  <c r="R3281" i="1"/>
  <c r="E3281" i="1"/>
  <c r="G3281" i="1"/>
  <c r="H3281" i="1"/>
  <c r="J3281" i="1"/>
  <c r="K3281" i="1"/>
  <c r="L3281" i="1"/>
  <c r="A3282" i="1"/>
  <c r="B3282" i="1"/>
  <c r="C3282" i="1"/>
  <c r="D3282" i="1"/>
  <c r="Q3282" i="1"/>
  <c r="R3282" i="1"/>
  <c r="E3282" i="1"/>
  <c r="G3282" i="1"/>
  <c r="H3282" i="1"/>
  <c r="J3282" i="1"/>
  <c r="K3282" i="1"/>
  <c r="L3282" i="1"/>
  <c r="A3283" i="1"/>
  <c r="B3283" i="1"/>
  <c r="C3283" i="1"/>
  <c r="D3283" i="1"/>
  <c r="Q3283" i="1"/>
  <c r="R3283" i="1"/>
  <c r="E3283" i="1"/>
  <c r="G3283" i="1"/>
  <c r="H3283" i="1"/>
  <c r="J3283" i="1"/>
  <c r="K3283" i="1"/>
  <c r="L3283" i="1"/>
  <c r="A3284" i="1"/>
  <c r="B3284" i="1"/>
  <c r="C3284" i="1"/>
  <c r="D3284" i="1"/>
  <c r="Q3284" i="1"/>
  <c r="R3284" i="1"/>
  <c r="E3284" i="1"/>
  <c r="G3284" i="1"/>
  <c r="H3284" i="1"/>
  <c r="J3284" i="1"/>
  <c r="K3284" i="1"/>
  <c r="L3284" i="1"/>
  <c r="A3285" i="1"/>
  <c r="B3285" i="1"/>
  <c r="C3285" i="1"/>
  <c r="D3285" i="1"/>
  <c r="Q3285" i="1"/>
  <c r="R3285" i="1"/>
  <c r="E3285" i="1"/>
  <c r="F3285" i="1"/>
  <c r="G3285" i="1"/>
  <c r="H3285" i="1"/>
  <c r="J3285" i="1"/>
  <c r="K3285" i="1"/>
  <c r="L3285" i="1"/>
  <c r="A3286" i="1"/>
  <c r="B3286" i="1"/>
  <c r="C3286" i="1"/>
  <c r="D3286" i="1"/>
  <c r="Q3286" i="1"/>
  <c r="R3286" i="1"/>
  <c r="E3286" i="1"/>
  <c r="F3286" i="1"/>
  <c r="G3286" i="1"/>
  <c r="H3286" i="1"/>
  <c r="J3286" i="1"/>
  <c r="K3286" i="1"/>
  <c r="L3286" i="1"/>
  <c r="A3287" i="1"/>
  <c r="B3287" i="1"/>
  <c r="C3287" i="1"/>
  <c r="D3287" i="1"/>
  <c r="Q3287" i="1"/>
  <c r="R3287" i="1"/>
  <c r="E3287" i="1"/>
  <c r="F3287" i="1"/>
  <c r="G3287" i="1"/>
  <c r="H3287" i="1"/>
  <c r="J3287" i="1"/>
  <c r="K3287" i="1"/>
  <c r="L3287" i="1"/>
  <c r="A3288" i="1"/>
  <c r="B3288" i="1"/>
  <c r="C3288" i="1"/>
  <c r="D3288" i="1"/>
  <c r="Q3288" i="1"/>
  <c r="R3288" i="1"/>
  <c r="E3288" i="1"/>
  <c r="F3288" i="1"/>
  <c r="G3288" i="1"/>
  <c r="H3288" i="1"/>
  <c r="J3288" i="1"/>
  <c r="K3288" i="1"/>
  <c r="L3288" i="1"/>
  <c r="A3289" i="1"/>
  <c r="B3289" i="1"/>
  <c r="C3289" i="1"/>
  <c r="D3289" i="1"/>
  <c r="Q3289" i="1"/>
  <c r="R3289" i="1"/>
  <c r="E3289" i="1"/>
  <c r="F3289" i="1"/>
  <c r="G3289" i="1"/>
  <c r="H3289" i="1"/>
  <c r="J3289" i="1"/>
  <c r="K3289" i="1"/>
  <c r="L3289" i="1"/>
  <c r="A3290" i="1"/>
  <c r="B3290" i="1"/>
  <c r="C3290" i="1"/>
  <c r="D3290" i="1"/>
  <c r="Q3290" i="1"/>
  <c r="R3290" i="1"/>
  <c r="E3290" i="1"/>
  <c r="F3290" i="1"/>
  <c r="G3290" i="1"/>
  <c r="H3290" i="1"/>
  <c r="J3290" i="1"/>
  <c r="K3290" i="1"/>
  <c r="L3290" i="1"/>
  <c r="A3291" i="1"/>
  <c r="B3291" i="1"/>
  <c r="C3291" i="1"/>
  <c r="D3291" i="1"/>
  <c r="Q3291" i="1"/>
  <c r="R3291" i="1"/>
  <c r="E3291" i="1"/>
  <c r="F3291" i="1"/>
  <c r="G3291" i="1"/>
  <c r="H3291" i="1"/>
  <c r="J3291" i="1"/>
  <c r="K3291" i="1"/>
  <c r="L3291" i="1"/>
  <c r="A3292" i="1"/>
  <c r="B3292" i="1"/>
  <c r="C3292" i="1"/>
  <c r="D3292" i="1"/>
  <c r="Q3292" i="1"/>
  <c r="R3292" i="1"/>
  <c r="E3292" i="1"/>
  <c r="F3292" i="1"/>
  <c r="G3292" i="1"/>
  <c r="H3292" i="1"/>
  <c r="J3292" i="1"/>
  <c r="K3292" i="1"/>
  <c r="L3292" i="1"/>
  <c r="A3293" i="1"/>
  <c r="B3293" i="1"/>
  <c r="C3293" i="1"/>
  <c r="D3293" i="1"/>
  <c r="Q3293" i="1"/>
  <c r="R3293" i="1"/>
  <c r="E3293" i="1"/>
  <c r="F3293" i="1"/>
  <c r="G3293" i="1"/>
  <c r="H3293" i="1"/>
  <c r="J3293" i="1"/>
  <c r="K3293" i="1"/>
  <c r="L3293" i="1"/>
  <c r="A3294" i="1"/>
  <c r="B3294" i="1"/>
  <c r="C3294" i="1"/>
  <c r="D3294" i="1"/>
  <c r="Q3294" i="1"/>
  <c r="R3294" i="1"/>
  <c r="E3294" i="1"/>
  <c r="F3294" i="1"/>
  <c r="G3294" i="1"/>
  <c r="H3294" i="1"/>
  <c r="J3294" i="1"/>
  <c r="K3294" i="1"/>
  <c r="L3294" i="1"/>
  <c r="A3295" i="1"/>
  <c r="B3295" i="1"/>
  <c r="C3295" i="1"/>
  <c r="D3295" i="1"/>
  <c r="Q3295" i="1"/>
  <c r="R3295" i="1"/>
  <c r="E3295" i="1"/>
  <c r="F3295" i="1"/>
  <c r="G3295" i="1"/>
  <c r="H3295" i="1"/>
  <c r="J3295" i="1"/>
  <c r="K3295" i="1"/>
  <c r="L3295" i="1"/>
  <c r="A3296" i="1"/>
  <c r="B3296" i="1"/>
  <c r="C3296" i="1"/>
  <c r="D3296" i="1"/>
  <c r="Q3296" i="1"/>
  <c r="R3296" i="1"/>
  <c r="E3296" i="1"/>
  <c r="F3296" i="1"/>
  <c r="G3296" i="1"/>
  <c r="H3296" i="1"/>
  <c r="J3296" i="1"/>
  <c r="K3296" i="1"/>
  <c r="L3296" i="1"/>
  <c r="A3297" i="1"/>
  <c r="B3297" i="1"/>
  <c r="C3297" i="1"/>
  <c r="D3297" i="1"/>
  <c r="Q3297" i="1"/>
  <c r="R3297" i="1"/>
  <c r="E3297" i="1"/>
  <c r="F3297" i="1"/>
  <c r="G3297" i="1"/>
  <c r="H3297" i="1"/>
  <c r="J3297" i="1"/>
  <c r="K3297" i="1"/>
  <c r="L3297" i="1"/>
  <c r="A3298" i="1"/>
  <c r="B3298" i="1"/>
  <c r="C3298" i="1"/>
  <c r="D3298" i="1"/>
  <c r="Q3298" i="1"/>
  <c r="R3298" i="1"/>
  <c r="E3298" i="1"/>
  <c r="F3298" i="1"/>
  <c r="G3298" i="1"/>
  <c r="H3298" i="1"/>
  <c r="J3298" i="1"/>
  <c r="K3298" i="1"/>
  <c r="L3298" i="1"/>
  <c r="A3299" i="1"/>
  <c r="B3299" i="1"/>
  <c r="C3299" i="1"/>
  <c r="D3299" i="1"/>
  <c r="Q3299" i="1"/>
  <c r="R3299" i="1"/>
  <c r="E3299" i="1"/>
  <c r="F3299" i="1"/>
  <c r="G3299" i="1"/>
  <c r="H3299" i="1"/>
  <c r="J3299" i="1"/>
  <c r="K3299" i="1"/>
  <c r="L3299" i="1"/>
  <c r="A3300" i="1"/>
  <c r="B3300" i="1"/>
  <c r="C3300" i="1"/>
  <c r="D3300" i="1"/>
  <c r="Q3300" i="1"/>
  <c r="R3300" i="1"/>
  <c r="E3300" i="1"/>
  <c r="F3300" i="1"/>
  <c r="G3300" i="1"/>
  <c r="H3300" i="1"/>
  <c r="J3300" i="1"/>
  <c r="K3300" i="1"/>
  <c r="L3300" i="1"/>
  <c r="A3301" i="1"/>
  <c r="B3301" i="1"/>
  <c r="C3301" i="1"/>
  <c r="D3301" i="1"/>
  <c r="Q3301" i="1"/>
  <c r="R3301" i="1"/>
  <c r="E3301" i="1"/>
  <c r="F3301" i="1"/>
  <c r="G3301" i="1"/>
  <c r="H3301" i="1"/>
  <c r="J3301" i="1"/>
  <c r="K3301" i="1"/>
  <c r="L3301" i="1"/>
  <c r="A3302" i="1"/>
  <c r="B3302" i="1"/>
  <c r="C3302" i="1"/>
  <c r="D3302" i="1"/>
  <c r="Q3302" i="1"/>
  <c r="R3302" i="1"/>
  <c r="E3302" i="1"/>
  <c r="F3302" i="1"/>
  <c r="G3302" i="1"/>
  <c r="H3302" i="1"/>
  <c r="J3302" i="1"/>
  <c r="K3302" i="1"/>
  <c r="L3302" i="1"/>
  <c r="A3303" i="1"/>
  <c r="B3303" i="1"/>
  <c r="C3303" i="1"/>
  <c r="D3303" i="1"/>
  <c r="Q3303" i="1"/>
  <c r="R3303" i="1"/>
  <c r="E3303" i="1"/>
  <c r="G3303" i="1"/>
  <c r="H3303" i="1"/>
  <c r="J3303" i="1"/>
  <c r="K3303" i="1"/>
  <c r="L3303" i="1"/>
  <c r="A3304" i="1"/>
  <c r="B3304" i="1"/>
  <c r="C3304" i="1"/>
  <c r="D3304" i="1"/>
  <c r="Q3304" i="1"/>
  <c r="R3304" i="1"/>
  <c r="E3304" i="1"/>
  <c r="G3304" i="1"/>
  <c r="H3304" i="1"/>
  <c r="J3304" i="1"/>
  <c r="K3304" i="1"/>
  <c r="L3304" i="1"/>
  <c r="A3305" i="1"/>
  <c r="B3305" i="1"/>
  <c r="C3305" i="1"/>
  <c r="D3305" i="1"/>
  <c r="Q3305" i="1"/>
  <c r="R3305" i="1"/>
  <c r="E3305" i="1"/>
  <c r="G3305" i="1"/>
  <c r="H3305" i="1"/>
  <c r="J3305" i="1"/>
  <c r="K3305" i="1"/>
  <c r="L3305" i="1"/>
  <c r="A3306" i="1"/>
  <c r="B3306" i="1"/>
  <c r="C3306" i="1"/>
  <c r="D3306" i="1"/>
  <c r="Q3306" i="1"/>
  <c r="R3306" i="1"/>
  <c r="E3306" i="1"/>
  <c r="G3306" i="1"/>
  <c r="H3306" i="1"/>
  <c r="J3306" i="1"/>
  <c r="K3306" i="1"/>
  <c r="L3306" i="1"/>
  <c r="A3307" i="1"/>
  <c r="B3307" i="1"/>
  <c r="C3307" i="1"/>
  <c r="D3307" i="1"/>
  <c r="Q3307" i="1"/>
  <c r="R3307" i="1"/>
  <c r="E3307" i="1"/>
  <c r="G3307" i="1"/>
  <c r="H3307" i="1"/>
  <c r="J3307" i="1"/>
  <c r="K3307" i="1"/>
  <c r="L3307" i="1"/>
  <c r="A3308" i="1"/>
  <c r="B3308" i="1"/>
  <c r="C3308" i="1"/>
  <c r="D3308" i="1"/>
  <c r="Q3308" i="1"/>
  <c r="R3308" i="1"/>
  <c r="E3308" i="1"/>
  <c r="G3308" i="1"/>
  <c r="H3308" i="1"/>
  <c r="J3308" i="1"/>
  <c r="K3308" i="1"/>
  <c r="L3308" i="1"/>
  <c r="A3309" i="1"/>
  <c r="B3309" i="1"/>
  <c r="C3309" i="1"/>
  <c r="D3309" i="1"/>
  <c r="Q3309" i="1"/>
  <c r="R3309" i="1"/>
  <c r="E3309" i="1"/>
  <c r="G3309" i="1"/>
  <c r="H3309" i="1"/>
  <c r="J3309" i="1"/>
  <c r="K3309" i="1"/>
  <c r="L3309" i="1"/>
  <c r="A3310" i="1"/>
  <c r="B3310" i="1"/>
  <c r="C3310" i="1"/>
  <c r="D3310" i="1"/>
  <c r="Q3310" i="1"/>
  <c r="R3310" i="1"/>
  <c r="E3310" i="1"/>
  <c r="G3310" i="1"/>
  <c r="H3310" i="1"/>
  <c r="J3310" i="1"/>
  <c r="K3310" i="1"/>
  <c r="L3310" i="1"/>
  <c r="A3311" i="1"/>
  <c r="B3311" i="1"/>
  <c r="C3311" i="1"/>
  <c r="D3311" i="1"/>
  <c r="Q3311" i="1"/>
  <c r="R3311" i="1"/>
  <c r="E3311" i="1"/>
  <c r="G3311" i="1"/>
  <c r="H3311" i="1"/>
  <c r="J3311" i="1"/>
  <c r="K3311" i="1"/>
  <c r="L3311" i="1"/>
  <c r="A3312" i="1"/>
  <c r="B3312" i="1"/>
  <c r="C3312" i="1"/>
  <c r="D3312" i="1"/>
  <c r="Q3312" i="1"/>
  <c r="R3312" i="1"/>
  <c r="E3312" i="1"/>
  <c r="G3312" i="1"/>
  <c r="H3312" i="1"/>
  <c r="J3312" i="1"/>
  <c r="K3312" i="1"/>
  <c r="L3312" i="1"/>
  <c r="A3313" i="1"/>
  <c r="B3313" i="1"/>
  <c r="C3313" i="1"/>
  <c r="D3313" i="1"/>
  <c r="Q3313" i="1"/>
  <c r="R3313" i="1"/>
  <c r="E3313" i="1"/>
  <c r="G3313" i="1"/>
  <c r="H3313" i="1"/>
  <c r="J3313" i="1"/>
  <c r="K3313" i="1"/>
  <c r="L3313" i="1"/>
  <c r="A3314" i="1"/>
  <c r="B3314" i="1"/>
  <c r="C3314" i="1"/>
  <c r="D3314" i="1"/>
  <c r="Q3314" i="1"/>
  <c r="R3314" i="1"/>
  <c r="E3314" i="1"/>
  <c r="G3314" i="1"/>
  <c r="H3314" i="1"/>
  <c r="J3314" i="1"/>
  <c r="K3314" i="1"/>
  <c r="L3314" i="1"/>
  <c r="A3315" i="1"/>
  <c r="B3315" i="1"/>
  <c r="C3315" i="1"/>
  <c r="D3315" i="1"/>
  <c r="Q3315" i="1"/>
  <c r="R3315" i="1"/>
  <c r="E3315" i="1"/>
  <c r="F3315" i="1"/>
  <c r="G3315" i="1"/>
  <c r="H3315" i="1"/>
  <c r="J3315" i="1"/>
  <c r="K3315" i="1"/>
  <c r="L3315" i="1"/>
  <c r="A3316" i="1"/>
  <c r="B3316" i="1"/>
  <c r="C3316" i="1"/>
  <c r="D3316" i="1"/>
  <c r="Q3316" i="1"/>
  <c r="R3316" i="1"/>
  <c r="E3316" i="1"/>
  <c r="F3316" i="1"/>
  <c r="G3316" i="1"/>
  <c r="H3316" i="1"/>
  <c r="J3316" i="1"/>
  <c r="K3316" i="1"/>
  <c r="L3316" i="1"/>
  <c r="A3317" i="1"/>
  <c r="B3317" i="1"/>
  <c r="C3317" i="1"/>
  <c r="D3317" i="1"/>
  <c r="Q3317" i="1"/>
  <c r="R3317" i="1"/>
  <c r="E3317" i="1"/>
  <c r="F3317" i="1"/>
  <c r="G3317" i="1"/>
  <c r="H3317" i="1"/>
  <c r="J3317" i="1"/>
  <c r="K3317" i="1"/>
  <c r="L3317" i="1"/>
  <c r="A3318" i="1"/>
  <c r="B3318" i="1"/>
  <c r="C3318" i="1"/>
  <c r="D3318" i="1"/>
  <c r="Q3318" i="1"/>
  <c r="R3318" i="1"/>
  <c r="E3318" i="1"/>
  <c r="F3318" i="1"/>
  <c r="G3318" i="1"/>
  <c r="H3318" i="1"/>
  <c r="J3318" i="1"/>
  <c r="K3318" i="1"/>
  <c r="L3318" i="1"/>
  <c r="A3319" i="1"/>
  <c r="B3319" i="1"/>
  <c r="C3319" i="1"/>
  <c r="D3319" i="1"/>
  <c r="Q3319" i="1"/>
  <c r="R3319" i="1"/>
  <c r="E3319" i="1"/>
  <c r="F3319" i="1"/>
  <c r="G3319" i="1"/>
  <c r="H3319" i="1"/>
  <c r="J3319" i="1"/>
  <c r="K3319" i="1"/>
  <c r="L3319" i="1"/>
  <c r="A3320" i="1"/>
  <c r="B3320" i="1"/>
  <c r="C3320" i="1"/>
  <c r="D3320" i="1"/>
  <c r="Q3320" i="1"/>
  <c r="R3320" i="1"/>
  <c r="E3320" i="1"/>
  <c r="F3320" i="1"/>
  <c r="G3320" i="1"/>
  <c r="H3320" i="1"/>
  <c r="J3320" i="1"/>
  <c r="K3320" i="1"/>
  <c r="L3320" i="1"/>
  <c r="A3321" i="1"/>
  <c r="B3321" i="1"/>
  <c r="C3321" i="1"/>
  <c r="D3321" i="1"/>
  <c r="Q3321" i="1"/>
  <c r="R3321" i="1"/>
  <c r="E3321" i="1"/>
  <c r="F3321" i="1"/>
  <c r="G3321" i="1"/>
  <c r="H3321" i="1"/>
  <c r="J3321" i="1"/>
  <c r="K3321" i="1"/>
  <c r="L3321" i="1"/>
  <c r="A3322" i="1"/>
  <c r="B3322" i="1"/>
  <c r="C3322" i="1"/>
  <c r="D3322" i="1"/>
  <c r="Q3322" i="1"/>
  <c r="R3322" i="1"/>
  <c r="E3322" i="1"/>
  <c r="F3322" i="1"/>
  <c r="G3322" i="1"/>
  <c r="H3322" i="1"/>
  <c r="J3322" i="1"/>
  <c r="K3322" i="1"/>
  <c r="L3322" i="1"/>
  <c r="A3323" i="1"/>
  <c r="B3323" i="1"/>
  <c r="C3323" i="1"/>
  <c r="D3323" i="1"/>
  <c r="Q3323" i="1"/>
  <c r="R3323" i="1"/>
  <c r="E3323" i="1"/>
  <c r="F3323" i="1"/>
  <c r="G3323" i="1"/>
  <c r="H3323" i="1"/>
  <c r="J3323" i="1"/>
  <c r="K3323" i="1"/>
  <c r="L3323" i="1"/>
  <c r="A3324" i="1"/>
  <c r="B3324" i="1"/>
  <c r="C3324" i="1"/>
  <c r="D3324" i="1"/>
  <c r="Q3324" i="1"/>
  <c r="R3324" i="1"/>
  <c r="E3324" i="1"/>
  <c r="F3324" i="1"/>
  <c r="G3324" i="1"/>
  <c r="H3324" i="1"/>
  <c r="J3324" i="1"/>
  <c r="K3324" i="1"/>
  <c r="L3324" i="1"/>
  <c r="A3325" i="1"/>
  <c r="B3325" i="1"/>
  <c r="C3325" i="1"/>
  <c r="D3325" i="1"/>
  <c r="Q3325" i="1"/>
  <c r="R3325" i="1"/>
  <c r="E3325" i="1"/>
  <c r="G3325" i="1"/>
  <c r="H3325" i="1"/>
  <c r="J3325" i="1"/>
  <c r="K3325" i="1"/>
  <c r="L3325" i="1"/>
  <c r="A3326" i="1"/>
  <c r="B3326" i="1"/>
  <c r="C3326" i="1"/>
  <c r="D3326" i="1"/>
  <c r="Q3326" i="1"/>
  <c r="R3326" i="1"/>
  <c r="E3326" i="1"/>
  <c r="G3326" i="1"/>
  <c r="H3326" i="1"/>
  <c r="J3326" i="1"/>
  <c r="K3326" i="1"/>
  <c r="L3326" i="1"/>
  <c r="A3327" i="1"/>
  <c r="B3327" i="1"/>
  <c r="C3327" i="1"/>
  <c r="D3327" i="1"/>
  <c r="Q3327" i="1"/>
  <c r="R3327" i="1"/>
  <c r="E3327" i="1"/>
  <c r="G3327" i="1"/>
  <c r="H3327" i="1"/>
  <c r="J3327" i="1"/>
  <c r="K3327" i="1"/>
  <c r="L3327" i="1"/>
  <c r="A3328" i="1"/>
  <c r="B3328" i="1"/>
  <c r="C3328" i="1"/>
  <c r="D3328" i="1"/>
  <c r="Q3328" i="1"/>
  <c r="R3328" i="1"/>
  <c r="E3328" i="1"/>
  <c r="G3328" i="1"/>
  <c r="H3328" i="1"/>
  <c r="J3328" i="1"/>
  <c r="K3328" i="1"/>
  <c r="L3328" i="1"/>
  <c r="A3329" i="1"/>
  <c r="B3329" i="1"/>
  <c r="C3329" i="1"/>
  <c r="D3329" i="1"/>
  <c r="Q3329" i="1"/>
  <c r="R3329" i="1"/>
  <c r="E3329" i="1"/>
  <c r="G3329" i="1"/>
  <c r="H3329" i="1"/>
  <c r="J3329" i="1"/>
  <c r="K3329" i="1"/>
  <c r="L3329" i="1"/>
  <c r="A3330" i="1"/>
  <c r="B3330" i="1"/>
  <c r="C3330" i="1"/>
  <c r="D3330" i="1"/>
  <c r="Q3330" i="1"/>
  <c r="R3330" i="1"/>
  <c r="E3330" i="1"/>
  <c r="G3330" i="1"/>
  <c r="H3330" i="1"/>
  <c r="J3330" i="1"/>
  <c r="K3330" i="1"/>
  <c r="L3330" i="1"/>
  <c r="A3331" i="1"/>
  <c r="B3331" i="1"/>
  <c r="C3331" i="1"/>
  <c r="D3331" i="1"/>
  <c r="Q3331" i="1"/>
  <c r="R3331" i="1"/>
  <c r="E3331" i="1"/>
  <c r="G3331" i="1"/>
  <c r="H3331" i="1"/>
  <c r="J3331" i="1"/>
  <c r="K3331" i="1"/>
  <c r="L3331" i="1"/>
  <c r="A3332" i="1"/>
  <c r="B3332" i="1"/>
  <c r="C3332" i="1"/>
  <c r="D3332" i="1"/>
  <c r="Q3332" i="1"/>
  <c r="R3332" i="1"/>
  <c r="E3332" i="1"/>
  <c r="G3332" i="1"/>
  <c r="H3332" i="1"/>
  <c r="J3332" i="1"/>
  <c r="K3332" i="1"/>
  <c r="L3332" i="1"/>
  <c r="A3333" i="1"/>
  <c r="B3333" i="1"/>
  <c r="C3333" i="1"/>
  <c r="D3333" i="1"/>
  <c r="Q3333" i="1"/>
  <c r="R3333" i="1"/>
  <c r="E3333" i="1"/>
  <c r="G3333" i="1"/>
  <c r="H3333" i="1"/>
  <c r="J3333" i="1"/>
  <c r="K3333" i="1"/>
  <c r="L3333" i="1"/>
  <c r="A3334" i="1"/>
  <c r="B3334" i="1"/>
  <c r="C3334" i="1"/>
  <c r="D3334" i="1"/>
  <c r="Q3334" i="1"/>
  <c r="R3334" i="1"/>
  <c r="E3334" i="1"/>
  <c r="G3334" i="1"/>
  <c r="H3334" i="1"/>
  <c r="J3334" i="1"/>
  <c r="K3334" i="1"/>
  <c r="L3334" i="1"/>
  <c r="A3335" i="1"/>
  <c r="B3335" i="1"/>
  <c r="C3335" i="1"/>
  <c r="D3335" i="1"/>
  <c r="Q3335" i="1"/>
  <c r="R3335" i="1"/>
  <c r="E3335" i="1"/>
  <c r="G3335" i="1"/>
  <c r="H3335" i="1"/>
  <c r="J3335" i="1"/>
  <c r="K3335" i="1"/>
  <c r="L3335" i="1"/>
  <c r="A3336" i="1"/>
  <c r="B3336" i="1"/>
  <c r="C3336" i="1"/>
  <c r="D3336" i="1"/>
  <c r="Q3336" i="1"/>
  <c r="R3336" i="1"/>
  <c r="E3336" i="1"/>
  <c r="G3336" i="1"/>
  <c r="H3336" i="1"/>
  <c r="J3336" i="1"/>
  <c r="K3336" i="1"/>
  <c r="L3336" i="1"/>
  <c r="A3337" i="1"/>
  <c r="B3337" i="1"/>
  <c r="C3337" i="1"/>
  <c r="D3337" i="1"/>
  <c r="Q3337" i="1"/>
  <c r="R3337" i="1"/>
  <c r="E3337" i="1"/>
  <c r="G3337" i="1"/>
  <c r="H3337" i="1"/>
  <c r="J3337" i="1"/>
  <c r="K3337" i="1"/>
  <c r="L3337" i="1"/>
  <c r="A3338" i="1"/>
  <c r="B3338" i="1"/>
  <c r="C3338" i="1"/>
  <c r="D3338" i="1"/>
  <c r="Q3338" i="1"/>
  <c r="R3338" i="1"/>
  <c r="E3338" i="1"/>
  <c r="G3338" i="1"/>
  <c r="H3338" i="1"/>
  <c r="J3338" i="1"/>
  <c r="K3338" i="1"/>
  <c r="L3338" i="1"/>
  <c r="A3339" i="1"/>
  <c r="B3339" i="1"/>
  <c r="C3339" i="1"/>
  <c r="D3339" i="1"/>
  <c r="Q3339" i="1"/>
  <c r="R3339" i="1"/>
  <c r="E3339" i="1"/>
  <c r="G3339" i="1"/>
  <c r="H3339" i="1"/>
  <c r="J3339" i="1"/>
  <c r="K3339" i="1"/>
  <c r="L3339" i="1"/>
  <c r="A3340" i="1"/>
  <c r="B3340" i="1"/>
  <c r="C3340" i="1"/>
  <c r="D3340" i="1"/>
  <c r="Q3340" i="1"/>
  <c r="R3340" i="1"/>
  <c r="E3340" i="1"/>
  <c r="G3340" i="1"/>
  <c r="H3340" i="1"/>
  <c r="J3340" i="1"/>
  <c r="K3340" i="1"/>
  <c r="L3340" i="1"/>
  <c r="A3341" i="1"/>
  <c r="B3341" i="1"/>
  <c r="C3341" i="1"/>
  <c r="D3341" i="1"/>
  <c r="Q3341" i="1"/>
  <c r="R3341" i="1"/>
  <c r="E3341" i="1"/>
  <c r="G3341" i="1"/>
  <c r="H3341" i="1"/>
  <c r="J3341" i="1"/>
  <c r="K3341" i="1"/>
  <c r="L3341" i="1"/>
  <c r="A3342" i="1"/>
  <c r="B3342" i="1"/>
  <c r="C3342" i="1"/>
  <c r="D3342" i="1"/>
  <c r="Q3342" i="1"/>
  <c r="R3342" i="1"/>
  <c r="E3342" i="1"/>
  <c r="G3342" i="1"/>
  <c r="H3342" i="1"/>
  <c r="J3342" i="1"/>
  <c r="K3342" i="1"/>
  <c r="L3342" i="1"/>
  <c r="A3343" i="1"/>
  <c r="B3343" i="1"/>
  <c r="C3343" i="1"/>
  <c r="D3343" i="1"/>
  <c r="Q3343" i="1"/>
  <c r="R3343" i="1"/>
  <c r="E3343" i="1"/>
  <c r="G3343" i="1"/>
  <c r="H3343" i="1"/>
  <c r="J3343" i="1"/>
  <c r="K3343" i="1"/>
  <c r="L3343" i="1"/>
  <c r="A3344" i="1"/>
  <c r="B3344" i="1"/>
  <c r="C3344" i="1"/>
  <c r="D3344" i="1"/>
  <c r="Q3344" i="1"/>
  <c r="R3344" i="1"/>
  <c r="E3344" i="1"/>
  <c r="G3344" i="1"/>
  <c r="H3344" i="1"/>
  <c r="J3344" i="1"/>
  <c r="K3344" i="1"/>
  <c r="L3344" i="1"/>
  <c r="A3345" i="1"/>
  <c r="B3345" i="1"/>
  <c r="C3345" i="1"/>
  <c r="D3345" i="1"/>
  <c r="Q3345" i="1"/>
  <c r="R3345" i="1"/>
  <c r="E3345" i="1"/>
  <c r="G3345" i="1"/>
  <c r="H3345" i="1"/>
  <c r="J3345" i="1"/>
  <c r="K3345" i="1"/>
  <c r="L3345" i="1"/>
  <c r="A3346" i="1"/>
  <c r="B3346" i="1"/>
  <c r="C3346" i="1"/>
  <c r="D3346" i="1"/>
  <c r="Q3346" i="1"/>
  <c r="R3346" i="1"/>
  <c r="E3346" i="1"/>
  <c r="G3346" i="1"/>
  <c r="H3346" i="1"/>
  <c r="J3346" i="1"/>
  <c r="K3346" i="1"/>
  <c r="L3346" i="1"/>
  <c r="A3347" i="1"/>
  <c r="B3347" i="1"/>
  <c r="C3347" i="1"/>
  <c r="D3347" i="1"/>
  <c r="Q3347" i="1"/>
  <c r="R3347" i="1"/>
  <c r="E3347" i="1"/>
  <c r="G3347" i="1"/>
  <c r="H3347" i="1"/>
  <c r="J3347" i="1"/>
  <c r="K3347" i="1"/>
  <c r="L3347" i="1"/>
  <c r="A3348" i="1"/>
  <c r="B3348" i="1"/>
  <c r="C3348" i="1"/>
  <c r="D3348" i="1"/>
  <c r="Q3348" i="1"/>
  <c r="R3348" i="1"/>
  <c r="E3348" i="1"/>
  <c r="G3348" i="1"/>
  <c r="H3348" i="1"/>
  <c r="J3348" i="1"/>
  <c r="K3348" i="1"/>
  <c r="L3348" i="1"/>
  <c r="A3349" i="1"/>
  <c r="B3349" i="1"/>
  <c r="C3349" i="1"/>
  <c r="D3349" i="1"/>
  <c r="Q3349" i="1"/>
  <c r="R3349" i="1"/>
  <c r="E3349" i="1"/>
  <c r="G3349" i="1"/>
  <c r="H3349" i="1"/>
  <c r="J3349" i="1"/>
  <c r="K3349" i="1"/>
  <c r="L3349" i="1"/>
  <c r="A3350" i="1"/>
  <c r="B3350" i="1"/>
  <c r="C3350" i="1"/>
  <c r="D3350" i="1"/>
  <c r="Q3350" i="1"/>
  <c r="R3350" i="1"/>
  <c r="E3350" i="1"/>
  <c r="G3350" i="1"/>
  <c r="H3350" i="1"/>
  <c r="J3350" i="1"/>
  <c r="K3350" i="1"/>
  <c r="L3350" i="1"/>
  <c r="A3351" i="1"/>
  <c r="B3351" i="1"/>
  <c r="C3351" i="1"/>
  <c r="D3351" i="1"/>
  <c r="Q3351" i="1"/>
  <c r="R3351" i="1"/>
  <c r="E3351" i="1"/>
  <c r="G3351" i="1"/>
  <c r="H3351" i="1"/>
  <c r="J3351" i="1"/>
  <c r="K3351" i="1"/>
  <c r="L3351" i="1"/>
  <c r="A3352" i="1"/>
  <c r="B3352" i="1"/>
  <c r="C3352" i="1"/>
  <c r="D3352" i="1"/>
  <c r="Q3352" i="1"/>
  <c r="R3352" i="1"/>
  <c r="E3352" i="1"/>
  <c r="G3352" i="1"/>
  <c r="H3352" i="1"/>
  <c r="J3352" i="1"/>
  <c r="K3352" i="1"/>
  <c r="L3352" i="1"/>
  <c r="A3353" i="1"/>
  <c r="B3353" i="1"/>
  <c r="C3353" i="1"/>
  <c r="D3353" i="1"/>
  <c r="Q3353" i="1"/>
  <c r="R3353" i="1"/>
  <c r="E3353" i="1"/>
  <c r="G3353" i="1"/>
  <c r="H3353" i="1"/>
  <c r="J3353" i="1"/>
  <c r="K3353" i="1"/>
  <c r="L3353" i="1"/>
  <c r="A3354" i="1"/>
  <c r="B3354" i="1"/>
  <c r="C3354" i="1"/>
  <c r="D3354" i="1"/>
  <c r="Q3354" i="1"/>
  <c r="R3354" i="1"/>
  <c r="E3354" i="1"/>
  <c r="G3354" i="1"/>
  <c r="H3354" i="1"/>
  <c r="J3354" i="1"/>
  <c r="K3354" i="1"/>
  <c r="L3354" i="1"/>
  <c r="A3355" i="1"/>
  <c r="B3355" i="1"/>
  <c r="C3355" i="1"/>
  <c r="D3355" i="1"/>
  <c r="Q3355" i="1"/>
  <c r="R3355" i="1"/>
  <c r="E3355" i="1"/>
  <c r="G3355" i="1"/>
  <c r="H3355" i="1"/>
  <c r="J3355" i="1"/>
  <c r="K3355" i="1"/>
  <c r="L3355" i="1"/>
  <c r="A3356" i="1"/>
  <c r="B3356" i="1"/>
  <c r="C3356" i="1"/>
  <c r="D3356" i="1"/>
  <c r="Q3356" i="1"/>
  <c r="R3356" i="1"/>
  <c r="E3356" i="1"/>
  <c r="G3356" i="1"/>
  <c r="H3356" i="1"/>
  <c r="J3356" i="1"/>
  <c r="K3356" i="1"/>
  <c r="L3356" i="1"/>
  <c r="A3357" i="1"/>
  <c r="B3357" i="1"/>
  <c r="C3357" i="1"/>
  <c r="D3357" i="1"/>
  <c r="Q3357" i="1"/>
  <c r="R3357" i="1"/>
  <c r="E3357" i="1"/>
  <c r="G3357" i="1"/>
  <c r="H3357" i="1"/>
  <c r="J3357" i="1"/>
  <c r="K3357" i="1"/>
  <c r="L3357" i="1"/>
  <c r="A3358" i="1"/>
  <c r="B3358" i="1"/>
  <c r="C3358" i="1"/>
  <c r="D3358" i="1"/>
  <c r="Q3358" i="1"/>
  <c r="R3358" i="1"/>
  <c r="E3358" i="1"/>
  <c r="G3358" i="1"/>
  <c r="H3358" i="1"/>
  <c r="J3358" i="1"/>
  <c r="K3358" i="1"/>
  <c r="L3358" i="1"/>
  <c r="A3359" i="1"/>
  <c r="B3359" i="1"/>
  <c r="C3359" i="1"/>
  <c r="D3359" i="1"/>
  <c r="Q3359" i="1"/>
  <c r="R3359" i="1"/>
  <c r="E3359" i="1"/>
  <c r="G3359" i="1"/>
  <c r="H3359" i="1"/>
  <c r="J3359" i="1"/>
  <c r="K3359" i="1"/>
  <c r="L3359" i="1"/>
  <c r="A3360" i="1"/>
  <c r="B3360" i="1"/>
  <c r="C3360" i="1"/>
  <c r="D3360" i="1"/>
  <c r="Q3360" i="1"/>
  <c r="R3360" i="1"/>
  <c r="E3360" i="1"/>
  <c r="G3360" i="1"/>
  <c r="H3360" i="1"/>
  <c r="J3360" i="1"/>
  <c r="K3360" i="1"/>
  <c r="L3360" i="1"/>
  <c r="A3361" i="1"/>
  <c r="B3361" i="1"/>
  <c r="C3361" i="1"/>
  <c r="D3361" i="1"/>
  <c r="Q3361" i="1"/>
  <c r="R3361" i="1"/>
  <c r="E3361" i="1"/>
  <c r="G3361" i="1"/>
  <c r="H3361" i="1"/>
  <c r="J3361" i="1"/>
  <c r="K3361" i="1"/>
  <c r="L3361" i="1"/>
  <c r="A3362" i="1"/>
  <c r="B3362" i="1"/>
  <c r="C3362" i="1"/>
  <c r="D3362" i="1"/>
  <c r="Q3362" i="1"/>
  <c r="R3362" i="1"/>
  <c r="E3362" i="1"/>
  <c r="G3362" i="1"/>
  <c r="H3362" i="1"/>
  <c r="J3362" i="1"/>
  <c r="K3362" i="1"/>
  <c r="L3362" i="1"/>
  <c r="A3363" i="1"/>
  <c r="B3363" i="1"/>
  <c r="C3363" i="1"/>
  <c r="D3363" i="1"/>
  <c r="Q3363" i="1"/>
  <c r="R3363" i="1"/>
  <c r="E3363" i="1"/>
  <c r="G3363" i="1"/>
  <c r="H3363" i="1"/>
  <c r="J3363" i="1"/>
  <c r="K3363" i="1"/>
  <c r="L3363" i="1"/>
  <c r="A3364" i="1"/>
  <c r="B3364" i="1"/>
  <c r="C3364" i="1"/>
  <c r="D3364" i="1"/>
  <c r="Q3364" i="1"/>
  <c r="R3364" i="1"/>
  <c r="E3364" i="1"/>
  <c r="G3364" i="1"/>
  <c r="H3364" i="1"/>
  <c r="J3364" i="1"/>
  <c r="K3364" i="1"/>
  <c r="L3364" i="1"/>
  <c r="A3365" i="1"/>
  <c r="B3365" i="1"/>
  <c r="C3365" i="1"/>
  <c r="D3365" i="1"/>
  <c r="Q3365" i="1"/>
  <c r="R3365" i="1"/>
  <c r="E3365" i="1"/>
  <c r="G3365" i="1"/>
  <c r="H3365" i="1"/>
  <c r="J3365" i="1"/>
  <c r="K3365" i="1"/>
  <c r="L3365" i="1"/>
  <c r="A3366" i="1"/>
  <c r="B3366" i="1"/>
  <c r="C3366" i="1"/>
  <c r="D3366" i="1"/>
  <c r="Q3366" i="1"/>
  <c r="R3366" i="1"/>
  <c r="E3366" i="1"/>
  <c r="G3366" i="1"/>
  <c r="H3366" i="1"/>
  <c r="J3366" i="1"/>
  <c r="K3366" i="1"/>
  <c r="L3366" i="1"/>
  <c r="A3367" i="1"/>
  <c r="B3367" i="1"/>
  <c r="C3367" i="1"/>
  <c r="D3367" i="1"/>
  <c r="Q3367" i="1"/>
  <c r="R3367" i="1"/>
  <c r="E3367" i="1"/>
  <c r="G3367" i="1"/>
  <c r="H3367" i="1"/>
  <c r="J3367" i="1"/>
  <c r="K3367" i="1"/>
  <c r="L3367" i="1"/>
  <c r="A3368" i="1"/>
  <c r="B3368" i="1"/>
  <c r="C3368" i="1"/>
  <c r="D3368" i="1"/>
  <c r="Q3368" i="1"/>
  <c r="R3368" i="1"/>
  <c r="E3368" i="1"/>
  <c r="G3368" i="1"/>
  <c r="H3368" i="1"/>
  <c r="J3368" i="1"/>
  <c r="K3368" i="1"/>
  <c r="L3368" i="1"/>
  <c r="A3369" i="1"/>
  <c r="B3369" i="1"/>
  <c r="C3369" i="1"/>
  <c r="D3369" i="1"/>
  <c r="Q3369" i="1"/>
  <c r="R3369" i="1"/>
  <c r="E3369" i="1"/>
  <c r="G3369" i="1"/>
  <c r="H3369" i="1"/>
  <c r="J3369" i="1"/>
  <c r="K3369" i="1"/>
  <c r="L3369" i="1"/>
  <c r="A3370" i="1"/>
  <c r="B3370" i="1"/>
  <c r="C3370" i="1"/>
  <c r="D3370" i="1"/>
  <c r="Q3370" i="1"/>
  <c r="R3370" i="1"/>
  <c r="E3370" i="1"/>
  <c r="G3370" i="1"/>
  <c r="H3370" i="1"/>
  <c r="J3370" i="1"/>
  <c r="K3370" i="1"/>
  <c r="L3370" i="1"/>
  <c r="A3371" i="1"/>
  <c r="B3371" i="1"/>
  <c r="C3371" i="1"/>
  <c r="D3371" i="1"/>
  <c r="Q3371" i="1"/>
  <c r="R3371" i="1"/>
  <c r="E3371" i="1"/>
  <c r="G3371" i="1"/>
  <c r="H3371" i="1"/>
  <c r="J3371" i="1"/>
  <c r="K3371" i="1"/>
  <c r="L3371" i="1"/>
  <c r="A3372" i="1"/>
  <c r="B3372" i="1"/>
  <c r="C3372" i="1"/>
  <c r="D3372" i="1"/>
  <c r="Q3372" i="1"/>
  <c r="R3372" i="1"/>
  <c r="E3372" i="1"/>
  <c r="G3372" i="1"/>
  <c r="H3372" i="1"/>
  <c r="J3372" i="1"/>
  <c r="K3372" i="1"/>
  <c r="L3372" i="1"/>
  <c r="A3373" i="1"/>
  <c r="B3373" i="1"/>
  <c r="C3373" i="1"/>
  <c r="D3373" i="1"/>
  <c r="Q3373" i="1"/>
  <c r="R3373" i="1"/>
  <c r="E3373" i="1"/>
  <c r="G3373" i="1"/>
  <c r="H3373" i="1"/>
  <c r="J3373" i="1"/>
  <c r="K3373" i="1"/>
  <c r="L3373" i="1"/>
  <c r="A3374" i="1"/>
  <c r="B3374" i="1"/>
  <c r="C3374" i="1"/>
  <c r="D3374" i="1"/>
  <c r="Q3374" i="1"/>
  <c r="R3374" i="1"/>
  <c r="E3374" i="1"/>
  <c r="G3374" i="1"/>
  <c r="H3374" i="1"/>
  <c r="J3374" i="1"/>
  <c r="K3374" i="1"/>
  <c r="L3374" i="1"/>
  <c r="A3375" i="1"/>
  <c r="B3375" i="1"/>
  <c r="C3375" i="1"/>
  <c r="D3375" i="1"/>
  <c r="Q3375" i="1"/>
  <c r="R3375" i="1"/>
  <c r="E3375" i="1"/>
  <c r="G3375" i="1"/>
  <c r="H3375" i="1"/>
  <c r="J3375" i="1"/>
  <c r="K3375" i="1"/>
  <c r="L3375" i="1"/>
  <c r="A3376" i="1"/>
  <c r="B3376" i="1"/>
  <c r="C3376" i="1"/>
  <c r="D3376" i="1"/>
  <c r="Q3376" i="1"/>
  <c r="R3376" i="1"/>
  <c r="E3376" i="1"/>
  <c r="G3376" i="1"/>
  <c r="H3376" i="1"/>
  <c r="J3376" i="1"/>
  <c r="K3376" i="1"/>
  <c r="L3376" i="1"/>
  <c r="A3377" i="1"/>
  <c r="B3377" i="1"/>
  <c r="C3377" i="1"/>
  <c r="D3377" i="1"/>
  <c r="Q3377" i="1"/>
  <c r="R3377" i="1"/>
  <c r="E3377" i="1"/>
  <c r="G3377" i="1"/>
  <c r="H3377" i="1"/>
  <c r="J3377" i="1"/>
  <c r="K3377" i="1"/>
  <c r="L3377" i="1"/>
  <c r="A3378" i="1"/>
  <c r="B3378" i="1"/>
  <c r="C3378" i="1"/>
  <c r="D3378" i="1"/>
  <c r="Q3378" i="1"/>
  <c r="R3378" i="1"/>
  <c r="E3378" i="1"/>
  <c r="G3378" i="1"/>
  <c r="H3378" i="1"/>
  <c r="J3378" i="1"/>
  <c r="K3378" i="1"/>
  <c r="L3378" i="1"/>
  <c r="A3379" i="1"/>
  <c r="B3379" i="1"/>
  <c r="C3379" i="1"/>
  <c r="D3379" i="1"/>
  <c r="Q3379" i="1"/>
  <c r="R3379" i="1"/>
  <c r="E3379" i="1"/>
  <c r="G3379" i="1"/>
  <c r="H3379" i="1"/>
  <c r="J3379" i="1"/>
  <c r="K3379" i="1"/>
  <c r="L3379" i="1"/>
  <c r="A3380" i="1"/>
  <c r="B3380" i="1"/>
  <c r="C3380" i="1"/>
  <c r="D3380" i="1"/>
  <c r="Q3380" i="1"/>
  <c r="R3380" i="1"/>
  <c r="E3380" i="1"/>
  <c r="G3380" i="1"/>
  <c r="H3380" i="1"/>
  <c r="J3380" i="1"/>
  <c r="K3380" i="1"/>
  <c r="L3380" i="1"/>
  <c r="A3381" i="1"/>
  <c r="B3381" i="1"/>
  <c r="C3381" i="1"/>
  <c r="D3381" i="1"/>
  <c r="Q3381" i="1"/>
  <c r="R3381" i="1"/>
  <c r="E3381" i="1"/>
  <c r="G3381" i="1"/>
  <c r="H3381" i="1"/>
  <c r="J3381" i="1"/>
  <c r="K3381" i="1"/>
  <c r="L3381" i="1"/>
  <c r="A3382" i="1"/>
  <c r="B3382" i="1"/>
  <c r="C3382" i="1"/>
  <c r="D3382" i="1"/>
  <c r="Q3382" i="1"/>
  <c r="R3382" i="1"/>
  <c r="E3382" i="1"/>
  <c r="G3382" i="1"/>
  <c r="H3382" i="1"/>
  <c r="J3382" i="1"/>
  <c r="K3382" i="1"/>
  <c r="L3382" i="1"/>
  <c r="A3383" i="1"/>
  <c r="B3383" i="1"/>
  <c r="C3383" i="1"/>
  <c r="D3383" i="1"/>
  <c r="Q3383" i="1"/>
  <c r="R3383" i="1"/>
  <c r="E3383" i="1"/>
  <c r="G3383" i="1"/>
  <c r="H3383" i="1"/>
  <c r="J3383" i="1"/>
  <c r="K3383" i="1"/>
  <c r="L3383" i="1"/>
  <c r="A3384" i="1"/>
  <c r="B3384" i="1"/>
  <c r="C3384" i="1"/>
  <c r="D3384" i="1"/>
  <c r="Q3384" i="1"/>
  <c r="R3384" i="1"/>
  <c r="E3384" i="1"/>
  <c r="G3384" i="1"/>
  <c r="H3384" i="1"/>
  <c r="J3384" i="1"/>
  <c r="K3384" i="1"/>
  <c r="L3384" i="1"/>
  <c r="A3385" i="1"/>
  <c r="B3385" i="1"/>
  <c r="C3385" i="1"/>
  <c r="D3385" i="1"/>
  <c r="Q3385" i="1"/>
  <c r="R3385" i="1"/>
  <c r="E3385" i="1"/>
  <c r="G3385" i="1"/>
  <c r="H3385" i="1"/>
  <c r="J3385" i="1"/>
  <c r="K3385" i="1"/>
  <c r="L3385" i="1"/>
  <c r="A3386" i="1"/>
  <c r="B3386" i="1"/>
  <c r="C3386" i="1"/>
  <c r="D3386" i="1"/>
  <c r="Q3386" i="1"/>
  <c r="R3386" i="1"/>
  <c r="E3386" i="1"/>
  <c r="G3386" i="1"/>
  <c r="H3386" i="1"/>
  <c r="J3386" i="1"/>
  <c r="K3386" i="1"/>
  <c r="L3386" i="1"/>
  <c r="A3387" i="1"/>
  <c r="B3387" i="1"/>
  <c r="C3387" i="1"/>
  <c r="D3387" i="1"/>
  <c r="Q3387" i="1"/>
  <c r="R3387" i="1"/>
  <c r="E3387" i="1"/>
  <c r="G3387" i="1"/>
  <c r="H3387" i="1"/>
  <c r="J3387" i="1"/>
  <c r="K3387" i="1"/>
  <c r="L3387" i="1"/>
  <c r="A3388" i="1"/>
  <c r="B3388" i="1"/>
  <c r="C3388" i="1"/>
  <c r="D3388" i="1"/>
  <c r="Q3388" i="1"/>
  <c r="R3388" i="1"/>
  <c r="E3388" i="1"/>
  <c r="G3388" i="1"/>
  <c r="H3388" i="1"/>
  <c r="J3388" i="1"/>
  <c r="K3388" i="1"/>
  <c r="L3388" i="1"/>
  <c r="A3389" i="1"/>
  <c r="B3389" i="1"/>
  <c r="C3389" i="1"/>
  <c r="D3389" i="1"/>
  <c r="Q3389" i="1"/>
  <c r="R3389" i="1"/>
  <c r="E3389" i="1"/>
  <c r="G3389" i="1"/>
  <c r="H3389" i="1"/>
  <c r="J3389" i="1"/>
  <c r="K3389" i="1"/>
  <c r="L3389" i="1"/>
  <c r="A3390" i="1"/>
  <c r="B3390" i="1"/>
  <c r="C3390" i="1"/>
  <c r="D3390" i="1"/>
  <c r="Q3390" i="1"/>
  <c r="R3390" i="1"/>
  <c r="E3390" i="1"/>
  <c r="G3390" i="1"/>
  <c r="H3390" i="1"/>
  <c r="J3390" i="1"/>
  <c r="K3390" i="1"/>
  <c r="L3390" i="1"/>
  <c r="A3391" i="1"/>
  <c r="B3391" i="1"/>
  <c r="C3391" i="1"/>
  <c r="D3391" i="1"/>
  <c r="Q3391" i="1"/>
  <c r="R3391" i="1"/>
  <c r="E3391" i="1"/>
  <c r="G3391" i="1"/>
  <c r="H3391" i="1"/>
  <c r="J3391" i="1"/>
  <c r="K3391" i="1"/>
  <c r="L3391" i="1"/>
  <c r="A3392" i="1"/>
  <c r="B3392" i="1"/>
  <c r="C3392" i="1"/>
  <c r="D3392" i="1"/>
  <c r="Q3392" i="1"/>
  <c r="R3392" i="1"/>
  <c r="E3392" i="1"/>
  <c r="G3392" i="1"/>
  <c r="H3392" i="1"/>
  <c r="J3392" i="1"/>
  <c r="K3392" i="1"/>
  <c r="L3392" i="1"/>
  <c r="A3393" i="1"/>
  <c r="B3393" i="1"/>
  <c r="C3393" i="1"/>
  <c r="D3393" i="1"/>
  <c r="Q3393" i="1"/>
  <c r="R3393" i="1"/>
  <c r="E3393" i="1"/>
  <c r="G3393" i="1"/>
  <c r="H3393" i="1"/>
  <c r="J3393" i="1"/>
  <c r="K3393" i="1"/>
  <c r="L3393" i="1"/>
  <c r="A3394" i="1"/>
  <c r="B3394" i="1"/>
  <c r="C3394" i="1"/>
  <c r="D3394" i="1"/>
  <c r="Q3394" i="1"/>
  <c r="R3394" i="1"/>
  <c r="E3394" i="1"/>
  <c r="G3394" i="1"/>
  <c r="H3394" i="1"/>
  <c r="J3394" i="1"/>
  <c r="K3394" i="1"/>
  <c r="L3394" i="1"/>
  <c r="A3395" i="1"/>
  <c r="B3395" i="1"/>
  <c r="C3395" i="1"/>
  <c r="D3395" i="1"/>
  <c r="Q3395" i="1"/>
  <c r="R3395" i="1"/>
  <c r="E3395" i="1"/>
  <c r="G3395" i="1"/>
  <c r="H3395" i="1"/>
  <c r="J3395" i="1"/>
  <c r="K3395" i="1"/>
  <c r="L3395" i="1"/>
  <c r="A3396" i="1"/>
  <c r="B3396" i="1"/>
  <c r="C3396" i="1"/>
  <c r="D3396" i="1"/>
  <c r="Q3396" i="1"/>
  <c r="R3396" i="1"/>
  <c r="E3396" i="1"/>
  <c r="G3396" i="1"/>
  <c r="H3396" i="1"/>
  <c r="J3396" i="1"/>
  <c r="K3396" i="1"/>
  <c r="L3396" i="1"/>
  <c r="A3397" i="1"/>
  <c r="B3397" i="1"/>
  <c r="C3397" i="1"/>
  <c r="D3397" i="1"/>
  <c r="Q3397" i="1"/>
  <c r="R3397" i="1"/>
  <c r="E3397" i="1"/>
  <c r="G3397" i="1"/>
  <c r="H3397" i="1"/>
  <c r="J3397" i="1"/>
  <c r="K3397" i="1"/>
  <c r="L3397" i="1"/>
  <c r="A3398" i="1"/>
  <c r="B3398" i="1"/>
  <c r="C3398" i="1"/>
  <c r="D3398" i="1"/>
  <c r="Q3398" i="1"/>
  <c r="R3398" i="1"/>
  <c r="E3398" i="1"/>
  <c r="G3398" i="1"/>
  <c r="H3398" i="1"/>
  <c r="J3398" i="1"/>
  <c r="K3398" i="1"/>
  <c r="L3398" i="1"/>
  <c r="A3399" i="1"/>
  <c r="B3399" i="1"/>
  <c r="C3399" i="1"/>
  <c r="D3399" i="1"/>
  <c r="Q3399" i="1"/>
  <c r="R3399" i="1"/>
  <c r="E3399" i="1"/>
  <c r="G3399" i="1"/>
  <c r="H3399" i="1"/>
  <c r="J3399" i="1"/>
  <c r="K3399" i="1"/>
  <c r="L3399" i="1"/>
  <c r="A3400" i="1"/>
  <c r="B3400" i="1"/>
  <c r="C3400" i="1"/>
  <c r="D3400" i="1"/>
  <c r="Q3400" i="1"/>
  <c r="R3400" i="1"/>
  <c r="E3400" i="1"/>
  <c r="G3400" i="1"/>
  <c r="H3400" i="1"/>
  <c r="J3400" i="1"/>
  <c r="K3400" i="1"/>
  <c r="L3400" i="1"/>
  <c r="A3401" i="1"/>
  <c r="B3401" i="1"/>
  <c r="C3401" i="1"/>
  <c r="D3401" i="1"/>
  <c r="Q3401" i="1"/>
  <c r="R3401" i="1"/>
  <c r="E3401" i="1"/>
  <c r="G3401" i="1"/>
  <c r="H3401" i="1"/>
  <c r="J3401" i="1"/>
  <c r="K3401" i="1"/>
  <c r="L3401" i="1"/>
  <c r="A3402" i="1"/>
  <c r="B3402" i="1"/>
  <c r="C3402" i="1"/>
  <c r="D3402" i="1"/>
  <c r="Q3402" i="1"/>
  <c r="R3402" i="1"/>
  <c r="E3402" i="1"/>
  <c r="G3402" i="1"/>
  <c r="H3402" i="1"/>
  <c r="J3402" i="1"/>
  <c r="K3402" i="1"/>
  <c r="L3402" i="1"/>
  <c r="A3403" i="1"/>
  <c r="B3403" i="1"/>
  <c r="C3403" i="1"/>
  <c r="D3403" i="1"/>
  <c r="Q3403" i="1"/>
  <c r="R3403" i="1"/>
  <c r="E3403" i="1"/>
  <c r="G3403" i="1"/>
  <c r="H3403" i="1"/>
  <c r="J3403" i="1"/>
  <c r="K3403" i="1"/>
  <c r="L3403" i="1"/>
  <c r="A3404" i="1"/>
  <c r="B3404" i="1"/>
  <c r="C3404" i="1"/>
  <c r="D3404" i="1"/>
  <c r="Q3404" i="1"/>
  <c r="R3404" i="1"/>
  <c r="E3404" i="1"/>
  <c r="G3404" i="1"/>
  <c r="H3404" i="1"/>
  <c r="J3404" i="1"/>
  <c r="K3404" i="1"/>
  <c r="L3404" i="1"/>
  <c r="A3405" i="1"/>
  <c r="B3405" i="1"/>
  <c r="C3405" i="1"/>
  <c r="D3405" i="1"/>
  <c r="Q3405" i="1"/>
  <c r="R3405" i="1"/>
  <c r="E3405" i="1"/>
  <c r="G3405" i="1"/>
  <c r="H3405" i="1"/>
  <c r="J3405" i="1"/>
  <c r="K3405" i="1"/>
  <c r="L3405" i="1"/>
  <c r="A3406" i="1"/>
  <c r="B3406" i="1"/>
  <c r="C3406" i="1"/>
  <c r="D3406" i="1"/>
  <c r="Q3406" i="1"/>
  <c r="R3406" i="1"/>
  <c r="E3406" i="1"/>
  <c r="G3406" i="1"/>
  <c r="H3406" i="1"/>
  <c r="J3406" i="1"/>
  <c r="K3406" i="1"/>
  <c r="L3406" i="1"/>
  <c r="A3407" i="1"/>
  <c r="B3407" i="1"/>
  <c r="C3407" i="1"/>
  <c r="D3407" i="1"/>
  <c r="Q3407" i="1"/>
  <c r="R3407" i="1"/>
  <c r="E3407" i="1"/>
  <c r="G3407" i="1"/>
  <c r="H3407" i="1"/>
  <c r="J3407" i="1"/>
  <c r="K3407" i="1"/>
  <c r="L3407" i="1"/>
  <c r="A3408" i="1"/>
  <c r="B3408" i="1"/>
  <c r="C3408" i="1"/>
  <c r="D3408" i="1"/>
  <c r="Q3408" i="1"/>
  <c r="R3408" i="1"/>
  <c r="E3408" i="1"/>
  <c r="G3408" i="1"/>
  <c r="H3408" i="1"/>
  <c r="J3408" i="1"/>
  <c r="K3408" i="1"/>
  <c r="L3408" i="1"/>
  <c r="A3409" i="1"/>
  <c r="B3409" i="1"/>
  <c r="C3409" i="1"/>
  <c r="D3409" i="1"/>
  <c r="Q3409" i="1"/>
  <c r="R3409" i="1"/>
  <c r="E3409" i="1"/>
  <c r="G3409" i="1"/>
  <c r="H3409" i="1"/>
  <c r="J3409" i="1"/>
  <c r="K3409" i="1"/>
  <c r="L3409" i="1"/>
  <c r="A3410" i="1"/>
  <c r="B3410" i="1"/>
  <c r="C3410" i="1"/>
  <c r="D3410" i="1"/>
  <c r="Q3410" i="1"/>
  <c r="R3410" i="1"/>
  <c r="E3410" i="1"/>
  <c r="G3410" i="1"/>
  <c r="H3410" i="1"/>
  <c r="J3410" i="1"/>
  <c r="K3410" i="1"/>
  <c r="L3410" i="1"/>
  <c r="A3411" i="1"/>
  <c r="B3411" i="1"/>
  <c r="C3411" i="1"/>
  <c r="D3411" i="1"/>
  <c r="Q3411" i="1"/>
  <c r="R3411" i="1"/>
  <c r="E3411" i="1"/>
  <c r="G3411" i="1"/>
  <c r="H3411" i="1"/>
  <c r="J3411" i="1"/>
  <c r="K3411" i="1"/>
  <c r="L3411" i="1"/>
  <c r="A3412" i="1"/>
  <c r="B3412" i="1"/>
  <c r="C3412" i="1"/>
  <c r="D3412" i="1"/>
  <c r="Q3412" i="1"/>
  <c r="R3412" i="1"/>
  <c r="E3412" i="1"/>
  <c r="G3412" i="1"/>
  <c r="H3412" i="1"/>
  <c r="J3412" i="1"/>
  <c r="K3412" i="1"/>
  <c r="L3412" i="1"/>
  <c r="A3413" i="1"/>
  <c r="B3413" i="1"/>
  <c r="C3413" i="1"/>
  <c r="D3413" i="1"/>
  <c r="Q3413" i="1"/>
  <c r="R3413" i="1"/>
  <c r="E3413" i="1"/>
  <c r="G3413" i="1"/>
  <c r="H3413" i="1"/>
  <c r="J3413" i="1"/>
  <c r="K3413" i="1"/>
  <c r="L3413" i="1"/>
  <c r="A3414" i="1"/>
  <c r="B3414" i="1"/>
  <c r="C3414" i="1"/>
  <c r="D3414" i="1"/>
  <c r="Q3414" i="1"/>
  <c r="R3414" i="1"/>
  <c r="E3414" i="1"/>
  <c r="G3414" i="1"/>
  <c r="H3414" i="1"/>
  <c r="J3414" i="1"/>
  <c r="K3414" i="1"/>
  <c r="L3414" i="1"/>
  <c r="A3415" i="1"/>
  <c r="B3415" i="1"/>
  <c r="C3415" i="1"/>
  <c r="D3415" i="1"/>
  <c r="Q3415" i="1"/>
  <c r="R3415" i="1"/>
  <c r="E3415" i="1"/>
  <c r="G3415" i="1"/>
  <c r="H3415" i="1"/>
  <c r="J3415" i="1"/>
  <c r="K3415" i="1"/>
  <c r="L3415" i="1"/>
  <c r="A3416" i="1"/>
  <c r="B3416" i="1"/>
  <c r="C3416" i="1"/>
  <c r="D3416" i="1"/>
  <c r="Q3416" i="1"/>
  <c r="R3416" i="1"/>
  <c r="E3416" i="1"/>
  <c r="G3416" i="1"/>
  <c r="H3416" i="1"/>
  <c r="J3416" i="1"/>
  <c r="K3416" i="1"/>
  <c r="L3416" i="1"/>
  <c r="A3417" i="1"/>
  <c r="B3417" i="1"/>
  <c r="C3417" i="1"/>
  <c r="D3417" i="1"/>
  <c r="Q3417" i="1"/>
  <c r="R3417" i="1"/>
  <c r="E3417" i="1"/>
  <c r="G3417" i="1"/>
  <c r="H3417" i="1"/>
  <c r="J3417" i="1"/>
  <c r="K3417" i="1"/>
  <c r="L3417" i="1"/>
  <c r="A3418" i="1"/>
  <c r="B3418" i="1"/>
  <c r="C3418" i="1"/>
  <c r="D3418" i="1"/>
  <c r="Q3418" i="1"/>
  <c r="R3418" i="1"/>
  <c r="E3418" i="1"/>
  <c r="G3418" i="1"/>
  <c r="H3418" i="1"/>
  <c r="J3418" i="1"/>
  <c r="K3418" i="1"/>
  <c r="L3418" i="1"/>
  <c r="A3419" i="1"/>
  <c r="B3419" i="1"/>
  <c r="C3419" i="1"/>
  <c r="D3419" i="1"/>
  <c r="Q3419" i="1"/>
  <c r="R3419" i="1"/>
  <c r="E3419" i="1"/>
  <c r="G3419" i="1"/>
  <c r="H3419" i="1"/>
  <c r="J3419" i="1"/>
  <c r="K3419" i="1"/>
  <c r="L3419" i="1"/>
  <c r="A3420" i="1"/>
  <c r="B3420" i="1"/>
  <c r="C3420" i="1"/>
  <c r="D3420" i="1"/>
  <c r="Q3420" i="1"/>
  <c r="R3420" i="1"/>
  <c r="E3420" i="1"/>
  <c r="G3420" i="1"/>
  <c r="H3420" i="1"/>
  <c r="J3420" i="1"/>
  <c r="K3420" i="1"/>
  <c r="L3420" i="1"/>
  <c r="A3421" i="1"/>
  <c r="B3421" i="1"/>
  <c r="C3421" i="1"/>
  <c r="D3421" i="1"/>
  <c r="Q3421" i="1"/>
  <c r="R3421" i="1"/>
  <c r="E3421" i="1"/>
  <c r="G3421" i="1"/>
  <c r="H3421" i="1"/>
  <c r="J3421" i="1"/>
  <c r="K3421" i="1"/>
  <c r="L3421" i="1"/>
  <c r="A3422" i="1"/>
  <c r="B3422" i="1"/>
  <c r="C3422" i="1"/>
  <c r="D3422" i="1"/>
  <c r="Q3422" i="1"/>
  <c r="R3422" i="1"/>
  <c r="E3422" i="1"/>
  <c r="G3422" i="1"/>
  <c r="H3422" i="1"/>
  <c r="J3422" i="1"/>
  <c r="K3422" i="1"/>
  <c r="L3422" i="1"/>
  <c r="A3423" i="1"/>
  <c r="B3423" i="1"/>
  <c r="C3423" i="1"/>
  <c r="D3423" i="1"/>
  <c r="Q3423" i="1"/>
  <c r="R3423" i="1"/>
  <c r="E3423" i="1"/>
  <c r="G3423" i="1"/>
  <c r="H3423" i="1"/>
  <c r="J3423" i="1"/>
  <c r="K3423" i="1"/>
  <c r="L3423" i="1"/>
  <c r="A3424" i="1"/>
  <c r="B3424" i="1"/>
  <c r="C3424" i="1"/>
  <c r="D3424" i="1"/>
  <c r="Q3424" i="1"/>
  <c r="R3424" i="1"/>
  <c r="E3424" i="1"/>
  <c r="G3424" i="1"/>
  <c r="H3424" i="1"/>
  <c r="J3424" i="1"/>
  <c r="K3424" i="1"/>
  <c r="L3424" i="1"/>
  <c r="A3425" i="1"/>
  <c r="B3425" i="1"/>
  <c r="C3425" i="1"/>
  <c r="D3425" i="1"/>
  <c r="Q3425" i="1"/>
  <c r="R3425" i="1"/>
  <c r="E3425" i="1"/>
  <c r="G3425" i="1"/>
  <c r="H3425" i="1"/>
  <c r="J3425" i="1"/>
  <c r="K3425" i="1"/>
  <c r="L3425" i="1"/>
  <c r="A3426" i="1"/>
  <c r="B3426" i="1"/>
  <c r="C3426" i="1"/>
  <c r="D3426" i="1"/>
  <c r="Q3426" i="1"/>
  <c r="R3426" i="1"/>
  <c r="E3426" i="1"/>
  <c r="G3426" i="1"/>
  <c r="H3426" i="1"/>
  <c r="J3426" i="1"/>
  <c r="K3426" i="1"/>
  <c r="L3426" i="1"/>
  <c r="A3427" i="1"/>
  <c r="B3427" i="1"/>
  <c r="C3427" i="1"/>
  <c r="D3427" i="1"/>
  <c r="Q3427" i="1"/>
  <c r="R3427" i="1"/>
  <c r="E3427" i="1"/>
  <c r="G3427" i="1"/>
  <c r="H3427" i="1"/>
  <c r="J3427" i="1"/>
  <c r="K3427" i="1"/>
  <c r="L3427" i="1"/>
  <c r="A3428" i="1"/>
  <c r="B3428" i="1"/>
  <c r="C3428" i="1"/>
  <c r="D3428" i="1"/>
  <c r="Q3428" i="1"/>
  <c r="R3428" i="1"/>
  <c r="E3428" i="1"/>
  <c r="G3428" i="1"/>
  <c r="H3428" i="1"/>
  <c r="J3428" i="1"/>
  <c r="K3428" i="1"/>
  <c r="L3428" i="1"/>
  <c r="A3429" i="1"/>
  <c r="B3429" i="1"/>
  <c r="C3429" i="1"/>
  <c r="D3429" i="1"/>
  <c r="Q3429" i="1"/>
  <c r="R3429" i="1"/>
  <c r="E3429" i="1"/>
  <c r="G3429" i="1"/>
  <c r="H3429" i="1"/>
  <c r="J3429" i="1"/>
  <c r="K3429" i="1"/>
  <c r="L3429" i="1"/>
  <c r="A3430" i="1"/>
  <c r="B3430" i="1"/>
  <c r="C3430" i="1"/>
  <c r="D3430" i="1"/>
  <c r="Q3430" i="1"/>
  <c r="R3430" i="1"/>
  <c r="E3430" i="1"/>
  <c r="G3430" i="1"/>
  <c r="H3430" i="1"/>
  <c r="J3430" i="1"/>
  <c r="K3430" i="1"/>
  <c r="L3430" i="1"/>
  <c r="A3431" i="1"/>
  <c r="B3431" i="1"/>
  <c r="C3431" i="1"/>
  <c r="D3431" i="1"/>
  <c r="Q3431" i="1"/>
  <c r="R3431" i="1"/>
  <c r="E3431" i="1"/>
  <c r="G3431" i="1"/>
  <c r="H3431" i="1"/>
  <c r="J3431" i="1"/>
  <c r="K3431" i="1"/>
  <c r="L3431" i="1"/>
  <c r="A3432" i="1"/>
  <c r="B3432" i="1"/>
  <c r="C3432" i="1"/>
  <c r="D3432" i="1"/>
  <c r="Q3432" i="1"/>
  <c r="R3432" i="1"/>
  <c r="E3432" i="1"/>
  <c r="G3432" i="1"/>
  <c r="H3432" i="1"/>
  <c r="J3432" i="1"/>
  <c r="K3432" i="1"/>
  <c r="L3432" i="1"/>
  <c r="A3433" i="1"/>
  <c r="B3433" i="1"/>
  <c r="C3433" i="1"/>
  <c r="D3433" i="1"/>
  <c r="Q3433" i="1"/>
  <c r="R3433" i="1"/>
  <c r="E3433" i="1"/>
  <c r="G3433" i="1"/>
  <c r="H3433" i="1"/>
  <c r="J3433" i="1"/>
  <c r="K3433" i="1"/>
  <c r="L3433" i="1"/>
  <c r="A3434" i="1"/>
  <c r="B3434" i="1"/>
  <c r="C3434" i="1"/>
  <c r="D3434" i="1"/>
  <c r="Q3434" i="1"/>
  <c r="R3434" i="1"/>
  <c r="E3434" i="1"/>
  <c r="G3434" i="1"/>
  <c r="H3434" i="1"/>
  <c r="J3434" i="1"/>
  <c r="K3434" i="1"/>
  <c r="L3434" i="1"/>
  <c r="A3435" i="1"/>
  <c r="B3435" i="1"/>
  <c r="C3435" i="1"/>
  <c r="D3435" i="1"/>
  <c r="Q3435" i="1"/>
  <c r="R3435" i="1"/>
  <c r="E3435" i="1"/>
  <c r="G3435" i="1"/>
  <c r="H3435" i="1"/>
  <c r="J3435" i="1"/>
  <c r="K3435" i="1"/>
  <c r="L3435" i="1"/>
  <c r="A3436" i="1"/>
  <c r="B3436" i="1"/>
  <c r="C3436" i="1"/>
  <c r="D3436" i="1"/>
  <c r="Q3436" i="1"/>
  <c r="R3436" i="1"/>
  <c r="E3436" i="1"/>
  <c r="G3436" i="1"/>
  <c r="H3436" i="1"/>
  <c r="J3436" i="1"/>
  <c r="K3436" i="1"/>
  <c r="L3436" i="1"/>
  <c r="A3437" i="1"/>
  <c r="B3437" i="1"/>
  <c r="C3437" i="1"/>
  <c r="D3437" i="1"/>
  <c r="Q3437" i="1"/>
  <c r="R3437" i="1"/>
  <c r="E3437" i="1"/>
  <c r="G3437" i="1"/>
  <c r="H3437" i="1"/>
  <c r="J3437" i="1"/>
  <c r="K3437" i="1"/>
  <c r="L3437" i="1"/>
  <c r="A3438" i="1"/>
  <c r="B3438" i="1"/>
  <c r="C3438" i="1"/>
  <c r="D3438" i="1"/>
  <c r="Q3438" i="1"/>
  <c r="R3438" i="1"/>
  <c r="E3438" i="1"/>
  <c r="G3438" i="1"/>
  <c r="H3438" i="1"/>
  <c r="J3438" i="1"/>
  <c r="K3438" i="1"/>
  <c r="L3438" i="1"/>
  <c r="A3439" i="1"/>
  <c r="B3439" i="1"/>
  <c r="C3439" i="1"/>
  <c r="D3439" i="1"/>
  <c r="Q3439" i="1"/>
  <c r="R3439" i="1"/>
  <c r="E3439" i="1"/>
  <c r="G3439" i="1"/>
  <c r="H3439" i="1"/>
  <c r="J3439" i="1"/>
  <c r="K3439" i="1"/>
  <c r="L3439" i="1"/>
  <c r="A3440" i="1"/>
  <c r="B3440" i="1"/>
  <c r="C3440" i="1"/>
  <c r="D3440" i="1"/>
  <c r="Q3440" i="1"/>
  <c r="R3440" i="1"/>
  <c r="E3440" i="1"/>
  <c r="G3440" i="1"/>
  <c r="H3440" i="1"/>
  <c r="J3440" i="1"/>
  <c r="K3440" i="1"/>
  <c r="L3440" i="1"/>
  <c r="A3441" i="1"/>
  <c r="B3441" i="1"/>
  <c r="C3441" i="1"/>
  <c r="D3441" i="1"/>
  <c r="Q3441" i="1"/>
  <c r="R3441" i="1"/>
  <c r="E3441" i="1"/>
  <c r="G3441" i="1"/>
  <c r="H3441" i="1"/>
  <c r="J3441" i="1"/>
  <c r="K3441" i="1"/>
  <c r="L3441" i="1"/>
  <c r="A3442" i="1"/>
  <c r="B3442" i="1"/>
  <c r="C3442" i="1"/>
  <c r="D3442" i="1"/>
  <c r="Q3442" i="1"/>
  <c r="R3442" i="1"/>
  <c r="E3442" i="1"/>
  <c r="G3442" i="1"/>
  <c r="H3442" i="1"/>
  <c r="J3442" i="1"/>
  <c r="K3442" i="1"/>
  <c r="L3442" i="1"/>
  <c r="A3443" i="1"/>
  <c r="B3443" i="1"/>
  <c r="C3443" i="1"/>
  <c r="D3443" i="1"/>
  <c r="Q3443" i="1"/>
  <c r="R3443" i="1"/>
  <c r="E3443" i="1"/>
  <c r="G3443" i="1"/>
  <c r="H3443" i="1"/>
  <c r="J3443" i="1"/>
  <c r="K3443" i="1"/>
  <c r="L3443" i="1"/>
  <c r="A3444" i="1"/>
  <c r="B3444" i="1"/>
  <c r="C3444" i="1"/>
  <c r="D3444" i="1"/>
  <c r="Q3444" i="1"/>
  <c r="R3444" i="1"/>
  <c r="E3444" i="1"/>
  <c r="G3444" i="1"/>
  <c r="H3444" i="1"/>
  <c r="J3444" i="1"/>
  <c r="K3444" i="1"/>
  <c r="L3444" i="1"/>
  <c r="A3445" i="1"/>
  <c r="B3445" i="1"/>
  <c r="C3445" i="1"/>
  <c r="D3445" i="1"/>
  <c r="Q3445" i="1"/>
  <c r="R3445" i="1"/>
  <c r="E3445" i="1"/>
  <c r="G3445" i="1"/>
  <c r="H3445" i="1"/>
  <c r="J3445" i="1"/>
  <c r="K3445" i="1"/>
  <c r="L3445" i="1"/>
  <c r="A3446" i="1"/>
  <c r="B3446" i="1"/>
  <c r="C3446" i="1"/>
  <c r="D3446" i="1"/>
  <c r="Q3446" i="1"/>
  <c r="R3446" i="1"/>
  <c r="E3446" i="1"/>
  <c r="G3446" i="1"/>
  <c r="H3446" i="1"/>
  <c r="J3446" i="1"/>
  <c r="K3446" i="1"/>
  <c r="L3446" i="1"/>
  <c r="A3447" i="1"/>
  <c r="B3447" i="1"/>
  <c r="C3447" i="1"/>
  <c r="D3447" i="1"/>
  <c r="Q3447" i="1"/>
  <c r="R3447" i="1"/>
  <c r="E3447" i="1"/>
  <c r="G3447" i="1"/>
  <c r="H3447" i="1"/>
  <c r="J3447" i="1"/>
  <c r="K3447" i="1"/>
  <c r="L3447" i="1"/>
  <c r="A3448" i="1"/>
  <c r="B3448" i="1"/>
  <c r="C3448" i="1"/>
  <c r="D3448" i="1"/>
  <c r="Q3448" i="1"/>
  <c r="R3448" i="1"/>
  <c r="E3448" i="1"/>
  <c r="G3448" i="1"/>
  <c r="H3448" i="1"/>
  <c r="J3448" i="1"/>
  <c r="K3448" i="1"/>
  <c r="L3448" i="1"/>
  <c r="A3449" i="1"/>
  <c r="B3449" i="1"/>
  <c r="C3449" i="1"/>
  <c r="D3449" i="1"/>
  <c r="Q3449" i="1"/>
  <c r="R3449" i="1"/>
  <c r="E3449" i="1"/>
  <c r="G3449" i="1"/>
  <c r="H3449" i="1"/>
  <c r="J3449" i="1"/>
  <c r="K3449" i="1"/>
  <c r="L3449" i="1"/>
  <c r="A3450" i="1"/>
  <c r="B3450" i="1"/>
  <c r="C3450" i="1"/>
  <c r="D3450" i="1"/>
  <c r="Q3450" i="1"/>
  <c r="R3450" i="1"/>
  <c r="E3450" i="1"/>
  <c r="G3450" i="1"/>
  <c r="H3450" i="1"/>
  <c r="J3450" i="1"/>
  <c r="K3450" i="1"/>
  <c r="L3450" i="1"/>
  <c r="A3451" i="1"/>
  <c r="B3451" i="1"/>
  <c r="C3451" i="1"/>
  <c r="D3451" i="1"/>
  <c r="Q3451" i="1"/>
  <c r="R3451" i="1"/>
  <c r="E3451" i="1"/>
  <c r="G3451" i="1"/>
  <c r="H3451" i="1"/>
  <c r="J3451" i="1"/>
  <c r="K3451" i="1"/>
  <c r="L3451" i="1"/>
  <c r="A3452" i="1"/>
  <c r="B3452" i="1"/>
  <c r="C3452" i="1"/>
  <c r="D3452" i="1"/>
  <c r="Q3452" i="1"/>
  <c r="R3452" i="1"/>
  <c r="E3452" i="1"/>
  <c r="G3452" i="1"/>
  <c r="H3452" i="1"/>
  <c r="J3452" i="1"/>
  <c r="K3452" i="1"/>
  <c r="L3452" i="1"/>
  <c r="A3453" i="1"/>
  <c r="B3453" i="1"/>
  <c r="C3453" i="1"/>
  <c r="D3453" i="1"/>
  <c r="Q3453" i="1"/>
  <c r="R3453" i="1"/>
  <c r="E3453" i="1"/>
  <c r="G3453" i="1"/>
  <c r="H3453" i="1"/>
  <c r="J3453" i="1"/>
  <c r="K3453" i="1"/>
  <c r="L3453" i="1"/>
  <c r="A3454" i="1"/>
  <c r="B3454" i="1"/>
  <c r="C3454" i="1"/>
  <c r="D3454" i="1"/>
  <c r="Q3454" i="1"/>
  <c r="R3454" i="1"/>
  <c r="E3454" i="1"/>
  <c r="G3454" i="1"/>
  <c r="H3454" i="1"/>
  <c r="J3454" i="1"/>
  <c r="K3454" i="1"/>
  <c r="L3454" i="1"/>
  <c r="A3455" i="1"/>
  <c r="B3455" i="1"/>
  <c r="C3455" i="1"/>
  <c r="D3455" i="1"/>
  <c r="Q3455" i="1"/>
  <c r="R3455" i="1"/>
  <c r="E3455" i="1"/>
  <c r="G3455" i="1"/>
  <c r="H3455" i="1"/>
  <c r="J3455" i="1"/>
  <c r="K3455" i="1"/>
  <c r="L3455" i="1"/>
  <c r="A3456" i="1"/>
  <c r="B3456" i="1"/>
  <c r="C3456" i="1"/>
  <c r="D3456" i="1"/>
  <c r="Q3456" i="1"/>
  <c r="R3456" i="1"/>
  <c r="E3456" i="1"/>
  <c r="G3456" i="1"/>
  <c r="H3456" i="1"/>
  <c r="J3456" i="1"/>
  <c r="K3456" i="1"/>
  <c r="L3456" i="1"/>
  <c r="A3457" i="1"/>
  <c r="B3457" i="1"/>
  <c r="C3457" i="1"/>
  <c r="D3457" i="1"/>
  <c r="Q3457" i="1"/>
  <c r="R3457" i="1"/>
  <c r="E3457" i="1"/>
  <c r="G3457" i="1"/>
  <c r="H3457" i="1"/>
  <c r="J3457" i="1"/>
  <c r="K3457" i="1"/>
  <c r="L3457" i="1"/>
  <c r="A3458" i="1"/>
  <c r="B3458" i="1"/>
  <c r="C3458" i="1"/>
  <c r="D3458" i="1"/>
  <c r="Q3458" i="1"/>
  <c r="R3458" i="1"/>
  <c r="E3458" i="1"/>
  <c r="G3458" i="1"/>
  <c r="H3458" i="1"/>
  <c r="J3458" i="1"/>
  <c r="K3458" i="1"/>
  <c r="L3458" i="1"/>
  <c r="A3459" i="1"/>
  <c r="B3459" i="1"/>
  <c r="C3459" i="1"/>
  <c r="D3459" i="1"/>
  <c r="Q3459" i="1"/>
  <c r="R3459" i="1"/>
  <c r="E3459" i="1"/>
  <c r="G3459" i="1"/>
  <c r="H3459" i="1"/>
  <c r="J3459" i="1"/>
  <c r="K3459" i="1"/>
  <c r="L3459" i="1"/>
  <c r="A3460" i="1"/>
  <c r="B3460" i="1"/>
  <c r="C3460" i="1"/>
  <c r="D3460" i="1"/>
  <c r="Q3460" i="1"/>
  <c r="R3460" i="1"/>
  <c r="E3460" i="1"/>
  <c r="G3460" i="1"/>
  <c r="H3460" i="1"/>
  <c r="J3460" i="1"/>
  <c r="K3460" i="1"/>
  <c r="L3460" i="1"/>
  <c r="A3461" i="1"/>
  <c r="B3461" i="1"/>
  <c r="C3461" i="1"/>
  <c r="D3461" i="1"/>
  <c r="Q3461" i="1"/>
  <c r="R3461" i="1"/>
  <c r="E3461" i="1"/>
  <c r="G3461" i="1"/>
  <c r="H3461" i="1"/>
  <c r="J3461" i="1"/>
  <c r="K3461" i="1"/>
  <c r="L3461" i="1"/>
  <c r="A3462" i="1"/>
  <c r="B3462" i="1"/>
  <c r="C3462" i="1"/>
  <c r="D3462" i="1"/>
  <c r="Q3462" i="1"/>
  <c r="R3462" i="1"/>
  <c r="E3462" i="1"/>
  <c r="G3462" i="1"/>
  <c r="H3462" i="1"/>
  <c r="J3462" i="1"/>
  <c r="K3462" i="1"/>
  <c r="L3462" i="1"/>
  <c r="A3463" i="1"/>
  <c r="B3463" i="1"/>
  <c r="C3463" i="1"/>
  <c r="D3463" i="1"/>
  <c r="Q3463" i="1"/>
  <c r="R3463" i="1"/>
  <c r="E3463" i="1"/>
  <c r="G3463" i="1"/>
  <c r="H3463" i="1"/>
  <c r="J3463" i="1"/>
  <c r="K3463" i="1"/>
  <c r="L3463" i="1"/>
  <c r="A3464" i="1"/>
  <c r="B3464" i="1"/>
  <c r="C3464" i="1"/>
  <c r="D3464" i="1"/>
  <c r="Q3464" i="1"/>
  <c r="R3464" i="1"/>
  <c r="E3464" i="1"/>
  <c r="G3464" i="1"/>
  <c r="H3464" i="1"/>
  <c r="J3464" i="1"/>
  <c r="K3464" i="1"/>
  <c r="L3464" i="1"/>
  <c r="A3465" i="1"/>
  <c r="B3465" i="1"/>
  <c r="C3465" i="1"/>
  <c r="D3465" i="1"/>
  <c r="Q3465" i="1"/>
  <c r="R3465" i="1"/>
  <c r="E3465" i="1"/>
  <c r="G3465" i="1"/>
  <c r="H3465" i="1"/>
  <c r="J3465" i="1"/>
  <c r="K3465" i="1"/>
  <c r="L3465" i="1"/>
  <c r="A3466" i="1"/>
  <c r="B3466" i="1"/>
  <c r="C3466" i="1"/>
  <c r="D3466" i="1"/>
  <c r="Q3466" i="1"/>
  <c r="R3466" i="1"/>
  <c r="E3466" i="1"/>
  <c r="G3466" i="1"/>
  <c r="H3466" i="1"/>
  <c r="J3466" i="1"/>
  <c r="K3466" i="1"/>
  <c r="L3466" i="1"/>
  <c r="A3467" i="1"/>
  <c r="B3467" i="1"/>
  <c r="C3467" i="1"/>
  <c r="D3467" i="1"/>
  <c r="Q3467" i="1"/>
  <c r="R3467" i="1"/>
  <c r="E3467" i="1"/>
  <c r="G3467" i="1"/>
  <c r="H3467" i="1"/>
  <c r="J3467" i="1"/>
  <c r="K3467" i="1"/>
  <c r="L3467" i="1"/>
  <c r="A3468" i="1"/>
  <c r="B3468" i="1"/>
  <c r="C3468" i="1"/>
  <c r="D3468" i="1"/>
  <c r="Q3468" i="1"/>
  <c r="R3468" i="1"/>
  <c r="E3468" i="1"/>
  <c r="G3468" i="1"/>
  <c r="H3468" i="1"/>
  <c r="J3468" i="1"/>
  <c r="K3468" i="1"/>
  <c r="L3468" i="1"/>
  <c r="A3469" i="1"/>
  <c r="B3469" i="1"/>
  <c r="C3469" i="1"/>
  <c r="D3469" i="1"/>
  <c r="Q3469" i="1"/>
  <c r="R3469" i="1"/>
  <c r="E3469" i="1"/>
  <c r="G3469" i="1"/>
  <c r="H3469" i="1"/>
  <c r="J3469" i="1"/>
  <c r="K3469" i="1"/>
  <c r="L3469" i="1"/>
  <c r="A3470" i="1"/>
  <c r="B3470" i="1"/>
  <c r="C3470" i="1"/>
  <c r="D3470" i="1"/>
  <c r="Q3470" i="1"/>
  <c r="R3470" i="1"/>
  <c r="E3470" i="1"/>
  <c r="G3470" i="1"/>
  <c r="H3470" i="1"/>
  <c r="J3470" i="1"/>
  <c r="K3470" i="1"/>
  <c r="L3470" i="1"/>
  <c r="A3471" i="1"/>
  <c r="B3471" i="1"/>
  <c r="C3471" i="1"/>
  <c r="D3471" i="1"/>
  <c r="Q3471" i="1"/>
  <c r="R3471" i="1"/>
  <c r="E3471" i="1"/>
  <c r="G3471" i="1"/>
  <c r="H3471" i="1"/>
  <c r="J3471" i="1"/>
  <c r="K3471" i="1"/>
  <c r="L3471" i="1"/>
  <c r="A3472" i="1"/>
  <c r="B3472" i="1"/>
  <c r="C3472" i="1"/>
  <c r="D3472" i="1"/>
  <c r="Q3472" i="1"/>
  <c r="R3472" i="1"/>
  <c r="E3472" i="1"/>
  <c r="G3472" i="1"/>
  <c r="H3472" i="1"/>
  <c r="J3472" i="1"/>
  <c r="K3472" i="1"/>
  <c r="L3472" i="1"/>
  <c r="A3473" i="1"/>
  <c r="B3473" i="1"/>
  <c r="C3473" i="1"/>
  <c r="D3473" i="1"/>
  <c r="Q3473" i="1"/>
  <c r="R3473" i="1"/>
  <c r="E3473" i="1"/>
  <c r="G3473" i="1"/>
  <c r="H3473" i="1"/>
  <c r="J3473" i="1"/>
  <c r="K3473" i="1"/>
  <c r="L3473" i="1"/>
  <c r="A3474" i="1"/>
  <c r="B3474" i="1"/>
  <c r="C3474" i="1"/>
  <c r="D3474" i="1"/>
  <c r="Q3474" i="1"/>
  <c r="R3474" i="1"/>
  <c r="E3474" i="1"/>
  <c r="G3474" i="1"/>
  <c r="H3474" i="1"/>
  <c r="J3474" i="1"/>
  <c r="K3474" i="1"/>
  <c r="L3474" i="1"/>
  <c r="A3475" i="1"/>
  <c r="B3475" i="1"/>
  <c r="C3475" i="1"/>
  <c r="D3475" i="1"/>
  <c r="Q3475" i="1"/>
  <c r="R3475" i="1"/>
  <c r="E3475" i="1"/>
  <c r="G3475" i="1"/>
  <c r="H3475" i="1"/>
  <c r="J3475" i="1"/>
  <c r="K3475" i="1"/>
  <c r="L3475" i="1"/>
  <c r="A3476" i="1"/>
  <c r="B3476" i="1"/>
  <c r="C3476" i="1"/>
  <c r="D3476" i="1"/>
  <c r="Q3476" i="1"/>
  <c r="R3476" i="1"/>
  <c r="E3476" i="1"/>
  <c r="G3476" i="1"/>
  <c r="H3476" i="1"/>
  <c r="J3476" i="1"/>
  <c r="K3476" i="1"/>
  <c r="L3476" i="1"/>
  <c r="A3477" i="1"/>
  <c r="B3477" i="1"/>
  <c r="C3477" i="1"/>
  <c r="D3477" i="1"/>
  <c r="Q3477" i="1"/>
  <c r="R3477" i="1"/>
  <c r="E3477" i="1"/>
  <c r="G3477" i="1"/>
  <c r="H3477" i="1"/>
  <c r="J3477" i="1"/>
  <c r="K3477" i="1"/>
  <c r="L3477" i="1"/>
  <c r="A3478" i="1"/>
  <c r="B3478" i="1"/>
  <c r="C3478" i="1"/>
  <c r="D3478" i="1"/>
  <c r="Q3478" i="1"/>
  <c r="R3478" i="1"/>
  <c r="E3478" i="1"/>
  <c r="G3478" i="1"/>
  <c r="H3478" i="1"/>
  <c r="J3478" i="1"/>
  <c r="K3478" i="1"/>
  <c r="L3478" i="1"/>
  <c r="A3479" i="1"/>
  <c r="B3479" i="1"/>
  <c r="C3479" i="1"/>
  <c r="D3479" i="1"/>
  <c r="Q3479" i="1"/>
  <c r="R3479" i="1"/>
  <c r="E3479" i="1"/>
  <c r="G3479" i="1"/>
  <c r="H3479" i="1"/>
  <c r="J3479" i="1"/>
  <c r="K3479" i="1"/>
  <c r="L3479" i="1"/>
  <c r="A3480" i="1"/>
  <c r="B3480" i="1"/>
  <c r="C3480" i="1"/>
  <c r="D3480" i="1"/>
  <c r="Q3480" i="1"/>
  <c r="R3480" i="1"/>
  <c r="E3480" i="1"/>
  <c r="G3480" i="1"/>
  <c r="H3480" i="1"/>
  <c r="J3480" i="1"/>
  <c r="K3480" i="1"/>
  <c r="L3480" i="1"/>
  <c r="A3481" i="1"/>
  <c r="B3481" i="1"/>
  <c r="C3481" i="1"/>
  <c r="D3481" i="1"/>
  <c r="Q3481" i="1"/>
  <c r="R3481" i="1"/>
  <c r="E3481" i="1"/>
  <c r="G3481" i="1"/>
  <c r="H3481" i="1"/>
  <c r="J3481" i="1"/>
  <c r="K3481" i="1"/>
  <c r="L3481" i="1"/>
  <c r="A3482" i="1"/>
  <c r="B3482" i="1"/>
  <c r="C3482" i="1"/>
  <c r="D3482" i="1"/>
  <c r="Q3482" i="1"/>
  <c r="R3482" i="1"/>
  <c r="E3482" i="1"/>
  <c r="G3482" i="1"/>
  <c r="H3482" i="1"/>
  <c r="J3482" i="1"/>
  <c r="K3482" i="1"/>
  <c r="L3482" i="1"/>
  <c r="A3483" i="1"/>
  <c r="B3483" i="1"/>
  <c r="C3483" i="1"/>
  <c r="D3483" i="1"/>
  <c r="Q3483" i="1"/>
  <c r="R3483" i="1"/>
  <c r="E3483" i="1"/>
  <c r="G3483" i="1"/>
  <c r="H3483" i="1"/>
  <c r="J3483" i="1"/>
  <c r="K3483" i="1"/>
  <c r="L3483" i="1"/>
  <c r="A3484" i="1"/>
  <c r="B3484" i="1"/>
  <c r="C3484" i="1"/>
  <c r="D3484" i="1"/>
  <c r="Q3484" i="1"/>
  <c r="R3484" i="1"/>
  <c r="E3484" i="1"/>
  <c r="G3484" i="1"/>
  <c r="H3484" i="1"/>
  <c r="J3484" i="1"/>
  <c r="K3484" i="1"/>
  <c r="L3484" i="1"/>
  <c r="A3485" i="1"/>
  <c r="B3485" i="1"/>
  <c r="C3485" i="1"/>
  <c r="D3485" i="1"/>
  <c r="Q3485" i="1"/>
  <c r="R3485" i="1"/>
  <c r="E3485" i="1"/>
  <c r="G3485" i="1"/>
  <c r="H3485" i="1"/>
  <c r="J3485" i="1"/>
  <c r="K3485" i="1"/>
  <c r="L3485" i="1"/>
  <c r="A3486" i="1"/>
  <c r="B3486" i="1"/>
  <c r="C3486" i="1"/>
  <c r="D3486" i="1"/>
  <c r="Q3486" i="1"/>
  <c r="R3486" i="1"/>
  <c r="E3486" i="1"/>
  <c r="G3486" i="1"/>
  <c r="H3486" i="1"/>
  <c r="J3486" i="1"/>
  <c r="K3486" i="1"/>
  <c r="L3486" i="1"/>
  <c r="A3487" i="1"/>
  <c r="B3487" i="1"/>
  <c r="C3487" i="1"/>
  <c r="D3487" i="1"/>
  <c r="Q3487" i="1"/>
  <c r="R3487" i="1"/>
  <c r="E3487" i="1"/>
  <c r="G3487" i="1"/>
  <c r="H3487" i="1"/>
  <c r="J3487" i="1"/>
  <c r="K3487" i="1"/>
  <c r="L3487" i="1"/>
  <c r="A3488" i="1"/>
  <c r="B3488" i="1"/>
  <c r="C3488" i="1"/>
  <c r="D3488" i="1"/>
  <c r="Q3488" i="1"/>
  <c r="R3488" i="1"/>
  <c r="E3488" i="1"/>
  <c r="G3488" i="1"/>
  <c r="H3488" i="1"/>
  <c r="J3488" i="1"/>
  <c r="K3488" i="1"/>
  <c r="L3488" i="1"/>
  <c r="A3489" i="1"/>
  <c r="B3489" i="1"/>
  <c r="C3489" i="1"/>
  <c r="D3489" i="1"/>
  <c r="Q3489" i="1"/>
  <c r="R3489" i="1"/>
  <c r="E3489" i="1"/>
  <c r="G3489" i="1"/>
  <c r="H3489" i="1"/>
  <c r="J3489" i="1"/>
  <c r="K3489" i="1"/>
  <c r="L3489" i="1"/>
  <c r="A3490" i="1"/>
  <c r="B3490" i="1"/>
  <c r="C3490" i="1"/>
  <c r="D3490" i="1"/>
  <c r="Q3490" i="1"/>
  <c r="R3490" i="1"/>
  <c r="E3490" i="1"/>
  <c r="G3490" i="1"/>
  <c r="H3490" i="1"/>
  <c r="J3490" i="1"/>
  <c r="K3490" i="1"/>
  <c r="L3490" i="1"/>
  <c r="A3491" i="1"/>
  <c r="B3491" i="1"/>
  <c r="C3491" i="1"/>
  <c r="D3491" i="1"/>
  <c r="Q3491" i="1"/>
  <c r="R3491" i="1"/>
  <c r="E3491" i="1"/>
  <c r="G3491" i="1"/>
  <c r="H3491" i="1"/>
  <c r="J3491" i="1"/>
  <c r="K3491" i="1"/>
  <c r="L3491" i="1"/>
  <c r="A3492" i="1"/>
  <c r="B3492" i="1"/>
  <c r="C3492" i="1"/>
  <c r="D3492" i="1"/>
  <c r="Q3492" i="1"/>
  <c r="R3492" i="1"/>
  <c r="E3492" i="1"/>
  <c r="G3492" i="1"/>
  <c r="H3492" i="1"/>
  <c r="J3492" i="1"/>
  <c r="K3492" i="1"/>
  <c r="L3492" i="1"/>
  <c r="A3493" i="1"/>
  <c r="B3493" i="1"/>
  <c r="C3493" i="1"/>
  <c r="D3493" i="1"/>
  <c r="Q3493" i="1"/>
  <c r="R3493" i="1"/>
  <c r="E3493" i="1"/>
  <c r="G3493" i="1"/>
  <c r="H3493" i="1"/>
  <c r="J3493" i="1"/>
  <c r="K3493" i="1"/>
  <c r="L3493" i="1"/>
  <c r="A3494" i="1"/>
  <c r="B3494" i="1"/>
  <c r="C3494" i="1"/>
  <c r="D3494" i="1"/>
  <c r="Q3494" i="1"/>
  <c r="R3494" i="1"/>
  <c r="E3494" i="1"/>
  <c r="G3494" i="1"/>
  <c r="H3494" i="1"/>
  <c r="J3494" i="1"/>
  <c r="K3494" i="1"/>
  <c r="L3494" i="1"/>
  <c r="A3495" i="1"/>
  <c r="B3495" i="1"/>
  <c r="C3495" i="1"/>
  <c r="D3495" i="1"/>
  <c r="Q3495" i="1"/>
  <c r="R3495" i="1"/>
  <c r="E3495" i="1"/>
  <c r="G3495" i="1"/>
  <c r="H3495" i="1"/>
  <c r="J3495" i="1"/>
  <c r="K3495" i="1"/>
  <c r="L3495" i="1"/>
  <c r="A3496" i="1"/>
  <c r="B3496" i="1"/>
  <c r="C3496" i="1"/>
  <c r="D3496" i="1"/>
  <c r="Q3496" i="1"/>
  <c r="R3496" i="1"/>
  <c r="E3496" i="1"/>
  <c r="G3496" i="1"/>
  <c r="H3496" i="1"/>
  <c r="J3496" i="1"/>
  <c r="K3496" i="1"/>
  <c r="L3496" i="1"/>
  <c r="A3497" i="1"/>
  <c r="B3497" i="1"/>
  <c r="C3497" i="1"/>
  <c r="D3497" i="1"/>
  <c r="Q3497" i="1"/>
  <c r="R3497" i="1"/>
  <c r="E3497" i="1"/>
  <c r="G3497" i="1"/>
  <c r="H3497" i="1"/>
  <c r="J3497" i="1"/>
  <c r="K3497" i="1"/>
  <c r="L3497" i="1"/>
  <c r="A3498" i="1"/>
  <c r="B3498" i="1"/>
  <c r="C3498" i="1"/>
  <c r="D3498" i="1"/>
  <c r="Q3498" i="1"/>
  <c r="R3498" i="1"/>
  <c r="E3498" i="1"/>
  <c r="G3498" i="1"/>
  <c r="H3498" i="1"/>
  <c r="J3498" i="1"/>
  <c r="K3498" i="1"/>
  <c r="L3498" i="1"/>
  <c r="A3499" i="1"/>
  <c r="B3499" i="1"/>
  <c r="C3499" i="1"/>
  <c r="D3499" i="1"/>
  <c r="Q3499" i="1"/>
  <c r="R3499" i="1"/>
  <c r="E3499" i="1"/>
  <c r="G3499" i="1"/>
  <c r="H3499" i="1"/>
  <c r="J3499" i="1"/>
  <c r="K3499" i="1"/>
  <c r="L3499" i="1"/>
  <c r="A3500" i="1"/>
  <c r="B3500" i="1"/>
  <c r="C3500" i="1"/>
  <c r="D3500" i="1"/>
  <c r="Q3500" i="1"/>
  <c r="R3500" i="1"/>
  <c r="E3500" i="1"/>
  <c r="G3500" i="1"/>
  <c r="H3500" i="1"/>
  <c r="J3500" i="1"/>
  <c r="K3500" i="1"/>
  <c r="L3500" i="1"/>
  <c r="A3501" i="1"/>
  <c r="B3501" i="1"/>
  <c r="C3501" i="1"/>
  <c r="D3501" i="1"/>
  <c r="Q3501" i="1"/>
  <c r="R3501" i="1"/>
  <c r="E3501" i="1"/>
  <c r="G3501" i="1"/>
  <c r="H3501" i="1"/>
  <c r="J3501" i="1"/>
  <c r="K3501" i="1"/>
  <c r="L3501" i="1"/>
  <c r="A3502" i="1"/>
  <c r="B3502" i="1"/>
  <c r="C3502" i="1"/>
  <c r="D3502" i="1"/>
  <c r="Q3502" i="1"/>
  <c r="R3502" i="1"/>
  <c r="E3502" i="1"/>
  <c r="G3502" i="1"/>
  <c r="H3502" i="1"/>
  <c r="J3502" i="1"/>
  <c r="K3502" i="1"/>
  <c r="L3502" i="1"/>
  <c r="A3503" i="1"/>
  <c r="B3503" i="1"/>
  <c r="C3503" i="1"/>
  <c r="D3503" i="1"/>
  <c r="Q3503" i="1"/>
  <c r="R3503" i="1"/>
  <c r="E3503" i="1"/>
  <c r="G3503" i="1"/>
  <c r="H3503" i="1"/>
  <c r="J3503" i="1"/>
  <c r="K3503" i="1"/>
  <c r="L3503" i="1"/>
  <c r="A3504" i="1"/>
  <c r="B3504" i="1"/>
  <c r="C3504" i="1"/>
  <c r="D3504" i="1"/>
  <c r="Q3504" i="1"/>
  <c r="R3504" i="1"/>
  <c r="E3504" i="1"/>
  <c r="G3504" i="1"/>
  <c r="H3504" i="1"/>
  <c r="J3504" i="1"/>
  <c r="K3504" i="1"/>
  <c r="L3504" i="1"/>
  <c r="A3505" i="1"/>
  <c r="B3505" i="1"/>
  <c r="C3505" i="1"/>
  <c r="D3505" i="1"/>
  <c r="Q3505" i="1"/>
  <c r="R3505" i="1"/>
  <c r="E3505" i="1"/>
  <c r="G3505" i="1"/>
  <c r="H3505" i="1"/>
  <c r="J3505" i="1"/>
  <c r="K3505" i="1"/>
  <c r="L3505" i="1"/>
  <c r="A3506" i="1"/>
  <c r="B3506" i="1"/>
  <c r="C3506" i="1"/>
  <c r="D3506" i="1"/>
  <c r="Q3506" i="1"/>
  <c r="R3506" i="1"/>
  <c r="E3506" i="1"/>
  <c r="G3506" i="1"/>
  <c r="H3506" i="1"/>
  <c r="J3506" i="1"/>
  <c r="K3506" i="1"/>
  <c r="L3506" i="1"/>
  <c r="A3507" i="1"/>
  <c r="B3507" i="1"/>
  <c r="C3507" i="1"/>
  <c r="D3507" i="1"/>
  <c r="Q3507" i="1"/>
  <c r="R3507" i="1"/>
  <c r="E3507" i="1"/>
  <c r="G3507" i="1"/>
  <c r="H3507" i="1"/>
  <c r="J3507" i="1"/>
  <c r="K3507" i="1"/>
  <c r="L3507" i="1"/>
  <c r="A3508" i="1"/>
  <c r="B3508" i="1"/>
  <c r="C3508" i="1"/>
  <c r="D3508" i="1"/>
  <c r="Q3508" i="1"/>
  <c r="R3508" i="1"/>
  <c r="E3508" i="1"/>
  <c r="G3508" i="1"/>
  <c r="H3508" i="1"/>
  <c r="J3508" i="1"/>
  <c r="K3508" i="1"/>
  <c r="L3508" i="1"/>
  <c r="A3509" i="1"/>
  <c r="B3509" i="1"/>
  <c r="C3509" i="1"/>
  <c r="D3509" i="1"/>
  <c r="Q3509" i="1"/>
  <c r="R3509" i="1"/>
  <c r="E3509" i="1"/>
  <c r="G3509" i="1"/>
  <c r="H3509" i="1"/>
  <c r="J3509" i="1"/>
  <c r="K3509" i="1"/>
  <c r="L3509" i="1"/>
  <c r="A3510" i="1"/>
  <c r="B3510" i="1"/>
  <c r="C3510" i="1"/>
  <c r="D3510" i="1"/>
  <c r="Q3510" i="1"/>
  <c r="R3510" i="1"/>
  <c r="E3510" i="1"/>
  <c r="G3510" i="1"/>
  <c r="H3510" i="1"/>
  <c r="J3510" i="1"/>
  <c r="K3510" i="1"/>
  <c r="L3510" i="1"/>
  <c r="A3511" i="1"/>
  <c r="B3511" i="1"/>
  <c r="C3511" i="1"/>
  <c r="D3511" i="1"/>
  <c r="Q3511" i="1"/>
  <c r="R3511" i="1"/>
  <c r="E3511" i="1"/>
  <c r="G3511" i="1"/>
  <c r="H3511" i="1"/>
  <c r="J3511" i="1"/>
  <c r="K3511" i="1"/>
  <c r="L3511" i="1"/>
  <c r="A3512" i="1"/>
  <c r="B3512" i="1"/>
  <c r="C3512" i="1"/>
  <c r="D3512" i="1"/>
  <c r="Q3512" i="1"/>
  <c r="R3512" i="1"/>
  <c r="E3512" i="1"/>
  <c r="G3512" i="1"/>
  <c r="H3512" i="1"/>
  <c r="J3512" i="1"/>
  <c r="K3512" i="1"/>
  <c r="L3512" i="1"/>
  <c r="A3513" i="1"/>
  <c r="B3513" i="1"/>
  <c r="C3513" i="1"/>
  <c r="D3513" i="1"/>
  <c r="Q3513" i="1"/>
  <c r="R3513" i="1"/>
  <c r="E3513" i="1"/>
  <c r="G3513" i="1"/>
  <c r="H3513" i="1"/>
  <c r="J3513" i="1"/>
  <c r="K3513" i="1"/>
  <c r="L3513" i="1"/>
  <c r="A3514" i="1"/>
  <c r="B3514" i="1"/>
  <c r="C3514" i="1"/>
  <c r="D3514" i="1"/>
  <c r="Q3514" i="1"/>
  <c r="R3514" i="1"/>
  <c r="E3514" i="1"/>
  <c r="G3514" i="1"/>
  <c r="H3514" i="1"/>
  <c r="J3514" i="1"/>
  <c r="K3514" i="1"/>
  <c r="L3514" i="1"/>
  <c r="A3515" i="1"/>
  <c r="B3515" i="1"/>
  <c r="C3515" i="1"/>
  <c r="D3515" i="1"/>
  <c r="Q3515" i="1"/>
  <c r="R3515" i="1"/>
  <c r="E3515" i="1"/>
  <c r="G3515" i="1"/>
  <c r="H3515" i="1"/>
  <c r="J3515" i="1"/>
  <c r="K3515" i="1"/>
  <c r="L3515" i="1"/>
  <c r="A3516" i="1"/>
  <c r="B3516" i="1"/>
  <c r="C3516" i="1"/>
  <c r="D3516" i="1"/>
  <c r="Q3516" i="1"/>
  <c r="R3516" i="1"/>
  <c r="E3516" i="1"/>
  <c r="G3516" i="1"/>
  <c r="H3516" i="1"/>
  <c r="J3516" i="1"/>
  <c r="K3516" i="1"/>
  <c r="L3516" i="1"/>
  <c r="A3517" i="1"/>
  <c r="B3517" i="1"/>
  <c r="C3517" i="1"/>
  <c r="D3517" i="1"/>
  <c r="Q3517" i="1"/>
  <c r="R3517" i="1"/>
  <c r="E3517" i="1"/>
  <c r="G3517" i="1"/>
  <c r="H3517" i="1"/>
  <c r="J3517" i="1"/>
  <c r="K3517" i="1"/>
  <c r="L3517" i="1"/>
  <c r="A3518" i="1"/>
  <c r="B3518" i="1"/>
  <c r="C3518" i="1"/>
  <c r="D3518" i="1"/>
  <c r="Q3518" i="1"/>
  <c r="R3518" i="1"/>
  <c r="E3518" i="1"/>
  <c r="G3518" i="1"/>
  <c r="H3518" i="1"/>
  <c r="J3518" i="1"/>
  <c r="K3518" i="1"/>
  <c r="L3518" i="1"/>
  <c r="A3519" i="1"/>
  <c r="B3519" i="1"/>
  <c r="C3519" i="1"/>
  <c r="D3519" i="1"/>
  <c r="Q3519" i="1"/>
  <c r="R3519" i="1"/>
  <c r="E3519" i="1"/>
  <c r="G3519" i="1"/>
  <c r="H3519" i="1"/>
  <c r="J3519" i="1"/>
  <c r="K3519" i="1"/>
  <c r="L3519" i="1"/>
  <c r="A3520" i="1"/>
  <c r="B3520" i="1"/>
  <c r="C3520" i="1"/>
  <c r="D3520" i="1"/>
  <c r="Q3520" i="1"/>
  <c r="R3520" i="1"/>
  <c r="E3520" i="1"/>
  <c r="G3520" i="1"/>
  <c r="H3520" i="1"/>
  <c r="J3520" i="1"/>
  <c r="K3520" i="1"/>
  <c r="L3520" i="1"/>
  <c r="A3521" i="1"/>
  <c r="B3521" i="1"/>
  <c r="C3521" i="1"/>
  <c r="D3521" i="1"/>
  <c r="Q3521" i="1"/>
  <c r="R3521" i="1"/>
  <c r="E3521" i="1"/>
  <c r="G3521" i="1"/>
  <c r="H3521" i="1"/>
  <c r="J3521" i="1"/>
  <c r="K3521" i="1"/>
  <c r="L3521" i="1"/>
  <c r="A3522" i="1"/>
  <c r="B3522" i="1"/>
  <c r="C3522" i="1"/>
  <c r="D3522" i="1"/>
  <c r="Q3522" i="1"/>
  <c r="R3522" i="1"/>
  <c r="E3522" i="1"/>
  <c r="G3522" i="1"/>
  <c r="H3522" i="1"/>
  <c r="J3522" i="1"/>
  <c r="K3522" i="1"/>
  <c r="L3522" i="1"/>
  <c r="A3523" i="1"/>
  <c r="B3523" i="1"/>
  <c r="C3523" i="1"/>
  <c r="D3523" i="1"/>
  <c r="Q3523" i="1"/>
  <c r="R3523" i="1"/>
  <c r="E3523" i="1"/>
  <c r="G3523" i="1"/>
  <c r="H3523" i="1"/>
  <c r="J3523" i="1"/>
  <c r="K3523" i="1"/>
  <c r="L3523" i="1"/>
  <c r="A3524" i="1"/>
  <c r="B3524" i="1"/>
  <c r="C3524" i="1"/>
  <c r="D3524" i="1"/>
  <c r="Q3524" i="1"/>
  <c r="R3524" i="1"/>
  <c r="E3524" i="1"/>
  <c r="G3524" i="1"/>
  <c r="H3524" i="1"/>
  <c r="J3524" i="1"/>
  <c r="K3524" i="1"/>
  <c r="L3524" i="1"/>
  <c r="A3525" i="1"/>
  <c r="B3525" i="1"/>
  <c r="C3525" i="1"/>
  <c r="D3525" i="1"/>
  <c r="Q3525" i="1"/>
  <c r="R3525" i="1"/>
  <c r="E3525" i="1"/>
  <c r="G3525" i="1"/>
  <c r="H3525" i="1"/>
  <c r="J3525" i="1"/>
  <c r="K3525" i="1"/>
  <c r="L3525" i="1"/>
  <c r="A3526" i="1"/>
  <c r="B3526" i="1"/>
  <c r="C3526" i="1"/>
  <c r="D3526" i="1"/>
  <c r="Q3526" i="1"/>
  <c r="R3526" i="1"/>
  <c r="E3526" i="1"/>
  <c r="G3526" i="1"/>
  <c r="H3526" i="1"/>
  <c r="J3526" i="1"/>
  <c r="K3526" i="1"/>
  <c r="L3526" i="1"/>
  <c r="A3527" i="1"/>
  <c r="B3527" i="1"/>
  <c r="C3527" i="1"/>
  <c r="D3527" i="1"/>
  <c r="Q3527" i="1"/>
  <c r="R3527" i="1"/>
  <c r="E3527" i="1"/>
  <c r="G3527" i="1"/>
  <c r="H3527" i="1"/>
  <c r="J3527" i="1"/>
  <c r="K3527" i="1"/>
  <c r="L3527" i="1"/>
  <c r="A3528" i="1"/>
  <c r="B3528" i="1"/>
  <c r="C3528" i="1"/>
  <c r="D3528" i="1"/>
  <c r="Q3528" i="1"/>
  <c r="R3528" i="1"/>
  <c r="E3528" i="1"/>
  <c r="G3528" i="1"/>
  <c r="H3528" i="1"/>
  <c r="J3528" i="1"/>
  <c r="K3528" i="1"/>
  <c r="L3528" i="1"/>
  <c r="A3529" i="1"/>
  <c r="B3529" i="1"/>
  <c r="C3529" i="1"/>
  <c r="D3529" i="1"/>
  <c r="Q3529" i="1"/>
  <c r="R3529" i="1"/>
  <c r="E3529" i="1"/>
  <c r="G3529" i="1"/>
  <c r="H3529" i="1"/>
  <c r="J3529" i="1"/>
  <c r="K3529" i="1"/>
  <c r="L3529" i="1"/>
  <c r="A3530" i="1"/>
  <c r="B3530" i="1"/>
  <c r="C3530" i="1"/>
  <c r="D3530" i="1"/>
  <c r="Q3530" i="1"/>
  <c r="R3530" i="1"/>
  <c r="E3530" i="1"/>
  <c r="G3530" i="1"/>
  <c r="H3530" i="1"/>
  <c r="J3530" i="1"/>
  <c r="K3530" i="1"/>
  <c r="L3530" i="1"/>
  <c r="A3531" i="1"/>
  <c r="B3531" i="1"/>
  <c r="C3531" i="1"/>
  <c r="D3531" i="1"/>
  <c r="Q3531" i="1"/>
  <c r="R3531" i="1"/>
  <c r="E3531" i="1"/>
  <c r="G3531" i="1"/>
  <c r="H3531" i="1"/>
  <c r="J3531" i="1"/>
  <c r="K3531" i="1"/>
  <c r="L3531" i="1"/>
  <c r="A3532" i="1"/>
  <c r="B3532" i="1"/>
  <c r="C3532" i="1"/>
  <c r="D3532" i="1"/>
  <c r="Q3532" i="1"/>
  <c r="R3532" i="1"/>
  <c r="E3532" i="1"/>
  <c r="G3532" i="1"/>
  <c r="H3532" i="1"/>
  <c r="J3532" i="1"/>
  <c r="K3532" i="1"/>
  <c r="L3532" i="1"/>
  <c r="A3533" i="1"/>
  <c r="B3533" i="1"/>
  <c r="C3533" i="1"/>
  <c r="D3533" i="1"/>
  <c r="Q3533" i="1"/>
  <c r="R3533" i="1"/>
  <c r="E3533" i="1"/>
  <c r="G3533" i="1"/>
  <c r="H3533" i="1"/>
  <c r="J3533" i="1"/>
  <c r="K3533" i="1"/>
  <c r="L3533" i="1"/>
  <c r="A3534" i="1"/>
  <c r="B3534" i="1"/>
  <c r="C3534" i="1"/>
  <c r="D3534" i="1"/>
  <c r="Q3534" i="1"/>
  <c r="R3534" i="1"/>
  <c r="E3534" i="1"/>
  <c r="G3534" i="1"/>
  <c r="H3534" i="1"/>
  <c r="J3534" i="1"/>
  <c r="K3534" i="1"/>
  <c r="L3534" i="1"/>
  <c r="A3535" i="1"/>
  <c r="B3535" i="1"/>
  <c r="C3535" i="1"/>
  <c r="D3535" i="1"/>
  <c r="Q3535" i="1"/>
  <c r="R3535" i="1"/>
  <c r="E3535" i="1"/>
  <c r="G3535" i="1"/>
  <c r="H3535" i="1"/>
  <c r="J3535" i="1"/>
  <c r="K3535" i="1"/>
  <c r="L3535" i="1"/>
  <c r="A3536" i="1"/>
  <c r="B3536" i="1"/>
  <c r="C3536" i="1"/>
  <c r="D3536" i="1"/>
  <c r="Q3536" i="1"/>
  <c r="R3536" i="1"/>
  <c r="E3536" i="1"/>
  <c r="G3536" i="1"/>
  <c r="H3536" i="1"/>
  <c r="J3536" i="1"/>
  <c r="K3536" i="1"/>
  <c r="L3536" i="1"/>
  <c r="A3537" i="1"/>
  <c r="B3537" i="1"/>
  <c r="C3537" i="1"/>
  <c r="D3537" i="1"/>
  <c r="Q3537" i="1"/>
  <c r="R3537" i="1"/>
  <c r="E3537" i="1"/>
  <c r="G3537" i="1"/>
  <c r="H3537" i="1"/>
  <c r="J3537" i="1"/>
  <c r="K3537" i="1"/>
  <c r="L3537" i="1"/>
  <c r="A3538" i="1"/>
  <c r="B3538" i="1"/>
  <c r="C3538" i="1"/>
  <c r="D3538" i="1"/>
  <c r="Q3538" i="1"/>
  <c r="R3538" i="1"/>
  <c r="E3538" i="1"/>
  <c r="G3538" i="1"/>
  <c r="H3538" i="1"/>
  <c r="J3538" i="1"/>
  <c r="K3538" i="1"/>
  <c r="L3538" i="1"/>
  <c r="A3539" i="1"/>
  <c r="B3539" i="1"/>
  <c r="C3539" i="1"/>
  <c r="D3539" i="1"/>
  <c r="Q3539" i="1"/>
  <c r="R3539" i="1"/>
  <c r="E3539" i="1"/>
  <c r="G3539" i="1"/>
  <c r="H3539" i="1"/>
  <c r="J3539" i="1"/>
  <c r="K3539" i="1"/>
  <c r="L3539" i="1"/>
  <c r="A3540" i="1"/>
  <c r="B3540" i="1"/>
  <c r="C3540" i="1"/>
  <c r="D3540" i="1"/>
  <c r="Q3540" i="1"/>
  <c r="R3540" i="1"/>
  <c r="E3540" i="1"/>
  <c r="G3540" i="1"/>
  <c r="H3540" i="1"/>
  <c r="J3540" i="1"/>
  <c r="K3540" i="1"/>
  <c r="L3540" i="1"/>
  <c r="A3541" i="1"/>
  <c r="B3541" i="1"/>
  <c r="C3541" i="1"/>
  <c r="D3541" i="1"/>
  <c r="Q3541" i="1"/>
  <c r="R3541" i="1"/>
  <c r="E3541" i="1"/>
  <c r="G3541" i="1"/>
  <c r="H3541" i="1"/>
  <c r="J3541" i="1"/>
  <c r="K3541" i="1"/>
  <c r="L3541" i="1"/>
  <c r="A3542" i="1"/>
  <c r="B3542" i="1"/>
  <c r="C3542" i="1"/>
  <c r="D3542" i="1"/>
  <c r="Q3542" i="1"/>
  <c r="R3542" i="1"/>
  <c r="E3542" i="1"/>
  <c r="G3542" i="1"/>
  <c r="H3542" i="1"/>
  <c r="J3542" i="1"/>
  <c r="K3542" i="1"/>
  <c r="L3542" i="1"/>
  <c r="A3543" i="1"/>
  <c r="B3543" i="1"/>
  <c r="C3543" i="1"/>
  <c r="D3543" i="1"/>
  <c r="Q3543" i="1"/>
  <c r="R3543" i="1"/>
  <c r="E3543" i="1"/>
  <c r="G3543" i="1"/>
  <c r="H3543" i="1"/>
  <c r="J3543" i="1"/>
  <c r="K3543" i="1"/>
  <c r="L3543" i="1"/>
  <c r="A3544" i="1"/>
  <c r="B3544" i="1"/>
  <c r="C3544" i="1"/>
  <c r="D3544" i="1"/>
  <c r="Q3544" i="1"/>
  <c r="R3544" i="1"/>
  <c r="E3544" i="1"/>
  <c r="G3544" i="1"/>
  <c r="H3544" i="1"/>
  <c r="J3544" i="1"/>
  <c r="K3544" i="1"/>
  <c r="L3544" i="1"/>
  <c r="A3545" i="1"/>
  <c r="B3545" i="1"/>
  <c r="C3545" i="1"/>
  <c r="D3545" i="1"/>
  <c r="Q3545" i="1"/>
  <c r="R3545" i="1"/>
  <c r="E3545" i="1"/>
  <c r="G3545" i="1"/>
  <c r="H3545" i="1"/>
  <c r="J3545" i="1"/>
  <c r="K3545" i="1"/>
  <c r="L3545" i="1"/>
  <c r="A3546" i="1"/>
  <c r="B3546" i="1"/>
  <c r="C3546" i="1"/>
  <c r="D3546" i="1"/>
  <c r="Q3546" i="1"/>
  <c r="R3546" i="1"/>
  <c r="E3546" i="1"/>
  <c r="G3546" i="1"/>
  <c r="H3546" i="1"/>
  <c r="J3546" i="1"/>
  <c r="K3546" i="1"/>
  <c r="L3546" i="1"/>
  <c r="A3547" i="1"/>
  <c r="B3547" i="1"/>
  <c r="C3547" i="1"/>
  <c r="D3547" i="1"/>
  <c r="Q3547" i="1"/>
  <c r="R3547" i="1"/>
  <c r="E3547" i="1"/>
  <c r="G3547" i="1"/>
  <c r="H3547" i="1"/>
  <c r="J3547" i="1"/>
  <c r="K3547" i="1"/>
  <c r="L3547" i="1"/>
  <c r="A3548" i="1"/>
  <c r="B3548" i="1"/>
  <c r="C3548" i="1"/>
  <c r="D3548" i="1"/>
  <c r="Q3548" i="1"/>
  <c r="R3548" i="1"/>
  <c r="E3548" i="1"/>
  <c r="G3548" i="1"/>
  <c r="H3548" i="1"/>
  <c r="J3548" i="1"/>
  <c r="K3548" i="1"/>
  <c r="L3548" i="1"/>
  <c r="A3549" i="1"/>
  <c r="B3549" i="1"/>
  <c r="C3549" i="1"/>
  <c r="D3549" i="1"/>
  <c r="Q3549" i="1"/>
  <c r="R3549" i="1"/>
  <c r="E3549" i="1"/>
  <c r="G3549" i="1"/>
  <c r="H3549" i="1"/>
  <c r="J3549" i="1"/>
  <c r="K3549" i="1"/>
  <c r="L3549" i="1"/>
  <c r="A3550" i="1"/>
  <c r="B3550" i="1"/>
  <c r="C3550" i="1"/>
  <c r="D3550" i="1"/>
  <c r="Q3550" i="1"/>
  <c r="R3550" i="1"/>
  <c r="E3550" i="1"/>
  <c r="G3550" i="1"/>
  <c r="H3550" i="1"/>
  <c r="J3550" i="1"/>
  <c r="K3550" i="1"/>
  <c r="L3550" i="1"/>
  <c r="A3551" i="1"/>
  <c r="B3551" i="1"/>
  <c r="C3551" i="1"/>
  <c r="D3551" i="1"/>
  <c r="Q3551" i="1"/>
  <c r="R3551" i="1"/>
  <c r="E3551" i="1"/>
  <c r="G3551" i="1"/>
  <c r="H3551" i="1"/>
  <c r="J3551" i="1"/>
  <c r="K3551" i="1"/>
  <c r="L3551" i="1"/>
  <c r="A3552" i="1"/>
  <c r="B3552" i="1"/>
  <c r="C3552" i="1"/>
  <c r="D3552" i="1"/>
  <c r="Q3552" i="1"/>
  <c r="R3552" i="1"/>
  <c r="E3552" i="1"/>
  <c r="G3552" i="1"/>
  <c r="H3552" i="1"/>
  <c r="J3552" i="1"/>
  <c r="K3552" i="1"/>
  <c r="L3552" i="1"/>
  <c r="A3553" i="1"/>
  <c r="B3553" i="1"/>
  <c r="C3553" i="1"/>
  <c r="D3553" i="1"/>
  <c r="Q3553" i="1"/>
  <c r="R3553" i="1"/>
  <c r="E3553" i="1"/>
  <c r="G3553" i="1"/>
  <c r="H3553" i="1"/>
  <c r="J3553" i="1"/>
  <c r="K3553" i="1"/>
  <c r="L3553" i="1"/>
  <c r="A3554" i="1"/>
  <c r="B3554" i="1"/>
  <c r="C3554" i="1"/>
  <c r="D3554" i="1"/>
  <c r="Q3554" i="1"/>
  <c r="R3554" i="1"/>
  <c r="E3554" i="1"/>
  <c r="G3554" i="1"/>
  <c r="H3554" i="1"/>
  <c r="J3554" i="1"/>
  <c r="K3554" i="1"/>
  <c r="L3554" i="1"/>
  <c r="A3555" i="1"/>
  <c r="B3555" i="1"/>
  <c r="C3555" i="1"/>
  <c r="D3555" i="1"/>
  <c r="Q3555" i="1"/>
  <c r="R3555" i="1"/>
  <c r="E3555" i="1"/>
  <c r="G3555" i="1"/>
  <c r="H3555" i="1"/>
  <c r="J3555" i="1"/>
  <c r="K3555" i="1"/>
  <c r="L3555" i="1"/>
  <c r="A3556" i="1"/>
  <c r="B3556" i="1"/>
  <c r="C3556" i="1"/>
  <c r="D3556" i="1"/>
  <c r="Q3556" i="1"/>
  <c r="R3556" i="1"/>
  <c r="E3556" i="1"/>
  <c r="G3556" i="1"/>
  <c r="H3556" i="1"/>
  <c r="J3556" i="1"/>
  <c r="K3556" i="1"/>
  <c r="L3556" i="1"/>
  <c r="A3557" i="1"/>
  <c r="B3557" i="1"/>
  <c r="C3557" i="1"/>
  <c r="D3557" i="1"/>
  <c r="Q3557" i="1"/>
  <c r="R3557" i="1"/>
  <c r="E3557" i="1"/>
  <c r="G3557" i="1"/>
  <c r="H3557" i="1"/>
  <c r="J3557" i="1"/>
  <c r="K3557" i="1"/>
  <c r="L3557" i="1"/>
  <c r="A3558" i="1"/>
  <c r="B3558" i="1"/>
  <c r="C3558" i="1"/>
  <c r="D3558" i="1"/>
  <c r="Q3558" i="1"/>
  <c r="R3558" i="1"/>
  <c r="E3558" i="1"/>
  <c r="G3558" i="1"/>
  <c r="H3558" i="1"/>
  <c r="J3558" i="1"/>
  <c r="K3558" i="1"/>
  <c r="L3558" i="1"/>
  <c r="A3559" i="1"/>
  <c r="B3559" i="1"/>
  <c r="C3559" i="1"/>
  <c r="D3559" i="1"/>
  <c r="Q3559" i="1"/>
  <c r="R3559" i="1"/>
  <c r="E3559" i="1"/>
  <c r="G3559" i="1"/>
  <c r="H3559" i="1"/>
  <c r="J3559" i="1"/>
  <c r="K3559" i="1"/>
  <c r="L3559" i="1"/>
  <c r="A3560" i="1"/>
  <c r="B3560" i="1"/>
  <c r="C3560" i="1"/>
  <c r="D3560" i="1"/>
  <c r="Q3560" i="1"/>
  <c r="R3560" i="1"/>
  <c r="E3560" i="1"/>
  <c r="G3560" i="1"/>
  <c r="H3560" i="1"/>
  <c r="J3560" i="1"/>
  <c r="K3560" i="1"/>
  <c r="L3560" i="1"/>
  <c r="A3561" i="1"/>
  <c r="B3561" i="1"/>
  <c r="C3561" i="1"/>
  <c r="D3561" i="1"/>
  <c r="Q3561" i="1"/>
  <c r="R3561" i="1"/>
  <c r="E3561" i="1"/>
  <c r="G3561" i="1"/>
  <c r="H3561" i="1"/>
  <c r="J3561" i="1"/>
  <c r="K3561" i="1"/>
  <c r="L3561" i="1"/>
  <c r="A3562" i="1"/>
  <c r="B3562" i="1"/>
  <c r="C3562" i="1"/>
  <c r="D3562" i="1"/>
  <c r="Q3562" i="1"/>
  <c r="R3562" i="1"/>
  <c r="E3562" i="1"/>
  <c r="G3562" i="1"/>
  <c r="H3562" i="1"/>
  <c r="J3562" i="1"/>
  <c r="K3562" i="1"/>
  <c r="L3562" i="1"/>
  <c r="A3563" i="1"/>
  <c r="B3563" i="1"/>
  <c r="C3563" i="1"/>
  <c r="D3563" i="1"/>
  <c r="Q3563" i="1"/>
  <c r="R3563" i="1"/>
  <c r="E3563" i="1"/>
  <c r="G3563" i="1"/>
  <c r="H3563" i="1"/>
  <c r="J3563" i="1"/>
  <c r="K3563" i="1"/>
  <c r="L3563" i="1"/>
  <c r="A3564" i="1"/>
  <c r="B3564" i="1"/>
  <c r="C3564" i="1"/>
  <c r="D3564" i="1"/>
  <c r="Q3564" i="1"/>
  <c r="R3564" i="1"/>
  <c r="E3564" i="1"/>
  <c r="G3564" i="1"/>
  <c r="H3564" i="1"/>
  <c r="J3564" i="1"/>
  <c r="K3564" i="1"/>
  <c r="L3564" i="1"/>
  <c r="A3565" i="1"/>
  <c r="B3565" i="1"/>
  <c r="C3565" i="1"/>
  <c r="D3565" i="1"/>
  <c r="Q3565" i="1"/>
  <c r="R3565" i="1"/>
  <c r="E3565" i="1"/>
  <c r="G3565" i="1"/>
  <c r="H3565" i="1"/>
  <c r="J3565" i="1"/>
  <c r="K3565" i="1"/>
  <c r="L3565" i="1"/>
  <c r="A3566" i="1"/>
  <c r="B3566" i="1"/>
  <c r="C3566" i="1"/>
  <c r="D3566" i="1"/>
  <c r="Q3566" i="1"/>
  <c r="R3566" i="1"/>
  <c r="E3566" i="1"/>
  <c r="G3566" i="1"/>
  <c r="H3566" i="1"/>
  <c r="J3566" i="1"/>
  <c r="K3566" i="1"/>
  <c r="L3566" i="1"/>
  <c r="A3567" i="1"/>
  <c r="B3567" i="1"/>
  <c r="C3567" i="1"/>
  <c r="D3567" i="1"/>
  <c r="Q3567" i="1"/>
  <c r="R3567" i="1"/>
  <c r="E3567" i="1"/>
  <c r="G3567" i="1"/>
  <c r="H3567" i="1"/>
  <c r="J3567" i="1"/>
  <c r="K3567" i="1"/>
  <c r="L3567" i="1"/>
  <c r="A3568" i="1"/>
  <c r="B3568" i="1"/>
  <c r="C3568" i="1"/>
  <c r="D3568" i="1"/>
  <c r="Q3568" i="1"/>
  <c r="R3568" i="1"/>
  <c r="E3568" i="1"/>
  <c r="G3568" i="1"/>
  <c r="H3568" i="1"/>
  <c r="J3568" i="1"/>
  <c r="K3568" i="1"/>
  <c r="L3568" i="1"/>
  <c r="A3569" i="1"/>
  <c r="B3569" i="1"/>
  <c r="C3569" i="1"/>
  <c r="D3569" i="1"/>
  <c r="Q3569" i="1"/>
  <c r="R3569" i="1"/>
  <c r="E3569" i="1"/>
  <c r="G3569" i="1"/>
  <c r="H3569" i="1"/>
  <c r="J3569" i="1"/>
  <c r="K3569" i="1"/>
  <c r="L3569" i="1"/>
  <c r="A3570" i="1"/>
  <c r="B3570" i="1"/>
  <c r="C3570" i="1"/>
  <c r="D3570" i="1"/>
  <c r="Q3570" i="1"/>
  <c r="R3570" i="1"/>
  <c r="E3570" i="1"/>
  <c r="G3570" i="1"/>
  <c r="H3570" i="1"/>
  <c r="J3570" i="1"/>
  <c r="K3570" i="1"/>
  <c r="L3570" i="1"/>
  <c r="A3571" i="1"/>
  <c r="B3571" i="1"/>
  <c r="C3571" i="1"/>
  <c r="D3571" i="1"/>
  <c r="Q3571" i="1"/>
  <c r="R3571" i="1"/>
  <c r="E3571" i="1"/>
  <c r="G3571" i="1"/>
  <c r="H3571" i="1"/>
  <c r="J3571" i="1"/>
  <c r="K3571" i="1"/>
  <c r="L3571" i="1"/>
  <c r="A3572" i="1"/>
  <c r="B3572" i="1"/>
  <c r="C3572" i="1"/>
  <c r="D3572" i="1"/>
  <c r="Q3572" i="1"/>
  <c r="R3572" i="1"/>
  <c r="E3572" i="1"/>
  <c r="G3572" i="1"/>
  <c r="H3572" i="1"/>
  <c r="J3572" i="1"/>
  <c r="K3572" i="1"/>
  <c r="L3572" i="1"/>
  <c r="A3573" i="1"/>
  <c r="B3573" i="1"/>
  <c r="C3573" i="1"/>
  <c r="D3573" i="1"/>
  <c r="Q3573" i="1"/>
  <c r="R3573" i="1"/>
  <c r="E3573" i="1"/>
  <c r="G3573" i="1"/>
  <c r="H3573" i="1"/>
  <c r="J3573" i="1"/>
  <c r="K3573" i="1"/>
  <c r="L3573" i="1"/>
  <c r="A3574" i="1"/>
  <c r="B3574" i="1"/>
  <c r="C3574" i="1"/>
  <c r="D3574" i="1"/>
  <c r="Q3574" i="1"/>
  <c r="R3574" i="1"/>
  <c r="E3574" i="1"/>
  <c r="G3574" i="1"/>
  <c r="H3574" i="1"/>
  <c r="J3574" i="1"/>
  <c r="K3574" i="1"/>
  <c r="L3574" i="1"/>
  <c r="A3575" i="1"/>
  <c r="B3575" i="1"/>
  <c r="C3575" i="1"/>
  <c r="D3575" i="1"/>
  <c r="Q3575" i="1"/>
  <c r="R3575" i="1"/>
  <c r="E3575" i="1"/>
  <c r="G3575" i="1"/>
  <c r="H3575" i="1"/>
  <c r="J3575" i="1"/>
  <c r="K3575" i="1"/>
  <c r="L3575" i="1"/>
  <c r="A3576" i="1"/>
  <c r="B3576" i="1"/>
  <c r="C3576" i="1"/>
  <c r="D3576" i="1"/>
  <c r="Q3576" i="1"/>
  <c r="R3576" i="1"/>
  <c r="E3576" i="1"/>
  <c r="G3576" i="1"/>
  <c r="H3576" i="1"/>
  <c r="J3576" i="1"/>
  <c r="K3576" i="1"/>
  <c r="L3576" i="1"/>
  <c r="A3577" i="1"/>
  <c r="B3577" i="1"/>
  <c r="C3577" i="1"/>
  <c r="D3577" i="1"/>
  <c r="Q3577" i="1"/>
  <c r="R3577" i="1"/>
  <c r="E3577" i="1"/>
  <c r="G3577" i="1"/>
  <c r="H3577" i="1"/>
  <c r="J3577" i="1"/>
  <c r="K3577" i="1"/>
  <c r="L3577" i="1"/>
  <c r="A3578" i="1"/>
  <c r="B3578" i="1"/>
  <c r="C3578" i="1"/>
  <c r="D3578" i="1"/>
  <c r="Q3578" i="1"/>
  <c r="R3578" i="1"/>
  <c r="E3578" i="1"/>
  <c r="G3578" i="1"/>
  <c r="H3578" i="1"/>
  <c r="J3578" i="1"/>
  <c r="K3578" i="1"/>
  <c r="L3578" i="1"/>
  <c r="A3579" i="1"/>
  <c r="B3579" i="1"/>
  <c r="C3579" i="1"/>
  <c r="D3579" i="1"/>
  <c r="Q3579" i="1"/>
  <c r="R3579" i="1"/>
  <c r="E3579" i="1"/>
  <c r="G3579" i="1"/>
  <c r="H3579" i="1"/>
  <c r="J3579" i="1"/>
  <c r="K3579" i="1"/>
  <c r="L3579" i="1"/>
  <c r="A3580" i="1"/>
  <c r="B3580" i="1"/>
  <c r="C3580" i="1"/>
  <c r="D3580" i="1"/>
  <c r="Q3580" i="1"/>
  <c r="R3580" i="1"/>
  <c r="E3580" i="1"/>
  <c r="F3580" i="1"/>
  <c r="G3580" i="1"/>
  <c r="H3580" i="1"/>
  <c r="J3580" i="1"/>
  <c r="K3580" i="1"/>
  <c r="L3580" i="1"/>
  <c r="A3581" i="1"/>
  <c r="B3581" i="1"/>
  <c r="C3581" i="1"/>
  <c r="D3581" i="1"/>
  <c r="Q3581" i="1"/>
  <c r="R3581" i="1"/>
  <c r="E3581" i="1"/>
  <c r="F3581" i="1"/>
  <c r="G3581" i="1"/>
  <c r="H3581" i="1"/>
  <c r="J3581" i="1"/>
  <c r="K3581" i="1"/>
  <c r="L3581" i="1"/>
  <c r="A3582" i="1"/>
  <c r="B3582" i="1"/>
  <c r="C3582" i="1"/>
  <c r="D3582" i="1"/>
  <c r="Q3582" i="1"/>
  <c r="R3582" i="1"/>
  <c r="E3582" i="1"/>
  <c r="F3582" i="1"/>
  <c r="G3582" i="1"/>
  <c r="H3582" i="1"/>
  <c r="J3582" i="1"/>
  <c r="K3582" i="1"/>
  <c r="L3582" i="1"/>
  <c r="A3583" i="1"/>
  <c r="B3583" i="1"/>
  <c r="C3583" i="1"/>
  <c r="D3583" i="1"/>
  <c r="Q3583" i="1"/>
  <c r="R3583" i="1"/>
  <c r="E3583" i="1"/>
  <c r="F3583" i="1"/>
  <c r="G3583" i="1"/>
  <c r="H3583" i="1"/>
  <c r="J3583" i="1"/>
  <c r="K3583" i="1"/>
  <c r="L3583" i="1"/>
  <c r="A3584" i="1"/>
  <c r="B3584" i="1"/>
  <c r="C3584" i="1"/>
  <c r="D3584" i="1"/>
  <c r="Q3584" i="1"/>
  <c r="R3584" i="1"/>
  <c r="E3584" i="1"/>
  <c r="G3584" i="1"/>
  <c r="H3584" i="1"/>
  <c r="J3584" i="1"/>
  <c r="K3584" i="1"/>
  <c r="L3584" i="1"/>
  <c r="A3585" i="1"/>
  <c r="B3585" i="1"/>
  <c r="C3585" i="1"/>
  <c r="D3585" i="1"/>
  <c r="Q3585" i="1"/>
  <c r="R3585" i="1"/>
  <c r="E3585" i="1"/>
  <c r="G3585" i="1"/>
  <c r="H3585" i="1"/>
  <c r="J3585" i="1"/>
  <c r="K3585" i="1"/>
  <c r="L3585" i="1"/>
  <c r="A3586" i="1"/>
  <c r="B3586" i="1"/>
  <c r="C3586" i="1"/>
  <c r="D3586" i="1"/>
  <c r="Q3586" i="1"/>
  <c r="R3586" i="1"/>
  <c r="E3586" i="1"/>
  <c r="G3586" i="1"/>
  <c r="H3586" i="1"/>
  <c r="J3586" i="1"/>
  <c r="K3586" i="1"/>
  <c r="L3586" i="1"/>
  <c r="A3587" i="1"/>
  <c r="B3587" i="1"/>
  <c r="C3587" i="1"/>
  <c r="D3587" i="1"/>
  <c r="Q3587" i="1"/>
  <c r="R3587" i="1"/>
  <c r="E3587" i="1"/>
  <c r="G3587" i="1"/>
  <c r="H3587" i="1"/>
  <c r="J3587" i="1"/>
  <c r="K3587" i="1"/>
  <c r="L3587" i="1"/>
  <c r="A3588" i="1"/>
  <c r="B3588" i="1"/>
  <c r="C3588" i="1"/>
  <c r="D3588" i="1"/>
  <c r="Q3588" i="1"/>
  <c r="R3588" i="1"/>
  <c r="E3588" i="1"/>
  <c r="G3588" i="1"/>
  <c r="H3588" i="1"/>
  <c r="J3588" i="1"/>
  <c r="K3588" i="1"/>
  <c r="L3588" i="1"/>
  <c r="A3589" i="1"/>
  <c r="B3589" i="1"/>
  <c r="C3589" i="1"/>
  <c r="D3589" i="1"/>
  <c r="Q3589" i="1"/>
  <c r="R3589" i="1"/>
  <c r="E3589" i="1"/>
  <c r="G3589" i="1"/>
  <c r="H3589" i="1"/>
  <c r="J3589" i="1"/>
  <c r="K3589" i="1"/>
  <c r="L3589" i="1"/>
  <c r="A3590" i="1"/>
  <c r="B3590" i="1"/>
  <c r="C3590" i="1"/>
  <c r="D3590" i="1"/>
  <c r="Q3590" i="1"/>
  <c r="R3590" i="1"/>
  <c r="E3590" i="1"/>
  <c r="G3590" i="1"/>
  <c r="H3590" i="1"/>
  <c r="J3590" i="1"/>
  <c r="K3590" i="1"/>
  <c r="L3590" i="1"/>
  <c r="A3591" i="1"/>
  <c r="B3591" i="1"/>
  <c r="C3591" i="1"/>
  <c r="D3591" i="1"/>
  <c r="Q3591" i="1"/>
  <c r="R3591" i="1"/>
  <c r="E3591" i="1"/>
  <c r="G3591" i="1"/>
  <c r="H3591" i="1"/>
  <c r="J3591" i="1"/>
  <c r="K3591" i="1"/>
  <c r="L3591" i="1"/>
  <c r="A3592" i="1"/>
  <c r="B3592" i="1"/>
  <c r="C3592" i="1"/>
  <c r="D3592" i="1"/>
  <c r="Q3592" i="1"/>
  <c r="R3592" i="1"/>
  <c r="E3592" i="1"/>
  <c r="G3592" i="1"/>
  <c r="H3592" i="1"/>
  <c r="J3592" i="1"/>
  <c r="K3592" i="1"/>
  <c r="L3592" i="1"/>
  <c r="A3593" i="1"/>
  <c r="B3593" i="1"/>
  <c r="C3593" i="1"/>
  <c r="D3593" i="1"/>
  <c r="Q3593" i="1"/>
  <c r="R3593" i="1"/>
  <c r="E3593" i="1"/>
  <c r="G3593" i="1"/>
  <c r="H3593" i="1"/>
  <c r="J3593" i="1"/>
  <c r="K3593" i="1"/>
  <c r="L3593" i="1"/>
  <c r="A3594" i="1"/>
  <c r="B3594" i="1"/>
  <c r="C3594" i="1"/>
  <c r="D3594" i="1"/>
  <c r="Q3594" i="1"/>
  <c r="R3594" i="1"/>
  <c r="E3594" i="1"/>
  <c r="G3594" i="1"/>
  <c r="H3594" i="1"/>
  <c r="J3594" i="1"/>
  <c r="K3594" i="1"/>
  <c r="L3594" i="1"/>
  <c r="A3595" i="1"/>
  <c r="B3595" i="1"/>
  <c r="C3595" i="1"/>
  <c r="D3595" i="1"/>
  <c r="Q3595" i="1"/>
  <c r="R3595" i="1"/>
  <c r="E3595" i="1"/>
  <c r="G3595" i="1"/>
  <c r="H3595" i="1"/>
  <c r="J3595" i="1"/>
  <c r="K3595" i="1"/>
  <c r="L3595" i="1"/>
  <c r="A3596" i="1"/>
  <c r="B3596" i="1"/>
  <c r="C3596" i="1"/>
  <c r="D3596" i="1"/>
  <c r="Q3596" i="1"/>
  <c r="R3596" i="1"/>
  <c r="E3596" i="1"/>
  <c r="G3596" i="1"/>
  <c r="H3596" i="1"/>
  <c r="J3596" i="1"/>
  <c r="K3596" i="1"/>
  <c r="L3596" i="1"/>
  <c r="A3597" i="1"/>
  <c r="B3597" i="1"/>
  <c r="C3597" i="1"/>
  <c r="D3597" i="1"/>
  <c r="Q3597" i="1"/>
  <c r="R3597" i="1"/>
  <c r="E3597" i="1"/>
  <c r="G3597" i="1"/>
  <c r="H3597" i="1"/>
  <c r="J3597" i="1"/>
  <c r="K3597" i="1"/>
  <c r="L3597" i="1"/>
  <c r="A3598" i="1"/>
  <c r="B3598" i="1"/>
  <c r="C3598" i="1"/>
  <c r="D3598" i="1"/>
  <c r="Q3598" i="1"/>
  <c r="R3598" i="1"/>
  <c r="E3598" i="1"/>
  <c r="G3598" i="1"/>
  <c r="H3598" i="1"/>
  <c r="J3598" i="1"/>
  <c r="K3598" i="1"/>
  <c r="L3598" i="1"/>
  <c r="A3599" i="1"/>
  <c r="B3599" i="1"/>
  <c r="C3599" i="1"/>
  <c r="D3599" i="1"/>
  <c r="Q3599" i="1"/>
  <c r="R3599" i="1"/>
  <c r="E3599" i="1"/>
  <c r="G3599" i="1"/>
  <c r="H3599" i="1"/>
  <c r="J3599" i="1"/>
  <c r="K3599" i="1"/>
  <c r="L3599" i="1"/>
  <c r="A3600" i="1"/>
  <c r="B3600" i="1"/>
  <c r="C3600" i="1"/>
  <c r="D3600" i="1"/>
  <c r="Q3600" i="1"/>
  <c r="R3600" i="1"/>
  <c r="E3600" i="1"/>
  <c r="G3600" i="1"/>
  <c r="H3600" i="1"/>
  <c r="J3600" i="1"/>
  <c r="K3600" i="1"/>
  <c r="L3600" i="1"/>
  <c r="A3601" i="1"/>
  <c r="B3601" i="1"/>
  <c r="C3601" i="1"/>
  <c r="D3601" i="1"/>
  <c r="Q3601" i="1"/>
  <c r="R3601" i="1"/>
  <c r="E3601" i="1"/>
  <c r="G3601" i="1"/>
  <c r="H3601" i="1"/>
  <c r="J3601" i="1"/>
  <c r="K3601" i="1"/>
  <c r="L3601" i="1"/>
  <c r="A3602" i="1"/>
  <c r="B3602" i="1"/>
  <c r="C3602" i="1"/>
  <c r="D3602" i="1"/>
  <c r="Q3602" i="1"/>
  <c r="R3602" i="1"/>
  <c r="E3602" i="1"/>
  <c r="G3602" i="1"/>
  <c r="H3602" i="1"/>
  <c r="J3602" i="1"/>
  <c r="K3602" i="1"/>
  <c r="L3602" i="1"/>
  <c r="A3603" i="1"/>
  <c r="B3603" i="1"/>
  <c r="C3603" i="1"/>
  <c r="D3603" i="1"/>
  <c r="Q3603" i="1"/>
  <c r="R3603" i="1"/>
  <c r="E3603" i="1"/>
  <c r="G3603" i="1"/>
  <c r="H3603" i="1"/>
  <c r="J3603" i="1"/>
  <c r="K3603" i="1"/>
  <c r="L3603" i="1"/>
  <c r="A3604" i="1"/>
  <c r="B3604" i="1"/>
  <c r="C3604" i="1"/>
  <c r="D3604" i="1"/>
  <c r="Q3604" i="1"/>
  <c r="R3604" i="1"/>
  <c r="E3604" i="1"/>
  <c r="G3604" i="1"/>
  <c r="H3604" i="1"/>
  <c r="J3604" i="1"/>
  <c r="K3604" i="1"/>
  <c r="L3604" i="1"/>
  <c r="A3605" i="1"/>
  <c r="B3605" i="1"/>
  <c r="C3605" i="1"/>
  <c r="D3605" i="1"/>
  <c r="Q3605" i="1"/>
  <c r="R3605" i="1"/>
  <c r="E3605" i="1"/>
  <c r="G3605" i="1"/>
  <c r="H3605" i="1"/>
  <c r="J3605" i="1"/>
  <c r="K3605" i="1"/>
  <c r="L3605" i="1"/>
  <c r="A3606" i="1"/>
  <c r="B3606" i="1"/>
  <c r="C3606" i="1"/>
  <c r="D3606" i="1"/>
  <c r="Q3606" i="1"/>
  <c r="R3606" i="1"/>
  <c r="E3606" i="1"/>
  <c r="G3606" i="1"/>
  <c r="H3606" i="1"/>
  <c r="J3606" i="1"/>
  <c r="K3606" i="1"/>
  <c r="L3606" i="1"/>
  <c r="A3607" i="1"/>
  <c r="B3607" i="1"/>
  <c r="C3607" i="1"/>
  <c r="D3607" i="1"/>
  <c r="Q3607" i="1"/>
  <c r="R3607" i="1"/>
  <c r="E3607" i="1"/>
  <c r="G3607" i="1"/>
  <c r="H3607" i="1"/>
  <c r="J3607" i="1"/>
  <c r="K3607" i="1"/>
  <c r="L3607" i="1"/>
  <c r="A3608" i="1"/>
  <c r="B3608" i="1"/>
  <c r="C3608" i="1"/>
  <c r="D3608" i="1"/>
  <c r="Q3608" i="1"/>
  <c r="R3608" i="1"/>
  <c r="E3608" i="1"/>
  <c r="G3608" i="1"/>
  <c r="H3608" i="1"/>
  <c r="J3608" i="1"/>
  <c r="K3608" i="1"/>
  <c r="L3608" i="1"/>
  <c r="A3609" i="1"/>
  <c r="B3609" i="1"/>
  <c r="C3609" i="1"/>
  <c r="D3609" i="1"/>
  <c r="Q3609" i="1"/>
  <c r="R3609" i="1"/>
  <c r="E3609" i="1"/>
  <c r="G3609" i="1"/>
  <c r="H3609" i="1"/>
  <c r="J3609" i="1"/>
  <c r="K3609" i="1"/>
  <c r="L3609" i="1"/>
  <c r="A3610" i="1"/>
  <c r="B3610" i="1"/>
  <c r="C3610" i="1"/>
  <c r="D3610" i="1"/>
  <c r="Q3610" i="1"/>
  <c r="R3610" i="1"/>
  <c r="E3610" i="1"/>
  <c r="G3610" i="1"/>
  <c r="H3610" i="1"/>
  <c r="J3610" i="1"/>
  <c r="K3610" i="1"/>
  <c r="L3610" i="1"/>
  <c r="A3611" i="1"/>
  <c r="B3611" i="1"/>
  <c r="C3611" i="1"/>
  <c r="D3611" i="1"/>
  <c r="Q3611" i="1"/>
  <c r="R3611" i="1"/>
  <c r="E3611" i="1"/>
  <c r="G3611" i="1"/>
  <c r="H3611" i="1"/>
  <c r="J3611" i="1"/>
  <c r="K3611" i="1"/>
  <c r="L3611" i="1"/>
  <c r="A3612" i="1"/>
  <c r="B3612" i="1"/>
  <c r="C3612" i="1"/>
  <c r="D3612" i="1"/>
  <c r="Q3612" i="1"/>
  <c r="R3612" i="1"/>
  <c r="E3612" i="1"/>
  <c r="G3612" i="1"/>
  <c r="H3612" i="1"/>
  <c r="J3612" i="1"/>
  <c r="K3612" i="1"/>
  <c r="L3612" i="1"/>
  <c r="A3613" i="1"/>
  <c r="B3613" i="1"/>
  <c r="C3613" i="1"/>
  <c r="D3613" i="1"/>
  <c r="Q3613" i="1"/>
  <c r="R3613" i="1"/>
  <c r="E3613" i="1"/>
  <c r="G3613" i="1"/>
  <c r="H3613" i="1"/>
  <c r="J3613" i="1"/>
  <c r="K3613" i="1"/>
  <c r="L3613" i="1"/>
  <c r="A3614" i="1"/>
  <c r="B3614" i="1"/>
  <c r="C3614" i="1"/>
  <c r="D3614" i="1"/>
  <c r="Q3614" i="1"/>
  <c r="R3614" i="1"/>
  <c r="E3614" i="1"/>
  <c r="G3614" i="1"/>
  <c r="H3614" i="1"/>
  <c r="J3614" i="1"/>
  <c r="K3614" i="1"/>
  <c r="L3614" i="1"/>
  <c r="A3615" i="1"/>
  <c r="B3615" i="1"/>
  <c r="C3615" i="1"/>
  <c r="D3615" i="1"/>
  <c r="Q3615" i="1"/>
  <c r="R3615" i="1"/>
  <c r="E3615" i="1"/>
  <c r="G3615" i="1"/>
  <c r="H3615" i="1"/>
  <c r="J3615" i="1"/>
  <c r="K3615" i="1"/>
  <c r="L3615" i="1"/>
  <c r="A3616" i="1"/>
  <c r="B3616" i="1"/>
  <c r="C3616" i="1"/>
  <c r="D3616" i="1"/>
  <c r="Q3616" i="1"/>
  <c r="R3616" i="1"/>
  <c r="E3616" i="1"/>
  <c r="G3616" i="1"/>
  <c r="H3616" i="1"/>
  <c r="J3616" i="1"/>
  <c r="K3616" i="1"/>
  <c r="L3616" i="1"/>
  <c r="A3617" i="1"/>
  <c r="B3617" i="1"/>
  <c r="C3617" i="1"/>
  <c r="D3617" i="1"/>
  <c r="Q3617" i="1"/>
  <c r="R3617" i="1"/>
  <c r="E3617" i="1"/>
  <c r="G3617" i="1"/>
  <c r="H3617" i="1"/>
  <c r="J3617" i="1"/>
  <c r="K3617" i="1"/>
  <c r="L3617" i="1"/>
  <c r="A3618" i="1"/>
  <c r="B3618" i="1"/>
  <c r="C3618" i="1"/>
  <c r="D3618" i="1"/>
  <c r="Q3618" i="1"/>
  <c r="R3618" i="1"/>
  <c r="E3618" i="1"/>
  <c r="G3618" i="1"/>
  <c r="H3618" i="1"/>
  <c r="J3618" i="1"/>
  <c r="K3618" i="1"/>
  <c r="L3618" i="1"/>
  <c r="A3619" i="1"/>
  <c r="B3619" i="1"/>
  <c r="C3619" i="1"/>
  <c r="D3619" i="1"/>
  <c r="Q3619" i="1"/>
  <c r="R3619" i="1"/>
  <c r="E3619" i="1"/>
  <c r="G3619" i="1"/>
  <c r="H3619" i="1"/>
  <c r="J3619" i="1"/>
  <c r="K3619" i="1"/>
  <c r="L3619" i="1"/>
  <c r="A3620" i="1"/>
  <c r="B3620" i="1"/>
  <c r="C3620" i="1"/>
  <c r="D3620" i="1"/>
  <c r="Q3620" i="1"/>
  <c r="R3620" i="1"/>
  <c r="E3620" i="1"/>
  <c r="G3620" i="1"/>
  <c r="H3620" i="1"/>
  <c r="J3620" i="1"/>
  <c r="K3620" i="1"/>
  <c r="L3620" i="1"/>
  <c r="A3621" i="1"/>
  <c r="B3621" i="1"/>
  <c r="C3621" i="1"/>
  <c r="D3621" i="1"/>
  <c r="Q3621" i="1"/>
  <c r="R3621" i="1"/>
  <c r="E3621" i="1"/>
  <c r="G3621" i="1"/>
  <c r="H3621" i="1"/>
  <c r="J3621" i="1"/>
  <c r="K3621" i="1"/>
  <c r="L3621" i="1"/>
  <c r="A3622" i="1"/>
  <c r="B3622" i="1"/>
  <c r="C3622" i="1"/>
  <c r="D3622" i="1"/>
  <c r="Q3622" i="1"/>
  <c r="R3622" i="1"/>
  <c r="E3622" i="1"/>
  <c r="G3622" i="1"/>
  <c r="H3622" i="1"/>
  <c r="J3622" i="1"/>
  <c r="K3622" i="1"/>
  <c r="L3622" i="1"/>
  <c r="A3623" i="1"/>
  <c r="B3623" i="1"/>
  <c r="C3623" i="1"/>
  <c r="D3623" i="1"/>
  <c r="Q3623" i="1"/>
  <c r="R3623" i="1"/>
  <c r="E3623" i="1"/>
  <c r="G3623" i="1"/>
  <c r="H3623" i="1"/>
  <c r="J3623" i="1"/>
  <c r="K3623" i="1"/>
  <c r="L3623" i="1"/>
  <c r="A3624" i="1"/>
  <c r="B3624" i="1"/>
  <c r="C3624" i="1"/>
  <c r="D3624" i="1"/>
  <c r="Q3624" i="1"/>
  <c r="R3624" i="1"/>
  <c r="E3624" i="1"/>
  <c r="G3624" i="1"/>
  <c r="H3624" i="1"/>
  <c r="J3624" i="1"/>
  <c r="K3624" i="1"/>
  <c r="L3624" i="1"/>
  <c r="A3625" i="1"/>
  <c r="B3625" i="1"/>
  <c r="C3625" i="1"/>
  <c r="D3625" i="1"/>
  <c r="Q3625" i="1"/>
  <c r="R3625" i="1"/>
  <c r="E3625" i="1"/>
  <c r="G3625" i="1"/>
  <c r="H3625" i="1"/>
  <c r="J3625" i="1"/>
  <c r="K3625" i="1"/>
  <c r="L3625" i="1"/>
  <c r="A3626" i="1"/>
  <c r="B3626" i="1"/>
  <c r="C3626" i="1"/>
  <c r="D3626" i="1"/>
  <c r="Q3626" i="1"/>
  <c r="R3626" i="1"/>
  <c r="E3626" i="1"/>
  <c r="G3626" i="1"/>
  <c r="H3626" i="1"/>
  <c r="J3626" i="1"/>
  <c r="K3626" i="1"/>
  <c r="L3626" i="1"/>
  <c r="A3627" i="1"/>
  <c r="B3627" i="1"/>
  <c r="C3627" i="1"/>
  <c r="D3627" i="1"/>
  <c r="Q3627" i="1"/>
  <c r="R3627" i="1"/>
  <c r="E3627" i="1"/>
  <c r="G3627" i="1"/>
  <c r="H3627" i="1"/>
  <c r="J3627" i="1"/>
  <c r="K3627" i="1"/>
  <c r="L3627" i="1"/>
  <c r="A3628" i="1"/>
  <c r="B3628" i="1"/>
  <c r="C3628" i="1"/>
  <c r="D3628" i="1"/>
  <c r="Q3628" i="1"/>
  <c r="R3628" i="1"/>
  <c r="E3628" i="1"/>
  <c r="G3628" i="1"/>
  <c r="H3628" i="1"/>
  <c r="J3628" i="1"/>
  <c r="K3628" i="1"/>
  <c r="L3628" i="1"/>
  <c r="A3629" i="1"/>
  <c r="B3629" i="1"/>
  <c r="C3629" i="1"/>
  <c r="D3629" i="1"/>
  <c r="Q3629" i="1"/>
  <c r="R3629" i="1"/>
  <c r="E3629" i="1"/>
  <c r="G3629" i="1"/>
  <c r="H3629" i="1"/>
  <c r="J3629" i="1"/>
  <c r="K3629" i="1"/>
  <c r="L3629" i="1"/>
  <c r="A3630" i="1"/>
  <c r="B3630" i="1"/>
  <c r="C3630" i="1"/>
  <c r="D3630" i="1"/>
  <c r="Q3630" i="1"/>
  <c r="R3630" i="1"/>
  <c r="E3630" i="1"/>
  <c r="G3630" i="1"/>
  <c r="H3630" i="1"/>
  <c r="J3630" i="1"/>
  <c r="K3630" i="1"/>
  <c r="L3630" i="1"/>
  <c r="A3631" i="1"/>
  <c r="B3631" i="1"/>
  <c r="C3631" i="1"/>
  <c r="D3631" i="1"/>
  <c r="Q3631" i="1"/>
  <c r="R3631" i="1"/>
  <c r="E3631" i="1"/>
  <c r="G3631" i="1"/>
  <c r="H3631" i="1"/>
  <c r="J3631" i="1"/>
  <c r="K3631" i="1"/>
  <c r="L3631" i="1"/>
  <c r="A3632" i="1"/>
  <c r="B3632" i="1"/>
  <c r="C3632" i="1"/>
  <c r="D3632" i="1"/>
  <c r="Q3632" i="1"/>
  <c r="R3632" i="1"/>
  <c r="E3632" i="1"/>
  <c r="G3632" i="1"/>
  <c r="H3632" i="1"/>
  <c r="J3632" i="1"/>
  <c r="K3632" i="1"/>
  <c r="L3632" i="1"/>
  <c r="A3633" i="1"/>
  <c r="B3633" i="1"/>
  <c r="C3633" i="1"/>
  <c r="D3633" i="1"/>
  <c r="Q3633" i="1"/>
  <c r="R3633" i="1"/>
  <c r="E3633" i="1"/>
  <c r="G3633" i="1"/>
  <c r="H3633" i="1"/>
  <c r="J3633" i="1"/>
  <c r="K3633" i="1"/>
  <c r="L3633" i="1"/>
  <c r="A3634" i="1"/>
  <c r="B3634" i="1"/>
  <c r="C3634" i="1"/>
  <c r="D3634" i="1"/>
  <c r="Q3634" i="1"/>
  <c r="R3634" i="1"/>
  <c r="E3634" i="1"/>
  <c r="G3634" i="1"/>
  <c r="H3634" i="1"/>
  <c r="J3634" i="1"/>
  <c r="K3634" i="1"/>
  <c r="L3634" i="1"/>
  <c r="A3635" i="1"/>
  <c r="B3635" i="1"/>
  <c r="C3635" i="1"/>
  <c r="D3635" i="1"/>
  <c r="Q3635" i="1"/>
  <c r="R3635" i="1"/>
  <c r="E3635" i="1"/>
  <c r="G3635" i="1"/>
  <c r="H3635" i="1"/>
  <c r="J3635" i="1"/>
  <c r="K3635" i="1"/>
  <c r="L3635" i="1"/>
  <c r="A3636" i="1"/>
  <c r="B3636" i="1"/>
  <c r="C3636" i="1"/>
  <c r="D3636" i="1"/>
  <c r="Q3636" i="1"/>
  <c r="R3636" i="1"/>
  <c r="E3636" i="1"/>
  <c r="G3636" i="1"/>
  <c r="H3636" i="1"/>
  <c r="J3636" i="1"/>
  <c r="K3636" i="1"/>
  <c r="L3636" i="1"/>
  <c r="A3637" i="1"/>
  <c r="B3637" i="1"/>
  <c r="C3637" i="1"/>
  <c r="D3637" i="1"/>
  <c r="Q3637" i="1"/>
  <c r="R3637" i="1"/>
  <c r="E3637" i="1"/>
  <c r="G3637" i="1"/>
  <c r="H3637" i="1"/>
  <c r="J3637" i="1"/>
  <c r="K3637" i="1"/>
  <c r="L3637" i="1"/>
  <c r="A3638" i="1"/>
  <c r="B3638" i="1"/>
  <c r="C3638" i="1"/>
  <c r="D3638" i="1"/>
  <c r="Q3638" i="1"/>
  <c r="R3638" i="1"/>
  <c r="E3638" i="1"/>
  <c r="G3638" i="1"/>
  <c r="H3638" i="1"/>
  <c r="J3638" i="1"/>
  <c r="K3638" i="1"/>
  <c r="L3638" i="1"/>
  <c r="A3639" i="1"/>
  <c r="B3639" i="1"/>
  <c r="C3639" i="1"/>
  <c r="D3639" i="1"/>
  <c r="Q3639" i="1"/>
  <c r="R3639" i="1"/>
  <c r="E3639" i="1"/>
  <c r="G3639" i="1"/>
  <c r="H3639" i="1"/>
  <c r="J3639" i="1"/>
  <c r="K3639" i="1"/>
  <c r="L3639" i="1"/>
  <c r="A3640" i="1"/>
  <c r="B3640" i="1"/>
  <c r="C3640" i="1"/>
  <c r="D3640" i="1"/>
  <c r="Q3640" i="1"/>
  <c r="R3640" i="1"/>
  <c r="E3640" i="1"/>
  <c r="G3640" i="1"/>
  <c r="H3640" i="1"/>
  <c r="J3640" i="1"/>
  <c r="K3640" i="1"/>
  <c r="L3640" i="1"/>
  <c r="A3641" i="1"/>
  <c r="B3641" i="1"/>
  <c r="C3641" i="1"/>
  <c r="D3641" i="1"/>
  <c r="Q3641" i="1"/>
  <c r="R3641" i="1"/>
  <c r="E3641" i="1"/>
  <c r="G3641" i="1"/>
  <c r="H3641" i="1"/>
  <c r="J3641" i="1"/>
  <c r="K3641" i="1"/>
  <c r="L3641" i="1"/>
  <c r="A3642" i="1"/>
  <c r="B3642" i="1"/>
  <c r="C3642" i="1"/>
  <c r="D3642" i="1"/>
  <c r="Q3642" i="1"/>
  <c r="R3642" i="1"/>
  <c r="E3642" i="1"/>
  <c r="G3642" i="1"/>
  <c r="H3642" i="1"/>
  <c r="J3642" i="1"/>
  <c r="K3642" i="1"/>
  <c r="L3642" i="1"/>
  <c r="A3643" i="1"/>
  <c r="B3643" i="1"/>
  <c r="C3643" i="1"/>
  <c r="D3643" i="1"/>
  <c r="Q3643" i="1"/>
  <c r="R3643" i="1"/>
  <c r="E3643" i="1"/>
  <c r="G3643" i="1"/>
  <c r="H3643" i="1"/>
  <c r="J3643" i="1"/>
  <c r="K3643" i="1"/>
  <c r="L3643" i="1"/>
  <c r="A3644" i="1"/>
  <c r="B3644" i="1"/>
  <c r="C3644" i="1"/>
  <c r="D3644" i="1"/>
  <c r="Q3644" i="1"/>
  <c r="R3644" i="1"/>
  <c r="E3644" i="1"/>
  <c r="G3644" i="1"/>
  <c r="H3644" i="1"/>
  <c r="J3644" i="1"/>
  <c r="K3644" i="1"/>
  <c r="L3644" i="1"/>
  <c r="A3645" i="1"/>
  <c r="B3645" i="1"/>
  <c r="C3645" i="1"/>
  <c r="D3645" i="1"/>
  <c r="Q3645" i="1"/>
  <c r="R3645" i="1"/>
  <c r="E3645" i="1"/>
  <c r="G3645" i="1"/>
  <c r="H3645" i="1"/>
  <c r="J3645" i="1"/>
  <c r="K3645" i="1"/>
  <c r="L3645" i="1"/>
  <c r="A3646" i="1"/>
  <c r="B3646" i="1"/>
  <c r="C3646" i="1"/>
  <c r="D3646" i="1"/>
  <c r="Q3646" i="1"/>
  <c r="R3646" i="1"/>
  <c r="E3646" i="1"/>
  <c r="G3646" i="1"/>
  <c r="H3646" i="1"/>
  <c r="J3646" i="1"/>
  <c r="K3646" i="1"/>
  <c r="L3646" i="1"/>
  <c r="A3647" i="1"/>
  <c r="B3647" i="1"/>
  <c r="C3647" i="1"/>
  <c r="D3647" i="1"/>
  <c r="Q3647" i="1"/>
  <c r="R3647" i="1"/>
  <c r="E3647" i="1"/>
  <c r="G3647" i="1"/>
  <c r="H3647" i="1"/>
  <c r="J3647" i="1"/>
  <c r="K3647" i="1"/>
  <c r="L3647" i="1"/>
  <c r="A3648" i="1"/>
  <c r="B3648" i="1"/>
  <c r="C3648" i="1"/>
  <c r="D3648" i="1"/>
  <c r="Q3648" i="1"/>
  <c r="R3648" i="1"/>
  <c r="E3648" i="1"/>
  <c r="G3648" i="1"/>
  <c r="H3648" i="1"/>
  <c r="J3648" i="1"/>
  <c r="K3648" i="1"/>
  <c r="L3648" i="1"/>
  <c r="A3649" i="1"/>
  <c r="B3649" i="1"/>
  <c r="C3649" i="1"/>
  <c r="D3649" i="1"/>
  <c r="Q3649" i="1"/>
  <c r="R3649" i="1"/>
  <c r="E3649" i="1"/>
  <c r="G3649" i="1"/>
  <c r="H3649" i="1"/>
  <c r="J3649" i="1"/>
  <c r="K3649" i="1"/>
  <c r="L3649" i="1"/>
  <c r="A3650" i="1"/>
  <c r="B3650" i="1"/>
  <c r="C3650" i="1"/>
  <c r="D3650" i="1"/>
  <c r="Q3650" i="1"/>
  <c r="R3650" i="1"/>
  <c r="E3650" i="1"/>
  <c r="G3650" i="1"/>
  <c r="H3650" i="1"/>
  <c r="J3650" i="1"/>
  <c r="K3650" i="1"/>
  <c r="L3650" i="1"/>
  <c r="A3651" i="1"/>
  <c r="B3651" i="1"/>
  <c r="C3651" i="1"/>
  <c r="D3651" i="1"/>
  <c r="Q3651" i="1"/>
  <c r="R3651" i="1"/>
  <c r="E3651" i="1"/>
  <c r="G3651" i="1"/>
  <c r="H3651" i="1"/>
  <c r="J3651" i="1"/>
  <c r="K3651" i="1"/>
  <c r="L3651" i="1"/>
  <c r="A3652" i="1"/>
  <c r="B3652" i="1"/>
  <c r="C3652" i="1"/>
  <c r="D3652" i="1"/>
  <c r="Q3652" i="1"/>
  <c r="R3652" i="1"/>
  <c r="E3652" i="1"/>
  <c r="G3652" i="1"/>
  <c r="H3652" i="1"/>
  <c r="J3652" i="1"/>
  <c r="K3652" i="1"/>
  <c r="L3652" i="1"/>
  <c r="A3653" i="1"/>
  <c r="B3653" i="1"/>
  <c r="C3653" i="1"/>
  <c r="D3653" i="1"/>
  <c r="Q3653" i="1"/>
  <c r="R3653" i="1"/>
  <c r="E3653" i="1"/>
  <c r="G3653" i="1"/>
  <c r="H3653" i="1"/>
  <c r="J3653" i="1"/>
  <c r="K3653" i="1"/>
  <c r="L3653" i="1"/>
  <c r="A3654" i="1"/>
  <c r="B3654" i="1"/>
  <c r="C3654" i="1"/>
  <c r="D3654" i="1"/>
  <c r="Q3654" i="1"/>
  <c r="R3654" i="1"/>
  <c r="E3654" i="1"/>
  <c r="G3654" i="1"/>
  <c r="H3654" i="1"/>
  <c r="J3654" i="1"/>
  <c r="K3654" i="1"/>
  <c r="L3654" i="1"/>
  <c r="A3655" i="1"/>
  <c r="B3655" i="1"/>
  <c r="C3655" i="1"/>
  <c r="D3655" i="1"/>
  <c r="Q3655" i="1"/>
  <c r="R3655" i="1"/>
  <c r="E3655" i="1"/>
  <c r="G3655" i="1"/>
  <c r="H3655" i="1"/>
  <c r="J3655" i="1"/>
  <c r="K3655" i="1"/>
  <c r="L3655" i="1"/>
  <c r="A3656" i="1"/>
  <c r="B3656" i="1"/>
  <c r="C3656" i="1"/>
  <c r="D3656" i="1"/>
  <c r="Q3656" i="1"/>
  <c r="R3656" i="1"/>
  <c r="E3656" i="1"/>
  <c r="G3656" i="1"/>
  <c r="H3656" i="1"/>
  <c r="J3656" i="1"/>
  <c r="K3656" i="1"/>
  <c r="L3656" i="1"/>
  <c r="A3657" i="1"/>
  <c r="B3657" i="1"/>
  <c r="C3657" i="1"/>
  <c r="D3657" i="1"/>
  <c r="Q3657" i="1"/>
  <c r="R3657" i="1"/>
  <c r="E3657" i="1"/>
  <c r="G3657" i="1"/>
  <c r="H3657" i="1"/>
  <c r="J3657" i="1"/>
  <c r="K3657" i="1"/>
  <c r="L3657" i="1"/>
  <c r="A3658" i="1"/>
  <c r="B3658" i="1"/>
  <c r="C3658" i="1"/>
  <c r="D3658" i="1"/>
  <c r="Q3658" i="1"/>
  <c r="R3658" i="1"/>
  <c r="E3658" i="1"/>
  <c r="G3658" i="1"/>
  <c r="H3658" i="1"/>
  <c r="J3658" i="1"/>
  <c r="K3658" i="1"/>
  <c r="L3658" i="1"/>
  <c r="A3659" i="1"/>
  <c r="B3659" i="1"/>
  <c r="C3659" i="1"/>
  <c r="D3659" i="1"/>
  <c r="Q3659" i="1"/>
  <c r="R3659" i="1"/>
  <c r="E3659" i="1"/>
  <c r="G3659" i="1"/>
  <c r="H3659" i="1"/>
  <c r="J3659" i="1"/>
  <c r="K3659" i="1"/>
  <c r="L3659" i="1"/>
  <c r="A3660" i="1"/>
  <c r="B3660" i="1"/>
  <c r="C3660" i="1"/>
  <c r="D3660" i="1"/>
  <c r="Q3660" i="1"/>
  <c r="R3660" i="1"/>
  <c r="E3660" i="1"/>
  <c r="G3660" i="1"/>
  <c r="H3660" i="1"/>
  <c r="J3660" i="1"/>
  <c r="K3660" i="1"/>
  <c r="L3660" i="1"/>
  <c r="A3661" i="1"/>
  <c r="B3661" i="1"/>
  <c r="C3661" i="1"/>
  <c r="D3661" i="1"/>
  <c r="Q3661" i="1"/>
  <c r="R3661" i="1"/>
  <c r="E3661" i="1"/>
  <c r="G3661" i="1"/>
  <c r="H3661" i="1"/>
  <c r="J3661" i="1"/>
  <c r="K3661" i="1"/>
  <c r="L3661" i="1"/>
  <c r="A3662" i="1"/>
  <c r="B3662" i="1"/>
  <c r="C3662" i="1"/>
  <c r="D3662" i="1"/>
  <c r="Q3662" i="1"/>
  <c r="R3662" i="1"/>
  <c r="E3662" i="1"/>
  <c r="G3662" i="1"/>
  <c r="H3662" i="1"/>
  <c r="J3662" i="1"/>
  <c r="K3662" i="1"/>
  <c r="L3662" i="1"/>
  <c r="A3663" i="1"/>
  <c r="B3663" i="1"/>
  <c r="C3663" i="1"/>
  <c r="D3663" i="1"/>
  <c r="Q3663" i="1"/>
  <c r="R3663" i="1"/>
  <c r="E3663" i="1"/>
  <c r="G3663" i="1"/>
  <c r="H3663" i="1"/>
  <c r="J3663" i="1"/>
  <c r="K3663" i="1"/>
  <c r="L3663" i="1"/>
  <c r="A3664" i="1"/>
  <c r="B3664" i="1"/>
  <c r="C3664" i="1"/>
  <c r="D3664" i="1"/>
  <c r="Q3664" i="1"/>
  <c r="R3664" i="1"/>
  <c r="E3664" i="1"/>
  <c r="G3664" i="1"/>
  <c r="H3664" i="1"/>
  <c r="J3664" i="1"/>
  <c r="K3664" i="1"/>
  <c r="L3664" i="1"/>
  <c r="A3665" i="1"/>
  <c r="B3665" i="1"/>
  <c r="C3665" i="1"/>
  <c r="D3665" i="1"/>
  <c r="Q3665" i="1"/>
  <c r="R3665" i="1"/>
  <c r="E3665" i="1"/>
  <c r="G3665" i="1"/>
  <c r="H3665" i="1"/>
  <c r="J3665" i="1"/>
  <c r="K3665" i="1"/>
  <c r="L3665" i="1"/>
  <c r="A3666" i="1"/>
  <c r="B3666" i="1"/>
  <c r="C3666" i="1"/>
  <c r="D3666" i="1"/>
  <c r="Q3666" i="1"/>
  <c r="R3666" i="1"/>
  <c r="E3666" i="1"/>
  <c r="G3666" i="1"/>
  <c r="H3666" i="1"/>
  <c r="J3666" i="1"/>
  <c r="K3666" i="1"/>
  <c r="L3666" i="1"/>
  <c r="A3667" i="1"/>
  <c r="B3667" i="1"/>
  <c r="C3667" i="1"/>
  <c r="D3667" i="1"/>
  <c r="Q3667" i="1"/>
  <c r="R3667" i="1"/>
  <c r="E3667" i="1"/>
  <c r="G3667" i="1"/>
  <c r="H3667" i="1"/>
  <c r="J3667" i="1"/>
  <c r="K3667" i="1"/>
  <c r="L3667" i="1"/>
  <c r="A3668" i="1"/>
  <c r="B3668" i="1"/>
  <c r="C3668" i="1"/>
  <c r="D3668" i="1"/>
  <c r="Q3668" i="1"/>
  <c r="R3668" i="1"/>
  <c r="E3668" i="1"/>
  <c r="G3668" i="1"/>
  <c r="H3668" i="1"/>
  <c r="J3668" i="1"/>
  <c r="K3668" i="1"/>
  <c r="L3668" i="1"/>
  <c r="A3669" i="1"/>
  <c r="B3669" i="1"/>
  <c r="C3669" i="1"/>
  <c r="D3669" i="1"/>
  <c r="Q3669" i="1"/>
  <c r="R3669" i="1"/>
  <c r="E3669" i="1"/>
  <c r="G3669" i="1"/>
  <c r="H3669" i="1"/>
  <c r="J3669" i="1"/>
  <c r="K3669" i="1"/>
  <c r="L3669" i="1"/>
  <c r="A3670" i="1"/>
  <c r="B3670" i="1"/>
  <c r="C3670" i="1"/>
  <c r="D3670" i="1"/>
  <c r="Q3670" i="1"/>
  <c r="R3670" i="1"/>
  <c r="E3670" i="1"/>
  <c r="G3670" i="1"/>
  <c r="H3670" i="1"/>
  <c r="J3670" i="1"/>
  <c r="K3670" i="1"/>
  <c r="L3670" i="1"/>
  <c r="A3671" i="1"/>
  <c r="B3671" i="1"/>
  <c r="C3671" i="1"/>
  <c r="D3671" i="1"/>
  <c r="Q3671" i="1"/>
  <c r="R3671" i="1"/>
  <c r="E3671" i="1"/>
  <c r="G3671" i="1"/>
  <c r="H3671" i="1"/>
  <c r="J3671" i="1"/>
  <c r="K3671" i="1"/>
  <c r="L3671" i="1"/>
  <c r="A3672" i="1"/>
  <c r="B3672" i="1"/>
  <c r="C3672" i="1"/>
  <c r="D3672" i="1"/>
  <c r="Q3672" i="1"/>
  <c r="R3672" i="1"/>
  <c r="E3672" i="1"/>
  <c r="G3672" i="1"/>
  <c r="H3672" i="1"/>
  <c r="J3672" i="1"/>
  <c r="K3672" i="1"/>
  <c r="L3672" i="1"/>
  <c r="A3673" i="1"/>
  <c r="B3673" i="1"/>
  <c r="C3673" i="1"/>
  <c r="D3673" i="1"/>
  <c r="Q3673" i="1"/>
  <c r="R3673" i="1"/>
  <c r="E3673" i="1"/>
  <c r="G3673" i="1"/>
  <c r="H3673" i="1"/>
  <c r="J3673" i="1"/>
  <c r="K3673" i="1"/>
  <c r="L3673" i="1"/>
  <c r="A3674" i="1"/>
  <c r="B3674" i="1"/>
  <c r="C3674" i="1"/>
  <c r="D3674" i="1"/>
  <c r="Q3674" i="1"/>
  <c r="R3674" i="1"/>
  <c r="E3674" i="1"/>
  <c r="G3674" i="1"/>
  <c r="H3674" i="1"/>
  <c r="J3674" i="1"/>
  <c r="K3674" i="1"/>
  <c r="L3674" i="1"/>
  <c r="A3675" i="1"/>
  <c r="B3675" i="1"/>
  <c r="C3675" i="1"/>
  <c r="D3675" i="1"/>
  <c r="Q3675" i="1"/>
  <c r="R3675" i="1"/>
  <c r="E3675" i="1"/>
  <c r="G3675" i="1"/>
  <c r="H3675" i="1"/>
  <c r="J3675" i="1"/>
  <c r="K3675" i="1"/>
  <c r="L3675" i="1"/>
  <c r="A3676" i="1"/>
  <c r="B3676" i="1"/>
  <c r="C3676" i="1"/>
  <c r="D3676" i="1"/>
  <c r="Q3676" i="1"/>
  <c r="R3676" i="1"/>
  <c r="E3676" i="1"/>
  <c r="G3676" i="1"/>
  <c r="H3676" i="1"/>
  <c r="J3676" i="1"/>
  <c r="K3676" i="1"/>
  <c r="L3676" i="1"/>
  <c r="A3677" i="1"/>
  <c r="B3677" i="1"/>
  <c r="C3677" i="1"/>
  <c r="D3677" i="1"/>
  <c r="Q3677" i="1"/>
  <c r="R3677" i="1"/>
  <c r="E3677" i="1"/>
  <c r="G3677" i="1"/>
  <c r="H3677" i="1"/>
  <c r="J3677" i="1"/>
  <c r="K3677" i="1"/>
  <c r="L3677" i="1"/>
  <c r="A3678" i="1"/>
  <c r="B3678" i="1"/>
  <c r="C3678" i="1"/>
  <c r="D3678" i="1"/>
  <c r="Q3678" i="1"/>
  <c r="R3678" i="1"/>
  <c r="E3678" i="1"/>
  <c r="G3678" i="1"/>
  <c r="H3678" i="1"/>
  <c r="J3678" i="1"/>
  <c r="K3678" i="1"/>
  <c r="L3678" i="1"/>
  <c r="A3679" i="1"/>
  <c r="B3679" i="1"/>
  <c r="C3679" i="1"/>
  <c r="D3679" i="1"/>
  <c r="Q3679" i="1"/>
  <c r="R3679" i="1"/>
  <c r="E3679" i="1"/>
  <c r="G3679" i="1"/>
  <c r="H3679" i="1"/>
  <c r="J3679" i="1"/>
  <c r="K3679" i="1"/>
  <c r="L3679" i="1"/>
  <c r="A3680" i="1"/>
  <c r="B3680" i="1"/>
  <c r="C3680" i="1"/>
  <c r="D3680" i="1"/>
  <c r="Q3680" i="1"/>
  <c r="R3680" i="1"/>
  <c r="E3680" i="1"/>
  <c r="G3680" i="1"/>
  <c r="H3680" i="1"/>
  <c r="J3680" i="1"/>
  <c r="K3680" i="1"/>
  <c r="L3680" i="1"/>
  <c r="A3681" i="1"/>
  <c r="B3681" i="1"/>
  <c r="C3681" i="1"/>
  <c r="D3681" i="1"/>
  <c r="Q3681" i="1"/>
  <c r="R3681" i="1"/>
  <c r="E3681" i="1"/>
  <c r="G3681" i="1"/>
  <c r="H3681" i="1"/>
  <c r="J3681" i="1"/>
  <c r="K3681" i="1"/>
  <c r="L3681" i="1"/>
  <c r="A3682" i="1"/>
  <c r="B3682" i="1"/>
  <c r="C3682" i="1"/>
  <c r="D3682" i="1"/>
  <c r="Q3682" i="1"/>
  <c r="R3682" i="1"/>
  <c r="E3682" i="1"/>
  <c r="G3682" i="1"/>
  <c r="H3682" i="1"/>
  <c r="J3682" i="1"/>
  <c r="K3682" i="1"/>
  <c r="L3682" i="1"/>
  <c r="A3683" i="1"/>
  <c r="B3683" i="1"/>
  <c r="C3683" i="1"/>
  <c r="D3683" i="1"/>
  <c r="Q3683" i="1"/>
  <c r="R3683" i="1"/>
  <c r="E3683" i="1"/>
  <c r="G3683" i="1"/>
  <c r="H3683" i="1"/>
  <c r="J3683" i="1"/>
  <c r="K3683" i="1"/>
  <c r="L3683" i="1"/>
  <c r="A3684" i="1"/>
  <c r="B3684" i="1"/>
  <c r="C3684" i="1"/>
  <c r="D3684" i="1"/>
  <c r="Q3684" i="1"/>
  <c r="R3684" i="1"/>
  <c r="E3684" i="1"/>
  <c r="G3684" i="1"/>
  <c r="H3684" i="1"/>
  <c r="J3684" i="1"/>
  <c r="K3684" i="1"/>
  <c r="L3684" i="1"/>
  <c r="A3685" i="1"/>
  <c r="B3685" i="1"/>
  <c r="C3685" i="1"/>
  <c r="D3685" i="1"/>
  <c r="Q3685" i="1"/>
  <c r="R3685" i="1"/>
  <c r="E3685" i="1"/>
  <c r="G3685" i="1"/>
  <c r="H3685" i="1"/>
  <c r="J3685" i="1"/>
  <c r="K3685" i="1"/>
  <c r="L3685" i="1"/>
  <c r="A3686" i="1"/>
  <c r="B3686" i="1"/>
  <c r="C3686" i="1"/>
  <c r="D3686" i="1"/>
  <c r="Q3686" i="1"/>
  <c r="R3686" i="1"/>
  <c r="E3686" i="1"/>
  <c r="G3686" i="1"/>
  <c r="H3686" i="1"/>
  <c r="J3686" i="1"/>
  <c r="K3686" i="1"/>
  <c r="L3686" i="1"/>
  <c r="A3687" i="1"/>
  <c r="B3687" i="1"/>
  <c r="C3687" i="1"/>
  <c r="D3687" i="1"/>
  <c r="Q3687" i="1"/>
  <c r="R3687" i="1"/>
  <c r="E3687" i="1"/>
  <c r="G3687" i="1"/>
  <c r="H3687" i="1"/>
  <c r="J3687" i="1"/>
  <c r="K3687" i="1"/>
  <c r="L3687" i="1"/>
  <c r="A3688" i="1"/>
  <c r="B3688" i="1"/>
  <c r="C3688" i="1"/>
  <c r="D3688" i="1"/>
  <c r="Q3688" i="1"/>
  <c r="R3688" i="1"/>
  <c r="E3688" i="1"/>
  <c r="G3688" i="1"/>
  <c r="H3688" i="1"/>
  <c r="J3688" i="1"/>
  <c r="K3688" i="1"/>
  <c r="L3688" i="1"/>
  <c r="A3689" i="1"/>
  <c r="B3689" i="1"/>
  <c r="C3689" i="1"/>
  <c r="D3689" i="1"/>
  <c r="Q3689" i="1"/>
  <c r="R3689" i="1"/>
  <c r="E3689" i="1"/>
  <c r="G3689" i="1"/>
  <c r="H3689" i="1"/>
  <c r="J3689" i="1"/>
  <c r="K3689" i="1"/>
  <c r="L3689" i="1"/>
  <c r="A3690" i="1"/>
  <c r="B3690" i="1"/>
  <c r="C3690" i="1"/>
  <c r="D3690" i="1"/>
  <c r="Q3690" i="1"/>
  <c r="R3690" i="1"/>
  <c r="E3690" i="1"/>
  <c r="G3690" i="1"/>
  <c r="H3690" i="1"/>
  <c r="J3690" i="1"/>
  <c r="K3690" i="1"/>
  <c r="L3690" i="1"/>
  <c r="A3691" i="1"/>
  <c r="B3691" i="1"/>
  <c r="C3691" i="1"/>
  <c r="D3691" i="1"/>
  <c r="Q3691" i="1"/>
  <c r="R3691" i="1"/>
  <c r="E3691" i="1"/>
  <c r="G3691" i="1"/>
  <c r="H3691" i="1"/>
  <c r="J3691" i="1"/>
  <c r="K3691" i="1"/>
  <c r="L3691" i="1"/>
  <c r="A3692" i="1"/>
  <c r="B3692" i="1"/>
  <c r="C3692" i="1"/>
  <c r="D3692" i="1"/>
  <c r="Q3692" i="1"/>
  <c r="R3692" i="1"/>
  <c r="E3692" i="1"/>
  <c r="G3692" i="1"/>
  <c r="H3692" i="1"/>
  <c r="J3692" i="1"/>
  <c r="K3692" i="1"/>
  <c r="L3692" i="1"/>
  <c r="A3693" i="1"/>
  <c r="B3693" i="1"/>
  <c r="C3693" i="1"/>
  <c r="D3693" i="1"/>
  <c r="Q3693" i="1"/>
  <c r="R3693" i="1"/>
  <c r="E3693" i="1"/>
  <c r="G3693" i="1"/>
  <c r="H3693" i="1"/>
  <c r="J3693" i="1"/>
  <c r="K3693" i="1"/>
  <c r="L3693" i="1"/>
  <c r="A3694" i="1"/>
  <c r="B3694" i="1"/>
  <c r="C3694" i="1"/>
  <c r="D3694" i="1"/>
  <c r="Q3694" i="1"/>
  <c r="R3694" i="1"/>
  <c r="E3694" i="1"/>
  <c r="G3694" i="1"/>
  <c r="H3694" i="1"/>
  <c r="J3694" i="1"/>
  <c r="K3694" i="1"/>
  <c r="L3694" i="1"/>
  <c r="A3695" i="1"/>
  <c r="B3695" i="1"/>
  <c r="C3695" i="1"/>
  <c r="D3695" i="1"/>
  <c r="Q3695" i="1"/>
  <c r="R3695" i="1"/>
  <c r="E3695" i="1"/>
  <c r="G3695" i="1"/>
  <c r="H3695" i="1"/>
  <c r="J3695" i="1"/>
  <c r="K3695" i="1"/>
  <c r="L3695" i="1"/>
  <c r="A3696" i="1"/>
  <c r="B3696" i="1"/>
  <c r="C3696" i="1"/>
  <c r="D3696" i="1"/>
  <c r="Q3696" i="1"/>
  <c r="R3696" i="1"/>
  <c r="E3696" i="1"/>
  <c r="G3696" i="1"/>
  <c r="H3696" i="1"/>
  <c r="J3696" i="1"/>
  <c r="K3696" i="1"/>
  <c r="L3696" i="1"/>
  <c r="A3697" i="1"/>
  <c r="B3697" i="1"/>
  <c r="C3697" i="1"/>
  <c r="D3697" i="1"/>
  <c r="Q3697" i="1"/>
  <c r="R3697" i="1"/>
  <c r="E3697" i="1"/>
  <c r="G3697" i="1"/>
  <c r="H3697" i="1"/>
  <c r="J3697" i="1"/>
  <c r="K3697" i="1"/>
  <c r="L3697" i="1"/>
  <c r="A3698" i="1"/>
  <c r="B3698" i="1"/>
  <c r="C3698" i="1"/>
  <c r="D3698" i="1"/>
  <c r="Q3698" i="1"/>
  <c r="R3698" i="1"/>
  <c r="E3698" i="1"/>
  <c r="G3698" i="1"/>
  <c r="H3698" i="1"/>
  <c r="J3698" i="1"/>
  <c r="K3698" i="1"/>
  <c r="L3698" i="1"/>
  <c r="A3699" i="1"/>
  <c r="B3699" i="1"/>
  <c r="C3699" i="1"/>
  <c r="D3699" i="1"/>
  <c r="Q3699" i="1"/>
  <c r="R3699" i="1"/>
  <c r="E3699" i="1"/>
  <c r="G3699" i="1"/>
  <c r="H3699" i="1"/>
  <c r="J3699" i="1"/>
  <c r="K3699" i="1"/>
  <c r="L3699" i="1"/>
  <c r="A3700" i="1"/>
  <c r="B3700" i="1"/>
  <c r="C3700" i="1"/>
  <c r="D3700" i="1"/>
  <c r="Q3700" i="1"/>
  <c r="R3700" i="1"/>
  <c r="E3700" i="1"/>
  <c r="G3700" i="1"/>
  <c r="H3700" i="1"/>
  <c r="J3700" i="1"/>
  <c r="K3700" i="1"/>
  <c r="L3700" i="1"/>
  <c r="A3701" i="1"/>
  <c r="B3701" i="1"/>
  <c r="C3701" i="1"/>
  <c r="D3701" i="1"/>
  <c r="Q3701" i="1"/>
  <c r="R3701" i="1"/>
  <c r="E3701" i="1"/>
  <c r="G3701" i="1"/>
  <c r="H3701" i="1"/>
  <c r="J3701" i="1"/>
  <c r="K3701" i="1"/>
  <c r="L3701" i="1"/>
  <c r="A3702" i="1"/>
  <c r="B3702" i="1"/>
  <c r="C3702" i="1"/>
  <c r="D3702" i="1"/>
  <c r="Q3702" i="1"/>
  <c r="R3702" i="1"/>
  <c r="E3702" i="1"/>
  <c r="G3702" i="1"/>
  <c r="H3702" i="1"/>
  <c r="J3702" i="1"/>
  <c r="K3702" i="1"/>
  <c r="L3702" i="1"/>
  <c r="A3703" i="1"/>
  <c r="B3703" i="1"/>
  <c r="C3703" i="1"/>
  <c r="D3703" i="1"/>
  <c r="Q3703" i="1"/>
  <c r="R3703" i="1"/>
  <c r="E3703" i="1"/>
  <c r="G3703" i="1"/>
  <c r="H3703" i="1"/>
  <c r="J3703" i="1"/>
  <c r="K3703" i="1"/>
  <c r="L3703" i="1"/>
  <c r="A3704" i="1"/>
  <c r="B3704" i="1"/>
  <c r="C3704" i="1"/>
  <c r="D3704" i="1"/>
  <c r="Q3704" i="1"/>
  <c r="R3704" i="1"/>
  <c r="E3704" i="1"/>
  <c r="G3704" i="1"/>
  <c r="H3704" i="1"/>
  <c r="J3704" i="1"/>
  <c r="K3704" i="1"/>
  <c r="L3704" i="1"/>
  <c r="A3705" i="1"/>
  <c r="B3705" i="1"/>
  <c r="C3705" i="1"/>
  <c r="D3705" i="1"/>
  <c r="Q3705" i="1"/>
  <c r="R3705" i="1"/>
  <c r="E3705" i="1"/>
  <c r="G3705" i="1"/>
  <c r="H3705" i="1"/>
  <c r="J3705" i="1"/>
  <c r="K3705" i="1"/>
  <c r="L3705" i="1"/>
  <c r="A3706" i="1"/>
  <c r="B3706" i="1"/>
  <c r="C3706" i="1"/>
  <c r="D3706" i="1"/>
  <c r="Q3706" i="1"/>
  <c r="R3706" i="1"/>
  <c r="E3706" i="1"/>
  <c r="G3706" i="1"/>
  <c r="H3706" i="1"/>
  <c r="J3706" i="1"/>
  <c r="K3706" i="1"/>
  <c r="L3706" i="1"/>
  <c r="A3707" i="1"/>
  <c r="B3707" i="1"/>
  <c r="C3707" i="1"/>
  <c r="D3707" i="1"/>
  <c r="Q3707" i="1"/>
  <c r="R3707" i="1"/>
  <c r="E3707" i="1"/>
  <c r="G3707" i="1"/>
  <c r="H3707" i="1"/>
  <c r="J3707" i="1"/>
  <c r="K3707" i="1"/>
  <c r="L3707" i="1"/>
  <c r="A3708" i="1"/>
  <c r="B3708" i="1"/>
  <c r="C3708" i="1"/>
  <c r="D3708" i="1"/>
  <c r="Q3708" i="1"/>
  <c r="R3708" i="1"/>
  <c r="E3708" i="1"/>
  <c r="G3708" i="1"/>
  <c r="H3708" i="1"/>
  <c r="J3708" i="1"/>
  <c r="K3708" i="1"/>
  <c r="L3708" i="1"/>
  <c r="A3709" i="1"/>
  <c r="B3709" i="1"/>
  <c r="C3709" i="1"/>
  <c r="D3709" i="1"/>
  <c r="Q3709" i="1"/>
  <c r="R3709" i="1"/>
  <c r="E3709" i="1"/>
  <c r="G3709" i="1"/>
  <c r="H3709" i="1"/>
  <c r="J3709" i="1"/>
  <c r="K3709" i="1"/>
  <c r="L3709" i="1"/>
  <c r="A3710" i="1"/>
  <c r="B3710" i="1"/>
  <c r="C3710" i="1"/>
  <c r="D3710" i="1"/>
  <c r="Q3710" i="1"/>
  <c r="R3710" i="1"/>
  <c r="E3710" i="1"/>
  <c r="G3710" i="1"/>
  <c r="H3710" i="1"/>
  <c r="J3710" i="1"/>
  <c r="K3710" i="1"/>
  <c r="L3710" i="1"/>
  <c r="A3711" i="1"/>
  <c r="B3711" i="1"/>
  <c r="C3711" i="1"/>
  <c r="D3711" i="1"/>
  <c r="Q3711" i="1"/>
  <c r="R3711" i="1"/>
  <c r="E3711" i="1"/>
  <c r="G3711" i="1"/>
  <c r="H3711" i="1"/>
  <c r="J3711" i="1"/>
  <c r="K3711" i="1"/>
  <c r="L3711" i="1"/>
  <c r="A3712" i="1"/>
  <c r="B3712" i="1"/>
  <c r="C3712" i="1"/>
  <c r="D3712" i="1"/>
  <c r="Q3712" i="1"/>
  <c r="R3712" i="1"/>
  <c r="E3712" i="1"/>
  <c r="G3712" i="1"/>
  <c r="H3712" i="1"/>
  <c r="J3712" i="1"/>
  <c r="K3712" i="1"/>
  <c r="L3712" i="1"/>
  <c r="A3713" i="1"/>
  <c r="B3713" i="1"/>
  <c r="C3713" i="1"/>
  <c r="D3713" i="1"/>
  <c r="Q3713" i="1"/>
  <c r="R3713" i="1"/>
  <c r="E3713" i="1"/>
  <c r="G3713" i="1"/>
  <c r="H3713" i="1"/>
  <c r="J3713" i="1"/>
  <c r="K3713" i="1"/>
  <c r="L3713" i="1"/>
  <c r="A3714" i="1"/>
  <c r="B3714" i="1"/>
  <c r="C3714" i="1"/>
  <c r="D3714" i="1"/>
  <c r="Q3714" i="1"/>
  <c r="R3714" i="1"/>
  <c r="E3714" i="1"/>
  <c r="G3714" i="1"/>
  <c r="H3714" i="1"/>
  <c r="J3714" i="1"/>
  <c r="K3714" i="1"/>
  <c r="L3714" i="1"/>
  <c r="A3715" i="1"/>
  <c r="B3715" i="1"/>
  <c r="C3715" i="1"/>
  <c r="D3715" i="1"/>
  <c r="Q3715" i="1"/>
  <c r="R3715" i="1"/>
  <c r="E3715" i="1"/>
  <c r="G3715" i="1"/>
  <c r="H3715" i="1"/>
  <c r="J3715" i="1"/>
  <c r="K3715" i="1"/>
  <c r="L3715" i="1"/>
  <c r="A3716" i="1"/>
  <c r="B3716" i="1"/>
  <c r="C3716" i="1"/>
  <c r="D3716" i="1"/>
  <c r="Q3716" i="1"/>
  <c r="R3716" i="1"/>
  <c r="E3716" i="1"/>
  <c r="G3716" i="1"/>
  <c r="H3716" i="1"/>
  <c r="J3716" i="1"/>
  <c r="K3716" i="1"/>
  <c r="L3716" i="1"/>
  <c r="A3717" i="1"/>
  <c r="B3717" i="1"/>
  <c r="C3717" i="1"/>
  <c r="D3717" i="1"/>
  <c r="Q3717" i="1"/>
  <c r="R3717" i="1"/>
  <c r="E3717" i="1"/>
  <c r="G3717" i="1"/>
  <c r="H3717" i="1"/>
  <c r="J3717" i="1"/>
  <c r="K3717" i="1"/>
  <c r="L3717" i="1"/>
  <c r="A3718" i="1"/>
  <c r="B3718" i="1"/>
  <c r="C3718" i="1"/>
  <c r="D3718" i="1"/>
  <c r="Q3718" i="1"/>
  <c r="R3718" i="1"/>
  <c r="E3718" i="1"/>
  <c r="G3718" i="1"/>
  <c r="H3718" i="1"/>
  <c r="J3718" i="1"/>
  <c r="K3718" i="1"/>
  <c r="L3718" i="1"/>
  <c r="A3719" i="1"/>
  <c r="B3719" i="1"/>
  <c r="C3719" i="1"/>
  <c r="D3719" i="1"/>
  <c r="Q3719" i="1"/>
  <c r="R3719" i="1"/>
  <c r="E3719" i="1"/>
  <c r="G3719" i="1"/>
  <c r="H3719" i="1"/>
  <c r="J3719" i="1"/>
  <c r="K3719" i="1"/>
  <c r="L3719" i="1"/>
  <c r="A3720" i="1"/>
  <c r="B3720" i="1"/>
  <c r="C3720" i="1"/>
  <c r="D3720" i="1"/>
  <c r="Q3720" i="1"/>
  <c r="R3720" i="1"/>
  <c r="E3720" i="1"/>
  <c r="G3720" i="1"/>
  <c r="H3720" i="1"/>
  <c r="J3720" i="1"/>
  <c r="K3720" i="1"/>
  <c r="L3720" i="1"/>
  <c r="A3721" i="1"/>
  <c r="B3721" i="1"/>
  <c r="C3721" i="1"/>
  <c r="D3721" i="1"/>
  <c r="Q3721" i="1"/>
  <c r="R3721" i="1"/>
  <c r="E3721" i="1"/>
  <c r="G3721" i="1"/>
  <c r="H3721" i="1"/>
  <c r="J3721" i="1"/>
  <c r="K3721" i="1"/>
  <c r="L3721" i="1"/>
  <c r="A3722" i="1"/>
  <c r="B3722" i="1"/>
  <c r="C3722" i="1"/>
  <c r="D3722" i="1"/>
  <c r="Q3722" i="1"/>
  <c r="R3722" i="1"/>
  <c r="E3722" i="1"/>
  <c r="G3722" i="1"/>
  <c r="H3722" i="1"/>
  <c r="J3722" i="1"/>
  <c r="K3722" i="1"/>
  <c r="L3722" i="1"/>
  <c r="A3723" i="1"/>
  <c r="B3723" i="1"/>
  <c r="C3723" i="1"/>
  <c r="D3723" i="1"/>
  <c r="Q3723" i="1"/>
  <c r="R3723" i="1"/>
  <c r="E3723" i="1"/>
  <c r="G3723" i="1"/>
  <c r="H3723" i="1"/>
  <c r="J3723" i="1"/>
  <c r="K3723" i="1"/>
  <c r="L3723" i="1"/>
  <c r="A3724" i="1"/>
  <c r="B3724" i="1"/>
  <c r="C3724" i="1"/>
  <c r="D3724" i="1"/>
  <c r="Q3724" i="1"/>
  <c r="R3724" i="1"/>
  <c r="E3724" i="1"/>
  <c r="G3724" i="1"/>
  <c r="H3724" i="1"/>
  <c r="J3724" i="1"/>
  <c r="K3724" i="1"/>
  <c r="L3724" i="1"/>
  <c r="A3725" i="1"/>
  <c r="B3725" i="1"/>
  <c r="C3725" i="1"/>
  <c r="D3725" i="1"/>
  <c r="Q3725" i="1"/>
  <c r="R3725" i="1"/>
  <c r="E3725" i="1"/>
  <c r="G3725" i="1"/>
  <c r="H3725" i="1"/>
  <c r="J3725" i="1"/>
  <c r="K3725" i="1"/>
  <c r="L3725" i="1"/>
  <c r="A3726" i="1"/>
  <c r="B3726" i="1"/>
  <c r="C3726" i="1"/>
  <c r="D3726" i="1"/>
  <c r="Q3726" i="1"/>
  <c r="R3726" i="1"/>
  <c r="E3726" i="1"/>
  <c r="G3726" i="1"/>
  <c r="H3726" i="1"/>
  <c r="J3726" i="1"/>
  <c r="K3726" i="1"/>
  <c r="L3726" i="1"/>
  <c r="A3727" i="1"/>
  <c r="B3727" i="1"/>
  <c r="C3727" i="1"/>
  <c r="D3727" i="1"/>
  <c r="Q3727" i="1"/>
  <c r="R3727" i="1"/>
  <c r="E3727" i="1"/>
  <c r="G3727" i="1"/>
  <c r="H3727" i="1"/>
  <c r="J3727" i="1"/>
  <c r="K3727" i="1"/>
  <c r="L3727" i="1"/>
  <c r="A3728" i="1"/>
  <c r="B3728" i="1"/>
  <c r="C3728" i="1"/>
  <c r="D3728" i="1"/>
  <c r="Q3728" i="1"/>
  <c r="R3728" i="1"/>
  <c r="E3728" i="1"/>
  <c r="G3728" i="1"/>
  <c r="H3728" i="1"/>
  <c r="J3728" i="1"/>
  <c r="K3728" i="1"/>
  <c r="L3728" i="1"/>
  <c r="A3729" i="1"/>
  <c r="B3729" i="1"/>
  <c r="C3729" i="1"/>
  <c r="D3729" i="1"/>
  <c r="Q3729" i="1"/>
  <c r="R3729" i="1"/>
  <c r="E3729" i="1"/>
  <c r="G3729" i="1"/>
  <c r="H3729" i="1"/>
  <c r="J3729" i="1"/>
  <c r="K3729" i="1"/>
  <c r="L3729" i="1"/>
  <c r="A3730" i="1"/>
  <c r="B3730" i="1"/>
  <c r="C3730" i="1"/>
  <c r="D3730" i="1"/>
  <c r="Q3730" i="1"/>
  <c r="R3730" i="1"/>
  <c r="E3730" i="1"/>
  <c r="G3730" i="1"/>
  <c r="H3730" i="1"/>
  <c r="J3730" i="1"/>
  <c r="K3730" i="1"/>
  <c r="L3730" i="1"/>
  <c r="A3731" i="1"/>
  <c r="B3731" i="1"/>
  <c r="C3731" i="1"/>
  <c r="D3731" i="1"/>
  <c r="Q3731" i="1"/>
  <c r="R3731" i="1"/>
  <c r="E3731" i="1"/>
  <c r="G3731" i="1"/>
  <c r="H3731" i="1"/>
  <c r="J3731" i="1"/>
  <c r="K3731" i="1"/>
  <c r="L3731" i="1"/>
  <c r="A3732" i="1"/>
  <c r="B3732" i="1"/>
  <c r="C3732" i="1"/>
  <c r="D3732" i="1"/>
  <c r="Q3732" i="1"/>
  <c r="R3732" i="1"/>
  <c r="E3732" i="1"/>
  <c r="G3732" i="1"/>
  <c r="H3732" i="1"/>
  <c r="J3732" i="1"/>
  <c r="K3732" i="1"/>
  <c r="L3732" i="1"/>
  <c r="A3733" i="1"/>
  <c r="B3733" i="1"/>
  <c r="C3733" i="1"/>
  <c r="D3733" i="1"/>
  <c r="Q3733" i="1"/>
  <c r="R3733" i="1"/>
  <c r="E3733" i="1"/>
  <c r="G3733" i="1"/>
  <c r="H3733" i="1"/>
  <c r="J3733" i="1"/>
  <c r="K3733" i="1"/>
  <c r="L3733" i="1"/>
  <c r="A3734" i="1"/>
  <c r="B3734" i="1"/>
  <c r="C3734" i="1"/>
  <c r="D3734" i="1"/>
  <c r="Q3734" i="1"/>
  <c r="R3734" i="1"/>
  <c r="E3734" i="1"/>
  <c r="G3734" i="1"/>
  <c r="H3734" i="1"/>
  <c r="J3734" i="1"/>
  <c r="K3734" i="1"/>
  <c r="L3734" i="1"/>
  <c r="A3735" i="1"/>
  <c r="B3735" i="1"/>
  <c r="C3735" i="1"/>
  <c r="D3735" i="1"/>
  <c r="Q3735" i="1"/>
  <c r="R3735" i="1"/>
  <c r="E3735" i="1"/>
  <c r="G3735" i="1"/>
  <c r="H3735" i="1"/>
  <c r="J3735" i="1"/>
  <c r="K3735" i="1"/>
  <c r="L3735" i="1"/>
  <c r="A3736" i="1"/>
  <c r="B3736" i="1"/>
  <c r="C3736" i="1"/>
  <c r="D3736" i="1"/>
  <c r="Q3736" i="1"/>
  <c r="R3736" i="1"/>
  <c r="E3736" i="1"/>
  <c r="G3736" i="1"/>
  <c r="H3736" i="1"/>
  <c r="J3736" i="1"/>
  <c r="K3736" i="1"/>
  <c r="L3736" i="1"/>
  <c r="A3737" i="1"/>
  <c r="B3737" i="1"/>
  <c r="C3737" i="1"/>
  <c r="D3737" i="1"/>
  <c r="Q3737" i="1"/>
  <c r="R3737" i="1"/>
  <c r="E3737" i="1"/>
  <c r="G3737" i="1"/>
  <c r="H3737" i="1"/>
  <c r="J3737" i="1"/>
  <c r="K3737" i="1"/>
  <c r="L3737" i="1"/>
  <c r="A3738" i="1"/>
  <c r="B3738" i="1"/>
  <c r="C3738" i="1"/>
  <c r="D3738" i="1"/>
  <c r="Q3738" i="1"/>
  <c r="R3738" i="1"/>
  <c r="E3738" i="1"/>
  <c r="G3738" i="1"/>
  <c r="H3738" i="1"/>
  <c r="J3738" i="1"/>
  <c r="K3738" i="1"/>
  <c r="L3738" i="1"/>
  <c r="A3739" i="1"/>
  <c r="B3739" i="1"/>
  <c r="C3739" i="1"/>
  <c r="D3739" i="1"/>
  <c r="Q3739" i="1"/>
  <c r="R3739" i="1"/>
  <c r="E3739" i="1"/>
  <c r="G3739" i="1"/>
  <c r="H3739" i="1"/>
  <c r="J3739" i="1"/>
  <c r="K3739" i="1"/>
  <c r="L3739" i="1"/>
  <c r="A3740" i="1"/>
  <c r="B3740" i="1"/>
  <c r="C3740" i="1"/>
  <c r="D3740" i="1"/>
  <c r="Q3740" i="1"/>
  <c r="R3740" i="1"/>
  <c r="E3740" i="1"/>
  <c r="G3740" i="1"/>
  <c r="H3740" i="1"/>
  <c r="J3740" i="1"/>
  <c r="K3740" i="1"/>
  <c r="L3740" i="1"/>
  <c r="A3741" i="1"/>
  <c r="B3741" i="1"/>
  <c r="C3741" i="1"/>
  <c r="D3741" i="1"/>
  <c r="Q3741" i="1"/>
  <c r="R3741" i="1"/>
  <c r="E3741" i="1"/>
  <c r="G3741" i="1"/>
  <c r="H3741" i="1"/>
  <c r="J3741" i="1"/>
  <c r="K3741" i="1"/>
  <c r="L3741" i="1"/>
  <c r="A3742" i="1"/>
  <c r="B3742" i="1"/>
  <c r="C3742" i="1"/>
  <c r="D3742" i="1"/>
  <c r="Q3742" i="1"/>
  <c r="R3742" i="1"/>
  <c r="E3742" i="1"/>
  <c r="G3742" i="1"/>
  <c r="H3742" i="1"/>
  <c r="J3742" i="1"/>
  <c r="K3742" i="1"/>
  <c r="L3742" i="1"/>
  <c r="A3743" i="1"/>
  <c r="B3743" i="1"/>
  <c r="C3743" i="1"/>
  <c r="D3743" i="1"/>
  <c r="Q3743" i="1"/>
  <c r="R3743" i="1"/>
  <c r="E3743" i="1"/>
  <c r="G3743" i="1"/>
  <c r="H3743" i="1"/>
  <c r="J3743" i="1"/>
  <c r="K3743" i="1"/>
  <c r="L3743" i="1"/>
  <c r="A3744" i="1"/>
  <c r="B3744" i="1"/>
  <c r="C3744" i="1"/>
  <c r="D3744" i="1"/>
  <c r="Q3744" i="1"/>
  <c r="R3744" i="1"/>
  <c r="E3744" i="1"/>
  <c r="G3744" i="1"/>
  <c r="H3744" i="1"/>
  <c r="J3744" i="1"/>
  <c r="K3744" i="1"/>
  <c r="L3744" i="1"/>
  <c r="A3745" i="1"/>
  <c r="B3745" i="1"/>
  <c r="C3745" i="1"/>
  <c r="D3745" i="1"/>
  <c r="Q3745" i="1"/>
  <c r="R3745" i="1"/>
  <c r="E3745" i="1"/>
  <c r="G3745" i="1"/>
  <c r="H3745" i="1"/>
  <c r="J3745" i="1"/>
  <c r="K3745" i="1"/>
  <c r="L3745" i="1"/>
  <c r="A3746" i="1"/>
  <c r="B3746" i="1"/>
  <c r="C3746" i="1"/>
  <c r="D3746" i="1"/>
  <c r="Q3746" i="1"/>
  <c r="R3746" i="1"/>
  <c r="E3746" i="1"/>
  <c r="G3746" i="1"/>
  <c r="H3746" i="1"/>
  <c r="J3746" i="1"/>
  <c r="K3746" i="1"/>
  <c r="L3746" i="1"/>
  <c r="A3747" i="1"/>
  <c r="B3747" i="1"/>
  <c r="C3747" i="1"/>
  <c r="D3747" i="1"/>
  <c r="Q3747" i="1"/>
  <c r="R3747" i="1"/>
  <c r="E3747" i="1"/>
  <c r="G3747" i="1"/>
  <c r="H3747" i="1"/>
  <c r="J3747" i="1"/>
  <c r="K3747" i="1"/>
  <c r="L3747" i="1"/>
  <c r="A3748" i="1"/>
  <c r="B3748" i="1"/>
  <c r="C3748" i="1"/>
  <c r="D3748" i="1"/>
  <c r="Q3748" i="1"/>
  <c r="R3748" i="1"/>
  <c r="E3748" i="1"/>
  <c r="G3748" i="1"/>
  <c r="H3748" i="1"/>
  <c r="J3748" i="1"/>
  <c r="K3748" i="1"/>
  <c r="L3748" i="1"/>
  <c r="A3749" i="1"/>
  <c r="B3749" i="1"/>
  <c r="C3749" i="1"/>
  <c r="D3749" i="1"/>
  <c r="Q3749" i="1"/>
  <c r="R3749" i="1"/>
  <c r="E3749" i="1"/>
  <c r="G3749" i="1"/>
  <c r="H3749" i="1"/>
  <c r="J3749" i="1"/>
  <c r="K3749" i="1"/>
  <c r="L3749" i="1"/>
  <c r="A3750" i="1"/>
  <c r="B3750" i="1"/>
  <c r="C3750" i="1"/>
  <c r="D3750" i="1"/>
  <c r="Q3750" i="1"/>
  <c r="R3750" i="1"/>
  <c r="E3750" i="1"/>
  <c r="G3750" i="1"/>
  <c r="H3750" i="1"/>
  <c r="J3750" i="1"/>
  <c r="K3750" i="1"/>
  <c r="L3750" i="1"/>
  <c r="A3751" i="1"/>
  <c r="B3751" i="1"/>
  <c r="C3751" i="1"/>
  <c r="D3751" i="1"/>
  <c r="Q3751" i="1"/>
  <c r="R3751" i="1"/>
  <c r="E3751" i="1"/>
  <c r="G3751" i="1"/>
  <c r="H3751" i="1"/>
  <c r="J3751" i="1"/>
  <c r="K3751" i="1"/>
  <c r="L3751" i="1"/>
  <c r="A3752" i="1"/>
  <c r="B3752" i="1"/>
  <c r="C3752" i="1"/>
  <c r="D3752" i="1"/>
  <c r="Q3752" i="1"/>
  <c r="R3752" i="1"/>
  <c r="E3752" i="1"/>
  <c r="G3752" i="1"/>
  <c r="H3752" i="1"/>
  <c r="J3752" i="1"/>
  <c r="K3752" i="1"/>
  <c r="L3752" i="1"/>
  <c r="A3753" i="1"/>
  <c r="B3753" i="1"/>
  <c r="C3753" i="1"/>
  <c r="D3753" i="1"/>
  <c r="Q3753" i="1"/>
  <c r="R3753" i="1"/>
  <c r="E3753" i="1"/>
  <c r="G3753" i="1"/>
  <c r="H3753" i="1"/>
  <c r="J3753" i="1"/>
  <c r="K3753" i="1"/>
  <c r="L3753" i="1"/>
  <c r="A3754" i="1"/>
  <c r="B3754" i="1"/>
  <c r="C3754" i="1"/>
  <c r="D3754" i="1"/>
  <c r="Q3754" i="1"/>
  <c r="R3754" i="1"/>
  <c r="E3754" i="1"/>
  <c r="G3754" i="1"/>
  <c r="H3754" i="1"/>
  <c r="J3754" i="1"/>
  <c r="K3754" i="1"/>
  <c r="L3754" i="1"/>
  <c r="A3755" i="1"/>
  <c r="B3755" i="1"/>
  <c r="C3755" i="1"/>
  <c r="D3755" i="1"/>
  <c r="Q3755" i="1"/>
  <c r="R3755" i="1"/>
  <c r="E3755" i="1"/>
  <c r="G3755" i="1"/>
  <c r="H3755" i="1"/>
  <c r="J3755" i="1"/>
  <c r="K3755" i="1"/>
  <c r="L3755" i="1"/>
  <c r="A3756" i="1"/>
  <c r="B3756" i="1"/>
  <c r="C3756" i="1"/>
  <c r="D3756" i="1"/>
  <c r="Q3756" i="1"/>
  <c r="R3756" i="1"/>
  <c r="E3756" i="1"/>
  <c r="G3756" i="1"/>
  <c r="H3756" i="1"/>
  <c r="J3756" i="1"/>
  <c r="K3756" i="1"/>
  <c r="L3756" i="1"/>
  <c r="A3757" i="1"/>
  <c r="B3757" i="1"/>
  <c r="C3757" i="1"/>
  <c r="D3757" i="1"/>
  <c r="Q3757" i="1"/>
  <c r="R3757" i="1"/>
  <c r="E3757" i="1"/>
  <c r="G3757" i="1"/>
  <c r="H3757" i="1"/>
  <c r="J3757" i="1"/>
  <c r="K3757" i="1"/>
  <c r="L3757" i="1"/>
  <c r="A3758" i="1"/>
  <c r="B3758" i="1"/>
  <c r="C3758" i="1"/>
  <c r="D3758" i="1"/>
  <c r="Q3758" i="1"/>
  <c r="R3758" i="1"/>
  <c r="E3758" i="1"/>
  <c r="G3758" i="1"/>
  <c r="H3758" i="1"/>
  <c r="J3758" i="1"/>
  <c r="K3758" i="1"/>
  <c r="L3758" i="1"/>
  <c r="A3759" i="1"/>
  <c r="B3759" i="1"/>
  <c r="C3759" i="1"/>
  <c r="D3759" i="1"/>
  <c r="Q3759" i="1"/>
  <c r="R3759" i="1"/>
  <c r="E3759" i="1"/>
  <c r="G3759" i="1"/>
  <c r="H3759" i="1"/>
  <c r="J3759" i="1"/>
  <c r="K3759" i="1"/>
  <c r="L3759" i="1"/>
  <c r="A3760" i="1"/>
  <c r="B3760" i="1"/>
  <c r="C3760" i="1"/>
  <c r="D3760" i="1"/>
  <c r="Q3760" i="1"/>
  <c r="R3760" i="1"/>
  <c r="E3760" i="1"/>
  <c r="G3760" i="1"/>
  <c r="H3760" i="1"/>
  <c r="J3760" i="1"/>
  <c r="K3760" i="1"/>
  <c r="L3760" i="1"/>
  <c r="A3761" i="1"/>
  <c r="B3761" i="1"/>
  <c r="C3761" i="1"/>
  <c r="D3761" i="1"/>
  <c r="Q3761" i="1"/>
  <c r="R3761" i="1"/>
  <c r="E3761" i="1"/>
  <c r="G3761" i="1"/>
  <c r="H3761" i="1"/>
  <c r="J3761" i="1"/>
  <c r="K3761" i="1"/>
  <c r="L3761" i="1"/>
  <c r="A3762" i="1"/>
  <c r="B3762" i="1"/>
  <c r="C3762" i="1"/>
  <c r="D3762" i="1"/>
  <c r="Q3762" i="1"/>
  <c r="R3762" i="1"/>
  <c r="E3762" i="1"/>
  <c r="G3762" i="1"/>
  <c r="H3762" i="1"/>
  <c r="J3762" i="1"/>
  <c r="K3762" i="1"/>
  <c r="L3762" i="1"/>
  <c r="A3763" i="1"/>
  <c r="B3763" i="1"/>
  <c r="C3763" i="1"/>
  <c r="D3763" i="1"/>
  <c r="Q3763" i="1"/>
  <c r="R3763" i="1"/>
  <c r="E3763" i="1"/>
  <c r="G3763" i="1"/>
  <c r="H3763" i="1"/>
  <c r="J3763" i="1"/>
  <c r="K3763" i="1"/>
  <c r="L3763" i="1"/>
  <c r="A3764" i="1"/>
  <c r="B3764" i="1"/>
  <c r="C3764" i="1"/>
  <c r="D3764" i="1"/>
  <c r="Q3764" i="1"/>
  <c r="R3764" i="1"/>
  <c r="E3764" i="1"/>
  <c r="G3764" i="1"/>
  <c r="H3764" i="1"/>
  <c r="J3764" i="1"/>
  <c r="K3764" i="1"/>
  <c r="L3764" i="1"/>
  <c r="A3765" i="1"/>
  <c r="B3765" i="1"/>
  <c r="C3765" i="1"/>
  <c r="D3765" i="1"/>
  <c r="Q3765" i="1"/>
  <c r="R3765" i="1"/>
  <c r="E3765" i="1"/>
  <c r="G3765" i="1"/>
  <c r="H3765" i="1"/>
  <c r="J3765" i="1"/>
  <c r="K3765" i="1"/>
  <c r="L3765" i="1"/>
  <c r="A3766" i="1"/>
  <c r="B3766" i="1"/>
  <c r="C3766" i="1"/>
  <c r="D3766" i="1"/>
  <c r="Q3766" i="1"/>
  <c r="R3766" i="1"/>
  <c r="E3766" i="1"/>
  <c r="G3766" i="1"/>
  <c r="H3766" i="1"/>
  <c r="J3766" i="1"/>
  <c r="K3766" i="1"/>
  <c r="L3766" i="1"/>
  <c r="A3767" i="1"/>
  <c r="B3767" i="1"/>
  <c r="C3767" i="1"/>
  <c r="D3767" i="1"/>
  <c r="Q3767" i="1"/>
  <c r="R3767" i="1"/>
  <c r="E3767" i="1"/>
  <c r="G3767" i="1"/>
  <c r="H3767" i="1"/>
  <c r="J3767" i="1"/>
  <c r="K3767" i="1"/>
  <c r="L3767" i="1"/>
  <c r="A3768" i="1"/>
  <c r="B3768" i="1"/>
  <c r="C3768" i="1"/>
  <c r="D3768" i="1"/>
  <c r="Q3768" i="1"/>
  <c r="R3768" i="1"/>
  <c r="E3768" i="1"/>
  <c r="G3768" i="1"/>
  <c r="H3768" i="1"/>
  <c r="J3768" i="1"/>
  <c r="K3768" i="1"/>
  <c r="L3768" i="1"/>
  <c r="A3769" i="1"/>
  <c r="B3769" i="1"/>
  <c r="C3769" i="1"/>
  <c r="D3769" i="1"/>
  <c r="Q3769" i="1"/>
  <c r="R3769" i="1"/>
  <c r="E3769" i="1"/>
  <c r="G3769" i="1"/>
  <c r="H3769" i="1"/>
  <c r="J3769" i="1"/>
  <c r="K3769" i="1"/>
  <c r="L3769" i="1"/>
  <c r="A3770" i="1"/>
  <c r="B3770" i="1"/>
  <c r="C3770" i="1"/>
  <c r="D3770" i="1"/>
  <c r="Q3770" i="1"/>
  <c r="R3770" i="1"/>
  <c r="E3770" i="1"/>
  <c r="G3770" i="1"/>
  <c r="H3770" i="1"/>
  <c r="J3770" i="1"/>
  <c r="K3770" i="1"/>
  <c r="L3770" i="1"/>
  <c r="A3771" i="1"/>
  <c r="B3771" i="1"/>
  <c r="C3771" i="1"/>
  <c r="D3771" i="1"/>
  <c r="Q3771" i="1"/>
  <c r="R3771" i="1"/>
  <c r="E3771" i="1"/>
  <c r="G3771" i="1"/>
  <c r="H3771" i="1"/>
  <c r="J3771" i="1"/>
  <c r="K3771" i="1"/>
  <c r="L3771" i="1"/>
  <c r="A3772" i="1"/>
  <c r="B3772" i="1"/>
  <c r="C3772" i="1"/>
  <c r="D3772" i="1"/>
  <c r="Q3772" i="1"/>
  <c r="R3772" i="1"/>
  <c r="E3772" i="1"/>
  <c r="G3772" i="1"/>
  <c r="H3772" i="1"/>
  <c r="J3772" i="1"/>
  <c r="K3772" i="1"/>
  <c r="L3772" i="1"/>
  <c r="A3773" i="1"/>
  <c r="B3773" i="1"/>
  <c r="C3773" i="1"/>
  <c r="D3773" i="1"/>
  <c r="Q3773" i="1"/>
  <c r="R3773" i="1"/>
  <c r="E3773" i="1"/>
  <c r="G3773" i="1"/>
  <c r="H3773" i="1"/>
  <c r="J3773" i="1"/>
  <c r="K3773" i="1"/>
  <c r="L3773" i="1"/>
  <c r="A3774" i="1"/>
  <c r="B3774" i="1"/>
  <c r="C3774" i="1"/>
  <c r="D3774" i="1"/>
  <c r="Q3774" i="1"/>
  <c r="R3774" i="1"/>
  <c r="E3774" i="1"/>
  <c r="G3774" i="1"/>
  <c r="H3774" i="1"/>
  <c r="J3774" i="1"/>
  <c r="K3774" i="1"/>
  <c r="L3774" i="1"/>
  <c r="A3775" i="1"/>
  <c r="B3775" i="1"/>
  <c r="C3775" i="1"/>
  <c r="D3775" i="1"/>
  <c r="Q3775" i="1"/>
  <c r="R3775" i="1"/>
  <c r="E3775" i="1"/>
  <c r="G3775" i="1"/>
  <c r="H3775" i="1"/>
  <c r="J3775" i="1"/>
  <c r="K3775" i="1"/>
  <c r="L3775" i="1"/>
  <c r="A3776" i="1"/>
  <c r="B3776" i="1"/>
  <c r="C3776" i="1"/>
  <c r="D3776" i="1"/>
  <c r="Q3776" i="1"/>
  <c r="R3776" i="1"/>
  <c r="E3776" i="1"/>
  <c r="G3776" i="1"/>
  <c r="H3776" i="1"/>
  <c r="J3776" i="1"/>
  <c r="K3776" i="1"/>
  <c r="L3776" i="1"/>
  <c r="A3777" i="1"/>
  <c r="B3777" i="1"/>
  <c r="C3777" i="1"/>
  <c r="D3777" i="1"/>
  <c r="Q3777" i="1"/>
  <c r="R3777" i="1"/>
  <c r="E3777" i="1"/>
  <c r="G3777" i="1"/>
  <c r="H3777" i="1"/>
  <c r="J3777" i="1"/>
  <c r="K3777" i="1"/>
  <c r="L3777" i="1"/>
  <c r="A3778" i="1"/>
  <c r="B3778" i="1"/>
  <c r="C3778" i="1"/>
  <c r="D3778" i="1"/>
  <c r="Q3778" i="1"/>
  <c r="R3778" i="1"/>
  <c r="E3778" i="1"/>
  <c r="G3778" i="1"/>
  <c r="H3778" i="1"/>
  <c r="J3778" i="1"/>
  <c r="K3778" i="1"/>
  <c r="L3778" i="1"/>
  <c r="A3779" i="1"/>
  <c r="B3779" i="1"/>
  <c r="C3779" i="1"/>
  <c r="D3779" i="1"/>
  <c r="Q3779" i="1"/>
  <c r="R3779" i="1"/>
  <c r="E3779" i="1"/>
  <c r="G3779" i="1"/>
  <c r="H3779" i="1"/>
  <c r="J3779" i="1"/>
  <c r="K3779" i="1"/>
  <c r="L3779" i="1"/>
  <c r="A3780" i="1"/>
  <c r="B3780" i="1"/>
  <c r="C3780" i="1"/>
  <c r="D3780" i="1"/>
  <c r="Q3780" i="1"/>
  <c r="R3780" i="1"/>
  <c r="E3780" i="1"/>
  <c r="G3780" i="1"/>
  <c r="H3780" i="1"/>
  <c r="J3780" i="1"/>
  <c r="K3780" i="1"/>
  <c r="L3780" i="1"/>
  <c r="A3781" i="1"/>
  <c r="B3781" i="1"/>
  <c r="C3781" i="1"/>
  <c r="D3781" i="1"/>
  <c r="Q3781" i="1"/>
  <c r="R3781" i="1"/>
  <c r="E3781" i="1"/>
  <c r="G3781" i="1"/>
  <c r="H3781" i="1"/>
  <c r="J3781" i="1"/>
  <c r="K3781" i="1"/>
  <c r="L3781" i="1"/>
  <c r="A3782" i="1"/>
  <c r="B3782" i="1"/>
  <c r="C3782" i="1"/>
  <c r="D3782" i="1"/>
  <c r="Q3782" i="1"/>
  <c r="R3782" i="1"/>
  <c r="E3782" i="1"/>
  <c r="G3782" i="1"/>
  <c r="H3782" i="1"/>
  <c r="J3782" i="1"/>
  <c r="K3782" i="1"/>
  <c r="L3782" i="1"/>
  <c r="A3783" i="1"/>
  <c r="B3783" i="1"/>
  <c r="C3783" i="1"/>
  <c r="D3783" i="1"/>
  <c r="Q3783" i="1"/>
  <c r="R3783" i="1"/>
  <c r="E3783" i="1"/>
  <c r="G3783" i="1"/>
  <c r="H3783" i="1"/>
  <c r="J3783" i="1"/>
  <c r="K3783" i="1"/>
  <c r="L3783" i="1"/>
  <c r="A3784" i="1"/>
  <c r="B3784" i="1"/>
  <c r="C3784" i="1"/>
  <c r="D3784" i="1"/>
  <c r="Q3784" i="1"/>
  <c r="R3784" i="1"/>
  <c r="E3784" i="1"/>
  <c r="G3784" i="1"/>
  <c r="H3784" i="1"/>
  <c r="J3784" i="1"/>
  <c r="K3784" i="1"/>
  <c r="L3784" i="1"/>
  <c r="A3785" i="1"/>
  <c r="B3785" i="1"/>
  <c r="C3785" i="1"/>
  <c r="D3785" i="1"/>
  <c r="Q3785" i="1"/>
  <c r="R3785" i="1"/>
  <c r="E3785" i="1"/>
  <c r="G3785" i="1"/>
  <c r="H3785" i="1"/>
  <c r="J3785" i="1"/>
  <c r="K3785" i="1"/>
  <c r="L3785" i="1"/>
  <c r="A3786" i="1"/>
  <c r="B3786" i="1"/>
  <c r="C3786" i="1"/>
  <c r="D3786" i="1"/>
  <c r="Q3786" i="1"/>
  <c r="R3786" i="1"/>
  <c r="E3786" i="1"/>
  <c r="G3786" i="1"/>
  <c r="H3786" i="1"/>
  <c r="J3786" i="1"/>
  <c r="K3786" i="1"/>
  <c r="L3786" i="1"/>
  <c r="A3787" i="1"/>
  <c r="B3787" i="1"/>
  <c r="C3787" i="1"/>
  <c r="D3787" i="1"/>
  <c r="Q3787" i="1"/>
  <c r="R3787" i="1"/>
  <c r="E3787" i="1"/>
  <c r="G3787" i="1"/>
  <c r="H3787" i="1"/>
  <c r="J3787" i="1"/>
  <c r="K3787" i="1"/>
  <c r="L3787" i="1"/>
  <c r="A3788" i="1"/>
  <c r="B3788" i="1"/>
  <c r="C3788" i="1"/>
  <c r="D3788" i="1"/>
  <c r="Q3788" i="1"/>
  <c r="R3788" i="1"/>
  <c r="E3788" i="1"/>
  <c r="G3788" i="1"/>
  <c r="H3788" i="1"/>
  <c r="J3788" i="1"/>
  <c r="K3788" i="1"/>
  <c r="L3788" i="1"/>
  <c r="A3789" i="1"/>
  <c r="B3789" i="1"/>
  <c r="C3789" i="1"/>
  <c r="D3789" i="1"/>
  <c r="Q3789" i="1"/>
  <c r="R3789" i="1"/>
  <c r="E3789" i="1"/>
  <c r="G3789" i="1"/>
  <c r="H3789" i="1"/>
  <c r="J3789" i="1"/>
  <c r="K3789" i="1"/>
  <c r="L3789" i="1"/>
  <c r="A3790" i="1"/>
  <c r="B3790" i="1"/>
  <c r="C3790" i="1"/>
  <c r="D3790" i="1"/>
  <c r="Q3790" i="1"/>
  <c r="R3790" i="1"/>
  <c r="E3790" i="1"/>
  <c r="G3790" i="1"/>
  <c r="H3790" i="1"/>
  <c r="J3790" i="1"/>
  <c r="K3790" i="1"/>
  <c r="L3790" i="1"/>
  <c r="A3791" i="1"/>
  <c r="B3791" i="1"/>
  <c r="C3791" i="1"/>
  <c r="D3791" i="1"/>
  <c r="Q3791" i="1"/>
  <c r="R3791" i="1"/>
  <c r="E3791" i="1"/>
  <c r="G3791" i="1"/>
  <c r="H3791" i="1"/>
  <c r="J3791" i="1"/>
  <c r="K3791" i="1"/>
  <c r="L3791" i="1"/>
  <c r="A3792" i="1"/>
  <c r="B3792" i="1"/>
  <c r="C3792" i="1"/>
  <c r="D3792" i="1"/>
  <c r="Q3792" i="1"/>
  <c r="R3792" i="1"/>
  <c r="E3792" i="1"/>
  <c r="G3792" i="1"/>
  <c r="H3792" i="1"/>
  <c r="J3792" i="1"/>
  <c r="K3792" i="1"/>
  <c r="L3792" i="1"/>
  <c r="A3793" i="1"/>
  <c r="B3793" i="1"/>
  <c r="C3793" i="1"/>
  <c r="D3793" i="1"/>
  <c r="Q3793" i="1"/>
  <c r="R3793" i="1"/>
  <c r="E3793" i="1"/>
  <c r="G3793" i="1"/>
  <c r="H3793" i="1"/>
  <c r="J3793" i="1"/>
  <c r="K3793" i="1"/>
  <c r="L3793" i="1"/>
  <c r="A3794" i="1"/>
  <c r="B3794" i="1"/>
  <c r="C3794" i="1"/>
  <c r="D3794" i="1"/>
  <c r="Q3794" i="1"/>
  <c r="R3794" i="1"/>
  <c r="E3794" i="1"/>
  <c r="G3794" i="1"/>
  <c r="H3794" i="1"/>
  <c r="J3794" i="1"/>
  <c r="K3794" i="1"/>
  <c r="L3794" i="1"/>
  <c r="A3795" i="1"/>
  <c r="B3795" i="1"/>
  <c r="C3795" i="1"/>
  <c r="D3795" i="1"/>
  <c r="Q3795" i="1"/>
  <c r="R3795" i="1"/>
  <c r="E3795" i="1"/>
  <c r="G3795" i="1"/>
  <c r="H3795" i="1"/>
  <c r="J3795" i="1"/>
  <c r="K3795" i="1"/>
  <c r="L3795" i="1"/>
  <c r="A3796" i="1"/>
  <c r="B3796" i="1"/>
  <c r="C3796" i="1"/>
  <c r="D3796" i="1"/>
  <c r="Q3796" i="1"/>
  <c r="R3796" i="1"/>
  <c r="E3796" i="1"/>
  <c r="G3796" i="1"/>
  <c r="H3796" i="1"/>
  <c r="J3796" i="1"/>
  <c r="K3796" i="1"/>
  <c r="L3796" i="1"/>
  <c r="A3797" i="1"/>
  <c r="B3797" i="1"/>
  <c r="C3797" i="1"/>
  <c r="D3797" i="1"/>
  <c r="Q3797" i="1"/>
  <c r="R3797" i="1"/>
  <c r="E3797" i="1"/>
  <c r="G3797" i="1"/>
  <c r="H3797" i="1"/>
  <c r="J3797" i="1"/>
  <c r="K3797" i="1"/>
  <c r="L3797" i="1"/>
  <c r="A3798" i="1"/>
  <c r="B3798" i="1"/>
  <c r="C3798" i="1"/>
  <c r="D3798" i="1"/>
  <c r="Q3798" i="1"/>
  <c r="R3798" i="1"/>
  <c r="E3798" i="1"/>
  <c r="G3798" i="1"/>
  <c r="H3798" i="1"/>
  <c r="J3798" i="1"/>
  <c r="K3798" i="1"/>
  <c r="L3798" i="1"/>
  <c r="A3799" i="1"/>
  <c r="B3799" i="1"/>
  <c r="C3799" i="1"/>
  <c r="D3799" i="1"/>
  <c r="Q3799" i="1"/>
  <c r="R3799" i="1"/>
  <c r="E3799" i="1"/>
  <c r="G3799" i="1"/>
  <c r="H3799" i="1"/>
  <c r="J3799" i="1"/>
  <c r="K3799" i="1"/>
  <c r="L3799" i="1"/>
  <c r="A3800" i="1"/>
  <c r="B3800" i="1"/>
  <c r="C3800" i="1"/>
  <c r="D3800" i="1"/>
  <c r="Q3800" i="1"/>
  <c r="R3800" i="1"/>
  <c r="E3800" i="1"/>
  <c r="G3800" i="1"/>
  <c r="H3800" i="1"/>
  <c r="J3800" i="1"/>
  <c r="K3800" i="1"/>
  <c r="L3800" i="1"/>
  <c r="A3801" i="1"/>
  <c r="B3801" i="1"/>
  <c r="C3801" i="1"/>
  <c r="D3801" i="1"/>
  <c r="Q3801" i="1"/>
  <c r="R3801" i="1"/>
  <c r="E3801" i="1"/>
  <c r="G3801" i="1"/>
  <c r="H3801" i="1"/>
  <c r="J3801" i="1"/>
  <c r="K3801" i="1"/>
  <c r="L3801" i="1"/>
  <c r="A3802" i="1"/>
  <c r="B3802" i="1"/>
  <c r="C3802" i="1"/>
  <c r="D3802" i="1"/>
  <c r="Q3802" i="1"/>
  <c r="R3802" i="1"/>
  <c r="E3802" i="1"/>
  <c r="G3802" i="1"/>
  <c r="H3802" i="1"/>
  <c r="J3802" i="1"/>
  <c r="K3802" i="1"/>
  <c r="L3802" i="1"/>
  <c r="A3803" i="1"/>
  <c r="B3803" i="1"/>
  <c r="C3803" i="1"/>
  <c r="D3803" i="1"/>
  <c r="Q3803" i="1"/>
  <c r="R3803" i="1"/>
  <c r="E3803" i="1"/>
  <c r="G3803" i="1"/>
  <c r="H3803" i="1"/>
  <c r="J3803" i="1"/>
  <c r="K3803" i="1"/>
  <c r="L3803" i="1"/>
  <c r="A3804" i="1"/>
  <c r="B3804" i="1"/>
  <c r="C3804" i="1"/>
  <c r="D3804" i="1"/>
  <c r="Q3804" i="1"/>
  <c r="R3804" i="1"/>
  <c r="E3804" i="1"/>
  <c r="G3804" i="1"/>
  <c r="H3804" i="1"/>
  <c r="J3804" i="1"/>
  <c r="K3804" i="1"/>
  <c r="L3804" i="1"/>
  <c r="A3805" i="1"/>
  <c r="B3805" i="1"/>
  <c r="C3805" i="1"/>
  <c r="D3805" i="1"/>
  <c r="Q3805" i="1"/>
  <c r="R3805" i="1"/>
  <c r="E3805" i="1"/>
  <c r="G3805" i="1"/>
  <c r="H3805" i="1"/>
  <c r="J3805" i="1"/>
  <c r="K3805" i="1"/>
  <c r="L3805" i="1"/>
  <c r="A3806" i="1"/>
  <c r="B3806" i="1"/>
  <c r="C3806" i="1"/>
  <c r="D3806" i="1"/>
  <c r="Q3806" i="1"/>
  <c r="R3806" i="1"/>
  <c r="E3806" i="1"/>
  <c r="G3806" i="1"/>
  <c r="H3806" i="1"/>
  <c r="J3806" i="1"/>
  <c r="K3806" i="1"/>
  <c r="L3806" i="1"/>
  <c r="A3807" i="1"/>
  <c r="B3807" i="1"/>
  <c r="C3807" i="1"/>
  <c r="D3807" i="1"/>
  <c r="Q3807" i="1"/>
  <c r="R3807" i="1"/>
  <c r="E3807" i="1"/>
  <c r="G3807" i="1"/>
  <c r="H3807" i="1"/>
  <c r="J3807" i="1"/>
  <c r="K3807" i="1"/>
  <c r="L3807" i="1"/>
  <c r="A3808" i="1"/>
  <c r="B3808" i="1"/>
  <c r="C3808" i="1"/>
  <c r="D3808" i="1"/>
  <c r="Q3808" i="1"/>
  <c r="R3808" i="1"/>
  <c r="E3808" i="1"/>
  <c r="G3808" i="1"/>
  <c r="H3808" i="1"/>
  <c r="J3808" i="1"/>
  <c r="K3808" i="1"/>
  <c r="L3808" i="1"/>
  <c r="A3809" i="1"/>
  <c r="B3809" i="1"/>
  <c r="C3809" i="1"/>
  <c r="D3809" i="1"/>
  <c r="Q3809" i="1"/>
  <c r="R3809" i="1"/>
  <c r="E3809" i="1"/>
  <c r="G3809" i="1"/>
  <c r="H3809" i="1"/>
  <c r="J3809" i="1"/>
  <c r="K3809" i="1"/>
  <c r="L3809" i="1"/>
  <c r="A3810" i="1"/>
  <c r="B3810" i="1"/>
  <c r="C3810" i="1"/>
  <c r="D3810" i="1"/>
  <c r="Q3810" i="1"/>
  <c r="R3810" i="1"/>
  <c r="E3810" i="1"/>
  <c r="G3810" i="1"/>
  <c r="H3810" i="1"/>
  <c r="J3810" i="1"/>
  <c r="K3810" i="1"/>
  <c r="L3810" i="1"/>
  <c r="A3811" i="1"/>
  <c r="B3811" i="1"/>
  <c r="C3811" i="1"/>
  <c r="D3811" i="1"/>
  <c r="Q3811" i="1"/>
  <c r="R3811" i="1"/>
  <c r="E3811" i="1"/>
  <c r="G3811" i="1"/>
  <c r="H3811" i="1"/>
  <c r="J3811" i="1"/>
  <c r="K3811" i="1"/>
  <c r="L3811" i="1"/>
  <c r="A3812" i="1"/>
  <c r="B3812" i="1"/>
  <c r="C3812" i="1"/>
  <c r="D3812" i="1"/>
  <c r="Q3812" i="1"/>
  <c r="R3812" i="1"/>
  <c r="E3812" i="1"/>
  <c r="G3812" i="1"/>
  <c r="H3812" i="1"/>
  <c r="J3812" i="1"/>
  <c r="K3812" i="1"/>
  <c r="L3812" i="1"/>
  <c r="A3813" i="1"/>
  <c r="B3813" i="1"/>
  <c r="C3813" i="1"/>
  <c r="D3813" i="1"/>
  <c r="Q3813" i="1"/>
  <c r="R3813" i="1"/>
  <c r="E3813" i="1"/>
  <c r="G3813" i="1"/>
  <c r="H3813" i="1"/>
  <c r="J3813" i="1"/>
  <c r="K3813" i="1"/>
  <c r="L3813" i="1"/>
  <c r="A3814" i="1"/>
  <c r="B3814" i="1"/>
  <c r="C3814" i="1"/>
  <c r="D3814" i="1"/>
  <c r="Q3814" i="1"/>
  <c r="R3814" i="1"/>
  <c r="E3814" i="1"/>
  <c r="G3814" i="1"/>
  <c r="H3814" i="1"/>
  <c r="J3814" i="1"/>
  <c r="K3814" i="1"/>
  <c r="L3814" i="1"/>
  <c r="A3815" i="1"/>
  <c r="B3815" i="1"/>
  <c r="C3815" i="1"/>
  <c r="D3815" i="1"/>
  <c r="Q3815" i="1"/>
  <c r="R3815" i="1"/>
  <c r="E3815" i="1"/>
  <c r="G3815" i="1"/>
  <c r="H3815" i="1"/>
  <c r="J3815" i="1"/>
  <c r="K3815" i="1"/>
  <c r="L3815" i="1"/>
  <c r="A3816" i="1"/>
  <c r="B3816" i="1"/>
  <c r="C3816" i="1"/>
  <c r="D3816" i="1"/>
  <c r="Q3816" i="1"/>
  <c r="R3816" i="1"/>
  <c r="E3816" i="1"/>
  <c r="G3816" i="1"/>
  <c r="H3816" i="1"/>
  <c r="J3816" i="1"/>
  <c r="K3816" i="1"/>
  <c r="L3816" i="1"/>
  <c r="A3817" i="1"/>
  <c r="B3817" i="1"/>
  <c r="C3817" i="1"/>
  <c r="D3817" i="1"/>
  <c r="Q3817" i="1"/>
  <c r="R3817" i="1"/>
  <c r="E3817" i="1"/>
  <c r="G3817" i="1"/>
  <c r="H3817" i="1"/>
  <c r="J3817" i="1"/>
  <c r="K3817" i="1"/>
  <c r="L3817" i="1"/>
  <c r="A3818" i="1"/>
  <c r="B3818" i="1"/>
  <c r="C3818" i="1"/>
  <c r="D3818" i="1"/>
  <c r="Q3818" i="1"/>
  <c r="R3818" i="1"/>
  <c r="E3818" i="1"/>
  <c r="G3818" i="1"/>
  <c r="H3818" i="1"/>
  <c r="J3818" i="1"/>
  <c r="K3818" i="1"/>
  <c r="L3818" i="1"/>
  <c r="A3819" i="1"/>
  <c r="B3819" i="1"/>
  <c r="C3819" i="1"/>
  <c r="D3819" i="1"/>
  <c r="Q3819" i="1"/>
  <c r="R3819" i="1"/>
  <c r="E3819" i="1"/>
  <c r="G3819" i="1"/>
  <c r="H3819" i="1"/>
  <c r="J3819" i="1"/>
  <c r="K3819" i="1"/>
  <c r="L3819" i="1"/>
  <c r="A3820" i="1"/>
  <c r="B3820" i="1"/>
  <c r="C3820" i="1"/>
  <c r="D3820" i="1"/>
  <c r="Q3820" i="1"/>
  <c r="R3820" i="1"/>
  <c r="E3820" i="1"/>
  <c r="G3820" i="1"/>
  <c r="H3820" i="1"/>
  <c r="J3820" i="1"/>
  <c r="K3820" i="1"/>
  <c r="L3820" i="1"/>
  <c r="A3821" i="1"/>
  <c r="B3821" i="1"/>
  <c r="C3821" i="1"/>
  <c r="D3821" i="1"/>
  <c r="Q3821" i="1"/>
  <c r="R3821" i="1"/>
  <c r="E3821" i="1"/>
  <c r="G3821" i="1"/>
  <c r="H3821" i="1"/>
  <c r="J3821" i="1"/>
  <c r="K3821" i="1"/>
  <c r="L3821" i="1"/>
  <c r="A3822" i="1"/>
  <c r="B3822" i="1"/>
  <c r="C3822" i="1"/>
  <c r="D3822" i="1"/>
  <c r="Q3822" i="1"/>
  <c r="R3822" i="1"/>
  <c r="E3822" i="1"/>
  <c r="G3822" i="1"/>
  <c r="H3822" i="1"/>
  <c r="J3822" i="1"/>
  <c r="K3822" i="1"/>
  <c r="L3822" i="1"/>
  <c r="A3823" i="1"/>
  <c r="B3823" i="1"/>
  <c r="C3823" i="1"/>
  <c r="D3823" i="1"/>
  <c r="Q3823" i="1"/>
  <c r="R3823" i="1"/>
  <c r="E3823" i="1"/>
  <c r="G3823" i="1"/>
  <c r="H3823" i="1"/>
  <c r="J3823" i="1"/>
  <c r="K3823" i="1"/>
  <c r="L3823" i="1"/>
  <c r="A3824" i="1"/>
  <c r="B3824" i="1"/>
  <c r="C3824" i="1"/>
  <c r="D3824" i="1"/>
  <c r="Q3824" i="1"/>
  <c r="R3824" i="1"/>
  <c r="E3824" i="1"/>
  <c r="G3824" i="1"/>
  <c r="H3824" i="1"/>
  <c r="J3824" i="1"/>
  <c r="K3824" i="1"/>
  <c r="L3824" i="1"/>
  <c r="A3825" i="1"/>
  <c r="B3825" i="1"/>
  <c r="C3825" i="1"/>
  <c r="D3825" i="1"/>
  <c r="Q3825" i="1"/>
  <c r="R3825" i="1"/>
  <c r="E3825" i="1"/>
  <c r="G3825" i="1"/>
  <c r="H3825" i="1"/>
  <c r="J3825" i="1"/>
  <c r="K3825" i="1"/>
  <c r="L3825" i="1"/>
  <c r="A3826" i="1"/>
  <c r="B3826" i="1"/>
  <c r="C3826" i="1"/>
  <c r="D3826" i="1"/>
  <c r="Q3826" i="1"/>
  <c r="R3826" i="1"/>
  <c r="E3826" i="1"/>
  <c r="G3826" i="1"/>
  <c r="H3826" i="1"/>
  <c r="J3826" i="1"/>
  <c r="K3826" i="1"/>
  <c r="L3826" i="1"/>
  <c r="A3827" i="1"/>
  <c r="B3827" i="1"/>
  <c r="C3827" i="1"/>
  <c r="D3827" i="1"/>
  <c r="Q3827" i="1"/>
  <c r="R3827" i="1"/>
  <c r="E3827" i="1"/>
  <c r="G3827" i="1"/>
  <c r="H3827" i="1"/>
  <c r="J3827" i="1"/>
  <c r="K3827" i="1"/>
  <c r="L3827" i="1"/>
  <c r="A3828" i="1"/>
  <c r="B3828" i="1"/>
  <c r="C3828" i="1"/>
  <c r="D3828" i="1"/>
  <c r="Q3828" i="1"/>
  <c r="R3828" i="1"/>
  <c r="E3828" i="1"/>
  <c r="G3828" i="1"/>
  <c r="H3828" i="1"/>
  <c r="J3828" i="1"/>
  <c r="K3828" i="1"/>
  <c r="L3828" i="1"/>
  <c r="A3829" i="1"/>
  <c r="B3829" i="1"/>
  <c r="C3829" i="1"/>
  <c r="D3829" i="1"/>
  <c r="Q3829" i="1"/>
  <c r="R3829" i="1"/>
  <c r="E3829" i="1"/>
  <c r="G3829" i="1"/>
  <c r="H3829" i="1"/>
  <c r="J3829" i="1"/>
  <c r="K3829" i="1"/>
  <c r="L3829" i="1"/>
  <c r="A3830" i="1"/>
  <c r="B3830" i="1"/>
  <c r="C3830" i="1"/>
  <c r="D3830" i="1"/>
  <c r="Q3830" i="1"/>
  <c r="R3830" i="1"/>
  <c r="E3830" i="1"/>
  <c r="G3830" i="1"/>
  <c r="H3830" i="1"/>
  <c r="J3830" i="1"/>
  <c r="K3830" i="1"/>
  <c r="L3830" i="1"/>
  <c r="A3831" i="1"/>
  <c r="B3831" i="1"/>
  <c r="C3831" i="1"/>
  <c r="D3831" i="1"/>
  <c r="Q3831" i="1"/>
  <c r="R3831" i="1"/>
  <c r="E3831" i="1"/>
  <c r="G3831" i="1"/>
  <c r="H3831" i="1"/>
  <c r="J3831" i="1"/>
  <c r="K3831" i="1"/>
  <c r="L3831" i="1"/>
  <c r="A3832" i="1"/>
  <c r="B3832" i="1"/>
  <c r="C3832" i="1"/>
  <c r="D3832" i="1"/>
  <c r="Q3832" i="1"/>
  <c r="R3832" i="1"/>
  <c r="E3832" i="1"/>
  <c r="G3832" i="1"/>
  <c r="H3832" i="1"/>
  <c r="J3832" i="1"/>
  <c r="K3832" i="1"/>
  <c r="L3832" i="1"/>
  <c r="A3833" i="1"/>
  <c r="B3833" i="1"/>
  <c r="C3833" i="1"/>
  <c r="D3833" i="1"/>
  <c r="Q3833" i="1"/>
  <c r="R3833" i="1"/>
  <c r="E3833" i="1"/>
  <c r="G3833" i="1"/>
  <c r="H3833" i="1"/>
  <c r="J3833" i="1"/>
  <c r="K3833" i="1"/>
  <c r="L3833" i="1"/>
  <c r="A3834" i="1"/>
  <c r="B3834" i="1"/>
  <c r="C3834" i="1"/>
  <c r="D3834" i="1"/>
  <c r="Q3834" i="1"/>
  <c r="R3834" i="1"/>
  <c r="E3834" i="1"/>
  <c r="G3834" i="1"/>
  <c r="H3834" i="1"/>
  <c r="J3834" i="1"/>
  <c r="K3834" i="1"/>
  <c r="L3834" i="1"/>
  <c r="A3835" i="1"/>
  <c r="B3835" i="1"/>
  <c r="C3835" i="1"/>
  <c r="D3835" i="1"/>
  <c r="Q3835" i="1"/>
  <c r="R3835" i="1"/>
  <c r="E3835" i="1"/>
  <c r="G3835" i="1"/>
  <c r="H3835" i="1"/>
  <c r="J3835" i="1"/>
  <c r="K3835" i="1"/>
  <c r="L3835" i="1"/>
  <c r="A3836" i="1"/>
  <c r="B3836" i="1"/>
  <c r="C3836" i="1"/>
  <c r="D3836" i="1"/>
  <c r="Q3836" i="1"/>
  <c r="R3836" i="1"/>
  <c r="E3836" i="1"/>
  <c r="G3836" i="1"/>
  <c r="H3836" i="1"/>
  <c r="J3836" i="1"/>
  <c r="K3836" i="1"/>
  <c r="L3836" i="1"/>
  <c r="A3837" i="1"/>
  <c r="B3837" i="1"/>
  <c r="C3837" i="1"/>
  <c r="D3837" i="1"/>
  <c r="Q3837" i="1"/>
  <c r="R3837" i="1"/>
  <c r="E3837" i="1"/>
  <c r="G3837" i="1"/>
  <c r="H3837" i="1"/>
  <c r="J3837" i="1"/>
  <c r="K3837" i="1"/>
  <c r="L3837" i="1"/>
  <c r="A3838" i="1"/>
  <c r="B3838" i="1"/>
  <c r="C3838" i="1"/>
  <c r="D3838" i="1"/>
  <c r="Q3838" i="1"/>
  <c r="R3838" i="1"/>
  <c r="E3838" i="1"/>
  <c r="G3838" i="1"/>
  <c r="H3838" i="1"/>
  <c r="J3838" i="1"/>
  <c r="K3838" i="1"/>
  <c r="L3838" i="1"/>
  <c r="A3839" i="1"/>
  <c r="B3839" i="1"/>
  <c r="C3839" i="1"/>
  <c r="D3839" i="1"/>
  <c r="Q3839" i="1"/>
  <c r="R3839" i="1"/>
  <c r="E3839" i="1"/>
  <c r="G3839" i="1"/>
  <c r="H3839" i="1"/>
  <c r="J3839" i="1"/>
  <c r="K3839" i="1"/>
  <c r="L3839" i="1"/>
  <c r="A3840" i="1"/>
  <c r="B3840" i="1"/>
  <c r="C3840" i="1"/>
  <c r="D3840" i="1"/>
  <c r="Q3840" i="1"/>
  <c r="R3840" i="1"/>
  <c r="E3840" i="1"/>
  <c r="G3840" i="1"/>
  <c r="H3840" i="1"/>
  <c r="J3840" i="1"/>
  <c r="K3840" i="1"/>
  <c r="L3840" i="1"/>
  <c r="A3841" i="1"/>
  <c r="B3841" i="1"/>
  <c r="C3841" i="1"/>
  <c r="D3841" i="1"/>
  <c r="Q3841" i="1"/>
  <c r="R3841" i="1"/>
  <c r="E3841" i="1"/>
  <c r="G3841" i="1"/>
  <c r="H3841" i="1"/>
  <c r="J3841" i="1"/>
  <c r="K3841" i="1"/>
  <c r="L3841" i="1"/>
  <c r="A3842" i="1"/>
  <c r="B3842" i="1"/>
  <c r="C3842" i="1"/>
  <c r="D3842" i="1"/>
  <c r="Q3842" i="1"/>
  <c r="R3842" i="1"/>
  <c r="E3842" i="1"/>
  <c r="G3842" i="1"/>
  <c r="H3842" i="1"/>
  <c r="J3842" i="1"/>
  <c r="K3842" i="1"/>
  <c r="L3842" i="1"/>
  <c r="A3843" i="1"/>
  <c r="B3843" i="1"/>
  <c r="C3843" i="1"/>
  <c r="D3843" i="1"/>
  <c r="Q3843" i="1"/>
  <c r="R3843" i="1"/>
  <c r="E3843" i="1"/>
  <c r="G3843" i="1"/>
  <c r="H3843" i="1"/>
  <c r="J3843" i="1"/>
  <c r="K3843" i="1"/>
  <c r="L3843" i="1"/>
  <c r="A3844" i="1"/>
  <c r="B3844" i="1"/>
  <c r="C3844" i="1"/>
  <c r="D3844" i="1"/>
  <c r="Q3844" i="1"/>
  <c r="R3844" i="1"/>
  <c r="E3844" i="1"/>
  <c r="G3844" i="1"/>
  <c r="H3844" i="1"/>
  <c r="J3844" i="1"/>
  <c r="K3844" i="1"/>
  <c r="L3844" i="1"/>
  <c r="A3845" i="1"/>
  <c r="B3845" i="1"/>
  <c r="C3845" i="1"/>
  <c r="D3845" i="1"/>
  <c r="Q3845" i="1"/>
  <c r="R3845" i="1"/>
  <c r="E3845" i="1"/>
  <c r="G3845" i="1"/>
  <c r="H3845" i="1"/>
  <c r="J3845" i="1"/>
  <c r="K3845" i="1"/>
  <c r="L3845" i="1"/>
  <c r="A3846" i="1"/>
  <c r="B3846" i="1"/>
  <c r="C3846" i="1"/>
  <c r="D3846" i="1"/>
  <c r="Q3846" i="1"/>
  <c r="R3846" i="1"/>
  <c r="E3846" i="1"/>
  <c r="G3846" i="1"/>
  <c r="H3846" i="1"/>
  <c r="J3846" i="1"/>
  <c r="K3846" i="1"/>
  <c r="L3846" i="1"/>
  <c r="A3847" i="1"/>
  <c r="B3847" i="1"/>
  <c r="C3847" i="1"/>
  <c r="D3847" i="1"/>
  <c r="Q3847" i="1"/>
  <c r="R3847" i="1"/>
  <c r="E3847" i="1"/>
  <c r="G3847" i="1"/>
  <c r="H3847" i="1"/>
  <c r="J3847" i="1"/>
  <c r="K3847" i="1"/>
  <c r="L3847" i="1"/>
  <c r="A3848" i="1"/>
  <c r="B3848" i="1"/>
  <c r="C3848" i="1"/>
  <c r="D3848" i="1"/>
  <c r="Q3848" i="1"/>
  <c r="R3848" i="1"/>
  <c r="E3848" i="1"/>
  <c r="G3848" i="1"/>
  <c r="H3848" i="1"/>
  <c r="J3848" i="1"/>
  <c r="K3848" i="1"/>
  <c r="L3848" i="1"/>
  <c r="A3849" i="1"/>
  <c r="B3849" i="1"/>
  <c r="C3849" i="1"/>
  <c r="D3849" i="1"/>
  <c r="Q3849" i="1"/>
  <c r="R3849" i="1"/>
  <c r="E3849" i="1"/>
  <c r="G3849" i="1"/>
  <c r="H3849" i="1"/>
  <c r="J3849" i="1"/>
  <c r="K3849" i="1"/>
  <c r="L3849" i="1"/>
  <c r="A3850" i="1"/>
  <c r="B3850" i="1"/>
  <c r="C3850" i="1"/>
  <c r="D3850" i="1"/>
  <c r="Q3850" i="1"/>
  <c r="R3850" i="1"/>
  <c r="E3850" i="1"/>
  <c r="G3850" i="1"/>
  <c r="H3850" i="1"/>
  <c r="J3850" i="1"/>
  <c r="K3850" i="1"/>
  <c r="L3850" i="1"/>
  <c r="A3851" i="1"/>
  <c r="B3851" i="1"/>
  <c r="C3851" i="1"/>
  <c r="D3851" i="1"/>
  <c r="Q3851" i="1"/>
  <c r="R3851" i="1"/>
  <c r="E3851" i="1"/>
  <c r="G3851" i="1"/>
  <c r="H3851" i="1"/>
  <c r="J3851" i="1"/>
  <c r="K3851" i="1"/>
  <c r="L3851" i="1"/>
  <c r="A3852" i="1"/>
  <c r="B3852" i="1"/>
  <c r="C3852" i="1"/>
  <c r="D3852" i="1"/>
  <c r="Q3852" i="1"/>
  <c r="R3852" i="1"/>
  <c r="E3852" i="1"/>
  <c r="G3852" i="1"/>
  <c r="H3852" i="1"/>
  <c r="J3852" i="1"/>
  <c r="K3852" i="1"/>
  <c r="L3852" i="1"/>
  <c r="A3853" i="1"/>
  <c r="B3853" i="1"/>
  <c r="C3853" i="1"/>
  <c r="D3853" i="1"/>
  <c r="Q3853" i="1"/>
  <c r="R3853" i="1"/>
  <c r="E3853" i="1"/>
  <c r="G3853" i="1"/>
  <c r="H3853" i="1"/>
  <c r="J3853" i="1"/>
  <c r="K3853" i="1"/>
  <c r="L3853" i="1"/>
  <c r="A3854" i="1"/>
  <c r="B3854" i="1"/>
  <c r="C3854" i="1"/>
  <c r="D3854" i="1"/>
  <c r="Q3854" i="1"/>
  <c r="R3854" i="1"/>
  <c r="E3854" i="1"/>
  <c r="G3854" i="1"/>
  <c r="H3854" i="1"/>
  <c r="J3854" i="1"/>
  <c r="K3854" i="1"/>
  <c r="L3854" i="1"/>
  <c r="A3855" i="1"/>
  <c r="B3855" i="1"/>
  <c r="C3855" i="1"/>
  <c r="D3855" i="1"/>
  <c r="Q3855" i="1"/>
  <c r="R3855" i="1"/>
  <c r="E3855" i="1"/>
  <c r="G3855" i="1"/>
  <c r="H3855" i="1"/>
  <c r="J3855" i="1"/>
  <c r="K3855" i="1"/>
  <c r="L3855" i="1"/>
  <c r="A3856" i="1"/>
  <c r="B3856" i="1"/>
  <c r="C3856" i="1"/>
  <c r="D3856" i="1"/>
  <c r="Q3856" i="1"/>
  <c r="R3856" i="1"/>
  <c r="E3856" i="1"/>
  <c r="G3856" i="1"/>
  <c r="H3856" i="1"/>
  <c r="J3856" i="1"/>
  <c r="K3856" i="1"/>
  <c r="L3856" i="1"/>
  <c r="A3857" i="1"/>
  <c r="B3857" i="1"/>
  <c r="C3857" i="1"/>
  <c r="D3857" i="1"/>
  <c r="Q3857" i="1"/>
  <c r="R3857" i="1"/>
  <c r="E3857" i="1"/>
  <c r="G3857" i="1"/>
  <c r="H3857" i="1"/>
  <c r="J3857" i="1"/>
  <c r="K3857" i="1"/>
  <c r="L3857" i="1"/>
  <c r="A3858" i="1"/>
  <c r="B3858" i="1"/>
  <c r="C3858" i="1"/>
  <c r="D3858" i="1"/>
  <c r="Q3858" i="1"/>
  <c r="R3858" i="1"/>
  <c r="E3858" i="1"/>
  <c r="G3858" i="1"/>
  <c r="H3858" i="1"/>
  <c r="J3858" i="1"/>
  <c r="K3858" i="1"/>
  <c r="L3858" i="1"/>
  <c r="A3859" i="1"/>
  <c r="B3859" i="1"/>
  <c r="C3859" i="1"/>
  <c r="D3859" i="1"/>
  <c r="Q3859" i="1"/>
  <c r="R3859" i="1"/>
  <c r="E3859" i="1"/>
  <c r="G3859" i="1"/>
  <c r="H3859" i="1"/>
  <c r="J3859" i="1"/>
  <c r="K3859" i="1"/>
  <c r="L3859" i="1"/>
  <c r="A3860" i="1"/>
  <c r="B3860" i="1"/>
  <c r="C3860" i="1"/>
  <c r="D3860" i="1"/>
  <c r="Q3860" i="1"/>
  <c r="R3860" i="1"/>
  <c r="E3860" i="1"/>
  <c r="G3860" i="1"/>
  <c r="H3860" i="1"/>
  <c r="J3860" i="1"/>
  <c r="K3860" i="1"/>
  <c r="L3860" i="1"/>
  <c r="A3861" i="1"/>
  <c r="B3861" i="1"/>
  <c r="C3861" i="1"/>
  <c r="D3861" i="1"/>
  <c r="Q3861" i="1"/>
  <c r="R3861" i="1"/>
  <c r="E3861" i="1"/>
  <c r="G3861" i="1"/>
  <c r="H3861" i="1"/>
  <c r="J3861" i="1"/>
  <c r="K3861" i="1"/>
  <c r="L3861" i="1"/>
  <c r="A3862" i="1"/>
  <c r="B3862" i="1"/>
  <c r="C3862" i="1"/>
  <c r="D3862" i="1"/>
  <c r="Q3862" i="1"/>
  <c r="R3862" i="1"/>
  <c r="E3862" i="1"/>
  <c r="G3862" i="1"/>
  <c r="H3862" i="1"/>
  <c r="J3862" i="1"/>
  <c r="K3862" i="1"/>
  <c r="L3862" i="1"/>
  <c r="A3863" i="1"/>
  <c r="B3863" i="1"/>
  <c r="C3863" i="1"/>
  <c r="D3863" i="1"/>
  <c r="Q3863" i="1"/>
  <c r="R3863" i="1"/>
  <c r="E3863" i="1"/>
  <c r="G3863" i="1"/>
  <c r="H3863" i="1"/>
  <c r="J3863" i="1"/>
  <c r="K3863" i="1"/>
  <c r="L3863" i="1"/>
  <c r="A3864" i="1"/>
  <c r="B3864" i="1"/>
  <c r="C3864" i="1"/>
  <c r="D3864" i="1"/>
  <c r="Q3864" i="1"/>
  <c r="R3864" i="1"/>
  <c r="E3864" i="1"/>
  <c r="G3864" i="1"/>
  <c r="H3864" i="1"/>
  <c r="J3864" i="1"/>
  <c r="K3864" i="1"/>
  <c r="L3864" i="1"/>
  <c r="A3865" i="1"/>
  <c r="B3865" i="1"/>
  <c r="C3865" i="1"/>
  <c r="D3865" i="1"/>
  <c r="Q3865" i="1"/>
  <c r="R3865" i="1"/>
  <c r="E3865" i="1"/>
  <c r="G3865" i="1"/>
  <c r="H3865" i="1"/>
  <c r="J3865" i="1"/>
  <c r="K3865" i="1"/>
  <c r="L3865" i="1"/>
  <c r="A3866" i="1"/>
  <c r="B3866" i="1"/>
  <c r="C3866" i="1"/>
  <c r="D3866" i="1"/>
  <c r="Q3866" i="1"/>
  <c r="R3866" i="1"/>
  <c r="E3866" i="1"/>
  <c r="G3866" i="1"/>
  <c r="H3866" i="1"/>
  <c r="J3866" i="1"/>
  <c r="K3866" i="1"/>
  <c r="L3866" i="1"/>
  <c r="A3867" i="1"/>
  <c r="B3867" i="1"/>
  <c r="C3867" i="1"/>
  <c r="D3867" i="1"/>
  <c r="Q3867" i="1"/>
  <c r="R3867" i="1"/>
  <c r="E3867" i="1"/>
  <c r="G3867" i="1"/>
  <c r="H3867" i="1"/>
  <c r="J3867" i="1"/>
  <c r="K3867" i="1"/>
  <c r="L3867" i="1"/>
  <c r="A3868" i="1"/>
  <c r="B3868" i="1"/>
  <c r="C3868" i="1"/>
  <c r="D3868" i="1"/>
  <c r="Q3868" i="1"/>
  <c r="R3868" i="1"/>
  <c r="E3868" i="1"/>
  <c r="G3868" i="1"/>
  <c r="H3868" i="1"/>
  <c r="J3868" i="1"/>
  <c r="K3868" i="1"/>
  <c r="L3868" i="1"/>
  <c r="A3869" i="1"/>
  <c r="B3869" i="1"/>
  <c r="C3869" i="1"/>
  <c r="D3869" i="1"/>
  <c r="Q3869" i="1"/>
  <c r="R3869" i="1"/>
  <c r="E3869" i="1"/>
  <c r="G3869" i="1"/>
  <c r="H3869" i="1"/>
  <c r="J3869" i="1"/>
  <c r="K3869" i="1"/>
  <c r="L3869" i="1"/>
  <c r="A3870" i="1"/>
  <c r="B3870" i="1"/>
  <c r="C3870" i="1"/>
  <c r="D3870" i="1"/>
  <c r="Q3870" i="1"/>
  <c r="R3870" i="1"/>
  <c r="E3870" i="1"/>
  <c r="G3870" i="1"/>
  <c r="H3870" i="1"/>
  <c r="J3870" i="1"/>
  <c r="K3870" i="1"/>
  <c r="L3870" i="1"/>
  <c r="A3871" i="1"/>
  <c r="B3871" i="1"/>
  <c r="C3871" i="1"/>
  <c r="D3871" i="1"/>
  <c r="Q3871" i="1"/>
  <c r="R3871" i="1"/>
  <c r="E3871" i="1"/>
  <c r="G3871" i="1"/>
  <c r="H3871" i="1"/>
  <c r="J3871" i="1"/>
  <c r="K3871" i="1"/>
  <c r="L3871" i="1"/>
  <c r="A3872" i="1"/>
  <c r="B3872" i="1"/>
  <c r="C3872" i="1"/>
  <c r="D3872" i="1"/>
  <c r="Q3872" i="1"/>
  <c r="R3872" i="1"/>
  <c r="E3872" i="1"/>
  <c r="G3872" i="1"/>
  <c r="H3872" i="1"/>
  <c r="J3872" i="1"/>
  <c r="K3872" i="1"/>
  <c r="L3872" i="1"/>
  <c r="A3873" i="1"/>
  <c r="B3873" i="1"/>
  <c r="C3873" i="1"/>
  <c r="D3873" i="1"/>
  <c r="Q3873" i="1"/>
  <c r="R3873" i="1"/>
  <c r="E3873" i="1"/>
  <c r="G3873" i="1"/>
  <c r="H3873" i="1"/>
  <c r="J3873" i="1"/>
  <c r="K3873" i="1"/>
  <c r="L3873" i="1"/>
  <c r="A3874" i="1"/>
  <c r="B3874" i="1"/>
  <c r="C3874" i="1"/>
  <c r="D3874" i="1"/>
  <c r="Q3874" i="1"/>
  <c r="R3874" i="1"/>
  <c r="E3874" i="1"/>
  <c r="G3874" i="1"/>
  <c r="H3874" i="1"/>
  <c r="J3874" i="1"/>
  <c r="K3874" i="1"/>
  <c r="L3874" i="1"/>
  <c r="A3875" i="1"/>
  <c r="B3875" i="1"/>
  <c r="C3875" i="1"/>
  <c r="D3875" i="1"/>
  <c r="Q3875" i="1"/>
  <c r="R3875" i="1"/>
  <c r="E3875" i="1"/>
  <c r="G3875" i="1"/>
  <c r="H3875" i="1"/>
  <c r="J3875" i="1"/>
  <c r="K3875" i="1"/>
  <c r="L3875" i="1"/>
  <c r="A3876" i="1"/>
  <c r="B3876" i="1"/>
  <c r="C3876" i="1"/>
  <c r="D3876" i="1"/>
  <c r="Q3876" i="1"/>
  <c r="R3876" i="1"/>
  <c r="E3876" i="1"/>
  <c r="G3876" i="1"/>
  <c r="H3876" i="1"/>
  <c r="J3876" i="1"/>
  <c r="K3876" i="1"/>
  <c r="L3876" i="1"/>
  <c r="A3877" i="1"/>
  <c r="B3877" i="1"/>
  <c r="C3877" i="1"/>
  <c r="D3877" i="1"/>
  <c r="Q3877" i="1"/>
  <c r="R3877" i="1"/>
  <c r="E3877" i="1"/>
  <c r="G3877" i="1"/>
  <c r="H3877" i="1"/>
  <c r="J3877" i="1"/>
  <c r="K3877" i="1"/>
  <c r="L3877" i="1"/>
  <c r="A3878" i="1"/>
  <c r="B3878" i="1"/>
  <c r="C3878" i="1"/>
  <c r="D3878" i="1"/>
  <c r="Q3878" i="1"/>
  <c r="R3878" i="1"/>
  <c r="E3878" i="1"/>
  <c r="G3878" i="1"/>
  <c r="H3878" i="1"/>
  <c r="J3878" i="1"/>
  <c r="K3878" i="1"/>
  <c r="L3878" i="1"/>
  <c r="A3879" i="1"/>
  <c r="B3879" i="1"/>
  <c r="C3879" i="1"/>
  <c r="D3879" i="1"/>
  <c r="Q3879" i="1"/>
  <c r="R3879" i="1"/>
  <c r="E3879" i="1"/>
  <c r="G3879" i="1"/>
  <c r="H3879" i="1"/>
  <c r="J3879" i="1"/>
  <c r="K3879" i="1"/>
  <c r="L3879" i="1"/>
  <c r="A3880" i="1"/>
  <c r="B3880" i="1"/>
  <c r="C3880" i="1"/>
  <c r="D3880" i="1"/>
  <c r="Q3880" i="1"/>
  <c r="R3880" i="1"/>
  <c r="E3880" i="1"/>
  <c r="G3880" i="1"/>
  <c r="H3880" i="1"/>
  <c r="J3880" i="1"/>
  <c r="K3880" i="1"/>
  <c r="L3880" i="1"/>
  <c r="A3881" i="1"/>
  <c r="B3881" i="1"/>
  <c r="C3881" i="1"/>
  <c r="D3881" i="1"/>
  <c r="Q3881" i="1"/>
  <c r="R3881" i="1"/>
  <c r="E3881" i="1"/>
  <c r="G3881" i="1"/>
  <c r="H3881" i="1"/>
  <c r="J3881" i="1"/>
  <c r="K3881" i="1"/>
  <c r="L3881" i="1"/>
  <c r="A3882" i="1"/>
  <c r="B3882" i="1"/>
  <c r="C3882" i="1"/>
  <c r="D3882" i="1"/>
  <c r="Q3882" i="1"/>
  <c r="R3882" i="1"/>
  <c r="E3882" i="1"/>
  <c r="G3882" i="1"/>
  <c r="H3882" i="1"/>
  <c r="J3882" i="1"/>
  <c r="K3882" i="1"/>
  <c r="L3882" i="1"/>
  <c r="A3883" i="1"/>
  <c r="B3883" i="1"/>
  <c r="C3883" i="1"/>
  <c r="D3883" i="1"/>
  <c r="Q3883" i="1"/>
  <c r="R3883" i="1"/>
  <c r="E3883" i="1"/>
  <c r="G3883" i="1"/>
  <c r="H3883" i="1"/>
  <c r="J3883" i="1"/>
  <c r="K3883" i="1"/>
  <c r="L3883" i="1"/>
  <c r="A3884" i="1"/>
  <c r="B3884" i="1"/>
  <c r="C3884" i="1"/>
  <c r="D3884" i="1"/>
  <c r="Q3884" i="1"/>
  <c r="R3884" i="1"/>
  <c r="E3884" i="1"/>
  <c r="F3884" i="1"/>
  <c r="G3884" i="1"/>
  <c r="H3884" i="1"/>
  <c r="J3884" i="1"/>
  <c r="K3884" i="1"/>
  <c r="L3884" i="1"/>
  <c r="A3885" i="1"/>
  <c r="B3885" i="1"/>
  <c r="C3885" i="1"/>
  <c r="D3885" i="1"/>
  <c r="Q3885" i="1"/>
  <c r="R3885" i="1"/>
  <c r="E3885" i="1"/>
  <c r="F3885" i="1"/>
  <c r="G3885" i="1"/>
  <c r="H3885" i="1"/>
  <c r="J3885" i="1"/>
  <c r="K3885" i="1"/>
  <c r="L3885" i="1"/>
  <c r="A3886" i="1"/>
  <c r="B3886" i="1"/>
  <c r="C3886" i="1"/>
  <c r="D3886" i="1"/>
  <c r="Q3886" i="1"/>
  <c r="R3886" i="1"/>
  <c r="E3886" i="1"/>
  <c r="F3886" i="1"/>
  <c r="G3886" i="1"/>
  <c r="H3886" i="1"/>
  <c r="J3886" i="1"/>
  <c r="K3886" i="1"/>
  <c r="L3886" i="1"/>
  <c r="A3887" i="1"/>
  <c r="B3887" i="1"/>
  <c r="C3887" i="1"/>
  <c r="D3887" i="1"/>
  <c r="Q3887" i="1"/>
  <c r="R3887" i="1"/>
  <c r="E3887" i="1"/>
  <c r="F3887" i="1"/>
  <c r="G3887" i="1"/>
  <c r="H3887" i="1"/>
  <c r="J3887" i="1"/>
  <c r="K3887" i="1"/>
  <c r="L3887" i="1"/>
  <c r="A3888" i="1"/>
  <c r="B3888" i="1"/>
  <c r="C3888" i="1"/>
  <c r="D3888" i="1"/>
  <c r="Q3888" i="1"/>
  <c r="R3888" i="1"/>
  <c r="E3888" i="1"/>
  <c r="G3888" i="1"/>
  <c r="H3888" i="1"/>
  <c r="J3888" i="1"/>
  <c r="K3888" i="1"/>
  <c r="L3888" i="1"/>
  <c r="A3889" i="1"/>
  <c r="B3889" i="1"/>
  <c r="C3889" i="1"/>
  <c r="D3889" i="1"/>
  <c r="Q3889" i="1"/>
  <c r="R3889" i="1"/>
  <c r="E3889" i="1"/>
  <c r="G3889" i="1"/>
  <c r="H3889" i="1"/>
  <c r="J3889" i="1"/>
  <c r="K3889" i="1"/>
  <c r="L3889" i="1"/>
  <c r="A3890" i="1"/>
  <c r="B3890" i="1"/>
  <c r="C3890" i="1"/>
  <c r="D3890" i="1"/>
  <c r="Q3890" i="1"/>
  <c r="R3890" i="1"/>
  <c r="E3890" i="1"/>
  <c r="G3890" i="1"/>
  <c r="H3890" i="1"/>
  <c r="J3890" i="1"/>
  <c r="K3890" i="1"/>
  <c r="L3890" i="1"/>
  <c r="A3891" i="1"/>
  <c r="B3891" i="1"/>
  <c r="C3891" i="1"/>
  <c r="D3891" i="1"/>
  <c r="Q3891" i="1"/>
  <c r="R3891" i="1"/>
  <c r="E3891" i="1"/>
  <c r="G3891" i="1"/>
  <c r="H3891" i="1"/>
  <c r="J3891" i="1"/>
  <c r="K3891" i="1"/>
  <c r="L3891" i="1"/>
  <c r="A3892" i="1"/>
  <c r="B3892" i="1"/>
  <c r="C3892" i="1"/>
  <c r="D3892" i="1"/>
  <c r="Q3892" i="1"/>
  <c r="R3892" i="1"/>
  <c r="E3892" i="1"/>
  <c r="G3892" i="1"/>
  <c r="H3892" i="1"/>
  <c r="J3892" i="1"/>
  <c r="K3892" i="1"/>
  <c r="L3892" i="1"/>
  <c r="A3893" i="1"/>
  <c r="B3893" i="1"/>
  <c r="C3893" i="1"/>
  <c r="D3893" i="1"/>
  <c r="Q3893" i="1"/>
  <c r="R3893" i="1"/>
  <c r="E3893" i="1"/>
  <c r="G3893" i="1"/>
  <c r="H3893" i="1"/>
  <c r="J3893" i="1"/>
  <c r="K3893" i="1"/>
  <c r="L3893" i="1"/>
  <c r="A3894" i="1"/>
  <c r="B3894" i="1"/>
  <c r="C3894" i="1"/>
  <c r="D3894" i="1"/>
  <c r="Q3894" i="1"/>
  <c r="R3894" i="1"/>
  <c r="E3894" i="1"/>
  <c r="G3894" i="1"/>
  <c r="H3894" i="1"/>
  <c r="J3894" i="1"/>
  <c r="K3894" i="1"/>
  <c r="L3894" i="1"/>
  <c r="A3895" i="1"/>
  <c r="B3895" i="1"/>
  <c r="C3895" i="1"/>
  <c r="D3895" i="1"/>
  <c r="Q3895" i="1"/>
  <c r="R3895" i="1"/>
  <c r="E3895" i="1"/>
  <c r="G3895" i="1"/>
  <c r="H3895" i="1"/>
  <c r="J3895" i="1"/>
  <c r="K3895" i="1"/>
  <c r="L3895" i="1"/>
  <c r="A3896" i="1"/>
  <c r="B3896" i="1"/>
  <c r="C3896" i="1"/>
  <c r="D3896" i="1"/>
  <c r="Q3896" i="1"/>
  <c r="R3896" i="1"/>
  <c r="E3896" i="1"/>
  <c r="G3896" i="1"/>
  <c r="H3896" i="1"/>
  <c r="J3896" i="1"/>
  <c r="K3896" i="1"/>
  <c r="L3896" i="1"/>
  <c r="A3897" i="1"/>
  <c r="B3897" i="1"/>
  <c r="C3897" i="1"/>
  <c r="D3897" i="1"/>
  <c r="Q3897" i="1"/>
  <c r="R3897" i="1"/>
  <c r="E3897" i="1"/>
  <c r="G3897" i="1"/>
  <c r="H3897" i="1"/>
  <c r="J3897" i="1"/>
  <c r="K3897" i="1"/>
  <c r="L3897" i="1"/>
  <c r="A3898" i="1"/>
  <c r="B3898" i="1"/>
  <c r="C3898" i="1"/>
  <c r="D3898" i="1"/>
  <c r="Q3898" i="1"/>
  <c r="R3898" i="1"/>
  <c r="E3898" i="1"/>
  <c r="G3898" i="1"/>
  <c r="H3898" i="1"/>
  <c r="J3898" i="1"/>
  <c r="K3898" i="1"/>
  <c r="L3898" i="1"/>
  <c r="A3899" i="1"/>
  <c r="B3899" i="1"/>
  <c r="C3899" i="1"/>
  <c r="D3899" i="1"/>
  <c r="Q3899" i="1"/>
  <c r="R3899" i="1"/>
  <c r="E3899" i="1"/>
  <c r="G3899" i="1"/>
  <c r="H3899" i="1"/>
  <c r="J3899" i="1"/>
  <c r="K3899" i="1"/>
  <c r="L3899" i="1"/>
  <c r="A3900" i="1"/>
  <c r="B3900" i="1"/>
  <c r="C3900" i="1"/>
  <c r="D3900" i="1"/>
  <c r="Q3900" i="1"/>
  <c r="R3900" i="1"/>
  <c r="E3900" i="1"/>
  <c r="G3900" i="1"/>
  <c r="H3900" i="1"/>
  <c r="J3900" i="1"/>
  <c r="K3900" i="1"/>
  <c r="L3900" i="1"/>
  <c r="A3901" i="1"/>
  <c r="B3901" i="1"/>
  <c r="C3901" i="1"/>
  <c r="D3901" i="1"/>
  <c r="Q3901" i="1"/>
  <c r="R3901" i="1"/>
  <c r="E3901" i="1"/>
  <c r="G3901" i="1"/>
  <c r="H3901" i="1"/>
  <c r="J3901" i="1"/>
  <c r="K3901" i="1"/>
  <c r="L3901" i="1"/>
  <c r="A3902" i="1"/>
  <c r="B3902" i="1"/>
  <c r="C3902" i="1"/>
  <c r="D3902" i="1"/>
  <c r="Q3902" i="1"/>
  <c r="R3902" i="1"/>
  <c r="E3902" i="1"/>
  <c r="G3902" i="1"/>
  <c r="H3902" i="1"/>
  <c r="J3902" i="1"/>
  <c r="K3902" i="1"/>
  <c r="L3902" i="1"/>
  <c r="A3903" i="1"/>
  <c r="B3903" i="1"/>
  <c r="C3903" i="1"/>
  <c r="D3903" i="1"/>
  <c r="Q3903" i="1"/>
  <c r="R3903" i="1"/>
  <c r="E3903" i="1"/>
  <c r="G3903" i="1"/>
  <c r="H3903" i="1"/>
  <c r="J3903" i="1"/>
  <c r="K3903" i="1"/>
  <c r="L3903" i="1"/>
  <c r="A3904" i="1"/>
  <c r="B3904" i="1"/>
  <c r="C3904" i="1"/>
  <c r="D3904" i="1"/>
  <c r="Q3904" i="1"/>
  <c r="R3904" i="1"/>
  <c r="E3904" i="1"/>
  <c r="G3904" i="1"/>
  <c r="H3904" i="1"/>
  <c r="J3904" i="1"/>
  <c r="K3904" i="1"/>
  <c r="L3904" i="1"/>
  <c r="A3905" i="1"/>
  <c r="B3905" i="1"/>
  <c r="C3905" i="1"/>
  <c r="D3905" i="1"/>
  <c r="Q3905" i="1"/>
  <c r="R3905" i="1"/>
  <c r="E3905" i="1"/>
  <c r="G3905" i="1"/>
  <c r="H3905" i="1"/>
  <c r="J3905" i="1"/>
  <c r="K3905" i="1"/>
  <c r="L3905" i="1"/>
  <c r="A3906" i="1"/>
  <c r="B3906" i="1"/>
  <c r="C3906" i="1"/>
  <c r="D3906" i="1"/>
  <c r="Q3906" i="1"/>
  <c r="R3906" i="1"/>
  <c r="E3906" i="1"/>
  <c r="G3906" i="1"/>
  <c r="H3906" i="1"/>
  <c r="J3906" i="1"/>
  <c r="K3906" i="1"/>
  <c r="L3906" i="1"/>
  <c r="A3907" i="1"/>
  <c r="B3907" i="1"/>
  <c r="C3907" i="1"/>
  <c r="D3907" i="1"/>
  <c r="Q3907" i="1"/>
  <c r="R3907" i="1"/>
  <c r="E3907" i="1"/>
  <c r="G3907" i="1"/>
  <c r="H3907" i="1"/>
  <c r="J3907" i="1"/>
  <c r="K3907" i="1"/>
  <c r="L3907" i="1"/>
  <c r="A3908" i="1"/>
  <c r="B3908" i="1"/>
  <c r="C3908" i="1"/>
  <c r="D3908" i="1"/>
  <c r="Q3908" i="1"/>
  <c r="R3908" i="1"/>
  <c r="E3908" i="1"/>
  <c r="G3908" i="1"/>
  <c r="H3908" i="1"/>
  <c r="J3908" i="1"/>
  <c r="K3908" i="1"/>
  <c r="L3908" i="1"/>
  <c r="A3909" i="1"/>
  <c r="B3909" i="1"/>
  <c r="C3909" i="1"/>
  <c r="D3909" i="1"/>
  <c r="Q3909" i="1"/>
  <c r="R3909" i="1"/>
  <c r="E3909" i="1"/>
  <c r="G3909" i="1"/>
  <c r="H3909" i="1"/>
  <c r="J3909" i="1"/>
  <c r="K3909" i="1"/>
  <c r="L3909" i="1"/>
  <c r="A3910" i="1"/>
  <c r="B3910" i="1"/>
  <c r="C3910" i="1"/>
  <c r="D3910" i="1"/>
  <c r="Q3910" i="1"/>
  <c r="R3910" i="1"/>
  <c r="E3910" i="1"/>
  <c r="G3910" i="1"/>
  <c r="H3910" i="1"/>
  <c r="J3910" i="1"/>
  <c r="K3910" i="1"/>
  <c r="L3910" i="1"/>
  <c r="A3911" i="1"/>
  <c r="B3911" i="1"/>
  <c r="C3911" i="1"/>
  <c r="D3911" i="1"/>
  <c r="Q3911" i="1"/>
  <c r="R3911" i="1"/>
  <c r="E3911" i="1"/>
  <c r="G3911" i="1"/>
  <c r="H3911" i="1"/>
  <c r="J3911" i="1"/>
  <c r="K3911" i="1"/>
  <c r="L3911" i="1"/>
  <c r="A3912" i="1"/>
  <c r="B3912" i="1"/>
  <c r="C3912" i="1"/>
  <c r="D3912" i="1"/>
  <c r="Q3912" i="1"/>
  <c r="R3912" i="1"/>
  <c r="E3912" i="1"/>
  <c r="G3912" i="1"/>
  <c r="H3912" i="1"/>
  <c r="J3912" i="1"/>
  <c r="K3912" i="1"/>
  <c r="L3912" i="1"/>
  <c r="A3913" i="1"/>
  <c r="B3913" i="1"/>
  <c r="C3913" i="1"/>
  <c r="D3913" i="1"/>
  <c r="Q3913" i="1"/>
  <c r="R3913" i="1"/>
  <c r="E3913" i="1"/>
  <c r="G3913" i="1"/>
  <c r="H3913" i="1"/>
  <c r="J3913" i="1"/>
  <c r="K3913" i="1"/>
  <c r="L3913" i="1"/>
  <c r="A3914" i="1"/>
  <c r="B3914" i="1"/>
  <c r="C3914" i="1"/>
  <c r="D3914" i="1"/>
  <c r="Q3914" i="1"/>
  <c r="R3914" i="1"/>
  <c r="E3914" i="1"/>
  <c r="G3914" i="1"/>
  <c r="H3914" i="1"/>
  <c r="J3914" i="1"/>
  <c r="K3914" i="1"/>
  <c r="L3914" i="1"/>
  <c r="A3915" i="1"/>
  <c r="B3915" i="1"/>
  <c r="C3915" i="1"/>
  <c r="D3915" i="1"/>
  <c r="Q3915" i="1"/>
  <c r="R3915" i="1"/>
  <c r="E3915" i="1"/>
  <c r="G3915" i="1"/>
  <c r="H3915" i="1"/>
  <c r="J3915" i="1"/>
  <c r="K3915" i="1"/>
  <c r="L3915" i="1"/>
  <c r="A3916" i="1"/>
  <c r="B3916" i="1"/>
  <c r="C3916" i="1"/>
  <c r="D3916" i="1"/>
  <c r="Q3916" i="1"/>
  <c r="R3916" i="1"/>
  <c r="E3916" i="1"/>
  <c r="G3916" i="1"/>
  <c r="H3916" i="1"/>
  <c r="J3916" i="1"/>
  <c r="K3916" i="1"/>
  <c r="L3916" i="1"/>
  <c r="A3917" i="1"/>
  <c r="B3917" i="1"/>
  <c r="C3917" i="1"/>
  <c r="D3917" i="1"/>
  <c r="Q3917" i="1"/>
  <c r="R3917" i="1"/>
  <c r="E3917" i="1"/>
  <c r="G3917" i="1"/>
  <c r="H3917" i="1"/>
  <c r="J3917" i="1"/>
  <c r="K3917" i="1"/>
  <c r="L3917" i="1"/>
  <c r="A3918" i="1"/>
  <c r="B3918" i="1"/>
  <c r="C3918" i="1"/>
  <c r="D3918" i="1"/>
  <c r="Q3918" i="1"/>
  <c r="R3918" i="1"/>
  <c r="E3918" i="1"/>
  <c r="G3918" i="1"/>
  <c r="H3918" i="1"/>
  <c r="J3918" i="1"/>
  <c r="K3918" i="1"/>
  <c r="L3918" i="1"/>
  <c r="A3919" i="1"/>
  <c r="B3919" i="1"/>
  <c r="C3919" i="1"/>
  <c r="D3919" i="1"/>
  <c r="Q3919" i="1"/>
  <c r="R3919" i="1"/>
  <c r="E3919" i="1"/>
  <c r="G3919" i="1"/>
  <c r="H3919" i="1"/>
  <c r="J3919" i="1"/>
  <c r="K3919" i="1"/>
  <c r="L3919" i="1"/>
  <c r="A3920" i="1"/>
  <c r="B3920" i="1"/>
  <c r="C3920" i="1"/>
  <c r="D3920" i="1"/>
  <c r="Q3920" i="1"/>
  <c r="R3920" i="1"/>
  <c r="E3920" i="1"/>
  <c r="G3920" i="1"/>
  <c r="H3920" i="1"/>
  <c r="J3920" i="1"/>
  <c r="K3920" i="1"/>
  <c r="L3920" i="1"/>
  <c r="A3921" i="1"/>
  <c r="B3921" i="1"/>
  <c r="C3921" i="1"/>
  <c r="D3921" i="1"/>
  <c r="Q3921" i="1"/>
  <c r="R3921" i="1"/>
  <c r="E3921" i="1"/>
  <c r="G3921" i="1"/>
  <c r="H3921" i="1"/>
  <c r="J3921" i="1"/>
  <c r="K3921" i="1"/>
  <c r="L3921" i="1"/>
  <c r="A3922" i="1"/>
  <c r="B3922" i="1"/>
  <c r="C3922" i="1"/>
  <c r="D3922" i="1"/>
  <c r="Q3922" i="1"/>
  <c r="R3922" i="1"/>
  <c r="E3922" i="1"/>
  <c r="G3922" i="1"/>
  <c r="H3922" i="1"/>
  <c r="J3922" i="1"/>
  <c r="K3922" i="1"/>
  <c r="L3922" i="1"/>
  <c r="A3923" i="1"/>
  <c r="B3923" i="1"/>
  <c r="C3923" i="1"/>
  <c r="D3923" i="1"/>
  <c r="Q3923" i="1"/>
  <c r="R3923" i="1"/>
  <c r="E3923" i="1"/>
  <c r="G3923" i="1"/>
  <c r="H3923" i="1"/>
  <c r="J3923" i="1"/>
  <c r="K3923" i="1"/>
  <c r="L3923" i="1"/>
  <c r="A3924" i="1"/>
  <c r="B3924" i="1"/>
  <c r="C3924" i="1"/>
  <c r="D3924" i="1"/>
  <c r="Q3924" i="1"/>
  <c r="R3924" i="1"/>
  <c r="E3924" i="1"/>
  <c r="G3924" i="1"/>
  <c r="H3924" i="1"/>
  <c r="J3924" i="1"/>
  <c r="K3924" i="1"/>
  <c r="L3924" i="1"/>
  <c r="A3925" i="1"/>
  <c r="B3925" i="1"/>
  <c r="C3925" i="1"/>
  <c r="D3925" i="1"/>
  <c r="Q3925" i="1"/>
  <c r="R3925" i="1"/>
  <c r="E3925" i="1"/>
  <c r="G3925" i="1"/>
  <c r="H3925" i="1"/>
  <c r="J3925" i="1"/>
  <c r="K3925" i="1"/>
  <c r="L3925" i="1"/>
  <c r="A3926" i="1"/>
  <c r="B3926" i="1"/>
  <c r="C3926" i="1"/>
  <c r="D3926" i="1"/>
  <c r="Q3926" i="1"/>
  <c r="R3926" i="1"/>
  <c r="E3926" i="1"/>
  <c r="G3926" i="1"/>
  <c r="H3926" i="1"/>
  <c r="J3926" i="1"/>
  <c r="K3926" i="1"/>
  <c r="L3926" i="1"/>
  <c r="A3927" i="1"/>
  <c r="B3927" i="1"/>
  <c r="C3927" i="1"/>
  <c r="D3927" i="1"/>
  <c r="Q3927" i="1"/>
  <c r="R3927" i="1"/>
  <c r="E3927" i="1"/>
  <c r="G3927" i="1"/>
  <c r="H3927" i="1"/>
  <c r="J3927" i="1"/>
  <c r="K3927" i="1"/>
  <c r="L3927" i="1"/>
  <c r="A3928" i="1"/>
  <c r="B3928" i="1"/>
  <c r="C3928" i="1"/>
  <c r="D3928" i="1"/>
  <c r="Q3928" i="1"/>
  <c r="R3928" i="1"/>
  <c r="E3928" i="1"/>
  <c r="G3928" i="1"/>
  <c r="H3928" i="1"/>
  <c r="J3928" i="1"/>
  <c r="K3928" i="1"/>
  <c r="L3928" i="1"/>
  <c r="A3929" i="1"/>
  <c r="B3929" i="1"/>
  <c r="C3929" i="1"/>
  <c r="D3929" i="1"/>
  <c r="Q3929" i="1"/>
  <c r="R3929" i="1"/>
  <c r="E3929" i="1"/>
  <c r="G3929" i="1"/>
  <c r="H3929" i="1"/>
  <c r="J3929" i="1"/>
  <c r="K3929" i="1"/>
  <c r="L3929" i="1"/>
  <c r="A3930" i="1"/>
  <c r="B3930" i="1"/>
  <c r="C3930" i="1"/>
  <c r="D3930" i="1"/>
  <c r="Q3930" i="1"/>
  <c r="R3930" i="1"/>
  <c r="E3930" i="1"/>
  <c r="G3930" i="1"/>
  <c r="H3930" i="1"/>
  <c r="J3930" i="1"/>
  <c r="K3930" i="1"/>
  <c r="L3930" i="1"/>
  <c r="A3931" i="1"/>
  <c r="B3931" i="1"/>
  <c r="C3931" i="1"/>
  <c r="D3931" i="1"/>
  <c r="Q3931" i="1"/>
  <c r="R3931" i="1"/>
  <c r="E3931" i="1"/>
  <c r="G3931" i="1"/>
  <c r="H3931" i="1"/>
  <c r="J3931" i="1"/>
  <c r="K3931" i="1"/>
  <c r="L3931" i="1"/>
  <c r="A3932" i="1"/>
  <c r="B3932" i="1"/>
  <c r="C3932" i="1"/>
  <c r="D3932" i="1"/>
  <c r="Q3932" i="1"/>
  <c r="R3932" i="1"/>
  <c r="E3932" i="1"/>
  <c r="G3932" i="1"/>
  <c r="H3932" i="1"/>
  <c r="J3932" i="1"/>
  <c r="K3932" i="1"/>
  <c r="L3932" i="1"/>
  <c r="A3933" i="1"/>
  <c r="B3933" i="1"/>
  <c r="C3933" i="1"/>
  <c r="D3933" i="1"/>
  <c r="Q3933" i="1"/>
  <c r="R3933" i="1"/>
  <c r="E3933" i="1"/>
  <c r="G3933" i="1"/>
  <c r="H3933" i="1"/>
  <c r="J3933" i="1"/>
  <c r="K3933" i="1"/>
  <c r="L3933" i="1"/>
  <c r="A3934" i="1"/>
  <c r="B3934" i="1"/>
  <c r="C3934" i="1"/>
  <c r="D3934" i="1"/>
  <c r="Q3934" i="1"/>
  <c r="R3934" i="1"/>
  <c r="E3934" i="1"/>
  <c r="G3934" i="1"/>
  <c r="H3934" i="1"/>
  <c r="J3934" i="1"/>
  <c r="K3934" i="1"/>
  <c r="L3934" i="1"/>
  <c r="A3935" i="1"/>
  <c r="B3935" i="1"/>
  <c r="C3935" i="1"/>
  <c r="D3935" i="1"/>
  <c r="Q3935" i="1"/>
  <c r="R3935" i="1"/>
  <c r="E3935" i="1"/>
  <c r="G3935" i="1"/>
  <c r="H3935" i="1"/>
  <c r="J3935" i="1"/>
  <c r="K3935" i="1"/>
  <c r="L3935" i="1"/>
  <c r="A3936" i="1"/>
  <c r="B3936" i="1"/>
  <c r="C3936" i="1"/>
  <c r="D3936" i="1"/>
  <c r="Q3936" i="1"/>
  <c r="R3936" i="1"/>
  <c r="E3936" i="1"/>
  <c r="G3936" i="1"/>
  <c r="H3936" i="1"/>
  <c r="J3936" i="1"/>
  <c r="K3936" i="1"/>
  <c r="L3936" i="1"/>
  <c r="A3937" i="1"/>
  <c r="B3937" i="1"/>
  <c r="C3937" i="1"/>
  <c r="D3937" i="1"/>
  <c r="Q3937" i="1"/>
  <c r="R3937" i="1"/>
  <c r="E3937" i="1"/>
  <c r="G3937" i="1"/>
  <c r="H3937" i="1"/>
  <c r="J3937" i="1"/>
  <c r="K3937" i="1"/>
  <c r="L3937" i="1"/>
  <c r="A3938" i="1"/>
  <c r="B3938" i="1"/>
  <c r="C3938" i="1"/>
  <c r="D3938" i="1"/>
  <c r="Q3938" i="1"/>
  <c r="R3938" i="1"/>
  <c r="E3938" i="1"/>
  <c r="G3938" i="1"/>
  <c r="H3938" i="1"/>
  <c r="J3938" i="1"/>
  <c r="K3938" i="1"/>
  <c r="L3938" i="1"/>
  <c r="A3939" i="1"/>
  <c r="B3939" i="1"/>
  <c r="C3939" i="1"/>
  <c r="D3939" i="1"/>
  <c r="Q3939" i="1"/>
  <c r="R3939" i="1"/>
  <c r="E3939" i="1"/>
  <c r="G3939" i="1"/>
  <c r="H3939" i="1"/>
  <c r="J3939" i="1"/>
  <c r="K3939" i="1"/>
  <c r="L3939" i="1"/>
  <c r="A3940" i="1"/>
  <c r="B3940" i="1"/>
  <c r="C3940" i="1"/>
  <c r="D3940" i="1"/>
  <c r="Q3940" i="1"/>
  <c r="R3940" i="1"/>
  <c r="E3940" i="1"/>
  <c r="G3940" i="1"/>
  <c r="H3940" i="1"/>
  <c r="J3940" i="1"/>
  <c r="K3940" i="1"/>
  <c r="L3940" i="1"/>
  <c r="A3941" i="1"/>
  <c r="B3941" i="1"/>
  <c r="C3941" i="1"/>
  <c r="D3941" i="1"/>
  <c r="Q3941" i="1"/>
  <c r="R3941" i="1"/>
  <c r="E3941" i="1"/>
  <c r="G3941" i="1"/>
  <c r="H3941" i="1"/>
  <c r="J3941" i="1"/>
  <c r="K3941" i="1"/>
  <c r="L3941" i="1"/>
  <c r="A3942" i="1"/>
  <c r="B3942" i="1"/>
  <c r="C3942" i="1"/>
  <c r="D3942" i="1"/>
  <c r="Q3942" i="1"/>
  <c r="R3942" i="1"/>
  <c r="E3942" i="1"/>
  <c r="G3942" i="1"/>
  <c r="H3942" i="1"/>
  <c r="J3942" i="1"/>
  <c r="K3942" i="1"/>
  <c r="L3942" i="1"/>
  <c r="A3943" i="1"/>
  <c r="B3943" i="1"/>
  <c r="C3943" i="1"/>
  <c r="D3943" i="1"/>
  <c r="Q3943" i="1"/>
  <c r="R3943" i="1"/>
  <c r="E3943" i="1"/>
  <c r="G3943" i="1"/>
  <c r="H3943" i="1"/>
  <c r="J3943" i="1"/>
  <c r="K3943" i="1"/>
  <c r="L3943" i="1"/>
  <c r="A3944" i="1"/>
  <c r="B3944" i="1"/>
  <c r="C3944" i="1"/>
  <c r="D3944" i="1"/>
  <c r="Q3944" i="1"/>
  <c r="R3944" i="1"/>
  <c r="E3944" i="1"/>
  <c r="G3944" i="1"/>
  <c r="H3944" i="1"/>
  <c r="J3944" i="1"/>
  <c r="K3944" i="1"/>
  <c r="L3944" i="1"/>
  <c r="A3945" i="1"/>
  <c r="B3945" i="1"/>
  <c r="C3945" i="1"/>
  <c r="D3945" i="1"/>
  <c r="Q3945" i="1"/>
  <c r="R3945" i="1"/>
  <c r="E3945" i="1"/>
  <c r="G3945" i="1"/>
  <c r="H3945" i="1"/>
  <c r="J3945" i="1"/>
  <c r="K3945" i="1"/>
  <c r="L3945" i="1"/>
  <c r="A3946" i="1"/>
  <c r="B3946" i="1"/>
  <c r="C3946" i="1"/>
  <c r="D3946" i="1"/>
  <c r="Q3946" i="1"/>
  <c r="R3946" i="1"/>
  <c r="E3946" i="1"/>
  <c r="G3946" i="1"/>
  <c r="H3946" i="1"/>
  <c r="J3946" i="1"/>
  <c r="K3946" i="1"/>
  <c r="L3946" i="1"/>
  <c r="A3947" i="1"/>
  <c r="B3947" i="1"/>
  <c r="C3947" i="1"/>
  <c r="D3947" i="1"/>
  <c r="Q3947" i="1"/>
  <c r="R3947" i="1"/>
  <c r="E3947" i="1"/>
  <c r="G3947" i="1"/>
  <c r="H3947" i="1"/>
  <c r="J3947" i="1"/>
  <c r="K3947" i="1"/>
  <c r="L3947" i="1"/>
  <c r="A3948" i="1"/>
  <c r="B3948" i="1"/>
  <c r="C3948" i="1"/>
  <c r="D3948" i="1"/>
  <c r="Q3948" i="1"/>
  <c r="R3948" i="1"/>
  <c r="E3948" i="1"/>
  <c r="G3948" i="1"/>
  <c r="H3948" i="1"/>
  <c r="J3948" i="1"/>
  <c r="K3948" i="1"/>
  <c r="L3948" i="1"/>
  <c r="A3949" i="1"/>
  <c r="B3949" i="1"/>
  <c r="C3949" i="1"/>
  <c r="D3949" i="1"/>
  <c r="Q3949" i="1"/>
  <c r="R3949" i="1"/>
  <c r="E3949" i="1"/>
  <c r="G3949" i="1"/>
  <c r="H3949" i="1"/>
  <c r="J3949" i="1"/>
  <c r="K3949" i="1"/>
  <c r="L3949" i="1"/>
  <c r="A3950" i="1"/>
  <c r="B3950" i="1"/>
  <c r="C3950" i="1"/>
  <c r="D3950" i="1"/>
  <c r="Q3950" i="1"/>
  <c r="R3950" i="1"/>
  <c r="E3950" i="1"/>
  <c r="G3950" i="1"/>
  <c r="H3950" i="1"/>
  <c r="J3950" i="1"/>
  <c r="K3950" i="1"/>
  <c r="L3950" i="1"/>
  <c r="A3951" i="1"/>
  <c r="B3951" i="1"/>
  <c r="C3951" i="1"/>
  <c r="D3951" i="1"/>
  <c r="Q3951" i="1"/>
  <c r="R3951" i="1"/>
  <c r="E3951" i="1"/>
  <c r="G3951" i="1"/>
  <c r="H3951" i="1"/>
  <c r="J3951" i="1"/>
  <c r="K3951" i="1"/>
  <c r="L3951" i="1"/>
  <c r="A3952" i="1"/>
  <c r="B3952" i="1"/>
  <c r="C3952" i="1"/>
  <c r="D3952" i="1"/>
  <c r="Q3952" i="1"/>
  <c r="R3952" i="1"/>
  <c r="E3952" i="1"/>
  <c r="G3952" i="1"/>
  <c r="H3952" i="1"/>
  <c r="J3952" i="1"/>
  <c r="K3952" i="1"/>
  <c r="L3952" i="1"/>
  <c r="A3953" i="1"/>
  <c r="B3953" i="1"/>
  <c r="C3953" i="1"/>
  <c r="D3953" i="1"/>
  <c r="Q3953" i="1"/>
  <c r="R3953" i="1"/>
  <c r="E3953" i="1"/>
  <c r="G3953" i="1"/>
  <c r="H3953" i="1"/>
  <c r="J3953" i="1"/>
  <c r="K3953" i="1"/>
  <c r="L3953" i="1"/>
  <c r="A3954" i="1"/>
  <c r="B3954" i="1"/>
  <c r="C3954" i="1"/>
  <c r="D3954" i="1"/>
  <c r="Q3954" i="1"/>
  <c r="R3954" i="1"/>
  <c r="E3954" i="1"/>
  <c r="G3954" i="1"/>
  <c r="H3954" i="1"/>
  <c r="J3954" i="1"/>
  <c r="K3954" i="1"/>
  <c r="L3954" i="1"/>
  <c r="A3955" i="1"/>
  <c r="B3955" i="1"/>
  <c r="C3955" i="1"/>
  <c r="D3955" i="1"/>
  <c r="Q3955" i="1"/>
  <c r="R3955" i="1"/>
  <c r="E3955" i="1"/>
  <c r="G3955" i="1"/>
  <c r="H3955" i="1"/>
  <c r="J3955" i="1"/>
  <c r="K3955" i="1"/>
  <c r="L3955" i="1"/>
  <c r="A3956" i="1"/>
  <c r="B3956" i="1"/>
  <c r="C3956" i="1"/>
  <c r="D3956" i="1"/>
  <c r="Q3956" i="1"/>
  <c r="R3956" i="1"/>
  <c r="E3956" i="1"/>
  <c r="G3956" i="1"/>
  <c r="H3956" i="1"/>
  <c r="J3956" i="1"/>
  <c r="K3956" i="1"/>
  <c r="L3956" i="1"/>
  <c r="A3957" i="1"/>
  <c r="B3957" i="1"/>
  <c r="C3957" i="1"/>
  <c r="D3957" i="1"/>
  <c r="Q3957" i="1"/>
  <c r="R3957" i="1"/>
  <c r="E3957" i="1"/>
  <c r="G3957" i="1"/>
  <c r="H3957" i="1"/>
  <c r="J3957" i="1"/>
  <c r="K3957" i="1"/>
  <c r="L3957" i="1"/>
  <c r="A3958" i="1"/>
  <c r="B3958" i="1"/>
  <c r="C3958" i="1"/>
  <c r="D3958" i="1"/>
  <c r="Q3958" i="1"/>
  <c r="R3958" i="1"/>
  <c r="E3958" i="1"/>
  <c r="G3958" i="1"/>
  <c r="H3958" i="1"/>
  <c r="J3958" i="1"/>
  <c r="K3958" i="1"/>
  <c r="L3958" i="1"/>
  <c r="A3959" i="1"/>
  <c r="B3959" i="1"/>
  <c r="C3959" i="1"/>
  <c r="D3959" i="1"/>
  <c r="Q3959" i="1"/>
  <c r="R3959" i="1"/>
  <c r="E3959" i="1"/>
  <c r="G3959" i="1"/>
  <c r="H3959" i="1"/>
  <c r="J3959" i="1"/>
  <c r="K3959" i="1"/>
  <c r="L3959" i="1"/>
  <c r="A3960" i="1"/>
  <c r="B3960" i="1"/>
  <c r="C3960" i="1"/>
  <c r="D3960" i="1"/>
  <c r="Q3960" i="1"/>
  <c r="R3960" i="1"/>
  <c r="E3960" i="1"/>
  <c r="G3960" i="1"/>
  <c r="H3960" i="1"/>
  <c r="J3960" i="1"/>
  <c r="K3960" i="1"/>
  <c r="L3960" i="1"/>
  <c r="A3961" i="1"/>
  <c r="B3961" i="1"/>
  <c r="C3961" i="1"/>
  <c r="D3961" i="1"/>
  <c r="Q3961" i="1"/>
  <c r="R3961" i="1"/>
  <c r="E3961" i="1"/>
  <c r="G3961" i="1"/>
  <c r="H3961" i="1"/>
  <c r="J3961" i="1"/>
  <c r="K3961" i="1"/>
  <c r="L3961" i="1"/>
  <c r="A3962" i="1"/>
  <c r="B3962" i="1"/>
  <c r="C3962" i="1"/>
  <c r="D3962" i="1"/>
  <c r="Q3962" i="1"/>
  <c r="R3962" i="1"/>
  <c r="E3962" i="1"/>
  <c r="G3962" i="1"/>
  <c r="H3962" i="1"/>
  <c r="J3962" i="1"/>
  <c r="K3962" i="1"/>
  <c r="L3962" i="1"/>
  <c r="A3963" i="1"/>
  <c r="B3963" i="1"/>
  <c r="C3963" i="1"/>
  <c r="D3963" i="1"/>
  <c r="Q3963" i="1"/>
  <c r="R3963" i="1"/>
  <c r="E3963" i="1"/>
  <c r="G3963" i="1"/>
  <c r="H3963" i="1"/>
  <c r="J3963" i="1"/>
  <c r="K3963" i="1"/>
  <c r="L3963" i="1"/>
  <c r="A3964" i="1"/>
  <c r="B3964" i="1"/>
  <c r="C3964" i="1"/>
  <c r="D3964" i="1"/>
  <c r="Q3964" i="1"/>
  <c r="R3964" i="1"/>
  <c r="E3964" i="1"/>
  <c r="G3964" i="1"/>
  <c r="H3964" i="1"/>
  <c r="J3964" i="1"/>
  <c r="K3964" i="1"/>
  <c r="L3964" i="1"/>
  <c r="A3965" i="1"/>
  <c r="B3965" i="1"/>
  <c r="C3965" i="1"/>
  <c r="D3965" i="1"/>
  <c r="Q3965" i="1"/>
  <c r="R3965" i="1"/>
  <c r="E3965" i="1"/>
  <c r="G3965" i="1"/>
  <c r="H3965" i="1"/>
  <c r="J3965" i="1"/>
  <c r="K3965" i="1"/>
  <c r="L3965" i="1"/>
  <c r="A3966" i="1"/>
  <c r="B3966" i="1"/>
  <c r="C3966" i="1"/>
  <c r="D3966" i="1"/>
  <c r="Q3966" i="1"/>
  <c r="R3966" i="1"/>
  <c r="E3966" i="1"/>
  <c r="G3966" i="1"/>
  <c r="H3966" i="1"/>
  <c r="J3966" i="1"/>
  <c r="K3966" i="1"/>
  <c r="L3966" i="1"/>
  <c r="A3967" i="1"/>
  <c r="B3967" i="1"/>
  <c r="C3967" i="1"/>
  <c r="D3967" i="1"/>
  <c r="Q3967" i="1"/>
  <c r="R3967" i="1"/>
  <c r="E3967" i="1"/>
  <c r="G3967" i="1"/>
  <c r="H3967" i="1"/>
  <c r="J3967" i="1"/>
  <c r="K3967" i="1"/>
  <c r="L3967" i="1"/>
  <c r="A3968" i="1"/>
  <c r="B3968" i="1"/>
  <c r="C3968" i="1"/>
  <c r="D3968" i="1"/>
  <c r="Q3968" i="1"/>
  <c r="R3968" i="1"/>
  <c r="E3968" i="1"/>
  <c r="G3968" i="1"/>
  <c r="H3968" i="1"/>
  <c r="J3968" i="1"/>
  <c r="K3968" i="1"/>
  <c r="L3968" i="1"/>
  <c r="A3969" i="1"/>
  <c r="B3969" i="1"/>
  <c r="C3969" i="1"/>
  <c r="D3969" i="1"/>
  <c r="Q3969" i="1"/>
  <c r="R3969" i="1"/>
  <c r="E3969" i="1"/>
  <c r="G3969" i="1"/>
  <c r="H3969" i="1"/>
  <c r="J3969" i="1"/>
  <c r="K3969" i="1"/>
  <c r="L3969" i="1"/>
  <c r="A3970" i="1"/>
  <c r="B3970" i="1"/>
  <c r="C3970" i="1"/>
  <c r="D3970" i="1"/>
  <c r="Q3970" i="1"/>
  <c r="R3970" i="1"/>
  <c r="E3970" i="1"/>
  <c r="G3970" i="1"/>
  <c r="H3970" i="1"/>
  <c r="J3970" i="1"/>
  <c r="K3970" i="1"/>
  <c r="L3970" i="1"/>
  <c r="A3971" i="1"/>
  <c r="B3971" i="1"/>
  <c r="C3971" i="1"/>
  <c r="D3971" i="1"/>
  <c r="Q3971" i="1"/>
  <c r="R3971" i="1"/>
  <c r="E3971" i="1"/>
  <c r="G3971" i="1"/>
  <c r="H3971" i="1"/>
  <c r="J3971" i="1"/>
  <c r="K3971" i="1"/>
  <c r="L3971" i="1"/>
  <c r="A3972" i="1"/>
  <c r="B3972" i="1"/>
  <c r="C3972" i="1"/>
  <c r="D3972" i="1"/>
  <c r="Q3972" i="1"/>
  <c r="R3972" i="1"/>
  <c r="E3972" i="1"/>
  <c r="G3972" i="1"/>
  <c r="H3972" i="1"/>
  <c r="J3972" i="1"/>
  <c r="K3972" i="1"/>
  <c r="L3972" i="1"/>
  <c r="A3973" i="1"/>
  <c r="B3973" i="1"/>
  <c r="C3973" i="1"/>
  <c r="D3973" i="1"/>
  <c r="Q3973" i="1"/>
  <c r="R3973" i="1"/>
  <c r="E3973" i="1"/>
  <c r="G3973" i="1"/>
  <c r="H3973" i="1"/>
  <c r="J3973" i="1"/>
  <c r="K3973" i="1"/>
  <c r="L3973" i="1"/>
  <c r="A3974" i="1"/>
  <c r="B3974" i="1"/>
  <c r="C3974" i="1"/>
  <c r="D3974" i="1"/>
  <c r="Q3974" i="1"/>
  <c r="R3974" i="1"/>
  <c r="E3974" i="1"/>
  <c r="G3974" i="1"/>
  <c r="H3974" i="1"/>
  <c r="J3974" i="1"/>
  <c r="K3974" i="1"/>
  <c r="L3974" i="1"/>
  <c r="A3975" i="1"/>
  <c r="B3975" i="1"/>
  <c r="C3975" i="1"/>
  <c r="D3975" i="1"/>
  <c r="Q3975" i="1"/>
  <c r="R3975" i="1"/>
  <c r="E3975" i="1"/>
  <c r="G3975" i="1"/>
  <c r="H3975" i="1"/>
  <c r="J3975" i="1"/>
  <c r="K3975" i="1"/>
  <c r="L3975" i="1"/>
  <c r="A3976" i="1"/>
  <c r="B3976" i="1"/>
  <c r="C3976" i="1"/>
  <c r="D3976" i="1"/>
  <c r="Q3976" i="1"/>
  <c r="R3976" i="1"/>
  <c r="E3976" i="1"/>
  <c r="G3976" i="1"/>
  <c r="H3976" i="1"/>
  <c r="J3976" i="1"/>
  <c r="K3976" i="1"/>
  <c r="L3976" i="1"/>
  <c r="A3977" i="1"/>
  <c r="B3977" i="1"/>
  <c r="C3977" i="1"/>
  <c r="D3977" i="1"/>
  <c r="Q3977" i="1"/>
  <c r="R3977" i="1"/>
  <c r="E3977" i="1"/>
  <c r="G3977" i="1"/>
  <c r="H3977" i="1"/>
  <c r="J3977" i="1"/>
  <c r="K3977" i="1"/>
  <c r="L3977" i="1"/>
  <c r="A3978" i="1"/>
  <c r="B3978" i="1"/>
  <c r="C3978" i="1"/>
  <c r="D3978" i="1"/>
  <c r="Q3978" i="1"/>
  <c r="R3978" i="1"/>
  <c r="E3978" i="1"/>
  <c r="G3978" i="1"/>
  <c r="H3978" i="1"/>
  <c r="J3978" i="1"/>
  <c r="K3978" i="1"/>
  <c r="L3978" i="1"/>
  <c r="A3979" i="1"/>
  <c r="B3979" i="1"/>
  <c r="C3979" i="1"/>
  <c r="D3979" i="1"/>
  <c r="Q3979" i="1"/>
  <c r="R3979" i="1"/>
  <c r="E3979" i="1"/>
  <c r="G3979" i="1"/>
  <c r="H3979" i="1"/>
  <c r="J3979" i="1"/>
  <c r="K3979" i="1"/>
  <c r="L3979" i="1"/>
  <c r="A3980" i="1"/>
  <c r="B3980" i="1"/>
  <c r="C3980" i="1"/>
  <c r="D3980" i="1"/>
  <c r="Q3980" i="1"/>
  <c r="R3980" i="1"/>
  <c r="E3980" i="1"/>
  <c r="G3980" i="1"/>
  <c r="H3980" i="1"/>
  <c r="J3980" i="1"/>
  <c r="K3980" i="1"/>
  <c r="L3980" i="1"/>
  <c r="A3981" i="1"/>
  <c r="B3981" i="1"/>
  <c r="C3981" i="1"/>
  <c r="D3981" i="1"/>
  <c r="Q3981" i="1"/>
  <c r="R3981" i="1"/>
  <c r="E3981" i="1"/>
  <c r="G3981" i="1"/>
  <c r="H3981" i="1"/>
  <c r="J3981" i="1"/>
  <c r="K3981" i="1"/>
  <c r="L3981" i="1"/>
  <c r="A3982" i="1"/>
  <c r="B3982" i="1"/>
  <c r="C3982" i="1"/>
  <c r="D3982" i="1"/>
  <c r="Q3982" i="1"/>
  <c r="R3982" i="1"/>
  <c r="E3982" i="1"/>
  <c r="G3982" i="1"/>
  <c r="H3982" i="1"/>
  <c r="J3982" i="1"/>
  <c r="K3982" i="1"/>
  <c r="L3982" i="1"/>
  <c r="A3983" i="1"/>
  <c r="B3983" i="1"/>
  <c r="C3983" i="1"/>
  <c r="D3983" i="1"/>
  <c r="Q3983" i="1"/>
  <c r="R3983" i="1"/>
  <c r="E3983" i="1"/>
  <c r="G3983" i="1"/>
  <c r="H3983" i="1"/>
  <c r="J3983" i="1"/>
  <c r="K3983" i="1"/>
  <c r="L3983" i="1"/>
  <c r="A3984" i="1"/>
  <c r="B3984" i="1"/>
  <c r="C3984" i="1"/>
  <c r="D3984" i="1"/>
  <c r="Q3984" i="1"/>
  <c r="R3984" i="1"/>
  <c r="E3984" i="1"/>
  <c r="G3984" i="1"/>
  <c r="H3984" i="1"/>
  <c r="J3984" i="1"/>
  <c r="K3984" i="1"/>
  <c r="L3984" i="1"/>
  <c r="A3985" i="1"/>
  <c r="B3985" i="1"/>
  <c r="C3985" i="1"/>
  <c r="D3985" i="1"/>
  <c r="Q3985" i="1"/>
  <c r="R3985" i="1"/>
  <c r="E3985" i="1"/>
  <c r="G3985" i="1"/>
  <c r="H3985" i="1"/>
  <c r="J3985" i="1"/>
  <c r="K3985" i="1"/>
  <c r="L3985" i="1"/>
  <c r="A3986" i="1"/>
  <c r="B3986" i="1"/>
  <c r="C3986" i="1"/>
  <c r="D3986" i="1"/>
  <c r="Q3986" i="1"/>
  <c r="R3986" i="1"/>
  <c r="E3986" i="1"/>
  <c r="G3986" i="1"/>
  <c r="H3986" i="1"/>
  <c r="J3986" i="1"/>
  <c r="K3986" i="1"/>
  <c r="L3986" i="1"/>
  <c r="A3987" i="1"/>
  <c r="B3987" i="1"/>
  <c r="C3987" i="1"/>
  <c r="D3987" i="1"/>
  <c r="Q3987" i="1"/>
  <c r="R3987" i="1"/>
  <c r="E3987" i="1"/>
  <c r="G3987" i="1"/>
  <c r="H3987" i="1"/>
  <c r="J3987" i="1"/>
  <c r="K3987" i="1"/>
  <c r="L3987" i="1"/>
  <c r="A3988" i="1"/>
  <c r="B3988" i="1"/>
  <c r="C3988" i="1"/>
  <c r="D3988" i="1"/>
  <c r="Q3988" i="1"/>
  <c r="R3988" i="1"/>
  <c r="E3988" i="1"/>
  <c r="G3988" i="1"/>
  <c r="H3988" i="1"/>
  <c r="J3988" i="1"/>
  <c r="K3988" i="1"/>
  <c r="L3988" i="1"/>
  <c r="A3989" i="1"/>
  <c r="B3989" i="1"/>
  <c r="C3989" i="1"/>
  <c r="D3989" i="1"/>
  <c r="Q3989" i="1"/>
  <c r="R3989" i="1"/>
  <c r="E3989" i="1"/>
  <c r="G3989" i="1"/>
  <c r="H3989" i="1"/>
  <c r="J3989" i="1"/>
  <c r="K3989" i="1"/>
  <c r="L3989" i="1"/>
  <c r="A3990" i="1"/>
  <c r="B3990" i="1"/>
  <c r="C3990" i="1"/>
  <c r="D3990" i="1"/>
  <c r="Q3990" i="1"/>
  <c r="R3990" i="1"/>
  <c r="E3990" i="1"/>
  <c r="G3990" i="1"/>
  <c r="H3990" i="1"/>
  <c r="J3990" i="1"/>
  <c r="K3990" i="1"/>
  <c r="L3990" i="1"/>
  <c r="A3991" i="1"/>
  <c r="B3991" i="1"/>
  <c r="C3991" i="1"/>
  <c r="D3991" i="1"/>
  <c r="Q3991" i="1"/>
  <c r="R3991" i="1"/>
  <c r="E3991" i="1"/>
  <c r="G3991" i="1"/>
  <c r="H3991" i="1"/>
  <c r="J3991" i="1"/>
  <c r="K3991" i="1"/>
  <c r="L3991" i="1"/>
  <c r="A3992" i="1"/>
  <c r="B3992" i="1"/>
  <c r="C3992" i="1"/>
  <c r="D3992" i="1"/>
  <c r="Q3992" i="1"/>
  <c r="R3992" i="1"/>
  <c r="E3992" i="1"/>
  <c r="G3992" i="1"/>
  <c r="H3992" i="1"/>
  <c r="J3992" i="1"/>
  <c r="K3992" i="1"/>
  <c r="L3992" i="1"/>
  <c r="A3993" i="1"/>
  <c r="B3993" i="1"/>
  <c r="C3993" i="1"/>
  <c r="D3993" i="1"/>
  <c r="Q3993" i="1"/>
  <c r="R3993" i="1"/>
  <c r="E3993" i="1"/>
  <c r="G3993" i="1"/>
  <c r="H3993" i="1"/>
  <c r="J3993" i="1"/>
  <c r="K3993" i="1"/>
  <c r="L3993" i="1"/>
  <c r="A3994" i="1"/>
  <c r="B3994" i="1"/>
  <c r="C3994" i="1"/>
  <c r="D3994" i="1"/>
  <c r="Q3994" i="1"/>
  <c r="R3994" i="1"/>
  <c r="E3994" i="1"/>
  <c r="G3994" i="1"/>
  <c r="H3994" i="1"/>
  <c r="J3994" i="1"/>
  <c r="K3994" i="1"/>
  <c r="L3994" i="1"/>
  <c r="A3995" i="1"/>
  <c r="B3995" i="1"/>
  <c r="C3995" i="1"/>
  <c r="D3995" i="1"/>
  <c r="Q3995" i="1"/>
  <c r="R3995" i="1"/>
  <c r="E3995" i="1"/>
  <c r="G3995" i="1"/>
  <c r="H3995" i="1"/>
  <c r="J3995" i="1"/>
  <c r="K3995" i="1"/>
  <c r="L3995" i="1"/>
  <c r="A3996" i="1"/>
  <c r="B3996" i="1"/>
  <c r="C3996" i="1"/>
  <c r="D3996" i="1"/>
  <c r="Q3996" i="1"/>
  <c r="R3996" i="1"/>
  <c r="E3996" i="1"/>
  <c r="G3996" i="1"/>
  <c r="H3996" i="1"/>
  <c r="J3996" i="1"/>
  <c r="K3996" i="1"/>
  <c r="L3996" i="1"/>
  <c r="A3997" i="1"/>
  <c r="B3997" i="1"/>
  <c r="C3997" i="1"/>
  <c r="D3997" i="1"/>
  <c r="Q3997" i="1"/>
  <c r="R3997" i="1"/>
  <c r="E3997" i="1"/>
  <c r="G3997" i="1"/>
  <c r="H3997" i="1"/>
  <c r="J3997" i="1"/>
  <c r="K3997" i="1"/>
  <c r="L3997" i="1"/>
  <c r="A3998" i="1"/>
  <c r="B3998" i="1"/>
  <c r="C3998" i="1"/>
  <c r="D3998" i="1"/>
  <c r="Q3998" i="1"/>
  <c r="R3998" i="1"/>
  <c r="E3998" i="1"/>
  <c r="G3998" i="1"/>
  <c r="H3998" i="1"/>
  <c r="J3998" i="1"/>
  <c r="K3998" i="1"/>
  <c r="L3998" i="1"/>
  <c r="A3999" i="1"/>
  <c r="B3999" i="1"/>
  <c r="C3999" i="1"/>
  <c r="D3999" i="1"/>
  <c r="Q3999" i="1"/>
  <c r="R3999" i="1"/>
  <c r="E3999" i="1"/>
  <c r="G3999" i="1"/>
  <c r="H3999" i="1"/>
  <c r="J3999" i="1"/>
  <c r="K3999" i="1"/>
  <c r="L3999" i="1"/>
  <c r="A4000" i="1"/>
  <c r="B4000" i="1"/>
  <c r="C4000" i="1"/>
  <c r="D4000" i="1"/>
  <c r="Q4000" i="1"/>
  <c r="R4000" i="1"/>
  <c r="E4000" i="1"/>
  <c r="G4000" i="1"/>
  <c r="H4000" i="1"/>
  <c r="J4000" i="1"/>
  <c r="K4000" i="1"/>
  <c r="L4000" i="1"/>
  <c r="A4001" i="1"/>
  <c r="B4001" i="1"/>
  <c r="C4001" i="1"/>
  <c r="D4001" i="1"/>
  <c r="Q4001" i="1"/>
  <c r="R4001" i="1"/>
  <c r="E4001" i="1"/>
  <c r="G4001" i="1"/>
  <c r="H4001" i="1"/>
  <c r="J4001" i="1"/>
  <c r="K4001" i="1"/>
  <c r="L4001" i="1"/>
  <c r="A4002" i="1"/>
  <c r="B4002" i="1"/>
  <c r="C4002" i="1"/>
  <c r="D4002" i="1"/>
  <c r="Q4002" i="1"/>
  <c r="R4002" i="1"/>
  <c r="E4002" i="1"/>
  <c r="G4002" i="1"/>
  <c r="H4002" i="1"/>
  <c r="J4002" i="1"/>
  <c r="K4002" i="1"/>
  <c r="L4002" i="1"/>
  <c r="A4003" i="1"/>
  <c r="B4003" i="1"/>
  <c r="C4003" i="1"/>
  <c r="D4003" i="1"/>
  <c r="Q4003" i="1"/>
  <c r="R4003" i="1"/>
  <c r="E4003" i="1"/>
  <c r="G4003" i="1"/>
  <c r="H4003" i="1"/>
  <c r="J4003" i="1"/>
  <c r="K4003" i="1"/>
  <c r="L4003" i="1"/>
  <c r="A4004" i="1"/>
  <c r="B4004" i="1"/>
  <c r="C4004" i="1"/>
  <c r="D4004" i="1"/>
  <c r="Q4004" i="1"/>
  <c r="R4004" i="1"/>
  <c r="E4004" i="1"/>
  <c r="G4004" i="1"/>
  <c r="H4004" i="1"/>
  <c r="J4004" i="1"/>
  <c r="K4004" i="1"/>
  <c r="L4004" i="1"/>
  <c r="A4005" i="1"/>
  <c r="B4005" i="1"/>
  <c r="C4005" i="1"/>
  <c r="D4005" i="1"/>
  <c r="Q4005" i="1"/>
  <c r="R4005" i="1"/>
  <c r="E4005" i="1"/>
  <c r="G4005" i="1"/>
  <c r="H4005" i="1"/>
  <c r="J4005" i="1"/>
  <c r="K4005" i="1"/>
  <c r="L4005" i="1"/>
  <c r="A4006" i="1"/>
  <c r="B4006" i="1"/>
  <c r="C4006" i="1"/>
  <c r="D4006" i="1"/>
  <c r="Q4006" i="1"/>
  <c r="R4006" i="1"/>
  <c r="E4006" i="1"/>
  <c r="G4006" i="1"/>
  <c r="H4006" i="1"/>
  <c r="J4006" i="1"/>
  <c r="K4006" i="1"/>
  <c r="L4006" i="1"/>
  <c r="A4007" i="1"/>
  <c r="B4007" i="1"/>
  <c r="C4007" i="1"/>
  <c r="D4007" i="1"/>
  <c r="Q4007" i="1"/>
  <c r="R4007" i="1"/>
  <c r="E4007" i="1"/>
  <c r="G4007" i="1"/>
  <c r="H4007" i="1"/>
  <c r="J4007" i="1"/>
  <c r="K4007" i="1"/>
  <c r="L4007" i="1"/>
  <c r="A4008" i="1"/>
  <c r="B4008" i="1"/>
  <c r="C4008" i="1"/>
  <c r="D4008" i="1"/>
  <c r="Q4008" i="1"/>
  <c r="R4008" i="1"/>
  <c r="E4008" i="1"/>
  <c r="G4008" i="1"/>
  <c r="H4008" i="1"/>
  <c r="J4008" i="1"/>
  <c r="K4008" i="1"/>
  <c r="L4008" i="1"/>
  <c r="A4009" i="1"/>
  <c r="B4009" i="1"/>
  <c r="C4009" i="1"/>
  <c r="D4009" i="1"/>
  <c r="Q4009" i="1"/>
  <c r="R4009" i="1"/>
  <c r="E4009" i="1"/>
  <c r="G4009" i="1"/>
  <c r="H4009" i="1"/>
  <c r="J4009" i="1"/>
  <c r="K4009" i="1"/>
  <c r="L4009" i="1"/>
  <c r="A4010" i="1"/>
  <c r="B4010" i="1"/>
  <c r="C4010" i="1"/>
  <c r="D4010" i="1"/>
  <c r="Q4010" i="1"/>
  <c r="R4010" i="1"/>
  <c r="E4010" i="1"/>
  <c r="G4010" i="1"/>
  <c r="H4010" i="1"/>
  <c r="J4010" i="1"/>
  <c r="K4010" i="1"/>
  <c r="L4010" i="1"/>
  <c r="A4011" i="1"/>
  <c r="B4011" i="1"/>
  <c r="C4011" i="1"/>
  <c r="D4011" i="1"/>
  <c r="Q4011" i="1"/>
  <c r="R4011" i="1"/>
  <c r="E4011" i="1"/>
  <c r="G4011" i="1"/>
  <c r="H4011" i="1"/>
  <c r="J4011" i="1"/>
  <c r="K4011" i="1"/>
  <c r="L4011" i="1"/>
  <c r="A4012" i="1"/>
  <c r="B4012" i="1"/>
  <c r="C4012" i="1"/>
  <c r="D4012" i="1"/>
  <c r="Q4012" i="1"/>
  <c r="R4012" i="1"/>
  <c r="E4012" i="1"/>
  <c r="G4012" i="1"/>
  <c r="H4012" i="1"/>
  <c r="J4012" i="1"/>
  <c r="K4012" i="1"/>
  <c r="L4012" i="1"/>
  <c r="A4013" i="1"/>
  <c r="B4013" i="1"/>
  <c r="C4013" i="1"/>
  <c r="D4013" i="1"/>
  <c r="Q4013" i="1"/>
  <c r="R4013" i="1"/>
  <c r="E4013" i="1"/>
  <c r="G4013" i="1"/>
  <c r="H4013" i="1"/>
  <c r="J4013" i="1"/>
  <c r="K4013" i="1"/>
  <c r="L4013" i="1"/>
  <c r="A4014" i="1"/>
  <c r="B4014" i="1"/>
  <c r="C4014" i="1"/>
  <c r="D4014" i="1"/>
  <c r="Q4014" i="1"/>
  <c r="R4014" i="1"/>
  <c r="E4014" i="1"/>
  <c r="G4014" i="1"/>
  <c r="H4014" i="1"/>
  <c r="J4014" i="1"/>
  <c r="K4014" i="1"/>
  <c r="L4014" i="1"/>
  <c r="A4015" i="1"/>
  <c r="B4015" i="1"/>
  <c r="C4015" i="1"/>
  <c r="D4015" i="1"/>
  <c r="Q4015" i="1"/>
  <c r="R4015" i="1"/>
  <c r="E4015" i="1"/>
  <c r="G4015" i="1"/>
  <c r="H4015" i="1"/>
  <c r="J4015" i="1"/>
  <c r="K4015" i="1"/>
  <c r="L4015" i="1"/>
  <c r="A4016" i="1"/>
  <c r="B4016" i="1"/>
  <c r="C4016" i="1"/>
  <c r="D4016" i="1"/>
  <c r="Q4016" i="1"/>
  <c r="R4016" i="1"/>
  <c r="E4016" i="1"/>
  <c r="G4016" i="1"/>
  <c r="H4016" i="1"/>
  <c r="J4016" i="1"/>
  <c r="K4016" i="1"/>
  <c r="L4016" i="1"/>
  <c r="A4017" i="1"/>
  <c r="B4017" i="1"/>
  <c r="C4017" i="1"/>
  <c r="D4017" i="1"/>
  <c r="Q4017" i="1"/>
  <c r="R4017" i="1"/>
  <c r="E4017" i="1"/>
  <c r="G4017" i="1"/>
  <c r="H4017" i="1"/>
  <c r="J4017" i="1"/>
  <c r="K4017" i="1"/>
  <c r="L4017" i="1"/>
  <c r="A4018" i="1"/>
  <c r="B4018" i="1"/>
  <c r="C4018" i="1"/>
  <c r="D4018" i="1"/>
  <c r="Q4018" i="1"/>
  <c r="R4018" i="1"/>
  <c r="E4018" i="1"/>
  <c r="G4018" i="1"/>
  <c r="H4018" i="1"/>
  <c r="J4018" i="1"/>
  <c r="K4018" i="1"/>
  <c r="L4018" i="1"/>
  <c r="A4019" i="1"/>
  <c r="B4019" i="1"/>
  <c r="C4019" i="1"/>
  <c r="D4019" i="1"/>
  <c r="Q4019" i="1"/>
  <c r="R4019" i="1"/>
  <c r="E4019" i="1"/>
  <c r="G4019" i="1"/>
  <c r="H4019" i="1"/>
  <c r="J4019" i="1"/>
  <c r="K4019" i="1"/>
  <c r="L4019" i="1"/>
  <c r="A4020" i="1"/>
  <c r="B4020" i="1"/>
  <c r="C4020" i="1"/>
  <c r="D4020" i="1"/>
  <c r="Q4020" i="1"/>
  <c r="R4020" i="1"/>
  <c r="E4020" i="1"/>
  <c r="G4020" i="1"/>
  <c r="H4020" i="1"/>
  <c r="J4020" i="1"/>
  <c r="K4020" i="1"/>
  <c r="L4020" i="1"/>
  <c r="A4021" i="1"/>
  <c r="B4021" i="1"/>
  <c r="C4021" i="1"/>
  <c r="D4021" i="1"/>
  <c r="Q4021" i="1"/>
  <c r="R4021" i="1"/>
  <c r="E4021" i="1"/>
  <c r="G4021" i="1"/>
  <c r="H4021" i="1"/>
  <c r="J4021" i="1"/>
  <c r="K4021" i="1"/>
  <c r="L4021" i="1"/>
  <c r="A4022" i="1"/>
  <c r="B4022" i="1"/>
  <c r="C4022" i="1"/>
  <c r="D4022" i="1"/>
  <c r="Q4022" i="1"/>
  <c r="R4022" i="1"/>
  <c r="E4022" i="1"/>
  <c r="G4022" i="1"/>
  <c r="H4022" i="1"/>
  <c r="J4022" i="1"/>
  <c r="K4022" i="1"/>
  <c r="L4022" i="1"/>
  <c r="A4023" i="1"/>
  <c r="B4023" i="1"/>
  <c r="C4023" i="1"/>
  <c r="D4023" i="1"/>
  <c r="Q4023" i="1"/>
  <c r="R4023" i="1"/>
  <c r="E4023" i="1"/>
  <c r="G4023" i="1"/>
  <c r="H4023" i="1"/>
  <c r="J4023" i="1"/>
  <c r="K4023" i="1"/>
  <c r="L4023" i="1"/>
  <c r="A4024" i="1"/>
  <c r="B4024" i="1"/>
  <c r="C4024" i="1"/>
  <c r="D4024" i="1"/>
  <c r="Q4024" i="1"/>
  <c r="R4024" i="1"/>
  <c r="E4024" i="1"/>
  <c r="G4024" i="1"/>
  <c r="H4024" i="1"/>
  <c r="J4024" i="1"/>
  <c r="K4024" i="1"/>
  <c r="L4024" i="1"/>
  <c r="A4025" i="1"/>
  <c r="B4025" i="1"/>
  <c r="C4025" i="1"/>
  <c r="D4025" i="1"/>
  <c r="Q4025" i="1"/>
  <c r="R4025" i="1"/>
  <c r="E4025" i="1"/>
  <c r="G4025" i="1"/>
  <c r="H4025" i="1"/>
  <c r="J4025" i="1"/>
  <c r="K4025" i="1"/>
  <c r="L4025" i="1"/>
  <c r="A4026" i="1"/>
  <c r="B4026" i="1"/>
  <c r="C4026" i="1"/>
  <c r="D4026" i="1"/>
  <c r="Q4026" i="1"/>
  <c r="R4026" i="1"/>
  <c r="E4026" i="1"/>
  <c r="G4026" i="1"/>
  <c r="H4026" i="1"/>
  <c r="J4026" i="1"/>
  <c r="K4026" i="1"/>
  <c r="L4026" i="1"/>
  <c r="A4027" i="1"/>
  <c r="B4027" i="1"/>
  <c r="C4027" i="1"/>
  <c r="D4027" i="1"/>
  <c r="Q4027" i="1"/>
  <c r="R4027" i="1"/>
  <c r="E4027" i="1"/>
  <c r="G4027" i="1"/>
  <c r="H4027" i="1"/>
  <c r="J4027" i="1"/>
  <c r="K4027" i="1"/>
  <c r="L4027" i="1"/>
  <c r="A4028" i="1"/>
  <c r="B4028" i="1"/>
  <c r="C4028" i="1"/>
  <c r="D4028" i="1"/>
  <c r="Q4028" i="1"/>
  <c r="R4028" i="1"/>
  <c r="E4028" i="1"/>
  <c r="G4028" i="1"/>
  <c r="H4028" i="1"/>
  <c r="J4028" i="1"/>
  <c r="K4028" i="1"/>
  <c r="L4028" i="1"/>
  <c r="A4029" i="1"/>
  <c r="B4029" i="1"/>
  <c r="C4029" i="1"/>
  <c r="D4029" i="1"/>
  <c r="Q4029" i="1"/>
  <c r="R4029" i="1"/>
  <c r="E4029" i="1"/>
  <c r="G4029" i="1"/>
  <c r="H4029" i="1"/>
  <c r="J4029" i="1"/>
  <c r="K4029" i="1"/>
  <c r="L4029" i="1"/>
  <c r="A4030" i="1"/>
  <c r="B4030" i="1"/>
  <c r="C4030" i="1"/>
  <c r="D4030" i="1"/>
  <c r="Q4030" i="1"/>
  <c r="R4030" i="1"/>
  <c r="E4030" i="1"/>
  <c r="G4030" i="1"/>
  <c r="H4030" i="1"/>
  <c r="J4030" i="1"/>
  <c r="K4030" i="1"/>
  <c r="L4030" i="1"/>
  <c r="A4031" i="1"/>
  <c r="B4031" i="1"/>
  <c r="C4031" i="1"/>
  <c r="D4031" i="1"/>
  <c r="Q4031" i="1"/>
  <c r="R4031" i="1"/>
  <c r="E4031" i="1"/>
  <c r="G4031" i="1"/>
  <c r="H4031" i="1"/>
  <c r="J4031" i="1"/>
  <c r="K4031" i="1"/>
  <c r="L4031" i="1"/>
  <c r="A4032" i="1"/>
  <c r="B4032" i="1"/>
  <c r="C4032" i="1"/>
  <c r="D4032" i="1"/>
  <c r="Q4032" i="1"/>
  <c r="R4032" i="1"/>
  <c r="E4032" i="1"/>
  <c r="G4032" i="1"/>
  <c r="H4032" i="1"/>
  <c r="J4032" i="1"/>
  <c r="K4032" i="1"/>
  <c r="L4032" i="1"/>
  <c r="A4033" i="1"/>
  <c r="B4033" i="1"/>
  <c r="C4033" i="1"/>
  <c r="D4033" i="1"/>
  <c r="Q4033" i="1"/>
  <c r="R4033" i="1"/>
  <c r="E4033" i="1"/>
  <c r="G4033" i="1"/>
  <c r="H4033" i="1"/>
  <c r="J4033" i="1"/>
  <c r="K4033" i="1"/>
  <c r="L4033" i="1"/>
  <c r="A4034" i="1"/>
  <c r="B4034" i="1"/>
  <c r="C4034" i="1"/>
  <c r="D4034" i="1"/>
  <c r="Q4034" i="1"/>
  <c r="R4034" i="1"/>
  <c r="E4034" i="1"/>
  <c r="G4034" i="1"/>
  <c r="H4034" i="1"/>
  <c r="J4034" i="1"/>
  <c r="K4034" i="1"/>
  <c r="L4034" i="1"/>
  <c r="A4035" i="1"/>
  <c r="B4035" i="1"/>
  <c r="C4035" i="1"/>
  <c r="D4035" i="1"/>
  <c r="Q4035" i="1"/>
  <c r="R4035" i="1"/>
  <c r="E4035" i="1"/>
  <c r="G4035" i="1"/>
  <c r="H4035" i="1"/>
  <c r="J4035" i="1"/>
  <c r="K4035" i="1"/>
  <c r="L4035" i="1"/>
  <c r="A4036" i="1"/>
  <c r="B4036" i="1"/>
  <c r="C4036" i="1"/>
  <c r="D4036" i="1"/>
  <c r="Q4036" i="1"/>
  <c r="R4036" i="1"/>
  <c r="E4036" i="1"/>
  <c r="G4036" i="1"/>
  <c r="H4036" i="1"/>
  <c r="J4036" i="1"/>
  <c r="K4036" i="1"/>
  <c r="L4036" i="1"/>
  <c r="A4037" i="1"/>
  <c r="B4037" i="1"/>
  <c r="C4037" i="1"/>
  <c r="D4037" i="1"/>
  <c r="Q4037" i="1"/>
  <c r="R4037" i="1"/>
  <c r="E4037" i="1"/>
  <c r="G4037" i="1"/>
  <c r="H4037" i="1"/>
  <c r="J4037" i="1"/>
  <c r="K4037" i="1"/>
  <c r="L4037" i="1"/>
  <c r="A4038" i="1"/>
  <c r="B4038" i="1"/>
  <c r="C4038" i="1"/>
  <c r="D4038" i="1"/>
  <c r="Q4038" i="1"/>
  <c r="R4038" i="1"/>
  <c r="E4038" i="1"/>
  <c r="G4038" i="1"/>
  <c r="H4038" i="1"/>
  <c r="J4038" i="1"/>
  <c r="K4038" i="1"/>
  <c r="L4038" i="1"/>
  <c r="A4039" i="1"/>
  <c r="B4039" i="1"/>
  <c r="C4039" i="1"/>
  <c r="D4039" i="1"/>
  <c r="Q4039" i="1"/>
  <c r="R4039" i="1"/>
  <c r="E4039" i="1"/>
  <c r="G4039" i="1"/>
  <c r="H4039" i="1"/>
  <c r="J4039" i="1"/>
  <c r="K4039" i="1"/>
  <c r="L4039" i="1"/>
  <c r="A4040" i="1"/>
  <c r="B4040" i="1"/>
  <c r="C4040" i="1"/>
  <c r="D4040" i="1"/>
  <c r="Q4040" i="1"/>
  <c r="R4040" i="1"/>
  <c r="E4040" i="1"/>
  <c r="G4040" i="1"/>
  <c r="H4040" i="1"/>
  <c r="J4040" i="1"/>
  <c r="K4040" i="1"/>
  <c r="L4040" i="1"/>
  <c r="A4041" i="1"/>
  <c r="B4041" i="1"/>
  <c r="C4041" i="1"/>
  <c r="D4041" i="1"/>
  <c r="Q4041" i="1"/>
  <c r="R4041" i="1"/>
  <c r="E4041" i="1"/>
  <c r="G4041" i="1"/>
  <c r="H4041" i="1"/>
  <c r="J4041" i="1"/>
  <c r="K4041" i="1"/>
  <c r="L4041" i="1"/>
  <c r="A4042" i="1"/>
  <c r="B4042" i="1"/>
  <c r="C4042" i="1"/>
  <c r="D4042" i="1"/>
  <c r="Q4042" i="1"/>
  <c r="R4042" i="1"/>
  <c r="E4042" i="1"/>
  <c r="G4042" i="1"/>
  <c r="H4042" i="1"/>
  <c r="J4042" i="1"/>
  <c r="K4042" i="1"/>
  <c r="L4042" i="1"/>
  <c r="A4043" i="1"/>
  <c r="B4043" i="1"/>
  <c r="C4043" i="1"/>
  <c r="D4043" i="1"/>
  <c r="Q4043" i="1"/>
  <c r="R4043" i="1"/>
  <c r="E4043" i="1"/>
  <c r="G4043" i="1"/>
  <c r="H4043" i="1"/>
  <c r="J4043" i="1"/>
  <c r="K4043" i="1"/>
  <c r="L4043" i="1"/>
  <c r="A4044" i="1"/>
  <c r="B4044" i="1"/>
  <c r="C4044" i="1"/>
  <c r="D4044" i="1"/>
  <c r="Q4044" i="1"/>
  <c r="R4044" i="1"/>
  <c r="E4044" i="1"/>
  <c r="G4044" i="1"/>
  <c r="H4044" i="1"/>
  <c r="J4044" i="1"/>
  <c r="K4044" i="1"/>
  <c r="L4044" i="1"/>
  <c r="A4045" i="1"/>
  <c r="B4045" i="1"/>
  <c r="C4045" i="1"/>
  <c r="D4045" i="1"/>
  <c r="Q4045" i="1"/>
  <c r="R4045" i="1"/>
  <c r="E4045" i="1"/>
  <c r="G4045" i="1"/>
  <c r="H4045" i="1"/>
  <c r="J4045" i="1"/>
  <c r="K4045" i="1"/>
  <c r="L4045" i="1"/>
  <c r="A4046" i="1"/>
  <c r="B4046" i="1"/>
  <c r="C4046" i="1"/>
  <c r="D4046" i="1"/>
  <c r="Q4046" i="1"/>
  <c r="R4046" i="1"/>
  <c r="E4046" i="1"/>
  <c r="G4046" i="1"/>
  <c r="H4046" i="1"/>
  <c r="J4046" i="1"/>
  <c r="K4046" i="1"/>
  <c r="L4046" i="1"/>
  <c r="A4047" i="1"/>
  <c r="B4047" i="1"/>
  <c r="C4047" i="1"/>
  <c r="D4047" i="1"/>
  <c r="Q4047" i="1"/>
  <c r="R4047" i="1"/>
  <c r="E4047" i="1"/>
  <c r="G4047" i="1"/>
  <c r="H4047" i="1"/>
  <c r="J4047" i="1"/>
  <c r="K4047" i="1"/>
  <c r="L4047" i="1"/>
  <c r="A4048" i="1"/>
  <c r="B4048" i="1"/>
  <c r="C4048" i="1"/>
  <c r="D4048" i="1"/>
  <c r="Q4048" i="1"/>
  <c r="R4048" i="1"/>
  <c r="E4048" i="1"/>
  <c r="G4048" i="1"/>
  <c r="H4048" i="1"/>
  <c r="J4048" i="1"/>
  <c r="K4048" i="1"/>
  <c r="L4048" i="1"/>
  <c r="A4049" i="1"/>
  <c r="B4049" i="1"/>
  <c r="C4049" i="1"/>
  <c r="D4049" i="1"/>
  <c r="Q4049" i="1"/>
  <c r="R4049" i="1"/>
  <c r="E4049" i="1"/>
  <c r="G4049" i="1"/>
  <c r="H4049" i="1"/>
  <c r="J4049" i="1"/>
  <c r="K4049" i="1"/>
  <c r="L4049" i="1"/>
  <c r="A4050" i="1"/>
  <c r="B4050" i="1"/>
  <c r="C4050" i="1"/>
  <c r="D4050" i="1"/>
  <c r="Q4050" i="1"/>
  <c r="R4050" i="1"/>
  <c r="E4050" i="1"/>
  <c r="G4050" i="1"/>
  <c r="H4050" i="1"/>
  <c r="J4050" i="1"/>
  <c r="K4050" i="1"/>
  <c r="L4050" i="1"/>
  <c r="A4051" i="1"/>
  <c r="B4051" i="1"/>
  <c r="C4051" i="1"/>
  <c r="D4051" i="1"/>
  <c r="Q4051" i="1"/>
  <c r="R4051" i="1"/>
  <c r="E4051" i="1"/>
  <c r="G4051" i="1"/>
  <c r="H4051" i="1"/>
  <c r="J4051" i="1"/>
  <c r="K4051" i="1"/>
  <c r="L4051" i="1"/>
  <c r="A4052" i="1"/>
  <c r="B4052" i="1"/>
  <c r="C4052" i="1"/>
  <c r="D4052" i="1"/>
  <c r="Q4052" i="1"/>
  <c r="R4052" i="1"/>
  <c r="E4052" i="1"/>
  <c r="G4052" i="1"/>
  <c r="H4052" i="1"/>
  <c r="J4052" i="1"/>
  <c r="K4052" i="1"/>
  <c r="L4052" i="1"/>
  <c r="A4053" i="1"/>
  <c r="B4053" i="1"/>
  <c r="C4053" i="1"/>
  <c r="D4053" i="1"/>
  <c r="Q4053" i="1"/>
  <c r="R4053" i="1"/>
  <c r="E4053" i="1"/>
  <c r="G4053" i="1"/>
  <c r="H4053" i="1"/>
  <c r="J4053" i="1"/>
  <c r="K4053" i="1"/>
  <c r="L4053" i="1"/>
  <c r="A4054" i="1"/>
  <c r="B4054" i="1"/>
  <c r="C4054" i="1"/>
  <c r="D4054" i="1"/>
  <c r="Q4054" i="1"/>
  <c r="R4054" i="1"/>
  <c r="E4054" i="1"/>
  <c r="G4054" i="1"/>
  <c r="H4054" i="1"/>
  <c r="J4054" i="1"/>
  <c r="K4054" i="1"/>
  <c r="L4054" i="1"/>
  <c r="A4055" i="1"/>
  <c r="B4055" i="1"/>
  <c r="C4055" i="1"/>
  <c r="D4055" i="1"/>
  <c r="Q4055" i="1"/>
  <c r="R4055" i="1"/>
  <c r="E4055" i="1"/>
  <c r="G4055" i="1"/>
  <c r="H4055" i="1"/>
  <c r="J4055" i="1"/>
  <c r="K4055" i="1"/>
  <c r="L4055" i="1"/>
  <c r="A4056" i="1"/>
  <c r="B4056" i="1"/>
  <c r="C4056" i="1"/>
  <c r="D4056" i="1"/>
  <c r="Q4056" i="1"/>
  <c r="R4056" i="1"/>
  <c r="E4056" i="1"/>
  <c r="G4056" i="1"/>
  <c r="H4056" i="1"/>
  <c r="J4056" i="1"/>
  <c r="K4056" i="1"/>
  <c r="L4056" i="1"/>
  <c r="A4057" i="1"/>
  <c r="B4057" i="1"/>
  <c r="C4057" i="1"/>
  <c r="D4057" i="1"/>
  <c r="Q4057" i="1"/>
  <c r="R4057" i="1"/>
  <c r="E4057" i="1"/>
  <c r="G4057" i="1"/>
  <c r="H4057" i="1"/>
  <c r="J4057" i="1"/>
  <c r="K4057" i="1"/>
  <c r="L4057" i="1"/>
  <c r="A4058" i="1"/>
  <c r="B4058" i="1"/>
  <c r="C4058" i="1"/>
  <c r="D4058" i="1"/>
  <c r="Q4058" i="1"/>
  <c r="R4058" i="1"/>
  <c r="E4058" i="1"/>
  <c r="G4058" i="1"/>
  <c r="H4058" i="1"/>
  <c r="J4058" i="1"/>
  <c r="K4058" i="1"/>
  <c r="L4058" i="1"/>
  <c r="A4059" i="1"/>
  <c r="B4059" i="1"/>
  <c r="C4059" i="1"/>
  <c r="D4059" i="1"/>
  <c r="Q4059" i="1"/>
  <c r="R4059" i="1"/>
  <c r="E4059" i="1"/>
  <c r="G4059" i="1"/>
  <c r="H4059" i="1"/>
  <c r="J4059" i="1"/>
  <c r="K4059" i="1"/>
  <c r="L4059" i="1"/>
  <c r="A4060" i="1"/>
  <c r="B4060" i="1"/>
  <c r="C4060" i="1"/>
  <c r="D4060" i="1"/>
  <c r="Q4060" i="1"/>
  <c r="R4060" i="1"/>
  <c r="E4060" i="1"/>
  <c r="G4060" i="1"/>
  <c r="H4060" i="1"/>
  <c r="J4060" i="1"/>
  <c r="K4060" i="1"/>
  <c r="L4060" i="1"/>
  <c r="A4061" i="1"/>
  <c r="B4061" i="1"/>
  <c r="C4061" i="1"/>
  <c r="D4061" i="1"/>
  <c r="Q4061" i="1"/>
  <c r="R4061" i="1"/>
  <c r="E4061" i="1"/>
  <c r="G4061" i="1"/>
  <c r="H4061" i="1"/>
  <c r="J4061" i="1"/>
  <c r="K4061" i="1"/>
  <c r="L4061" i="1"/>
  <c r="A4062" i="1"/>
  <c r="B4062" i="1"/>
  <c r="C4062" i="1"/>
  <c r="D4062" i="1"/>
  <c r="Q4062" i="1"/>
  <c r="R4062" i="1"/>
  <c r="E4062" i="1"/>
  <c r="G4062" i="1"/>
  <c r="H4062" i="1"/>
  <c r="J4062" i="1"/>
  <c r="K4062" i="1"/>
  <c r="L4062" i="1"/>
  <c r="A4063" i="1"/>
  <c r="B4063" i="1"/>
  <c r="C4063" i="1"/>
  <c r="D4063" i="1"/>
  <c r="Q4063" i="1"/>
  <c r="R4063" i="1"/>
  <c r="E4063" i="1"/>
  <c r="G4063" i="1"/>
  <c r="H4063" i="1"/>
  <c r="J4063" i="1"/>
  <c r="K4063" i="1"/>
  <c r="L4063" i="1"/>
  <c r="A4064" i="1"/>
  <c r="B4064" i="1"/>
  <c r="C4064" i="1"/>
  <c r="D4064" i="1"/>
  <c r="Q4064" i="1"/>
  <c r="R4064" i="1"/>
  <c r="E4064" i="1"/>
  <c r="G4064" i="1"/>
  <c r="H4064" i="1"/>
  <c r="J4064" i="1"/>
  <c r="K4064" i="1"/>
  <c r="L4064" i="1"/>
  <c r="A4065" i="1"/>
  <c r="B4065" i="1"/>
  <c r="C4065" i="1"/>
  <c r="D4065" i="1"/>
  <c r="Q4065" i="1"/>
  <c r="R4065" i="1"/>
  <c r="E4065" i="1"/>
  <c r="G4065" i="1"/>
  <c r="H4065" i="1"/>
  <c r="J4065" i="1"/>
  <c r="K4065" i="1"/>
  <c r="L4065" i="1"/>
  <c r="A4066" i="1"/>
  <c r="B4066" i="1"/>
  <c r="C4066" i="1"/>
  <c r="D4066" i="1"/>
  <c r="Q4066" i="1"/>
  <c r="R4066" i="1"/>
  <c r="E4066" i="1"/>
  <c r="G4066" i="1"/>
  <c r="H4066" i="1"/>
  <c r="J4066" i="1"/>
  <c r="K4066" i="1"/>
  <c r="L4066" i="1"/>
  <c r="A4067" i="1"/>
  <c r="B4067" i="1"/>
  <c r="C4067" i="1"/>
  <c r="D4067" i="1"/>
  <c r="Q4067" i="1"/>
  <c r="R4067" i="1"/>
  <c r="E4067" i="1"/>
  <c r="G4067" i="1"/>
  <c r="H4067" i="1"/>
  <c r="J4067" i="1"/>
  <c r="K4067" i="1"/>
  <c r="L4067" i="1"/>
  <c r="A4068" i="1"/>
  <c r="B4068" i="1"/>
  <c r="C4068" i="1"/>
  <c r="D4068" i="1"/>
  <c r="Q4068" i="1"/>
  <c r="R4068" i="1"/>
  <c r="E4068" i="1"/>
  <c r="G4068" i="1"/>
  <c r="H4068" i="1"/>
  <c r="J4068" i="1"/>
  <c r="K4068" i="1"/>
  <c r="L4068" i="1"/>
  <c r="A4069" i="1"/>
  <c r="B4069" i="1"/>
  <c r="C4069" i="1"/>
  <c r="D4069" i="1"/>
  <c r="Q4069" i="1"/>
  <c r="R4069" i="1"/>
  <c r="E4069" i="1"/>
  <c r="G4069" i="1"/>
  <c r="H4069" i="1"/>
  <c r="J4069" i="1"/>
  <c r="K4069" i="1"/>
  <c r="L4069" i="1"/>
  <c r="A4070" i="1"/>
  <c r="B4070" i="1"/>
  <c r="C4070" i="1"/>
  <c r="D4070" i="1"/>
  <c r="Q4070" i="1"/>
  <c r="R4070" i="1"/>
  <c r="E4070" i="1"/>
  <c r="G4070" i="1"/>
  <c r="H4070" i="1"/>
  <c r="J4070" i="1"/>
  <c r="K4070" i="1"/>
  <c r="L4070" i="1"/>
  <c r="A4071" i="1"/>
  <c r="B4071" i="1"/>
  <c r="C4071" i="1"/>
  <c r="D4071" i="1"/>
  <c r="Q4071" i="1"/>
  <c r="R4071" i="1"/>
  <c r="E4071" i="1"/>
  <c r="G4071" i="1"/>
  <c r="H4071" i="1"/>
  <c r="J4071" i="1"/>
  <c r="K4071" i="1"/>
  <c r="L4071" i="1"/>
  <c r="A4072" i="1"/>
  <c r="B4072" i="1"/>
  <c r="C4072" i="1"/>
  <c r="D4072" i="1"/>
  <c r="Q4072" i="1"/>
  <c r="R4072" i="1"/>
  <c r="E4072" i="1"/>
  <c r="G4072" i="1"/>
  <c r="H4072" i="1"/>
  <c r="J4072" i="1"/>
  <c r="K4072" i="1"/>
  <c r="L4072" i="1"/>
  <c r="A4073" i="1"/>
  <c r="B4073" i="1"/>
  <c r="C4073" i="1"/>
  <c r="D4073" i="1"/>
  <c r="Q4073" i="1"/>
  <c r="R4073" i="1"/>
  <c r="E4073" i="1"/>
  <c r="G4073" i="1"/>
  <c r="H4073" i="1"/>
  <c r="J4073" i="1"/>
  <c r="K4073" i="1"/>
  <c r="L4073" i="1"/>
  <c r="A4074" i="1"/>
  <c r="B4074" i="1"/>
  <c r="C4074" i="1"/>
  <c r="D4074" i="1"/>
  <c r="Q4074" i="1"/>
  <c r="R4074" i="1"/>
  <c r="E4074" i="1"/>
  <c r="G4074" i="1"/>
  <c r="H4074" i="1"/>
  <c r="J4074" i="1"/>
  <c r="K4074" i="1"/>
  <c r="L4074" i="1"/>
  <c r="A4075" i="1"/>
  <c r="B4075" i="1"/>
  <c r="C4075" i="1"/>
  <c r="D4075" i="1"/>
  <c r="Q4075" i="1"/>
  <c r="R4075" i="1"/>
  <c r="E4075" i="1"/>
  <c r="G4075" i="1"/>
  <c r="H4075" i="1"/>
  <c r="J4075" i="1"/>
  <c r="K4075" i="1"/>
  <c r="L4075" i="1"/>
  <c r="A4076" i="1"/>
  <c r="B4076" i="1"/>
  <c r="C4076" i="1"/>
  <c r="D4076" i="1"/>
  <c r="Q4076" i="1"/>
  <c r="R4076" i="1"/>
  <c r="E4076" i="1"/>
  <c r="G4076" i="1"/>
  <c r="H4076" i="1"/>
  <c r="J4076" i="1"/>
  <c r="K4076" i="1"/>
  <c r="L4076" i="1"/>
  <c r="A4077" i="1"/>
  <c r="B4077" i="1"/>
  <c r="C4077" i="1"/>
  <c r="D4077" i="1"/>
  <c r="Q4077" i="1"/>
  <c r="R4077" i="1"/>
  <c r="E4077" i="1"/>
  <c r="G4077" i="1"/>
  <c r="H4077" i="1"/>
  <c r="J4077" i="1"/>
  <c r="K4077" i="1"/>
  <c r="L4077" i="1"/>
  <c r="A4078" i="1"/>
  <c r="B4078" i="1"/>
  <c r="C4078" i="1"/>
  <c r="D4078" i="1"/>
  <c r="Q4078" i="1"/>
  <c r="R4078" i="1"/>
  <c r="E4078" i="1"/>
  <c r="G4078" i="1"/>
  <c r="H4078" i="1"/>
  <c r="J4078" i="1"/>
  <c r="K4078" i="1"/>
  <c r="L4078" i="1"/>
  <c r="A4079" i="1"/>
  <c r="B4079" i="1"/>
  <c r="C4079" i="1"/>
  <c r="D4079" i="1"/>
  <c r="Q4079" i="1"/>
  <c r="R4079" i="1"/>
  <c r="E4079" i="1"/>
  <c r="G4079" i="1"/>
  <c r="H4079" i="1"/>
  <c r="J4079" i="1"/>
  <c r="K4079" i="1"/>
  <c r="L4079" i="1"/>
  <c r="A4080" i="1"/>
  <c r="B4080" i="1"/>
  <c r="C4080" i="1"/>
  <c r="D4080" i="1"/>
  <c r="Q4080" i="1"/>
  <c r="R4080" i="1"/>
  <c r="E4080" i="1"/>
  <c r="G4080" i="1"/>
  <c r="H4080" i="1"/>
  <c r="J4080" i="1"/>
  <c r="K4080" i="1"/>
  <c r="L4080" i="1"/>
  <c r="A4081" i="1"/>
  <c r="B4081" i="1"/>
  <c r="C4081" i="1"/>
  <c r="D4081" i="1"/>
  <c r="Q4081" i="1"/>
  <c r="R4081" i="1"/>
  <c r="E4081" i="1"/>
  <c r="G4081" i="1"/>
  <c r="H4081" i="1"/>
  <c r="J4081" i="1"/>
  <c r="K4081" i="1"/>
  <c r="L4081" i="1"/>
  <c r="A4082" i="1"/>
  <c r="B4082" i="1"/>
  <c r="C4082" i="1"/>
  <c r="D4082" i="1"/>
  <c r="Q4082" i="1"/>
  <c r="R4082" i="1"/>
  <c r="E4082" i="1"/>
  <c r="G4082" i="1"/>
  <c r="H4082" i="1"/>
  <c r="J4082" i="1"/>
  <c r="K4082" i="1"/>
  <c r="L4082" i="1"/>
  <c r="A4083" i="1"/>
  <c r="B4083" i="1"/>
  <c r="C4083" i="1"/>
  <c r="D4083" i="1"/>
  <c r="Q4083" i="1"/>
  <c r="R4083" i="1"/>
  <c r="E4083" i="1"/>
  <c r="G4083" i="1"/>
  <c r="H4083" i="1"/>
  <c r="J4083" i="1"/>
  <c r="K4083" i="1"/>
  <c r="L4083" i="1"/>
  <c r="A4084" i="1"/>
  <c r="B4084" i="1"/>
  <c r="C4084" i="1"/>
  <c r="D4084" i="1"/>
  <c r="Q4084" i="1"/>
  <c r="R4084" i="1"/>
  <c r="E4084" i="1"/>
  <c r="G4084" i="1"/>
  <c r="H4084" i="1"/>
  <c r="J4084" i="1"/>
  <c r="K4084" i="1"/>
  <c r="L4084" i="1"/>
  <c r="A4085" i="1"/>
  <c r="B4085" i="1"/>
  <c r="C4085" i="1"/>
  <c r="D4085" i="1"/>
  <c r="Q4085" i="1"/>
  <c r="R4085" i="1"/>
  <c r="E4085" i="1"/>
  <c r="G4085" i="1"/>
  <c r="H4085" i="1"/>
  <c r="J4085" i="1"/>
  <c r="K4085" i="1"/>
  <c r="L4085" i="1"/>
  <c r="A4086" i="1"/>
  <c r="B4086" i="1"/>
  <c r="C4086" i="1"/>
  <c r="D4086" i="1"/>
  <c r="Q4086" i="1"/>
  <c r="R4086" i="1"/>
  <c r="E4086" i="1"/>
  <c r="G4086" i="1"/>
  <c r="H4086" i="1"/>
  <c r="J4086" i="1"/>
  <c r="K4086" i="1"/>
  <c r="L4086" i="1"/>
  <c r="A4087" i="1"/>
  <c r="B4087" i="1"/>
  <c r="C4087" i="1"/>
  <c r="D4087" i="1"/>
  <c r="Q4087" i="1"/>
  <c r="R4087" i="1"/>
  <c r="E4087" i="1"/>
  <c r="G4087" i="1"/>
  <c r="H4087" i="1"/>
  <c r="J4087" i="1"/>
  <c r="K4087" i="1"/>
  <c r="L4087" i="1"/>
  <c r="A4088" i="1"/>
  <c r="B4088" i="1"/>
  <c r="C4088" i="1"/>
  <c r="D4088" i="1"/>
  <c r="Q4088" i="1"/>
  <c r="R4088" i="1"/>
  <c r="E4088" i="1"/>
  <c r="G4088" i="1"/>
  <c r="H4088" i="1"/>
  <c r="J4088" i="1"/>
  <c r="K4088" i="1"/>
  <c r="L4088" i="1"/>
  <c r="A4089" i="1"/>
  <c r="B4089" i="1"/>
  <c r="C4089" i="1"/>
  <c r="D4089" i="1"/>
  <c r="Q4089" i="1"/>
  <c r="R4089" i="1"/>
  <c r="E4089" i="1"/>
  <c r="G4089" i="1"/>
  <c r="H4089" i="1"/>
  <c r="J4089" i="1"/>
  <c r="K4089" i="1"/>
  <c r="L4089" i="1"/>
  <c r="A4090" i="1"/>
  <c r="B4090" i="1"/>
  <c r="C4090" i="1"/>
  <c r="D4090" i="1"/>
  <c r="Q4090" i="1"/>
  <c r="R4090" i="1"/>
  <c r="E4090" i="1"/>
  <c r="G4090" i="1"/>
  <c r="H4090" i="1"/>
  <c r="J4090" i="1"/>
  <c r="K4090" i="1"/>
  <c r="L4090" i="1"/>
  <c r="A4091" i="1"/>
  <c r="B4091" i="1"/>
  <c r="C4091" i="1"/>
  <c r="D4091" i="1"/>
  <c r="Q4091" i="1"/>
  <c r="R4091" i="1"/>
  <c r="E4091" i="1"/>
  <c r="G4091" i="1"/>
  <c r="H4091" i="1"/>
  <c r="J4091" i="1"/>
  <c r="K4091" i="1"/>
  <c r="L4091" i="1"/>
  <c r="A4092" i="1"/>
  <c r="B4092" i="1"/>
  <c r="C4092" i="1"/>
  <c r="D4092" i="1"/>
  <c r="Q4092" i="1"/>
  <c r="R4092" i="1"/>
  <c r="E4092" i="1"/>
  <c r="G4092" i="1"/>
  <c r="H4092" i="1"/>
  <c r="J4092" i="1"/>
  <c r="K4092" i="1"/>
  <c r="L4092" i="1"/>
  <c r="A4093" i="1"/>
  <c r="B4093" i="1"/>
  <c r="C4093" i="1"/>
  <c r="D4093" i="1"/>
  <c r="Q4093" i="1"/>
  <c r="R4093" i="1"/>
  <c r="E4093" i="1"/>
  <c r="G4093" i="1"/>
  <c r="H4093" i="1"/>
  <c r="J4093" i="1"/>
  <c r="K4093" i="1"/>
  <c r="L4093" i="1"/>
  <c r="A4094" i="1"/>
  <c r="B4094" i="1"/>
  <c r="C4094" i="1"/>
  <c r="D4094" i="1"/>
  <c r="Q4094" i="1"/>
  <c r="R4094" i="1"/>
  <c r="E4094" i="1"/>
  <c r="G4094" i="1"/>
  <c r="H4094" i="1"/>
  <c r="J4094" i="1"/>
  <c r="K4094" i="1"/>
  <c r="L4094" i="1"/>
  <c r="A4095" i="1"/>
  <c r="B4095" i="1"/>
  <c r="C4095" i="1"/>
  <c r="D4095" i="1"/>
  <c r="Q4095" i="1"/>
  <c r="R4095" i="1"/>
  <c r="E4095" i="1"/>
  <c r="G4095" i="1"/>
  <c r="H4095" i="1"/>
  <c r="J4095" i="1"/>
  <c r="K4095" i="1"/>
  <c r="L4095" i="1"/>
  <c r="A4096" i="1"/>
  <c r="B4096" i="1"/>
  <c r="C4096" i="1"/>
  <c r="D4096" i="1"/>
  <c r="Q4096" i="1"/>
  <c r="R4096" i="1"/>
  <c r="E4096" i="1"/>
  <c r="G4096" i="1"/>
  <c r="H4096" i="1"/>
  <c r="J4096" i="1"/>
  <c r="K4096" i="1"/>
  <c r="L4096" i="1"/>
  <c r="A4097" i="1"/>
  <c r="B4097" i="1"/>
  <c r="C4097" i="1"/>
  <c r="D4097" i="1"/>
  <c r="Q4097" i="1"/>
  <c r="R4097" i="1"/>
  <c r="E4097" i="1"/>
  <c r="G4097" i="1"/>
  <c r="H4097" i="1"/>
  <c r="J4097" i="1"/>
  <c r="K4097" i="1"/>
  <c r="L4097" i="1"/>
  <c r="A4098" i="1"/>
  <c r="B4098" i="1"/>
  <c r="C4098" i="1"/>
  <c r="D4098" i="1"/>
  <c r="Q4098" i="1"/>
  <c r="R4098" i="1"/>
  <c r="E4098" i="1"/>
  <c r="G4098" i="1"/>
  <c r="H4098" i="1"/>
  <c r="J4098" i="1"/>
  <c r="K4098" i="1"/>
  <c r="L4098" i="1"/>
  <c r="A4099" i="1"/>
  <c r="B4099" i="1"/>
  <c r="C4099" i="1"/>
  <c r="D4099" i="1"/>
  <c r="Q4099" i="1"/>
  <c r="R4099" i="1"/>
  <c r="E4099" i="1"/>
  <c r="G4099" i="1"/>
  <c r="H4099" i="1"/>
  <c r="J4099" i="1"/>
  <c r="K4099" i="1"/>
  <c r="L4099" i="1"/>
  <c r="A4100" i="1"/>
  <c r="B4100" i="1"/>
  <c r="C4100" i="1"/>
  <c r="D4100" i="1"/>
  <c r="Q4100" i="1"/>
  <c r="R4100" i="1"/>
  <c r="E4100" i="1"/>
  <c r="G4100" i="1"/>
  <c r="H4100" i="1"/>
  <c r="J4100" i="1"/>
  <c r="K4100" i="1"/>
  <c r="L4100" i="1"/>
  <c r="A4101" i="1"/>
  <c r="B4101" i="1"/>
  <c r="C4101" i="1"/>
  <c r="D4101" i="1"/>
  <c r="Q4101" i="1"/>
  <c r="R4101" i="1"/>
  <c r="E4101" i="1"/>
  <c r="G4101" i="1"/>
  <c r="H4101" i="1"/>
  <c r="J4101" i="1"/>
  <c r="K4101" i="1"/>
  <c r="L4101" i="1"/>
  <c r="A4102" i="1"/>
  <c r="B4102" i="1"/>
  <c r="C4102" i="1"/>
  <c r="D4102" i="1"/>
  <c r="Q4102" i="1"/>
  <c r="R4102" i="1"/>
  <c r="E4102" i="1"/>
  <c r="G4102" i="1"/>
  <c r="H4102" i="1"/>
  <c r="J4102" i="1"/>
  <c r="K4102" i="1"/>
  <c r="L4102" i="1"/>
  <c r="A4103" i="1"/>
  <c r="B4103" i="1"/>
  <c r="C4103" i="1"/>
  <c r="D4103" i="1"/>
  <c r="Q4103" i="1"/>
  <c r="R4103" i="1"/>
  <c r="E4103" i="1"/>
  <c r="G4103" i="1"/>
  <c r="H4103" i="1"/>
  <c r="J4103" i="1"/>
  <c r="K4103" i="1"/>
  <c r="L4103" i="1"/>
  <c r="A4104" i="1"/>
  <c r="B4104" i="1"/>
  <c r="C4104" i="1"/>
  <c r="D4104" i="1"/>
  <c r="Q4104" i="1"/>
  <c r="R4104" i="1"/>
  <c r="E4104" i="1"/>
  <c r="G4104" i="1"/>
  <c r="H4104" i="1"/>
  <c r="J4104" i="1"/>
  <c r="K4104" i="1"/>
  <c r="L4104" i="1"/>
  <c r="A4105" i="1"/>
  <c r="B4105" i="1"/>
  <c r="C4105" i="1"/>
  <c r="D4105" i="1"/>
  <c r="Q4105" i="1"/>
  <c r="R4105" i="1"/>
  <c r="E4105" i="1"/>
  <c r="G4105" i="1"/>
  <c r="H4105" i="1"/>
  <c r="J4105" i="1"/>
  <c r="K4105" i="1"/>
  <c r="L4105" i="1"/>
  <c r="A4106" i="1"/>
  <c r="B4106" i="1"/>
  <c r="C4106" i="1"/>
  <c r="D4106" i="1"/>
  <c r="Q4106" i="1"/>
  <c r="R4106" i="1"/>
  <c r="E4106" i="1"/>
  <c r="G4106" i="1"/>
  <c r="H4106" i="1"/>
  <c r="J4106" i="1"/>
  <c r="K4106" i="1"/>
  <c r="L4106" i="1"/>
  <c r="A4107" i="1"/>
  <c r="B4107" i="1"/>
  <c r="C4107" i="1"/>
  <c r="D4107" i="1"/>
  <c r="Q4107" i="1"/>
  <c r="R4107" i="1"/>
  <c r="E4107" i="1"/>
  <c r="G4107" i="1"/>
  <c r="H4107" i="1"/>
  <c r="J4107" i="1"/>
  <c r="K4107" i="1"/>
  <c r="L4107" i="1"/>
  <c r="A4108" i="1"/>
  <c r="B4108" i="1"/>
  <c r="C4108" i="1"/>
  <c r="D4108" i="1"/>
  <c r="Q4108" i="1"/>
  <c r="R4108" i="1"/>
  <c r="E4108" i="1"/>
  <c r="G4108" i="1"/>
  <c r="H4108" i="1"/>
  <c r="J4108" i="1"/>
  <c r="K4108" i="1"/>
  <c r="L4108" i="1"/>
  <c r="A4109" i="1"/>
  <c r="B4109" i="1"/>
  <c r="C4109" i="1"/>
  <c r="D4109" i="1"/>
  <c r="Q4109" i="1"/>
  <c r="R4109" i="1"/>
  <c r="E4109" i="1"/>
  <c r="G4109" i="1"/>
  <c r="H4109" i="1"/>
  <c r="J4109" i="1"/>
  <c r="K4109" i="1"/>
  <c r="L4109" i="1"/>
  <c r="A4110" i="1"/>
  <c r="B4110" i="1"/>
  <c r="C4110" i="1"/>
  <c r="D4110" i="1"/>
  <c r="Q4110" i="1"/>
  <c r="R4110" i="1"/>
  <c r="E4110" i="1"/>
  <c r="G4110" i="1"/>
  <c r="H4110" i="1"/>
  <c r="J4110" i="1"/>
  <c r="K4110" i="1"/>
  <c r="L4110" i="1"/>
  <c r="A4111" i="1"/>
  <c r="B4111" i="1"/>
  <c r="C4111" i="1"/>
  <c r="D4111" i="1"/>
  <c r="Q4111" i="1"/>
  <c r="R4111" i="1"/>
  <c r="E4111" i="1"/>
  <c r="G4111" i="1"/>
  <c r="H4111" i="1"/>
  <c r="J4111" i="1"/>
  <c r="K4111" i="1"/>
  <c r="L4111" i="1"/>
  <c r="A4112" i="1"/>
  <c r="B4112" i="1"/>
  <c r="C4112" i="1"/>
  <c r="D4112" i="1"/>
  <c r="Q4112" i="1"/>
  <c r="R4112" i="1"/>
  <c r="E4112" i="1"/>
  <c r="G4112" i="1"/>
  <c r="H4112" i="1"/>
  <c r="J4112" i="1"/>
  <c r="K4112" i="1"/>
  <c r="L4112" i="1"/>
  <c r="A4113" i="1"/>
  <c r="B4113" i="1"/>
  <c r="C4113" i="1"/>
  <c r="D4113" i="1"/>
  <c r="Q4113" i="1"/>
  <c r="R4113" i="1"/>
  <c r="E4113" i="1"/>
  <c r="G4113" i="1"/>
  <c r="H4113" i="1"/>
  <c r="J4113" i="1"/>
  <c r="K4113" i="1"/>
  <c r="L4113" i="1"/>
  <c r="A4114" i="1"/>
  <c r="B4114" i="1"/>
  <c r="C4114" i="1"/>
  <c r="D4114" i="1"/>
  <c r="Q4114" i="1"/>
  <c r="R4114" i="1"/>
  <c r="E4114" i="1"/>
  <c r="G4114" i="1"/>
  <c r="H4114" i="1"/>
  <c r="J4114" i="1"/>
  <c r="K4114" i="1"/>
  <c r="L4114" i="1"/>
  <c r="A4115" i="1"/>
  <c r="B4115" i="1"/>
  <c r="C4115" i="1"/>
  <c r="D4115" i="1"/>
  <c r="Q4115" i="1"/>
  <c r="R4115" i="1"/>
  <c r="E4115" i="1"/>
  <c r="G4115" i="1"/>
  <c r="H4115" i="1"/>
  <c r="J4115" i="1"/>
  <c r="K4115" i="1"/>
  <c r="L4115" i="1"/>
  <c r="A4116" i="1"/>
  <c r="B4116" i="1"/>
  <c r="C4116" i="1"/>
  <c r="D4116" i="1"/>
  <c r="Q4116" i="1"/>
  <c r="R4116" i="1"/>
  <c r="E4116" i="1"/>
  <c r="G4116" i="1"/>
  <c r="H4116" i="1"/>
  <c r="J4116" i="1"/>
  <c r="K4116" i="1"/>
  <c r="L4116" i="1"/>
  <c r="A4117" i="1"/>
  <c r="B4117" i="1"/>
  <c r="C4117" i="1"/>
  <c r="D4117" i="1"/>
  <c r="Q4117" i="1"/>
  <c r="R4117" i="1"/>
  <c r="E4117" i="1"/>
  <c r="G4117" i="1"/>
  <c r="H4117" i="1"/>
  <c r="J4117" i="1"/>
  <c r="K4117" i="1"/>
  <c r="L4117" i="1"/>
  <c r="A4118" i="1"/>
  <c r="B4118" i="1"/>
  <c r="C4118" i="1"/>
  <c r="D4118" i="1"/>
  <c r="Q4118" i="1"/>
  <c r="R4118" i="1"/>
  <c r="E4118" i="1"/>
  <c r="G4118" i="1"/>
  <c r="H4118" i="1"/>
  <c r="J4118" i="1"/>
  <c r="K4118" i="1"/>
  <c r="L4118" i="1"/>
  <c r="A4119" i="1"/>
  <c r="B4119" i="1"/>
  <c r="C4119" i="1"/>
  <c r="D4119" i="1"/>
  <c r="Q4119" i="1"/>
  <c r="R4119" i="1"/>
  <c r="E4119" i="1"/>
  <c r="G4119" i="1"/>
  <c r="H4119" i="1"/>
  <c r="J4119" i="1"/>
  <c r="K4119" i="1"/>
  <c r="L4119" i="1"/>
  <c r="A4120" i="1"/>
  <c r="B4120" i="1"/>
  <c r="C4120" i="1"/>
  <c r="D4120" i="1"/>
  <c r="Q4120" i="1"/>
  <c r="R4120" i="1"/>
  <c r="E4120" i="1"/>
  <c r="G4120" i="1"/>
  <c r="H4120" i="1"/>
  <c r="J4120" i="1"/>
  <c r="K4120" i="1"/>
  <c r="L4120" i="1"/>
  <c r="A4121" i="1"/>
  <c r="B4121" i="1"/>
  <c r="C4121" i="1"/>
  <c r="D4121" i="1"/>
  <c r="Q4121" i="1"/>
  <c r="R4121" i="1"/>
  <c r="E4121" i="1"/>
  <c r="G4121" i="1"/>
  <c r="H4121" i="1"/>
  <c r="J4121" i="1"/>
  <c r="K4121" i="1"/>
  <c r="L4121" i="1"/>
  <c r="A4122" i="1"/>
  <c r="B4122" i="1"/>
  <c r="C4122" i="1"/>
  <c r="D4122" i="1"/>
  <c r="Q4122" i="1"/>
  <c r="R4122" i="1"/>
  <c r="E4122" i="1"/>
  <c r="G4122" i="1"/>
  <c r="H4122" i="1"/>
  <c r="J4122" i="1"/>
  <c r="K4122" i="1"/>
  <c r="L4122" i="1"/>
  <c r="A4123" i="1"/>
  <c r="B4123" i="1"/>
  <c r="C4123" i="1"/>
  <c r="D4123" i="1"/>
  <c r="Q4123" i="1"/>
  <c r="R4123" i="1"/>
  <c r="E4123" i="1"/>
  <c r="G4123" i="1"/>
  <c r="H4123" i="1"/>
  <c r="J4123" i="1"/>
  <c r="K4123" i="1"/>
  <c r="L4123" i="1"/>
  <c r="A4124" i="1"/>
  <c r="B4124" i="1"/>
  <c r="C4124" i="1"/>
  <c r="D4124" i="1"/>
  <c r="Q4124" i="1"/>
  <c r="R4124" i="1"/>
  <c r="E4124" i="1"/>
  <c r="G4124" i="1"/>
  <c r="H4124" i="1"/>
  <c r="J4124" i="1"/>
  <c r="K4124" i="1"/>
  <c r="L4124" i="1"/>
  <c r="A4125" i="1"/>
  <c r="B4125" i="1"/>
  <c r="C4125" i="1"/>
  <c r="D4125" i="1"/>
  <c r="Q4125" i="1"/>
  <c r="R4125" i="1"/>
  <c r="E4125" i="1"/>
  <c r="G4125" i="1"/>
  <c r="H4125" i="1"/>
  <c r="J4125" i="1"/>
  <c r="K4125" i="1"/>
  <c r="L4125" i="1"/>
  <c r="A4126" i="1"/>
  <c r="B4126" i="1"/>
  <c r="C4126" i="1"/>
  <c r="D4126" i="1"/>
  <c r="Q4126" i="1"/>
  <c r="R4126" i="1"/>
  <c r="E4126" i="1"/>
  <c r="G4126" i="1"/>
  <c r="H4126" i="1"/>
  <c r="J4126" i="1"/>
  <c r="K4126" i="1"/>
  <c r="L4126" i="1"/>
  <c r="A4127" i="1"/>
  <c r="B4127" i="1"/>
  <c r="C4127" i="1"/>
  <c r="D4127" i="1"/>
  <c r="Q4127" i="1"/>
  <c r="R4127" i="1"/>
  <c r="E4127" i="1"/>
  <c r="G4127" i="1"/>
  <c r="H4127" i="1"/>
  <c r="J4127" i="1"/>
  <c r="K4127" i="1"/>
  <c r="L4127" i="1"/>
  <c r="A4128" i="1"/>
  <c r="B4128" i="1"/>
  <c r="C4128" i="1"/>
  <c r="D4128" i="1"/>
  <c r="Q4128" i="1"/>
  <c r="R4128" i="1"/>
  <c r="E4128" i="1"/>
  <c r="G4128" i="1"/>
  <c r="H4128" i="1"/>
  <c r="J4128" i="1"/>
  <c r="K4128" i="1"/>
  <c r="L4128" i="1"/>
  <c r="A4129" i="1"/>
  <c r="B4129" i="1"/>
  <c r="C4129" i="1"/>
  <c r="D4129" i="1"/>
  <c r="Q4129" i="1"/>
  <c r="R4129" i="1"/>
  <c r="E4129" i="1"/>
  <c r="G4129" i="1"/>
  <c r="H4129" i="1"/>
  <c r="J4129" i="1"/>
  <c r="K4129" i="1"/>
  <c r="L4129" i="1"/>
  <c r="A4130" i="1"/>
  <c r="B4130" i="1"/>
  <c r="C4130" i="1"/>
  <c r="D4130" i="1"/>
  <c r="Q4130" i="1"/>
  <c r="R4130" i="1"/>
  <c r="E4130" i="1"/>
  <c r="G4130" i="1"/>
  <c r="H4130" i="1"/>
  <c r="J4130" i="1"/>
  <c r="K4130" i="1"/>
  <c r="L4130" i="1"/>
  <c r="A4131" i="1"/>
  <c r="B4131" i="1"/>
  <c r="C4131" i="1"/>
  <c r="D4131" i="1"/>
  <c r="Q4131" i="1"/>
  <c r="R4131" i="1"/>
  <c r="E4131" i="1"/>
  <c r="G4131" i="1"/>
  <c r="H4131" i="1"/>
  <c r="J4131" i="1"/>
  <c r="K4131" i="1"/>
  <c r="L4131" i="1"/>
  <c r="A4132" i="1"/>
  <c r="B4132" i="1"/>
  <c r="C4132" i="1"/>
  <c r="D4132" i="1"/>
  <c r="Q4132" i="1"/>
  <c r="R4132" i="1"/>
  <c r="E4132" i="1"/>
  <c r="G4132" i="1"/>
  <c r="H4132" i="1"/>
  <c r="J4132" i="1"/>
  <c r="K4132" i="1"/>
  <c r="L4132" i="1"/>
  <c r="A4133" i="1"/>
  <c r="B4133" i="1"/>
  <c r="C4133" i="1"/>
  <c r="D4133" i="1"/>
  <c r="Q4133" i="1"/>
  <c r="R4133" i="1"/>
  <c r="E4133" i="1"/>
  <c r="G4133" i="1"/>
  <c r="H4133" i="1"/>
  <c r="J4133" i="1"/>
  <c r="K4133" i="1"/>
  <c r="L4133" i="1"/>
  <c r="A4134" i="1"/>
  <c r="B4134" i="1"/>
  <c r="C4134" i="1"/>
  <c r="D4134" i="1"/>
  <c r="Q4134" i="1"/>
  <c r="R4134" i="1"/>
  <c r="E4134" i="1"/>
  <c r="G4134" i="1"/>
  <c r="H4134" i="1"/>
  <c r="J4134" i="1"/>
  <c r="K4134" i="1"/>
  <c r="L4134" i="1"/>
  <c r="A4135" i="1"/>
  <c r="B4135" i="1"/>
  <c r="C4135" i="1"/>
  <c r="D4135" i="1"/>
  <c r="Q4135" i="1"/>
  <c r="R4135" i="1"/>
  <c r="E4135" i="1"/>
  <c r="G4135" i="1"/>
  <c r="H4135" i="1"/>
  <c r="J4135" i="1"/>
  <c r="K4135" i="1"/>
  <c r="L4135" i="1"/>
  <c r="A4136" i="1"/>
  <c r="B4136" i="1"/>
  <c r="C4136" i="1"/>
  <c r="D4136" i="1"/>
  <c r="Q4136" i="1"/>
  <c r="R4136" i="1"/>
  <c r="E4136" i="1"/>
  <c r="G4136" i="1"/>
  <c r="H4136" i="1"/>
  <c r="J4136" i="1"/>
  <c r="K4136" i="1"/>
  <c r="L4136" i="1"/>
  <c r="A4137" i="1"/>
  <c r="B4137" i="1"/>
  <c r="C4137" i="1"/>
  <c r="D4137" i="1"/>
  <c r="Q4137" i="1"/>
  <c r="R4137" i="1"/>
  <c r="E4137" i="1"/>
  <c r="G4137" i="1"/>
  <c r="H4137" i="1"/>
  <c r="J4137" i="1"/>
  <c r="K4137" i="1"/>
  <c r="L4137" i="1"/>
  <c r="A4138" i="1"/>
  <c r="B4138" i="1"/>
  <c r="C4138" i="1"/>
  <c r="D4138" i="1"/>
  <c r="Q4138" i="1"/>
  <c r="R4138" i="1"/>
  <c r="E4138" i="1"/>
  <c r="G4138" i="1"/>
  <c r="H4138" i="1"/>
  <c r="J4138" i="1"/>
  <c r="K4138" i="1"/>
  <c r="L4138" i="1"/>
  <c r="A4139" i="1"/>
  <c r="B4139" i="1"/>
  <c r="C4139" i="1"/>
  <c r="D4139" i="1"/>
  <c r="Q4139" i="1"/>
  <c r="R4139" i="1"/>
  <c r="E4139" i="1"/>
  <c r="G4139" i="1"/>
  <c r="H4139" i="1"/>
  <c r="J4139" i="1"/>
  <c r="K4139" i="1"/>
  <c r="L4139" i="1"/>
  <c r="A4140" i="1"/>
  <c r="B4140" i="1"/>
  <c r="C4140" i="1"/>
  <c r="D4140" i="1"/>
  <c r="Q4140" i="1"/>
  <c r="R4140" i="1"/>
  <c r="E4140" i="1"/>
  <c r="G4140" i="1"/>
  <c r="H4140" i="1"/>
  <c r="J4140" i="1"/>
  <c r="K4140" i="1"/>
  <c r="L4140" i="1"/>
  <c r="A4141" i="1"/>
  <c r="B4141" i="1"/>
  <c r="C4141" i="1"/>
  <c r="D4141" i="1"/>
  <c r="Q4141" i="1"/>
  <c r="R4141" i="1"/>
  <c r="E4141" i="1"/>
  <c r="G4141" i="1"/>
  <c r="H4141" i="1"/>
  <c r="J4141" i="1"/>
  <c r="K4141" i="1"/>
  <c r="L4141" i="1"/>
  <c r="A4142" i="1"/>
  <c r="B4142" i="1"/>
  <c r="C4142" i="1"/>
  <c r="D4142" i="1"/>
  <c r="Q4142" i="1"/>
  <c r="R4142" i="1"/>
  <c r="E4142" i="1"/>
  <c r="G4142" i="1"/>
  <c r="H4142" i="1"/>
  <c r="J4142" i="1"/>
  <c r="K4142" i="1"/>
  <c r="L4142" i="1"/>
  <c r="A4143" i="1"/>
  <c r="B4143" i="1"/>
  <c r="C4143" i="1"/>
  <c r="D4143" i="1"/>
  <c r="Q4143" i="1"/>
  <c r="R4143" i="1"/>
  <c r="E4143" i="1"/>
  <c r="G4143" i="1"/>
  <c r="H4143" i="1"/>
  <c r="J4143" i="1"/>
  <c r="K4143" i="1"/>
  <c r="L4143" i="1"/>
  <c r="A4144" i="1"/>
  <c r="B4144" i="1"/>
  <c r="C4144" i="1"/>
  <c r="D4144" i="1"/>
  <c r="Q4144" i="1"/>
  <c r="R4144" i="1"/>
  <c r="E4144" i="1"/>
  <c r="G4144" i="1"/>
  <c r="H4144" i="1"/>
  <c r="J4144" i="1"/>
  <c r="K4144" i="1"/>
  <c r="L4144" i="1"/>
  <c r="A4145" i="1"/>
  <c r="B4145" i="1"/>
  <c r="C4145" i="1"/>
  <c r="D4145" i="1"/>
  <c r="Q4145" i="1"/>
  <c r="R4145" i="1"/>
  <c r="E4145" i="1"/>
  <c r="G4145" i="1"/>
  <c r="H4145" i="1"/>
  <c r="J4145" i="1"/>
  <c r="K4145" i="1"/>
  <c r="L4145" i="1"/>
  <c r="A4146" i="1"/>
  <c r="B4146" i="1"/>
  <c r="C4146" i="1"/>
  <c r="D4146" i="1"/>
  <c r="Q4146" i="1"/>
  <c r="R4146" i="1"/>
  <c r="E4146" i="1"/>
  <c r="G4146" i="1"/>
  <c r="H4146" i="1"/>
  <c r="J4146" i="1"/>
  <c r="K4146" i="1"/>
  <c r="L4146" i="1"/>
  <c r="A4147" i="1"/>
  <c r="B4147" i="1"/>
  <c r="C4147" i="1"/>
  <c r="D4147" i="1"/>
  <c r="Q4147" i="1"/>
  <c r="R4147" i="1"/>
  <c r="E4147" i="1"/>
  <c r="G4147" i="1"/>
  <c r="H4147" i="1"/>
  <c r="J4147" i="1"/>
  <c r="K4147" i="1"/>
  <c r="L4147" i="1"/>
  <c r="A4148" i="1"/>
  <c r="B4148" i="1"/>
  <c r="C4148" i="1"/>
  <c r="D4148" i="1"/>
  <c r="Q4148" i="1"/>
  <c r="R4148" i="1"/>
  <c r="E4148" i="1"/>
  <c r="G4148" i="1"/>
  <c r="H4148" i="1"/>
  <c r="J4148" i="1"/>
  <c r="K4148" i="1"/>
  <c r="L4148" i="1"/>
  <c r="A4149" i="1"/>
  <c r="B4149" i="1"/>
  <c r="C4149" i="1"/>
  <c r="D4149" i="1"/>
  <c r="Q4149" i="1"/>
  <c r="R4149" i="1"/>
  <c r="E4149" i="1"/>
  <c r="G4149" i="1"/>
  <c r="H4149" i="1"/>
  <c r="J4149" i="1"/>
  <c r="K4149" i="1"/>
  <c r="L4149" i="1"/>
  <c r="A4150" i="1"/>
  <c r="B4150" i="1"/>
  <c r="C4150" i="1"/>
  <c r="D4150" i="1"/>
  <c r="Q4150" i="1"/>
  <c r="R4150" i="1"/>
  <c r="E4150" i="1"/>
  <c r="G4150" i="1"/>
  <c r="H4150" i="1"/>
  <c r="J4150" i="1"/>
  <c r="K4150" i="1"/>
  <c r="L4150" i="1"/>
  <c r="A4151" i="1"/>
  <c r="B4151" i="1"/>
  <c r="C4151" i="1"/>
  <c r="D4151" i="1"/>
  <c r="Q4151" i="1"/>
  <c r="R4151" i="1"/>
  <c r="E4151" i="1"/>
  <c r="G4151" i="1"/>
  <c r="H4151" i="1"/>
  <c r="J4151" i="1"/>
  <c r="K4151" i="1"/>
  <c r="L4151" i="1"/>
  <c r="A4152" i="1"/>
  <c r="B4152" i="1"/>
  <c r="C4152" i="1"/>
  <c r="D4152" i="1"/>
  <c r="Q4152" i="1"/>
  <c r="R4152" i="1"/>
  <c r="E4152" i="1"/>
  <c r="G4152" i="1"/>
  <c r="H4152" i="1"/>
  <c r="J4152" i="1"/>
  <c r="K4152" i="1"/>
  <c r="L4152" i="1"/>
  <c r="A4153" i="1"/>
  <c r="B4153" i="1"/>
  <c r="C4153" i="1"/>
  <c r="D4153" i="1"/>
  <c r="Q4153" i="1"/>
  <c r="R4153" i="1"/>
  <c r="E4153" i="1"/>
  <c r="G4153" i="1"/>
  <c r="H4153" i="1"/>
  <c r="J4153" i="1"/>
  <c r="K4153" i="1"/>
  <c r="L4153" i="1"/>
  <c r="A4154" i="1"/>
  <c r="B4154" i="1"/>
  <c r="C4154" i="1"/>
  <c r="D4154" i="1"/>
  <c r="Q4154" i="1"/>
  <c r="R4154" i="1"/>
  <c r="E4154" i="1"/>
  <c r="G4154" i="1"/>
  <c r="H4154" i="1"/>
  <c r="J4154" i="1"/>
  <c r="K4154" i="1"/>
  <c r="L4154" i="1"/>
  <c r="A4155" i="1"/>
  <c r="B4155" i="1"/>
  <c r="C4155" i="1"/>
  <c r="D4155" i="1"/>
  <c r="Q4155" i="1"/>
  <c r="R4155" i="1"/>
  <c r="E4155" i="1"/>
  <c r="G4155" i="1"/>
  <c r="H4155" i="1"/>
  <c r="J4155" i="1"/>
  <c r="K4155" i="1"/>
  <c r="L4155" i="1"/>
  <c r="A4156" i="1"/>
  <c r="B4156" i="1"/>
  <c r="C4156" i="1"/>
  <c r="D4156" i="1"/>
  <c r="Q4156" i="1"/>
  <c r="R4156" i="1"/>
  <c r="E4156" i="1"/>
  <c r="G4156" i="1"/>
  <c r="H4156" i="1"/>
  <c r="J4156" i="1"/>
  <c r="K4156" i="1"/>
  <c r="L4156" i="1"/>
  <c r="A4157" i="1"/>
  <c r="B4157" i="1"/>
  <c r="C4157" i="1"/>
  <c r="D4157" i="1"/>
  <c r="Q4157" i="1"/>
  <c r="R4157" i="1"/>
  <c r="E4157" i="1"/>
  <c r="G4157" i="1"/>
  <c r="H4157" i="1"/>
  <c r="J4157" i="1"/>
  <c r="K4157" i="1"/>
  <c r="L4157" i="1"/>
  <c r="A4158" i="1"/>
  <c r="B4158" i="1"/>
  <c r="C4158" i="1"/>
  <c r="D4158" i="1"/>
  <c r="Q4158" i="1"/>
  <c r="R4158" i="1"/>
  <c r="E4158" i="1"/>
  <c r="G4158" i="1"/>
  <c r="H4158" i="1"/>
  <c r="J4158" i="1"/>
  <c r="K4158" i="1"/>
  <c r="L4158" i="1"/>
  <c r="A4159" i="1"/>
  <c r="B4159" i="1"/>
  <c r="C4159" i="1"/>
  <c r="D4159" i="1"/>
  <c r="Q4159" i="1"/>
  <c r="R4159" i="1"/>
  <c r="E4159" i="1"/>
  <c r="G4159" i="1"/>
  <c r="H4159" i="1"/>
  <c r="J4159" i="1"/>
  <c r="K4159" i="1"/>
  <c r="L4159" i="1"/>
  <c r="A4160" i="1"/>
  <c r="B4160" i="1"/>
  <c r="C4160" i="1"/>
  <c r="D4160" i="1"/>
  <c r="Q4160" i="1"/>
  <c r="R4160" i="1"/>
  <c r="E4160" i="1"/>
  <c r="G4160" i="1"/>
  <c r="H4160" i="1"/>
  <c r="J4160" i="1"/>
  <c r="K4160" i="1"/>
  <c r="L4160" i="1"/>
  <c r="A4161" i="1"/>
  <c r="B4161" i="1"/>
  <c r="C4161" i="1"/>
  <c r="D4161" i="1"/>
  <c r="Q4161" i="1"/>
  <c r="R4161" i="1"/>
  <c r="E4161" i="1"/>
  <c r="G4161" i="1"/>
  <c r="H4161" i="1"/>
  <c r="J4161" i="1"/>
  <c r="K4161" i="1"/>
  <c r="L4161" i="1"/>
  <c r="A4162" i="1"/>
  <c r="B4162" i="1"/>
  <c r="C4162" i="1"/>
  <c r="D4162" i="1"/>
  <c r="Q4162" i="1"/>
  <c r="R4162" i="1"/>
  <c r="E4162" i="1"/>
  <c r="G4162" i="1"/>
  <c r="H4162" i="1"/>
  <c r="J4162" i="1"/>
  <c r="K4162" i="1"/>
  <c r="L4162" i="1"/>
  <c r="A4163" i="1"/>
  <c r="B4163" i="1"/>
  <c r="C4163" i="1"/>
  <c r="D4163" i="1"/>
  <c r="Q4163" i="1"/>
  <c r="R4163" i="1"/>
  <c r="E4163" i="1"/>
  <c r="G4163" i="1"/>
  <c r="H4163" i="1"/>
  <c r="J4163" i="1"/>
  <c r="K4163" i="1"/>
  <c r="L4163" i="1"/>
  <c r="A4164" i="1"/>
  <c r="B4164" i="1"/>
  <c r="C4164" i="1"/>
  <c r="D4164" i="1"/>
  <c r="Q4164" i="1"/>
  <c r="R4164" i="1"/>
  <c r="E4164" i="1"/>
  <c r="G4164" i="1"/>
  <c r="H4164" i="1"/>
  <c r="J4164" i="1"/>
  <c r="K4164" i="1"/>
  <c r="L4164" i="1"/>
  <c r="A4165" i="1"/>
  <c r="B4165" i="1"/>
  <c r="C4165" i="1"/>
  <c r="D4165" i="1"/>
  <c r="Q4165" i="1"/>
  <c r="R4165" i="1"/>
  <c r="E4165" i="1"/>
  <c r="G4165" i="1"/>
  <c r="H4165" i="1"/>
  <c r="J4165" i="1"/>
  <c r="K4165" i="1"/>
  <c r="L4165" i="1"/>
  <c r="A4166" i="1"/>
  <c r="B4166" i="1"/>
  <c r="C4166" i="1"/>
  <c r="D4166" i="1"/>
  <c r="Q4166" i="1"/>
  <c r="R4166" i="1"/>
  <c r="E4166" i="1"/>
  <c r="G4166" i="1"/>
  <c r="H4166" i="1"/>
  <c r="J4166" i="1"/>
  <c r="K4166" i="1"/>
  <c r="L4166" i="1"/>
  <c r="A4167" i="1"/>
  <c r="B4167" i="1"/>
  <c r="C4167" i="1"/>
  <c r="D4167" i="1"/>
  <c r="Q4167" i="1"/>
  <c r="R4167" i="1"/>
  <c r="E4167" i="1"/>
  <c r="G4167" i="1"/>
  <c r="H4167" i="1"/>
  <c r="J4167" i="1"/>
  <c r="K4167" i="1"/>
  <c r="L4167" i="1"/>
  <c r="A4168" i="1"/>
  <c r="B4168" i="1"/>
  <c r="C4168" i="1"/>
  <c r="D4168" i="1"/>
  <c r="Q4168" i="1"/>
  <c r="R4168" i="1"/>
  <c r="E4168" i="1"/>
  <c r="G4168" i="1"/>
  <c r="H4168" i="1"/>
  <c r="J4168" i="1"/>
  <c r="K4168" i="1"/>
  <c r="L4168" i="1"/>
  <c r="A4169" i="1"/>
  <c r="B4169" i="1"/>
  <c r="C4169" i="1"/>
  <c r="D4169" i="1"/>
  <c r="Q4169" i="1"/>
  <c r="R4169" i="1"/>
  <c r="E4169" i="1"/>
  <c r="G4169" i="1"/>
  <c r="H4169" i="1"/>
  <c r="J4169" i="1"/>
  <c r="K4169" i="1"/>
  <c r="L4169" i="1"/>
  <c r="A4170" i="1"/>
  <c r="B4170" i="1"/>
  <c r="C4170" i="1"/>
  <c r="D4170" i="1"/>
  <c r="Q4170" i="1"/>
  <c r="R4170" i="1"/>
  <c r="E4170" i="1"/>
  <c r="G4170" i="1"/>
  <c r="H4170" i="1"/>
  <c r="J4170" i="1"/>
  <c r="K4170" i="1"/>
  <c r="L4170" i="1"/>
  <c r="A4171" i="1"/>
  <c r="B4171" i="1"/>
  <c r="C4171" i="1"/>
  <c r="D4171" i="1"/>
  <c r="Q4171" i="1"/>
  <c r="R4171" i="1"/>
  <c r="E4171" i="1"/>
  <c r="G4171" i="1"/>
  <c r="H4171" i="1"/>
  <c r="J4171" i="1"/>
  <c r="K4171" i="1"/>
  <c r="L4171" i="1"/>
  <c r="A4172" i="1"/>
  <c r="B4172" i="1"/>
  <c r="C4172" i="1"/>
  <c r="D4172" i="1"/>
  <c r="Q4172" i="1"/>
  <c r="R4172" i="1"/>
  <c r="E4172" i="1"/>
  <c r="G4172" i="1"/>
  <c r="H4172" i="1"/>
  <c r="J4172" i="1"/>
  <c r="K4172" i="1"/>
  <c r="L4172" i="1"/>
  <c r="A4173" i="1"/>
  <c r="B4173" i="1"/>
  <c r="C4173" i="1"/>
  <c r="D4173" i="1"/>
  <c r="Q4173" i="1"/>
  <c r="R4173" i="1"/>
  <c r="E4173" i="1"/>
  <c r="G4173" i="1"/>
  <c r="H4173" i="1"/>
  <c r="J4173" i="1"/>
  <c r="K4173" i="1"/>
  <c r="L4173" i="1"/>
  <c r="A4174" i="1"/>
  <c r="B4174" i="1"/>
  <c r="C4174" i="1"/>
  <c r="D4174" i="1"/>
  <c r="Q4174" i="1"/>
  <c r="R4174" i="1"/>
  <c r="E4174" i="1"/>
  <c r="G4174" i="1"/>
  <c r="H4174" i="1"/>
  <c r="J4174" i="1"/>
  <c r="K4174" i="1"/>
  <c r="L4174" i="1"/>
  <c r="A4175" i="1"/>
  <c r="B4175" i="1"/>
  <c r="C4175" i="1"/>
  <c r="D4175" i="1"/>
  <c r="Q4175" i="1"/>
  <c r="R4175" i="1"/>
  <c r="E4175" i="1"/>
  <c r="G4175" i="1"/>
  <c r="H4175" i="1"/>
  <c r="J4175" i="1"/>
  <c r="K4175" i="1"/>
  <c r="L4175" i="1"/>
  <c r="A4176" i="1"/>
  <c r="B4176" i="1"/>
  <c r="C4176" i="1"/>
  <c r="D4176" i="1"/>
  <c r="Q4176" i="1"/>
  <c r="R4176" i="1"/>
  <c r="E4176" i="1"/>
  <c r="G4176" i="1"/>
  <c r="H4176" i="1"/>
  <c r="J4176" i="1"/>
  <c r="K4176" i="1"/>
  <c r="L4176" i="1"/>
  <c r="A4177" i="1"/>
  <c r="B4177" i="1"/>
  <c r="C4177" i="1"/>
  <c r="D4177" i="1"/>
  <c r="Q4177" i="1"/>
  <c r="R4177" i="1"/>
  <c r="E4177" i="1"/>
  <c r="G4177" i="1"/>
  <c r="H4177" i="1"/>
  <c r="J4177" i="1"/>
  <c r="K4177" i="1"/>
  <c r="L4177" i="1"/>
  <c r="A4178" i="1"/>
  <c r="B4178" i="1"/>
  <c r="C4178" i="1"/>
  <c r="D4178" i="1"/>
  <c r="Q4178" i="1"/>
  <c r="R4178" i="1"/>
  <c r="E4178" i="1"/>
  <c r="G4178" i="1"/>
  <c r="H4178" i="1"/>
  <c r="J4178" i="1"/>
  <c r="K4178" i="1"/>
  <c r="L4178" i="1"/>
  <c r="A4179" i="1"/>
  <c r="B4179" i="1"/>
  <c r="C4179" i="1"/>
  <c r="D4179" i="1"/>
  <c r="Q4179" i="1"/>
  <c r="R4179" i="1"/>
  <c r="E4179" i="1"/>
  <c r="G4179" i="1"/>
  <c r="H4179" i="1"/>
  <c r="J4179" i="1"/>
  <c r="K4179" i="1"/>
  <c r="L4179" i="1"/>
  <c r="A4180" i="1"/>
  <c r="B4180" i="1"/>
  <c r="C4180" i="1"/>
  <c r="D4180" i="1"/>
  <c r="Q4180" i="1"/>
  <c r="R4180" i="1"/>
  <c r="E4180" i="1"/>
  <c r="G4180" i="1"/>
  <c r="H4180" i="1"/>
  <c r="J4180" i="1"/>
  <c r="K4180" i="1"/>
  <c r="L4180" i="1"/>
  <c r="A4181" i="1"/>
  <c r="B4181" i="1"/>
  <c r="C4181" i="1"/>
  <c r="D4181" i="1"/>
  <c r="Q4181" i="1"/>
  <c r="R4181" i="1"/>
  <c r="E4181" i="1"/>
  <c r="G4181" i="1"/>
  <c r="H4181" i="1"/>
  <c r="J4181" i="1"/>
  <c r="K4181" i="1"/>
  <c r="L4181" i="1"/>
  <c r="A4182" i="1"/>
  <c r="B4182" i="1"/>
  <c r="C4182" i="1"/>
  <c r="D4182" i="1"/>
  <c r="Q4182" i="1"/>
  <c r="R4182" i="1"/>
  <c r="E4182" i="1"/>
  <c r="G4182" i="1"/>
  <c r="H4182" i="1"/>
  <c r="J4182" i="1"/>
  <c r="K4182" i="1"/>
  <c r="L4182" i="1"/>
  <c r="A4183" i="1"/>
  <c r="B4183" i="1"/>
  <c r="C4183" i="1"/>
  <c r="D4183" i="1"/>
  <c r="Q4183" i="1"/>
  <c r="R4183" i="1"/>
  <c r="E4183" i="1"/>
  <c r="G4183" i="1"/>
  <c r="H4183" i="1"/>
  <c r="J4183" i="1"/>
  <c r="K4183" i="1"/>
  <c r="L4183" i="1"/>
  <c r="A4184" i="1"/>
  <c r="B4184" i="1"/>
  <c r="C4184" i="1"/>
  <c r="D4184" i="1"/>
  <c r="Q4184" i="1"/>
  <c r="R4184" i="1"/>
  <c r="E4184" i="1"/>
  <c r="G4184" i="1"/>
  <c r="H4184" i="1"/>
  <c r="J4184" i="1"/>
  <c r="K4184" i="1"/>
  <c r="L4184" i="1"/>
  <c r="A4185" i="1"/>
  <c r="B4185" i="1"/>
  <c r="C4185" i="1"/>
  <c r="D4185" i="1"/>
  <c r="Q4185" i="1"/>
  <c r="R4185" i="1"/>
  <c r="E4185" i="1"/>
  <c r="G4185" i="1"/>
  <c r="H4185" i="1"/>
  <c r="J4185" i="1"/>
  <c r="K4185" i="1"/>
  <c r="L4185" i="1"/>
  <c r="A4186" i="1"/>
  <c r="B4186" i="1"/>
  <c r="C4186" i="1"/>
  <c r="D4186" i="1"/>
  <c r="Q4186" i="1"/>
  <c r="R4186" i="1"/>
  <c r="E4186" i="1"/>
  <c r="G4186" i="1"/>
  <c r="H4186" i="1"/>
  <c r="J4186" i="1"/>
  <c r="K4186" i="1"/>
  <c r="L4186" i="1"/>
  <c r="A4187" i="1"/>
  <c r="B4187" i="1"/>
  <c r="C4187" i="1"/>
  <c r="D4187" i="1"/>
  <c r="Q4187" i="1"/>
  <c r="R4187" i="1"/>
  <c r="E4187" i="1"/>
  <c r="G4187" i="1"/>
  <c r="H4187" i="1"/>
  <c r="J4187" i="1"/>
  <c r="K4187" i="1"/>
  <c r="L4187" i="1"/>
  <c r="A4188" i="1"/>
  <c r="B4188" i="1"/>
  <c r="C4188" i="1"/>
  <c r="D4188" i="1"/>
  <c r="Q4188" i="1"/>
  <c r="R4188" i="1"/>
  <c r="E4188" i="1"/>
  <c r="G4188" i="1"/>
  <c r="H4188" i="1"/>
  <c r="J4188" i="1"/>
  <c r="K4188" i="1"/>
  <c r="L4188" i="1"/>
  <c r="A4189" i="1"/>
  <c r="B4189" i="1"/>
  <c r="C4189" i="1"/>
  <c r="D4189" i="1"/>
  <c r="Q4189" i="1"/>
  <c r="R4189" i="1"/>
  <c r="E4189" i="1"/>
  <c r="G4189" i="1"/>
  <c r="H4189" i="1"/>
  <c r="J4189" i="1"/>
  <c r="K4189" i="1"/>
  <c r="L4189" i="1"/>
  <c r="A4190" i="1"/>
  <c r="B4190" i="1"/>
  <c r="C4190" i="1"/>
  <c r="D4190" i="1"/>
  <c r="Q4190" i="1"/>
  <c r="R4190" i="1"/>
  <c r="E4190" i="1"/>
  <c r="G4190" i="1"/>
  <c r="H4190" i="1"/>
  <c r="J4190" i="1"/>
  <c r="K4190" i="1"/>
  <c r="L4190" i="1"/>
  <c r="A4191" i="1"/>
  <c r="B4191" i="1"/>
  <c r="C4191" i="1"/>
  <c r="D4191" i="1"/>
  <c r="Q4191" i="1"/>
  <c r="R4191" i="1"/>
  <c r="E4191" i="1"/>
  <c r="G4191" i="1"/>
  <c r="H4191" i="1"/>
  <c r="J4191" i="1"/>
  <c r="K4191" i="1"/>
  <c r="L4191" i="1"/>
  <c r="A4192" i="1"/>
  <c r="B4192" i="1"/>
  <c r="C4192" i="1"/>
  <c r="D4192" i="1"/>
  <c r="Q4192" i="1"/>
  <c r="R4192" i="1"/>
  <c r="E4192" i="1"/>
  <c r="G4192" i="1"/>
  <c r="H4192" i="1"/>
  <c r="J4192" i="1"/>
  <c r="K4192" i="1"/>
  <c r="L4192" i="1"/>
  <c r="A4193" i="1"/>
  <c r="B4193" i="1"/>
  <c r="C4193" i="1"/>
  <c r="D4193" i="1"/>
  <c r="Q4193" i="1"/>
  <c r="R4193" i="1"/>
  <c r="E4193" i="1"/>
  <c r="G4193" i="1"/>
  <c r="H4193" i="1"/>
  <c r="J4193" i="1"/>
  <c r="K4193" i="1"/>
  <c r="L4193" i="1"/>
  <c r="A4194" i="1"/>
  <c r="B4194" i="1"/>
  <c r="C4194" i="1"/>
  <c r="D4194" i="1"/>
  <c r="Q4194" i="1"/>
  <c r="R4194" i="1"/>
  <c r="E4194" i="1"/>
  <c r="G4194" i="1"/>
  <c r="H4194" i="1"/>
  <c r="J4194" i="1"/>
  <c r="K4194" i="1"/>
  <c r="L4194" i="1"/>
  <c r="A4195" i="1"/>
  <c r="B4195" i="1"/>
  <c r="C4195" i="1"/>
  <c r="D4195" i="1"/>
  <c r="Q4195" i="1"/>
  <c r="R4195" i="1"/>
  <c r="E4195" i="1"/>
  <c r="G4195" i="1"/>
  <c r="H4195" i="1"/>
  <c r="J4195" i="1"/>
  <c r="K4195" i="1"/>
  <c r="L4195" i="1"/>
  <c r="A4196" i="1"/>
  <c r="B4196" i="1"/>
  <c r="C4196" i="1"/>
  <c r="D4196" i="1"/>
  <c r="Q4196" i="1"/>
  <c r="R4196" i="1"/>
  <c r="E4196" i="1"/>
  <c r="G4196" i="1"/>
  <c r="H4196" i="1"/>
  <c r="J4196" i="1"/>
  <c r="K4196" i="1"/>
  <c r="L4196" i="1"/>
  <c r="A4197" i="1"/>
  <c r="B4197" i="1"/>
  <c r="C4197" i="1"/>
  <c r="D4197" i="1"/>
  <c r="Q4197" i="1"/>
  <c r="R4197" i="1"/>
  <c r="E4197" i="1"/>
  <c r="G4197" i="1"/>
  <c r="H4197" i="1"/>
  <c r="J4197" i="1"/>
  <c r="K4197" i="1"/>
  <c r="L4197" i="1"/>
  <c r="A4198" i="1"/>
  <c r="B4198" i="1"/>
  <c r="C4198" i="1"/>
  <c r="D4198" i="1"/>
  <c r="Q4198" i="1"/>
  <c r="R4198" i="1"/>
  <c r="E4198" i="1"/>
  <c r="G4198" i="1"/>
  <c r="H4198" i="1"/>
  <c r="J4198" i="1"/>
  <c r="K4198" i="1"/>
  <c r="L4198" i="1"/>
  <c r="A4199" i="1"/>
  <c r="B4199" i="1"/>
  <c r="C4199" i="1"/>
  <c r="D4199" i="1"/>
  <c r="Q4199" i="1"/>
  <c r="R4199" i="1"/>
  <c r="E4199" i="1"/>
  <c r="G4199" i="1"/>
  <c r="H4199" i="1"/>
  <c r="J4199" i="1"/>
  <c r="K4199" i="1"/>
  <c r="L4199" i="1"/>
  <c r="A4200" i="1"/>
  <c r="B4200" i="1"/>
  <c r="C4200" i="1"/>
  <c r="D4200" i="1"/>
  <c r="Q4200" i="1"/>
  <c r="R4200" i="1"/>
  <c r="E4200" i="1"/>
  <c r="G4200" i="1"/>
  <c r="H4200" i="1"/>
  <c r="J4200" i="1"/>
  <c r="K4200" i="1"/>
  <c r="L4200" i="1"/>
  <c r="A4201" i="1"/>
  <c r="B4201" i="1"/>
  <c r="C4201" i="1"/>
  <c r="D4201" i="1"/>
  <c r="Q4201" i="1"/>
  <c r="R4201" i="1"/>
  <c r="E4201" i="1"/>
  <c r="G4201" i="1"/>
  <c r="H4201" i="1"/>
  <c r="J4201" i="1"/>
  <c r="K4201" i="1"/>
  <c r="L4201" i="1"/>
  <c r="A4202" i="1"/>
  <c r="B4202" i="1"/>
  <c r="C4202" i="1"/>
  <c r="D4202" i="1"/>
  <c r="Q4202" i="1"/>
  <c r="R4202" i="1"/>
  <c r="E4202" i="1"/>
  <c r="G4202" i="1"/>
  <c r="H4202" i="1"/>
  <c r="J4202" i="1"/>
  <c r="K4202" i="1"/>
  <c r="L4202" i="1"/>
  <c r="A4203" i="1"/>
  <c r="B4203" i="1"/>
  <c r="C4203" i="1"/>
  <c r="D4203" i="1"/>
  <c r="Q4203" i="1"/>
  <c r="R4203" i="1"/>
  <c r="E4203" i="1"/>
  <c r="G4203" i="1"/>
  <c r="H4203" i="1"/>
  <c r="J4203" i="1"/>
  <c r="K4203" i="1"/>
  <c r="L4203" i="1"/>
  <c r="A4204" i="1"/>
  <c r="B4204" i="1"/>
  <c r="C4204" i="1"/>
  <c r="D4204" i="1"/>
  <c r="Q4204" i="1"/>
  <c r="R4204" i="1"/>
  <c r="E4204" i="1"/>
  <c r="G4204" i="1"/>
  <c r="H4204" i="1"/>
  <c r="J4204" i="1"/>
  <c r="K4204" i="1"/>
  <c r="L4204" i="1"/>
  <c r="A4205" i="1"/>
  <c r="B4205" i="1"/>
  <c r="C4205" i="1"/>
  <c r="D4205" i="1"/>
  <c r="Q4205" i="1"/>
  <c r="R4205" i="1"/>
  <c r="E4205" i="1"/>
  <c r="G4205" i="1"/>
  <c r="H4205" i="1"/>
  <c r="J4205" i="1"/>
  <c r="K4205" i="1"/>
  <c r="L4205" i="1"/>
  <c r="A4206" i="1"/>
  <c r="B4206" i="1"/>
  <c r="C4206" i="1"/>
  <c r="D4206" i="1"/>
  <c r="Q4206" i="1"/>
  <c r="R4206" i="1"/>
  <c r="E4206" i="1"/>
  <c r="G4206" i="1"/>
  <c r="H4206" i="1"/>
  <c r="J4206" i="1"/>
  <c r="K4206" i="1"/>
  <c r="L4206" i="1"/>
  <c r="A4207" i="1"/>
  <c r="B4207" i="1"/>
  <c r="C4207" i="1"/>
  <c r="D4207" i="1"/>
  <c r="Q4207" i="1"/>
  <c r="R4207" i="1"/>
  <c r="E4207" i="1"/>
  <c r="G4207" i="1"/>
  <c r="H4207" i="1"/>
  <c r="J4207" i="1"/>
  <c r="K4207" i="1"/>
  <c r="L4207" i="1"/>
  <c r="A4208" i="1"/>
  <c r="B4208" i="1"/>
  <c r="C4208" i="1"/>
  <c r="D4208" i="1"/>
  <c r="Q4208" i="1"/>
  <c r="R4208" i="1"/>
  <c r="E4208" i="1"/>
  <c r="G4208" i="1"/>
  <c r="H4208" i="1"/>
  <c r="J4208" i="1"/>
  <c r="K4208" i="1"/>
  <c r="L4208" i="1"/>
  <c r="A4209" i="1"/>
  <c r="B4209" i="1"/>
  <c r="C4209" i="1"/>
  <c r="D4209" i="1"/>
  <c r="Q4209" i="1"/>
  <c r="R4209" i="1"/>
  <c r="E4209" i="1"/>
  <c r="G4209" i="1"/>
  <c r="H4209" i="1"/>
  <c r="J4209" i="1"/>
  <c r="K4209" i="1"/>
  <c r="L4209" i="1"/>
  <c r="A4210" i="1"/>
  <c r="B4210" i="1"/>
  <c r="C4210" i="1"/>
  <c r="D4210" i="1"/>
  <c r="Q4210" i="1"/>
  <c r="R4210" i="1"/>
  <c r="E4210" i="1"/>
  <c r="G4210" i="1"/>
  <c r="H4210" i="1"/>
  <c r="J4210" i="1"/>
  <c r="K4210" i="1"/>
  <c r="L4210" i="1"/>
  <c r="A4211" i="1"/>
  <c r="B4211" i="1"/>
  <c r="C4211" i="1"/>
  <c r="D4211" i="1"/>
  <c r="Q4211" i="1"/>
  <c r="R4211" i="1"/>
  <c r="E4211" i="1"/>
  <c r="G4211" i="1"/>
  <c r="H4211" i="1"/>
  <c r="J4211" i="1"/>
  <c r="K4211" i="1"/>
  <c r="L4211" i="1"/>
  <c r="A4212" i="1"/>
  <c r="B4212" i="1"/>
  <c r="C4212" i="1"/>
  <c r="D4212" i="1"/>
  <c r="Q4212" i="1"/>
  <c r="R4212" i="1"/>
  <c r="E4212" i="1"/>
  <c r="G4212" i="1"/>
  <c r="H4212" i="1"/>
  <c r="J4212" i="1"/>
  <c r="K4212" i="1"/>
  <c r="L4212" i="1"/>
  <c r="A4213" i="1"/>
  <c r="B4213" i="1"/>
  <c r="C4213" i="1"/>
  <c r="D4213" i="1"/>
  <c r="Q4213" i="1"/>
  <c r="R4213" i="1"/>
  <c r="E4213" i="1"/>
  <c r="G4213" i="1"/>
  <c r="H4213" i="1"/>
  <c r="J4213" i="1"/>
  <c r="K4213" i="1"/>
  <c r="L4213" i="1"/>
  <c r="A4214" i="1"/>
  <c r="B4214" i="1"/>
  <c r="C4214" i="1"/>
  <c r="D4214" i="1"/>
  <c r="Q4214" i="1"/>
  <c r="R4214" i="1"/>
  <c r="E4214" i="1"/>
  <c r="G4214" i="1"/>
  <c r="H4214" i="1"/>
  <c r="J4214" i="1"/>
  <c r="K4214" i="1"/>
  <c r="L4214" i="1"/>
  <c r="A4215" i="1"/>
  <c r="B4215" i="1"/>
  <c r="C4215" i="1"/>
  <c r="D4215" i="1"/>
  <c r="Q4215" i="1"/>
  <c r="R4215" i="1"/>
  <c r="E4215" i="1"/>
  <c r="G4215" i="1"/>
  <c r="H4215" i="1"/>
  <c r="J4215" i="1"/>
  <c r="K4215" i="1"/>
  <c r="L4215" i="1"/>
  <c r="A4216" i="1"/>
  <c r="B4216" i="1"/>
  <c r="C4216" i="1"/>
  <c r="D4216" i="1"/>
  <c r="Q4216" i="1"/>
  <c r="R4216" i="1"/>
  <c r="E4216" i="1"/>
  <c r="G4216" i="1"/>
  <c r="H4216" i="1"/>
  <c r="J4216" i="1"/>
  <c r="K4216" i="1"/>
  <c r="L4216" i="1"/>
  <c r="A4217" i="1"/>
  <c r="B4217" i="1"/>
  <c r="C4217" i="1"/>
  <c r="D4217" i="1"/>
  <c r="Q4217" i="1"/>
  <c r="R4217" i="1"/>
  <c r="E4217" i="1"/>
  <c r="G4217" i="1"/>
  <c r="H4217" i="1"/>
  <c r="J4217" i="1"/>
  <c r="K4217" i="1"/>
  <c r="L4217" i="1"/>
  <c r="A4218" i="1"/>
  <c r="B4218" i="1"/>
  <c r="C4218" i="1"/>
  <c r="D4218" i="1"/>
  <c r="Q4218" i="1"/>
  <c r="R4218" i="1"/>
  <c r="E4218" i="1"/>
  <c r="G4218" i="1"/>
  <c r="H4218" i="1"/>
  <c r="J4218" i="1"/>
  <c r="K4218" i="1"/>
  <c r="L4218" i="1"/>
  <c r="A4219" i="1"/>
  <c r="B4219" i="1"/>
  <c r="C4219" i="1"/>
  <c r="D4219" i="1"/>
  <c r="Q4219" i="1"/>
  <c r="R4219" i="1"/>
  <c r="E4219" i="1"/>
  <c r="G4219" i="1"/>
  <c r="H4219" i="1"/>
  <c r="J4219" i="1"/>
  <c r="K4219" i="1"/>
  <c r="L4219" i="1"/>
  <c r="A4220" i="1"/>
  <c r="B4220" i="1"/>
  <c r="C4220" i="1"/>
  <c r="D4220" i="1"/>
  <c r="Q4220" i="1"/>
  <c r="R4220" i="1"/>
  <c r="E4220" i="1"/>
  <c r="G4220" i="1"/>
  <c r="H4220" i="1"/>
  <c r="J4220" i="1"/>
  <c r="K4220" i="1"/>
  <c r="L4220" i="1"/>
  <c r="A4221" i="1"/>
  <c r="B4221" i="1"/>
  <c r="C4221" i="1"/>
  <c r="D4221" i="1"/>
  <c r="Q4221" i="1"/>
  <c r="R4221" i="1"/>
  <c r="E4221" i="1"/>
  <c r="G4221" i="1"/>
  <c r="H4221" i="1"/>
  <c r="J4221" i="1"/>
  <c r="K4221" i="1"/>
  <c r="L4221" i="1"/>
  <c r="A4222" i="1"/>
  <c r="B4222" i="1"/>
  <c r="C4222" i="1"/>
  <c r="D4222" i="1"/>
  <c r="Q4222" i="1"/>
  <c r="R4222" i="1"/>
  <c r="E4222" i="1"/>
  <c r="G4222" i="1"/>
  <c r="H4222" i="1"/>
  <c r="J4222" i="1"/>
  <c r="K4222" i="1"/>
  <c r="L4222" i="1"/>
  <c r="A4223" i="1"/>
  <c r="B4223" i="1"/>
  <c r="C4223" i="1"/>
  <c r="D4223" i="1"/>
  <c r="Q4223" i="1"/>
  <c r="R4223" i="1"/>
  <c r="E4223" i="1"/>
  <c r="G4223" i="1"/>
  <c r="H4223" i="1"/>
  <c r="J4223" i="1"/>
  <c r="K4223" i="1"/>
  <c r="L4223" i="1"/>
  <c r="A4224" i="1"/>
  <c r="B4224" i="1"/>
  <c r="C4224" i="1"/>
  <c r="D4224" i="1"/>
  <c r="Q4224" i="1"/>
  <c r="R4224" i="1"/>
  <c r="E4224" i="1"/>
  <c r="G4224" i="1"/>
  <c r="H4224" i="1"/>
  <c r="J4224" i="1"/>
  <c r="K4224" i="1"/>
  <c r="L4224" i="1"/>
  <c r="A4225" i="1"/>
  <c r="B4225" i="1"/>
  <c r="C4225" i="1"/>
  <c r="D4225" i="1"/>
  <c r="Q4225" i="1"/>
  <c r="R4225" i="1"/>
  <c r="E4225" i="1"/>
  <c r="G4225" i="1"/>
  <c r="H4225" i="1"/>
  <c r="J4225" i="1"/>
  <c r="K4225" i="1"/>
  <c r="L4225" i="1"/>
  <c r="A4226" i="1"/>
  <c r="B4226" i="1"/>
  <c r="C4226" i="1"/>
  <c r="D4226" i="1"/>
  <c r="Q4226" i="1"/>
  <c r="R4226" i="1"/>
  <c r="E4226" i="1"/>
  <c r="G4226" i="1"/>
  <c r="H4226" i="1"/>
  <c r="J4226" i="1"/>
  <c r="K4226" i="1"/>
  <c r="L4226" i="1"/>
  <c r="A4227" i="1"/>
  <c r="B4227" i="1"/>
  <c r="C4227" i="1"/>
  <c r="D4227" i="1"/>
  <c r="Q4227" i="1"/>
  <c r="R4227" i="1"/>
  <c r="E4227" i="1"/>
  <c r="G4227" i="1"/>
  <c r="H4227" i="1"/>
  <c r="J4227" i="1"/>
  <c r="K4227" i="1"/>
  <c r="L4227" i="1"/>
  <c r="A4228" i="1"/>
  <c r="B4228" i="1"/>
  <c r="C4228" i="1"/>
  <c r="D4228" i="1"/>
  <c r="Q4228" i="1"/>
  <c r="R4228" i="1"/>
  <c r="E4228" i="1"/>
  <c r="G4228" i="1"/>
  <c r="H4228" i="1"/>
  <c r="J4228" i="1"/>
  <c r="K4228" i="1"/>
  <c r="L4228" i="1"/>
  <c r="A4229" i="1"/>
  <c r="B4229" i="1"/>
  <c r="C4229" i="1"/>
  <c r="D4229" i="1"/>
  <c r="Q4229" i="1"/>
  <c r="R4229" i="1"/>
  <c r="E4229" i="1"/>
  <c r="G4229" i="1"/>
  <c r="H4229" i="1"/>
  <c r="J4229" i="1"/>
  <c r="K4229" i="1"/>
  <c r="L4229" i="1"/>
  <c r="A4230" i="1"/>
  <c r="B4230" i="1"/>
  <c r="C4230" i="1"/>
  <c r="D4230" i="1"/>
  <c r="Q4230" i="1"/>
  <c r="R4230" i="1"/>
  <c r="E4230" i="1"/>
  <c r="G4230" i="1"/>
  <c r="H4230" i="1"/>
  <c r="J4230" i="1"/>
  <c r="K4230" i="1"/>
  <c r="L4230" i="1"/>
  <c r="A4231" i="1"/>
  <c r="B4231" i="1"/>
  <c r="C4231" i="1"/>
  <c r="D4231" i="1"/>
  <c r="Q4231" i="1"/>
  <c r="R4231" i="1"/>
  <c r="E4231" i="1"/>
  <c r="G4231" i="1"/>
  <c r="H4231" i="1"/>
  <c r="J4231" i="1"/>
  <c r="K4231" i="1"/>
  <c r="L4231" i="1"/>
  <c r="A4232" i="1"/>
  <c r="B4232" i="1"/>
  <c r="C4232" i="1"/>
  <c r="D4232" i="1"/>
  <c r="Q4232" i="1"/>
  <c r="R4232" i="1"/>
  <c r="E4232" i="1"/>
  <c r="G4232" i="1"/>
  <c r="H4232" i="1"/>
  <c r="J4232" i="1"/>
  <c r="K4232" i="1"/>
  <c r="L4232" i="1"/>
  <c r="A4233" i="1"/>
  <c r="B4233" i="1"/>
  <c r="C4233" i="1"/>
  <c r="D4233" i="1"/>
  <c r="Q4233" i="1"/>
  <c r="R4233" i="1"/>
  <c r="E4233" i="1"/>
  <c r="G4233" i="1"/>
  <c r="H4233" i="1"/>
  <c r="J4233" i="1"/>
  <c r="K4233" i="1"/>
  <c r="L4233" i="1"/>
  <c r="A4234" i="1"/>
  <c r="B4234" i="1"/>
  <c r="C4234" i="1"/>
  <c r="D4234" i="1"/>
  <c r="Q4234" i="1"/>
  <c r="R4234" i="1"/>
  <c r="E4234" i="1"/>
  <c r="G4234" i="1"/>
  <c r="H4234" i="1"/>
  <c r="J4234" i="1"/>
  <c r="K4234" i="1"/>
  <c r="L4234" i="1"/>
  <c r="A4235" i="1"/>
  <c r="B4235" i="1"/>
  <c r="C4235" i="1"/>
  <c r="D4235" i="1"/>
  <c r="Q4235" i="1"/>
  <c r="R4235" i="1"/>
  <c r="E4235" i="1"/>
  <c r="G4235" i="1"/>
  <c r="H4235" i="1"/>
  <c r="J4235" i="1"/>
  <c r="K4235" i="1"/>
  <c r="L4235" i="1"/>
  <c r="A4236" i="1"/>
  <c r="B4236" i="1"/>
  <c r="C4236" i="1"/>
  <c r="D4236" i="1"/>
  <c r="Q4236" i="1"/>
  <c r="R4236" i="1"/>
  <c r="E4236" i="1"/>
  <c r="G4236" i="1"/>
  <c r="H4236" i="1"/>
  <c r="J4236" i="1"/>
  <c r="K4236" i="1"/>
  <c r="L4236" i="1"/>
  <c r="A4237" i="1"/>
  <c r="B4237" i="1"/>
  <c r="C4237" i="1"/>
  <c r="D4237" i="1"/>
  <c r="Q4237" i="1"/>
  <c r="R4237" i="1"/>
  <c r="E4237" i="1"/>
  <c r="F4237" i="1"/>
  <c r="G4237" i="1"/>
  <c r="H4237" i="1"/>
  <c r="J4237" i="1"/>
  <c r="K4237" i="1"/>
  <c r="L4237" i="1"/>
  <c r="A4238" i="1"/>
  <c r="B4238" i="1"/>
  <c r="C4238" i="1"/>
  <c r="D4238" i="1"/>
  <c r="Q4238" i="1"/>
  <c r="R4238" i="1"/>
  <c r="E4238" i="1"/>
  <c r="F4238" i="1"/>
  <c r="G4238" i="1"/>
  <c r="H4238" i="1"/>
  <c r="J4238" i="1"/>
  <c r="K4238" i="1"/>
  <c r="L4238" i="1"/>
  <c r="A4239" i="1"/>
  <c r="B4239" i="1"/>
  <c r="C4239" i="1"/>
  <c r="D4239" i="1"/>
  <c r="Q4239" i="1"/>
  <c r="R4239" i="1"/>
  <c r="E4239" i="1"/>
  <c r="F4239" i="1"/>
  <c r="G4239" i="1"/>
  <c r="H4239" i="1"/>
  <c r="J4239" i="1"/>
  <c r="K4239" i="1"/>
  <c r="L4239" i="1"/>
  <c r="A4240" i="1"/>
  <c r="B4240" i="1"/>
  <c r="C4240" i="1"/>
  <c r="D4240" i="1"/>
  <c r="Q4240" i="1"/>
  <c r="R4240" i="1"/>
  <c r="E4240" i="1"/>
  <c r="F4240" i="1"/>
  <c r="G4240" i="1"/>
  <c r="H4240" i="1"/>
  <c r="J4240" i="1"/>
  <c r="K4240" i="1"/>
  <c r="L4240" i="1"/>
  <c r="A4241" i="1"/>
  <c r="B4241" i="1"/>
  <c r="C4241" i="1"/>
  <c r="D4241" i="1"/>
  <c r="Q4241" i="1"/>
  <c r="R4241" i="1"/>
  <c r="E4241" i="1"/>
  <c r="F4241" i="1"/>
  <c r="G4241" i="1"/>
  <c r="H4241" i="1"/>
  <c r="J4241" i="1"/>
  <c r="K4241" i="1"/>
  <c r="L4241" i="1"/>
  <c r="A4242" i="1"/>
  <c r="B4242" i="1"/>
  <c r="C4242" i="1"/>
  <c r="D4242" i="1"/>
  <c r="Q4242" i="1"/>
  <c r="R4242" i="1"/>
  <c r="E4242" i="1"/>
  <c r="F4242" i="1"/>
  <c r="G4242" i="1"/>
  <c r="H4242" i="1"/>
  <c r="J4242" i="1"/>
  <c r="K4242" i="1"/>
  <c r="L4242" i="1"/>
  <c r="A4243" i="1"/>
  <c r="B4243" i="1"/>
  <c r="C4243" i="1"/>
  <c r="D4243" i="1"/>
  <c r="Q4243" i="1"/>
  <c r="R4243" i="1"/>
  <c r="E4243" i="1"/>
  <c r="F4243" i="1"/>
  <c r="G4243" i="1"/>
  <c r="H4243" i="1"/>
  <c r="J4243" i="1"/>
  <c r="K4243" i="1"/>
  <c r="L4243" i="1"/>
  <c r="A4244" i="1"/>
  <c r="B4244" i="1"/>
  <c r="C4244" i="1"/>
  <c r="D4244" i="1"/>
  <c r="Q4244" i="1"/>
  <c r="R4244" i="1"/>
  <c r="E4244" i="1"/>
  <c r="F4244" i="1"/>
  <c r="G4244" i="1"/>
  <c r="H4244" i="1"/>
  <c r="J4244" i="1"/>
  <c r="K4244" i="1"/>
  <c r="L4244" i="1"/>
  <c r="A4245" i="1"/>
  <c r="B4245" i="1"/>
  <c r="C4245" i="1"/>
  <c r="D4245" i="1"/>
  <c r="Q4245" i="1"/>
  <c r="R4245" i="1"/>
  <c r="E4245" i="1"/>
  <c r="F4245" i="1"/>
  <c r="G4245" i="1"/>
  <c r="H4245" i="1"/>
  <c r="J4245" i="1"/>
  <c r="K4245" i="1"/>
  <c r="L4245" i="1"/>
  <c r="A4246" i="1"/>
  <c r="B4246" i="1"/>
  <c r="C4246" i="1"/>
  <c r="D4246" i="1"/>
  <c r="Q4246" i="1"/>
  <c r="R4246" i="1"/>
  <c r="E4246" i="1"/>
  <c r="F4246" i="1"/>
  <c r="G4246" i="1"/>
  <c r="H4246" i="1"/>
  <c r="J4246" i="1"/>
  <c r="K4246" i="1"/>
  <c r="L4246" i="1"/>
  <c r="A4247" i="1"/>
  <c r="B4247" i="1"/>
  <c r="C4247" i="1"/>
  <c r="D4247" i="1"/>
  <c r="Q4247" i="1"/>
  <c r="R4247" i="1"/>
  <c r="E4247" i="1"/>
  <c r="F4247" i="1"/>
  <c r="G4247" i="1"/>
  <c r="H4247" i="1"/>
  <c r="J4247" i="1"/>
  <c r="K4247" i="1"/>
  <c r="L4247" i="1"/>
  <c r="A4248" i="1"/>
  <c r="B4248" i="1"/>
  <c r="C4248" i="1"/>
  <c r="D4248" i="1"/>
  <c r="Q4248" i="1"/>
  <c r="R4248" i="1"/>
  <c r="E4248" i="1"/>
  <c r="F4248" i="1"/>
  <c r="G4248" i="1"/>
  <c r="H4248" i="1"/>
  <c r="J4248" i="1"/>
  <c r="K4248" i="1"/>
  <c r="L4248" i="1"/>
  <c r="A4249" i="1"/>
  <c r="B4249" i="1"/>
  <c r="C4249" i="1"/>
  <c r="D4249" i="1"/>
  <c r="Q4249" i="1"/>
  <c r="R4249" i="1"/>
  <c r="E4249" i="1"/>
  <c r="F4249" i="1"/>
  <c r="G4249" i="1"/>
  <c r="H4249" i="1"/>
  <c r="J4249" i="1"/>
  <c r="K4249" i="1"/>
  <c r="L4249" i="1"/>
  <c r="A4250" i="1"/>
  <c r="B4250" i="1"/>
  <c r="C4250" i="1"/>
  <c r="D4250" i="1"/>
  <c r="Q4250" i="1"/>
  <c r="R4250" i="1"/>
  <c r="E4250" i="1"/>
  <c r="F4250" i="1"/>
  <c r="G4250" i="1"/>
  <c r="H4250" i="1"/>
  <c r="J4250" i="1"/>
  <c r="K4250" i="1"/>
  <c r="L4250" i="1"/>
  <c r="A4251" i="1"/>
  <c r="B4251" i="1"/>
  <c r="C4251" i="1"/>
  <c r="D4251" i="1"/>
  <c r="Q4251" i="1"/>
  <c r="R4251" i="1"/>
  <c r="E4251" i="1"/>
  <c r="G4251" i="1"/>
  <c r="H4251" i="1"/>
  <c r="J4251" i="1"/>
  <c r="K4251" i="1"/>
  <c r="L4251" i="1"/>
  <c r="A4252" i="1"/>
  <c r="B4252" i="1"/>
  <c r="C4252" i="1"/>
  <c r="D4252" i="1"/>
  <c r="Q4252" i="1"/>
  <c r="R4252" i="1"/>
  <c r="E4252" i="1"/>
  <c r="G4252" i="1"/>
  <c r="H4252" i="1"/>
  <c r="J4252" i="1"/>
  <c r="K4252" i="1"/>
  <c r="L4252" i="1"/>
  <c r="A4253" i="1"/>
  <c r="B4253" i="1"/>
  <c r="C4253" i="1"/>
  <c r="D4253" i="1"/>
  <c r="Q4253" i="1"/>
  <c r="R4253" i="1"/>
  <c r="E4253" i="1"/>
  <c r="G4253" i="1"/>
  <c r="H4253" i="1"/>
  <c r="J4253" i="1"/>
  <c r="K4253" i="1"/>
  <c r="L4253" i="1"/>
  <c r="A4254" i="1"/>
  <c r="B4254" i="1"/>
  <c r="C4254" i="1"/>
  <c r="D4254" i="1"/>
  <c r="Q4254" i="1"/>
  <c r="R4254" i="1"/>
  <c r="E4254" i="1"/>
  <c r="G4254" i="1"/>
  <c r="H4254" i="1"/>
  <c r="J4254" i="1"/>
  <c r="K4254" i="1"/>
  <c r="L4254" i="1"/>
  <c r="A4255" i="1"/>
  <c r="B4255" i="1"/>
  <c r="C4255" i="1"/>
  <c r="D4255" i="1"/>
  <c r="Q4255" i="1"/>
  <c r="R4255" i="1"/>
  <c r="E4255" i="1"/>
  <c r="G4255" i="1"/>
  <c r="H4255" i="1"/>
  <c r="J4255" i="1"/>
  <c r="K4255" i="1"/>
  <c r="L4255" i="1"/>
  <c r="A4256" i="1"/>
  <c r="B4256" i="1"/>
  <c r="C4256" i="1"/>
  <c r="D4256" i="1"/>
  <c r="Q4256" i="1"/>
  <c r="R4256" i="1"/>
  <c r="E4256" i="1"/>
  <c r="G4256" i="1"/>
  <c r="H4256" i="1"/>
  <c r="J4256" i="1"/>
  <c r="K4256" i="1"/>
  <c r="L4256" i="1"/>
  <c r="A4257" i="1"/>
  <c r="B4257" i="1"/>
  <c r="C4257" i="1"/>
  <c r="D4257" i="1"/>
  <c r="Q4257" i="1"/>
  <c r="R4257" i="1"/>
  <c r="E4257" i="1"/>
  <c r="G4257" i="1"/>
  <c r="H4257" i="1"/>
  <c r="J4257" i="1"/>
  <c r="K4257" i="1"/>
  <c r="L4257" i="1"/>
  <c r="A4258" i="1"/>
  <c r="B4258" i="1"/>
  <c r="C4258" i="1"/>
  <c r="D4258" i="1"/>
  <c r="Q4258" i="1"/>
  <c r="R4258" i="1"/>
  <c r="E4258" i="1"/>
  <c r="G4258" i="1"/>
  <c r="H4258" i="1"/>
  <c r="J4258" i="1"/>
  <c r="K4258" i="1"/>
  <c r="L4258" i="1"/>
  <c r="A4259" i="1"/>
  <c r="B4259" i="1"/>
  <c r="C4259" i="1"/>
  <c r="D4259" i="1"/>
  <c r="Q4259" i="1"/>
  <c r="R4259" i="1"/>
  <c r="E4259" i="1"/>
  <c r="G4259" i="1"/>
  <c r="H4259" i="1"/>
  <c r="J4259" i="1"/>
  <c r="K4259" i="1"/>
  <c r="L4259" i="1"/>
  <c r="A4260" i="1"/>
  <c r="B4260" i="1"/>
  <c r="C4260" i="1"/>
  <c r="D4260" i="1"/>
  <c r="Q4260" i="1"/>
  <c r="R4260" i="1"/>
  <c r="E4260" i="1"/>
  <c r="G4260" i="1"/>
  <c r="H4260" i="1"/>
  <c r="J4260" i="1"/>
  <c r="K4260" i="1"/>
  <c r="L4260" i="1"/>
  <c r="A4261" i="1"/>
  <c r="B4261" i="1"/>
  <c r="C4261" i="1"/>
  <c r="D4261" i="1"/>
  <c r="Q4261" i="1"/>
  <c r="R4261" i="1"/>
  <c r="E4261" i="1"/>
  <c r="G4261" i="1"/>
  <c r="H4261" i="1"/>
  <c r="J4261" i="1"/>
  <c r="K4261" i="1"/>
  <c r="L4261" i="1"/>
  <c r="A4262" i="1"/>
  <c r="B4262" i="1"/>
  <c r="C4262" i="1"/>
  <c r="D4262" i="1"/>
  <c r="Q4262" i="1"/>
  <c r="R4262" i="1"/>
  <c r="E4262" i="1"/>
  <c r="G4262" i="1"/>
  <c r="H4262" i="1"/>
  <c r="J4262" i="1"/>
  <c r="K4262" i="1"/>
  <c r="L4262" i="1"/>
  <c r="A4263" i="1"/>
  <c r="B4263" i="1"/>
  <c r="C4263" i="1"/>
  <c r="D4263" i="1"/>
  <c r="Q4263" i="1"/>
  <c r="R4263" i="1"/>
  <c r="E4263" i="1"/>
  <c r="G4263" i="1"/>
  <c r="H4263" i="1"/>
  <c r="J4263" i="1"/>
  <c r="K4263" i="1"/>
  <c r="L4263" i="1"/>
  <c r="A4264" i="1"/>
  <c r="B4264" i="1"/>
  <c r="C4264" i="1"/>
  <c r="D4264" i="1"/>
  <c r="Q4264" i="1"/>
  <c r="R4264" i="1"/>
  <c r="E4264" i="1"/>
  <c r="G4264" i="1"/>
  <c r="H4264" i="1"/>
  <c r="J4264" i="1"/>
  <c r="K4264" i="1"/>
  <c r="L4264" i="1"/>
  <c r="A4265" i="1"/>
  <c r="B4265" i="1"/>
  <c r="C4265" i="1"/>
  <c r="D4265" i="1"/>
  <c r="Q4265" i="1"/>
  <c r="R4265" i="1"/>
  <c r="E4265" i="1"/>
  <c r="G4265" i="1"/>
  <c r="H4265" i="1"/>
  <c r="J4265" i="1"/>
  <c r="K4265" i="1"/>
  <c r="L4265" i="1"/>
  <c r="A4266" i="1"/>
  <c r="B4266" i="1"/>
  <c r="C4266" i="1"/>
  <c r="D4266" i="1"/>
  <c r="Q4266" i="1"/>
  <c r="R4266" i="1"/>
  <c r="E4266" i="1"/>
  <c r="G4266" i="1"/>
  <c r="H4266" i="1"/>
  <c r="J4266" i="1"/>
  <c r="K4266" i="1"/>
  <c r="L4266" i="1"/>
  <c r="A4267" i="1"/>
  <c r="B4267" i="1"/>
  <c r="C4267" i="1"/>
  <c r="D4267" i="1"/>
  <c r="Q4267" i="1"/>
  <c r="R4267" i="1"/>
  <c r="E4267" i="1"/>
  <c r="G4267" i="1"/>
  <c r="H4267" i="1"/>
  <c r="J4267" i="1"/>
  <c r="K4267" i="1"/>
  <c r="L4267" i="1"/>
  <c r="A4268" i="1"/>
  <c r="B4268" i="1"/>
  <c r="C4268" i="1"/>
  <c r="D4268" i="1"/>
  <c r="Q4268" i="1"/>
  <c r="R4268" i="1"/>
  <c r="E4268" i="1"/>
  <c r="G4268" i="1"/>
  <c r="H4268" i="1"/>
  <c r="J4268" i="1"/>
  <c r="K4268" i="1"/>
  <c r="L4268" i="1"/>
  <c r="A4269" i="1"/>
  <c r="B4269" i="1"/>
  <c r="C4269" i="1"/>
  <c r="D4269" i="1"/>
  <c r="Q4269" i="1"/>
  <c r="R4269" i="1"/>
  <c r="E4269" i="1"/>
  <c r="G4269" i="1"/>
  <c r="H4269" i="1"/>
  <c r="J4269" i="1"/>
  <c r="K4269" i="1"/>
  <c r="L4269" i="1"/>
  <c r="A4270" i="1"/>
  <c r="B4270" i="1"/>
  <c r="C4270" i="1"/>
  <c r="D4270" i="1"/>
  <c r="Q4270" i="1"/>
  <c r="R4270" i="1"/>
  <c r="E4270" i="1"/>
  <c r="G4270" i="1"/>
  <c r="H4270" i="1"/>
  <c r="J4270" i="1"/>
  <c r="K4270" i="1"/>
  <c r="L4270" i="1"/>
  <c r="A4271" i="1"/>
  <c r="B4271" i="1"/>
  <c r="C4271" i="1"/>
  <c r="D4271" i="1"/>
  <c r="Q4271" i="1"/>
  <c r="R4271" i="1"/>
  <c r="E4271" i="1"/>
  <c r="G4271" i="1"/>
  <c r="H4271" i="1"/>
  <c r="J4271" i="1"/>
  <c r="K4271" i="1"/>
  <c r="L4271" i="1"/>
  <c r="A4272" i="1"/>
  <c r="B4272" i="1"/>
  <c r="C4272" i="1"/>
  <c r="D4272" i="1"/>
  <c r="Q4272" i="1"/>
  <c r="R4272" i="1"/>
  <c r="E4272" i="1"/>
  <c r="G4272" i="1"/>
  <c r="H4272" i="1"/>
  <c r="J4272" i="1"/>
  <c r="K4272" i="1"/>
  <c r="L4272" i="1"/>
  <c r="A4273" i="1"/>
  <c r="B4273" i="1"/>
  <c r="C4273" i="1"/>
  <c r="D4273" i="1"/>
  <c r="Q4273" i="1"/>
  <c r="R4273" i="1"/>
  <c r="E4273" i="1"/>
  <c r="G4273" i="1"/>
  <c r="H4273" i="1"/>
  <c r="J4273" i="1"/>
  <c r="K4273" i="1"/>
  <c r="L4273" i="1"/>
  <c r="A4274" i="1"/>
  <c r="B4274" i="1"/>
  <c r="C4274" i="1"/>
  <c r="D4274" i="1"/>
  <c r="Q4274" i="1"/>
  <c r="R4274" i="1"/>
  <c r="E4274" i="1"/>
  <c r="G4274" i="1"/>
  <c r="H4274" i="1"/>
  <c r="J4274" i="1"/>
  <c r="K4274" i="1"/>
  <c r="L4274" i="1"/>
  <c r="A4275" i="1"/>
  <c r="B4275" i="1"/>
  <c r="C4275" i="1"/>
  <c r="D4275" i="1"/>
  <c r="Q4275" i="1"/>
  <c r="R4275" i="1"/>
  <c r="E4275" i="1"/>
  <c r="G4275" i="1"/>
  <c r="H4275" i="1"/>
  <c r="J4275" i="1"/>
  <c r="K4275" i="1"/>
  <c r="L4275" i="1"/>
  <c r="A4276" i="1"/>
  <c r="B4276" i="1"/>
  <c r="C4276" i="1"/>
  <c r="D4276" i="1"/>
  <c r="Q4276" i="1"/>
  <c r="R4276" i="1"/>
  <c r="E4276" i="1"/>
  <c r="G4276" i="1"/>
  <c r="H4276" i="1"/>
  <c r="J4276" i="1"/>
  <c r="K4276" i="1"/>
  <c r="L4276" i="1"/>
  <c r="A4277" i="1"/>
  <c r="B4277" i="1"/>
  <c r="C4277" i="1"/>
  <c r="D4277" i="1"/>
  <c r="Q4277" i="1"/>
  <c r="R4277" i="1"/>
  <c r="E4277" i="1"/>
  <c r="G4277" i="1"/>
  <c r="H4277" i="1"/>
  <c r="J4277" i="1"/>
  <c r="K4277" i="1"/>
  <c r="L4277" i="1"/>
  <c r="A4278" i="1"/>
  <c r="B4278" i="1"/>
  <c r="C4278" i="1"/>
  <c r="D4278" i="1"/>
  <c r="Q4278" i="1"/>
  <c r="R4278" i="1"/>
  <c r="E4278" i="1"/>
  <c r="G4278" i="1"/>
  <c r="H4278" i="1"/>
  <c r="J4278" i="1"/>
  <c r="K4278" i="1"/>
  <c r="L4278" i="1"/>
  <c r="A4279" i="1"/>
  <c r="B4279" i="1"/>
  <c r="C4279" i="1"/>
  <c r="D4279" i="1"/>
  <c r="Q4279" i="1"/>
  <c r="R4279" i="1"/>
  <c r="E4279" i="1"/>
  <c r="G4279" i="1"/>
  <c r="H4279" i="1"/>
  <c r="J4279" i="1"/>
  <c r="K4279" i="1"/>
  <c r="L4279" i="1"/>
  <c r="A4280" i="1"/>
  <c r="B4280" i="1"/>
  <c r="C4280" i="1"/>
  <c r="D4280" i="1"/>
  <c r="Q4280" i="1"/>
  <c r="R4280" i="1"/>
  <c r="E4280" i="1"/>
  <c r="G4280" i="1"/>
  <c r="H4280" i="1"/>
  <c r="J4280" i="1"/>
  <c r="K4280" i="1"/>
  <c r="L4280" i="1"/>
  <c r="A4281" i="1"/>
  <c r="B4281" i="1"/>
  <c r="C4281" i="1"/>
  <c r="D4281" i="1"/>
  <c r="Q4281" i="1"/>
  <c r="R4281" i="1"/>
  <c r="E4281" i="1"/>
  <c r="G4281" i="1"/>
  <c r="H4281" i="1"/>
  <c r="J4281" i="1"/>
  <c r="K4281" i="1"/>
  <c r="L4281" i="1"/>
  <c r="A4282" i="1"/>
  <c r="B4282" i="1"/>
  <c r="C4282" i="1"/>
  <c r="D4282" i="1"/>
  <c r="Q4282" i="1"/>
  <c r="R4282" i="1"/>
  <c r="E4282" i="1"/>
  <c r="G4282" i="1"/>
  <c r="H4282" i="1"/>
  <c r="J4282" i="1"/>
  <c r="K4282" i="1"/>
  <c r="L4282" i="1"/>
  <c r="A4283" i="1"/>
  <c r="B4283" i="1"/>
  <c r="C4283" i="1"/>
  <c r="D4283" i="1"/>
  <c r="Q4283" i="1"/>
  <c r="R4283" i="1"/>
  <c r="E4283" i="1"/>
  <c r="G4283" i="1"/>
  <c r="H4283" i="1"/>
  <c r="J4283" i="1"/>
  <c r="K4283" i="1"/>
  <c r="L4283" i="1"/>
  <c r="A4284" i="1"/>
  <c r="B4284" i="1"/>
  <c r="C4284" i="1"/>
  <c r="D4284" i="1"/>
  <c r="Q4284" i="1"/>
  <c r="R4284" i="1"/>
  <c r="E4284" i="1"/>
  <c r="G4284" i="1"/>
  <c r="H4284" i="1"/>
  <c r="J4284" i="1"/>
  <c r="K4284" i="1"/>
  <c r="L4284" i="1"/>
  <c r="A4285" i="1"/>
  <c r="B4285" i="1"/>
  <c r="C4285" i="1"/>
  <c r="D4285" i="1"/>
  <c r="Q4285" i="1"/>
  <c r="R4285" i="1"/>
  <c r="E4285" i="1"/>
  <c r="G4285" i="1"/>
  <c r="H4285" i="1"/>
  <c r="J4285" i="1"/>
  <c r="K4285" i="1"/>
  <c r="L4285" i="1"/>
  <c r="A4286" i="1"/>
  <c r="B4286" i="1"/>
  <c r="C4286" i="1"/>
  <c r="D4286" i="1"/>
  <c r="Q4286" i="1"/>
  <c r="R4286" i="1"/>
  <c r="E4286" i="1"/>
  <c r="G4286" i="1"/>
  <c r="H4286" i="1"/>
  <c r="J4286" i="1"/>
  <c r="K4286" i="1"/>
  <c r="L4286" i="1"/>
  <c r="A4287" i="1"/>
  <c r="B4287" i="1"/>
  <c r="C4287" i="1"/>
  <c r="D4287" i="1"/>
  <c r="Q4287" i="1"/>
  <c r="R4287" i="1"/>
  <c r="E4287" i="1"/>
  <c r="G4287" i="1"/>
  <c r="H4287" i="1"/>
  <c r="J4287" i="1"/>
  <c r="K4287" i="1"/>
  <c r="L4287" i="1"/>
  <c r="A4288" i="1"/>
  <c r="B4288" i="1"/>
  <c r="C4288" i="1"/>
  <c r="D4288" i="1"/>
  <c r="Q4288" i="1"/>
  <c r="R4288" i="1"/>
  <c r="E4288" i="1"/>
  <c r="G4288" i="1"/>
  <c r="H4288" i="1"/>
  <c r="J4288" i="1"/>
  <c r="K4288" i="1"/>
  <c r="L4288" i="1"/>
  <c r="A4289" i="1"/>
  <c r="B4289" i="1"/>
  <c r="C4289" i="1"/>
  <c r="D4289" i="1"/>
  <c r="Q4289" i="1"/>
  <c r="R4289" i="1"/>
  <c r="E4289" i="1"/>
  <c r="G4289" i="1"/>
  <c r="H4289" i="1"/>
  <c r="J4289" i="1"/>
  <c r="K4289" i="1"/>
  <c r="L4289" i="1"/>
  <c r="A4290" i="1"/>
  <c r="B4290" i="1"/>
  <c r="C4290" i="1"/>
  <c r="D4290" i="1"/>
  <c r="Q4290" i="1"/>
  <c r="R4290" i="1"/>
  <c r="E4290" i="1"/>
  <c r="G4290" i="1"/>
  <c r="H4290" i="1"/>
  <c r="J4290" i="1"/>
  <c r="K4290" i="1"/>
  <c r="L4290" i="1"/>
  <c r="A4291" i="1"/>
  <c r="B4291" i="1"/>
  <c r="C4291" i="1"/>
  <c r="D4291" i="1"/>
  <c r="Q4291" i="1"/>
  <c r="R4291" i="1"/>
  <c r="E4291" i="1"/>
  <c r="G4291" i="1"/>
  <c r="H4291" i="1"/>
  <c r="J4291" i="1"/>
  <c r="K4291" i="1"/>
  <c r="L4291" i="1"/>
  <c r="A4292" i="1"/>
  <c r="B4292" i="1"/>
  <c r="C4292" i="1"/>
  <c r="D4292" i="1"/>
  <c r="Q4292" i="1"/>
  <c r="R4292" i="1"/>
  <c r="E4292" i="1"/>
  <c r="G4292" i="1"/>
  <c r="H4292" i="1"/>
  <c r="J4292" i="1"/>
  <c r="K4292" i="1"/>
  <c r="L4292" i="1"/>
  <c r="A4293" i="1"/>
  <c r="B4293" i="1"/>
  <c r="C4293" i="1"/>
  <c r="D4293" i="1"/>
  <c r="Q4293" i="1"/>
  <c r="R4293" i="1"/>
  <c r="E4293" i="1"/>
  <c r="G4293" i="1"/>
  <c r="H4293" i="1"/>
  <c r="J4293" i="1"/>
  <c r="K4293" i="1"/>
  <c r="L4293" i="1"/>
  <c r="A4294" i="1"/>
  <c r="B4294" i="1"/>
  <c r="C4294" i="1"/>
  <c r="D4294" i="1"/>
  <c r="Q4294" i="1"/>
  <c r="R4294" i="1"/>
  <c r="E4294" i="1"/>
  <c r="G4294" i="1"/>
  <c r="H4294" i="1"/>
  <c r="J4294" i="1"/>
  <c r="K4294" i="1"/>
  <c r="L4294" i="1"/>
  <c r="A4295" i="1"/>
  <c r="B4295" i="1"/>
  <c r="C4295" i="1"/>
  <c r="D4295" i="1"/>
  <c r="Q4295" i="1"/>
  <c r="R4295" i="1"/>
  <c r="E4295" i="1"/>
  <c r="G4295" i="1"/>
  <c r="H4295" i="1"/>
  <c r="J4295" i="1"/>
  <c r="K4295" i="1"/>
  <c r="L4295" i="1"/>
  <c r="A4296" i="1"/>
  <c r="B4296" i="1"/>
  <c r="C4296" i="1"/>
  <c r="D4296" i="1"/>
  <c r="Q4296" i="1"/>
  <c r="R4296" i="1"/>
  <c r="E4296" i="1"/>
  <c r="G4296" i="1"/>
  <c r="H4296" i="1"/>
  <c r="J4296" i="1"/>
  <c r="K4296" i="1"/>
  <c r="L4296" i="1"/>
  <c r="A4297" i="1"/>
  <c r="B4297" i="1"/>
  <c r="C4297" i="1"/>
  <c r="D4297" i="1"/>
  <c r="Q4297" i="1"/>
  <c r="R4297" i="1"/>
  <c r="E4297" i="1"/>
  <c r="G4297" i="1"/>
  <c r="H4297" i="1"/>
  <c r="J4297" i="1"/>
  <c r="K4297" i="1"/>
  <c r="L4297" i="1"/>
  <c r="A4298" i="1"/>
  <c r="B4298" i="1"/>
  <c r="C4298" i="1"/>
  <c r="D4298" i="1"/>
  <c r="Q4298" i="1"/>
  <c r="R4298" i="1"/>
  <c r="E4298" i="1"/>
  <c r="G4298" i="1"/>
  <c r="H4298" i="1"/>
  <c r="J4298" i="1"/>
  <c r="K4298" i="1"/>
  <c r="L4298" i="1"/>
  <c r="A4299" i="1"/>
  <c r="B4299" i="1"/>
  <c r="C4299" i="1"/>
  <c r="D4299" i="1"/>
  <c r="Q4299" i="1"/>
  <c r="R4299" i="1"/>
  <c r="E4299" i="1"/>
  <c r="G4299" i="1"/>
  <c r="H4299" i="1"/>
  <c r="J4299" i="1"/>
  <c r="K4299" i="1"/>
  <c r="L4299" i="1"/>
  <c r="A4300" i="1"/>
  <c r="B4300" i="1"/>
  <c r="C4300" i="1"/>
  <c r="D4300" i="1"/>
  <c r="Q4300" i="1"/>
  <c r="R4300" i="1"/>
  <c r="E4300" i="1"/>
  <c r="G4300" i="1"/>
  <c r="H4300" i="1"/>
  <c r="J4300" i="1"/>
  <c r="K4300" i="1"/>
  <c r="L4300" i="1"/>
  <c r="A4301" i="1"/>
  <c r="B4301" i="1"/>
  <c r="C4301" i="1"/>
  <c r="D4301" i="1"/>
  <c r="Q4301" i="1"/>
  <c r="R4301" i="1"/>
  <c r="E4301" i="1"/>
  <c r="G4301" i="1"/>
  <c r="H4301" i="1"/>
  <c r="J4301" i="1"/>
  <c r="K4301" i="1"/>
  <c r="L4301" i="1"/>
  <c r="A4302" i="1"/>
  <c r="B4302" i="1"/>
  <c r="C4302" i="1"/>
  <c r="D4302" i="1"/>
  <c r="Q4302" i="1"/>
  <c r="R4302" i="1"/>
  <c r="E4302" i="1"/>
  <c r="G4302" i="1"/>
  <c r="H4302" i="1"/>
  <c r="J4302" i="1"/>
  <c r="K4302" i="1"/>
  <c r="L4302" i="1"/>
  <c r="A4303" i="1"/>
  <c r="B4303" i="1"/>
  <c r="C4303" i="1"/>
  <c r="D4303" i="1"/>
  <c r="Q4303" i="1"/>
  <c r="R4303" i="1"/>
  <c r="E4303" i="1"/>
  <c r="G4303" i="1"/>
  <c r="H4303" i="1"/>
  <c r="J4303" i="1"/>
  <c r="K4303" i="1"/>
  <c r="L4303" i="1"/>
  <c r="A4304" i="1"/>
  <c r="B4304" i="1"/>
  <c r="C4304" i="1"/>
  <c r="D4304" i="1"/>
  <c r="Q4304" i="1"/>
  <c r="R4304" i="1"/>
  <c r="E4304" i="1"/>
  <c r="G4304" i="1"/>
  <c r="H4304" i="1"/>
  <c r="J4304" i="1"/>
  <c r="K4304" i="1"/>
  <c r="L4304" i="1"/>
  <c r="A4305" i="1"/>
  <c r="B4305" i="1"/>
  <c r="C4305" i="1"/>
  <c r="D4305" i="1"/>
  <c r="Q4305" i="1"/>
  <c r="R4305" i="1"/>
  <c r="E4305" i="1"/>
  <c r="G4305" i="1"/>
  <c r="H4305" i="1"/>
  <c r="J4305" i="1"/>
  <c r="K4305" i="1"/>
  <c r="L4305" i="1"/>
  <c r="A4306" i="1"/>
  <c r="B4306" i="1"/>
  <c r="C4306" i="1"/>
  <c r="D4306" i="1"/>
  <c r="Q4306" i="1"/>
  <c r="R4306" i="1"/>
  <c r="E4306" i="1"/>
  <c r="G4306" i="1"/>
  <c r="H4306" i="1"/>
  <c r="J4306" i="1"/>
  <c r="K4306" i="1"/>
  <c r="L4306" i="1"/>
  <c r="A4307" i="1"/>
  <c r="B4307" i="1"/>
  <c r="C4307" i="1"/>
  <c r="D4307" i="1"/>
  <c r="Q4307" i="1"/>
  <c r="R4307" i="1"/>
  <c r="E4307" i="1"/>
  <c r="G4307" i="1"/>
  <c r="H4307" i="1"/>
  <c r="J4307" i="1"/>
  <c r="K4307" i="1"/>
  <c r="L4307" i="1"/>
  <c r="A4308" i="1"/>
  <c r="B4308" i="1"/>
  <c r="C4308" i="1"/>
  <c r="D4308" i="1"/>
  <c r="Q4308" i="1"/>
  <c r="R4308" i="1"/>
  <c r="E4308" i="1"/>
  <c r="G4308" i="1"/>
  <c r="H4308" i="1"/>
  <c r="J4308" i="1"/>
  <c r="K4308" i="1"/>
  <c r="L4308" i="1"/>
  <c r="A4309" i="1"/>
  <c r="B4309" i="1"/>
  <c r="C4309" i="1"/>
  <c r="D4309" i="1"/>
  <c r="Q4309" i="1"/>
  <c r="R4309" i="1"/>
  <c r="E4309" i="1"/>
  <c r="G4309" i="1"/>
  <c r="H4309" i="1"/>
  <c r="J4309" i="1"/>
  <c r="K4309" i="1"/>
  <c r="L4309" i="1"/>
  <c r="A4310" i="1"/>
  <c r="B4310" i="1"/>
  <c r="C4310" i="1"/>
  <c r="D4310" i="1"/>
  <c r="Q4310" i="1"/>
  <c r="R4310" i="1"/>
  <c r="E4310" i="1"/>
  <c r="G4310" i="1"/>
  <c r="H4310" i="1"/>
  <c r="J4310" i="1"/>
  <c r="K4310" i="1"/>
  <c r="L4310" i="1"/>
  <c r="A4311" i="1"/>
  <c r="B4311" i="1"/>
  <c r="C4311" i="1"/>
  <c r="D4311" i="1"/>
  <c r="Q4311" i="1"/>
  <c r="R4311" i="1"/>
  <c r="E4311" i="1"/>
  <c r="G4311" i="1"/>
  <c r="H4311" i="1"/>
  <c r="J4311" i="1"/>
  <c r="K4311" i="1"/>
  <c r="L4311" i="1"/>
  <c r="A4312" i="1"/>
  <c r="B4312" i="1"/>
  <c r="C4312" i="1"/>
  <c r="D4312" i="1"/>
  <c r="Q4312" i="1"/>
  <c r="R4312" i="1"/>
  <c r="E4312" i="1"/>
  <c r="G4312" i="1"/>
  <c r="H4312" i="1"/>
  <c r="J4312" i="1"/>
  <c r="K4312" i="1"/>
  <c r="L4312" i="1"/>
  <c r="A4313" i="1"/>
  <c r="B4313" i="1"/>
  <c r="C4313" i="1"/>
  <c r="D4313" i="1"/>
  <c r="Q4313" i="1"/>
  <c r="R4313" i="1"/>
  <c r="E4313" i="1"/>
  <c r="G4313" i="1"/>
  <c r="H4313" i="1"/>
  <c r="J4313" i="1"/>
  <c r="K4313" i="1"/>
  <c r="L4313" i="1"/>
  <c r="A4314" i="1"/>
  <c r="B4314" i="1"/>
  <c r="C4314" i="1"/>
  <c r="D4314" i="1"/>
  <c r="Q4314" i="1"/>
  <c r="R4314" i="1"/>
  <c r="E4314" i="1"/>
  <c r="G4314" i="1"/>
  <c r="H4314" i="1"/>
  <c r="J4314" i="1"/>
  <c r="K4314" i="1"/>
  <c r="L4314" i="1"/>
  <c r="A6561" i="1"/>
  <c r="B6561" i="1"/>
  <c r="C6561" i="1"/>
  <c r="D6561" i="1"/>
  <c r="Q6561" i="1"/>
  <c r="R6561" i="1"/>
  <c r="E6561" i="1"/>
  <c r="G6561" i="1"/>
  <c r="H6561" i="1"/>
  <c r="J6561" i="1"/>
  <c r="K6561" i="1"/>
  <c r="L6561" i="1"/>
  <c r="A6562" i="1"/>
  <c r="B6562" i="1"/>
  <c r="C6562" i="1"/>
  <c r="D6562" i="1"/>
  <c r="Q6562" i="1"/>
  <c r="R6562" i="1"/>
  <c r="E6562" i="1"/>
  <c r="G6562" i="1"/>
  <c r="H6562" i="1"/>
  <c r="J6562" i="1"/>
  <c r="K6562" i="1"/>
  <c r="L6562" i="1"/>
  <c r="A6563" i="1"/>
  <c r="B6563" i="1"/>
  <c r="C6563" i="1"/>
  <c r="D6563" i="1"/>
  <c r="Q6563" i="1"/>
  <c r="R6563" i="1"/>
  <c r="E6563" i="1"/>
  <c r="G6563" i="1"/>
  <c r="H6563" i="1"/>
  <c r="J6563" i="1"/>
  <c r="K6563" i="1"/>
  <c r="L6563" i="1"/>
  <c r="A6564" i="1"/>
  <c r="B6564" i="1"/>
  <c r="C6564" i="1"/>
  <c r="D6564" i="1"/>
  <c r="Q6564" i="1"/>
  <c r="R6564" i="1"/>
  <c r="E6564" i="1"/>
  <c r="G6564" i="1"/>
  <c r="H6564" i="1"/>
  <c r="J6564" i="1"/>
  <c r="K6564" i="1"/>
  <c r="L6564" i="1"/>
  <c r="A6565" i="1"/>
  <c r="B6565" i="1"/>
  <c r="C6565" i="1"/>
  <c r="D6565" i="1"/>
  <c r="Q6565" i="1"/>
  <c r="R6565" i="1"/>
  <c r="E6565" i="1"/>
  <c r="G6565" i="1"/>
  <c r="H6565" i="1"/>
  <c r="J6565" i="1"/>
  <c r="K6565" i="1"/>
  <c r="L6565" i="1"/>
  <c r="A6566" i="1"/>
  <c r="B6566" i="1"/>
  <c r="C6566" i="1"/>
  <c r="D6566" i="1"/>
  <c r="Q6566" i="1"/>
  <c r="R6566" i="1"/>
  <c r="E6566" i="1"/>
  <c r="G6566" i="1"/>
  <c r="H6566" i="1"/>
  <c r="J6566" i="1"/>
  <c r="K6566" i="1"/>
  <c r="L6566" i="1"/>
  <c r="A6567" i="1"/>
  <c r="B6567" i="1"/>
  <c r="C6567" i="1"/>
  <c r="D6567" i="1"/>
  <c r="Q6567" i="1"/>
  <c r="R6567" i="1"/>
  <c r="E6567" i="1"/>
  <c r="G6567" i="1"/>
  <c r="H6567" i="1"/>
  <c r="J6567" i="1"/>
  <c r="K6567" i="1"/>
  <c r="L6567" i="1"/>
  <c r="A6568" i="1"/>
  <c r="B6568" i="1"/>
  <c r="C6568" i="1"/>
  <c r="D6568" i="1"/>
  <c r="Q6568" i="1"/>
  <c r="R6568" i="1"/>
  <c r="E6568" i="1"/>
  <c r="G6568" i="1"/>
  <c r="H6568" i="1"/>
  <c r="J6568" i="1"/>
  <c r="K6568" i="1"/>
  <c r="L6568" i="1"/>
  <c r="A6569" i="1"/>
  <c r="B6569" i="1"/>
  <c r="C6569" i="1"/>
  <c r="D6569" i="1"/>
  <c r="Q6569" i="1"/>
  <c r="R6569" i="1"/>
  <c r="E6569" i="1"/>
  <c r="G6569" i="1"/>
  <c r="H6569" i="1"/>
  <c r="J6569" i="1"/>
  <c r="K6569" i="1"/>
  <c r="L6569" i="1"/>
  <c r="A6570" i="1"/>
  <c r="B6570" i="1"/>
  <c r="C6570" i="1"/>
  <c r="D6570" i="1"/>
  <c r="Q6570" i="1"/>
  <c r="R6570" i="1"/>
  <c r="E6570" i="1"/>
  <c r="G6570" i="1"/>
  <c r="H6570" i="1"/>
  <c r="J6570" i="1"/>
  <c r="K6570" i="1"/>
  <c r="L6570" i="1"/>
  <c r="A6571" i="1"/>
  <c r="B6571" i="1"/>
  <c r="C6571" i="1"/>
  <c r="D6571" i="1"/>
  <c r="Q6571" i="1"/>
  <c r="R6571" i="1"/>
  <c r="E6571" i="1"/>
  <c r="G6571" i="1"/>
  <c r="H6571" i="1"/>
  <c r="J6571" i="1"/>
  <c r="K6571" i="1"/>
  <c r="L6571" i="1"/>
  <c r="A6572" i="1"/>
  <c r="B6572" i="1"/>
  <c r="C6572" i="1"/>
  <c r="D6572" i="1"/>
  <c r="Q6572" i="1"/>
  <c r="R6572" i="1"/>
  <c r="E6572" i="1"/>
  <c r="G6572" i="1"/>
  <c r="H6572" i="1"/>
  <c r="J6572" i="1"/>
  <c r="K6572" i="1"/>
  <c r="L6572" i="1"/>
  <c r="A6573" i="1"/>
  <c r="B6573" i="1"/>
  <c r="C6573" i="1"/>
  <c r="D6573" i="1"/>
  <c r="Q6573" i="1"/>
  <c r="R6573" i="1"/>
  <c r="E6573" i="1"/>
  <c r="G6573" i="1"/>
  <c r="H6573" i="1"/>
  <c r="J6573" i="1"/>
  <c r="K6573" i="1"/>
  <c r="L6573" i="1"/>
  <c r="A6574" i="1"/>
  <c r="B6574" i="1"/>
  <c r="C6574" i="1"/>
  <c r="D6574" i="1"/>
  <c r="Q6574" i="1"/>
  <c r="R6574" i="1"/>
  <c r="E6574" i="1"/>
  <c r="G6574" i="1"/>
  <c r="H6574" i="1"/>
  <c r="J6574" i="1"/>
  <c r="K6574" i="1"/>
  <c r="L6574" i="1"/>
  <c r="A6575" i="1"/>
  <c r="B6575" i="1"/>
  <c r="C6575" i="1"/>
  <c r="D6575" i="1"/>
  <c r="Q6575" i="1"/>
  <c r="R6575" i="1"/>
  <c r="E6575" i="1"/>
  <c r="G6575" i="1"/>
  <c r="H6575" i="1"/>
  <c r="J6575" i="1"/>
  <c r="K6575" i="1"/>
  <c r="L6575" i="1"/>
  <c r="A6576" i="1"/>
  <c r="B6576" i="1"/>
  <c r="C6576" i="1"/>
  <c r="D6576" i="1"/>
  <c r="Q6576" i="1"/>
  <c r="R6576" i="1"/>
  <c r="E6576" i="1"/>
  <c r="G6576" i="1"/>
  <c r="H6576" i="1"/>
  <c r="J6576" i="1"/>
  <c r="K6576" i="1"/>
  <c r="L6576" i="1"/>
  <c r="A6577" i="1"/>
  <c r="B6577" i="1"/>
  <c r="C6577" i="1"/>
  <c r="D6577" i="1"/>
  <c r="Q6577" i="1"/>
  <c r="R6577" i="1"/>
  <c r="E6577" i="1"/>
  <c r="G6577" i="1"/>
  <c r="H6577" i="1"/>
  <c r="J6577" i="1"/>
  <c r="K6577" i="1"/>
  <c r="L6577" i="1"/>
  <c r="A6578" i="1"/>
  <c r="B6578" i="1"/>
  <c r="C6578" i="1"/>
  <c r="D6578" i="1"/>
  <c r="Q6578" i="1"/>
  <c r="R6578" i="1"/>
  <c r="E6578" i="1"/>
  <c r="G6578" i="1"/>
  <c r="H6578" i="1"/>
  <c r="J6578" i="1"/>
  <c r="K6578" i="1"/>
  <c r="L6578" i="1"/>
  <c r="A6579" i="1"/>
  <c r="B6579" i="1"/>
  <c r="C6579" i="1"/>
  <c r="D6579" i="1"/>
  <c r="Q6579" i="1"/>
  <c r="R6579" i="1"/>
  <c r="E6579" i="1"/>
  <c r="G6579" i="1"/>
  <c r="H6579" i="1"/>
  <c r="J6579" i="1"/>
  <c r="K6579" i="1"/>
  <c r="L6579" i="1"/>
  <c r="A6580" i="1"/>
  <c r="B6580" i="1"/>
  <c r="C6580" i="1"/>
  <c r="D6580" i="1"/>
  <c r="Q6580" i="1"/>
  <c r="R6580" i="1"/>
  <c r="E6580" i="1"/>
  <c r="G6580" i="1"/>
  <c r="H6580" i="1"/>
  <c r="J6580" i="1"/>
  <c r="K6580" i="1"/>
  <c r="L6580" i="1"/>
  <c r="A6581" i="1"/>
  <c r="B6581" i="1"/>
  <c r="C6581" i="1"/>
  <c r="D6581" i="1"/>
  <c r="Q6581" i="1"/>
  <c r="R6581" i="1"/>
  <c r="E6581" i="1"/>
  <c r="G6581" i="1"/>
  <c r="H6581" i="1"/>
  <c r="J6581" i="1"/>
  <c r="K6581" i="1"/>
  <c r="L6581" i="1"/>
  <c r="A6582" i="1"/>
  <c r="B6582" i="1"/>
  <c r="C6582" i="1"/>
  <c r="D6582" i="1"/>
  <c r="Q6582" i="1"/>
  <c r="R6582" i="1"/>
  <c r="E6582" i="1"/>
  <c r="G6582" i="1"/>
  <c r="H6582" i="1"/>
  <c r="J6582" i="1"/>
  <c r="K6582" i="1"/>
  <c r="L6582" i="1"/>
  <c r="A6583" i="1"/>
  <c r="B6583" i="1"/>
  <c r="C6583" i="1"/>
  <c r="D6583" i="1"/>
  <c r="Q6583" i="1"/>
  <c r="R6583" i="1"/>
  <c r="E6583" i="1"/>
  <c r="G6583" i="1"/>
  <c r="H6583" i="1"/>
  <c r="J6583" i="1"/>
  <c r="K6583" i="1"/>
  <c r="L6583" i="1"/>
  <c r="A6584" i="1"/>
  <c r="B6584" i="1"/>
  <c r="C6584" i="1"/>
  <c r="D6584" i="1"/>
  <c r="Q6584" i="1"/>
  <c r="R6584" i="1"/>
  <c r="E6584" i="1"/>
  <c r="G6584" i="1"/>
  <c r="H6584" i="1"/>
  <c r="J6584" i="1"/>
  <c r="K6584" i="1"/>
  <c r="L6584" i="1"/>
  <c r="A6585" i="1"/>
  <c r="B6585" i="1"/>
  <c r="C6585" i="1"/>
  <c r="D6585" i="1"/>
  <c r="Q6585" i="1"/>
  <c r="R6585" i="1"/>
  <c r="E6585" i="1"/>
  <c r="G6585" i="1"/>
  <c r="H6585" i="1"/>
  <c r="J6585" i="1"/>
  <c r="K6585" i="1"/>
  <c r="L6585" i="1"/>
  <c r="A6586" i="1"/>
  <c r="B6586" i="1"/>
  <c r="C6586" i="1"/>
  <c r="D6586" i="1"/>
  <c r="Q6586" i="1"/>
  <c r="R6586" i="1"/>
  <c r="E6586" i="1"/>
  <c r="G6586" i="1"/>
  <c r="H6586" i="1"/>
  <c r="J6586" i="1"/>
  <c r="K6586" i="1"/>
  <c r="L6586" i="1"/>
  <c r="A6587" i="1"/>
  <c r="B6587" i="1"/>
  <c r="C6587" i="1"/>
  <c r="D6587" i="1"/>
  <c r="Q6587" i="1"/>
  <c r="R6587" i="1"/>
  <c r="E6587" i="1"/>
  <c r="G6587" i="1"/>
  <c r="H6587" i="1"/>
  <c r="J6587" i="1"/>
  <c r="K6587" i="1"/>
  <c r="L6587" i="1"/>
  <c r="A6588" i="1"/>
  <c r="B6588" i="1"/>
  <c r="C6588" i="1"/>
  <c r="D6588" i="1"/>
  <c r="Q6588" i="1"/>
  <c r="R6588" i="1"/>
  <c r="E6588" i="1"/>
  <c r="G6588" i="1"/>
  <c r="H6588" i="1"/>
  <c r="J6588" i="1"/>
  <c r="K6588" i="1"/>
  <c r="L6588" i="1"/>
  <c r="A6589" i="1"/>
  <c r="B6589" i="1"/>
  <c r="C6589" i="1"/>
  <c r="D6589" i="1"/>
  <c r="Q6589" i="1"/>
  <c r="R6589" i="1"/>
  <c r="E6589" i="1"/>
  <c r="G6589" i="1"/>
  <c r="H6589" i="1"/>
  <c r="J6589" i="1"/>
  <c r="K6589" i="1"/>
  <c r="L6589" i="1"/>
  <c r="A6590" i="1"/>
  <c r="B6590" i="1"/>
  <c r="C6590" i="1"/>
  <c r="D6590" i="1"/>
  <c r="Q6590" i="1"/>
  <c r="R6590" i="1"/>
  <c r="E6590" i="1"/>
  <c r="G6590" i="1"/>
  <c r="H6590" i="1"/>
  <c r="J6590" i="1"/>
  <c r="K6590" i="1"/>
  <c r="L6590" i="1"/>
  <c r="A6591" i="1"/>
  <c r="B6591" i="1"/>
  <c r="C6591" i="1"/>
  <c r="D6591" i="1"/>
  <c r="Q6591" i="1"/>
  <c r="R6591" i="1"/>
  <c r="E6591" i="1"/>
  <c r="G6591" i="1"/>
  <c r="H6591" i="1"/>
  <c r="J6591" i="1"/>
  <c r="K6591" i="1"/>
  <c r="L6591" i="1"/>
  <c r="A6592" i="1"/>
  <c r="B6592" i="1"/>
  <c r="C6592" i="1"/>
  <c r="D6592" i="1"/>
  <c r="Q6592" i="1"/>
  <c r="R6592" i="1"/>
  <c r="E6592" i="1"/>
  <c r="G6592" i="1"/>
  <c r="H6592" i="1"/>
  <c r="J6592" i="1"/>
  <c r="K6592" i="1"/>
  <c r="L6592" i="1"/>
  <c r="A6593" i="1"/>
  <c r="B6593" i="1"/>
  <c r="C6593" i="1"/>
  <c r="D6593" i="1"/>
  <c r="Q6593" i="1"/>
  <c r="R6593" i="1"/>
  <c r="E6593" i="1"/>
  <c r="G6593" i="1"/>
  <c r="H6593" i="1"/>
  <c r="J6593" i="1"/>
  <c r="K6593" i="1"/>
  <c r="L6593" i="1"/>
  <c r="A6594" i="1"/>
  <c r="B6594" i="1"/>
  <c r="C6594" i="1"/>
  <c r="D6594" i="1"/>
  <c r="Q6594" i="1"/>
  <c r="R6594" i="1"/>
  <c r="E6594" i="1"/>
  <c r="G6594" i="1"/>
  <c r="H6594" i="1"/>
  <c r="J6594" i="1"/>
  <c r="K6594" i="1"/>
  <c r="L6594" i="1"/>
  <c r="A6595" i="1"/>
  <c r="B6595" i="1"/>
  <c r="C6595" i="1"/>
  <c r="D6595" i="1"/>
  <c r="Q6595" i="1"/>
  <c r="R6595" i="1"/>
  <c r="E6595" i="1"/>
  <c r="G6595" i="1"/>
  <c r="H6595" i="1"/>
  <c r="J6595" i="1"/>
  <c r="K6595" i="1"/>
  <c r="L6595" i="1"/>
  <c r="A6596" i="1"/>
  <c r="B6596" i="1"/>
  <c r="C6596" i="1"/>
  <c r="D6596" i="1"/>
  <c r="Q6596" i="1"/>
  <c r="R6596" i="1"/>
  <c r="E6596" i="1"/>
  <c r="G6596" i="1"/>
  <c r="H6596" i="1"/>
  <c r="J6596" i="1"/>
  <c r="K6596" i="1"/>
  <c r="L6596" i="1"/>
  <c r="A6597" i="1"/>
  <c r="B6597" i="1"/>
  <c r="C6597" i="1"/>
  <c r="D6597" i="1"/>
  <c r="Q6597" i="1"/>
  <c r="R6597" i="1"/>
  <c r="E6597" i="1"/>
  <c r="G6597" i="1"/>
  <c r="H6597" i="1"/>
  <c r="J6597" i="1"/>
  <c r="K6597" i="1"/>
  <c r="L6597" i="1"/>
  <c r="A6598" i="1"/>
  <c r="B6598" i="1"/>
  <c r="C6598" i="1"/>
  <c r="D6598" i="1"/>
  <c r="Q6598" i="1"/>
  <c r="R6598" i="1"/>
  <c r="E6598" i="1"/>
  <c r="G6598" i="1"/>
  <c r="H6598" i="1"/>
  <c r="J6598" i="1"/>
  <c r="K6598" i="1"/>
  <c r="L6598" i="1"/>
  <c r="A6599" i="1"/>
  <c r="B6599" i="1"/>
  <c r="C6599" i="1"/>
  <c r="D6599" i="1"/>
  <c r="Q6599" i="1"/>
  <c r="R6599" i="1"/>
  <c r="E6599" i="1"/>
  <c r="G6599" i="1"/>
  <c r="H6599" i="1"/>
  <c r="J6599" i="1"/>
  <c r="K6599" i="1"/>
  <c r="L6599" i="1"/>
  <c r="A6600" i="1"/>
  <c r="B6600" i="1"/>
  <c r="C6600" i="1"/>
  <c r="D6600" i="1"/>
  <c r="Q6600" i="1"/>
  <c r="R6600" i="1"/>
  <c r="E6600" i="1"/>
  <c r="G6600" i="1"/>
  <c r="H6600" i="1"/>
  <c r="J6600" i="1"/>
  <c r="K6600" i="1"/>
  <c r="L6600" i="1"/>
  <c r="A6601" i="1"/>
  <c r="B6601" i="1"/>
  <c r="C6601" i="1"/>
  <c r="D6601" i="1"/>
  <c r="Q6601" i="1"/>
  <c r="R6601" i="1"/>
  <c r="E6601" i="1"/>
  <c r="G6601" i="1"/>
  <c r="H6601" i="1"/>
  <c r="J6601" i="1"/>
  <c r="K6601" i="1"/>
  <c r="L6601" i="1"/>
  <c r="A6602" i="1"/>
  <c r="B6602" i="1"/>
  <c r="C6602" i="1"/>
  <c r="D6602" i="1"/>
  <c r="Q6602" i="1"/>
  <c r="R6602" i="1"/>
  <c r="E6602" i="1"/>
  <c r="G6602" i="1"/>
  <c r="H6602" i="1"/>
  <c r="J6602" i="1"/>
  <c r="K6602" i="1"/>
  <c r="L6602" i="1"/>
  <c r="A6603" i="1"/>
  <c r="B6603" i="1"/>
  <c r="C6603" i="1"/>
  <c r="D6603" i="1"/>
  <c r="Q6603" i="1"/>
  <c r="R6603" i="1"/>
  <c r="E6603" i="1"/>
  <c r="G6603" i="1"/>
  <c r="H6603" i="1"/>
  <c r="J6603" i="1"/>
  <c r="K6603" i="1"/>
  <c r="L6603" i="1"/>
  <c r="A6604" i="1"/>
  <c r="B6604" i="1"/>
  <c r="C6604" i="1"/>
  <c r="D6604" i="1"/>
  <c r="Q6604" i="1"/>
  <c r="R6604" i="1"/>
  <c r="E6604" i="1"/>
  <c r="G6604" i="1"/>
  <c r="H6604" i="1"/>
  <c r="J6604" i="1"/>
  <c r="K6604" i="1"/>
  <c r="L6604" i="1"/>
  <c r="A6605" i="1"/>
  <c r="B6605" i="1"/>
  <c r="C6605" i="1"/>
  <c r="D6605" i="1"/>
  <c r="Q6605" i="1"/>
  <c r="R6605" i="1"/>
  <c r="E6605" i="1"/>
  <c r="G6605" i="1"/>
  <c r="H6605" i="1"/>
  <c r="J6605" i="1"/>
  <c r="K6605" i="1"/>
  <c r="L6605" i="1"/>
  <c r="A6606" i="1"/>
  <c r="B6606" i="1"/>
  <c r="C6606" i="1"/>
  <c r="D6606" i="1"/>
  <c r="Q6606" i="1"/>
  <c r="R6606" i="1"/>
  <c r="E6606" i="1"/>
  <c r="G6606" i="1"/>
  <c r="H6606" i="1"/>
  <c r="J6606" i="1"/>
  <c r="K6606" i="1"/>
  <c r="L6606" i="1"/>
  <c r="A6607" i="1"/>
  <c r="B6607" i="1"/>
  <c r="C6607" i="1"/>
  <c r="D6607" i="1"/>
  <c r="Q6607" i="1"/>
  <c r="R6607" i="1"/>
  <c r="E6607" i="1"/>
  <c r="G6607" i="1"/>
  <c r="H6607" i="1"/>
  <c r="J6607" i="1"/>
  <c r="K6607" i="1"/>
  <c r="L6607" i="1"/>
  <c r="A6608" i="1"/>
  <c r="B6608" i="1"/>
  <c r="C6608" i="1"/>
  <c r="D6608" i="1"/>
  <c r="Q6608" i="1"/>
  <c r="R6608" i="1"/>
  <c r="E6608" i="1"/>
  <c r="G6608" i="1"/>
  <c r="H6608" i="1"/>
  <c r="J6608" i="1"/>
  <c r="K6608" i="1"/>
  <c r="L6608" i="1"/>
  <c r="A6609" i="1"/>
  <c r="B6609" i="1"/>
  <c r="C6609" i="1"/>
  <c r="D6609" i="1"/>
  <c r="Q6609" i="1"/>
  <c r="R6609" i="1"/>
  <c r="E6609" i="1"/>
  <c r="G6609" i="1"/>
  <c r="H6609" i="1"/>
  <c r="J6609" i="1"/>
  <c r="K6609" i="1"/>
  <c r="L6609" i="1"/>
  <c r="A6610" i="1"/>
  <c r="B6610" i="1"/>
  <c r="C6610" i="1"/>
  <c r="D6610" i="1"/>
  <c r="Q6610" i="1"/>
  <c r="R6610" i="1"/>
  <c r="E6610" i="1"/>
  <c r="G6610" i="1"/>
  <c r="H6610" i="1"/>
  <c r="J6610" i="1"/>
  <c r="K6610" i="1"/>
  <c r="L6610" i="1"/>
  <c r="A6611" i="1"/>
  <c r="B6611" i="1"/>
  <c r="C6611" i="1"/>
  <c r="D6611" i="1"/>
  <c r="Q6611" i="1"/>
  <c r="R6611" i="1"/>
  <c r="E6611" i="1"/>
  <c r="G6611" i="1"/>
  <c r="H6611" i="1"/>
  <c r="J6611" i="1"/>
  <c r="K6611" i="1"/>
  <c r="L6611" i="1"/>
  <c r="A6612" i="1"/>
  <c r="B6612" i="1"/>
  <c r="C6612" i="1"/>
  <c r="D6612" i="1"/>
  <c r="Q6612" i="1"/>
  <c r="R6612" i="1"/>
  <c r="E6612" i="1"/>
  <c r="G6612" i="1"/>
  <c r="H6612" i="1"/>
  <c r="J6612" i="1"/>
  <c r="K6612" i="1"/>
  <c r="L6612" i="1"/>
  <c r="A6613" i="1"/>
  <c r="B6613" i="1"/>
  <c r="C6613" i="1"/>
  <c r="D6613" i="1"/>
  <c r="Q6613" i="1"/>
  <c r="R6613" i="1"/>
  <c r="E6613" i="1"/>
  <c r="G6613" i="1"/>
  <c r="H6613" i="1"/>
  <c r="J6613" i="1"/>
  <c r="K6613" i="1"/>
  <c r="L6613" i="1"/>
  <c r="A6614" i="1"/>
  <c r="B6614" i="1"/>
  <c r="C6614" i="1"/>
  <c r="D6614" i="1"/>
  <c r="Q6614" i="1"/>
  <c r="R6614" i="1"/>
  <c r="E6614" i="1"/>
  <c r="G6614" i="1"/>
  <c r="H6614" i="1"/>
  <c r="J6614" i="1"/>
  <c r="K6614" i="1"/>
  <c r="L6614" i="1"/>
  <c r="A6615" i="1"/>
  <c r="B6615" i="1"/>
  <c r="C6615" i="1"/>
  <c r="D6615" i="1"/>
  <c r="Q6615" i="1"/>
  <c r="R6615" i="1"/>
  <c r="E6615" i="1"/>
  <c r="G6615" i="1"/>
  <c r="H6615" i="1"/>
  <c r="J6615" i="1"/>
  <c r="K6615" i="1"/>
  <c r="L6615" i="1"/>
  <c r="A6616" i="1"/>
  <c r="B6616" i="1"/>
  <c r="C6616" i="1"/>
  <c r="D6616" i="1"/>
  <c r="Q6616" i="1"/>
  <c r="R6616" i="1"/>
  <c r="E6616" i="1"/>
  <c r="G6616" i="1"/>
  <c r="H6616" i="1"/>
  <c r="J6616" i="1"/>
  <c r="K6616" i="1"/>
  <c r="L6616" i="1"/>
  <c r="A6617" i="1"/>
  <c r="B6617" i="1"/>
  <c r="C6617" i="1"/>
  <c r="D6617" i="1"/>
  <c r="Q6617" i="1"/>
  <c r="R6617" i="1"/>
  <c r="E6617" i="1"/>
  <c r="G6617" i="1"/>
  <c r="H6617" i="1"/>
  <c r="J6617" i="1"/>
  <c r="K6617" i="1"/>
  <c r="L6617" i="1"/>
  <c r="A6618" i="1"/>
  <c r="B6618" i="1"/>
  <c r="C6618" i="1"/>
  <c r="D6618" i="1"/>
  <c r="Q6618" i="1"/>
  <c r="R6618" i="1"/>
  <c r="E6618" i="1"/>
  <c r="G6618" i="1"/>
  <c r="H6618" i="1"/>
  <c r="J6618" i="1"/>
  <c r="K6618" i="1"/>
  <c r="L6618" i="1"/>
  <c r="A6619" i="1"/>
  <c r="B6619" i="1"/>
  <c r="C6619" i="1"/>
  <c r="D6619" i="1"/>
  <c r="Q6619" i="1"/>
  <c r="R6619" i="1"/>
  <c r="E6619" i="1"/>
  <c r="G6619" i="1"/>
  <c r="H6619" i="1"/>
  <c r="J6619" i="1"/>
  <c r="K6619" i="1"/>
  <c r="L6619" i="1"/>
  <c r="A6620" i="1"/>
  <c r="B6620" i="1"/>
  <c r="C6620" i="1"/>
  <c r="D6620" i="1"/>
  <c r="Q6620" i="1"/>
  <c r="R6620" i="1"/>
  <c r="E6620" i="1"/>
  <c r="G6620" i="1"/>
  <c r="H6620" i="1"/>
  <c r="J6620" i="1"/>
  <c r="K6620" i="1"/>
  <c r="L6620" i="1"/>
  <c r="A6621" i="1"/>
  <c r="B6621" i="1"/>
  <c r="C6621" i="1"/>
  <c r="D6621" i="1"/>
  <c r="Q6621" i="1"/>
  <c r="R6621" i="1"/>
  <c r="E6621" i="1"/>
  <c r="G6621" i="1"/>
  <c r="H6621" i="1"/>
  <c r="J6621" i="1"/>
  <c r="K6621" i="1"/>
  <c r="L6621" i="1"/>
  <c r="A6622" i="1"/>
  <c r="B6622" i="1"/>
  <c r="C6622" i="1"/>
  <c r="D6622" i="1"/>
  <c r="Q6622" i="1"/>
  <c r="R6622" i="1"/>
  <c r="E6622" i="1"/>
  <c r="G6622" i="1"/>
  <c r="H6622" i="1"/>
  <c r="J6622" i="1"/>
  <c r="K6622" i="1"/>
  <c r="L6622" i="1"/>
  <c r="A6623" i="1"/>
  <c r="B6623" i="1"/>
  <c r="C6623" i="1"/>
  <c r="D6623" i="1"/>
  <c r="Q6623" i="1"/>
  <c r="R6623" i="1"/>
  <c r="E6623" i="1"/>
  <c r="G6623" i="1"/>
  <c r="H6623" i="1"/>
  <c r="J6623" i="1"/>
  <c r="K6623" i="1"/>
  <c r="L6623" i="1"/>
  <c r="A6624" i="1"/>
  <c r="B6624" i="1"/>
  <c r="C6624" i="1"/>
  <c r="D6624" i="1"/>
  <c r="Q6624" i="1"/>
  <c r="R6624" i="1"/>
  <c r="E6624" i="1"/>
  <c r="G6624" i="1"/>
  <c r="H6624" i="1"/>
  <c r="J6624" i="1"/>
  <c r="K6624" i="1"/>
  <c r="L6624" i="1"/>
  <c r="A6625" i="1"/>
  <c r="B6625" i="1"/>
  <c r="C6625" i="1"/>
  <c r="D6625" i="1"/>
  <c r="Q6625" i="1"/>
  <c r="R6625" i="1"/>
  <c r="E6625" i="1"/>
  <c r="G6625" i="1"/>
  <c r="H6625" i="1"/>
  <c r="J6625" i="1"/>
  <c r="K6625" i="1"/>
  <c r="L6625" i="1"/>
  <c r="A6626" i="1"/>
  <c r="B6626" i="1"/>
  <c r="C6626" i="1"/>
  <c r="D6626" i="1"/>
  <c r="Q6626" i="1"/>
  <c r="R6626" i="1"/>
  <c r="E6626" i="1"/>
  <c r="G6626" i="1"/>
  <c r="H6626" i="1"/>
  <c r="J6626" i="1"/>
  <c r="K6626" i="1"/>
  <c r="L6626" i="1"/>
  <c r="A6627" i="1"/>
  <c r="B6627" i="1"/>
  <c r="C6627" i="1"/>
  <c r="D6627" i="1"/>
  <c r="Q6627" i="1"/>
  <c r="R6627" i="1"/>
  <c r="E6627" i="1"/>
  <c r="G6627" i="1"/>
  <c r="H6627" i="1"/>
  <c r="J6627" i="1"/>
  <c r="K6627" i="1"/>
  <c r="L6627" i="1"/>
  <c r="A6628" i="1"/>
  <c r="B6628" i="1"/>
  <c r="C6628" i="1"/>
  <c r="D6628" i="1"/>
  <c r="Q6628" i="1"/>
  <c r="R6628" i="1"/>
  <c r="E6628" i="1"/>
  <c r="G6628" i="1"/>
  <c r="H6628" i="1"/>
  <c r="J6628" i="1"/>
  <c r="K6628" i="1"/>
  <c r="L6628" i="1"/>
  <c r="A6629" i="1"/>
  <c r="B6629" i="1"/>
  <c r="C6629" i="1"/>
  <c r="D6629" i="1"/>
  <c r="Q6629" i="1"/>
  <c r="R6629" i="1"/>
  <c r="E6629" i="1"/>
  <c r="G6629" i="1"/>
  <c r="H6629" i="1"/>
  <c r="J6629" i="1"/>
  <c r="K6629" i="1"/>
  <c r="L6629" i="1"/>
  <c r="A6630" i="1"/>
  <c r="B6630" i="1"/>
  <c r="C6630" i="1"/>
  <c r="D6630" i="1"/>
  <c r="Q6630" i="1"/>
  <c r="R6630" i="1"/>
  <c r="E6630" i="1"/>
  <c r="G6630" i="1"/>
  <c r="H6630" i="1"/>
  <c r="J6630" i="1"/>
  <c r="K6630" i="1"/>
  <c r="L6630" i="1"/>
  <c r="A6631" i="1"/>
  <c r="B6631" i="1"/>
  <c r="C6631" i="1"/>
  <c r="D6631" i="1"/>
  <c r="Q6631" i="1"/>
  <c r="R6631" i="1"/>
  <c r="E6631" i="1"/>
  <c r="G6631" i="1"/>
  <c r="H6631" i="1"/>
  <c r="J6631" i="1"/>
  <c r="K6631" i="1"/>
  <c r="L6631" i="1"/>
  <c r="A6632" i="1"/>
  <c r="B6632" i="1"/>
  <c r="C6632" i="1"/>
  <c r="D6632" i="1"/>
  <c r="Q6632" i="1"/>
  <c r="R6632" i="1"/>
  <c r="E6632" i="1"/>
  <c r="G6632" i="1"/>
  <c r="H6632" i="1"/>
  <c r="J6632" i="1"/>
  <c r="K6632" i="1"/>
  <c r="L6632" i="1"/>
  <c r="A6633" i="1"/>
  <c r="B6633" i="1"/>
  <c r="C6633" i="1"/>
  <c r="D6633" i="1"/>
  <c r="Q6633" i="1"/>
  <c r="R6633" i="1"/>
  <c r="E6633" i="1"/>
  <c r="G6633" i="1"/>
  <c r="H6633" i="1"/>
  <c r="J6633" i="1"/>
  <c r="K6633" i="1"/>
  <c r="L6633" i="1"/>
  <c r="A6634" i="1"/>
  <c r="B6634" i="1"/>
  <c r="C6634" i="1"/>
  <c r="D6634" i="1"/>
  <c r="Q6634" i="1"/>
  <c r="R6634" i="1"/>
  <c r="E6634" i="1"/>
  <c r="G6634" i="1"/>
  <c r="H6634" i="1"/>
  <c r="J6634" i="1"/>
  <c r="K6634" i="1"/>
  <c r="L6634" i="1"/>
  <c r="A6635" i="1"/>
  <c r="B6635" i="1"/>
  <c r="C6635" i="1"/>
  <c r="D6635" i="1"/>
  <c r="Q6635" i="1"/>
  <c r="R6635" i="1"/>
  <c r="E6635" i="1"/>
  <c r="G6635" i="1"/>
  <c r="H6635" i="1"/>
  <c r="J6635" i="1"/>
  <c r="K6635" i="1"/>
  <c r="L6635" i="1"/>
  <c r="A6636" i="1"/>
  <c r="B6636" i="1"/>
  <c r="C6636" i="1"/>
  <c r="D6636" i="1"/>
  <c r="Q6636" i="1"/>
  <c r="R6636" i="1"/>
  <c r="E6636" i="1"/>
  <c r="G6636" i="1"/>
  <c r="H6636" i="1"/>
  <c r="J6636" i="1"/>
  <c r="K6636" i="1"/>
  <c r="L6636" i="1"/>
  <c r="A6637" i="1"/>
  <c r="B6637" i="1"/>
  <c r="C6637" i="1"/>
  <c r="D6637" i="1"/>
  <c r="Q6637" i="1"/>
  <c r="R6637" i="1"/>
  <c r="E6637" i="1"/>
  <c r="G6637" i="1"/>
  <c r="H6637" i="1"/>
  <c r="J6637" i="1"/>
  <c r="K6637" i="1"/>
  <c r="L6637" i="1"/>
  <c r="A6638" i="1"/>
  <c r="B6638" i="1"/>
  <c r="C6638" i="1"/>
  <c r="D6638" i="1"/>
  <c r="Q6638" i="1"/>
  <c r="R6638" i="1"/>
  <c r="E6638" i="1"/>
  <c r="G6638" i="1"/>
  <c r="H6638" i="1"/>
  <c r="J6638" i="1"/>
  <c r="K6638" i="1"/>
  <c r="L6638" i="1"/>
  <c r="A4315" i="1"/>
  <c r="B4315" i="1"/>
  <c r="C4315" i="1"/>
  <c r="D4315" i="1"/>
  <c r="Q4315" i="1"/>
  <c r="R4315" i="1"/>
  <c r="E4315" i="1"/>
  <c r="G4315" i="1"/>
  <c r="H4315" i="1"/>
  <c r="J4315" i="1"/>
  <c r="K4315" i="1"/>
  <c r="L4315" i="1"/>
  <c r="A6723" i="1"/>
  <c r="B6723" i="1"/>
  <c r="C6723" i="1"/>
  <c r="D6723" i="1"/>
  <c r="Q6723" i="1"/>
  <c r="R6723" i="1"/>
  <c r="E6723" i="1"/>
  <c r="G6723" i="1"/>
  <c r="H6723" i="1"/>
  <c r="J6723" i="1"/>
  <c r="K6723" i="1"/>
  <c r="L6723" i="1"/>
  <c r="A6724" i="1"/>
  <c r="B6724" i="1"/>
  <c r="C6724" i="1"/>
  <c r="D6724" i="1"/>
  <c r="Q6724" i="1"/>
  <c r="R6724" i="1"/>
  <c r="E6724" i="1"/>
  <c r="G6724" i="1"/>
  <c r="H6724" i="1"/>
  <c r="J6724" i="1"/>
  <c r="K6724" i="1"/>
  <c r="L6724" i="1"/>
  <c r="A6725" i="1"/>
  <c r="B6725" i="1"/>
  <c r="C6725" i="1"/>
  <c r="D6725" i="1"/>
  <c r="Q6725" i="1"/>
  <c r="R6725" i="1"/>
  <c r="E6725" i="1"/>
  <c r="G6725" i="1"/>
  <c r="H6725" i="1"/>
  <c r="J6725" i="1"/>
  <c r="K6725" i="1"/>
  <c r="L6725" i="1"/>
  <c r="A6726" i="1"/>
  <c r="B6726" i="1"/>
  <c r="C6726" i="1"/>
  <c r="D6726" i="1"/>
  <c r="Q6726" i="1"/>
  <c r="R6726" i="1"/>
  <c r="E6726" i="1"/>
  <c r="G6726" i="1"/>
  <c r="H6726" i="1"/>
  <c r="J6726" i="1"/>
  <c r="K6726" i="1"/>
  <c r="L6726" i="1"/>
  <c r="A6727" i="1"/>
  <c r="B6727" i="1"/>
  <c r="C6727" i="1"/>
  <c r="D6727" i="1"/>
  <c r="Q6727" i="1"/>
  <c r="R6727" i="1"/>
  <c r="E6727" i="1"/>
  <c r="G6727" i="1"/>
  <c r="H6727" i="1"/>
  <c r="J6727" i="1"/>
  <c r="K6727" i="1"/>
  <c r="L6727" i="1"/>
  <c r="A4316" i="1"/>
  <c r="B4316" i="1"/>
  <c r="C4316" i="1"/>
  <c r="D4316" i="1"/>
  <c r="Q4316" i="1"/>
  <c r="R4316" i="1"/>
  <c r="E4316" i="1"/>
  <c r="G4316" i="1"/>
  <c r="H4316" i="1"/>
  <c r="J4316" i="1"/>
  <c r="K4316" i="1"/>
  <c r="L4316" i="1"/>
  <c r="A4317" i="1"/>
  <c r="B4317" i="1"/>
  <c r="C4317" i="1"/>
  <c r="D4317" i="1"/>
  <c r="Q4317" i="1"/>
  <c r="R4317" i="1"/>
  <c r="E4317" i="1"/>
  <c r="G4317" i="1"/>
  <c r="H4317" i="1"/>
  <c r="J4317" i="1"/>
  <c r="K4317" i="1"/>
  <c r="L4317" i="1"/>
  <c r="A4318" i="1"/>
  <c r="B4318" i="1"/>
  <c r="C4318" i="1"/>
  <c r="D4318" i="1"/>
  <c r="Q4318" i="1"/>
  <c r="R4318" i="1"/>
  <c r="E4318" i="1"/>
  <c r="G4318" i="1"/>
  <c r="H4318" i="1"/>
  <c r="J4318" i="1"/>
  <c r="K4318" i="1"/>
  <c r="L4318" i="1"/>
  <c r="A4319" i="1"/>
  <c r="B4319" i="1"/>
  <c r="C4319" i="1"/>
  <c r="D4319" i="1"/>
  <c r="Q4319" i="1"/>
  <c r="R4319" i="1"/>
  <c r="E4319" i="1"/>
  <c r="G4319" i="1"/>
  <c r="H4319" i="1"/>
  <c r="J4319" i="1"/>
  <c r="K4319" i="1"/>
  <c r="L4319" i="1"/>
  <c r="A4320" i="1"/>
  <c r="B4320" i="1"/>
  <c r="C4320" i="1"/>
  <c r="D4320" i="1"/>
  <c r="Q4320" i="1"/>
  <c r="R4320" i="1"/>
  <c r="E4320" i="1"/>
  <c r="G4320" i="1"/>
  <c r="H4320" i="1"/>
  <c r="J4320" i="1"/>
  <c r="K4320" i="1"/>
  <c r="L4320" i="1"/>
  <c r="A4321" i="1"/>
  <c r="B4321" i="1"/>
  <c r="C4321" i="1"/>
  <c r="D4321" i="1"/>
  <c r="Q4321" i="1"/>
  <c r="R4321" i="1"/>
  <c r="E4321" i="1"/>
  <c r="G4321" i="1"/>
  <c r="H4321" i="1"/>
  <c r="J4321" i="1"/>
  <c r="K4321" i="1"/>
  <c r="L4321" i="1"/>
  <c r="A4322" i="1"/>
  <c r="B4322" i="1"/>
  <c r="C4322" i="1"/>
  <c r="D4322" i="1"/>
  <c r="Q4322" i="1"/>
  <c r="R4322" i="1"/>
  <c r="E4322" i="1"/>
  <c r="F4322" i="1"/>
  <c r="G4322" i="1"/>
  <c r="H4322" i="1"/>
  <c r="J4322" i="1"/>
  <c r="K4322" i="1"/>
  <c r="L4322" i="1"/>
  <c r="A6742" i="1"/>
  <c r="B6742" i="1"/>
  <c r="C6742" i="1"/>
  <c r="D6742" i="1"/>
  <c r="Q6742" i="1"/>
  <c r="R6742" i="1"/>
  <c r="E6742" i="1"/>
  <c r="G6742" i="1"/>
  <c r="H6742" i="1"/>
  <c r="J6742" i="1"/>
  <c r="K6742" i="1"/>
  <c r="L6742" i="1"/>
  <c r="A6743" i="1"/>
  <c r="B6743" i="1"/>
  <c r="C6743" i="1"/>
  <c r="D6743" i="1"/>
  <c r="Q6743" i="1"/>
  <c r="R6743" i="1"/>
  <c r="E6743" i="1"/>
  <c r="G6743" i="1"/>
  <c r="H6743" i="1"/>
  <c r="J6743" i="1"/>
  <c r="K6743" i="1"/>
  <c r="L6743" i="1"/>
  <c r="A6744" i="1"/>
  <c r="B6744" i="1"/>
  <c r="C6744" i="1"/>
  <c r="D6744" i="1"/>
  <c r="Q6744" i="1"/>
  <c r="R6744" i="1"/>
  <c r="E6744" i="1"/>
  <c r="G6744" i="1"/>
  <c r="H6744" i="1"/>
  <c r="J6744" i="1"/>
  <c r="K6744" i="1"/>
  <c r="L6744" i="1"/>
  <c r="A6745" i="1"/>
  <c r="B6745" i="1"/>
  <c r="C6745" i="1"/>
  <c r="D6745" i="1"/>
  <c r="Q6745" i="1"/>
  <c r="R6745" i="1"/>
  <c r="E6745" i="1"/>
  <c r="G6745" i="1"/>
  <c r="H6745" i="1"/>
  <c r="J6745" i="1"/>
  <c r="K6745" i="1"/>
  <c r="L6745" i="1"/>
  <c r="A6746" i="1"/>
  <c r="B6746" i="1"/>
  <c r="C6746" i="1"/>
  <c r="D6746" i="1"/>
  <c r="Q6746" i="1"/>
  <c r="R6746" i="1"/>
  <c r="E6746" i="1"/>
  <c r="G6746" i="1"/>
  <c r="H6746" i="1"/>
  <c r="J6746" i="1"/>
  <c r="K6746" i="1"/>
  <c r="L6746" i="1"/>
  <c r="A6747" i="1"/>
  <c r="B6747" i="1"/>
  <c r="C6747" i="1"/>
  <c r="D6747" i="1"/>
  <c r="Q6747" i="1"/>
  <c r="R6747" i="1"/>
  <c r="E6747" i="1"/>
  <c r="G6747" i="1"/>
  <c r="H6747" i="1"/>
  <c r="J6747" i="1"/>
  <c r="K6747" i="1"/>
  <c r="L6747" i="1"/>
  <c r="A6748" i="1"/>
  <c r="B6748" i="1"/>
  <c r="C6748" i="1"/>
  <c r="D6748" i="1"/>
  <c r="Q6748" i="1"/>
  <c r="R6748" i="1"/>
  <c r="E6748" i="1"/>
  <c r="G6748" i="1"/>
  <c r="H6748" i="1"/>
  <c r="J6748" i="1"/>
  <c r="K6748" i="1"/>
  <c r="L6748" i="1"/>
  <c r="A6749" i="1"/>
  <c r="B6749" i="1"/>
  <c r="C6749" i="1"/>
  <c r="D6749" i="1"/>
  <c r="Q6749" i="1"/>
  <c r="R6749" i="1"/>
  <c r="E6749" i="1"/>
  <c r="G6749" i="1"/>
  <c r="H6749" i="1"/>
  <c r="J6749" i="1"/>
  <c r="K6749" i="1"/>
  <c r="L6749" i="1"/>
  <c r="A6750" i="1"/>
  <c r="B6750" i="1"/>
  <c r="C6750" i="1"/>
  <c r="D6750" i="1"/>
  <c r="Q6750" i="1"/>
  <c r="R6750" i="1"/>
  <c r="E6750" i="1"/>
  <c r="G6750" i="1"/>
  <c r="H6750" i="1"/>
  <c r="J6750" i="1"/>
  <c r="K6750" i="1"/>
  <c r="L6750" i="1"/>
  <c r="A6751" i="1"/>
  <c r="B6751" i="1"/>
  <c r="C6751" i="1"/>
  <c r="D6751" i="1"/>
  <c r="Q6751" i="1"/>
  <c r="R6751" i="1"/>
  <c r="E6751" i="1"/>
  <c r="G6751" i="1"/>
  <c r="H6751" i="1"/>
  <c r="J6751" i="1"/>
  <c r="K6751" i="1"/>
  <c r="L6751" i="1"/>
  <c r="A6752" i="1"/>
  <c r="B6752" i="1"/>
  <c r="C6752" i="1"/>
  <c r="D6752" i="1"/>
  <c r="Q6752" i="1"/>
  <c r="R6752" i="1"/>
  <c r="E6752" i="1"/>
  <c r="G6752" i="1"/>
  <c r="H6752" i="1"/>
  <c r="J6752" i="1"/>
  <c r="K6752" i="1"/>
  <c r="L6752" i="1"/>
  <c r="A6753" i="1"/>
  <c r="B6753" i="1"/>
  <c r="C6753" i="1"/>
  <c r="D6753" i="1"/>
  <c r="Q6753" i="1"/>
  <c r="R6753" i="1"/>
  <c r="E6753" i="1"/>
  <c r="G6753" i="1"/>
  <c r="H6753" i="1"/>
  <c r="J6753" i="1"/>
  <c r="K6753" i="1"/>
  <c r="L6753" i="1"/>
  <c r="A6754" i="1"/>
  <c r="B6754" i="1"/>
  <c r="C6754" i="1"/>
  <c r="D6754" i="1"/>
  <c r="Q6754" i="1"/>
  <c r="R6754" i="1"/>
  <c r="E6754" i="1"/>
  <c r="G6754" i="1"/>
  <c r="H6754" i="1"/>
  <c r="J6754" i="1"/>
  <c r="K6754" i="1"/>
  <c r="L6754" i="1"/>
  <c r="A6755" i="1"/>
  <c r="B6755" i="1"/>
  <c r="C6755" i="1"/>
  <c r="D6755" i="1"/>
  <c r="Q6755" i="1"/>
  <c r="R6755" i="1"/>
  <c r="E6755" i="1"/>
  <c r="G6755" i="1"/>
  <c r="H6755" i="1"/>
  <c r="J6755" i="1"/>
  <c r="K6755" i="1"/>
  <c r="L6755" i="1"/>
  <c r="A6756" i="1"/>
  <c r="B6756" i="1"/>
  <c r="C6756" i="1"/>
  <c r="D6756" i="1"/>
  <c r="Q6756" i="1"/>
  <c r="R6756" i="1"/>
  <c r="E6756" i="1"/>
  <c r="G6756" i="1"/>
  <c r="H6756" i="1"/>
  <c r="J6756" i="1"/>
  <c r="K6756" i="1"/>
  <c r="L6756" i="1"/>
  <c r="A6757" i="1"/>
  <c r="B6757" i="1"/>
  <c r="C6757" i="1"/>
  <c r="D6757" i="1"/>
  <c r="Q6757" i="1"/>
  <c r="R6757" i="1"/>
  <c r="E6757" i="1"/>
  <c r="G6757" i="1"/>
  <c r="H6757" i="1"/>
  <c r="J6757" i="1"/>
  <c r="K6757" i="1"/>
  <c r="L6757" i="1"/>
  <c r="A6758" i="1"/>
  <c r="B6758" i="1"/>
  <c r="C6758" i="1"/>
  <c r="D6758" i="1"/>
  <c r="Q6758" i="1"/>
  <c r="R6758" i="1"/>
  <c r="E6758" i="1"/>
  <c r="G6758" i="1"/>
  <c r="H6758" i="1"/>
  <c r="J6758" i="1"/>
  <c r="K6758" i="1"/>
  <c r="L6758" i="1"/>
  <c r="A6759" i="1"/>
  <c r="B6759" i="1"/>
  <c r="C6759" i="1"/>
  <c r="D6759" i="1"/>
  <c r="Q6759" i="1"/>
  <c r="R6759" i="1"/>
  <c r="E6759" i="1"/>
  <c r="G6759" i="1"/>
  <c r="H6759" i="1"/>
  <c r="J6759" i="1"/>
  <c r="K6759" i="1"/>
  <c r="L6759" i="1"/>
  <c r="A6760" i="1"/>
  <c r="B6760" i="1"/>
  <c r="C6760" i="1"/>
  <c r="D6760" i="1"/>
  <c r="Q6760" i="1"/>
  <c r="R6760" i="1"/>
  <c r="E6760" i="1"/>
  <c r="G6760" i="1"/>
  <c r="H6760" i="1"/>
  <c r="J6760" i="1"/>
  <c r="K6760" i="1"/>
  <c r="L6760" i="1"/>
  <c r="A6768" i="1"/>
  <c r="B6768" i="1"/>
  <c r="C6768" i="1"/>
  <c r="D6768" i="1"/>
  <c r="Q6768" i="1"/>
  <c r="R6768" i="1"/>
  <c r="E6768" i="1"/>
  <c r="G6768" i="1"/>
  <c r="H6768" i="1"/>
  <c r="J6768" i="1"/>
  <c r="K6768" i="1"/>
  <c r="L6768" i="1"/>
  <c r="A6769" i="1"/>
  <c r="B6769" i="1"/>
  <c r="C6769" i="1"/>
  <c r="D6769" i="1"/>
  <c r="Q6769" i="1"/>
  <c r="R6769" i="1"/>
  <c r="E6769" i="1"/>
  <c r="G6769" i="1"/>
  <c r="H6769" i="1"/>
  <c r="J6769" i="1"/>
  <c r="K6769" i="1"/>
  <c r="L6769" i="1"/>
  <c r="A6770" i="1"/>
  <c r="B6770" i="1"/>
  <c r="C6770" i="1"/>
  <c r="D6770" i="1"/>
  <c r="Q6770" i="1"/>
  <c r="R6770" i="1"/>
  <c r="E6770" i="1"/>
  <c r="G6770" i="1"/>
  <c r="H6770" i="1"/>
  <c r="J6770" i="1"/>
  <c r="K6770" i="1"/>
  <c r="L6770" i="1"/>
  <c r="A6771" i="1"/>
  <c r="B6771" i="1"/>
  <c r="C6771" i="1"/>
  <c r="D6771" i="1"/>
  <c r="Q6771" i="1"/>
  <c r="R6771" i="1"/>
  <c r="E6771" i="1"/>
  <c r="G6771" i="1"/>
  <c r="H6771" i="1"/>
  <c r="J6771" i="1"/>
  <c r="K6771" i="1"/>
  <c r="L6771" i="1"/>
  <c r="A6772" i="1"/>
  <c r="B6772" i="1"/>
  <c r="C6772" i="1"/>
  <c r="D6772" i="1"/>
  <c r="Q6772" i="1"/>
  <c r="R6772" i="1"/>
  <c r="E6772" i="1"/>
  <c r="G6772" i="1"/>
  <c r="H6772" i="1"/>
  <c r="J6772" i="1"/>
  <c r="K6772" i="1"/>
  <c r="L6772" i="1"/>
  <c r="A6773" i="1"/>
  <c r="B6773" i="1"/>
  <c r="C6773" i="1"/>
  <c r="D6773" i="1"/>
  <c r="Q6773" i="1"/>
  <c r="R6773" i="1"/>
  <c r="E6773" i="1"/>
  <c r="G6773" i="1"/>
  <c r="H6773" i="1"/>
  <c r="J6773" i="1"/>
  <c r="K6773" i="1"/>
  <c r="L6773" i="1"/>
  <c r="A6774" i="1"/>
  <c r="B6774" i="1"/>
  <c r="C6774" i="1"/>
  <c r="D6774" i="1"/>
  <c r="Q6774" i="1"/>
  <c r="R6774" i="1"/>
  <c r="E6774" i="1"/>
  <c r="G6774" i="1"/>
  <c r="H6774" i="1"/>
  <c r="J6774" i="1"/>
  <c r="K6774" i="1"/>
  <c r="L6774" i="1"/>
  <c r="A6775" i="1"/>
  <c r="B6775" i="1"/>
  <c r="C6775" i="1"/>
  <c r="D6775" i="1"/>
  <c r="Q6775" i="1"/>
  <c r="R6775" i="1"/>
  <c r="E6775" i="1"/>
  <c r="G6775" i="1"/>
  <c r="H6775" i="1"/>
  <c r="J6775" i="1"/>
  <c r="K6775" i="1"/>
  <c r="L6775" i="1"/>
  <c r="A6776" i="1"/>
  <c r="B6776" i="1"/>
  <c r="C6776" i="1"/>
  <c r="D6776" i="1"/>
  <c r="Q6776" i="1"/>
  <c r="R6776" i="1"/>
  <c r="E6776" i="1"/>
  <c r="G6776" i="1"/>
  <c r="H6776" i="1"/>
  <c r="J6776" i="1"/>
  <c r="K6776" i="1"/>
  <c r="L6776" i="1"/>
  <c r="A6777" i="1"/>
  <c r="B6777" i="1"/>
  <c r="C6777" i="1"/>
  <c r="D6777" i="1"/>
  <c r="Q6777" i="1"/>
  <c r="R6777" i="1"/>
  <c r="E6777" i="1"/>
  <c r="G6777" i="1"/>
  <c r="H6777" i="1"/>
  <c r="J6777" i="1"/>
  <c r="K6777" i="1"/>
  <c r="L6777" i="1"/>
  <c r="A6778" i="1"/>
  <c r="B6778" i="1"/>
  <c r="C6778" i="1"/>
  <c r="D6778" i="1"/>
  <c r="Q6778" i="1"/>
  <c r="R6778" i="1"/>
  <c r="E6778" i="1"/>
  <c r="G6778" i="1"/>
  <c r="H6778" i="1"/>
  <c r="J6778" i="1"/>
  <c r="K6778" i="1"/>
  <c r="L6778" i="1"/>
  <c r="A6779" i="1"/>
  <c r="B6779" i="1"/>
  <c r="C6779" i="1"/>
  <c r="D6779" i="1"/>
  <c r="Q6779" i="1"/>
  <c r="R6779" i="1"/>
  <c r="E6779" i="1"/>
  <c r="G6779" i="1"/>
  <c r="H6779" i="1"/>
  <c r="J6779" i="1"/>
  <c r="K6779" i="1"/>
  <c r="L6779" i="1"/>
  <c r="A6780" i="1"/>
  <c r="B6780" i="1"/>
  <c r="C6780" i="1"/>
  <c r="D6780" i="1"/>
  <c r="Q6780" i="1"/>
  <c r="R6780" i="1"/>
  <c r="E6780" i="1"/>
  <c r="G6780" i="1"/>
  <c r="H6780" i="1"/>
  <c r="J6780" i="1"/>
  <c r="K6780" i="1"/>
  <c r="L6780" i="1"/>
  <c r="A6781" i="1"/>
  <c r="B6781" i="1"/>
  <c r="C6781" i="1"/>
  <c r="D6781" i="1"/>
  <c r="Q6781" i="1"/>
  <c r="R6781" i="1"/>
  <c r="E6781" i="1"/>
  <c r="G6781" i="1"/>
  <c r="H6781" i="1"/>
  <c r="J6781" i="1"/>
  <c r="K6781" i="1"/>
  <c r="L6781" i="1"/>
  <c r="A6782" i="1"/>
  <c r="B6782" i="1"/>
  <c r="C6782" i="1"/>
  <c r="D6782" i="1"/>
  <c r="Q6782" i="1"/>
  <c r="R6782" i="1"/>
  <c r="E6782" i="1"/>
  <c r="G6782" i="1"/>
  <c r="H6782" i="1"/>
  <c r="J6782" i="1"/>
  <c r="K6782" i="1"/>
  <c r="L6782" i="1"/>
  <c r="A6783" i="1"/>
  <c r="B6783" i="1"/>
  <c r="C6783" i="1"/>
  <c r="D6783" i="1"/>
  <c r="Q6783" i="1"/>
  <c r="R6783" i="1"/>
  <c r="E6783" i="1"/>
  <c r="G6783" i="1"/>
  <c r="H6783" i="1"/>
  <c r="J6783" i="1"/>
  <c r="K6783" i="1"/>
  <c r="L6783" i="1"/>
  <c r="A6784" i="1"/>
  <c r="B6784" i="1"/>
  <c r="C6784" i="1"/>
  <c r="D6784" i="1"/>
  <c r="Q6784" i="1"/>
  <c r="R6784" i="1"/>
  <c r="E6784" i="1"/>
  <c r="G6784" i="1"/>
  <c r="H6784" i="1"/>
  <c r="J6784" i="1"/>
  <c r="K6784" i="1"/>
  <c r="L6784" i="1"/>
  <c r="A6785" i="1"/>
  <c r="B6785" i="1"/>
  <c r="C6785" i="1"/>
  <c r="D6785" i="1"/>
  <c r="Q6785" i="1"/>
  <c r="R6785" i="1"/>
  <c r="E6785" i="1"/>
  <c r="G6785" i="1"/>
  <c r="H6785" i="1"/>
  <c r="J6785" i="1"/>
  <c r="K6785" i="1"/>
  <c r="L6785" i="1"/>
  <c r="A6786" i="1"/>
  <c r="B6786" i="1"/>
  <c r="C6786" i="1"/>
  <c r="D6786" i="1"/>
  <c r="Q6786" i="1"/>
  <c r="R6786" i="1"/>
  <c r="E6786" i="1"/>
  <c r="G6786" i="1"/>
  <c r="H6786" i="1"/>
  <c r="J6786" i="1"/>
  <c r="K6786" i="1"/>
  <c r="L6786" i="1"/>
  <c r="A6794" i="1"/>
  <c r="B6794" i="1"/>
  <c r="C6794" i="1"/>
  <c r="D6794" i="1"/>
  <c r="Q6794" i="1"/>
  <c r="R6794" i="1"/>
  <c r="E6794" i="1"/>
  <c r="G6794" i="1"/>
  <c r="H6794" i="1"/>
  <c r="J6794" i="1"/>
  <c r="K6794" i="1"/>
  <c r="L6794" i="1"/>
  <c r="A6795" i="1"/>
  <c r="B6795" i="1"/>
  <c r="C6795" i="1"/>
  <c r="D6795" i="1"/>
  <c r="Q6795" i="1"/>
  <c r="R6795" i="1"/>
  <c r="E6795" i="1"/>
  <c r="G6795" i="1"/>
  <c r="H6795" i="1"/>
  <c r="J6795" i="1"/>
  <c r="K6795" i="1"/>
  <c r="L6795" i="1"/>
  <c r="A6796" i="1"/>
  <c r="B6796" i="1"/>
  <c r="C6796" i="1"/>
  <c r="D6796" i="1"/>
  <c r="Q6796" i="1"/>
  <c r="R6796" i="1"/>
  <c r="E6796" i="1"/>
  <c r="G6796" i="1"/>
  <c r="H6796" i="1"/>
  <c r="J6796" i="1"/>
  <c r="K6796" i="1"/>
  <c r="L6796" i="1"/>
  <c r="A6797" i="1"/>
  <c r="B6797" i="1"/>
  <c r="C6797" i="1"/>
  <c r="D6797" i="1"/>
  <c r="Q6797" i="1"/>
  <c r="R6797" i="1"/>
  <c r="E6797" i="1"/>
  <c r="G6797" i="1"/>
  <c r="H6797" i="1"/>
  <c r="J6797" i="1"/>
  <c r="K6797" i="1"/>
  <c r="L6797" i="1"/>
  <c r="A6798" i="1"/>
  <c r="B6798" i="1"/>
  <c r="C6798" i="1"/>
  <c r="D6798" i="1"/>
  <c r="Q6798" i="1"/>
  <c r="R6798" i="1"/>
  <c r="E6798" i="1"/>
  <c r="G6798" i="1"/>
  <c r="H6798" i="1"/>
  <c r="J6798" i="1"/>
  <c r="K6798" i="1"/>
  <c r="L6798" i="1"/>
  <c r="A6799" i="1"/>
  <c r="B6799" i="1"/>
  <c r="C6799" i="1"/>
  <c r="D6799" i="1"/>
  <c r="Q6799" i="1"/>
  <c r="R6799" i="1"/>
  <c r="E6799" i="1"/>
  <c r="G6799" i="1"/>
  <c r="H6799" i="1"/>
  <c r="J6799" i="1"/>
  <c r="K6799" i="1"/>
  <c r="L6799" i="1"/>
  <c r="A6800" i="1"/>
  <c r="B6800" i="1"/>
  <c r="C6800" i="1"/>
  <c r="D6800" i="1"/>
  <c r="Q6800" i="1"/>
  <c r="R6800" i="1"/>
  <c r="E6800" i="1"/>
  <c r="G6800" i="1"/>
  <c r="H6800" i="1"/>
  <c r="J6800" i="1"/>
  <c r="K6800" i="1"/>
  <c r="L6800" i="1"/>
  <c r="A6801" i="1"/>
  <c r="B6801" i="1"/>
  <c r="C6801" i="1"/>
  <c r="D6801" i="1"/>
  <c r="Q6801" i="1"/>
  <c r="R6801" i="1"/>
  <c r="E6801" i="1"/>
  <c r="G6801" i="1"/>
  <c r="H6801" i="1"/>
  <c r="J6801" i="1"/>
  <c r="K6801" i="1"/>
  <c r="L6801" i="1"/>
  <c r="A6802" i="1"/>
  <c r="B6802" i="1"/>
  <c r="C6802" i="1"/>
  <c r="D6802" i="1"/>
  <c r="Q6802" i="1"/>
  <c r="R6802" i="1"/>
  <c r="E6802" i="1"/>
  <c r="G6802" i="1"/>
  <c r="H6802" i="1"/>
  <c r="J6802" i="1"/>
  <c r="K6802" i="1"/>
  <c r="L6802" i="1"/>
  <c r="A6803" i="1"/>
  <c r="B6803" i="1"/>
  <c r="C6803" i="1"/>
  <c r="D6803" i="1"/>
  <c r="Q6803" i="1"/>
  <c r="R6803" i="1"/>
  <c r="E6803" i="1"/>
  <c r="G6803" i="1"/>
  <c r="H6803" i="1"/>
  <c r="J6803" i="1"/>
  <c r="K6803" i="1"/>
  <c r="L6803" i="1"/>
  <c r="A6804" i="1"/>
  <c r="B6804" i="1"/>
  <c r="C6804" i="1"/>
  <c r="D6804" i="1"/>
  <c r="Q6804" i="1"/>
  <c r="R6804" i="1"/>
  <c r="E6804" i="1"/>
  <c r="G6804" i="1"/>
  <c r="H6804" i="1"/>
  <c r="J6804" i="1"/>
  <c r="K6804" i="1"/>
  <c r="L6804" i="1"/>
  <c r="A6805" i="1"/>
  <c r="B6805" i="1"/>
  <c r="C6805" i="1"/>
  <c r="D6805" i="1"/>
  <c r="Q6805" i="1"/>
  <c r="R6805" i="1"/>
  <c r="E6805" i="1"/>
  <c r="G6805" i="1"/>
  <c r="H6805" i="1"/>
  <c r="J6805" i="1"/>
  <c r="K6805" i="1"/>
  <c r="L6805" i="1"/>
  <c r="A6806" i="1"/>
  <c r="B6806" i="1"/>
  <c r="C6806" i="1"/>
  <c r="D6806" i="1"/>
  <c r="Q6806" i="1"/>
  <c r="R6806" i="1"/>
  <c r="E6806" i="1"/>
  <c r="G6806" i="1"/>
  <c r="H6806" i="1"/>
  <c r="J6806" i="1"/>
  <c r="K6806" i="1"/>
  <c r="L6806" i="1"/>
  <c r="A6807" i="1"/>
  <c r="B6807" i="1"/>
  <c r="C6807" i="1"/>
  <c r="D6807" i="1"/>
  <c r="Q6807" i="1"/>
  <c r="R6807" i="1"/>
  <c r="E6807" i="1"/>
  <c r="G6807" i="1"/>
  <c r="H6807" i="1"/>
  <c r="J6807" i="1"/>
  <c r="K6807" i="1"/>
  <c r="L6807" i="1"/>
  <c r="A6808" i="1"/>
  <c r="B6808" i="1"/>
  <c r="C6808" i="1"/>
  <c r="D6808" i="1"/>
  <c r="Q6808" i="1"/>
  <c r="R6808" i="1"/>
  <c r="E6808" i="1"/>
  <c r="G6808" i="1"/>
  <c r="H6808" i="1"/>
  <c r="J6808" i="1"/>
  <c r="K6808" i="1"/>
  <c r="L6808" i="1"/>
  <c r="A6809" i="1"/>
  <c r="B6809" i="1"/>
  <c r="C6809" i="1"/>
  <c r="D6809" i="1"/>
  <c r="Q6809" i="1"/>
  <c r="R6809" i="1"/>
  <c r="E6809" i="1"/>
  <c r="G6809" i="1"/>
  <c r="H6809" i="1"/>
  <c r="J6809" i="1"/>
  <c r="K6809" i="1"/>
  <c r="L6809" i="1"/>
  <c r="A6810" i="1"/>
  <c r="B6810" i="1"/>
  <c r="C6810" i="1"/>
  <c r="D6810" i="1"/>
  <c r="Q6810" i="1"/>
  <c r="R6810" i="1"/>
  <c r="E6810" i="1"/>
  <c r="G6810" i="1"/>
  <c r="H6810" i="1"/>
  <c r="J6810" i="1"/>
  <c r="K6810" i="1"/>
  <c r="L6810" i="1"/>
  <c r="A6811" i="1"/>
  <c r="B6811" i="1"/>
  <c r="C6811" i="1"/>
  <c r="D6811" i="1"/>
  <c r="Q6811" i="1"/>
  <c r="R6811" i="1"/>
  <c r="E6811" i="1"/>
  <c r="G6811" i="1"/>
  <c r="H6811" i="1"/>
  <c r="J6811" i="1"/>
  <c r="K6811" i="1"/>
  <c r="L6811" i="1"/>
  <c r="A6812" i="1"/>
  <c r="B6812" i="1"/>
  <c r="C6812" i="1"/>
  <c r="D6812" i="1"/>
  <c r="Q6812" i="1"/>
  <c r="R6812" i="1"/>
  <c r="E6812" i="1"/>
  <c r="G6812" i="1"/>
  <c r="H6812" i="1"/>
  <c r="J6812" i="1"/>
  <c r="K6812" i="1"/>
  <c r="L6812" i="1"/>
  <c r="A6813" i="1"/>
  <c r="B6813" i="1"/>
  <c r="C6813" i="1"/>
  <c r="D6813" i="1"/>
  <c r="Q6813" i="1"/>
  <c r="R6813" i="1"/>
  <c r="E6813" i="1"/>
  <c r="G6813" i="1"/>
  <c r="H6813" i="1"/>
  <c r="J6813" i="1"/>
  <c r="K6813" i="1"/>
  <c r="L6813" i="1"/>
  <c r="A6814" i="1"/>
  <c r="B6814" i="1"/>
  <c r="C6814" i="1"/>
  <c r="D6814" i="1"/>
  <c r="Q6814" i="1"/>
  <c r="R6814" i="1"/>
  <c r="E6814" i="1"/>
  <c r="G6814" i="1"/>
  <c r="H6814" i="1"/>
  <c r="J6814" i="1"/>
  <c r="K6814" i="1"/>
  <c r="L6814" i="1"/>
  <c r="A6815" i="1"/>
  <c r="B6815" i="1"/>
  <c r="C6815" i="1"/>
  <c r="D6815" i="1"/>
  <c r="Q6815" i="1"/>
  <c r="R6815" i="1"/>
  <c r="E6815" i="1"/>
  <c r="G6815" i="1"/>
  <c r="H6815" i="1"/>
  <c r="J6815" i="1"/>
  <c r="K6815" i="1"/>
  <c r="L6815" i="1"/>
  <c r="A6816" i="1"/>
  <c r="B6816" i="1"/>
  <c r="C6816" i="1"/>
  <c r="D6816" i="1"/>
  <c r="Q6816" i="1"/>
  <c r="R6816" i="1"/>
  <c r="E6816" i="1"/>
  <c r="G6816" i="1"/>
  <c r="H6816" i="1"/>
  <c r="J6816" i="1"/>
  <c r="K6816" i="1"/>
  <c r="L6816" i="1"/>
  <c r="A6817" i="1"/>
  <c r="B6817" i="1"/>
  <c r="C6817" i="1"/>
  <c r="D6817" i="1"/>
  <c r="Q6817" i="1"/>
  <c r="R6817" i="1"/>
  <c r="E6817" i="1"/>
  <c r="G6817" i="1"/>
  <c r="H6817" i="1"/>
  <c r="J6817" i="1"/>
  <c r="K6817" i="1"/>
  <c r="L6817" i="1"/>
  <c r="A6818" i="1"/>
  <c r="B6818" i="1"/>
  <c r="C6818" i="1"/>
  <c r="D6818" i="1"/>
  <c r="Q6818" i="1"/>
  <c r="R6818" i="1"/>
  <c r="E6818" i="1"/>
  <c r="G6818" i="1"/>
  <c r="H6818" i="1"/>
  <c r="J6818" i="1"/>
  <c r="K6818" i="1"/>
  <c r="L6818" i="1"/>
  <c r="A6819" i="1"/>
  <c r="B6819" i="1"/>
  <c r="C6819" i="1"/>
  <c r="D6819" i="1"/>
  <c r="Q6819" i="1"/>
  <c r="R6819" i="1"/>
  <c r="E6819" i="1"/>
  <c r="G6819" i="1"/>
  <c r="H6819" i="1"/>
  <c r="J6819" i="1"/>
  <c r="K6819" i="1"/>
  <c r="L6819" i="1"/>
  <c r="A6820" i="1"/>
  <c r="B6820" i="1"/>
  <c r="C6820" i="1"/>
  <c r="D6820" i="1"/>
  <c r="Q6820" i="1"/>
  <c r="R6820" i="1"/>
  <c r="E6820" i="1"/>
  <c r="G6820" i="1"/>
  <c r="H6820" i="1"/>
  <c r="J6820" i="1"/>
  <c r="K6820" i="1"/>
  <c r="L6820" i="1"/>
  <c r="A6821" i="1"/>
  <c r="B6821" i="1"/>
  <c r="C6821" i="1"/>
  <c r="D6821" i="1"/>
  <c r="Q6821" i="1"/>
  <c r="R6821" i="1"/>
  <c r="E6821" i="1"/>
  <c r="G6821" i="1"/>
  <c r="H6821" i="1"/>
  <c r="J6821" i="1"/>
  <c r="K6821" i="1"/>
  <c r="L6821" i="1"/>
  <c r="A6822" i="1"/>
  <c r="B6822" i="1"/>
  <c r="C6822" i="1"/>
  <c r="D6822" i="1"/>
  <c r="Q6822" i="1"/>
  <c r="R6822" i="1"/>
  <c r="E6822" i="1"/>
  <c r="G6822" i="1"/>
  <c r="H6822" i="1"/>
  <c r="J6822" i="1"/>
  <c r="K6822" i="1"/>
  <c r="L6822" i="1"/>
  <c r="A6823" i="1"/>
  <c r="B6823" i="1"/>
  <c r="C6823" i="1"/>
  <c r="D6823" i="1"/>
  <c r="Q6823" i="1"/>
  <c r="R6823" i="1"/>
  <c r="E6823" i="1"/>
  <c r="G6823" i="1"/>
  <c r="H6823" i="1"/>
  <c r="J6823" i="1"/>
  <c r="K6823" i="1"/>
  <c r="L6823" i="1"/>
  <c r="A6824" i="1"/>
  <c r="B6824" i="1"/>
  <c r="C6824" i="1"/>
  <c r="D6824" i="1"/>
  <c r="Q6824" i="1"/>
  <c r="R6824" i="1"/>
  <c r="E6824" i="1"/>
  <c r="G6824" i="1"/>
  <c r="H6824" i="1"/>
  <c r="J6824" i="1"/>
  <c r="K6824" i="1"/>
  <c r="L6824" i="1"/>
  <c r="A6825" i="1"/>
  <c r="B6825" i="1"/>
  <c r="C6825" i="1"/>
  <c r="D6825" i="1"/>
  <c r="Q6825" i="1"/>
  <c r="R6825" i="1"/>
  <c r="E6825" i="1"/>
  <c r="G6825" i="1"/>
  <c r="H6825" i="1"/>
  <c r="J6825" i="1"/>
  <c r="K6825" i="1"/>
  <c r="L6825" i="1"/>
  <c r="A6826" i="1"/>
  <c r="B6826" i="1"/>
  <c r="C6826" i="1"/>
  <c r="D6826" i="1"/>
  <c r="Q6826" i="1"/>
  <c r="R6826" i="1"/>
  <c r="E6826" i="1"/>
  <c r="G6826" i="1"/>
  <c r="H6826" i="1"/>
  <c r="J6826" i="1"/>
  <c r="K6826" i="1"/>
  <c r="L6826" i="1"/>
  <c r="A6827" i="1"/>
  <c r="B6827" i="1"/>
  <c r="C6827" i="1"/>
  <c r="D6827" i="1"/>
  <c r="Q6827" i="1"/>
  <c r="R6827" i="1"/>
  <c r="E6827" i="1"/>
  <c r="G6827" i="1"/>
  <c r="H6827" i="1"/>
  <c r="J6827" i="1"/>
  <c r="K6827" i="1"/>
  <c r="L6827" i="1"/>
  <c r="A6828" i="1"/>
  <c r="B6828" i="1"/>
  <c r="C6828" i="1"/>
  <c r="D6828" i="1"/>
  <c r="Q6828" i="1"/>
  <c r="R6828" i="1"/>
  <c r="E6828" i="1"/>
  <c r="G6828" i="1"/>
  <c r="H6828" i="1"/>
  <c r="J6828" i="1"/>
  <c r="K6828" i="1"/>
  <c r="L6828" i="1"/>
  <c r="A6829" i="1"/>
  <c r="B6829" i="1"/>
  <c r="C6829" i="1"/>
  <c r="D6829" i="1"/>
  <c r="Q6829" i="1"/>
  <c r="R6829" i="1"/>
  <c r="E6829" i="1"/>
  <c r="G6829" i="1"/>
  <c r="H6829" i="1"/>
  <c r="J6829" i="1"/>
  <c r="K6829" i="1"/>
  <c r="L6829" i="1"/>
  <c r="A6830" i="1"/>
  <c r="B6830" i="1"/>
  <c r="C6830" i="1"/>
  <c r="D6830" i="1"/>
  <c r="Q6830" i="1"/>
  <c r="R6830" i="1"/>
  <c r="E6830" i="1"/>
  <c r="G6830" i="1"/>
  <c r="H6830" i="1"/>
  <c r="J6830" i="1"/>
  <c r="K6830" i="1"/>
  <c r="L6830" i="1"/>
  <c r="A6831" i="1"/>
  <c r="B6831" i="1"/>
  <c r="C6831" i="1"/>
  <c r="D6831" i="1"/>
  <c r="Q6831" i="1"/>
  <c r="R6831" i="1"/>
  <c r="E6831" i="1"/>
  <c r="G6831" i="1"/>
  <c r="H6831" i="1"/>
  <c r="J6831" i="1"/>
  <c r="K6831" i="1"/>
  <c r="L6831" i="1"/>
  <c r="A6832" i="1"/>
  <c r="B6832" i="1"/>
  <c r="C6832" i="1"/>
  <c r="D6832" i="1"/>
  <c r="Q6832" i="1"/>
  <c r="R6832" i="1"/>
  <c r="E6832" i="1"/>
  <c r="G6832" i="1"/>
  <c r="H6832" i="1"/>
  <c r="J6832" i="1"/>
  <c r="K6832" i="1"/>
  <c r="L6832" i="1"/>
  <c r="A6833" i="1"/>
  <c r="B6833" i="1"/>
  <c r="C6833" i="1"/>
  <c r="D6833" i="1"/>
  <c r="Q6833" i="1"/>
  <c r="R6833" i="1"/>
  <c r="E6833" i="1"/>
  <c r="G6833" i="1"/>
  <c r="H6833" i="1"/>
  <c r="J6833" i="1"/>
  <c r="K6833" i="1"/>
  <c r="L6833" i="1"/>
  <c r="A6834" i="1"/>
  <c r="B6834" i="1"/>
  <c r="C6834" i="1"/>
  <c r="D6834" i="1"/>
  <c r="Q6834" i="1"/>
  <c r="R6834" i="1"/>
  <c r="E6834" i="1"/>
  <c r="G6834" i="1"/>
  <c r="H6834" i="1"/>
  <c r="J6834" i="1"/>
  <c r="K6834" i="1"/>
  <c r="L6834" i="1"/>
  <c r="A6835" i="1"/>
  <c r="B6835" i="1"/>
  <c r="C6835" i="1"/>
  <c r="D6835" i="1"/>
  <c r="Q6835" i="1"/>
  <c r="R6835" i="1"/>
  <c r="E6835" i="1"/>
  <c r="G6835" i="1"/>
  <c r="H6835" i="1"/>
  <c r="J6835" i="1"/>
  <c r="K6835" i="1"/>
  <c r="L6835" i="1"/>
  <c r="A6836" i="1"/>
  <c r="B6836" i="1"/>
  <c r="C6836" i="1"/>
  <c r="D6836" i="1"/>
  <c r="Q6836" i="1"/>
  <c r="R6836" i="1"/>
  <c r="E6836" i="1"/>
  <c r="G6836" i="1"/>
  <c r="H6836" i="1"/>
  <c r="J6836" i="1"/>
  <c r="K6836" i="1"/>
  <c r="L6836" i="1"/>
  <c r="A6837" i="1"/>
  <c r="B6837" i="1"/>
  <c r="C6837" i="1"/>
  <c r="D6837" i="1"/>
  <c r="Q6837" i="1"/>
  <c r="R6837" i="1"/>
  <c r="E6837" i="1"/>
  <c r="G6837" i="1"/>
  <c r="H6837" i="1"/>
  <c r="J6837" i="1"/>
  <c r="K6837" i="1"/>
  <c r="L6837" i="1"/>
  <c r="A6838" i="1"/>
  <c r="B6838" i="1"/>
  <c r="C6838" i="1"/>
  <c r="D6838" i="1"/>
  <c r="Q6838" i="1"/>
  <c r="R6838" i="1"/>
  <c r="E6838" i="1"/>
  <c r="G6838" i="1"/>
  <c r="H6838" i="1"/>
  <c r="J6838" i="1"/>
  <c r="K6838" i="1"/>
  <c r="L6838" i="1"/>
  <c r="A6839" i="1"/>
  <c r="B6839" i="1"/>
  <c r="C6839" i="1"/>
  <c r="D6839" i="1"/>
  <c r="Q6839" i="1"/>
  <c r="R6839" i="1"/>
  <c r="E6839" i="1"/>
  <c r="G6839" i="1"/>
  <c r="H6839" i="1"/>
  <c r="J6839" i="1"/>
  <c r="K6839" i="1"/>
  <c r="L6839" i="1"/>
  <c r="A6840" i="1"/>
  <c r="B6840" i="1"/>
  <c r="C6840" i="1"/>
  <c r="D6840" i="1"/>
  <c r="Q6840" i="1"/>
  <c r="R6840" i="1"/>
  <c r="E6840" i="1"/>
  <c r="G6840" i="1"/>
  <c r="H6840" i="1"/>
  <c r="J6840" i="1"/>
  <c r="K6840" i="1"/>
  <c r="L6840" i="1"/>
  <c r="A6841" i="1"/>
  <c r="B6841" i="1"/>
  <c r="C6841" i="1"/>
  <c r="D6841" i="1"/>
  <c r="Q6841" i="1"/>
  <c r="R6841" i="1"/>
  <c r="E6841" i="1"/>
  <c r="G6841" i="1"/>
  <c r="H6841" i="1"/>
  <c r="J6841" i="1"/>
  <c r="K6841" i="1"/>
  <c r="L6841" i="1"/>
  <c r="A6842" i="1"/>
  <c r="B6842" i="1"/>
  <c r="C6842" i="1"/>
  <c r="D6842" i="1"/>
  <c r="Q6842" i="1"/>
  <c r="R6842" i="1"/>
  <c r="E6842" i="1"/>
  <c r="G6842" i="1"/>
  <c r="H6842" i="1"/>
  <c r="J6842" i="1"/>
  <c r="K6842" i="1"/>
  <c r="L6842" i="1"/>
  <c r="A6843" i="1"/>
  <c r="B6843" i="1"/>
  <c r="C6843" i="1"/>
  <c r="D6843" i="1"/>
  <c r="Q6843" i="1"/>
  <c r="R6843" i="1"/>
  <c r="E6843" i="1"/>
  <c r="G6843" i="1"/>
  <c r="H6843" i="1"/>
  <c r="J6843" i="1"/>
  <c r="K6843" i="1"/>
  <c r="L6843" i="1"/>
  <c r="A6844" i="1"/>
  <c r="B6844" i="1"/>
  <c r="C6844" i="1"/>
  <c r="D6844" i="1"/>
  <c r="Q6844" i="1"/>
  <c r="R6844" i="1"/>
  <c r="E6844" i="1"/>
  <c r="G6844" i="1"/>
  <c r="H6844" i="1"/>
  <c r="J6844" i="1"/>
  <c r="K6844" i="1"/>
  <c r="L6844" i="1"/>
  <c r="A6845" i="1"/>
  <c r="B6845" i="1"/>
  <c r="C6845" i="1"/>
  <c r="D6845" i="1"/>
  <c r="Q6845" i="1"/>
  <c r="R6845" i="1"/>
  <c r="E6845" i="1"/>
  <c r="G6845" i="1"/>
  <c r="H6845" i="1"/>
  <c r="J6845" i="1"/>
  <c r="K6845" i="1"/>
  <c r="L6845" i="1"/>
  <c r="A6761" i="1"/>
  <c r="B6761" i="1"/>
  <c r="C6761" i="1"/>
  <c r="D6761" i="1"/>
  <c r="Q6761" i="1"/>
  <c r="R6761" i="1"/>
  <c r="E6761" i="1"/>
  <c r="G6761" i="1"/>
  <c r="H6761" i="1"/>
  <c r="J6761" i="1"/>
  <c r="K6761" i="1"/>
  <c r="L6761" i="1"/>
  <c r="A6762" i="1"/>
  <c r="B6762" i="1"/>
  <c r="C6762" i="1"/>
  <c r="D6762" i="1"/>
  <c r="Q6762" i="1"/>
  <c r="R6762" i="1"/>
  <c r="E6762" i="1"/>
  <c r="G6762" i="1"/>
  <c r="H6762" i="1"/>
  <c r="J6762" i="1"/>
  <c r="K6762" i="1"/>
  <c r="L6762" i="1"/>
  <c r="A6763" i="1"/>
  <c r="B6763" i="1"/>
  <c r="C6763" i="1"/>
  <c r="D6763" i="1"/>
  <c r="Q6763" i="1"/>
  <c r="R6763" i="1"/>
  <c r="E6763" i="1"/>
  <c r="G6763" i="1"/>
  <c r="H6763" i="1"/>
  <c r="J6763" i="1"/>
  <c r="K6763" i="1"/>
  <c r="L6763" i="1"/>
  <c r="A6764" i="1"/>
  <c r="B6764" i="1"/>
  <c r="C6764" i="1"/>
  <c r="D6764" i="1"/>
  <c r="Q6764" i="1"/>
  <c r="R6764" i="1"/>
  <c r="E6764" i="1"/>
  <c r="G6764" i="1"/>
  <c r="H6764" i="1"/>
  <c r="J6764" i="1"/>
  <c r="K6764" i="1"/>
  <c r="L6764" i="1"/>
  <c r="A6765" i="1"/>
  <c r="B6765" i="1"/>
  <c r="C6765" i="1"/>
  <c r="D6765" i="1"/>
  <c r="Q6765" i="1"/>
  <c r="R6765" i="1"/>
  <c r="E6765" i="1"/>
  <c r="G6765" i="1"/>
  <c r="H6765" i="1"/>
  <c r="J6765" i="1"/>
  <c r="K6765" i="1"/>
  <c r="L6765" i="1"/>
  <c r="A6766" i="1"/>
  <c r="B6766" i="1"/>
  <c r="C6766" i="1"/>
  <c r="D6766" i="1"/>
  <c r="Q6766" i="1"/>
  <c r="R6766" i="1"/>
  <c r="E6766" i="1"/>
  <c r="G6766" i="1"/>
  <c r="H6766" i="1"/>
  <c r="J6766" i="1"/>
  <c r="K6766" i="1"/>
  <c r="L6766" i="1"/>
  <c r="A6767" i="1"/>
  <c r="B6767" i="1"/>
  <c r="C6767" i="1"/>
  <c r="D6767" i="1"/>
  <c r="Q6767" i="1"/>
  <c r="R6767" i="1"/>
  <c r="E6767" i="1"/>
  <c r="G6767" i="1"/>
  <c r="H6767" i="1"/>
  <c r="J6767" i="1"/>
  <c r="K6767" i="1"/>
  <c r="L6767" i="1"/>
  <c r="A6787" i="1"/>
  <c r="B6787" i="1"/>
  <c r="C6787" i="1"/>
  <c r="D6787" i="1"/>
  <c r="Q6787" i="1"/>
  <c r="R6787" i="1"/>
  <c r="E6787" i="1"/>
  <c r="G6787" i="1"/>
  <c r="H6787" i="1"/>
  <c r="J6787" i="1"/>
  <c r="K6787" i="1"/>
  <c r="L6787" i="1"/>
  <c r="A6788" i="1"/>
  <c r="B6788" i="1"/>
  <c r="C6788" i="1"/>
  <c r="D6788" i="1"/>
  <c r="Q6788" i="1"/>
  <c r="R6788" i="1"/>
  <c r="E6788" i="1"/>
  <c r="G6788" i="1"/>
  <c r="H6788" i="1"/>
  <c r="J6788" i="1"/>
  <c r="K6788" i="1"/>
  <c r="L6788" i="1"/>
  <c r="A6789" i="1"/>
  <c r="B6789" i="1"/>
  <c r="C6789" i="1"/>
  <c r="D6789" i="1"/>
  <c r="Q6789" i="1"/>
  <c r="R6789" i="1"/>
  <c r="E6789" i="1"/>
  <c r="G6789" i="1"/>
  <c r="H6789" i="1"/>
  <c r="J6789" i="1"/>
  <c r="K6789" i="1"/>
  <c r="L6789" i="1"/>
  <c r="A6790" i="1"/>
  <c r="B6790" i="1"/>
  <c r="C6790" i="1"/>
  <c r="D6790" i="1"/>
  <c r="Q6790" i="1"/>
  <c r="R6790" i="1"/>
  <c r="E6790" i="1"/>
  <c r="G6790" i="1"/>
  <c r="H6790" i="1"/>
  <c r="J6790" i="1"/>
  <c r="K6790" i="1"/>
  <c r="L6790" i="1"/>
  <c r="A6791" i="1"/>
  <c r="B6791" i="1"/>
  <c r="C6791" i="1"/>
  <c r="D6791" i="1"/>
  <c r="Q6791" i="1"/>
  <c r="R6791" i="1"/>
  <c r="E6791" i="1"/>
  <c r="G6791" i="1"/>
  <c r="H6791" i="1"/>
  <c r="J6791" i="1"/>
  <c r="K6791" i="1"/>
  <c r="L6791" i="1"/>
  <c r="A6792" i="1"/>
  <c r="B6792" i="1"/>
  <c r="C6792" i="1"/>
  <c r="D6792" i="1"/>
  <c r="Q6792" i="1"/>
  <c r="R6792" i="1"/>
  <c r="E6792" i="1"/>
  <c r="G6792" i="1"/>
  <c r="H6792" i="1"/>
  <c r="J6792" i="1"/>
  <c r="K6792" i="1"/>
  <c r="L6792" i="1"/>
  <c r="A6793" i="1"/>
  <c r="B6793" i="1"/>
  <c r="C6793" i="1"/>
  <c r="D6793" i="1"/>
  <c r="Q6793" i="1"/>
  <c r="R6793" i="1"/>
  <c r="E6793" i="1"/>
  <c r="G6793" i="1"/>
  <c r="H6793" i="1"/>
  <c r="J6793" i="1"/>
  <c r="K6793" i="1"/>
  <c r="L6793" i="1"/>
  <c r="A6888" i="1"/>
  <c r="B6888" i="1"/>
  <c r="C6888" i="1"/>
  <c r="D6888" i="1"/>
  <c r="Q6888" i="1"/>
  <c r="R6888" i="1"/>
  <c r="E6888" i="1"/>
  <c r="G6888" i="1"/>
  <c r="H6888" i="1"/>
  <c r="J6888" i="1"/>
  <c r="K6888" i="1"/>
  <c r="L6888" i="1"/>
  <c r="A6889" i="1"/>
  <c r="B6889" i="1"/>
  <c r="C6889" i="1"/>
  <c r="D6889" i="1"/>
  <c r="Q6889" i="1"/>
  <c r="R6889" i="1"/>
  <c r="E6889" i="1"/>
  <c r="G6889" i="1"/>
  <c r="H6889" i="1"/>
  <c r="J6889" i="1"/>
  <c r="K6889" i="1"/>
  <c r="L6889" i="1"/>
  <c r="A6890" i="1"/>
  <c r="B6890" i="1"/>
  <c r="C6890" i="1"/>
  <c r="D6890" i="1"/>
  <c r="Q6890" i="1"/>
  <c r="R6890" i="1"/>
  <c r="E6890" i="1"/>
  <c r="G6890" i="1"/>
  <c r="H6890" i="1"/>
  <c r="J6890" i="1"/>
  <c r="K6890" i="1"/>
  <c r="L6890" i="1"/>
  <c r="A6891" i="1"/>
  <c r="B6891" i="1"/>
  <c r="C6891" i="1"/>
  <c r="D6891" i="1"/>
  <c r="Q6891" i="1"/>
  <c r="R6891" i="1"/>
  <c r="E6891" i="1"/>
  <c r="G6891" i="1"/>
  <c r="H6891" i="1"/>
  <c r="J6891" i="1"/>
  <c r="K6891" i="1"/>
  <c r="L6891" i="1"/>
  <c r="A6892" i="1"/>
  <c r="B6892" i="1"/>
  <c r="C6892" i="1"/>
  <c r="D6892" i="1"/>
  <c r="Q6892" i="1"/>
  <c r="R6892" i="1"/>
  <c r="E6892" i="1"/>
  <c r="G6892" i="1"/>
  <c r="H6892" i="1"/>
  <c r="J6892" i="1"/>
  <c r="K6892" i="1"/>
  <c r="L6892" i="1"/>
  <c r="A6893" i="1"/>
  <c r="B6893" i="1"/>
  <c r="C6893" i="1"/>
  <c r="D6893" i="1"/>
  <c r="Q6893" i="1"/>
  <c r="R6893" i="1"/>
  <c r="E6893" i="1"/>
  <c r="G6893" i="1"/>
  <c r="H6893" i="1"/>
  <c r="J6893" i="1"/>
  <c r="K6893" i="1"/>
  <c r="L6893" i="1"/>
  <c r="A6894" i="1"/>
  <c r="B6894" i="1"/>
  <c r="C6894" i="1"/>
  <c r="D6894" i="1"/>
  <c r="Q6894" i="1"/>
  <c r="R6894" i="1"/>
  <c r="E6894" i="1"/>
  <c r="G6894" i="1"/>
  <c r="H6894" i="1"/>
  <c r="J6894" i="1"/>
  <c r="K6894" i="1"/>
  <c r="L6894" i="1"/>
  <c r="A6895" i="1"/>
  <c r="B6895" i="1"/>
  <c r="C6895" i="1"/>
  <c r="D6895" i="1"/>
  <c r="Q6895" i="1"/>
  <c r="R6895" i="1"/>
  <c r="E6895" i="1"/>
  <c r="G6895" i="1"/>
  <c r="H6895" i="1"/>
  <c r="J6895" i="1"/>
  <c r="K6895" i="1"/>
  <c r="L6895" i="1"/>
  <c r="A6896" i="1"/>
  <c r="B6896" i="1"/>
  <c r="C6896" i="1"/>
  <c r="D6896" i="1"/>
  <c r="Q6896" i="1"/>
  <c r="R6896" i="1"/>
  <c r="E6896" i="1"/>
  <c r="G6896" i="1"/>
  <c r="H6896" i="1"/>
  <c r="J6896" i="1"/>
  <c r="K6896" i="1"/>
  <c r="L6896" i="1"/>
  <c r="A6897" i="1"/>
  <c r="B6897" i="1"/>
  <c r="C6897" i="1"/>
  <c r="D6897" i="1"/>
  <c r="Q6897" i="1"/>
  <c r="R6897" i="1"/>
  <c r="E6897" i="1"/>
  <c r="G6897" i="1"/>
  <c r="H6897" i="1"/>
  <c r="J6897" i="1"/>
  <c r="K6897" i="1"/>
  <c r="L6897" i="1"/>
  <c r="A6898" i="1"/>
  <c r="B6898" i="1"/>
  <c r="C6898" i="1"/>
  <c r="D6898" i="1"/>
  <c r="Q6898" i="1"/>
  <c r="R6898" i="1"/>
  <c r="E6898" i="1"/>
  <c r="G6898" i="1"/>
  <c r="H6898" i="1"/>
  <c r="J6898" i="1"/>
  <c r="K6898" i="1"/>
  <c r="L6898" i="1"/>
  <c r="A6899" i="1"/>
  <c r="B6899" i="1"/>
  <c r="C6899" i="1"/>
  <c r="D6899" i="1"/>
  <c r="Q6899" i="1"/>
  <c r="R6899" i="1"/>
  <c r="E6899" i="1"/>
  <c r="G6899" i="1"/>
  <c r="H6899" i="1"/>
  <c r="J6899" i="1"/>
  <c r="K6899" i="1"/>
  <c r="L6899" i="1"/>
  <c r="A6900" i="1"/>
  <c r="B6900" i="1"/>
  <c r="C6900" i="1"/>
  <c r="D6900" i="1"/>
  <c r="Q6900" i="1"/>
  <c r="R6900" i="1"/>
  <c r="E6900" i="1"/>
  <c r="G6900" i="1"/>
  <c r="H6900" i="1"/>
  <c r="J6900" i="1"/>
  <c r="K6900" i="1"/>
  <c r="L6900" i="1"/>
  <c r="A6901" i="1"/>
  <c r="B6901" i="1"/>
  <c r="C6901" i="1"/>
  <c r="D6901" i="1"/>
  <c r="Q6901" i="1"/>
  <c r="R6901" i="1"/>
  <c r="E6901" i="1"/>
  <c r="G6901" i="1"/>
  <c r="H6901" i="1"/>
  <c r="J6901" i="1"/>
  <c r="K6901" i="1"/>
  <c r="L6901" i="1"/>
  <c r="A6902" i="1"/>
  <c r="B6902" i="1"/>
  <c r="C6902" i="1"/>
  <c r="D6902" i="1"/>
  <c r="Q6902" i="1"/>
  <c r="R6902" i="1"/>
  <c r="E6902" i="1"/>
  <c r="G6902" i="1"/>
  <c r="H6902" i="1"/>
  <c r="J6902" i="1"/>
  <c r="K6902" i="1"/>
  <c r="L6902" i="1"/>
  <c r="A6903" i="1"/>
  <c r="B6903" i="1"/>
  <c r="C6903" i="1"/>
  <c r="D6903" i="1"/>
  <c r="Q6903" i="1"/>
  <c r="R6903" i="1"/>
  <c r="E6903" i="1"/>
  <c r="G6903" i="1"/>
  <c r="H6903" i="1"/>
  <c r="J6903" i="1"/>
  <c r="K6903" i="1"/>
  <c r="L6903" i="1"/>
  <c r="A6904" i="1"/>
  <c r="B6904" i="1"/>
  <c r="C6904" i="1"/>
  <c r="D6904" i="1"/>
  <c r="Q6904" i="1"/>
  <c r="R6904" i="1"/>
  <c r="E6904" i="1"/>
  <c r="G6904" i="1"/>
  <c r="H6904" i="1"/>
  <c r="J6904" i="1"/>
  <c r="K6904" i="1"/>
  <c r="L6904" i="1"/>
  <c r="A6905" i="1"/>
  <c r="B6905" i="1"/>
  <c r="C6905" i="1"/>
  <c r="D6905" i="1"/>
  <c r="Q6905" i="1"/>
  <c r="R6905" i="1"/>
  <c r="E6905" i="1"/>
  <c r="G6905" i="1"/>
  <c r="H6905" i="1"/>
  <c r="J6905" i="1"/>
  <c r="K6905" i="1"/>
  <c r="L6905" i="1"/>
  <c r="A6906" i="1"/>
  <c r="B6906" i="1"/>
  <c r="C6906" i="1"/>
  <c r="D6906" i="1"/>
  <c r="Q6906" i="1"/>
  <c r="R6906" i="1"/>
  <c r="E6906" i="1"/>
  <c r="G6906" i="1"/>
  <c r="H6906" i="1"/>
  <c r="J6906" i="1"/>
  <c r="K6906" i="1"/>
  <c r="L6906" i="1"/>
  <c r="A6907" i="1"/>
  <c r="B6907" i="1"/>
  <c r="C6907" i="1"/>
  <c r="D6907" i="1"/>
  <c r="Q6907" i="1"/>
  <c r="R6907" i="1"/>
  <c r="E6907" i="1"/>
  <c r="G6907" i="1"/>
  <c r="H6907" i="1"/>
  <c r="J6907" i="1"/>
  <c r="K6907" i="1"/>
  <c r="L6907" i="1"/>
  <c r="A6908" i="1"/>
  <c r="B6908" i="1"/>
  <c r="C6908" i="1"/>
  <c r="D6908" i="1"/>
  <c r="Q6908" i="1"/>
  <c r="R6908" i="1"/>
  <c r="E6908" i="1"/>
  <c r="G6908" i="1"/>
  <c r="H6908" i="1"/>
  <c r="J6908" i="1"/>
  <c r="K6908" i="1"/>
  <c r="L6908" i="1"/>
  <c r="A6909" i="1"/>
  <c r="B6909" i="1"/>
  <c r="C6909" i="1"/>
  <c r="D6909" i="1"/>
  <c r="Q6909" i="1"/>
  <c r="R6909" i="1"/>
  <c r="E6909" i="1"/>
  <c r="G6909" i="1"/>
  <c r="H6909" i="1"/>
  <c r="J6909" i="1"/>
  <c r="K6909" i="1"/>
  <c r="L6909" i="1"/>
  <c r="A6910" i="1"/>
  <c r="B6910" i="1"/>
  <c r="C6910" i="1"/>
  <c r="D6910" i="1"/>
  <c r="Q6910" i="1"/>
  <c r="R6910" i="1"/>
  <c r="E6910" i="1"/>
  <c r="G6910" i="1"/>
  <c r="H6910" i="1"/>
  <c r="J6910" i="1"/>
  <c r="K6910" i="1"/>
  <c r="L6910" i="1"/>
  <c r="A6911" i="1"/>
  <c r="B6911" i="1"/>
  <c r="C6911" i="1"/>
  <c r="D6911" i="1"/>
  <c r="Q6911" i="1"/>
  <c r="R6911" i="1"/>
  <c r="E6911" i="1"/>
  <c r="G6911" i="1"/>
  <c r="H6911" i="1"/>
  <c r="J6911" i="1"/>
  <c r="K6911" i="1"/>
  <c r="L6911" i="1"/>
  <c r="A6912" i="1"/>
  <c r="B6912" i="1"/>
  <c r="C6912" i="1"/>
  <c r="D6912" i="1"/>
  <c r="Q6912" i="1"/>
  <c r="R6912" i="1"/>
  <c r="E6912" i="1"/>
  <c r="G6912" i="1"/>
  <c r="H6912" i="1"/>
  <c r="J6912" i="1"/>
  <c r="K6912" i="1"/>
  <c r="L6912" i="1"/>
  <c r="A6913" i="1"/>
  <c r="B6913" i="1"/>
  <c r="C6913" i="1"/>
  <c r="D6913" i="1"/>
  <c r="Q6913" i="1"/>
  <c r="R6913" i="1"/>
  <c r="E6913" i="1"/>
  <c r="G6913" i="1"/>
  <c r="H6913" i="1"/>
  <c r="J6913" i="1"/>
  <c r="K6913" i="1"/>
  <c r="L6913" i="1"/>
  <c r="A6914" i="1"/>
  <c r="B6914" i="1"/>
  <c r="C6914" i="1"/>
  <c r="D6914" i="1"/>
  <c r="Q6914" i="1"/>
  <c r="R6914" i="1"/>
  <c r="E6914" i="1"/>
  <c r="G6914" i="1"/>
  <c r="H6914" i="1"/>
  <c r="J6914" i="1"/>
  <c r="K6914" i="1"/>
  <c r="L6914" i="1"/>
  <c r="A6915" i="1"/>
  <c r="B6915" i="1"/>
  <c r="C6915" i="1"/>
  <c r="D6915" i="1"/>
  <c r="Q6915" i="1"/>
  <c r="R6915" i="1"/>
  <c r="E6915" i="1"/>
  <c r="G6915" i="1"/>
  <c r="H6915" i="1"/>
  <c r="J6915" i="1"/>
  <c r="K6915" i="1"/>
  <c r="L6915" i="1"/>
  <c r="A6916" i="1"/>
  <c r="B6916" i="1"/>
  <c r="C6916" i="1"/>
  <c r="D6916" i="1"/>
  <c r="Q6916" i="1"/>
  <c r="R6916" i="1"/>
  <c r="E6916" i="1"/>
  <c r="G6916" i="1"/>
  <c r="H6916" i="1"/>
  <c r="J6916" i="1"/>
  <c r="K6916" i="1"/>
  <c r="L6916" i="1"/>
  <c r="A6917" i="1"/>
  <c r="B6917" i="1"/>
  <c r="C6917" i="1"/>
  <c r="D6917" i="1"/>
  <c r="Q6917" i="1"/>
  <c r="R6917" i="1"/>
  <c r="E6917" i="1"/>
  <c r="G6917" i="1"/>
  <c r="H6917" i="1"/>
  <c r="J6917" i="1"/>
  <c r="K6917" i="1"/>
  <c r="L6917" i="1"/>
  <c r="A6918" i="1"/>
  <c r="B6918" i="1"/>
  <c r="C6918" i="1"/>
  <c r="D6918" i="1"/>
  <c r="Q6918" i="1"/>
  <c r="R6918" i="1"/>
  <c r="E6918" i="1"/>
  <c r="G6918" i="1"/>
  <c r="H6918" i="1"/>
  <c r="J6918" i="1"/>
  <c r="K6918" i="1"/>
  <c r="L6918" i="1"/>
  <c r="A6919" i="1"/>
  <c r="B6919" i="1"/>
  <c r="C6919" i="1"/>
  <c r="D6919" i="1"/>
  <c r="Q6919" i="1"/>
  <c r="R6919" i="1"/>
  <c r="E6919" i="1"/>
  <c r="G6919" i="1"/>
  <c r="H6919" i="1"/>
  <c r="J6919" i="1"/>
  <c r="K6919" i="1"/>
  <c r="L6919" i="1"/>
  <c r="A6920" i="1"/>
  <c r="B6920" i="1"/>
  <c r="C6920" i="1"/>
  <c r="D6920" i="1"/>
  <c r="Q6920" i="1"/>
  <c r="R6920" i="1"/>
  <c r="E6920" i="1"/>
  <c r="G6920" i="1"/>
  <c r="H6920" i="1"/>
  <c r="J6920" i="1"/>
  <c r="K6920" i="1"/>
  <c r="L6920" i="1"/>
  <c r="A6921" i="1"/>
  <c r="B6921" i="1"/>
  <c r="C6921" i="1"/>
  <c r="D6921" i="1"/>
  <c r="Q6921" i="1"/>
  <c r="R6921" i="1"/>
  <c r="E6921" i="1"/>
  <c r="G6921" i="1"/>
  <c r="H6921" i="1"/>
  <c r="J6921" i="1"/>
  <c r="K6921" i="1"/>
  <c r="L6921" i="1"/>
  <c r="A6922" i="1"/>
  <c r="B6922" i="1"/>
  <c r="C6922" i="1"/>
  <c r="D6922" i="1"/>
  <c r="Q6922" i="1"/>
  <c r="R6922" i="1"/>
  <c r="E6922" i="1"/>
  <c r="G6922" i="1"/>
  <c r="H6922" i="1"/>
  <c r="J6922" i="1"/>
  <c r="K6922" i="1"/>
  <c r="L6922" i="1"/>
  <c r="A6923" i="1"/>
  <c r="B6923" i="1"/>
  <c r="C6923" i="1"/>
  <c r="D6923" i="1"/>
  <c r="Q6923" i="1"/>
  <c r="R6923" i="1"/>
  <c r="E6923" i="1"/>
  <c r="G6923" i="1"/>
  <c r="H6923" i="1"/>
  <c r="J6923" i="1"/>
  <c r="K6923" i="1"/>
  <c r="L6923" i="1"/>
  <c r="A6924" i="1"/>
  <c r="B6924" i="1"/>
  <c r="C6924" i="1"/>
  <c r="D6924" i="1"/>
  <c r="Q6924" i="1"/>
  <c r="R6924" i="1"/>
  <c r="E6924" i="1"/>
  <c r="G6924" i="1"/>
  <c r="H6924" i="1"/>
  <c r="J6924" i="1"/>
  <c r="K6924" i="1"/>
  <c r="L6924" i="1"/>
  <c r="A6925" i="1"/>
  <c r="B6925" i="1"/>
  <c r="C6925" i="1"/>
  <c r="D6925" i="1"/>
  <c r="Q6925" i="1"/>
  <c r="R6925" i="1"/>
  <c r="E6925" i="1"/>
  <c r="G6925" i="1"/>
  <c r="H6925" i="1"/>
  <c r="J6925" i="1"/>
  <c r="K6925" i="1"/>
  <c r="L6925" i="1"/>
  <c r="A6926" i="1"/>
  <c r="B6926" i="1"/>
  <c r="C6926" i="1"/>
  <c r="D6926" i="1"/>
  <c r="Q6926" i="1"/>
  <c r="R6926" i="1"/>
  <c r="E6926" i="1"/>
  <c r="G6926" i="1"/>
  <c r="H6926" i="1"/>
  <c r="J6926" i="1"/>
  <c r="K6926" i="1"/>
  <c r="L6926" i="1"/>
  <c r="A6927" i="1"/>
  <c r="B6927" i="1"/>
  <c r="C6927" i="1"/>
  <c r="D6927" i="1"/>
  <c r="Q6927" i="1"/>
  <c r="R6927" i="1"/>
  <c r="E6927" i="1"/>
  <c r="G6927" i="1"/>
  <c r="H6927" i="1"/>
  <c r="J6927" i="1"/>
  <c r="K6927" i="1"/>
  <c r="L6927" i="1"/>
  <c r="A6928" i="1"/>
  <c r="B6928" i="1"/>
  <c r="C6928" i="1"/>
  <c r="D6928" i="1"/>
  <c r="Q6928" i="1"/>
  <c r="R6928" i="1"/>
  <c r="E6928" i="1"/>
  <c r="G6928" i="1"/>
  <c r="H6928" i="1"/>
  <c r="J6928" i="1"/>
  <c r="K6928" i="1"/>
  <c r="L6928" i="1"/>
  <c r="A6929" i="1"/>
  <c r="B6929" i="1"/>
  <c r="C6929" i="1"/>
  <c r="D6929" i="1"/>
  <c r="Q6929" i="1"/>
  <c r="R6929" i="1"/>
  <c r="E6929" i="1"/>
  <c r="G6929" i="1"/>
  <c r="H6929" i="1"/>
  <c r="J6929" i="1"/>
  <c r="K6929" i="1"/>
  <c r="L6929" i="1"/>
  <c r="A6930" i="1"/>
  <c r="B6930" i="1"/>
  <c r="C6930" i="1"/>
  <c r="D6930" i="1"/>
  <c r="Q6930" i="1"/>
  <c r="R6930" i="1"/>
  <c r="E6930" i="1"/>
  <c r="G6930" i="1"/>
  <c r="H6930" i="1"/>
  <c r="J6930" i="1"/>
  <c r="K6930" i="1"/>
  <c r="L6930" i="1"/>
  <c r="A6931" i="1"/>
  <c r="B6931" i="1"/>
  <c r="C6931" i="1"/>
  <c r="D6931" i="1"/>
  <c r="Q6931" i="1"/>
  <c r="R6931" i="1"/>
  <c r="E6931" i="1"/>
  <c r="G6931" i="1"/>
  <c r="H6931" i="1"/>
  <c r="J6931" i="1"/>
  <c r="K6931" i="1"/>
  <c r="L6931" i="1"/>
  <c r="A6932" i="1"/>
  <c r="B6932" i="1"/>
  <c r="C6932" i="1"/>
  <c r="D6932" i="1"/>
  <c r="Q6932" i="1"/>
  <c r="R6932" i="1"/>
  <c r="E6932" i="1"/>
  <c r="G6932" i="1"/>
  <c r="H6932" i="1"/>
  <c r="J6932" i="1"/>
  <c r="K6932" i="1"/>
  <c r="L6932" i="1"/>
  <c r="A6933" i="1"/>
  <c r="B6933" i="1"/>
  <c r="C6933" i="1"/>
  <c r="D6933" i="1"/>
  <c r="Q6933" i="1"/>
  <c r="R6933" i="1"/>
  <c r="E6933" i="1"/>
  <c r="G6933" i="1"/>
  <c r="H6933" i="1"/>
  <c r="J6933" i="1"/>
  <c r="K6933" i="1"/>
  <c r="L6933" i="1"/>
  <c r="A6934" i="1"/>
  <c r="B6934" i="1"/>
  <c r="C6934" i="1"/>
  <c r="D6934" i="1"/>
  <c r="Q6934" i="1"/>
  <c r="R6934" i="1"/>
  <c r="E6934" i="1"/>
  <c r="G6934" i="1"/>
  <c r="H6934" i="1"/>
  <c r="J6934" i="1"/>
  <c r="K6934" i="1"/>
  <c r="L6934" i="1"/>
  <c r="A6935" i="1"/>
  <c r="B6935" i="1"/>
  <c r="C6935" i="1"/>
  <c r="D6935" i="1"/>
  <c r="Q6935" i="1"/>
  <c r="R6935" i="1"/>
  <c r="E6935" i="1"/>
  <c r="G6935" i="1"/>
  <c r="H6935" i="1"/>
  <c r="J6935" i="1"/>
  <c r="K6935" i="1"/>
  <c r="L6935" i="1"/>
  <c r="A6936" i="1"/>
  <c r="B6936" i="1"/>
  <c r="C6936" i="1"/>
  <c r="D6936" i="1"/>
  <c r="Q6936" i="1"/>
  <c r="R6936" i="1"/>
  <c r="E6936" i="1"/>
  <c r="G6936" i="1"/>
  <c r="H6936" i="1"/>
  <c r="J6936" i="1"/>
  <c r="K6936" i="1"/>
  <c r="L6936" i="1"/>
  <c r="A6937" i="1"/>
  <c r="B6937" i="1"/>
  <c r="C6937" i="1"/>
  <c r="D6937" i="1"/>
  <c r="Q6937" i="1"/>
  <c r="R6937" i="1"/>
  <c r="E6937" i="1"/>
  <c r="G6937" i="1"/>
  <c r="H6937" i="1"/>
  <c r="J6937" i="1"/>
  <c r="K6937" i="1"/>
  <c r="L6937" i="1"/>
  <c r="A6938" i="1"/>
  <c r="B6938" i="1"/>
  <c r="C6938" i="1"/>
  <c r="D6938" i="1"/>
  <c r="Q6938" i="1"/>
  <c r="R6938" i="1"/>
  <c r="E6938" i="1"/>
  <c r="G6938" i="1"/>
  <c r="H6938" i="1"/>
  <c r="J6938" i="1"/>
  <c r="K6938" i="1"/>
  <c r="L6938" i="1"/>
  <c r="A6939" i="1"/>
  <c r="B6939" i="1"/>
  <c r="C6939" i="1"/>
  <c r="D6939" i="1"/>
  <c r="Q6939" i="1"/>
  <c r="R6939" i="1"/>
  <c r="E6939" i="1"/>
  <c r="G6939" i="1"/>
  <c r="H6939" i="1"/>
  <c r="J6939" i="1"/>
  <c r="K6939" i="1"/>
  <c r="L6939" i="1"/>
  <c r="A6940" i="1"/>
  <c r="B6940" i="1"/>
  <c r="C6940" i="1"/>
  <c r="D6940" i="1"/>
  <c r="Q6940" i="1"/>
  <c r="R6940" i="1"/>
  <c r="E6940" i="1"/>
  <c r="G6940" i="1"/>
  <c r="H6940" i="1"/>
  <c r="J6940" i="1"/>
  <c r="K6940" i="1"/>
  <c r="L6940" i="1"/>
  <c r="A6941" i="1"/>
  <c r="B6941" i="1"/>
  <c r="C6941" i="1"/>
  <c r="D6941" i="1"/>
  <c r="Q6941" i="1"/>
  <c r="R6941" i="1"/>
  <c r="E6941" i="1"/>
  <c r="G6941" i="1"/>
  <c r="H6941" i="1"/>
  <c r="J6941" i="1"/>
  <c r="K6941" i="1"/>
  <c r="L6941" i="1"/>
  <c r="A6942" i="1"/>
  <c r="B6942" i="1"/>
  <c r="C6942" i="1"/>
  <c r="D6942" i="1"/>
  <c r="Q6942" i="1"/>
  <c r="R6942" i="1"/>
  <c r="E6942" i="1"/>
  <c r="G6942" i="1"/>
  <c r="H6942" i="1"/>
  <c r="J6942" i="1"/>
  <c r="K6942" i="1"/>
  <c r="L6942" i="1"/>
  <c r="A6943" i="1"/>
  <c r="B6943" i="1"/>
  <c r="C6943" i="1"/>
  <c r="D6943" i="1"/>
  <c r="Q6943" i="1"/>
  <c r="R6943" i="1"/>
  <c r="E6943" i="1"/>
  <c r="G6943" i="1"/>
  <c r="H6943" i="1"/>
  <c r="J6943" i="1"/>
  <c r="K6943" i="1"/>
  <c r="L6943" i="1"/>
  <c r="A6944" i="1"/>
  <c r="B6944" i="1"/>
  <c r="C6944" i="1"/>
  <c r="D6944" i="1"/>
  <c r="Q6944" i="1"/>
  <c r="R6944" i="1"/>
  <c r="E6944" i="1"/>
  <c r="G6944" i="1"/>
  <c r="H6944" i="1"/>
  <c r="J6944" i="1"/>
  <c r="K6944" i="1"/>
  <c r="L6944" i="1"/>
  <c r="A6945" i="1"/>
  <c r="B6945" i="1"/>
  <c r="C6945" i="1"/>
  <c r="D6945" i="1"/>
  <c r="Q6945" i="1"/>
  <c r="R6945" i="1"/>
  <c r="E6945" i="1"/>
  <c r="G6945" i="1"/>
  <c r="H6945" i="1"/>
  <c r="J6945" i="1"/>
  <c r="K6945" i="1"/>
  <c r="L6945" i="1"/>
  <c r="A6946" i="1"/>
  <c r="B6946" i="1"/>
  <c r="C6946" i="1"/>
  <c r="D6946" i="1"/>
  <c r="Q6946" i="1"/>
  <c r="R6946" i="1"/>
  <c r="E6946" i="1"/>
  <c r="G6946" i="1"/>
  <c r="H6946" i="1"/>
  <c r="J6946" i="1"/>
  <c r="K6946" i="1"/>
  <c r="L6946" i="1"/>
  <c r="A6947" i="1"/>
  <c r="B6947" i="1"/>
  <c r="C6947" i="1"/>
  <c r="D6947" i="1"/>
  <c r="Q6947" i="1"/>
  <c r="R6947" i="1"/>
  <c r="E6947" i="1"/>
  <c r="G6947" i="1"/>
  <c r="H6947" i="1"/>
  <c r="J6947" i="1"/>
  <c r="K6947" i="1"/>
  <c r="L6947" i="1"/>
  <c r="A6948" i="1"/>
  <c r="B6948" i="1"/>
  <c r="C6948" i="1"/>
  <c r="D6948" i="1"/>
  <c r="Q6948" i="1"/>
  <c r="R6948" i="1"/>
  <c r="E6948" i="1"/>
  <c r="G6948" i="1"/>
  <c r="H6948" i="1"/>
  <c r="J6948" i="1"/>
  <c r="K6948" i="1"/>
  <c r="L6948" i="1"/>
  <c r="A6949" i="1"/>
  <c r="B6949" i="1"/>
  <c r="C6949" i="1"/>
  <c r="D6949" i="1"/>
  <c r="Q6949" i="1"/>
  <c r="R6949" i="1"/>
  <c r="E6949" i="1"/>
  <c r="G6949" i="1"/>
  <c r="H6949" i="1"/>
  <c r="J6949" i="1"/>
  <c r="K6949" i="1"/>
  <c r="L6949" i="1"/>
  <c r="A6950" i="1"/>
  <c r="B6950" i="1"/>
  <c r="C6950" i="1"/>
  <c r="D6950" i="1"/>
  <c r="Q6950" i="1"/>
  <c r="R6950" i="1"/>
  <c r="E6950" i="1"/>
  <c r="G6950" i="1"/>
  <c r="H6950" i="1"/>
  <c r="J6950" i="1"/>
  <c r="K6950" i="1"/>
  <c r="L6950" i="1"/>
  <c r="A6951" i="1"/>
  <c r="B6951" i="1"/>
  <c r="C6951" i="1"/>
  <c r="D6951" i="1"/>
  <c r="Q6951" i="1"/>
  <c r="R6951" i="1"/>
  <c r="E6951" i="1"/>
  <c r="G6951" i="1"/>
  <c r="H6951" i="1"/>
  <c r="J6951" i="1"/>
  <c r="K6951" i="1"/>
  <c r="L6951" i="1"/>
  <c r="A6952" i="1"/>
  <c r="B6952" i="1"/>
  <c r="C6952" i="1"/>
  <c r="D6952" i="1"/>
  <c r="Q6952" i="1"/>
  <c r="R6952" i="1"/>
  <c r="E6952" i="1"/>
  <c r="G6952" i="1"/>
  <c r="H6952" i="1"/>
  <c r="J6952" i="1"/>
  <c r="K6952" i="1"/>
  <c r="L6952" i="1"/>
  <c r="A6953" i="1"/>
  <c r="B6953" i="1"/>
  <c r="C6953" i="1"/>
  <c r="D6953" i="1"/>
  <c r="Q6953" i="1"/>
  <c r="R6953" i="1"/>
  <c r="E6953" i="1"/>
  <c r="G6953" i="1"/>
  <c r="H6953" i="1"/>
  <c r="J6953" i="1"/>
  <c r="K6953" i="1"/>
  <c r="L6953" i="1"/>
  <c r="A6954" i="1"/>
  <c r="B6954" i="1"/>
  <c r="C6954" i="1"/>
  <c r="D6954" i="1"/>
  <c r="Q6954" i="1"/>
  <c r="R6954" i="1"/>
  <c r="E6954" i="1"/>
  <c r="G6954" i="1"/>
  <c r="H6954" i="1"/>
  <c r="J6954" i="1"/>
  <c r="K6954" i="1"/>
  <c r="L6954" i="1"/>
  <c r="A6955" i="1"/>
  <c r="B6955" i="1"/>
  <c r="C6955" i="1"/>
  <c r="D6955" i="1"/>
  <c r="Q6955" i="1"/>
  <c r="R6955" i="1"/>
  <c r="E6955" i="1"/>
  <c r="G6955" i="1"/>
  <c r="H6955" i="1"/>
  <c r="J6955" i="1"/>
  <c r="K6955" i="1"/>
  <c r="L6955" i="1"/>
  <c r="A6956" i="1"/>
  <c r="B6956" i="1"/>
  <c r="C6956" i="1"/>
  <c r="D6956" i="1"/>
  <c r="Q6956" i="1"/>
  <c r="R6956" i="1"/>
  <c r="E6956" i="1"/>
  <c r="G6956" i="1"/>
  <c r="H6956" i="1"/>
  <c r="J6956" i="1"/>
  <c r="K6956" i="1"/>
  <c r="L6956" i="1"/>
  <c r="A6957" i="1"/>
  <c r="B6957" i="1"/>
  <c r="C6957" i="1"/>
  <c r="D6957" i="1"/>
  <c r="Q6957" i="1"/>
  <c r="R6957" i="1"/>
  <c r="E6957" i="1"/>
  <c r="G6957" i="1"/>
  <c r="H6957" i="1"/>
  <c r="J6957" i="1"/>
  <c r="K6957" i="1"/>
  <c r="L6957" i="1"/>
  <c r="A6958" i="1"/>
  <c r="B6958" i="1"/>
  <c r="C6958" i="1"/>
  <c r="D6958" i="1"/>
  <c r="Q6958" i="1"/>
  <c r="R6958" i="1"/>
  <c r="E6958" i="1"/>
  <c r="G6958" i="1"/>
  <c r="H6958" i="1"/>
  <c r="J6958" i="1"/>
  <c r="K6958" i="1"/>
  <c r="L6958" i="1"/>
  <c r="A6959" i="1"/>
  <c r="B6959" i="1"/>
  <c r="C6959" i="1"/>
  <c r="D6959" i="1"/>
  <c r="Q6959" i="1"/>
  <c r="R6959" i="1"/>
  <c r="E6959" i="1"/>
  <c r="G6959" i="1"/>
  <c r="H6959" i="1"/>
  <c r="J6959" i="1"/>
  <c r="K6959" i="1"/>
  <c r="L6959" i="1"/>
  <c r="A6960" i="1"/>
  <c r="B6960" i="1"/>
  <c r="C6960" i="1"/>
  <c r="D6960" i="1"/>
  <c r="Q6960" i="1"/>
  <c r="R6960" i="1"/>
  <c r="E6960" i="1"/>
  <c r="G6960" i="1"/>
  <c r="H6960" i="1"/>
  <c r="J6960" i="1"/>
  <c r="K6960" i="1"/>
  <c r="L6960" i="1"/>
  <c r="A6961" i="1"/>
  <c r="B6961" i="1"/>
  <c r="C6961" i="1"/>
  <c r="D6961" i="1"/>
  <c r="Q6961" i="1"/>
  <c r="R6961" i="1"/>
  <c r="E6961" i="1"/>
  <c r="G6961" i="1"/>
  <c r="H6961" i="1"/>
  <c r="J6961" i="1"/>
  <c r="K6961" i="1"/>
  <c r="L6961" i="1"/>
  <c r="A6962" i="1"/>
  <c r="B6962" i="1"/>
  <c r="C6962" i="1"/>
  <c r="D6962" i="1"/>
  <c r="Q6962" i="1"/>
  <c r="R6962" i="1"/>
  <c r="E6962" i="1"/>
  <c r="G6962" i="1"/>
  <c r="H6962" i="1"/>
  <c r="J6962" i="1"/>
  <c r="K6962" i="1"/>
  <c r="L6962" i="1"/>
  <c r="A6963" i="1"/>
  <c r="B6963" i="1"/>
  <c r="C6963" i="1"/>
  <c r="D6963" i="1"/>
  <c r="Q6963" i="1"/>
  <c r="R6963" i="1"/>
  <c r="E6963" i="1"/>
  <c r="G6963" i="1"/>
  <c r="H6963" i="1"/>
  <c r="J6963" i="1"/>
  <c r="K6963" i="1"/>
  <c r="L6963" i="1"/>
  <c r="A6964" i="1"/>
  <c r="B6964" i="1"/>
  <c r="C6964" i="1"/>
  <c r="D6964" i="1"/>
  <c r="Q6964" i="1"/>
  <c r="R6964" i="1"/>
  <c r="E6964" i="1"/>
  <c r="G6964" i="1"/>
  <c r="H6964" i="1"/>
  <c r="J6964" i="1"/>
  <c r="K6964" i="1"/>
  <c r="L6964" i="1"/>
  <c r="A6965" i="1"/>
  <c r="B6965" i="1"/>
  <c r="C6965" i="1"/>
  <c r="D6965" i="1"/>
  <c r="Q6965" i="1"/>
  <c r="R6965" i="1"/>
  <c r="E6965" i="1"/>
  <c r="G6965" i="1"/>
  <c r="H6965" i="1"/>
  <c r="J6965" i="1"/>
  <c r="K6965" i="1"/>
  <c r="L6965" i="1"/>
  <c r="A6966" i="1"/>
  <c r="B6966" i="1"/>
  <c r="C6966" i="1"/>
  <c r="D6966" i="1"/>
  <c r="Q6966" i="1"/>
  <c r="R6966" i="1"/>
  <c r="E6966" i="1"/>
  <c r="G6966" i="1"/>
  <c r="H6966" i="1"/>
  <c r="J6966" i="1"/>
  <c r="K6966" i="1"/>
  <c r="L6966" i="1"/>
  <c r="A6967" i="1"/>
  <c r="B6967" i="1"/>
  <c r="C6967" i="1"/>
  <c r="D6967" i="1"/>
  <c r="Q6967" i="1"/>
  <c r="R6967" i="1"/>
  <c r="E6967" i="1"/>
  <c r="G6967" i="1"/>
  <c r="H6967" i="1"/>
  <c r="J6967" i="1"/>
  <c r="K6967" i="1"/>
  <c r="L6967" i="1"/>
  <c r="A6968" i="1"/>
  <c r="B6968" i="1"/>
  <c r="C6968" i="1"/>
  <c r="D6968" i="1"/>
  <c r="Q6968" i="1"/>
  <c r="R6968" i="1"/>
  <c r="E6968" i="1"/>
  <c r="G6968" i="1"/>
  <c r="H6968" i="1"/>
  <c r="J6968" i="1"/>
  <c r="K6968" i="1"/>
  <c r="L6968" i="1"/>
  <c r="A6969" i="1"/>
  <c r="B6969" i="1"/>
  <c r="C6969" i="1"/>
  <c r="D6969" i="1"/>
  <c r="Q6969" i="1"/>
  <c r="R6969" i="1"/>
  <c r="E6969" i="1"/>
  <c r="G6969" i="1"/>
  <c r="H6969" i="1"/>
  <c r="J6969" i="1"/>
  <c r="K6969" i="1"/>
  <c r="L6969" i="1"/>
  <c r="A6970" i="1"/>
  <c r="B6970" i="1"/>
  <c r="C6970" i="1"/>
  <c r="D6970" i="1"/>
  <c r="Q6970" i="1"/>
  <c r="R6970" i="1"/>
  <c r="E6970" i="1"/>
  <c r="G6970" i="1"/>
  <c r="H6970" i="1"/>
  <c r="J6970" i="1"/>
  <c r="K6970" i="1"/>
  <c r="L6970" i="1"/>
  <c r="A6971" i="1"/>
  <c r="B6971" i="1"/>
  <c r="C6971" i="1"/>
  <c r="D6971" i="1"/>
  <c r="Q6971" i="1"/>
  <c r="R6971" i="1"/>
  <c r="E6971" i="1"/>
  <c r="G6971" i="1"/>
  <c r="H6971" i="1"/>
  <c r="J6971" i="1"/>
  <c r="K6971" i="1"/>
  <c r="L6971" i="1"/>
  <c r="A6972" i="1"/>
  <c r="B6972" i="1"/>
  <c r="C6972" i="1"/>
  <c r="D6972" i="1"/>
  <c r="Q6972" i="1"/>
  <c r="R6972" i="1"/>
  <c r="E6972" i="1"/>
  <c r="G6972" i="1"/>
  <c r="H6972" i="1"/>
  <c r="J6972" i="1"/>
  <c r="K6972" i="1"/>
  <c r="L6972" i="1"/>
  <c r="A6973" i="1"/>
  <c r="B6973" i="1"/>
  <c r="C6973" i="1"/>
  <c r="D6973" i="1"/>
  <c r="Q6973" i="1"/>
  <c r="R6973" i="1"/>
  <c r="E6973" i="1"/>
  <c r="G6973" i="1"/>
  <c r="H6973" i="1"/>
  <c r="J6973" i="1"/>
  <c r="K6973" i="1"/>
  <c r="L6973" i="1"/>
  <c r="A6974" i="1"/>
  <c r="B6974" i="1"/>
  <c r="C6974" i="1"/>
  <c r="D6974" i="1"/>
  <c r="Q6974" i="1"/>
  <c r="R6974" i="1"/>
  <c r="E6974" i="1"/>
  <c r="G6974" i="1"/>
  <c r="H6974" i="1"/>
  <c r="J6974" i="1"/>
  <c r="K6974" i="1"/>
  <c r="L6974" i="1"/>
  <c r="A6975" i="1"/>
  <c r="B6975" i="1"/>
  <c r="C6975" i="1"/>
  <c r="D6975" i="1"/>
  <c r="Q6975" i="1"/>
  <c r="R6975" i="1"/>
  <c r="E6975" i="1"/>
  <c r="G6975" i="1"/>
  <c r="H6975" i="1"/>
  <c r="J6975" i="1"/>
  <c r="K6975" i="1"/>
  <c r="L6975" i="1"/>
  <c r="A6976" i="1"/>
  <c r="B6976" i="1"/>
  <c r="C6976" i="1"/>
  <c r="D6976" i="1"/>
  <c r="Q6976" i="1"/>
  <c r="R6976" i="1"/>
  <c r="E6976" i="1"/>
  <c r="G6976" i="1"/>
  <c r="H6976" i="1"/>
  <c r="J6976" i="1"/>
  <c r="K6976" i="1"/>
  <c r="L6976" i="1"/>
  <c r="A6977" i="1"/>
  <c r="B6977" i="1"/>
  <c r="C6977" i="1"/>
  <c r="D6977" i="1"/>
  <c r="Q6977" i="1"/>
  <c r="R6977" i="1"/>
  <c r="E6977" i="1"/>
  <c r="G6977" i="1"/>
  <c r="H6977" i="1"/>
  <c r="J6977" i="1"/>
  <c r="K6977" i="1"/>
  <c r="L6977" i="1"/>
  <c r="A6978" i="1"/>
  <c r="B6978" i="1"/>
  <c r="C6978" i="1"/>
  <c r="D6978" i="1"/>
  <c r="Q6978" i="1"/>
  <c r="R6978" i="1"/>
  <c r="E6978" i="1"/>
  <c r="G6978" i="1"/>
  <c r="H6978" i="1"/>
  <c r="J6978" i="1"/>
  <c r="K6978" i="1"/>
  <c r="L6978" i="1"/>
  <c r="A6979" i="1"/>
  <c r="B6979" i="1"/>
  <c r="C6979" i="1"/>
  <c r="D6979" i="1"/>
  <c r="Q6979" i="1"/>
  <c r="R6979" i="1"/>
  <c r="E6979" i="1"/>
  <c r="G6979" i="1"/>
  <c r="H6979" i="1"/>
  <c r="J6979" i="1"/>
  <c r="K6979" i="1"/>
  <c r="L6979" i="1"/>
  <c r="A6980" i="1"/>
  <c r="B6980" i="1"/>
  <c r="C6980" i="1"/>
  <c r="D6980" i="1"/>
  <c r="Q6980" i="1"/>
  <c r="R6980" i="1"/>
  <c r="E6980" i="1"/>
  <c r="G6980" i="1"/>
  <c r="H6980" i="1"/>
  <c r="J6980" i="1"/>
  <c r="K6980" i="1"/>
  <c r="L6980" i="1"/>
  <c r="A6981" i="1"/>
  <c r="B6981" i="1"/>
  <c r="C6981" i="1"/>
  <c r="D6981" i="1"/>
  <c r="Q6981" i="1"/>
  <c r="R6981" i="1"/>
  <c r="E6981" i="1"/>
  <c r="G6981" i="1"/>
  <c r="H6981" i="1"/>
  <c r="J6981" i="1"/>
  <c r="K6981" i="1"/>
  <c r="L6981" i="1"/>
  <c r="A6982" i="1"/>
  <c r="B6982" i="1"/>
  <c r="C6982" i="1"/>
  <c r="D6982" i="1"/>
  <c r="Q6982" i="1"/>
  <c r="R6982" i="1"/>
  <c r="E6982" i="1"/>
  <c r="G6982" i="1"/>
  <c r="H6982" i="1"/>
  <c r="J6982" i="1"/>
  <c r="K6982" i="1"/>
  <c r="L6982" i="1"/>
  <c r="A6983" i="1"/>
  <c r="B6983" i="1"/>
  <c r="C6983" i="1"/>
  <c r="D6983" i="1"/>
  <c r="Q6983" i="1"/>
  <c r="R6983" i="1"/>
  <c r="E6983" i="1"/>
  <c r="G6983" i="1"/>
  <c r="H6983" i="1"/>
  <c r="J6983" i="1"/>
  <c r="K6983" i="1"/>
  <c r="L6983" i="1"/>
  <c r="A6984" i="1"/>
  <c r="B6984" i="1"/>
  <c r="C6984" i="1"/>
  <c r="D6984" i="1"/>
  <c r="Q6984" i="1"/>
  <c r="R6984" i="1"/>
  <c r="E6984" i="1"/>
  <c r="G6984" i="1"/>
  <c r="H6984" i="1"/>
  <c r="J6984" i="1"/>
  <c r="K6984" i="1"/>
  <c r="L6984" i="1"/>
  <c r="A6985" i="1"/>
  <c r="B6985" i="1"/>
  <c r="C6985" i="1"/>
  <c r="D6985" i="1"/>
  <c r="Q6985" i="1"/>
  <c r="R6985" i="1"/>
  <c r="E6985" i="1"/>
  <c r="G6985" i="1"/>
  <c r="H6985" i="1"/>
  <c r="J6985" i="1"/>
  <c r="K6985" i="1"/>
  <c r="L6985" i="1"/>
  <c r="A6986" i="1"/>
  <c r="B6986" i="1"/>
  <c r="C6986" i="1"/>
  <c r="D6986" i="1"/>
  <c r="Q6986" i="1"/>
  <c r="R6986" i="1"/>
  <c r="E6986" i="1"/>
  <c r="G6986" i="1"/>
  <c r="H6986" i="1"/>
  <c r="J6986" i="1"/>
  <c r="K6986" i="1"/>
  <c r="L6986" i="1"/>
  <c r="A6987" i="1"/>
  <c r="B6987" i="1"/>
  <c r="C6987" i="1"/>
  <c r="D6987" i="1"/>
  <c r="Q6987" i="1"/>
  <c r="R6987" i="1"/>
  <c r="E6987" i="1"/>
  <c r="G6987" i="1"/>
  <c r="H6987" i="1"/>
  <c r="J6987" i="1"/>
  <c r="K6987" i="1"/>
  <c r="L6987" i="1"/>
  <c r="A6988" i="1"/>
  <c r="B6988" i="1"/>
  <c r="C6988" i="1"/>
  <c r="D6988" i="1"/>
  <c r="Q6988" i="1"/>
  <c r="R6988" i="1"/>
  <c r="E6988" i="1"/>
  <c r="G6988" i="1"/>
  <c r="H6988" i="1"/>
  <c r="J6988" i="1"/>
  <c r="K6988" i="1"/>
  <c r="L6988" i="1"/>
  <c r="A6989" i="1"/>
  <c r="B6989" i="1"/>
  <c r="C6989" i="1"/>
  <c r="D6989" i="1"/>
  <c r="Q6989" i="1"/>
  <c r="R6989" i="1"/>
  <c r="E6989" i="1"/>
  <c r="G6989" i="1"/>
  <c r="H6989" i="1"/>
  <c r="J6989" i="1"/>
  <c r="K6989" i="1"/>
  <c r="L6989" i="1"/>
  <c r="A6990" i="1"/>
  <c r="B6990" i="1"/>
  <c r="C6990" i="1"/>
  <c r="D6990" i="1"/>
  <c r="Q6990" i="1"/>
  <c r="R6990" i="1"/>
  <c r="E6990" i="1"/>
  <c r="G6990" i="1"/>
  <c r="H6990" i="1"/>
  <c r="J6990" i="1"/>
  <c r="K6990" i="1"/>
  <c r="L6990" i="1"/>
  <c r="A6991" i="1"/>
  <c r="B6991" i="1"/>
  <c r="C6991" i="1"/>
  <c r="D6991" i="1"/>
  <c r="Q6991" i="1"/>
  <c r="R6991" i="1"/>
  <c r="E6991" i="1"/>
  <c r="G6991" i="1"/>
  <c r="H6991" i="1"/>
  <c r="J6991" i="1"/>
  <c r="K6991" i="1"/>
  <c r="L6991" i="1"/>
  <c r="A6992" i="1"/>
  <c r="B6992" i="1"/>
  <c r="C6992" i="1"/>
  <c r="D6992" i="1"/>
  <c r="Q6992" i="1"/>
  <c r="R6992" i="1"/>
  <c r="E6992" i="1"/>
  <c r="G6992" i="1"/>
  <c r="H6992" i="1"/>
  <c r="J6992" i="1"/>
  <c r="K6992" i="1"/>
  <c r="L6992" i="1"/>
  <c r="A6993" i="1"/>
  <c r="B6993" i="1"/>
  <c r="C6993" i="1"/>
  <c r="D6993" i="1"/>
  <c r="Q6993" i="1"/>
  <c r="R6993" i="1"/>
  <c r="E6993" i="1"/>
  <c r="G6993" i="1"/>
  <c r="H6993" i="1"/>
  <c r="J6993" i="1"/>
  <c r="K6993" i="1"/>
  <c r="L6993" i="1"/>
  <c r="A6994" i="1"/>
  <c r="B6994" i="1"/>
  <c r="C6994" i="1"/>
  <c r="D6994" i="1"/>
  <c r="Q6994" i="1"/>
  <c r="R6994" i="1"/>
  <c r="E6994" i="1"/>
  <c r="G6994" i="1"/>
  <c r="H6994" i="1"/>
  <c r="J6994" i="1"/>
  <c r="K6994" i="1"/>
  <c r="L6994" i="1"/>
  <c r="A6995" i="1"/>
  <c r="B6995" i="1"/>
  <c r="C6995" i="1"/>
  <c r="D6995" i="1"/>
  <c r="Q6995" i="1"/>
  <c r="R6995" i="1"/>
  <c r="E6995" i="1"/>
  <c r="G6995" i="1"/>
  <c r="H6995" i="1"/>
  <c r="J6995" i="1"/>
  <c r="K6995" i="1"/>
  <c r="L6995" i="1"/>
  <c r="A6996" i="1"/>
  <c r="B6996" i="1"/>
  <c r="C6996" i="1"/>
  <c r="D6996" i="1"/>
  <c r="Q6996" i="1"/>
  <c r="R6996" i="1"/>
  <c r="E6996" i="1"/>
  <c r="G6996" i="1"/>
  <c r="H6996" i="1"/>
  <c r="J6996" i="1"/>
  <c r="K6996" i="1"/>
  <c r="L6996" i="1"/>
  <c r="A6997" i="1"/>
  <c r="B6997" i="1"/>
  <c r="C6997" i="1"/>
  <c r="D6997" i="1"/>
  <c r="Q6997" i="1"/>
  <c r="R6997" i="1"/>
  <c r="E6997" i="1"/>
  <c r="G6997" i="1"/>
  <c r="H6997" i="1"/>
  <c r="J6997" i="1"/>
  <c r="K6997" i="1"/>
  <c r="L6997" i="1"/>
  <c r="A6998" i="1"/>
  <c r="B6998" i="1"/>
  <c r="C6998" i="1"/>
  <c r="D6998" i="1"/>
  <c r="Q6998" i="1"/>
  <c r="R6998" i="1"/>
  <c r="E6998" i="1"/>
  <c r="G6998" i="1"/>
  <c r="H6998" i="1"/>
  <c r="J6998" i="1"/>
  <c r="K6998" i="1"/>
  <c r="L6998" i="1"/>
  <c r="A6999" i="1"/>
  <c r="B6999" i="1"/>
  <c r="C6999" i="1"/>
  <c r="D6999" i="1"/>
  <c r="Q6999" i="1"/>
  <c r="R6999" i="1"/>
  <c r="E6999" i="1"/>
  <c r="G6999" i="1"/>
  <c r="H6999" i="1"/>
  <c r="J6999" i="1"/>
  <c r="K6999" i="1"/>
  <c r="L6999" i="1"/>
  <c r="A7000" i="1"/>
  <c r="B7000" i="1"/>
  <c r="C7000" i="1"/>
  <c r="D7000" i="1"/>
  <c r="Q7000" i="1"/>
  <c r="R7000" i="1"/>
  <c r="E7000" i="1"/>
  <c r="G7000" i="1"/>
  <c r="H7000" i="1"/>
  <c r="J7000" i="1"/>
  <c r="K7000" i="1"/>
  <c r="L7000" i="1"/>
  <c r="A7001" i="1"/>
  <c r="B7001" i="1"/>
  <c r="C7001" i="1"/>
  <c r="D7001" i="1"/>
  <c r="Q7001" i="1"/>
  <c r="R7001" i="1"/>
  <c r="E7001" i="1"/>
  <c r="G7001" i="1"/>
  <c r="H7001" i="1"/>
  <c r="J7001" i="1"/>
  <c r="K7001" i="1"/>
  <c r="L7001" i="1"/>
  <c r="A7002" i="1"/>
  <c r="B7002" i="1"/>
  <c r="C7002" i="1"/>
  <c r="D7002" i="1"/>
  <c r="Q7002" i="1"/>
  <c r="R7002" i="1"/>
  <c r="E7002" i="1"/>
  <c r="G7002" i="1"/>
  <c r="H7002" i="1"/>
  <c r="J7002" i="1"/>
  <c r="K7002" i="1"/>
  <c r="L7002" i="1"/>
  <c r="A7003" i="1"/>
  <c r="B7003" i="1"/>
  <c r="C7003" i="1"/>
  <c r="D7003" i="1"/>
  <c r="Q7003" i="1"/>
  <c r="R7003" i="1"/>
  <c r="E7003" i="1"/>
  <c r="G7003" i="1"/>
  <c r="H7003" i="1"/>
  <c r="J7003" i="1"/>
  <c r="K7003" i="1"/>
  <c r="L7003" i="1"/>
  <c r="A7004" i="1"/>
  <c r="B7004" i="1"/>
  <c r="C7004" i="1"/>
  <c r="D7004" i="1"/>
  <c r="Q7004" i="1"/>
  <c r="R7004" i="1"/>
  <c r="E7004" i="1"/>
  <c r="G7004" i="1"/>
  <c r="H7004" i="1"/>
  <c r="J7004" i="1"/>
  <c r="K7004" i="1"/>
  <c r="L7004" i="1"/>
  <c r="A7005" i="1"/>
  <c r="B7005" i="1"/>
  <c r="C7005" i="1"/>
  <c r="D7005" i="1"/>
  <c r="Q7005" i="1"/>
  <c r="R7005" i="1"/>
  <c r="E7005" i="1"/>
  <c r="G7005" i="1"/>
  <c r="H7005" i="1"/>
  <c r="J7005" i="1"/>
  <c r="K7005" i="1"/>
  <c r="L7005" i="1"/>
  <c r="A7006" i="1"/>
  <c r="B7006" i="1"/>
  <c r="C7006" i="1"/>
  <c r="D7006" i="1"/>
  <c r="Q7006" i="1"/>
  <c r="R7006" i="1"/>
  <c r="E7006" i="1"/>
  <c r="G7006" i="1"/>
  <c r="H7006" i="1"/>
  <c r="J7006" i="1"/>
  <c r="K7006" i="1"/>
  <c r="L7006" i="1"/>
  <c r="A7007" i="1"/>
  <c r="B7007" i="1"/>
  <c r="C7007" i="1"/>
  <c r="D7007" i="1"/>
  <c r="Q7007" i="1"/>
  <c r="R7007" i="1"/>
  <c r="E7007" i="1"/>
  <c r="G7007" i="1"/>
  <c r="H7007" i="1"/>
  <c r="J7007" i="1"/>
  <c r="K7007" i="1"/>
  <c r="L7007" i="1"/>
  <c r="A7008" i="1"/>
  <c r="B7008" i="1"/>
  <c r="C7008" i="1"/>
  <c r="D7008" i="1"/>
  <c r="Q7008" i="1"/>
  <c r="R7008" i="1"/>
  <c r="E7008" i="1"/>
  <c r="G7008" i="1"/>
  <c r="H7008" i="1"/>
  <c r="J7008" i="1"/>
  <c r="K7008" i="1"/>
  <c r="L7008" i="1"/>
  <c r="A7009" i="1"/>
  <c r="B7009" i="1"/>
  <c r="C7009" i="1"/>
  <c r="D7009" i="1"/>
  <c r="Q7009" i="1"/>
  <c r="R7009" i="1"/>
  <c r="E7009" i="1"/>
  <c r="G7009" i="1"/>
  <c r="H7009" i="1"/>
  <c r="J7009" i="1"/>
  <c r="K7009" i="1"/>
  <c r="L7009" i="1"/>
  <c r="A7010" i="1"/>
  <c r="B7010" i="1"/>
  <c r="C7010" i="1"/>
  <c r="D7010" i="1"/>
  <c r="Q7010" i="1"/>
  <c r="R7010" i="1"/>
  <c r="E7010" i="1"/>
  <c r="G7010" i="1"/>
  <c r="H7010" i="1"/>
  <c r="J7010" i="1"/>
  <c r="K7010" i="1"/>
  <c r="L7010" i="1"/>
  <c r="A7011" i="1"/>
  <c r="B7011" i="1"/>
  <c r="C7011" i="1"/>
  <c r="D7011" i="1"/>
  <c r="Q7011" i="1"/>
  <c r="R7011" i="1"/>
  <c r="E7011" i="1"/>
  <c r="G7011" i="1"/>
  <c r="H7011" i="1"/>
  <c r="J7011" i="1"/>
  <c r="K7011" i="1"/>
  <c r="L7011" i="1"/>
  <c r="A7012" i="1"/>
  <c r="B7012" i="1"/>
  <c r="C7012" i="1"/>
  <c r="D7012" i="1"/>
  <c r="Q7012" i="1"/>
  <c r="R7012" i="1"/>
  <c r="E7012" i="1"/>
  <c r="G7012" i="1"/>
  <c r="H7012" i="1"/>
  <c r="J7012" i="1"/>
  <c r="K7012" i="1"/>
  <c r="L7012" i="1"/>
  <c r="A7013" i="1"/>
  <c r="B7013" i="1"/>
  <c r="C7013" i="1"/>
  <c r="D7013" i="1"/>
  <c r="Q7013" i="1"/>
  <c r="R7013" i="1"/>
  <c r="E7013" i="1"/>
  <c r="G7013" i="1"/>
  <c r="H7013" i="1"/>
  <c r="J7013" i="1"/>
  <c r="K7013" i="1"/>
  <c r="L7013" i="1"/>
  <c r="A7014" i="1"/>
  <c r="B7014" i="1"/>
  <c r="C7014" i="1"/>
  <c r="D7014" i="1"/>
  <c r="Q7014" i="1"/>
  <c r="R7014" i="1"/>
  <c r="E7014" i="1"/>
  <c r="G7014" i="1"/>
  <c r="H7014" i="1"/>
  <c r="J7014" i="1"/>
  <c r="K7014" i="1"/>
  <c r="L7014" i="1"/>
  <c r="A7015" i="1"/>
  <c r="B7015" i="1"/>
  <c r="C7015" i="1"/>
  <c r="D7015" i="1"/>
  <c r="Q7015" i="1"/>
  <c r="R7015" i="1"/>
  <c r="E7015" i="1"/>
  <c r="G7015" i="1"/>
  <c r="H7015" i="1"/>
  <c r="J7015" i="1"/>
  <c r="K7015" i="1"/>
  <c r="L7015" i="1"/>
  <c r="A7016" i="1"/>
  <c r="B7016" i="1"/>
  <c r="C7016" i="1"/>
  <c r="D7016" i="1"/>
  <c r="Q7016" i="1"/>
  <c r="R7016" i="1"/>
  <c r="E7016" i="1"/>
  <c r="G7016" i="1"/>
  <c r="H7016" i="1"/>
  <c r="J7016" i="1"/>
  <c r="K7016" i="1"/>
  <c r="L7016" i="1"/>
  <c r="A7017" i="1"/>
  <c r="B7017" i="1"/>
  <c r="C7017" i="1"/>
  <c r="D7017" i="1"/>
  <c r="Q7017" i="1"/>
  <c r="R7017" i="1"/>
  <c r="E7017" i="1"/>
  <c r="G7017" i="1"/>
  <c r="H7017" i="1"/>
  <c r="J7017" i="1"/>
  <c r="K7017" i="1"/>
  <c r="L7017" i="1"/>
  <c r="A7018" i="1"/>
  <c r="B7018" i="1"/>
  <c r="C7018" i="1"/>
  <c r="D7018" i="1"/>
  <c r="Q7018" i="1"/>
  <c r="R7018" i="1"/>
  <c r="E7018" i="1"/>
  <c r="G7018" i="1"/>
  <c r="H7018" i="1"/>
  <c r="J7018" i="1"/>
  <c r="K7018" i="1"/>
  <c r="L7018" i="1"/>
  <c r="A7019" i="1"/>
  <c r="B7019" i="1"/>
  <c r="C7019" i="1"/>
  <c r="D7019" i="1"/>
  <c r="Q7019" i="1"/>
  <c r="R7019" i="1"/>
  <c r="E7019" i="1"/>
  <c r="G7019" i="1"/>
  <c r="H7019" i="1"/>
  <c r="J7019" i="1"/>
  <c r="K7019" i="1"/>
  <c r="L7019" i="1"/>
  <c r="A7020" i="1"/>
  <c r="B7020" i="1"/>
  <c r="C7020" i="1"/>
  <c r="D7020" i="1"/>
  <c r="Q7020" i="1"/>
  <c r="R7020" i="1"/>
  <c r="E7020" i="1"/>
  <c r="G7020" i="1"/>
  <c r="H7020" i="1"/>
  <c r="J7020" i="1"/>
  <c r="K7020" i="1"/>
  <c r="L7020" i="1"/>
  <c r="A7021" i="1"/>
  <c r="B7021" i="1"/>
  <c r="C7021" i="1"/>
  <c r="D7021" i="1"/>
  <c r="Q7021" i="1"/>
  <c r="R7021" i="1"/>
  <c r="E7021" i="1"/>
  <c r="G7021" i="1"/>
  <c r="H7021" i="1"/>
  <c r="J7021" i="1"/>
  <c r="K7021" i="1"/>
  <c r="L7021" i="1"/>
  <c r="A7022" i="1"/>
  <c r="B7022" i="1"/>
  <c r="C7022" i="1"/>
  <c r="D7022" i="1"/>
  <c r="Q7022" i="1"/>
  <c r="R7022" i="1"/>
  <c r="E7022" i="1"/>
  <c r="G7022" i="1"/>
  <c r="H7022" i="1"/>
  <c r="J7022" i="1"/>
  <c r="K7022" i="1"/>
  <c r="L7022" i="1"/>
  <c r="A7023" i="1"/>
  <c r="B7023" i="1"/>
  <c r="C7023" i="1"/>
  <c r="D7023" i="1"/>
  <c r="Q7023" i="1"/>
  <c r="R7023" i="1"/>
  <c r="E7023" i="1"/>
  <c r="G7023" i="1"/>
  <c r="H7023" i="1"/>
  <c r="J7023" i="1"/>
  <c r="K7023" i="1"/>
  <c r="L7023" i="1"/>
  <c r="A7024" i="1"/>
  <c r="B7024" i="1"/>
  <c r="C7024" i="1"/>
  <c r="D7024" i="1"/>
  <c r="Q7024" i="1"/>
  <c r="R7024" i="1"/>
  <c r="E7024" i="1"/>
  <c r="G7024" i="1"/>
  <c r="H7024" i="1"/>
  <c r="J7024" i="1"/>
  <c r="K7024" i="1"/>
  <c r="L7024" i="1"/>
  <c r="A7025" i="1"/>
  <c r="B7025" i="1"/>
  <c r="C7025" i="1"/>
  <c r="D7025" i="1"/>
  <c r="Q7025" i="1"/>
  <c r="R7025" i="1"/>
  <c r="E7025" i="1"/>
  <c r="G7025" i="1"/>
  <c r="H7025" i="1"/>
  <c r="J7025" i="1"/>
  <c r="K7025" i="1"/>
  <c r="L7025" i="1"/>
  <c r="A7026" i="1"/>
  <c r="B7026" i="1"/>
  <c r="C7026" i="1"/>
  <c r="D7026" i="1"/>
  <c r="Q7026" i="1"/>
  <c r="R7026" i="1"/>
  <c r="E7026" i="1"/>
  <c r="G7026" i="1"/>
  <c r="H7026" i="1"/>
  <c r="J7026" i="1"/>
  <c r="K7026" i="1"/>
  <c r="L7026" i="1"/>
  <c r="A7027" i="1"/>
  <c r="B7027" i="1"/>
  <c r="C7027" i="1"/>
  <c r="D7027" i="1"/>
  <c r="Q7027" i="1"/>
  <c r="R7027" i="1"/>
  <c r="E7027" i="1"/>
  <c r="G7027" i="1"/>
  <c r="H7027" i="1"/>
  <c r="J7027" i="1"/>
  <c r="K7027" i="1"/>
  <c r="L7027" i="1"/>
  <c r="A7028" i="1"/>
  <c r="B7028" i="1"/>
  <c r="C7028" i="1"/>
  <c r="D7028" i="1"/>
  <c r="Q7028" i="1"/>
  <c r="R7028" i="1"/>
  <c r="E7028" i="1"/>
  <c r="G7028" i="1"/>
  <c r="H7028" i="1"/>
  <c r="J7028" i="1"/>
  <c r="K7028" i="1"/>
  <c r="L7028" i="1"/>
  <c r="A7029" i="1"/>
  <c r="B7029" i="1"/>
  <c r="C7029" i="1"/>
  <c r="D7029" i="1"/>
  <c r="Q7029" i="1"/>
  <c r="R7029" i="1"/>
  <c r="E7029" i="1"/>
  <c r="G7029" i="1"/>
  <c r="H7029" i="1"/>
  <c r="J7029" i="1"/>
  <c r="K7029" i="1"/>
  <c r="L7029" i="1"/>
  <c r="A7030" i="1"/>
  <c r="B7030" i="1"/>
  <c r="C7030" i="1"/>
  <c r="D7030" i="1"/>
  <c r="Q7030" i="1"/>
  <c r="R7030" i="1"/>
  <c r="E7030" i="1"/>
  <c r="G7030" i="1"/>
  <c r="H7030" i="1"/>
  <c r="J7030" i="1"/>
  <c r="K7030" i="1"/>
  <c r="L7030" i="1"/>
  <c r="A7031" i="1"/>
  <c r="B7031" i="1"/>
  <c r="C7031" i="1"/>
  <c r="D7031" i="1"/>
  <c r="Q7031" i="1"/>
  <c r="R7031" i="1"/>
  <c r="E7031" i="1"/>
  <c r="G7031" i="1"/>
  <c r="H7031" i="1"/>
  <c r="J7031" i="1"/>
  <c r="K7031" i="1"/>
  <c r="L7031" i="1"/>
  <c r="A7032" i="1"/>
  <c r="B7032" i="1"/>
  <c r="C7032" i="1"/>
  <c r="D7032" i="1"/>
  <c r="Q7032" i="1"/>
  <c r="R7032" i="1"/>
  <c r="E7032" i="1"/>
  <c r="G7032" i="1"/>
  <c r="H7032" i="1"/>
  <c r="J7032" i="1"/>
  <c r="K7032" i="1"/>
  <c r="L7032" i="1"/>
  <c r="A7033" i="1"/>
  <c r="B7033" i="1"/>
  <c r="C7033" i="1"/>
  <c r="D7033" i="1"/>
  <c r="Q7033" i="1"/>
  <c r="R7033" i="1"/>
  <c r="E7033" i="1"/>
  <c r="G7033" i="1"/>
  <c r="H7033" i="1"/>
  <c r="J7033" i="1"/>
  <c r="K7033" i="1"/>
  <c r="L7033" i="1"/>
  <c r="A7034" i="1"/>
  <c r="B7034" i="1"/>
  <c r="C7034" i="1"/>
  <c r="D7034" i="1"/>
  <c r="Q7034" i="1"/>
  <c r="R7034" i="1"/>
  <c r="E7034" i="1"/>
  <c r="G7034" i="1"/>
  <c r="H7034" i="1"/>
  <c r="J7034" i="1"/>
  <c r="K7034" i="1"/>
  <c r="L7034" i="1"/>
  <c r="A7035" i="1"/>
  <c r="B7035" i="1"/>
  <c r="C7035" i="1"/>
  <c r="D7035" i="1"/>
  <c r="Q7035" i="1"/>
  <c r="R7035" i="1"/>
  <c r="E7035" i="1"/>
  <c r="G7035" i="1"/>
  <c r="H7035" i="1"/>
  <c r="J7035" i="1"/>
  <c r="K7035" i="1"/>
  <c r="L7035" i="1"/>
  <c r="A7036" i="1"/>
  <c r="B7036" i="1"/>
  <c r="C7036" i="1"/>
  <c r="D7036" i="1"/>
  <c r="Q7036" i="1"/>
  <c r="R7036" i="1"/>
  <c r="E7036" i="1"/>
  <c r="G7036" i="1"/>
  <c r="H7036" i="1"/>
  <c r="J7036" i="1"/>
  <c r="K7036" i="1"/>
  <c r="L7036" i="1"/>
  <c r="A7037" i="1"/>
  <c r="B7037" i="1"/>
  <c r="C7037" i="1"/>
  <c r="D7037" i="1"/>
  <c r="Q7037" i="1"/>
  <c r="R7037" i="1"/>
  <c r="E7037" i="1"/>
  <c r="G7037" i="1"/>
  <c r="H7037" i="1"/>
  <c r="J7037" i="1"/>
  <c r="K7037" i="1"/>
  <c r="L7037" i="1"/>
  <c r="A7038" i="1"/>
  <c r="B7038" i="1"/>
  <c r="C7038" i="1"/>
  <c r="D7038" i="1"/>
  <c r="Q7038" i="1"/>
  <c r="R7038" i="1"/>
  <c r="E7038" i="1"/>
  <c r="G7038" i="1"/>
  <c r="H7038" i="1"/>
  <c r="J7038" i="1"/>
  <c r="K7038" i="1"/>
  <c r="L7038" i="1"/>
  <c r="A7039" i="1"/>
  <c r="B7039" i="1"/>
  <c r="C7039" i="1"/>
  <c r="D7039" i="1"/>
  <c r="Q7039" i="1"/>
  <c r="R7039" i="1"/>
  <c r="E7039" i="1"/>
  <c r="G7039" i="1"/>
  <c r="H7039" i="1"/>
  <c r="J7039" i="1"/>
  <c r="K7039" i="1"/>
  <c r="L7039" i="1"/>
  <c r="A7040" i="1"/>
  <c r="B7040" i="1"/>
  <c r="C7040" i="1"/>
  <c r="D7040" i="1"/>
  <c r="Q7040" i="1"/>
  <c r="R7040" i="1"/>
  <c r="E7040" i="1"/>
  <c r="G7040" i="1"/>
  <c r="H7040" i="1"/>
  <c r="J7040" i="1"/>
  <c r="K7040" i="1"/>
  <c r="L7040" i="1"/>
  <c r="A7041" i="1"/>
  <c r="B7041" i="1"/>
  <c r="C7041" i="1"/>
  <c r="D7041" i="1"/>
  <c r="Q7041" i="1"/>
  <c r="R7041" i="1"/>
  <c r="E7041" i="1"/>
  <c r="G7041" i="1"/>
  <c r="H7041" i="1"/>
  <c r="J7041" i="1"/>
  <c r="K7041" i="1"/>
  <c r="L7041" i="1"/>
  <c r="A7042" i="1"/>
  <c r="B7042" i="1"/>
  <c r="C7042" i="1"/>
  <c r="D7042" i="1"/>
  <c r="Q7042" i="1"/>
  <c r="R7042" i="1"/>
  <c r="E7042" i="1"/>
  <c r="G7042" i="1"/>
  <c r="H7042" i="1"/>
  <c r="J7042" i="1"/>
  <c r="K7042" i="1"/>
  <c r="L7042" i="1"/>
  <c r="A7043" i="1"/>
  <c r="B7043" i="1"/>
  <c r="C7043" i="1"/>
  <c r="D7043" i="1"/>
  <c r="Q7043" i="1"/>
  <c r="R7043" i="1"/>
  <c r="E7043" i="1"/>
  <c r="G7043" i="1"/>
  <c r="H7043" i="1"/>
  <c r="J7043" i="1"/>
  <c r="K7043" i="1"/>
  <c r="L7043" i="1"/>
  <c r="A7044" i="1"/>
  <c r="B7044" i="1"/>
  <c r="C7044" i="1"/>
  <c r="D7044" i="1"/>
  <c r="Q7044" i="1"/>
  <c r="R7044" i="1"/>
  <c r="E7044" i="1"/>
  <c r="G7044" i="1"/>
  <c r="H7044" i="1"/>
  <c r="J7044" i="1"/>
  <c r="K7044" i="1"/>
  <c r="L7044" i="1"/>
  <c r="A7045" i="1"/>
  <c r="B7045" i="1"/>
  <c r="C7045" i="1"/>
  <c r="D7045" i="1"/>
  <c r="Q7045" i="1"/>
  <c r="R7045" i="1"/>
  <c r="E7045" i="1"/>
  <c r="G7045" i="1"/>
  <c r="H7045" i="1"/>
  <c r="J7045" i="1"/>
  <c r="K7045" i="1"/>
  <c r="L7045" i="1"/>
  <c r="A7046" i="1"/>
  <c r="B7046" i="1"/>
  <c r="C7046" i="1"/>
  <c r="D7046" i="1"/>
  <c r="Q7046" i="1"/>
  <c r="R7046" i="1"/>
  <c r="E7046" i="1"/>
  <c r="G7046" i="1"/>
  <c r="H7046" i="1"/>
  <c r="J7046" i="1"/>
  <c r="K7046" i="1"/>
  <c r="L7046" i="1"/>
  <c r="A7047" i="1"/>
  <c r="B7047" i="1"/>
  <c r="C7047" i="1"/>
  <c r="D7047" i="1"/>
  <c r="Q7047" i="1"/>
  <c r="R7047" i="1"/>
  <c r="E7047" i="1"/>
  <c r="G7047" i="1"/>
  <c r="H7047" i="1"/>
  <c r="J7047" i="1"/>
  <c r="K7047" i="1"/>
  <c r="L7047" i="1"/>
  <c r="A7048" i="1"/>
  <c r="B7048" i="1"/>
  <c r="C7048" i="1"/>
  <c r="D7048" i="1"/>
  <c r="Q7048" i="1"/>
  <c r="R7048" i="1"/>
  <c r="E7048" i="1"/>
  <c r="G7048" i="1"/>
  <c r="H7048" i="1"/>
  <c r="J7048" i="1"/>
  <c r="K7048" i="1"/>
  <c r="L7048" i="1"/>
  <c r="A7049" i="1"/>
  <c r="B7049" i="1"/>
  <c r="C7049" i="1"/>
  <c r="D7049" i="1"/>
  <c r="Q7049" i="1"/>
  <c r="R7049" i="1"/>
  <c r="E7049" i="1"/>
  <c r="G7049" i="1"/>
  <c r="H7049" i="1"/>
  <c r="J7049" i="1"/>
  <c r="K7049" i="1"/>
  <c r="L7049" i="1"/>
  <c r="A7050" i="1"/>
  <c r="B7050" i="1"/>
  <c r="C7050" i="1"/>
  <c r="D7050" i="1"/>
  <c r="Q7050" i="1"/>
  <c r="R7050" i="1"/>
  <c r="E7050" i="1"/>
  <c r="G7050" i="1"/>
  <c r="H7050" i="1"/>
  <c r="J7050" i="1"/>
  <c r="K7050" i="1"/>
  <c r="L7050" i="1"/>
  <c r="A7051" i="1"/>
  <c r="B7051" i="1"/>
  <c r="C7051" i="1"/>
  <c r="D7051" i="1"/>
  <c r="Q7051" i="1"/>
  <c r="R7051" i="1"/>
  <c r="E7051" i="1"/>
  <c r="G7051" i="1"/>
  <c r="H7051" i="1"/>
  <c r="J7051" i="1"/>
  <c r="K7051" i="1"/>
  <c r="L7051" i="1"/>
  <c r="A7052" i="1"/>
  <c r="B7052" i="1"/>
  <c r="C7052" i="1"/>
  <c r="D7052" i="1"/>
  <c r="Q7052" i="1"/>
  <c r="R7052" i="1"/>
  <c r="E7052" i="1"/>
  <c r="G7052" i="1"/>
  <c r="H7052" i="1"/>
  <c r="J7052" i="1"/>
  <c r="K7052" i="1"/>
  <c r="L7052" i="1"/>
  <c r="A7053" i="1"/>
  <c r="B7053" i="1"/>
  <c r="C7053" i="1"/>
  <c r="D7053" i="1"/>
  <c r="Q7053" i="1"/>
  <c r="R7053" i="1"/>
  <c r="E7053" i="1"/>
  <c r="G7053" i="1"/>
  <c r="H7053" i="1"/>
  <c r="J7053" i="1"/>
  <c r="K7053" i="1"/>
  <c r="L7053" i="1"/>
  <c r="A7054" i="1"/>
  <c r="B7054" i="1"/>
  <c r="C7054" i="1"/>
  <c r="D7054" i="1"/>
  <c r="Q7054" i="1"/>
  <c r="R7054" i="1"/>
  <c r="E7054" i="1"/>
  <c r="G7054" i="1"/>
  <c r="H7054" i="1"/>
  <c r="J7054" i="1"/>
  <c r="K7054" i="1"/>
  <c r="L7054" i="1"/>
  <c r="A7055" i="1"/>
  <c r="B7055" i="1"/>
  <c r="C7055" i="1"/>
  <c r="D7055" i="1"/>
  <c r="Q7055" i="1"/>
  <c r="R7055" i="1"/>
  <c r="E7055" i="1"/>
  <c r="G7055" i="1"/>
  <c r="H7055" i="1"/>
  <c r="J7055" i="1"/>
  <c r="K7055" i="1"/>
  <c r="L7055" i="1"/>
  <c r="A7056" i="1"/>
  <c r="B7056" i="1"/>
  <c r="C7056" i="1"/>
  <c r="D7056" i="1"/>
  <c r="Q7056" i="1"/>
  <c r="R7056" i="1"/>
  <c r="E7056" i="1"/>
  <c r="G7056" i="1"/>
  <c r="H7056" i="1"/>
  <c r="J7056" i="1"/>
  <c r="K7056" i="1"/>
  <c r="L7056" i="1"/>
  <c r="A7057" i="1"/>
  <c r="B7057" i="1"/>
  <c r="C7057" i="1"/>
  <c r="D7057" i="1"/>
  <c r="Q7057" i="1"/>
  <c r="R7057" i="1"/>
  <c r="E7057" i="1"/>
  <c r="G7057" i="1"/>
  <c r="H7057" i="1"/>
  <c r="J7057" i="1"/>
  <c r="K7057" i="1"/>
  <c r="L7057" i="1"/>
  <c r="A7058" i="1"/>
  <c r="B7058" i="1"/>
  <c r="C7058" i="1"/>
  <c r="D7058" i="1"/>
  <c r="Q7058" i="1"/>
  <c r="R7058" i="1"/>
  <c r="E7058" i="1"/>
  <c r="G7058" i="1"/>
  <c r="H7058" i="1"/>
  <c r="J7058" i="1"/>
  <c r="K7058" i="1"/>
  <c r="L7058" i="1"/>
  <c r="A7059" i="1"/>
  <c r="B7059" i="1"/>
  <c r="C7059" i="1"/>
  <c r="D7059" i="1"/>
  <c r="Q7059" i="1"/>
  <c r="R7059" i="1"/>
  <c r="E7059" i="1"/>
  <c r="G7059" i="1"/>
  <c r="H7059" i="1"/>
  <c r="J7059" i="1"/>
  <c r="K7059" i="1"/>
  <c r="L7059" i="1"/>
  <c r="A7060" i="1"/>
  <c r="B7060" i="1"/>
  <c r="C7060" i="1"/>
  <c r="D7060" i="1"/>
  <c r="Q7060" i="1"/>
  <c r="R7060" i="1"/>
  <c r="E7060" i="1"/>
  <c r="G7060" i="1"/>
  <c r="H7060" i="1"/>
  <c r="J7060" i="1"/>
  <c r="K7060" i="1"/>
  <c r="L7060" i="1"/>
  <c r="A7061" i="1"/>
  <c r="B7061" i="1"/>
  <c r="C7061" i="1"/>
  <c r="D7061" i="1"/>
  <c r="Q7061" i="1"/>
  <c r="R7061" i="1"/>
  <c r="E7061" i="1"/>
  <c r="G7061" i="1"/>
  <c r="H7061" i="1"/>
  <c r="J7061" i="1"/>
  <c r="K7061" i="1"/>
  <c r="L7061" i="1"/>
  <c r="A7062" i="1"/>
  <c r="B7062" i="1"/>
  <c r="C7062" i="1"/>
  <c r="D7062" i="1"/>
  <c r="Q7062" i="1"/>
  <c r="R7062" i="1"/>
  <c r="E7062" i="1"/>
  <c r="G7062" i="1"/>
  <c r="H7062" i="1"/>
  <c r="J7062" i="1"/>
  <c r="K7062" i="1"/>
  <c r="L7062" i="1"/>
  <c r="A7063" i="1"/>
  <c r="B7063" i="1"/>
  <c r="C7063" i="1"/>
  <c r="D7063" i="1"/>
  <c r="Q7063" i="1"/>
  <c r="R7063" i="1"/>
  <c r="E7063" i="1"/>
  <c r="G7063" i="1"/>
  <c r="H7063" i="1"/>
  <c r="J7063" i="1"/>
  <c r="K7063" i="1"/>
  <c r="L7063" i="1"/>
  <c r="A7064" i="1"/>
  <c r="B7064" i="1"/>
  <c r="C7064" i="1"/>
  <c r="D7064" i="1"/>
  <c r="Q7064" i="1"/>
  <c r="R7064" i="1"/>
  <c r="E7064" i="1"/>
  <c r="G7064" i="1"/>
  <c r="H7064" i="1"/>
  <c r="J7064" i="1"/>
  <c r="K7064" i="1"/>
  <c r="L7064" i="1"/>
  <c r="A7065" i="1"/>
  <c r="B7065" i="1"/>
  <c r="C7065" i="1"/>
  <c r="D7065" i="1"/>
  <c r="Q7065" i="1"/>
  <c r="R7065" i="1"/>
  <c r="E7065" i="1"/>
  <c r="G7065" i="1"/>
  <c r="H7065" i="1"/>
  <c r="J7065" i="1"/>
  <c r="K7065" i="1"/>
  <c r="L7065" i="1"/>
  <c r="A7066" i="1"/>
  <c r="B7066" i="1"/>
  <c r="C7066" i="1"/>
  <c r="D7066" i="1"/>
  <c r="Q7066" i="1"/>
  <c r="R7066" i="1"/>
  <c r="E7066" i="1"/>
  <c r="G7066" i="1"/>
  <c r="H7066" i="1"/>
  <c r="J7066" i="1"/>
  <c r="K7066" i="1"/>
  <c r="L7066" i="1"/>
  <c r="A7067" i="1"/>
  <c r="B7067" i="1"/>
  <c r="C7067" i="1"/>
  <c r="D7067" i="1"/>
  <c r="Q7067" i="1"/>
  <c r="R7067" i="1"/>
  <c r="E7067" i="1"/>
  <c r="G7067" i="1"/>
  <c r="H7067" i="1"/>
  <c r="J7067" i="1"/>
  <c r="K7067" i="1"/>
  <c r="L7067" i="1"/>
  <c r="A7068" i="1"/>
  <c r="B7068" i="1"/>
  <c r="C7068" i="1"/>
  <c r="D7068" i="1"/>
  <c r="Q7068" i="1"/>
  <c r="R7068" i="1"/>
  <c r="E7068" i="1"/>
  <c r="G7068" i="1"/>
  <c r="H7068" i="1"/>
  <c r="J7068" i="1"/>
  <c r="K7068" i="1"/>
  <c r="L7068" i="1"/>
  <c r="A7069" i="1"/>
  <c r="B7069" i="1"/>
  <c r="C7069" i="1"/>
  <c r="D7069" i="1"/>
  <c r="Q7069" i="1"/>
  <c r="R7069" i="1"/>
  <c r="E7069" i="1"/>
  <c r="G7069" i="1"/>
  <c r="H7069" i="1"/>
  <c r="J7069" i="1"/>
  <c r="K7069" i="1"/>
  <c r="L7069" i="1"/>
  <c r="A7070" i="1"/>
  <c r="B7070" i="1"/>
  <c r="C7070" i="1"/>
  <c r="D7070" i="1"/>
  <c r="Q7070" i="1"/>
  <c r="R7070" i="1"/>
  <c r="E7070" i="1"/>
  <c r="G7070" i="1"/>
  <c r="H7070" i="1"/>
  <c r="J7070" i="1"/>
  <c r="K7070" i="1"/>
  <c r="L7070" i="1"/>
  <c r="A7071" i="1"/>
  <c r="B7071" i="1"/>
  <c r="C7071" i="1"/>
  <c r="D7071" i="1"/>
  <c r="Q7071" i="1"/>
  <c r="R7071" i="1"/>
  <c r="E7071" i="1"/>
  <c r="G7071" i="1"/>
  <c r="H7071" i="1"/>
  <c r="J7071" i="1"/>
  <c r="K7071" i="1"/>
  <c r="L7071" i="1"/>
  <c r="A7072" i="1"/>
  <c r="B7072" i="1"/>
  <c r="C7072" i="1"/>
  <c r="D7072" i="1"/>
  <c r="Q7072" i="1"/>
  <c r="R7072" i="1"/>
  <c r="E7072" i="1"/>
  <c r="G7072" i="1"/>
  <c r="H7072" i="1"/>
  <c r="J7072" i="1"/>
  <c r="K7072" i="1"/>
  <c r="L7072" i="1"/>
  <c r="A7073" i="1"/>
  <c r="B7073" i="1"/>
  <c r="C7073" i="1"/>
  <c r="D7073" i="1"/>
  <c r="Q7073" i="1"/>
  <c r="R7073" i="1"/>
  <c r="E7073" i="1"/>
  <c r="G7073" i="1"/>
  <c r="H7073" i="1"/>
  <c r="J7073" i="1"/>
  <c r="K7073" i="1"/>
  <c r="L7073" i="1"/>
  <c r="A7074" i="1"/>
  <c r="B7074" i="1"/>
  <c r="C7074" i="1"/>
  <c r="D7074" i="1"/>
  <c r="Q7074" i="1"/>
  <c r="R7074" i="1"/>
  <c r="E7074" i="1"/>
  <c r="G7074" i="1"/>
  <c r="H7074" i="1"/>
  <c r="J7074" i="1"/>
  <c r="K7074" i="1"/>
  <c r="L7074" i="1"/>
  <c r="A7075" i="1"/>
  <c r="B7075" i="1"/>
  <c r="C7075" i="1"/>
  <c r="D7075" i="1"/>
  <c r="Q7075" i="1"/>
  <c r="R7075" i="1"/>
  <c r="E7075" i="1"/>
  <c r="G7075" i="1"/>
  <c r="H7075" i="1"/>
  <c r="J7075" i="1"/>
  <c r="K7075" i="1"/>
  <c r="L7075" i="1"/>
  <c r="A7076" i="1"/>
  <c r="B7076" i="1"/>
  <c r="C7076" i="1"/>
  <c r="D7076" i="1"/>
  <c r="Q7076" i="1"/>
  <c r="R7076" i="1"/>
  <c r="E7076" i="1"/>
  <c r="G7076" i="1"/>
  <c r="H7076" i="1"/>
  <c r="J7076" i="1"/>
  <c r="K7076" i="1"/>
  <c r="L7076" i="1"/>
  <c r="A7077" i="1"/>
  <c r="B7077" i="1"/>
  <c r="C7077" i="1"/>
  <c r="D7077" i="1"/>
  <c r="Q7077" i="1"/>
  <c r="R7077" i="1"/>
  <c r="E7077" i="1"/>
  <c r="G7077" i="1"/>
  <c r="H7077" i="1"/>
  <c r="J7077" i="1"/>
  <c r="K7077" i="1"/>
  <c r="L7077" i="1"/>
  <c r="A7078" i="1"/>
  <c r="B7078" i="1"/>
  <c r="C7078" i="1"/>
  <c r="D7078" i="1"/>
  <c r="Q7078" i="1"/>
  <c r="R7078" i="1"/>
  <c r="E7078" i="1"/>
  <c r="G7078" i="1"/>
  <c r="H7078" i="1"/>
  <c r="J7078" i="1"/>
  <c r="K7078" i="1"/>
  <c r="L7078" i="1"/>
  <c r="A7079" i="1"/>
  <c r="B7079" i="1"/>
  <c r="C7079" i="1"/>
  <c r="D7079" i="1"/>
  <c r="Q7079" i="1"/>
  <c r="R7079" i="1"/>
  <c r="E7079" i="1"/>
  <c r="G7079" i="1"/>
  <c r="H7079" i="1"/>
  <c r="J7079" i="1"/>
  <c r="K7079" i="1"/>
  <c r="L7079" i="1"/>
  <c r="A7080" i="1"/>
  <c r="B7080" i="1"/>
  <c r="C7080" i="1"/>
  <c r="D7080" i="1"/>
  <c r="Q7080" i="1"/>
  <c r="R7080" i="1"/>
  <c r="E7080" i="1"/>
  <c r="G7080" i="1"/>
  <c r="H7080" i="1"/>
  <c r="J7080" i="1"/>
  <c r="K7080" i="1"/>
  <c r="L7080" i="1"/>
  <c r="A7081" i="1"/>
  <c r="B7081" i="1"/>
  <c r="C7081" i="1"/>
  <c r="D7081" i="1"/>
  <c r="Q7081" i="1"/>
  <c r="R7081" i="1"/>
  <c r="E7081" i="1"/>
  <c r="G7081" i="1"/>
  <c r="H7081" i="1"/>
  <c r="J7081" i="1"/>
  <c r="K7081" i="1"/>
  <c r="L7081" i="1"/>
  <c r="A7082" i="1"/>
  <c r="B7082" i="1"/>
  <c r="C7082" i="1"/>
  <c r="D7082" i="1"/>
  <c r="Q7082" i="1"/>
  <c r="R7082" i="1"/>
  <c r="E7082" i="1"/>
  <c r="G7082" i="1"/>
  <c r="H7082" i="1"/>
  <c r="J7082" i="1"/>
  <c r="K7082" i="1"/>
  <c r="L7082" i="1"/>
  <c r="A7083" i="1"/>
  <c r="B7083" i="1"/>
  <c r="C7083" i="1"/>
  <c r="D7083" i="1"/>
  <c r="Q7083" i="1"/>
  <c r="R7083" i="1"/>
  <c r="E7083" i="1"/>
  <c r="G7083" i="1"/>
  <c r="H7083" i="1"/>
  <c r="J7083" i="1"/>
  <c r="K7083" i="1"/>
  <c r="L7083" i="1"/>
  <c r="A7084" i="1"/>
  <c r="B7084" i="1"/>
  <c r="C7084" i="1"/>
  <c r="D7084" i="1"/>
  <c r="Q7084" i="1"/>
  <c r="R7084" i="1"/>
  <c r="E7084" i="1"/>
  <c r="G7084" i="1"/>
  <c r="H7084" i="1"/>
  <c r="J7084" i="1"/>
  <c r="K7084" i="1"/>
  <c r="L7084" i="1"/>
  <c r="A7085" i="1"/>
  <c r="B7085" i="1"/>
  <c r="C7085" i="1"/>
  <c r="D7085" i="1"/>
  <c r="Q7085" i="1"/>
  <c r="R7085" i="1"/>
  <c r="E7085" i="1"/>
  <c r="G7085" i="1"/>
  <c r="H7085" i="1"/>
  <c r="J7085" i="1"/>
  <c r="K7085" i="1"/>
  <c r="L7085" i="1"/>
  <c r="A7086" i="1"/>
  <c r="B7086" i="1"/>
  <c r="C7086" i="1"/>
  <c r="D7086" i="1"/>
  <c r="Q7086" i="1"/>
  <c r="R7086" i="1"/>
  <c r="E7086" i="1"/>
  <c r="G7086" i="1"/>
  <c r="H7086" i="1"/>
  <c r="J7086" i="1"/>
  <c r="K7086" i="1"/>
  <c r="L7086" i="1"/>
  <c r="A7087" i="1"/>
  <c r="B7087" i="1"/>
  <c r="C7087" i="1"/>
  <c r="D7087" i="1"/>
  <c r="Q7087" i="1"/>
  <c r="R7087" i="1"/>
  <c r="E7087" i="1"/>
  <c r="G7087" i="1"/>
  <c r="H7087" i="1"/>
  <c r="J7087" i="1"/>
  <c r="K7087" i="1"/>
  <c r="L7087" i="1"/>
  <c r="A7088" i="1"/>
  <c r="B7088" i="1"/>
  <c r="C7088" i="1"/>
  <c r="D7088" i="1"/>
  <c r="Q7088" i="1"/>
  <c r="R7088" i="1"/>
  <c r="E7088" i="1"/>
  <c r="G7088" i="1"/>
  <c r="H7088" i="1"/>
  <c r="J7088" i="1"/>
  <c r="K7088" i="1"/>
  <c r="L7088" i="1"/>
  <c r="A7089" i="1"/>
  <c r="B7089" i="1"/>
  <c r="C7089" i="1"/>
  <c r="D7089" i="1"/>
  <c r="Q7089" i="1"/>
  <c r="R7089" i="1"/>
  <c r="E7089" i="1"/>
  <c r="G7089" i="1"/>
  <c r="H7089" i="1"/>
  <c r="J7089" i="1"/>
  <c r="K7089" i="1"/>
  <c r="L7089" i="1"/>
  <c r="A7090" i="1"/>
  <c r="B7090" i="1"/>
  <c r="C7090" i="1"/>
  <c r="D7090" i="1"/>
  <c r="Q7090" i="1"/>
  <c r="R7090" i="1"/>
  <c r="E7090" i="1"/>
  <c r="G7090" i="1"/>
  <c r="H7090" i="1"/>
  <c r="J7090" i="1"/>
  <c r="K7090" i="1"/>
  <c r="L7090" i="1"/>
  <c r="A7091" i="1"/>
  <c r="B7091" i="1"/>
  <c r="C7091" i="1"/>
  <c r="D7091" i="1"/>
  <c r="Q7091" i="1"/>
  <c r="R7091" i="1"/>
  <c r="E7091" i="1"/>
  <c r="G7091" i="1"/>
  <c r="H7091" i="1"/>
  <c r="J7091" i="1"/>
  <c r="K7091" i="1"/>
  <c r="L7091" i="1"/>
  <c r="A7092" i="1"/>
  <c r="B7092" i="1"/>
  <c r="C7092" i="1"/>
  <c r="D7092" i="1"/>
  <c r="Q7092" i="1"/>
  <c r="R7092" i="1"/>
  <c r="E7092" i="1"/>
  <c r="G7092" i="1"/>
  <c r="H7092" i="1"/>
  <c r="J7092" i="1"/>
  <c r="K7092" i="1"/>
  <c r="L7092" i="1"/>
  <c r="A7093" i="1"/>
  <c r="B7093" i="1"/>
  <c r="C7093" i="1"/>
  <c r="D7093" i="1"/>
  <c r="Q7093" i="1"/>
  <c r="R7093" i="1"/>
  <c r="E7093" i="1"/>
  <c r="G7093" i="1"/>
  <c r="H7093" i="1"/>
  <c r="J7093" i="1"/>
  <c r="K7093" i="1"/>
  <c r="L7093" i="1"/>
  <c r="A7094" i="1"/>
  <c r="B7094" i="1"/>
  <c r="C7094" i="1"/>
  <c r="D7094" i="1"/>
  <c r="Q7094" i="1"/>
  <c r="R7094" i="1"/>
  <c r="E7094" i="1"/>
  <c r="G7094" i="1"/>
  <c r="H7094" i="1"/>
  <c r="J7094" i="1"/>
  <c r="K7094" i="1"/>
  <c r="L7094" i="1"/>
  <c r="A7095" i="1"/>
  <c r="B7095" i="1"/>
  <c r="C7095" i="1"/>
  <c r="D7095" i="1"/>
  <c r="Q7095" i="1"/>
  <c r="R7095" i="1"/>
  <c r="E7095" i="1"/>
  <c r="G7095" i="1"/>
  <c r="H7095" i="1"/>
  <c r="J7095" i="1"/>
  <c r="K7095" i="1"/>
  <c r="L7095" i="1"/>
  <c r="A7096" i="1"/>
  <c r="B7096" i="1"/>
  <c r="C7096" i="1"/>
  <c r="D7096" i="1"/>
  <c r="Q7096" i="1"/>
  <c r="R7096" i="1"/>
  <c r="E7096" i="1"/>
  <c r="G7096" i="1"/>
  <c r="H7096" i="1"/>
  <c r="J7096" i="1"/>
  <c r="K7096" i="1"/>
  <c r="L7096" i="1"/>
  <c r="A7097" i="1"/>
  <c r="B7097" i="1"/>
  <c r="C7097" i="1"/>
  <c r="D7097" i="1"/>
  <c r="Q7097" i="1"/>
  <c r="R7097" i="1"/>
  <c r="E7097" i="1"/>
  <c r="G7097" i="1"/>
  <c r="H7097" i="1"/>
  <c r="J7097" i="1"/>
  <c r="K7097" i="1"/>
  <c r="L7097" i="1"/>
  <c r="A7098" i="1"/>
  <c r="B7098" i="1"/>
  <c r="C7098" i="1"/>
  <c r="D7098" i="1"/>
  <c r="Q7098" i="1"/>
  <c r="R7098" i="1"/>
  <c r="E7098" i="1"/>
  <c r="G7098" i="1"/>
  <c r="H7098" i="1"/>
  <c r="J7098" i="1"/>
  <c r="K7098" i="1"/>
  <c r="L7098" i="1"/>
  <c r="A7099" i="1"/>
  <c r="B7099" i="1"/>
  <c r="C7099" i="1"/>
  <c r="D7099" i="1"/>
  <c r="Q7099" i="1"/>
  <c r="R7099" i="1"/>
  <c r="E7099" i="1"/>
  <c r="G7099" i="1"/>
  <c r="H7099" i="1"/>
  <c r="J7099" i="1"/>
  <c r="K7099" i="1"/>
  <c r="L7099" i="1"/>
  <c r="A7100" i="1"/>
  <c r="B7100" i="1"/>
  <c r="C7100" i="1"/>
  <c r="D7100" i="1"/>
  <c r="Q7100" i="1"/>
  <c r="R7100" i="1"/>
  <c r="E7100" i="1"/>
  <c r="G7100" i="1"/>
  <c r="H7100" i="1"/>
  <c r="J7100" i="1"/>
  <c r="K7100" i="1"/>
  <c r="L7100" i="1"/>
  <c r="A7101" i="1"/>
  <c r="B7101" i="1"/>
  <c r="C7101" i="1"/>
  <c r="D7101" i="1"/>
  <c r="Q7101" i="1"/>
  <c r="R7101" i="1"/>
  <c r="E7101" i="1"/>
  <c r="G7101" i="1"/>
  <c r="H7101" i="1"/>
  <c r="J7101" i="1"/>
  <c r="K7101" i="1"/>
  <c r="L7101" i="1"/>
  <c r="A7102" i="1"/>
  <c r="B7102" i="1"/>
  <c r="C7102" i="1"/>
  <c r="D7102" i="1"/>
  <c r="Q7102" i="1"/>
  <c r="R7102" i="1"/>
  <c r="E7102" i="1"/>
  <c r="G7102" i="1"/>
  <c r="H7102" i="1"/>
  <c r="J7102" i="1"/>
  <c r="K7102" i="1"/>
  <c r="L7102" i="1"/>
  <c r="A7103" i="1"/>
  <c r="B7103" i="1"/>
  <c r="C7103" i="1"/>
  <c r="D7103" i="1"/>
  <c r="Q7103" i="1"/>
  <c r="R7103" i="1"/>
  <c r="E7103" i="1"/>
  <c r="G7103" i="1"/>
  <c r="H7103" i="1"/>
  <c r="J7103" i="1"/>
  <c r="K7103" i="1"/>
  <c r="L7103" i="1"/>
  <c r="A7104" i="1"/>
  <c r="B7104" i="1"/>
  <c r="C7104" i="1"/>
  <c r="D7104" i="1"/>
  <c r="Q7104" i="1"/>
  <c r="R7104" i="1"/>
  <c r="E7104" i="1"/>
  <c r="G7104" i="1"/>
  <c r="H7104" i="1"/>
  <c r="J7104" i="1"/>
  <c r="K7104" i="1"/>
  <c r="L7104" i="1"/>
  <c r="A7105" i="1"/>
  <c r="B7105" i="1"/>
  <c r="C7105" i="1"/>
  <c r="D7105" i="1"/>
  <c r="Q7105" i="1"/>
  <c r="R7105" i="1"/>
  <c r="E7105" i="1"/>
  <c r="G7105" i="1"/>
  <c r="H7105" i="1"/>
  <c r="J7105" i="1"/>
  <c r="K7105" i="1"/>
  <c r="L7105" i="1"/>
  <c r="A7106" i="1"/>
  <c r="B7106" i="1"/>
  <c r="C7106" i="1"/>
  <c r="D7106" i="1"/>
  <c r="Q7106" i="1"/>
  <c r="R7106" i="1"/>
  <c r="E7106" i="1"/>
  <c r="G7106" i="1"/>
  <c r="H7106" i="1"/>
  <c r="J7106" i="1"/>
  <c r="K7106" i="1"/>
  <c r="L7106" i="1"/>
  <c r="A7107" i="1"/>
  <c r="B7107" i="1"/>
  <c r="C7107" i="1"/>
  <c r="D7107" i="1"/>
  <c r="Q7107" i="1"/>
  <c r="R7107" i="1"/>
  <c r="E7107" i="1"/>
  <c r="G7107" i="1"/>
  <c r="H7107" i="1"/>
  <c r="J7107" i="1"/>
  <c r="K7107" i="1"/>
  <c r="L7107" i="1"/>
  <c r="A7108" i="1"/>
  <c r="B7108" i="1"/>
  <c r="C7108" i="1"/>
  <c r="D7108" i="1"/>
  <c r="Q7108" i="1"/>
  <c r="R7108" i="1"/>
  <c r="E7108" i="1"/>
  <c r="G7108" i="1"/>
  <c r="H7108" i="1"/>
  <c r="J7108" i="1"/>
  <c r="K7108" i="1"/>
  <c r="L7108" i="1"/>
  <c r="A7109" i="1"/>
  <c r="B7109" i="1"/>
  <c r="C7109" i="1"/>
  <c r="D7109" i="1"/>
  <c r="Q7109" i="1"/>
  <c r="R7109" i="1"/>
  <c r="E7109" i="1"/>
  <c r="G7109" i="1"/>
  <c r="H7109" i="1"/>
  <c r="J7109" i="1"/>
  <c r="K7109" i="1"/>
  <c r="L7109" i="1"/>
  <c r="A7110" i="1"/>
  <c r="B7110" i="1"/>
  <c r="C7110" i="1"/>
  <c r="D7110" i="1"/>
  <c r="Q7110" i="1"/>
  <c r="R7110" i="1"/>
  <c r="E7110" i="1"/>
  <c r="G7110" i="1"/>
  <c r="H7110" i="1"/>
  <c r="J7110" i="1"/>
  <c r="K7110" i="1"/>
  <c r="L7110" i="1"/>
  <c r="A7111" i="1"/>
  <c r="B7111" i="1"/>
  <c r="C7111" i="1"/>
  <c r="D7111" i="1"/>
  <c r="Q7111" i="1"/>
  <c r="R7111" i="1"/>
  <c r="E7111" i="1"/>
  <c r="G7111" i="1"/>
  <c r="H7111" i="1"/>
  <c r="J7111" i="1"/>
  <c r="K7111" i="1"/>
  <c r="L7111" i="1"/>
  <c r="A7112" i="1"/>
  <c r="B7112" i="1"/>
  <c r="C7112" i="1"/>
  <c r="D7112" i="1"/>
  <c r="Q7112" i="1"/>
  <c r="R7112" i="1"/>
  <c r="E7112" i="1"/>
  <c r="G7112" i="1"/>
  <c r="H7112" i="1"/>
  <c r="J7112" i="1"/>
  <c r="K7112" i="1"/>
  <c r="L7112" i="1"/>
  <c r="A7113" i="1"/>
  <c r="B7113" i="1"/>
  <c r="C7113" i="1"/>
  <c r="D7113" i="1"/>
  <c r="Q7113" i="1"/>
  <c r="R7113" i="1"/>
  <c r="E7113" i="1"/>
  <c r="G7113" i="1"/>
  <c r="H7113" i="1"/>
  <c r="J7113" i="1"/>
  <c r="K7113" i="1"/>
  <c r="L7113" i="1"/>
  <c r="A7114" i="1"/>
  <c r="B7114" i="1"/>
  <c r="C7114" i="1"/>
  <c r="D7114" i="1"/>
  <c r="Q7114" i="1"/>
  <c r="R7114" i="1"/>
  <c r="E7114" i="1"/>
  <c r="G7114" i="1"/>
  <c r="H7114" i="1"/>
  <c r="J7114" i="1"/>
  <c r="K7114" i="1"/>
  <c r="L7114" i="1"/>
  <c r="A7115" i="1"/>
  <c r="B7115" i="1"/>
  <c r="C7115" i="1"/>
  <c r="D7115" i="1"/>
  <c r="Q7115" i="1"/>
  <c r="R7115" i="1"/>
  <c r="E7115" i="1"/>
  <c r="G7115" i="1"/>
  <c r="H7115" i="1"/>
  <c r="J7115" i="1"/>
  <c r="K7115" i="1"/>
  <c r="L7115" i="1"/>
  <c r="A7116" i="1"/>
  <c r="B7116" i="1"/>
  <c r="C7116" i="1"/>
  <c r="D7116" i="1"/>
  <c r="Q7116" i="1"/>
  <c r="R7116" i="1"/>
  <c r="E7116" i="1"/>
  <c r="G7116" i="1"/>
  <c r="H7116" i="1"/>
  <c r="J7116" i="1"/>
  <c r="K7116" i="1"/>
  <c r="L7116" i="1"/>
  <c r="A7117" i="1"/>
  <c r="B7117" i="1"/>
  <c r="C7117" i="1"/>
  <c r="D7117" i="1"/>
  <c r="Q7117" i="1"/>
  <c r="R7117" i="1"/>
  <c r="E7117" i="1"/>
  <c r="G7117" i="1"/>
  <c r="H7117" i="1"/>
  <c r="J7117" i="1"/>
  <c r="K7117" i="1"/>
  <c r="L7117" i="1"/>
  <c r="A7118" i="1"/>
  <c r="B7118" i="1"/>
  <c r="C7118" i="1"/>
  <c r="D7118" i="1"/>
  <c r="Q7118" i="1"/>
  <c r="R7118" i="1"/>
  <c r="E7118" i="1"/>
  <c r="G7118" i="1"/>
  <c r="H7118" i="1"/>
  <c r="J7118" i="1"/>
  <c r="K7118" i="1"/>
  <c r="L7118" i="1"/>
  <c r="A7119" i="1"/>
  <c r="B7119" i="1"/>
  <c r="C7119" i="1"/>
  <c r="D7119" i="1"/>
  <c r="Q7119" i="1"/>
  <c r="R7119" i="1"/>
  <c r="E7119" i="1"/>
  <c r="G7119" i="1"/>
  <c r="H7119" i="1"/>
  <c r="J7119" i="1"/>
  <c r="K7119" i="1"/>
  <c r="L7119" i="1"/>
  <c r="A7120" i="1"/>
  <c r="B7120" i="1"/>
  <c r="C7120" i="1"/>
  <c r="D7120" i="1"/>
  <c r="Q7120" i="1"/>
  <c r="R7120" i="1"/>
  <c r="E7120" i="1"/>
  <c r="G7120" i="1"/>
  <c r="H7120" i="1"/>
  <c r="J7120" i="1"/>
  <c r="K7120" i="1"/>
  <c r="L7120" i="1"/>
  <c r="A7121" i="1"/>
  <c r="B7121" i="1"/>
  <c r="C7121" i="1"/>
  <c r="D7121" i="1"/>
  <c r="Q7121" i="1"/>
  <c r="R7121" i="1"/>
  <c r="E7121" i="1"/>
  <c r="G7121" i="1"/>
  <c r="H7121" i="1"/>
  <c r="J7121" i="1"/>
  <c r="K7121" i="1"/>
  <c r="L7121" i="1"/>
  <c r="A7122" i="1"/>
  <c r="B7122" i="1"/>
  <c r="C7122" i="1"/>
  <c r="D7122" i="1"/>
  <c r="Q7122" i="1"/>
  <c r="R7122" i="1"/>
  <c r="E7122" i="1"/>
  <c r="G7122" i="1"/>
  <c r="H7122" i="1"/>
  <c r="J7122" i="1"/>
  <c r="K7122" i="1"/>
  <c r="L7122" i="1"/>
  <c r="A7123" i="1"/>
  <c r="B7123" i="1"/>
  <c r="C7123" i="1"/>
  <c r="D7123" i="1"/>
  <c r="Q7123" i="1"/>
  <c r="R7123" i="1"/>
  <c r="E7123" i="1"/>
  <c r="G7123" i="1"/>
  <c r="H7123" i="1"/>
  <c r="J7123" i="1"/>
  <c r="K7123" i="1"/>
  <c r="L7123" i="1"/>
  <c r="A7124" i="1"/>
  <c r="B7124" i="1"/>
  <c r="C7124" i="1"/>
  <c r="D7124" i="1"/>
  <c r="Q7124" i="1"/>
  <c r="R7124" i="1"/>
  <c r="E7124" i="1"/>
  <c r="G7124" i="1"/>
  <c r="H7124" i="1"/>
  <c r="J7124" i="1"/>
  <c r="K7124" i="1"/>
  <c r="L7124" i="1"/>
  <c r="A7125" i="1"/>
  <c r="B7125" i="1"/>
  <c r="C7125" i="1"/>
  <c r="D7125" i="1"/>
  <c r="Q7125" i="1"/>
  <c r="R7125" i="1"/>
  <c r="E7125" i="1"/>
  <c r="G7125" i="1"/>
  <c r="H7125" i="1"/>
  <c r="J7125" i="1"/>
  <c r="K7125" i="1"/>
  <c r="L7125" i="1"/>
  <c r="A7126" i="1"/>
  <c r="B7126" i="1"/>
  <c r="C7126" i="1"/>
  <c r="D7126" i="1"/>
  <c r="Q7126" i="1"/>
  <c r="R7126" i="1"/>
  <c r="E7126" i="1"/>
  <c r="G7126" i="1"/>
  <c r="H7126" i="1"/>
  <c r="J7126" i="1"/>
  <c r="K7126" i="1"/>
  <c r="L7126" i="1"/>
  <c r="A7127" i="1"/>
  <c r="B7127" i="1"/>
  <c r="C7127" i="1"/>
  <c r="D7127" i="1"/>
  <c r="Q7127" i="1"/>
  <c r="R7127" i="1"/>
  <c r="E7127" i="1"/>
  <c r="G7127" i="1"/>
  <c r="H7127" i="1"/>
  <c r="J7127" i="1"/>
  <c r="K7127" i="1"/>
  <c r="L7127" i="1"/>
  <c r="A7128" i="1"/>
  <c r="B7128" i="1"/>
  <c r="C7128" i="1"/>
  <c r="D7128" i="1"/>
  <c r="Q7128" i="1"/>
  <c r="R7128" i="1"/>
  <c r="E7128" i="1"/>
  <c r="G7128" i="1"/>
  <c r="H7128" i="1"/>
  <c r="J7128" i="1"/>
  <c r="K7128" i="1"/>
  <c r="L7128" i="1"/>
  <c r="A7129" i="1"/>
  <c r="B7129" i="1"/>
  <c r="C7129" i="1"/>
  <c r="D7129" i="1"/>
  <c r="Q7129" i="1"/>
  <c r="R7129" i="1"/>
  <c r="E7129" i="1"/>
  <c r="G7129" i="1"/>
  <c r="H7129" i="1"/>
  <c r="J7129" i="1"/>
  <c r="K7129" i="1"/>
  <c r="L7129" i="1"/>
  <c r="A7130" i="1"/>
  <c r="B7130" i="1"/>
  <c r="C7130" i="1"/>
  <c r="D7130" i="1"/>
  <c r="Q7130" i="1"/>
  <c r="R7130" i="1"/>
  <c r="E7130" i="1"/>
  <c r="G7130" i="1"/>
  <c r="H7130" i="1"/>
  <c r="J7130" i="1"/>
  <c r="K7130" i="1"/>
  <c r="L7130" i="1"/>
  <c r="A7131" i="1"/>
  <c r="B7131" i="1"/>
  <c r="C7131" i="1"/>
  <c r="D7131" i="1"/>
  <c r="Q7131" i="1"/>
  <c r="R7131" i="1"/>
  <c r="E7131" i="1"/>
  <c r="G7131" i="1"/>
  <c r="H7131" i="1"/>
  <c r="J7131" i="1"/>
  <c r="K7131" i="1"/>
  <c r="L7131" i="1"/>
  <c r="A7132" i="1"/>
  <c r="B7132" i="1"/>
  <c r="C7132" i="1"/>
  <c r="D7132" i="1"/>
  <c r="Q7132" i="1"/>
  <c r="R7132" i="1"/>
  <c r="E7132" i="1"/>
  <c r="G7132" i="1"/>
  <c r="H7132" i="1"/>
  <c r="J7132" i="1"/>
  <c r="K7132" i="1"/>
  <c r="L7132" i="1"/>
  <c r="A7133" i="1"/>
  <c r="B7133" i="1"/>
  <c r="C7133" i="1"/>
  <c r="D7133" i="1"/>
  <c r="Q7133" i="1"/>
  <c r="R7133" i="1"/>
  <c r="E7133" i="1"/>
  <c r="G7133" i="1"/>
  <c r="H7133" i="1"/>
  <c r="J7133" i="1"/>
  <c r="K7133" i="1"/>
  <c r="L7133" i="1"/>
  <c r="A7134" i="1"/>
  <c r="B7134" i="1"/>
  <c r="C7134" i="1"/>
  <c r="D7134" i="1"/>
  <c r="Q7134" i="1"/>
  <c r="R7134" i="1"/>
  <c r="E7134" i="1"/>
  <c r="G7134" i="1"/>
  <c r="H7134" i="1"/>
  <c r="J7134" i="1"/>
  <c r="K7134" i="1"/>
  <c r="L7134" i="1"/>
  <c r="A7135" i="1"/>
  <c r="B7135" i="1"/>
  <c r="C7135" i="1"/>
  <c r="D7135" i="1"/>
  <c r="Q7135" i="1"/>
  <c r="R7135" i="1"/>
  <c r="E7135" i="1"/>
  <c r="G7135" i="1"/>
  <c r="H7135" i="1"/>
  <c r="J7135" i="1"/>
  <c r="K7135" i="1"/>
  <c r="L7135" i="1"/>
  <c r="A7136" i="1"/>
  <c r="B7136" i="1"/>
  <c r="C7136" i="1"/>
  <c r="D7136" i="1"/>
  <c r="Q7136" i="1"/>
  <c r="R7136" i="1"/>
  <c r="E7136" i="1"/>
  <c r="G7136" i="1"/>
  <c r="H7136" i="1"/>
  <c r="J7136" i="1"/>
  <c r="K7136" i="1"/>
  <c r="L7136" i="1"/>
  <c r="A7137" i="1"/>
  <c r="B7137" i="1"/>
  <c r="C7137" i="1"/>
  <c r="D7137" i="1"/>
  <c r="Q7137" i="1"/>
  <c r="R7137" i="1"/>
  <c r="E7137" i="1"/>
  <c r="G7137" i="1"/>
  <c r="H7137" i="1"/>
  <c r="J7137" i="1"/>
  <c r="K7137" i="1"/>
  <c r="L7137" i="1"/>
  <c r="A7138" i="1"/>
  <c r="B7138" i="1"/>
  <c r="C7138" i="1"/>
  <c r="D7138" i="1"/>
  <c r="Q7138" i="1"/>
  <c r="R7138" i="1"/>
  <c r="E7138" i="1"/>
  <c r="G7138" i="1"/>
  <c r="H7138" i="1"/>
  <c r="J7138" i="1"/>
  <c r="K7138" i="1"/>
  <c r="L7138" i="1"/>
  <c r="A7139" i="1"/>
  <c r="B7139" i="1"/>
  <c r="C7139" i="1"/>
  <c r="D7139" i="1"/>
  <c r="Q7139" i="1"/>
  <c r="R7139" i="1"/>
  <c r="E7139" i="1"/>
  <c r="G7139" i="1"/>
  <c r="H7139" i="1"/>
  <c r="J7139" i="1"/>
  <c r="K7139" i="1"/>
  <c r="L7139" i="1"/>
  <c r="A7140" i="1"/>
  <c r="B7140" i="1"/>
  <c r="C7140" i="1"/>
  <c r="D7140" i="1"/>
  <c r="Q7140" i="1"/>
  <c r="R7140" i="1"/>
  <c r="E7140" i="1"/>
  <c r="G7140" i="1"/>
  <c r="H7140" i="1"/>
  <c r="J7140" i="1"/>
  <c r="K7140" i="1"/>
  <c r="L7140" i="1"/>
  <c r="A7141" i="1"/>
  <c r="B7141" i="1"/>
  <c r="C7141" i="1"/>
  <c r="D7141" i="1"/>
  <c r="Q7141" i="1"/>
  <c r="R7141" i="1"/>
  <c r="E7141" i="1"/>
  <c r="G7141" i="1"/>
  <c r="H7141" i="1"/>
  <c r="J7141" i="1"/>
  <c r="K7141" i="1"/>
  <c r="L7141" i="1"/>
  <c r="A7142" i="1"/>
  <c r="B7142" i="1"/>
  <c r="C7142" i="1"/>
  <c r="D7142" i="1"/>
  <c r="Q7142" i="1"/>
  <c r="R7142" i="1"/>
  <c r="E7142" i="1"/>
  <c r="G7142" i="1"/>
  <c r="H7142" i="1"/>
  <c r="J7142" i="1"/>
  <c r="K7142" i="1"/>
  <c r="L7142" i="1"/>
  <c r="A7143" i="1"/>
  <c r="B7143" i="1"/>
  <c r="C7143" i="1"/>
  <c r="D7143" i="1"/>
  <c r="Q7143" i="1"/>
  <c r="R7143" i="1"/>
  <c r="E7143" i="1"/>
  <c r="G7143" i="1"/>
  <c r="H7143" i="1"/>
  <c r="J7143" i="1"/>
  <c r="K7143" i="1"/>
  <c r="L7143" i="1"/>
  <c r="A7144" i="1"/>
  <c r="B7144" i="1"/>
  <c r="C7144" i="1"/>
  <c r="D7144" i="1"/>
  <c r="Q7144" i="1"/>
  <c r="R7144" i="1"/>
  <c r="E7144" i="1"/>
  <c r="G7144" i="1"/>
  <c r="H7144" i="1"/>
  <c r="J7144" i="1"/>
  <c r="K7144" i="1"/>
  <c r="L7144" i="1"/>
  <c r="A7145" i="1"/>
  <c r="B7145" i="1"/>
  <c r="C7145" i="1"/>
  <c r="D7145" i="1"/>
  <c r="Q7145" i="1"/>
  <c r="R7145" i="1"/>
  <c r="E7145" i="1"/>
  <c r="G7145" i="1"/>
  <c r="H7145" i="1"/>
  <c r="J7145" i="1"/>
  <c r="K7145" i="1"/>
  <c r="L7145" i="1"/>
  <c r="A7146" i="1"/>
  <c r="B7146" i="1"/>
  <c r="C7146" i="1"/>
  <c r="D7146" i="1"/>
  <c r="Q7146" i="1"/>
  <c r="R7146" i="1"/>
  <c r="E7146" i="1"/>
  <c r="G7146" i="1"/>
  <c r="H7146" i="1"/>
  <c r="J7146" i="1"/>
  <c r="K7146" i="1"/>
  <c r="L7146" i="1"/>
  <c r="A7147" i="1"/>
  <c r="B7147" i="1"/>
  <c r="C7147" i="1"/>
  <c r="D7147" i="1"/>
  <c r="Q7147" i="1"/>
  <c r="R7147" i="1"/>
  <c r="E7147" i="1"/>
  <c r="G7147" i="1"/>
  <c r="H7147" i="1"/>
  <c r="J7147" i="1"/>
  <c r="K7147" i="1"/>
  <c r="L7147" i="1"/>
  <c r="A7148" i="1"/>
  <c r="B7148" i="1"/>
  <c r="C7148" i="1"/>
  <c r="D7148" i="1"/>
  <c r="Q7148" i="1"/>
  <c r="R7148" i="1"/>
  <c r="E7148" i="1"/>
  <c r="G7148" i="1"/>
  <c r="H7148" i="1"/>
  <c r="J7148" i="1"/>
  <c r="K7148" i="1"/>
  <c r="L7148" i="1"/>
  <c r="A7149" i="1"/>
  <c r="B7149" i="1"/>
  <c r="C7149" i="1"/>
  <c r="D7149" i="1"/>
  <c r="Q7149" i="1"/>
  <c r="R7149" i="1"/>
  <c r="E7149" i="1"/>
  <c r="G7149" i="1"/>
  <c r="H7149" i="1"/>
  <c r="J7149" i="1"/>
  <c r="K7149" i="1"/>
  <c r="L7149" i="1"/>
  <c r="A7150" i="1"/>
  <c r="B7150" i="1"/>
  <c r="C7150" i="1"/>
  <c r="D7150" i="1"/>
  <c r="Q7150" i="1"/>
  <c r="R7150" i="1"/>
  <c r="E7150" i="1"/>
  <c r="G7150" i="1"/>
  <c r="H7150" i="1"/>
  <c r="J7150" i="1"/>
  <c r="K7150" i="1"/>
  <c r="L7150" i="1"/>
  <c r="A7151" i="1"/>
  <c r="B7151" i="1"/>
  <c r="C7151" i="1"/>
  <c r="D7151" i="1"/>
  <c r="Q7151" i="1"/>
  <c r="R7151" i="1"/>
  <c r="E7151" i="1"/>
  <c r="G7151" i="1"/>
  <c r="H7151" i="1"/>
  <c r="J7151" i="1"/>
  <c r="K7151" i="1"/>
  <c r="L7151" i="1"/>
  <c r="A7152" i="1"/>
  <c r="B7152" i="1"/>
  <c r="C7152" i="1"/>
  <c r="D7152" i="1"/>
  <c r="Q7152" i="1"/>
  <c r="R7152" i="1"/>
  <c r="E7152" i="1"/>
  <c r="G7152" i="1"/>
  <c r="H7152" i="1"/>
  <c r="J7152" i="1"/>
  <c r="K7152" i="1"/>
  <c r="L7152" i="1"/>
  <c r="A7153" i="1"/>
  <c r="B7153" i="1"/>
  <c r="C7153" i="1"/>
  <c r="D7153" i="1"/>
  <c r="Q7153" i="1"/>
  <c r="R7153" i="1"/>
  <c r="E7153" i="1"/>
  <c r="G7153" i="1"/>
  <c r="H7153" i="1"/>
  <c r="J7153" i="1"/>
  <c r="K7153" i="1"/>
  <c r="L7153" i="1"/>
  <c r="A7154" i="1"/>
  <c r="B7154" i="1"/>
  <c r="C7154" i="1"/>
  <c r="D7154" i="1"/>
  <c r="Q7154" i="1"/>
  <c r="R7154" i="1"/>
  <c r="E7154" i="1"/>
  <c r="G7154" i="1"/>
  <c r="H7154" i="1"/>
  <c r="J7154" i="1"/>
  <c r="K7154" i="1"/>
  <c r="L7154" i="1"/>
  <c r="A4364" i="1"/>
  <c r="B4364" i="1"/>
  <c r="C4364" i="1"/>
  <c r="D4364" i="1"/>
  <c r="Q4364" i="1"/>
  <c r="R4364" i="1"/>
  <c r="E4364" i="1"/>
  <c r="G4364" i="1"/>
  <c r="H4364" i="1"/>
  <c r="J4364" i="1"/>
  <c r="K4364" i="1"/>
  <c r="L4364" i="1"/>
  <c r="A4365" i="1"/>
  <c r="B4365" i="1"/>
  <c r="C4365" i="1"/>
  <c r="D4365" i="1"/>
  <c r="Q4365" i="1"/>
  <c r="R4365" i="1"/>
  <c r="E4365" i="1"/>
  <c r="G4365" i="1"/>
  <c r="H4365" i="1"/>
  <c r="J4365" i="1"/>
  <c r="K4365" i="1"/>
  <c r="L4365" i="1"/>
  <c r="A4366" i="1"/>
  <c r="B4366" i="1"/>
  <c r="C4366" i="1"/>
  <c r="D4366" i="1"/>
  <c r="Q4366" i="1"/>
  <c r="R4366" i="1"/>
  <c r="E4366" i="1"/>
  <c r="G4366" i="1"/>
  <c r="H4366" i="1"/>
  <c r="J4366" i="1"/>
  <c r="K4366" i="1"/>
  <c r="L4366" i="1"/>
  <c r="A4367" i="1"/>
  <c r="B4367" i="1"/>
  <c r="C4367" i="1"/>
  <c r="D4367" i="1"/>
  <c r="Q4367" i="1"/>
  <c r="R4367" i="1"/>
  <c r="E4367" i="1"/>
  <c r="G4367" i="1"/>
  <c r="H4367" i="1"/>
  <c r="J4367" i="1"/>
  <c r="K4367" i="1"/>
  <c r="L4367" i="1"/>
  <c r="A4368" i="1"/>
  <c r="B4368" i="1"/>
  <c r="C4368" i="1"/>
  <c r="D4368" i="1"/>
  <c r="Q4368" i="1"/>
  <c r="R4368" i="1"/>
  <c r="E4368" i="1"/>
  <c r="G4368" i="1"/>
  <c r="H4368" i="1"/>
  <c r="J4368" i="1"/>
  <c r="K4368" i="1"/>
  <c r="L4368" i="1"/>
  <c r="A4369" i="1"/>
  <c r="B4369" i="1"/>
  <c r="C4369" i="1"/>
  <c r="D4369" i="1"/>
  <c r="Q4369" i="1"/>
  <c r="R4369" i="1"/>
  <c r="E4369" i="1"/>
  <c r="G4369" i="1"/>
  <c r="H4369" i="1"/>
  <c r="J4369" i="1"/>
  <c r="K4369" i="1"/>
  <c r="L4369" i="1"/>
  <c r="A4370" i="1"/>
  <c r="B4370" i="1"/>
  <c r="C4370" i="1"/>
  <c r="D4370" i="1"/>
  <c r="Q4370" i="1"/>
  <c r="R4370" i="1"/>
  <c r="E4370" i="1"/>
  <c r="G4370" i="1"/>
  <c r="H4370" i="1"/>
  <c r="J4370" i="1"/>
  <c r="K4370" i="1"/>
  <c r="L4370" i="1"/>
  <c r="A4371" i="1"/>
  <c r="B4371" i="1"/>
  <c r="C4371" i="1"/>
  <c r="D4371" i="1"/>
  <c r="Q4371" i="1"/>
  <c r="R4371" i="1"/>
  <c r="E4371" i="1"/>
  <c r="G4371" i="1"/>
  <c r="H4371" i="1"/>
  <c r="J4371" i="1"/>
  <c r="K4371" i="1"/>
  <c r="L4371" i="1"/>
  <c r="A4372" i="1"/>
  <c r="B4372" i="1"/>
  <c r="C4372" i="1"/>
  <c r="D4372" i="1"/>
  <c r="Q4372" i="1"/>
  <c r="R4372" i="1"/>
  <c r="E4372" i="1"/>
  <c r="G4372" i="1"/>
  <c r="H4372" i="1"/>
  <c r="J4372" i="1"/>
  <c r="K4372" i="1"/>
  <c r="L4372" i="1"/>
  <c r="A4373" i="1"/>
  <c r="B4373" i="1"/>
  <c r="C4373" i="1"/>
  <c r="D4373" i="1"/>
  <c r="Q4373" i="1"/>
  <c r="R4373" i="1"/>
  <c r="E4373" i="1"/>
  <c r="G4373" i="1"/>
  <c r="H4373" i="1"/>
  <c r="J4373" i="1"/>
  <c r="K4373" i="1"/>
  <c r="L4373" i="1"/>
  <c r="A4374" i="1"/>
  <c r="B4374" i="1"/>
  <c r="C4374" i="1"/>
  <c r="D4374" i="1"/>
  <c r="Q4374" i="1"/>
  <c r="R4374" i="1"/>
  <c r="E4374" i="1"/>
  <c r="G4374" i="1"/>
  <c r="H4374" i="1"/>
  <c r="J4374" i="1"/>
  <c r="K4374" i="1"/>
  <c r="L4374" i="1"/>
  <c r="A4375" i="1"/>
  <c r="B4375" i="1"/>
  <c r="C4375" i="1"/>
  <c r="D4375" i="1"/>
  <c r="Q4375" i="1"/>
  <c r="R4375" i="1"/>
  <c r="E4375" i="1"/>
  <c r="G4375" i="1"/>
  <c r="H4375" i="1"/>
  <c r="J4375" i="1"/>
  <c r="K4375" i="1"/>
  <c r="L4375" i="1"/>
  <c r="A4376" i="1"/>
  <c r="B4376" i="1"/>
  <c r="C4376" i="1"/>
  <c r="D4376" i="1"/>
  <c r="Q4376" i="1"/>
  <c r="R4376" i="1"/>
  <c r="E4376" i="1"/>
  <c r="G4376" i="1"/>
  <c r="H4376" i="1"/>
  <c r="J4376" i="1"/>
  <c r="K4376" i="1"/>
  <c r="L4376" i="1"/>
  <c r="A4377" i="1"/>
  <c r="B4377" i="1"/>
  <c r="C4377" i="1"/>
  <c r="D4377" i="1"/>
  <c r="Q4377" i="1"/>
  <c r="R4377" i="1"/>
  <c r="E4377" i="1"/>
  <c r="G4377" i="1"/>
  <c r="H4377" i="1"/>
  <c r="J4377" i="1"/>
  <c r="K4377" i="1"/>
  <c r="L4377" i="1"/>
  <c r="A4378" i="1"/>
  <c r="C4378" i="1"/>
  <c r="D4378" i="1"/>
  <c r="Q4378" i="1"/>
  <c r="R4378" i="1"/>
  <c r="E4378" i="1"/>
  <c r="G4378" i="1"/>
  <c r="H4378" i="1"/>
  <c r="J4378" i="1"/>
  <c r="K4378" i="1"/>
  <c r="L4378" i="1"/>
  <c r="A4379" i="1"/>
  <c r="B4379" i="1"/>
  <c r="C4379" i="1"/>
  <c r="D4379" i="1"/>
  <c r="Q4379" i="1"/>
  <c r="R4379" i="1"/>
  <c r="E4379" i="1"/>
  <c r="G4379" i="1"/>
  <c r="H4379" i="1"/>
  <c r="J4379" i="1"/>
  <c r="K4379" i="1"/>
  <c r="L4379" i="1"/>
  <c r="A4380" i="1"/>
  <c r="B4380" i="1"/>
  <c r="C4380" i="1"/>
  <c r="D4380" i="1"/>
  <c r="Q4380" i="1"/>
  <c r="R4380" i="1"/>
  <c r="E4380" i="1"/>
  <c r="G4380" i="1"/>
  <c r="H4380" i="1"/>
  <c r="J4380" i="1"/>
  <c r="K4380" i="1"/>
  <c r="L4380" i="1"/>
  <c r="A4381" i="1"/>
  <c r="B4381" i="1"/>
  <c r="C4381" i="1"/>
  <c r="D4381" i="1"/>
  <c r="Q4381" i="1"/>
  <c r="R4381" i="1"/>
  <c r="E4381" i="1"/>
  <c r="G4381" i="1"/>
  <c r="H4381" i="1"/>
  <c r="J4381" i="1"/>
  <c r="K4381" i="1"/>
  <c r="L4381" i="1"/>
  <c r="A4382" i="1"/>
  <c r="B4382" i="1"/>
  <c r="C4382" i="1"/>
  <c r="D4382" i="1"/>
  <c r="Q4382" i="1"/>
  <c r="R4382" i="1"/>
  <c r="E4382" i="1"/>
  <c r="G4382" i="1"/>
  <c r="H4382" i="1"/>
  <c r="J4382" i="1"/>
  <c r="K4382" i="1"/>
  <c r="L4382" i="1"/>
  <c r="A4383" i="1"/>
  <c r="B4383" i="1"/>
  <c r="C4383" i="1"/>
  <c r="D4383" i="1"/>
  <c r="Q4383" i="1"/>
  <c r="R4383" i="1"/>
  <c r="E4383" i="1"/>
  <c r="G4383" i="1"/>
  <c r="H4383" i="1"/>
  <c r="J4383" i="1"/>
  <c r="K4383" i="1"/>
  <c r="L4383" i="1"/>
  <c r="A4384" i="1"/>
  <c r="B4384" i="1"/>
  <c r="C4384" i="1"/>
  <c r="D4384" i="1"/>
  <c r="Q4384" i="1"/>
  <c r="R4384" i="1"/>
  <c r="E4384" i="1"/>
  <c r="F4384" i="1"/>
  <c r="G4384" i="1"/>
  <c r="H4384" i="1"/>
  <c r="J4384" i="1"/>
  <c r="K4384" i="1"/>
  <c r="L4384" i="1"/>
  <c r="A4385" i="1"/>
  <c r="B4385" i="1"/>
  <c r="C4385" i="1"/>
  <c r="D4385" i="1"/>
  <c r="Q4385" i="1"/>
  <c r="R4385" i="1"/>
  <c r="E4385" i="1"/>
  <c r="G4385" i="1"/>
  <c r="H4385" i="1"/>
  <c r="J4385" i="1"/>
  <c r="K4385" i="1"/>
  <c r="L4385" i="1"/>
  <c r="A4386" i="1"/>
  <c r="B4386" i="1"/>
  <c r="C4386" i="1"/>
  <c r="D4386" i="1"/>
  <c r="Q4386" i="1"/>
  <c r="R4386" i="1"/>
  <c r="E4386" i="1"/>
  <c r="G4386" i="1"/>
  <c r="H4386" i="1"/>
  <c r="J4386" i="1"/>
  <c r="K4386" i="1"/>
  <c r="L4386" i="1"/>
  <c r="A4387" i="1"/>
  <c r="B4387" i="1"/>
  <c r="C4387" i="1"/>
  <c r="D4387" i="1"/>
  <c r="Q4387" i="1"/>
  <c r="R4387" i="1"/>
  <c r="E4387" i="1"/>
  <c r="G4387" i="1"/>
  <c r="H4387" i="1"/>
  <c r="J4387" i="1"/>
  <c r="K4387" i="1"/>
  <c r="L4387" i="1"/>
  <c r="A4388" i="1"/>
  <c r="B4388" i="1"/>
  <c r="C4388" i="1"/>
  <c r="D4388" i="1"/>
  <c r="Q4388" i="1"/>
  <c r="R4388" i="1"/>
  <c r="E4388" i="1"/>
  <c r="G4388" i="1"/>
  <c r="H4388" i="1"/>
  <c r="J4388" i="1"/>
  <c r="K4388" i="1"/>
  <c r="L4388" i="1"/>
  <c r="A4389" i="1"/>
  <c r="B4389" i="1"/>
  <c r="C4389" i="1"/>
  <c r="D4389" i="1"/>
  <c r="Q4389" i="1"/>
  <c r="R4389" i="1"/>
  <c r="E4389" i="1"/>
  <c r="G4389" i="1"/>
  <c r="H4389" i="1"/>
  <c r="J4389" i="1"/>
  <c r="K4389" i="1"/>
  <c r="L4389" i="1"/>
  <c r="A4390" i="1"/>
  <c r="B4390" i="1"/>
  <c r="C4390" i="1"/>
  <c r="D4390" i="1"/>
  <c r="Q4390" i="1"/>
  <c r="R4390" i="1"/>
  <c r="E4390" i="1"/>
  <c r="G4390" i="1"/>
  <c r="H4390" i="1"/>
  <c r="J4390" i="1"/>
  <c r="K4390" i="1"/>
  <c r="L4390" i="1"/>
  <c r="A4391" i="1"/>
  <c r="B4391" i="1"/>
  <c r="C4391" i="1"/>
  <c r="D4391" i="1"/>
  <c r="Q4391" i="1"/>
  <c r="R4391" i="1"/>
  <c r="E4391" i="1"/>
  <c r="G4391" i="1"/>
  <c r="H4391" i="1"/>
  <c r="J4391" i="1"/>
  <c r="K4391" i="1"/>
  <c r="L4391" i="1"/>
  <c r="A4392" i="1"/>
  <c r="B4392" i="1"/>
  <c r="C4392" i="1"/>
  <c r="D4392" i="1"/>
  <c r="Q4392" i="1"/>
  <c r="R4392" i="1"/>
  <c r="E4392" i="1"/>
  <c r="G4392" i="1"/>
  <c r="H4392" i="1"/>
  <c r="J4392" i="1"/>
  <c r="K4392" i="1"/>
  <c r="L4392" i="1"/>
  <c r="A4393" i="1"/>
  <c r="B4393" i="1"/>
  <c r="C4393" i="1"/>
  <c r="D4393" i="1"/>
  <c r="Q4393" i="1"/>
  <c r="R4393" i="1"/>
  <c r="E4393" i="1"/>
  <c r="G4393" i="1"/>
  <c r="H4393" i="1"/>
  <c r="J4393" i="1"/>
  <c r="K4393" i="1"/>
  <c r="L4393" i="1"/>
  <c r="A4394" i="1"/>
  <c r="B4394" i="1"/>
  <c r="C4394" i="1"/>
  <c r="D4394" i="1"/>
  <c r="Q4394" i="1"/>
  <c r="R4394" i="1"/>
  <c r="E4394" i="1"/>
  <c r="G4394" i="1"/>
  <c r="H4394" i="1"/>
  <c r="J4394" i="1"/>
  <c r="K4394" i="1"/>
  <c r="L4394" i="1"/>
  <c r="A4395" i="1"/>
  <c r="B4395" i="1"/>
  <c r="C4395" i="1"/>
  <c r="D4395" i="1"/>
  <c r="Q4395" i="1"/>
  <c r="R4395" i="1"/>
  <c r="E4395" i="1"/>
  <c r="G4395" i="1"/>
  <c r="H4395" i="1"/>
  <c r="J4395" i="1"/>
  <c r="K4395" i="1"/>
  <c r="L4395" i="1"/>
  <c r="A4396" i="1"/>
  <c r="B4396" i="1"/>
  <c r="C4396" i="1"/>
  <c r="D4396" i="1"/>
  <c r="Q4396" i="1"/>
  <c r="R4396" i="1"/>
  <c r="E4396" i="1"/>
  <c r="G4396" i="1"/>
  <c r="H4396" i="1"/>
  <c r="J4396" i="1"/>
  <c r="K4396" i="1"/>
  <c r="L4396" i="1"/>
  <c r="A4397" i="1"/>
  <c r="B4397" i="1"/>
  <c r="C4397" i="1"/>
  <c r="D4397" i="1"/>
  <c r="Q4397" i="1"/>
  <c r="R4397" i="1"/>
  <c r="E4397" i="1"/>
  <c r="G4397" i="1"/>
  <c r="H4397" i="1"/>
  <c r="J4397" i="1"/>
  <c r="K4397" i="1"/>
  <c r="L4397" i="1"/>
  <c r="A4398" i="1"/>
  <c r="B4398" i="1"/>
  <c r="C4398" i="1"/>
  <c r="D4398" i="1"/>
  <c r="Q4398" i="1"/>
  <c r="R4398" i="1"/>
  <c r="E4398" i="1"/>
  <c r="G4398" i="1"/>
  <c r="H4398" i="1"/>
  <c r="J4398" i="1"/>
  <c r="K4398" i="1"/>
  <c r="L4398" i="1"/>
  <c r="A4407" i="1"/>
  <c r="B4407" i="1"/>
  <c r="C4407" i="1"/>
  <c r="D4407" i="1"/>
  <c r="Q4407" i="1"/>
  <c r="R4407" i="1"/>
  <c r="E4407" i="1"/>
  <c r="F4407" i="1"/>
  <c r="G4407" i="1"/>
  <c r="H4407" i="1"/>
  <c r="J4407" i="1"/>
  <c r="K4407" i="1"/>
  <c r="L4407" i="1"/>
  <c r="A4408" i="1"/>
  <c r="B4408" i="1"/>
  <c r="C4408" i="1"/>
  <c r="D4408" i="1"/>
  <c r="Q4408" i="1"/>
  <c r="R4408" i="1"/>
  <c r="E4408" i="1"/>
  <c r="F4408" i="1"/>
  <c r="G4408" i="1"/>
  <c r="H4408" i="1"/>
  <c r="J4408" i="1"/>
  <c r="K4408" i="1"/>
  <c r="L4408" i="1"/>
  <c r="A4409" i="1"/>
  <c r="B4409" i="1"/>
  <c r="C4409" i="1"/>
  <c r="D4409" i="1"/>
  <c r="Q4409" i="1"/>
  <c r="R4409" i="1"/>
  <c r="E4409" i="1"/>
  <c r="G4409" i="1"/>
  <c r="H4409" i="1"/>
  <c r="J4409" i="1"/>
  <c r="K4409" i="1"/>
  <c r="L4409" i="1"/>
  <c r="A4410" i="1"/>
  <c r="B4410" i="1"/>
  <c r="C4410" i="1"/>
  <c r="D4410" i="1"/>
  <c r="Q4410" i="1"/>
  <c r="R4410" i="1"/>
  <c r="E4410" i="1"/>
  <c r="G4410" i="1"/>
  <c r="H4410" i="1"/>
  <c r="J4410" i="1"/>
  <c r="K4410" i="1"/>
  <c r="L4410" i="1"/>
  <c r="A4411" i="1"/>
  <c r="B4411" i="1"/>
  <c r="C4411" i="1"/>
  <c r="D4411" i="1"/>
  <c r="Q4411" i="1"/>
  <c r="R4411" i="1"/>
  <c r="E4411" i="1"/>
  <c r="G4411" i="1"/>
  <c r="H4411" i="1"/>
  <c r="J4411" i="1"/>
  <c r="K4411" i="1"/>
  <c r="L4411" i="1"/>
  <c r="A4412" i="1"/>
  <c r="B4412" i="1"/>
  <c r="C4412" i="1"/>
  <c r="D4412" i="1"/>
  <c r="Q4412" i="1"/>
  <c r="R4412" i="1"/>
  <c r="E4412" i="1"/>
  <c r="G4412" i="1"/>
  <c r="H4412" i="1"/>
  <c r="J4412" i="1"/>
  <c r="K4412" i="1"/>
  <c r="L4412" i="1"/>
  <c r="A4413" i="1"/>
  <c r="B4413" i="1"/>
  <c r="C4413" i="1"/>
  <c r="D4413" i="1"/>
  <c r="Q4413" i="1"/>
  <c r="R4413" i="1"/>
  <c r="E4413" i="1"/>
  <c r="G4413" i="1"/>
  <c r="H4413" i="1"/>
  <c r="J4413" i="1"/>
  <c r="K4413" i="1"/>
  <c r="L4413" i="1"/>
  <c r="A4414" i="1"/>
  <c r="B4414" i="1"/>
  <c r="C4414" i="1"/>
  <c r="D4414" i="1"/>
  <c r="Q4414" i="1"/>
  <c r="R4414" i="1"/>
  <c r="E4414" i="1"/>
  <c r="G4414" i="1"/>
  <c r="H4414" i="1"/>
  <c r="J4414" i="1"/>
  <c r="K4414" i="1"/>
  <c r="L4414" i="1"/>
  <c r="A4415" i="1"/>
  <c r="B4415" i="1"/>
  <c r="C4415" i="1"/>
  <c r="D4415" i="1"/>
  <c r="Q4415" i="1"/>
  <c r="R4415" i="1"/>
  <c r="E4415" i="1"/>
  <c r="G4415" i="1"/>
  <c r="H4415" i="1"/>
  <c r="J4415" i="1"/>
  <c r="K4415" i="1"/>
  <c r="L4415" i="1"/>
  <c r="A4416" i="1"/>
  <c r="B4416" i="1"/>
  <c r="C4416" i="1"/>
  <c r="D4416" i="1"/>
  <c r="Q4416" i="1"/>
  <c r="R4416" i="1"/>
  <c r="E4416" i="1"/>
  <c r="G4416" i="1"/>
  <c r="H4416" i="1"/>
  <c r="J4416" i="1"/>
  <c r="K4416" i="1"/>
  <c r="L4416" i="1"/>
  <c r="A4417" i="1"/>
  <c r="B4417" i="1"/>
  <c r="C4417" i="1"/>
  <c r="D4417" i="1"/>
  <c r="Q4417" i="1"/>
  <c r="R4417" i="1"/>
  <c r="E4417" i="1"/>
  <c r="G4417" i="1"/>
  <c r="H4417" i="1"/>
  <c r="J4417" i="1"/>
  <c r="K4417" i="1"/>
  <c r="L4417" i="1"/>
  <c r="A4418" i="1"/>
  <c r="B4418" i="1"/>
  <c r="C4418" i="1"/>
  <c r="D4418" i="1"/>
  <c r="Q4418" i="1"/>
  <c r="R4418" i="1"/>
  <c r="E4418" i="1"/>
  <c r="G4418" i="1"/>
  <c r="H4418" i="1"/>
  <c r="J4418" i="1"/>
  <c r="K4418" i="1"/>
  <c r="L4418" i="1"/>
  <c r="A4419" i="1"/>
  <c r="B4419" i="1"/>
  <c r="C4419" i="1"/>
  <c r="D4419" i="1"/>
  <c r="Q4419" i="1"/>
  <c r="R4419" i="1"/>
  <c r="E4419" i="1"/>
  <c r="G4419" i="1"/>
  <c r="H4419" i="1"/>
  <c r="J4419" i="1"/>
  <c r="K4419" i="1"/>
  <c r="L4419" i="1"/>
  <c r="A4420" i="1"/>
  <c r="B4420" i="1"/>
  <c r="C4420" i="1"/>
  <c r="D4420" i="1"/>
  <c r="Q4420" i="1"/>
  <c r="R4420" i="1"/>
  <c r="E4420" i="1"/>
  <c r="G4420" i="1"/>
  <c r="H4420" i="1"/>
  <c r="J4420" i="1"/>
  <c r="K4420" i="1"/>
  <c r="L4420" i="1"/>
  <c r="A4421" i="1"/>
  <c r="B4421" i="1"/>
  <c r="C4421" i="1"/>
  <c r="D4421" i="1"/>
  <c r="Q4421" i="1"/>
  <c r="R4421" i="1"/>
  <c r="E4421" i="1"/>
  <c r="G4421" i="1"/>
  <c r="H4421" i="1"/>
  <c r="J4421" i="1"/>
  <c r="K4421" i="1"/>
  <c r="L4421" i="1"/>
  <c r="A4422" i="1"/>
  <c r="B4422" i="1"/>
  <c r="C4422" i="1"/>
  <c r="D4422" i="1"/>
  <c r="Q4422" i="1"/>
  <c r="R4422" i="1"/>
  <c r="E4422" i="1"/>
  <c r="G4422" i="1"/>
  <c r="H4422" i="1"/>
  <c r="J4422" i="1"/>
  <c r="K4422" i="1"/>
  <c r="L4422" i="1"/>
  <c r="A4423" i="1"/>
  <c r="B4423" i="1"/>
  <c r="C4423" i="1"/>
  <c r="D4423" i="1"/>
  <c r="Q4423" i="1"/>
  <c r="R4423" i="1"/>
  <c r="E4423" i="1"/>
  <c r="G4423" i="1"/>
  <c r="H4423" i="1"/>
  <c r="J4423" i="1"/>
  <c r="K4423" i="1"/>
  <c r="L4423" i="1"/>
  <c r="A4424" i="1"/>
  <c r="B4424" i="1"/>
  <c r="C4424" i="1"/>
  <c r="D4424" i="1"/>
  <c r="Q4424" i="1"/>
  <c r="R4424" i="1"/>
  <c r="E4424" i="1"/>
  <c r="G4424" i="1"/>
  <c r="H4424" i="1"/>
  <c r="J4424" i="1"/>
  <c r="K4424" i="1"/>
  <c r="L4424" i="1"/>
  <c r="A4425" i="1"/>
  <c r="B4425" i="1"/>
  <c r="C4425" i="1"/>
  <c r="D4425" i="1"/>
  <c r="Q4425" i="1"/>
  <c r="R4425" i="1"/>
  <c r="E4425" i="1"/>
  <c r="G4425" i="1"/>
  <c r="H4425" i="1"/>
  <c r="J4425" i="1"/>
  <c r="K4425" i="1"/>
  <c r="L4425" i="1"/>
  <c r="A4426" i="1"/>
  <c r="B4426" i="1"/>
  <c r="C4426" i="1"/>
  <c r="D4426" i="1"/>
  <c r="Q4426" i="1"/>
  <c r="R4426" i="1"/>
  <c r="E4426" i="1"/>
  <c r="G4426" i="1"/>
  <c r="H4426" i="1"/>
  <c r="J4426" i="1"/>
  <c r="K4426" i="1"/>
  <c r="L4426" i="1"/>
  <c r="A4427" i="1"/>
  <c r="B4427" i="1"/>
  <c r="C4427" i="1"/>
  <c r="D4427" i="1"/>
  <c r="Q4427" i="1"/>
  <c r="R4427" i="1"/>
  <c r="E4427" i="1"/>
  <c r="G4427" i="1"/>
  <c r="H4427" i="1"/>
  <c r="J4427" i="1"/>
  <c r="K4427" i="1"/>
  <c r="L4427" i="1"/>
  <c r="A4428" i="1"/>
  <c r="B4428" i="1"/>
  <c r="C4428" i="1"/>
  <c r="D4428" i="1"/>
  <c r="Q4428" i="1"/>
  <c r="R4428" i="1"/>
  <c r="E4428" i="1"/>
  <c r="G4428" i="1"/>
  <c r="H4428" i="1"/>
  <c r="J4428" i="1"/>
  <c r="K4428" i="1"/>
  <c r="L4428" i="1"/>
  <c r="A4429" i="1"/>
  <c r="B4429" i="1"/>
  <c r="C4429" i="1"/>
  <c r="D4429" i="1"/>
  <c r="Q4429" i="1"/>
  <c r="R4429" i="1"/>
  <c r="E4429" i="1"/>
  <c r="G4429" i="1"/>
  <c r="H4429" i="1"/>
  <c r="J4429" i="1"/>
  <c r="K4429" i="1"/>
  <c r="L4429" i="1"/>
  <c r="A4430" i="1"/>
  <c r="B4430" i="1"/>
  <c r="C4430" i="1"/>
  <c r="D4430" i="1"/>
  <c r="Q4430" i="1"/>
  <c r="R4430" i="1"/>
  <c r="E4430" i="1"/>
  <c r="G4430" i="1"/>
  <c r="H4430" i="1"/>
  <c r="J4430" i="1"/>
  <c r="K4430" i="1"/>
  <c r="L4430" i="1"/>
  <c r="A4431" i="1"/>
  <c r="B4431" i="1"/>
  <c r="C4431" i="1"/>
  <c r="D4431" i="1"/>
  <c r="Q4431" i="1"/>
  <c r="R4431" i="1"/>
  <c r="E4431" i="1"/>
  <c r="G4431" i="1"/>
  <c r="H4431" i="1"/>
  <c r="J4431" i="1"/>
  <c r="K4431" i="1"/>
  <c r="L4431" i="1"/>
  <c r="A4432" i="1"/>
  <c r="B4432" i="1"/>
  <c r="C4432" i="1"/>
  <c r="D4432" i="1"/>
  <c r="Q4432" i="1"/>
  <c r="R4432" i="1"/>
  <c r="E4432" i="1"/>
  <c r="G4432" i="1"/>
  <c r="H4432" i="1"/>
  <c r="J4432" i="1"/>
  <c r="K4432" i="1"/>
  <c r="L4432" i="1"/>
  <c r="A4433" i="1"/>
  <c r="B4433" i="1"/>
  <c r="C4433" i="1"/>
  <c r="D4433" i="1"/>
  <c r="Q4433" i="1"/>
  <c r="R4433" i="1"/>
  <c r="E4433" i="1"/>
  <c r="G4433" i="1"/>
  <c r="H4433" i="1"/>
  <c r="J4433" i="1"/>
  <c r="K4433" i="1"/>
  <c r="L4433" i="1"/>
  <c r="A4434" i="1"/>
  <c r="B4434" i="1"/>
  <c r="C4434" i="1"/>
  <c r="D4434" i="1"/>
  <c r="Q4434" i="1"/>
  <c r="R4434" i="1"/>
  <c r="E4434" i="1"/>
  <c r="G4434" i="1"/>
  <c r="H4434" i="1"/>
  <c r="J4434" i="1"/>
  <c r="K4434" i="1"/>
  <c r="L4434" i="1"/>
  <c r="A4435" i="1"/>
  <c r="B4435" i="1"/>
  <c r="C4435" i="1"/>
  <c r="D4435" i="1"/>
  <c r="Q4435" i="1"/>
  <c r="R4435" i="1"/>
  <c r="E4435" i="1"/>
  <c r="G4435" i="1"/>
  <c r="H4435" i="1"/>
  <c r="J4435" i="1"/>
  <c r="K4435" i="1"/>
  <c r="L4435" i="1"/>
  <c r="A4436" i="1"/>
  <c r="B4436" i="1"/>
  <c r="C4436" i="1"/>
  <c r="D4436" i="1"/>
  <c r="Q4436" i="1"/>
  <c r="R4436" i="1"/>
  <c r="E4436" i="1"/>
  <c r="G4436" i="1"/>
  <c r="H4436" i="1"/>
  <c r="J4436" i="1"/>
  <c r="K4436" i="1"/>
  <c r="L4436" i="1"/>
  <c r="A4437" i="1"/>
  <c r="B4437" i="1"/>
  <c r="C4437" i="1"/>
  <c r="D4437" i="1"/>
  <c r="Q4437" i="1"/>
  <c r="R4437" i="1"/>
  <c r="E4437" i="1"/>
  <c r="G4437" i="1"/>
  <c r="H4437" i="1"/>
  <c r="J4437" i="1"/>
  <c r="K4437" i="1"/>
  <c r="L4437" i="1"/>
  <c r="A4438" i="1"/>
  <c r="B4438" i="1"/>
  <c r="C4438" i="1"/>
  <c r="D4438" i="1"/>
  <c r="Q4438" i="1"/>
  <c r="R4438" i="1"/>
  <c r="E4438" i="1"/>
  <c r="G4438" i="1"/>
  <c r="H4438" i="1"/>
  <c r="J4438" i="1"/>
  <c r="K4438" i="1"/>
  <c r="L4438" i="1"/>
  <c r="A4439" i="1"/>
  <c r="B4439" i="1"/>
  <c r="C4439" i="1"/>
  <c r="D4439" i="1"/>
  <c r="Q4439" i="1"/>
  <c r="R4439" i="1"/>
  <c r="E4439" i="1"/>
  <c r="G4439" i="1"/>
  <c r="H4439" i="1"/>
  <c r="J4439" i="1"/>
  <c r="K4439" i="1"/>
  <c r="L4439" i="1"/>
  <c r="A4440" i="1"/>
  <c r="B4440" i="1"/>
  <c r="C4440" i="1"/>
  <c r="D4440" i="1"/>
  <c r="Q4440" i="1"/>
  <c r="R4440" i="1"/>
  <c r="E4440" i="1"/>
  <c r="G4440" i="1"/>
  <c r="H4440" i="1"/>
  <c r="J4440" i="1"/>
  <c r="K4440" i="1"/>
  <c r="L4440" i="1"/>
  <c r="A4441" i="1"/>
  <c r="B4441" i="1"/>
  <c r="C4441" i="1"/>
  <c r="D4441" i="1"/>
  <c r="Q4441" i="1"/>
  <c r="R4441" i="1"/>
  <c r="E4441" i="1"/>
  <c r="G4441" i="1"/>
  <c r="H4441" i="1"/>
  <c r="J4441" i="1"/>
  <c r="K4441" i="1"/>
  <c r="L4441" i="1"/>
  <c r="A4442" i="1"/>
  <c r="B4442" i="1"/>
  <c r="C4442" i="1"/>
  <c r="D4442" i="1"/>
  <c r="Q4442" i="1"/>
  <c r="R4442" i="1"/>
  <c r="E4442" i="1"/>
  <c r="G4442" i="1"/>
  <c r="H4442" i="1"/>
  <c r="J4442" i="1"/>
  <c r="K4442" i="1"/>
  <c r="L4442" i="1"/>
  <c r="A4443" i="1"/>
  <c r="B4443" i="1"/>
  <c r="C4443" i="1"/>
  <c r="D4443" i="1"/>
  <c r="Q4443" i="1"/>
  <c r="R4443" i="1"/>
  <c r="E4443" i="1"/>
  <c r="G4443" i="1"/>
  <c r="H4443" i="1"/>
  <c r="J4443" i="1"/>
  <c r="K4443" i="1"/>
  <c r="L4443" i="1"/>
  <c r="A4444" i="1"/>
  <c r="B4444" i="1"/>
  <c r="C4444" i="1"/>
  <c r="D4444" i="1"/>
  <c r="Q4444" i="1"/>
  <c r="R4444" i="1"/>
  <c r="E4444" i="1"/>
  <c r="G4444" i="1"/>
  <c r="H4444" i="1"/>
  <c r="J4444" i="1"/>
  <c r="K4444" i="1"/>
  <c r="L4444" i="1"/>
  <c r="A4445" i="1"/>
  <c r="B4445" i="1"/>
  <c r="C4445" i="1"/>
  <c r="D4445" i="1"/>
  <c r="Q4445" i="1"/>
  <c r="R4445" i="1"/>
  <c r="E4445" i="1"/>
  <c r="G4445" i="1"/>
  <c r="H4445" i="1"/>
  <c r="J4445" i="1"/>
  <c r="K4445" i="1"/>
  <c r="L4445" i="1"/>
  <c r="A4446" i="1"/>
  <c r="B4446" i="1"/>
  <c r="C4446" i="1"/>
  <c r="D4446" i="1"/>
  <c r="Q4446" i="1"/>
  <c r="R4446" i="1"/>
  <c r="E4446" i="1"/>
  <c r="G4446" i="1"/>
  <c r="H4446" i="1"/>
  <c r="J4446" i="1"/>
  <c r="K4446" i="1"/>
  <c r="L4446" i="1"/>
  <c r="A4447" i="1"/>
  <c r="B4447" i="1"/>
  <c r="C4447" i="1"/>
  <c r="D4447" i="1"/>
  <c r="Q4447" i="1"/>
  <c r="R4447" i="1"/>
  <c r="E4447" i="1"/>
  <c r="G4447" i="1"/>
  <c r="H4447" i="1"/>
  <c r="J4447" i="1"/>
  <c r="K4447" i="1"/>
  <c r="L4447" i="1"/>
  <c r="A4448" i="1"/>
  <c r="B4448" i="1"/>
  <c r="C4448" i="1"/>
  <c r="D4448" i="1"/>
  <c r="Q4448" i="1"/>
  <c r="R4448" i="1"/>
  <c r="E4448" i="1"/>
  <c r="G4448" i="1"/>
  <c r="H4448" i="1"/>
  <c r="J4448" i="1"/>
  <c r="K4448" i="1"/>
  <c r="L4448" i="1"/>
  <c r="A6846" i="1"/>
  <c r="B6846" i="1"/>
  <c r="C6846" i="1"/>
  <c r="D6846" i="1"/>
  <c r="Q6846" i="1"/>
  <c r="R6846" i="1"/>
  <c r="E6846" i="1"/>
  <c r="G6846" i="1"/>
  <c r="H6846" i="1"/>
  <c r="J6846" i="1"/>
  <c r="K6846" i="1"/>
  <c r="L6846" i="1"/>
  <c r="A6847" i="1"/>
  <c r="B6847" i="1"/>
  <c r="C6847" i="1"/>
  <c r="D6847" i="1"/>
  <c r="Q6847" i="1"/>
  <c r="R6847" i="1"/>
  <c r="E6847" i="1"/>
  <c r="G6847" i="1"/>
  <c r="H6847" i="1"/>
  <c r="J6847" i="1"/>
  <c r="K6847" i="1"/>
  <c r="L6847" i="1"/>
  <c r="A6848" i="1"/>
  <c r="B6848" i="1"/>
  <c r="C6848" i="1"/>
  <c r="D6848" i="1"/>
  <c r="Q6848" i="1"/>
  <c r="R6848" i="1"/>
  <c r="E6848" i="1"/>
  <c r="G6848" i="1"/>
  <c r="H6848" i="1"/>
  <c r="J6848" i="1"/>
  <c r="K6848" i="1"/>
  <c r="L6848" i="1"/>
  <c r="A6849" i="1"/>
  <c r="B6849" i="1"/>
  <c r="C6849" i="1"/>
  <c r="D6849" i="1"/>
  <c r="Q6849" i="1"/>
  <c r="R6849" i="1"/>
  <c r="E6849" i="1"/>
  <c r="G6849" i="1"/>
  <c r="H6849" i="1"/>
  <c r="J6849" i="1"/>
  <c r="K6849" i="1"/>
  <c r="L6849" i="1"/>
  <c r="A6850" i="1"/>
  <c r="B6850" i="1"/>
  <c r="C6850" i="1"/>
  <c r="D6850" i="1"/>
  <c r="Q6850" i="1"/>
  <c r="R6850" i="1"/>
  <c r="E6850" i="1"/>
  <c r="G6850" i="1"/>
  <c r="H6850" i="1"/>
  <c r="J6850" i="1"/>
  <c r="K6850" i="1"/>
  <c r="L6850" i="1"/>
  <c r="A6851" i="1"/>
  <c r="B6851" i="1"/>
  <c r="C6851" i="1"/>
  <c r="D6851" i="1"/>
  <c r="Q6851" i="1"/>
  <c r="R6851" i="1"/>
  <c r="E6851" i="1"/>
  <c r="G6851" i="1"/>
  <c r="H6851" i="1"/>
  <c r="J6851" i="1"/>
  <c r="K6851" i="1"/>
  <c r="L6851" i="1"/>
  <c r="A6852" i="1"/>
  <c r="B6852" i="1"/>
  <c r="C6852" i="1"/>
  <c r="D6852" i="1"/>
  <c r="Q6852" i="1"/>
  <c r="R6852" i="1"/>
  <c r="E6852" i="1"/>
  <c r="G6852" i="1"/>
  <c r="H6852" i="1"/>
  <c r="J6852" i="1"/>
  <c r="K6852" i="1"/>
  <c r="L6852" i="1"/>
  <c r="A6853" i="1"/>
  <c r="B6853" i="1"/>
  <c r="C6853" i="1"/>
  <c r="D6853" i="1"/>
  <c r="Q6853" i="1"/>
  <c r="R6853" i="1"/>
  <c r="E6853" i="1"/>
  <c r="G6853" i="1"/>
  <c r="H6853" i="1"/>
  <c r="J6853" i="1"/>
  <c r="K6853" i="1"/>
  <c r="L6853" i="1"/>
  <c r="A6854" i="1"/>
  <c r="B6854" i="1"/>
  <c r="C6854" i="1"/>
  <c r="D6854" i="1"/>
  <c r="Q6854" i="1"/>
  <c r="R6854" i="1"/>
  <c r="E6854" i="1"/>
  <c r="G6854" i="1"/>
  <c r="H6854" i="1"/>
  <c r="J6854" i="1"/>
  <c r="K6854" i="1"/>
  <c r="L6854" i="1"/>
  <c r="A6855" i="1"/>
  <c r="B6855" i="1"/>
  <c r="C6855" i="1"/>
  <c r="D6855" i="1"/>
  <c r="Q6855" i="1"/>
  <c r="R6855" i="1"/>
  <c r="E6855" i="1"/>
  <c r="G6855" i="1"/>
  <c r="H6855" i="1"/>
  <c r="J6855" i="1"/>
  <c r="K6855" i="1"/>
  <c r="L6855" i="1"/>
  <c r="A6856" i="1"/>
  <c r="B6856" i="1"/>
  <c r="C6856" i="1"/>
  <c r="D6856" i="1"/>
  <c r="Q6856" i="1"/>
  <c r="R6856" i="1"/>
  <c r="E6856" i="1"/>
  <c r="G6856" i="1"/>
  <c r="H6856" i="1"/>
  <c r="J6856" i="1"/>
  <c r="K6856" i="1"/>
  <c r="L6856" i="1"/>
  <c r="A6857" i="1"/>
  <c r="B6857" i="1"/>
  <c r="C6857" i="1"/>
  <c r="D6857" i="1"/>
  <c r="Q6857" i="1"/>
  <c r="R6857" i="1"/>
  <c r="E6857" i="1"/>
  <c r="G6857" i="1"/>
  <c r="H6857" i="1"/>
  <c r="J6857" i="1"/>
  <c r="K6857" i="1"/>
  <c r="L6857" i="1"/>
  <c r="A6858" i="1"/>
  <c r="B6858" i="1"/>
  <c r="C6858" i="1"/>
  <c r="D6858" i="1"/>
  <c r="Q6858" i="1"/>
  <c r="R6858" i="1"/>
  <c r="E6858" i="1"/>
  <c r="G6858" i="1"/>
  <c r="H6858" i="1"/>
  <c r="J6858" i="1"/>
  <c r="K6858" i="1"/>
  <c r="L6858" i="1"/>
  <c r="A6859" i="1"/>
  <c r="B6859" i="1"/>
  <c r="C6859" i="1"/>
  <c r="D6859" i="1"/>
  <c r="Q6859" i="1"/>
  <c r="R6859" i="1"/>
  <c r="E6859" i="1"/>
  <c r="G6859" i="1"/>
  <c r="H6859" i="1"/>
  <c r="J6859" i="1"/>
  <c r="K6859" i="1"/>
  <c r="L6859" i="1"/>
  <c r="A6860" i="1"/>
  <c r="B6860" i="1"/>
  <c r="C6860" i="1"/>
  <c r="D6860" i="1"/>
  <c r="Q6860" i="1"/>
  <c r="R6860" i="1"/>
  <c r="E6860" i="1"/>
  <c r="G6860" i="1"/>
  <c r="H6860" i="1"/>
  <c r="J6860" i="1"/>
  <c r="K6860" i="1"/>
  <c r="L6860" i="1"/>
  <c r="A6861" i="1"/>
  <c r="B6861" i="1"/>
  <c r="C6861" i="1"/>
  <c r="D6861" i="1"/>
  <c r="Q6861" i="1"/>
  <c r="R6861" i="1"/>
  <c r="E6861" i="1"/>
  <c r="G6861" i="1"/>
  <c r="H6861" i="1"/>
  <c r="J6861" i="1"/>
  <c r="K6861" i="1"/>
  <c r="L6861" i="1"/>
  <c r="A6862" i="1"/>
  <c r="B6862" i="1"/>
  <c r="C6862" i="1"/>
  <c r="D6862" i="1"/>
  <c r="Q6862" i="1"/>
  <c r="R6862" i="1"/>
  <c r="E6862" i="1"/>
  <c r="G6862" i="1"/>
  <c r="H6862" i="1"/>
  <c r="J6862" i="1"/>
  <c r="K6862" i="1"/>
  <c r="L6862" i="1"/>
  <c r="A6863" i="1"/>
  <c r="B6863" i="1"/>
  <c r="C6863" i="1"/>
  <c r="D6863" i="1"/>
  <c r="Q6863" i="1"/>
  <c r="R6863" i="1"/>
  <c r="E6863" i="1"/>
  <c r="G6863" i="1"/>
  <c r="H6863" i="1"/>
  <c r="J6863" i="1"/>
  <c r="K6863" i="1"/>
  <c r="L6863" i="1"/>
  <c r="A6864" i="1"/>
  <c r="B6864" i="1"/>
  <c r="C6864" i="1"/>
  <c r="D6864" i="1"/>
  <c r="Q6864" i="1"/>
  <c r="R6864" i="1"/>
  <c r="E6864" i="1"/>
  <c r="G6864" i="1"/>
  <c r="H6864" i="1"/>
  <c r="J6864" i="1"/>
  <c r="K6864" i="1"/>
  <c r="L6864" i="1"/>
  <c r="A4449" i="1"/>
  <c r="B4449" i="1"/>
  <c r="C4449" i="1"/>
  <c r="D4449" i="1"/>
  <c r="Q4449" i="1"/>
  <c r="R4449" i="1"/>
  <c r="E4449" i="1"/>
  <c r="G4449" i="1"/>
  <c r="H4449" i="1"/>
  <c r="J4449" i="1"/>
  <c r="K4449" i="1"/>
  <c r="L4449" i="1"/>
  <c r="A4450" i="1"/>
  <c r="B4450" i="1"/>
  <c r="C4450" i="1"/>
  <c r="D4450" i="1"/>
  <c r="Q4450" i="1"/>
  <c r="R4450" i="1"/>
  <c r="E4450" i="1"/>
  <c r="G4450" i="1"/>
  <c r="H4450" i="1"/>
  <c r="J4450" i="1"/>
  <c r="K4450" i="1"/>
  <c r="L4450" i="1"/>
  <c r="A4451" i="1"/>
  <c r="B4451" i="1"/>
  <c r="C4451" i="1"/>
  <c r="D4451" i="1"/>
  <c r="Q4451" i="1"/>
  <c r="R4451" i="1"/>
  <c r="E4451" i="1"/>
  <c r="G4451" i="1"/>
  <c r="H4451" i="1"/>
  <c r="J4451" i="1"/>
  <c r="K4451" i="1"/>
  <c r="L4451" i="1"/>
  <c r="A4452" i="1"/>
  <c r="B4452" i="1"/>
  <c r="C4452" i="1"/>
  <c r="D4452" i="1"/>
  <c r="Q4452" i="1"/>
  <c r="R4452" i="1"/>
  <c r="E4452" i="1"/>
  <c r="G4452" i="1"/>
  <c r="H4452" i="1"/>
  <c r="J4452" i="1"/>
  <c r="K4452" i="1"/>
  <c r="L4452" i="1"/>
  <c r="A4453" i="1"/>
  <c r="B4453" i="1"/>
  <c r="C4453" i="1"/>
  <c r="D4453" i="1"/>
  <c r="Q4453" i="1"/>
  <c r="R4453" i="1"/>
  <c r="E4453" i="1"/>
  <c r="G4453" i="1"/>
  <c r="H4453" i="1"/>
  <c r="J4453" i="1"/>
  <c r="K4453" i="1"/>
  <c r="L4453" i="1"/>
  <c r="A4454" i="1"/>
  <c r="B4454" i="1"/>
  <c r="C4454" i="1"/>
  <c r="D4454" i="1"/>
  <c r="Q4454" i="1"/>
  <c r="R4454" i="1"/>
  <c r="E4454" i="1"/>
  <c r="G4454" i="1"/>
  <c r="H4454" i="1"/>
  <c r="J4454" i="1"/>
  <c r="K4454" i="1"/>
  <c r="L4454" i="1"/>
  <c r="A4455" i="1"/>
  <c r="B4455" i="1"/>
  <c r="C4455" i="1"/>
  <c r="D4455" i="1"/>
  <c r="Q4455" i="1"/>
  <c r="R4455" i="1"/>
  <c r="E4455" i="1"/>
  <c r="G4455" i="1"/>
  <c r="H4455" i="1"/>
  <c r="J4455" i="1"/>
  <c r="K4455" i="1"/>
  <c r="L4455" i="1"/>
  <c r="A4456" i="1"/>
  <c r="B4456" i="1"/>
  <c r="C4456" i="1"/>
  <c r="D4456" i="1"/>
  <c r="Q4456" i="1"/>
  <c r="R4456" i="1"/>
  <c r="E4456" i="1"/>
  <c r="G4456" i="1"/>
  <c r="H4456" i="1"/>
  <c r="J4456" i="1"/>
  <c r="K4456" i="1"/>
  <c r="L4456" i="1"/>
  <c r="A4457" i="1"/>
  <c r="B4457" i="1"/>
  <c r="C4457" i="1"/>
  <c r="D4457" i="1"/>
  <c r="Q4457" i="1"/>
  <c r="R4457" i="1"/>
  <c r="E4457" i="1"/>
  <c r="G4457" i="1"/>
  <c r="H4457" i="1"/>
  <c r="J4457" i="1"/>
  <c r="K4457" i="1"/>
  <c r="L4457" i="1"/>
  <c r="A4458" i="1"/>
  <c r="B4458" i="1"/>
  <c r="C4458" i="1"/>
  <c r="D4458" i="1"/>
  <c r="Q4458" i="1"/>
  <c r="R4458" i="1"/>
  <c r="E4458" i="1"/>
  <c r="G4458" i="1"/>
  <c r="H4458" i="1"/>
  <c r="J4458" i="1"/>
  <c r="K4458" i="1"/>
  <c r="L4458" i="1"/>
  <c r="A4459" i="1"/>
  <c r="B4459" i="1"/>
  <c r="C4459" i="1"/>
  <c r="D4459" i="1"/>
  <c r="Q4459" i="1"/>
  <c r="R4459" i="1"/>
  <c r="E4459" i="1"/>
  <c r="G4459" i="1"/>
  <c r="H4459" i="1"/>
  <c r="J4459" i="1"/>
  <c r="K4459" i="1"/>
  <c r="L4459" i="1"/>
  <c r="A4460" i="1"/>
  <c r="B4460" i="1"/>
  <c r="C4460" i="1"/>
  <c r="D4460" i="1"/>
  <c r="Q4460" i="1"/>
  <c r="R4460" i="1"/>
  <c r="E4460" i="1"/>
  <c r="G4460" i="1"/>
  <c r="H4460" i="1"/>
  <c r="J4460" i="1"/>
  <c r="K4460" i="1"/>
  <c r="L4460" i="1"/>
  <c r="A4461" i="1"/>
  <c r="B4461" i="1"/>
  <c r="C4461" i="1"/>
  <c r="D4461" i="1"/>
  <c r="Q4461" i="1"/>
  <c r="R4461" i="1"/>
  <c r="E4461" i="1"/>
  <c r="G4461" i="1"/>
  <c r="H4461" i="1"/>
  <c r="J4461" i="1"/>
  <c r="K4461" i="1"/>
  <c r="L4461" i="1"/>
  <c r="A4462" i="1"/>
  <c r="B4462" i="1"/>
  <c r="C4462" i="1"/>
  <c r="D4462" i="1"/>
  <c r="Q4462" i="1"/>
  <c r="R4462" i="1"/>
  <c r="E4462" i="1"/>
  <c r="G4462" i="1"/>
  <c r="H4462" i="1"/>
  <c r="J4462" i="1"/>
  <c r="K4462" i="1"/>
  <c r="L4462" i="1"/>
  <c r="A4463" i="1"/>
  <c r="B4463" i="1"/>
  <c r="C4463" i="1"/>
  <c r="D4463" i="1"/>
  <c r="Q4463" i="1"/>
  <c r="R4463" i="1"/>
  <c r="E4463" i="1"/>
  <c r="G4463" i="1"/>
  <c r="H4463" i="1"/>
  <c r="J4463" i="1"/>
  <c r="K4463" i="1"/>
  <c r="L4463" i="1"/>
  <c r="A4464" i="1"/>
  <c r="B4464" i="1"/>
  <c r="C4464" i="1"/>
  <c r="D4464" i="1"/>
  <c r="Q4464" i="1"/>
  <c r="R4464" i="1"/>
  <c r="E4464" i="1"/>
  <c r="G4464" i="1"/>
  <c r="H4464" i="1"/>
  <c r="J4464" i="1"/>
  <c r="K4464" i="1"/>
  <c r="L4464" i="1"/>
  <c r="A4465" i="1"/>
  <c r="B4465" i="1"/>
  <c r="C4465" i="1"/>
  <c r="D4465" i="1"/>
  <c r="Q4465" i="1"/>
  <c r="R4465" i="1"/>
  <c r="E4465" i="1"/>
  <c r="G4465" i="1"/>
  <c r="H4465" i="1"/>
  <c r="J4465" i="1"/>
  <c r="K4465" i="1"/>
  <c r="L4465" i="1"/>
  <c r="A4466" i="1"/>
  <c r="B4466" i="1"/>
  <c r="C4466" i="1"/>
  <c r="D4466" i="1"/>
  <c r="Q4466" i="1"/>
  <c r="R4466" i="1"/>
  <c r="E4466" i="1"/>
  <c r="G4466" i="1"/>
  <c r="H4466" i="1"/>
  <c r="J4466" i="1"/>
  <c r="K4466" i="1"/>
  <c r="L4466" i="1"/>
  <c r="A4467" i="1"/>
  <c r="B4467" i="1"/>
  <c r="C4467" i="1"/>
  <c r="D4467" i="1"/>
  <c r="Q4467" i="1"/>
  <c r="R4467" i="1"/>
  <c r="E4467" i="1"/>
  <c r="G4467" i="1"/>
  <c r="H4467" i="1"/>
  <c r="J4467" i="1"/>
  <c r="K4467" i="1"/>
  <c r="L4467" i="1"/>
  <c r="A4468" i="1"/>
  <c r="B4468" i="1"/>
  <c r="C4468" i="1"/>
  <c r="D4468" i="1"/>
  <c r="Q4468" i="1"/>
  <c r="R4468" i="1"/>
  <c r="E4468" i="1"/>
  <c r="G4468" i="1"/>
  <c r="H4468" i="1"/>
  <c r="J4468" i="1"/>
  <c r="K4468" i="1"/>
  <c r="L4468" i="1"/>
  <c r="A4469" i="1"/>
  <c r="B4469" i="1"/>
  <c r="C4469" i="1"/>
  <c r="D4469" i="1"/>
  <c r="Q4469" i="1"/>
  <c r="R4469" i="1"/>
  <c r="E4469" i="1"/>
  <c r="G4469" i="1"/>
  <c r="H4469" i="1"/>
  <c r="J4469" i="1"/>
  <c r="K4469" i="1"/>
  <c r="L4469" i="1"/>
  <c r="A4470" i="1"/>
  <c r="B4470" i="1"/>
  <c r="C4470" i="1"/>
  <c r="D4470" i="1"/>
  <c r="Q4470" i="1"/>
  <c r="R4470" i="1"/>
  <c r="E4470" i="1"/>
  <c r="G4470" i="1"/>
  <c r="H4470" i="1"/>
  <c r="J4470" i="1"/>
  <c r="K4470" i="1"/>
  <c r="L4470" i="1"/>
  <c r="A4471" i="1"/>
  <c r="B4471" i="1"/>
  <c r="C4471" i="1"/>
  <c r="D4471" i="1"/>
  <c r="Q4471" i="1"/>
  <c r="R4471" i="1"/>
  <c r="E4471" i="1"/>
  <c r="G4471" i="1"/>
  <c r="H4471" i="1"/>
  <c r="J4471" i="1"/>
  <c r="K4471" i="1"/>
  <c r="L4471" i="1"/>
  <c r="A4472" i="1"/>
  <c r="B4472" i="1"/>
  <c r="C4472" i="1"/>
  <c r="D4472" i="1"/>
  <c r="Q4472" i="1"/>
  <c r="R4472" i="1"/>
  <c r="E4472" i="1"/>
  <c r="G4472" i="1"/>
  <c r="H4472" i="1"/>
  <c r="J4472" i="1"/>
  <c r="K4472" i="1"/>
  <c r="L4472" i="1"/>
  <c r="A4473" i="1"/>
  <c r="B4473" i="1"/>
  <c r="C4473" i="1"/>
  <c r="D4473" i="1"/>
  <c r="Q4473" i="1"/>
  <c r="R4473" i="1"/>
  <c r="E4473" i="1"/>
  <c r="G4473" i="1"/>
  <c r="H4473" i="1"/>
  <c r="J4473" i="1"/>
  <c r="K4473" i="1"/>
  <c r="L4473" i="1"/>
  <c r="A4474" i="1"/>
  <c r="B4474" i="1"/>
  <c r="C4474" i="1"/>
  <c r="D4474" i="1"/>
  <c r="Q4474" i="1"/>
  <c r="R4474" i="1"/>
  <c r="E4474" i="1"/>
  <c r="G4474" i="1"/>
  <c r="H4474" i="1"/>
  <c r="J4474" i="1"/>
  <c r="K4474" i="1"/>
  <c r="L4474" i="1"/>
  <c r="A4475" i="1"/>
  <c r="B4475" i="1"/>
  <c r="C4475" i="1"/>
  <c r="D4475" i="1"/>
  <c r="Q4475" i="1"/>
  <c r="R4475" i="1"/>
  <c r="E4475" i="1"/>
  <c r="G4475" i="1"/>
  <c r="H4475" i="1"/>
  <c r="J4475" i="1"/>
  <c r="K4475" i="1"/>
  <c r="L4475" i="1"/>
  <c r="A4476" i="1"/>
  <c r="B4476" i="1"/>
  <c r="C4476" i="1"/>
  <c r="D4476" i="1"/>
  <c r="Q4476" i="1"/>
  <c r="R4476" i="1"/>
  <c r="E4476" i="1"/>
  <c r="G4476" i="1"/>
  <c r="H4476" i="1"/>
  <c r="J4476" i="1"/>
  <c r="K4476" i="1"/>
  <c r="L4476" i="1"/>
  <c r="A4477" i="1"/>
  <c r="B4477" i="1"/>
  <c r="C4477" i="1"/>
  <c r="D4477" i="1"/>
  <c r="Q4477" i="1"/>
  <c r="R4477" i="1"/>
  <c r="E4477" i="1"/>
  <c r="G4477" i="1"/>
  <c r="H4477" i="1"/>
  <c r="J4477" i="1"/>
  <c r="K4477" i="1"/>
  <c r="L4477" i="1"/>
  <c r="A4478" i="1"/>
  <c r="B4478" i="1"/>
  <c r="C4478" i="1"/>
  <c r="D4478" i="1"/>
  <c r="Q4478" i="1"/>
  <c r="R4478" i="1"/>
  <c r="E4478" i="1"/>
  <c r="G4478" i="1"/>
  <c r="H4478" i="1"/>
  <c r="J4478" i="1"/>
  <c r="K4478" i="1"/>
  <c r="L4478" i="1"/>
  <c r="A4479" i="1"/>
  <c r="B4479" i="1"/>
  <c r="C4479" i="1"/>
  <c r="D4479" i="1"/>
  <c r="Q4479" i="1"/>
  <c r="R4479" i="1"/>
  <c r="E4479" i="1"/>
  <c r="G4479" i="1"/>
  <c r="H4479" i="1"/>
  <c r="J4479" i="1"/>
  <c r="K4479" i="1"/>
  <c r="L4479" i="1"/>
  <c r="A4480" i="1"/>
  <c r="B4480" i="1"/>
  <c r="C4480" i="1"/>
  <c r="D4480" i="1"/>
  <c r="Q4480" i="1"/>
  <c r="R4480" i="1"/>
  <c r="E4480" i="1"/>
  <c r="G4480" i="1"/>
  <c r="H4480" i="1"/>
  <c r="J4480" i="1"/>
  <c r="K4480" i="1"/>
  <c r="L4480" i="1"/>
  <c r="A4481" i="1"/>
  <c r="B4481" i="1"/>
  <c r="C4481" i="1"/>
  <c r="D4481" i="1"/>
  <c r="Q4481" i="1"/>
  <c r="R4481" i="1"/>
  <c r="E4481" i="1"/>
  <c r="G4481" i="1"/>
  <c r="H4481" i="1"/>
  <c r="J4481" i="1"/>
  <c r="K4481" i="1"/>
  <c r="L4481" i="1"/>
  <c r="A4482" i="1"/>
  <c r="B4482" i="1"/>
  <c r="C4482" i="1"/>
  <c r="D4482" i="1"/>
  <c r="Q4482" i="1"/>
  <c r="R4482" i="1"/>
  <c r="E4482" i="1"/>
  <c r="G4482" i="1"/>
  <c r="H4482" i="1"/>
  <c r="J4482" i="1"/>
  <c r="K4482" i="1"/>
  <c r="L4482" i="1"/>
  <c r="A4483" i="1"/>
  <c r="B4483" i="1"/>
  <c r="C4483" i="1"/>
  <c r="D4483" i="1"/>
  <c r="Q4483" i="1"/>
  <c r="R4483" i="1"/>
  <c r="E4483" i="1"/>
  <c r="G4483" i="1"/>
  <c r="H4483" i="1"/>
  <c r="J4483" i="1"/>
  <c r="K4483" i="1"/>
  <c r="L4483" i="1"/>
  <c r="A4484" i="1"/>
  <c r="B4484" i="1"/>
  <c r="C4484" i="1"/>
  <c r="D4484" i="1"/>
  <c r="Q4484" i="1"/>
  <c r="R4484" i="1"/>
  <c r="E4484" i="1"/>
  <c r="G4484" i="1"/>
  <c r="H4484" i="1"/>
  <c r="J4484" i="1"/>
  <c r="K4484" i="1"/>
  <c r="L4484" i="1"/>
  <c r="A4485" i="1"/>
  <c r="B4485" i="1"/>
  <c r="C4485" i="1"/>
  <c r="D4485" i="1"/>
  <c r="Q4485" i="1"/>
  <c r="R4485" i="1"/>
  <c r="E4485" i="1"/>
  <c r="G4485" i="1"/>
  <c r="H4485" i="1"/>
  <c r="J4485" i="1"/>
  <c r="K4485" i="1"/>
  <c r="L4485" i="1"/>
  <c r="A4486" i="1"/>
  <c r="B4486" i="1"/>
  <c r="C4486" i="1"/>
  <c r="D4486" i="1"/>
  <c r="Q4486" i="1"/>
  <c r="R4486" i="1"/>
  <c r="E4486" i="1"/>
  <c r="G4486" i="1"/>
  <c r="H4486" i="1"/>
  <c r="J4486" i="1"/>
  <c r="K4486" i="1"/>
  <c r="L4486" i="1"/>
  <c r="A4487" i="1"/>
  <c r="B4487" i="1"/>
  <c r="C4487" i="1"/>
  <c r="D4487" i="1"/>
  <c r="Q4487" i="1"/>
  <c r="R4487" i="1"/>
  <c r="E4487" i="1"/>
  <c r="G4487" i="1"/>
  <c r="H4487" i="1"/>
  <c r="J4487" i="1"/>
  <c r="K4487" i="1"/>
  <c r="L4487" i="1"/>
  <c r="A4488" i="1"/>
  <c r="B4488" i="1"/>
  <c r="C4488" i="1"/>
  <c r="D4488" i="1"/>
  <c r="Q4488" i="1"/>
  <c r="R4488" i="1"/>
  <c r="E4488" i="1"/>
  <c r="G4488" i="1"/>
  <c r="H4488" i="1"/>
  <c r="J4488" i="1"/>
  <c r="K4488" i="1"/>
  <c r="L4488" i="1"/>
  <c r="A4489" i="1"/>
  <c r="B4489" i="1"/>
  <c r="C4489" i="1"/>
  <c r="D4489" i="1"/>
  <c r="Q4489" i="1"/>
  <c r="R4489" i="1"/>
  <c r="E4489" i="1"/>
  <c r="G4489" i="1"/>
  <c r="H4489" i="1"/>
  <c r="J4489" i="1"/>
  <c r="K4489" i="1"/>
  <c r="L4489" i="1"/>
  <c r="A4490" i="1"/>
  <c r="B4490" i="1"/>
  <c r="C4490" i="1"/>
  <c r="D4490" i="1"/>
  <c r="Q4490" i="1"/>
  <c r="R4490" i="1"/>
  <c r="E4490" i="1"/>
  <c r="G4490" i="1"/>
  <c r="H4490" i="1"/>
  <c r="J4490" i="1"/>
  <c r="K4490" i="1"/>
  <c r="L4490" i="1"/>
  <c r="A4491" i="1"/>
  <c r="B4491" i="1"/>
  <c r="C4491" i="1"/>
  <c r="D4491" i="1"/>
  <c r="Q4491" i="1"/>
  <c r="R4491" i="1"/>
  <c r="E4491" i="1"/>
  <c r="G4491" i="1"/>
  <c r="H4491" i="1"/>
  <c r="J4491" i="1"/>
  <c r="K4491" i="1"/>
  <c r="L4491" i="1"/>
  <c r="A4492" i="1"/>
  <c r="B4492" i="1"/>
  <c r="C4492" i="1"/>
  <c r="D4492" i="1"/>
  <c r="Q4492" i="1"/>
  <c r="R4492" i="1"/>
  <c r="E4492" i="1"/>
  <c r="G4492" i="1"/>
  <c r="H4492" i="1"/>
  <c r="J4492" i="1"/>
  <c r="K4492" i="1"/>
  <c r="L4492" i="1"/>
  <c r="A4493" i="1"/>
  <c r="B4493" i="1"/>
  <c r="C4493" i="1"/>
  <c r="D4493" i="1"/>
  <c r="Q4493" i="1"/>
  <c r="R4493" i="1"/>
  <c r="E4493" i="1"/>
  <c r="G4493" i="1"/>
  <c r="H4493" i="1"/>
  <c r="J4493" i="1"/>
  <c r="K4493" i="1"/>
  <c r="L4493" i="1"/>
  <c r="A4494" i="1"/>
  <c r="B4494" i="1"/>
  <c r="C4494" i="1"/>
  <c r="D4494" i="1"/>
  <c r="Q4494" i="1"/>
  <c r="R4494" i="1"/>
  <c r="E4494" i="1"/>
  <c r="G4494" i="1"/>
  <c r="H4494" i="1"/>
  <c r="J4494" i="1"/>
  <c r="K4494" i="1"/>
  <c r="L4494" i="1"/>
  <c r="A4323" i="1"/>
  <c r="B4323" i="1"/>
  <c r="C4323" i="1"/>
  <c r="D4323" i="1"/>
  <c r="Q4323" i="1"/>
  <c r="R4323" i="1"/>
  <c r="E4323" i="1"/>
  <c r="G4323" i="1"/>
  <c r="H4323" i="1"/>
  <c r="J4323" i="1"/>
  <c r="K4323" i="1"/>
  <c r="L4323" i="1"/>
  <c r="A4324" i="1"/>
  <c r="B4324" i="1"/>
  <c r="C4324" i="1"/>
  <c r="D4324" i="1"/>
  <c r="Q4324" i="1"/>
  <c r="R4324" i="1"/>
  <c r="E4324" i="1"/>
  <c r="G4324" i="1"/>
  <c r="H4324" i="1"/>
  <c r="J4324" i="1"/>
  <c r="K4324" i="1"/>
  <c r="L4324" i="1"/>
  <c r="A4325" i="1"/>
  <c r="B4325" i="1"/>
  <c r="C4325" i="1"/>
  <c r="D4325" i="1"/>
  <c r="Q4325" i="1"/>
  <c r="R4325" i="1"/>
  <c r="E4325" i="1"/>
  <c r="G4325" i="1"/>
  <c r="H4325" i="1"/>
  <c r="J4325" i="1"/>
  <c r="K4325" i="1"/>
  <c r="L4325" i="1"/>
  <c r="A4326" i="1"/>
  <c r="B4326" i="1"/>
  <c r="C4326" i="1"/>
  <c r="D4326" i="1"/>
  <c r="Q4326" i="1"/>
  <c r="R4326" i="1"/>
  <c r="E4326" i="1"/>
  <c r="G4326" i="1"/>
  <c r="H4326" i="1"/>
  <c r="J4326" i="1"/>
  <c r="K4326" i="1"/>
  <c r="L4326" i="1"/>
  <c r="A4327" i="1"/>
  <c r="B4327" i="1"/>
  <c r="C4327" i="1"/>
  <c r="D4327" i="1"/>
  <c r="Q4327" i="1"/>
  <c r="R4327" i="1"/>
  <c r="E4327" i="1"/>
  <c r="G4327" i="1"/>
  <c r="H4327" i="1"/>
  <c r="J4327" i="1"/>
  <c r="K4327" i="1"/>
  <c r="L4327" i="1"/>
  <c r="A4328" i="1"/>
  <c r="B4328" i="1"/>
  <c r="C4328" i="1"/>
  <c r="D4328" i="1"/>
  <c r="Q4328" i="1"/>
  <c r="R4328" i="1"/>
  <c r="E4328" i="1"/>
  <c r="G4328" i="1"/>
  <c r="H4328" i="1"/>
  <c r="J4328" i="1"/>
  <c r="K4328" i="1"/>
  <c r="L4328" i="1"/>
  <c r="A4495" i="1"/>
  <c r="B4495" i="1"/>
  <c r="C4495" i="1"/>
  <c r="D4495" i="1"/>
  <c r="Q4495" i="1"/>
  <c r="R4495" i="1"/>
  <c r="E4495" i="1"/>
  <c r="G4495" i="1"/>
  <c r="H4495" i="1"/>
  <c r="J4495" i="1"/>
  <c r="K4495" i="1"/>
  <c r="L4495" i="1"/>
  <c r="A4496" i="1"/>
  <c r="B4496" i="1"/>
  <c r="C4496" i="1"/>
  <c r="D4496" i="1"/>
  <c r="Q4496" i="1"/>
  <c r="R4496" i="1"/>
  <c r="E4496" i="1"/>
  <c r="G4496" i="1"/>
  <c r="H4496" i="1"/>
  <c r="J4496" i="1"/>
  <c r="K4496" i="1"/>
  <c r="L4496" i="1"/>
  <c r="A4497" i="1"/>
  <c r="B4497" i="1"/>
  <c r="C4497" i="1"/>
  <c r="D4497" i="1"/>
  <c r="Q4497" i="1"/>
  <c r="R4497" i="1"/>
  <c r="E4497" i="1"/>
  <c r="G4497" i="1"/>
  <c r="H4497" i="1"/>
  <c r="J4497" i="1"/>
  <c r="K4497" i="1"/>
  <c r="L4497" i="1"/>
  <c r="A4498" i="1"/>
  <c r="B4498" i="1"/>
  <c r="C4498" i="1"/>
  <c r="D4498" i="1"/>
  <c r="Q4498" i="1"/>
  <c r="R4498" i="1"/>
  <c r="E4498" i="1"/>
  <c r="G4498" i="1"/>
  <c r="H4498" i="1"/>
  <c r="J4498" i="1"/>
  <c r="K4498" i="1"/>
  <c r="L4498" i="1"/>
  <c r="A4499" i="1"/>
  <c r="B4499" i="1"/>
  <c r="C4499" i="1"/>
  <c r="D4499" i="1"/>
  <c r="Q4499" i="1"/>
  <c r="R4499" i="1"/>
  <c r="E4499" i="1"/>
  <c r="G4499" i="1"/>
  <c r="H4499" i="1"/>
  <c r="J4499" i="1"/>
  <c r="K4499" i="1"/>
  <c r="L4499" i="1"/>
  <c r="A4500" i="1"/>
  <c r="B4500" i="1"/>
  <c r="C4500" i="1"/>
  <c r="D4500" i="1"/>
  <c r="Q4500" i="1"/>
  <c r="R4500" i="1"/>
  <c r="E4500" i="1"/>
  <c r="G4500" i="1"/>
  <c r="H4500" i="1"/>
  <c r="J4500" i="1"/>
  <c r="K4500" i="1"/>
  <c r="L4500" i="1"/>
  <c r="A4501" i="1"/>
  <c r="B4501" i="1"/>
  <c r="C4501" i="1"/>
  <c r="D4501" i="1"/>
  <c r="Q4501" i="1"/>
  <c r="R4501" i="1"/>
  <c r="E4501" i="1"/>
  <c r="G4501" i="1"/>
  <c r="H4501" i="1"/>
  <c r="J4501" i="1"/>
  <c r="K4501" i="1"/>
  <c r="L4501" i="1"/>
  <c r="A4502" i="1"/>
  <c r="B4502" i="1"/>
  <c r="C4502" i="1"/>
  <c r="D4502" i="1"/>
  <c r="Q4502" i="1"/>
  <c r="R4502" i="1"/>
  <c r="E4502" i="1"/>
  <c r="G4502" i="1"/>
  <c r="H4502" i="1"/>
  <c r="J4502" i="1"/>
  <c r="K4502" i="1"/>
  <c r="L4502" i="1"/>
  <c r="A4503" i="1"/>
  <c r="B4503" i="1"/>
  <c r="C4503" i="1"/>
  <c r="D4503" i="1"/>
  <c r="Q4503" i="1"/>
  <c r="R4503" i="1"/>
  <c r="E4503" i="1"/>
  <c r="G4503" i="1"/>
  <c r="H4503" i="1"/>
  <c r="J4503" i="1"/>
  <c r="K4503" i="1"/>
  <c r="L4503" i="1"/>
  <c r="A4504" i="1"/>
  <c r="B4504" i="1"/>
  <c r="C4504" i="1"/>
  <c r="D4504" i="1"/>
  <c r="Q4504" i="1"/>
  <c r="R4504" i="1"/>
  <c r="E4504" i="1"/>
  <c r="G4504" i="1"/>
  <c r="H4504" i="1"/>
  <c r="J4504" i="1"/>
  <c r="K4504" i="1"/>
  <c r="L4504" i="1"/>
  <c r="A4505" i="1"/>
  <c r="B4505" i="1"/>
  <c r="C4505" i="1"/>
  <c r="D4505" i="1"/>
  <c r="Q4505" i="1"/>
  <c r="R4505" i="1"/>
  <c r="E4505" i="1"/>
  <c r="G4505" i="1"/>
  <c r="H4505" i="1"/>
  <c r="J4505" i="1"/>
  <c r="K4505" i="1"/>
  <c r="L4505" i="1"/>
  <c r="A4506" i="1"/>
  <c r="B4506" i="1"/>
  <c r="C4506" i="1"/>
  <c r="D4506" i="1"/>
  <c r="Q4506" i="1"/>
  <c r="R4506" i="1"/>
  <c r="E4506" i="1"/>
  <c r="G4506" i="1"/>
  <c r="H4506" i="1"/>
  <c r="J4506" i="1"/>
  <c r="K4506" i="1"/>
  <c r="L4506" i="1"/>
  <c r="A4507" i="1"/>
  <c r="B4507" i="1"/>
  <c r="C4507" i="1"/>
  <c r="D4507" i="1"/>
  <c r="Q4507" i="1"/>
  <c r="R4507" i="1"/>
  <c r="E4507" i="1"/>
  <c r="G4507" i="1"/>
  <c r="H4507" i="1"/>
  <c r="J4507" i="1"/>
  <c r="K4507" i="1"/>
  <c r="L4507" i="1"/>
  <c r="A4508" i="1"/>
  <c r="B4508" i="1"/>
  <c r="C4508" i="1"/>
  <c r="D4508" i="1"/>
  <c r="Q4508" i="1"/>
  <c r="R4508" i="1"/>
  <c r="E4508" i="1"/>
  <c r="G4508" i="1"/>
  <c r="H4508" i="1"/>
  <c r="J4508" i="1"/>
  <c r="K4508" i="1"/>
  <c r="L4508" i="1"/>
  <c r="A4509" i="1"/>
  <c r="B4509" i="1"/>
  <c r="C4509" i="1"/>
  <c r="D4509" i="1"/>
  <c r="Q4509" i="1"/>
  <c r="R4509" i="1"/>
  <c r="E4509" i="1"/>
  <c r="G4509" i="1"/>
  <c r="H4509" i="1"/>
  <c r="J4509" i="1"/>
  <c r="K4509" i="1"/>
  <c r="L4509" i="1"/>
  <c r="A4510" i="1"/>
  <c r="B4510" i="1"/>
  <c r="C4510" i="1"/>
  <c r="D4510" i="1"/>
  <c r="Q4510" i="1"/>
  <c r="R4510" i="1"/>
  <c r="E4510" i="1"/>
  <c r="G4510" i="1"/>
  <c r="H4510" i="1"/>
  <c r="J4510" i="1"/>
  <c r="K4510" i="1"/>
  <c r="L4510" i="1"/>
  <c r="A4511" i="1"/>
  <c r="B4511" i="1"/>
  <c r="C4511" i="1"/>
  <c r="D4511" i="1"/>
  <c r="Q4511" i="1"/>
  <c r="R4511" i="1"/>
  <c r="E4511" i="1"/>
  <c r="G4511" i="1"/>
  <c r="H4511" i="1"/>
  <c r="J4511" i="1"/>
  <c r="K4511" i="1"/>
  <c r="L4511" i="1"/>
  <c r="A4512" i="1"/>
  <c r="B4512" i="1"/>
  <c r="C4512" i="1"/>
  <c r="D4512" i="1"/>
  <c r="Q4512" i="1"/>
  <c r="R4512" i="1"/>
  <c r="E4512" i="1"/>
  <c r="G4512" i="1"/>
  <c r="H4512" i="1"/>
  <c r="J4512" i="1"/>
  <c r="K4512" i="1"/>
  <c r="L4512" i="1"/>
  <c r="A4513" i="1"/>
  <c r="B4513" i="1"/>
  <c r="C4513" i="1"/>
  <c r="D4513" i="1"/>
  <c r="Q4513" i="1"/>
  <c r="R4513" i="1"/>
  <c r="E4513" i="1"/>
  <c r="G4513" i="1"/>
  <c r="H4513" i="1"/>
  <c r="J4513" i="1"/>
  <c r="K4513" i="1"/>
  <c r="L4513" i="1"/>
  <c r="A4514" i="1"/>
  <c r="B4514" i="1"/>
  <c r="C4514" i="1"/>
  <c r="D4514" i="1"/>
  <c r="Q4514" i="1"/>
  <c r="R4514" i="1"/>
  <c r="E4514" i="1"/>
  <c r="G4514" i="1"/>
  <c r="H4514" i="1"/>
  <c r="J4514" i="1"/>
  <c r="K4514" i="1"/>
  <c r="L4514" i="1"/>
  <c r="A4515" i="1"/>
  <c r="B4515" i="1"/>
  <c r="C4515" i="1"/>
  <c r="D4515" i="1"/>
  <c r="Q4515" i="1"/>
  <c r="R4515" i="1"/>
  <c r="E4515" i="1"/>
  <c r="G4515" i="1"/>
  <c r="H4515" i="1"/>
  <c r="J4515" i="1"/>
  <c r="K4515" i="1"/>
  <c r="L4515" i="1"/>
  <c r="A4516" i="1"/>
  <c r="B4516" i="1"/>
  <c r="C4516" i="1"/>
  <c r="D4516" i="1"/>
  <c r="Q4516" i="1"/>
  <c r="R4516" i="1"/>
  <c r="E4516" i="1"/>
  <c r="G4516" i="1"/>
  <c r="H4516" i="1"/>
  <c r="J4516" i="1"/>
  <c r="K4516" i="1"/>
  <c r="L4516" i="1"/>
  <c r="A4517" i="1"/>
  <c r="B4517" i="1"/>
  <c r="C4517" i="1"/>
  <c r="D4517" i="1"/>
  <c r="Q4517" i="1"/>
  <c r="R4517" i="1"/>
  <c r="E4517" i="1"/>
  <c r="G4517" i="1"/>
  <c r="H4517" i="1"/>
  <c r="J4517" i="1"/>
  <c r="K4517" i="1"/>
  <c r="L4517" i="1"/>
  <c r="A4518" i="1"/>
  <c r="B4518" i="1"/>
  <c r="C4518" i="1"/>
  <c r="D4518" i="1"/>
  <c r="Q4518" i="1"/>
  <c r="R4518" i="1"/>
  <c r="E4518" i="1"/>
  <c r="G4518" i="1"/>
  <c r="H4518" i="1"/>
  <c r="J4518" i="1"/>
  <c r="K4518" i="1"/>
  <c r="L4518" i="1"/>
  <c r="A4519" i="1"/>
  <c r="B4519" i="1"/>
  <c r="C4519" i="1"/>
  <c r="D4519" i="1"/>
  <c r="Q4519" i="1"/>
  <c r="R4519" i="1"/>
  <c r="E4519" i="1"/>
  <c r="F4519" i="1"/>
  <c r="G4519" i="1"/>
  <c r="H4519" i="1"/>
  <c r="J4519" i="1"/>
  <c r="K4519" i="1"/>
  <c r="L4519" i="1"/>
  <c r="A4520" i="1"/>
  <c r="B4520" i="1"/>
  <c r="C4520" i="1"/>
  <c r="D4520" i="1"/>
  <c r="Q4520" i="1"/>
  <c r="R4520" i="1"/>
  <c r="E4520" i="1"/>
  <c r="F4520" i="1"/>
  <c r="G4520" i="1"/>
  <c r="H4520" i="1"/>
  <c r="J4520" i="1"/>
  <c r="K4520" i="1"/>
  <c r="L4520" i="1"/>
  <c r="A4521" i="1"/>
  <c r="B4521" i="1"/>
  <c r="C4521" i="1"/>
  <c r="D4521" i="1"/>
  <c r="Q4521" i="1"/>
  <c r="R4521" i="1"/>
  <c r="E4521" i="1"/>
  <c r="F4521" i="1"/>
  <c r="G4521" i="1"/>
  <c r="H4521" i="1"/>
  <c r="J4521" i="1"/>
  <c r="K4521" i="1"/>
  <c r="L4521" i="1"/>
  <c r="A4522" i="1"/>
  <c r="B4522" i="1"/>
  <c r="C4522" i="1"/>
  <c r="D4522" i="1"/>
  <c r="Q4522" i="1"/>
  <c r="R4522" i="1"/>
  <c r="E4522" i="1"/>
  <c r="F4522" i="1"/>
  <c r="G4522" i="1"/>
  <c r="H4522" i="1"/>
  <c r="J4522" i="1"/>
  <c r="K4522" i="1"/>
  <c r="L4522" i="1"/>
  <c r="A4523" i="1"/>
  <c r="B4523" i="1"/>
  <c r="C4523" i="1"/>
  <c r="D4523" i="1"/>
  <c r="Q4523" i="1"/>
  <c r="R4523" i="1"/>
  <c r="E4523" i="1"/>
  <c r="F4523" i="1"/>
  <c r="G4523" i="1"/>
  <c r="H4523" i="1"/>
  <c r="J4523" i="1"/>
  <c r="K4523" i="1"/>
  <c r="L4523" i="1"/>
  <c r="A4524" i="1"/>
  <c r="B4524" i="1"/>
  <c r="C4524" i="1"/>
  <c r="D4524" i="1"/>
  <c r="Q4524" i="1"/>
  <c r="R4524" i="1"/>
  <c r="E4524" i="1"/>
  <c r="F4524" i="1"/>
  <c r="G4524" i="1"/>
  <c r="H4524" i="1"/>
  <c r="J4524" i="1"/>
  <c r="K4524" i="1"/>
  <c r="L4524" i="1"/>
  <c r="A4525" i="1"/>
  <c r="B4525" i="1"/>
  <c r="C4525" i="1"/>
  <c r="D4525" i="1"/>
  <c r="Q4525" i="1"/>
  <c r="R4525" i="1"/>
  <c r="E4525" i="1"/>
  <c r="F4525" i="1"/>
  <c r="G4525" i="1"/>
  <c r="H4525" i="1"/>
  <c r="J4525" i="1"/>
  <c r="K4525" i="1"/>
  <c r="L4525" i="1"/>
  <c r="A4526" i="1"/>
  <c r="B4526" i="1"/>
  <c r="C4526" i="1"/>
  <c r="D4526" i="1"/>
  <c r="Q4526" i="1"/>
  <c r="R4526" i="1"/>
  <c r="E4526" i="1"/>
  <c r="F4526" i="1"/>
  <c r="G4526" i="1"/>
  <c r="H4526" i="1"/>
  <c r="J4526" i="1"/>
  <c r="K4526" i="1"/>
  <c r="L4526" i="1"/>
  <c r="A4527" i="1"/>
  <c r="B4527" i="1"/>
  <c r="C4527" i="1"/>
  <c r="D4527" i="1"/>
  <c r="Q4527" i="1"/>
  <c r="R4527" i="1"/>
  <c r="E4527" i="1"/>
  <c r="F4527" i="1"/>
  <c r="G4527" i="1"/>
  <c r="H4527" i="1"/>
  <c r="J4527" i="1"/>
  <c r="K4527" i="1"/>
  <c r="L4527" i="1"/>
  <c r="A4528" i="1"/>
  <c r="B4528" i="1"/>
  <c r="C4528" i="1"/>
  <c r="D4528" i="1"/>
  <c r="Q4528" i="1"/>
  <c r="R4528" i="1"/>
  <c r="E4528" i="1"/>
  <c r="G4528" i="1"/>
  <c r="H4528" i="1"/>
  <c r="J4528" i="1"/>
  <c r="K4528" i="1"/>
  <c r="L4528" i="1"/>
  <c r="A4529" i="1"/>
  <c r="B4529" i="1"/>
  <c r="C4529" i="1"/>
  <c r="D4529" i="1"/>
  <c r="Q4529" i="1"/>
  <c r="R4529" i="1"/>
  <c r="E4529" i="1"/>
  <c r="G4529" i="1"/>
  <c r="H4529" i="1"/>
  <c r="J4529" i="1"/>
  <c r="K4529" i="1"/>
  <c r="L4529" i="1"/>
  <c r="A4530" i="1"/>
  <c r="B4530" i="1"/>
  <c r="C4530" i="1"/>
  <c r="D4530" i="1"/>
  <c r="Q4530" i="1"/>
  <c r="R4530" i="1"/>
  <c r="E4530" i="1"/>
  <c r="G4530" i="1"/>
  <c r="H4530" i="1"/>
  <c r="J4530" i="1"/>
  <c r="K4530" i="1"/>
  <c r="L4530" i="1"/>
  <c r="A4531" i="1"/>
  <c r="B4531" i="1"/>
  <c r="C4531" i="1"/>
  <c r="D4531" i="1"/>
  <c r="Q4531" i="1"/>
  <c r="R4531" i="1"/>
  <c r="E4531" i="1"/>
  <c r="G4531" i="1"/>
  <c r="H4531" i="1"/>
  <c r="J4531" i="1"/>
  <c r="K4531" i="1"/>
  <c r="L4531" i="1"/>
  <c r="A4532" i="1"/>
  <c r="B4532" i="1"/>
  <c r="C4532" i="1"/>
  <c r="D4532" i="1"/>
  <c r="Q4532" i="1"/>
  <c r="R4532" i="1"/>
  <c r="E4532" i="1"/>
  <c r="G4532" i="1"/>
  <c r="H4532" i="1"/>
  <c r="J4532" i="1"/>
  <c r="K4532" i="1"/>
  <c r="L4532" i="1"/>
  <c r="A4533" i="1"/>
  <c r="B4533" i="1"/>
  <c r="C4533" i="1"/>
  <c r="D4533" i="1"/>
  <c r="Q4533" i="1"/>
  <c r="R4533" i="1"/>
  <c r="E4533" i="1"/>
  <c r="G4533" i="1"/>
  <c r="H4533" i="1"/>
  <c r="J4533" i="1"/>
  <c r="K4533" i="1"/>
  <c r="L4533" i="1"/>
  <c r="A4534" i="1"/>
  <c r="B4534" i="1"/>
  <c r="C4534" i="1"/>
  <c r="D4534" i="1"/>
  <c r="Q4534" i="1"/>
  <c r="R4534" i="1"/>
  <c r="E4534" i="1"/>
  <c r="G4534" i="1"/>
  <c r="H4534" i="1"/>
  <c r="J4534" i="1"/>
  <c r="K4534" i="1"/>
  <c r="L4534" i="1"/>
  <c r="A4535" i="1"/>
  <c r="B4535" i="1"/>
  <c r="C4535" i="1"/>
  <c r="D4535" i="1"/>
  <c r="Q4535" i="1"/>
  <c r="R4535" i="1"/>
  <c r="E4535" i="1"/>
  <c r="G4535" i="1"/>
  <c r="H4535" i="1"/>
  <c r="J4535" i="1"/>
  <c r="K4535" i="1"/>
  <c r="L4535" i="1"/>
  <c r="A4536" i="1"/>
  <c r="B4536" i="1"/>
  <c r="C4536" i="1"/>
  <c r="D4536" i="1"/>
  <c r="Q4536" i="1"/>
  <c r="R4536" i="1"/>
  <c r="E4536" i="1"/>
  <c r="G4536" i="1"/>
  <c r="H4536" i="1"/>
  <c r="J4536" i="1"/>
  <c r="K4536" i="1"/>
  <c r="L4536" i="1"/>
  <c r="A4537" i="1"/>
  <c r="B4537" i="1"/>
  <c r="C4537" i="1"/>
  <c r="D4537" i="1"/>
  <c r="Q4537" i="1"/>
  <c r="R4537" i="1"/>
  <c r="E4537" i="1"/>
  <c r="G4537" i="1"/>
  <c r="H4537" i="1"/>
  <c r="J4537" i="1"/>
  <c r="K4537" i="1"/>
  <c r="L4537" i="1"/>
  <c r="A4538" i="1"/>
  <c r="B4538" i="1"/>
  <c r="C4538" i="1"/>
  <c r="D4538" i="1"/>
  <c r="Q4538" i="1"/>
  <c r="R4538" i="1"/>
  <c r="E4538" i="1"/>
  <c r="G4538" i="1"/>
  <c r="H4538" i="1"/>
  <c r="J4538" i="1"/>
  <c r="K4538" i="1"/>
  <c r="L4538" i="1"/>
  <c r="A4539" i="1"/>
  <c r="B4539" i="1"/>
  <c r="C4539" i="1"/>
  <c r="D4539" i="1"/>
  <c r="Q4539" i="1"/>
  <c r="R4539" i="1"/>
  <c r="E4539" i="1"/>
  <c r="G4539" i="1"/>
  <c r="H4539" i="1"/>
  <c r="J4539" i="1"/>
  <c r="K4539" i="1"/>
  <c r="L4539" i="1"/>
  <c r="A4540" i="1"/>
  <c r="B4540" i="1"/>
  <c r="C4540" i="1"/>
  <c r="D4540" i="1"/>
  <c r="Q4540" i="1"/>
  <c r="R4540" i="1"/>
  <c r="E4540" i="1"/>
  <c r="G4540" i="1"/>
  <c r="H4540" i="1"/>
  <c r="J4540" i="1"/>
  <c r="K4540" i="1"/>
  <c r="L4540" i="1"/>
  <c r="A4541" i="1"/>
  <c r="B4541" i="1"/>
  <c r="C4541" i="1"/>
  <c r="D4541" i="1"/>
  <c r="Q4541" i="1"/>
  <c r="R4541" i="1"/>
  <c r="E4541" i="1"/>
  <c r="G4541" i="1"/>
  <c r="H4541" i="1"/>
  <c r="J4541" i="1"/>
  <c r="K4541" i="1"/>
  <c r="L4541" i="1"/>
  <c r="A4542" i="1"/>
  <c r="B4542" i="1"/>
  <c r="C4542" i="1"/>
  <c r="D4542" i="1"/>
  <c r="Q4542" i="1"/>
  <c r="R4542" i="1"/>
  <c r="E4542" i="1"/>
  <c r="G4542" i="1"/>
  <c r="H4542" i="1"/>
  <c r="J4542" i="1"/>
  <c r="K4542" i="1"/>
  <c r="L4542" i="1"/>
  <c r="A4543" i="1"/>
  <c r="B4543" i="1"/>
  <c r="C4543" i="1"/>
  <c r="D4543" i="1"/>
  <c r="Q4543" i="1"/>
  <c r="R4543" i="1"/>
  <c r="E4543" i="1"/>
  <c r="G4543" i="1"/>
  <c r="H4543" i="1"/>
  <c r="J4543" i="1"/>
  <c r="K4543" i="1"/>
  <c r="L4543" i="1"/>
  <c r="A4544" i="1"/>
  <c r="B4544" i="1"/>
  <c r="C4544" i="1"/>
  <c r="D4544" i="1"/>
  <c r="Q4544" i="1"/>
  <c r="R4544" i="1"/>
  <c r="E4544" i="1"/>
  <c r="G4544" i="1"/>
  <c r="H4544" i="1"/>
  <c r="J4544" i="1"/>
  <c r="K4544" i="1"/>
  <c r="L4544" i="1"/>
  <c r="A4545" i="1"/>
  <c r="B4545" i="1"/>
  <c r="C4545" i="1"/>
  <c r="D4545" i="1"/>
  <c r="Q4545" i="1"/>
  <c r="R4545" i="1"/>
  <c r="E4545" i="1"/>
  <c r="G4545" i="1"/>
  <c r="H4545" i="1"/>
  <c r="J4545" i="1"/>
  <c r="K4545" i="1"/>
  <c r="L4545" i="1"/>
  <c r="A4546" i="1"/>
  <c r="B4546" i="1"/>
  <c r="C4546" i="1"/>
  <c r="D4546" i="1"/>
  <c r="Q4546" i="1"/>
  <c r="R4546" i="1"/>
  <c r="E4546" i="1"/>
  <c r="G4546" i="1"/>
  <c r="H4546" i="1"/>
  <c r="J4546" i="1"/>
  <c r="K4546" i="1"/>
  <c r="L4546" i="1"/>
  <c r="A4547" i="1"/>
  <c r="B4547" i="1"/>
  <c r="C4547" i="1"/>
  <c r="D4547" i="1"/>
  <c r="Q4547" i="1"/>
  <c r="R4547" i="1"/>
  <c r="E4547" i="1"/>
  <c r="G4547" i="1"/>
  <c r="H4547" i="1"/>
  <c r="J4547" i="1"/>
  <c r="K4547" i="1"/>
  <c r="L4547" i="1"/>
  <c r="A4548" i="1"/>
  <c r="B4548" i="1"/>
  <c r="C4548" i="1"/>
  <c r="D4548" i="1"/>
  <c r="Q4548" i="1"/>
  <c r="R4548" i="1"/>
  <c r="E4548" i="1"/>
  <c r="G4548" i="1"/>
  <c r="H4548" i="1"/>
  <c r="J4548" i="1"/>
  <c r="K4548" i="1"/>
  <c r="L4548" i="1"/>
  <c r="A6865" i="1"/>
  <c r="B6865" i="1"/>
  <c r="C6865" i="1"/>
  <c r="D6865" i="1"/>
  <c r="Q6865" i="1"/>
  <c r="R6865" i="1"/>
  <c r="E6865" i="1"/>
  <c r="G6865" i="1"/>
  <c r="H6865" i="1"/>
  <c r="J6865" i="1"/>
  <c r="K6865" i="1"/>
  <c r="L6865" i="1"/>
  <c r="A6866" i="1"/>
  <c r="B6866" i="1"/>
  <c r="C6866" i="1"/>
  <c r="D6866" i="1"/>
  <c r="Q6866" i="1"/>
  <c r="R6866" i="1"/>
  <c r="E6866" i="1"/>
  <c r="G6866" i="1"/>
  <c r="H6866" i="1"/>
  <c r="J6866" i="1"/>
  <c r="K6866" i="1"/>
  <c r="L6866" i="1"/>
  <c r="A6867" i="1"/>
  <c r="B6867" i="1"/>
  <c r="C6867" i="1"/>
  <c r="D6867" i="1"/>
  <c r="Q6867" i="1"/>
  <c r="R6867" i="1"/>
  <c r="E6867" i="1"/>
  <c r="G6867" i="1"/>
  <c r="H6867" i="1"/>
  <c r="J6867" i="1"/>
  <c r="K6867" i="1"/>
  <c r="L6867" i="1"/>
  <c r="A6868" i="1"/>
  <c r="B6868" i="1"/>
  <c r="C6868" i="1"/>
  <c r="D6868" i="1"/>
  <c r="Q6868" i="1"/>
  <c r="R6868" i="1"/>
  <c r="E6868" i="1"/>
  <c r="G6868" i="1"/>
  <c r="H6868" i="1"/>
  <c r="J6868" i="1"/>
  <c r="K6868" i="1"/>
  <c r="L6868" i="1"/>
  <c r="A6869" i="1"/>
  <c r="B6869" i="1"/>
  <c r="C6869" i="1"/>
  <c r="D6869" i="1"/>
  <c r="Q6869" i="1"/>
  <c r="R6869" i="1"/>
  <c r="E6869" i="1"/>
  <c r="G6869" i="1"/>
  <c r="H6869" i="1"/>
  <c r="J6869" i="1"/>
  <c r="K6869" i="1"/>
  <c r="L6869" i="1"/>
  <c r="A6870" i="1"/>
  <c r="B6870" i="1"/>
  <c r="C6870" i="1"/>
  <c r="D6870" i="1"/>
  <c r="Q6870" i="1"/>
  <c r="R6870" i="1"/>
  <c r="E6870" i="1"/>
  <c r="G6870" i="1"/>
  <c r="H6870" i="1"/>
  <c r="J6870" i="1"/>
  <c r="K6870" i="1"/>
  <c r="L6870" i="1"/>
  <c r="A6871" i="1"/>
  <c r="B6871" i="1"/>
  <c r="C6871" i="1"/>
  <c r="D6871" i="1"/>
  <c r="Q6871" i="1"/>
  <c r="R6871" i="1"/>
  <c r="E6871" i="1"/>
  <c r="G6871" i="1"/>
  <c r="H6871" i="1"/>
  <c r="J6871" i="1"/>
  <c r="K6871" i="1"/>
  <c r="L6871" i="1"/>
  <c r="A4399" i="1"/>
  <c r="B4399" i="1"/>
  <c r="C4399" i="1"/>
  <c r="D4399" i="1"/>
  <c r="Q4399" i="1"/>
  <c r="R4399" i="1"/>
  <c r="E4399" i="1"/>
  <c r="G4399" i="1"/>
  <c r="H4399" i="1"/>
  <c r="J4399" i="1"/>
  <c r="K4399" i="1"/>
  <c r="L4399" i="1"/>
  <c r="A4400" i="1"/>
  <c r="B4400" i="1"/>
  <c r="C4400" i="1"/>
  <c r="D4400" i="1"/>
  <c r="Q4400" i="1"/>
  <c r="R4400" i="1"/>
  <c r="E4400" i="1"/>
  <c r="G4400" i="1"/>
  <c r="H4400" i="1"/>
  <c r="J4400" i="1"/>
  <c r="K4400" i="1"/>
  <c r="L4400" i="1"/>
  <c r="A4401" i="1"/>
  <c r="B4401" i="1"/>
  <c r="C4401" i="1"/>
  <c r="D4401" i="1"/>
  <c r="Q4401" i="1"/>
  <c r="R4401" i="1"/>
  <c r="E4401" i="1"/>
  <c r="G4401" i="1"/>
  <c r="H4401" i="1"/>
  <c r="J4401" i="1"/>
  <c r="K4401" i="1"/>
  <c r="L4401" i="1"/>
  <c r="A4402" i="1"/>
  <c r="B4402" i="1"/>
  <c r="C4402" i="1"/>
  <c r="D4402" i="1"/>
  <c r="Q4402" i="1"/>
  <c r="R4402" i="1"/>
  <c r="E4402" i="1"/>
  <c r="G4402" i="1"/>
  <c r="H4402" i="1"/>
  <c r="J4402" i="1"/>
  <c r="K4402" i="1"/>
  <c r="L4402" i="1"/>
  <c r="A4403" i="1"/>
  <c r="B4403" i="1"/>
  <c r="C4403" i="1"/>
  <c r="D4403" i="1"/>
  <c r="Q4403" i="1"/>
  <c r="R4403" i="1"/>
  <c r="E4403" i="1"/>
  <c r="G4403" i="1"/>
  <c r="H4403" i="1"/>
  <c r="J4403" i="1"/>
  <c r="K4403" i="1"/>
  <c r="L4403" i="1"/>
  <c r="A4404" i="1"/>
  <c r="B4404" i="1"/>
  <c r="C4404" i="1"/>
  <c r="D4404" i="1"/>
  <c r="Q4404" i="1"/>
  <c r="R4404" i="1"/>
  <c r="E4404" i="1"/>
  <c r="G4404" i="1"/>
  <c r="H4404" i="1"/>
  <c r="J4404" i="1"/>
  <c r="K4404" i="1"/>
  <c r="L4404" i="1"/>
  <c r="A4405" i="1"/>
  <c r="B4405" i="1"/>
  <c r="C4405" i="1"/>
  <c r="D4405" i="1"/>
  <c r="Q4405" i="1"/>
  <c r="R4405" i="1"/>
  <c r="E4405" i="1"/>
  <c r="G4405" i="1"/>
  <c r="H4405" i="1"/>
  <c r="J4405" i="1"/>
  <c r="K4405" i="1"/>
  <c r="L4405" i="1"/>
  <c r="A4406" i="1"/>
  <c r="B4406" i="1"/>
  <c r="C4406" i="1"/>
  <c r="D4406" i="1"/>
  <c r="Q4406" i="1"/>
  <c r="R4406" i="1"/>
  <c r="E4406" i="1"/>
  <c r="G4406" i="1"/>
  <c r="H4406" i="1"/>
  <c r="J4406" i="1"/>
  <c r="K4406" i="1"/>
  <c r="L4406" i="1"/>
  <c r="A4549" i="1"/>
  <c r="B4549" i="1"/>
  <c r="C4549" i="1"/>
  <c r="D4549" i="1"/>
  <c r="Q4549" i="1"/>
  <c r="R4549" i="1"/>
  <c r="E4549" i="1"/>
  <c r="G4549" i="1"/>
  <c r="H4549" i="1"/>
  <c r="J4549" i="1"/>
  <c r="K4549" i="1"/>
  <c r="L4549" i="1"/>
  <c r="A4550" i="1"/>
  <c r="B4550" i="1"/>
  <c r="C4550" i="1"/>
  <c r="D4550" i="1"/>
  <c r="Q4550" i="1"/>
  <c r="R4550" i="1"/>
  <c r="E4550" i="1"/>
  <c r="G4550" i="1"/>
  <c r="H4550" i="1"/>
  <c r="J4550" i="1"/>
  <c r="K4550" i="1"/>
  <c r="L4550" i="1"/>
  <c r="A4551" i="1"/>
  <c r="B4551" i="1"/>
  <c r="C4551" i="1"/>
  <c r="D4551" i="1"/>
  <c r="Q4551" i="1"/>
  <c r="R4551" i="1"/>
  <c r="E4551" i="1"/>
  <c r="G4551" i="1"/>
  <c r="H4551" i="1"/>
  <c r="J4551" i="1"/>
  <c r="K4551" i="1"/>
  <c r="L4551" i="1"/>
  <c r="A4552" i="1"/>
  <c r="B4552" i="1"/>
  <c r="C4552" i="1"/>
  <c r="D4552" i="1"/>
  <c r="Q4552" i="1"/>
  <c r="R4552" i="1"/>
  <c r="E4552" i="1"/>
  <c r="G4552" i="1"/>
  <c r="H4552" i="1"/>
  <c r="J4552" i="1"/>
  <c r="K4552" i="1"/>
  <c r="L4552" i="1"/>
  <c r="A4553" i="1"/>
  <c r="B4553" i="1"/>
  <c r="C4553" i="1"/>
  <c r="D4553" i="1"/>
  <c r="Q4553" i="1"/>
  <c r="R4553" i="1"/>
  <c r="E4553" i="1"/>
  <c r="G4553" i="1"/>
  <c r="H4553" i="1"/>
  <c r="J4553" i="1"/>
  <c r="K4553" i="1"/>
  <c r="L4553" i="1"/>
  <c r="A4554" i="1"/>
  <c r="B4554" i="1"/>
  <c r="C4554" i="1"/>
  <c r="D4554" i="1"/>
  <c r="Q4554" i="1"/>
  <c r="R4554" i="1"/>
  <c r="E4554" i="1"/>
  <c r="G4554" i="1"/>
  <c r="H4554" i="1"/>
  <c r="J4554" i="1"/>
  <c r="K4554" i="1"/>
  <c r="L4554" i="1"/>
  <c r="A4555" i="1"/>
  <c r="B4555" i="1"/>
  <c r="C4555" i="1"/>
  <c r="D4555" i="1"/>
  <c r="Q4555" i="1"/>
  <c r="R4555" i="1"/>
  <c r="E4555" i="1"/>
  <c r="G4555" i="1"/>
  <c r="H4555" i="1"/>
  <c r="J4555" i="1"/>
  <c r="K4555" i="1"/>
  <c r="L4555" i="1"/>
  <c r="A4556" i="1"/>
  <c r="B4556" i="1"/>
  <c r="C4556" i="1"/>
  <c r="D4556" i="1"/>
  <c r="Q4556" i="1"/>
  <c r="R4556" i="1"/>
  <c r="E4556" i="1"/>
  <c r="G4556" i="1"/>
  <c r="H4556" i="1"/>
  <c r="J4556" i="1"/>
  <c r="K4556" i="1"/>
  <c r="L4556" i="1"/>
  <c r="A6872" i="1"/>
  <c r="B6872" i="1"/>
  <c r="C6872" i="1"/>
  <c r="D6872" i="1"/>
  <c r="Q6872" i="1"/>
  <c r="R6872" i="1"/>
  <c r="E6872" i="1"/>
  <c r="G6872" i="1"/>
  <c r="H6872" i="1"/>
  <c r="J6872" i="1"/>
  <c r="K6872" i="1"/>
  <c r="L6872" i="1"/>
  <c r="A6873" i="1"/>
  <c r="B6873" i="1"/>
  <c r="C6873" i="1"/>
  <c r="D6873" i="1"/>
  <c r="Q6873" i="1"/>
  <c r="R6873" i="1"/>
  <c r="E6873" i="1"/>
  <c r="G6873" i="1"/>
  <c r="H6873" i="1"/>
  <c r="J6873" i="1"/>
  <c r="K6873" i="1"/>
  <c r="L6873" i="1"/>
  <c r="A6874" i="1"/>
  <c r="B6874" i="1"/>
  <c r="C6874" i="1"/>
  <c r="D6874" i="1"/>
  <c r="Q6874" i="1"/>
  <c r="R6874" i="1"/>
  <c r="E6874" i="1"/>
  <c r="G6874" i="1"/>
  <c r="H6874" i="1"/>
  <c r="J6874" i="1"/>
  <c r="K6874" i="1"/>
  <c r="L6874" i="1"/>
  <c r="A6875" i="1"/>
  <c r="B6875" i="1"/>
  <c r="C6875" i="1"/>
  <c r="D6875" i="1"/>
  <c r="Q6875" i="1"/>
  <c r="R6875" i="1"/>
  <c r="E6875" i="1"/>
  <c r="G6875" i="1"/>
  <c r="H6875" i="1"/>
  <c r="J6875" i="1"/>
  <c r="K6875" i="1"/>
  <c r="L6875" i="1"/>
  <c r="A6876" i="1"/>
  <c r="B6876" i="1"/>
  <c r="C6876" i="1"/>
  <c r="D6876" i="1"/>
  <c r="Q6876" i="1"/>
  <c r="R6876" i="1"/>
  <c r="E6876" i="1"/>
  <c r="G6876" i="1"/>
  <c r="H6876" i="1"/>
  <c r="J6876" i="1"/>
  <c r="K6876" i="1"/>
  <c r="L6876" i="1"/>
  <c r="A6877" i="1"/>
  <c r="B6877" i="1"/>
  <c r="C6877" i="1"/>
  <c r="D6877" i="1"/>
  <c r="Q6877" i="1"/>
  <c r="R6877" i="1"/>
  <c r="E6877" i="1"/>
  <c r="G6877" i="1"/>
  <c r="H6877" i="1"/>
  <c r="J6877" i="1"/>
  <c r="K6877" i="1"/>
  <c r="L6877" i="1"/>
  <c r="A6878" i="1"/>
  <c r="B6878" i="1"/>
  <c r="C6878" i="1"/>
  <c r="D6878" i="1"/>
  <c r="Q6878" i="1"/>
  <c r="R6878" i="1"/>
  <c r="E6878" i="1"/>
  <c r="G6878" i="1"/>
  <c r="H6878" i="1"/>
  <c r="J6878" i="1"/>
  <c r="K6878" i="1"/>
  <c r="L6878" i="1"/>
  <c r="A6879" i="1"/>
  <c r="B6879" i="1"/>
  <c r="C6879" i="1"/>
  <c r="D6879" i="1"/>
  <c r="Q6879" i="1"/>
  <c r="R6879" i="1"/>
  <c r="E6879" i="1"/>
  <c r="G6879" i="1"/>
  <c r="H6879" i="1"/>
  <c r="J6879" i="1"/>
  <c r="K6879" i="1"/>
  <c r="L6879" i="1"/>
  <c r="A6880" i="1"/>
  <c r="B6880" i="1"/>
  <c r="C6880" i="1"/>
  <c r="D6880" i="1"/>
  <c r="Q6880" i="1"/>
  <c r="R6880" i="1"/>
  <c r="E6880" i="1"/>
  <c r="G6880" i="1"/>
  <c r="H6880" i="1"/>
  <c r="J6880" i="1"/>
  <c r="K6880" i="1"/>
  <c r="L6880" i="1"/>
  <c r="A6881" i="1"/>
  <c r="B6881" i="1"/>
  <c r="C6881" i="1"/>
  <c r="D6881" i="1"/>
  <c r="Q6881" i="1"/>
  <c r="R6881" i="1"/>
  <c r="E6881" i="1"/>
  <c r="G6881" i="1"/>
  <c r="H6881" i="1"/>
  <c r="J6881" i="1"/>
  <c r="K6881" i="1"/>
  <c r="L6881" i="1"/>
  <c r="A6882" i="1"/>
  <c r="B6882" i="1"/>
  <c r="C6882" i="1"/>
  <c r="D6882" i="1"/>
  <c r="Q6882" i="1"/>
  <c r="R6882" i="1"/>
  <c r="E6882" i="1"/>
  <c r="G6882" i="1"/>
  <c r="H6882" i="1"/>
  <c r="J6882" i="1"/>
  <c r="K6882" i="1"/>
  <c r="L6882" i="1"/>
  <c r="A6883" i="1"/>
  <c r="B6883" i="1"/>
  <c r="C6883" i="1"/>
  <c r="D6883" i="1"/>
  <c r="Q6883" i="1"/>
  <c r="R6883" i="1"/>
  <c r="E6883" i="1"/>
  <c r="G6883" i="1"/>
  <c r="H6883" i="1"/>
  <c r="J6883" i="1"/>
  <c r="K6883" i="1"/>
  <c r="L6883" i="1"/>
  <c r="A6884" i="1"/>
  <c r="B6884" i="1"/>
  <c r="C6884" i="1"/>
  <c r="D6884" i="1"/>
  <c r="Q6884" i="1"/>
  <c r="R6884" i="1"/>
  <c r="E6884" i="1"/>
  <c r="G6884" i="1"/>
  <c r="H6884" i="1"/>
  <c r="J6884" i="1"/>
  <c r="K6884" i="1"/>
  <c r="L6884" i="1"/>
  <c r="A6885" i="1"/>
  <c r="B6885" i="1"/>
  <c r="C6885" i="1"/>
  <c r="D6885" i="1"/>
  <c r="Q6885" i="1"/>
  <c r="R6885" i="1"/>
  <c r="E6885" i="1"/>
  <c r="G6885" i="1"/>
  <c r="H6885" i="1"/>
  <c r="J6885" i="1"/>
  <c r="K6885" i="1"/>
  <c r="L6885" i="1"/>
  <c r="A6886" i="1"/>
  <c r="B6886" i="1"/>
  <c r="C6886" i="1"/>
  <c r="D6886" i="1"/>
  <c r="Q6886" i="1"/>
  <c r="R6886" i="1"/>
  <c r="E6886" i="1"/>
  <c r="G6886" i="1"/>
  <c r="H6886" i="1"/>
  <c r="J6886" i="1"/>
  <c r="K6886" i="1"/>
  <c r="L6886" i="1"/>
  <c r="A6887" i="1"/>
  <c r="B6887" i="1"/>
  <c r="C6887" i="1"/>
  <c r="D6887" i="1"/>
  <c r="Q6887" i="1"/>
  <c r="R6887" i="1"/>
  <c r="E6887" i="1"/>
  <c r="G6887" i="1"/>
  <c r="H6887" i="1"/>
  <c r="J6887" i="1"/>
  <c r="K6887" i="1"/>
  <c r="L6887" i="1"/>
  <c r="A4557" i="1"/>
  <c r="B4557" i="1"/>
  <c r="C4557" i="1"/>
  <c r="D4557" i="1"/>
  <c r="Q4557" i="1"/>
  <c r="R4557" i="1"/>
  <c r="E4557" i="1"/>
  <c r="G4557" i="1"/>
  <c r="H4557" i="1"/>
  <c r="J4557" i="1"/>
  <c r="K4557" i="1"/>
  <c r="L4557" i="1"/>
  <c r="A4558" i="1"/>
  <c r="B4558" i="1"/>
  <c r="C4558" i="1"/>
  <c r="D4558" i="1"/>
  <c r="Q4558" i="1"/>
  <c r="R4558" i="1"/>
  <c r="E4558" i="1"/>
  <c r="G4558" i="1"/>
  <c r="H4558" i="1"/>
  <c r="J4558" i="1"/>
  <c r="K4558" i="1"/>
  <c r="L4558" i="1"/>
  <c r="A4559" i="1"/>
  <c r="B4559" i="1"/>
  <c r="C4559" i="1"/>
  <c r="D4559" i="1"/>
  <c r="Q4559" i="1"/>
  <c r="R4559" i="1"/>
  <c r="E4559" i="1"/>
  <c r="G4559" i="1"/>
  <c r="H4559" i="1"/>
  <c r="J4559" i="1"/>
  <c r="K4559" i="1"/>
  <c r="L4559" i="1"/>
  <c r="A4560" i="1"/>
  <c r="B4560" i="1"/>
  <c r="C4560" i="1"/>
  <c r="D4560" i="1"/>
  <c r="Q4560" i="1"/>
  <c r="R4560" i="1"/>
  <c r="E4560" i="1"/>
  <c r="G4560" i="1"/>
  <c r="H4560" i="1"/>
  <c r="J4560" i="1"/>
  <c r="K4560" i="1"/>
  <c r="L4560" i="1"/>
  <c r="A4561" i="1"/>
  <c r="B4561" i="1"/>
  <c r="C4561" i="1"/>
  <c r="D4561" i="1"/>
  <c r="Q4561" i="1"/>
  <c r="R4561" i="1"/>
  <c r="E4561" i="1"/>
  <c r="G4561" i="1"/>
  <c r="H4561" i="1"/>
  <c r="J4561" i="1"/>
  <c r="K4561" i="1"/>
  <c r="L4561" i="1"/>
  <c r="A4562" i="1"/>
  <c r="B4562" i="1"/>
  <c r="C4562" i="1"/>
  <c r="D4562" i="1"/>
  <c r="Q4562" i="1"/>
  <c r="R4562" i="1"/>
  <c r="E4562" i="1"/>
  <c r="G4562" i="1"/>
  <c r="H4562" i="1"/>
  <c r="J4562" i="1"/>
  <c r="K4562" i="1"/>
  <c r="L4562" i="1"/>
  <c r="A4563" i="1"/>
  <c r="B4563" i="1"/>
  <c r="C4563" i="1"/>
  <c r="D4563" i="1"/>
  <c r="Q4563" i="1"/>
  <c r="R4563" i="1"/>
  <c r="E4563" i="1"/>
  <c r="G4563" i="1"/>
  <c r="H4563" i="1"/>
  <c r="J4563" i="1"/>
  <c r="K4563" i="1"/>
  <c r="L4563" i="1"/>
  <c r="A4564" i="1"/>
  <c r="B4564" i="1"/>
  <c r="C4564" i="1"/>
  <c r="D4564" i="1"/>
  <c r="Q4564" i="1"/>
  <c r="R4564" i="1"/>
  <c r="E4564" i="1"/>
  <c r="G4564" i="1"/>
  <c r="H4564" i="1"/>
  <c r="J4564" i="1"/>
  <c r="K4564" i="1"/>
  <c r="L4564" i="1"/>
  <c r="A4565" i="1"/>
  <c r="B4565" i="1"/>
  <c r="C4565" i="1"/>
  <c r="D4565" i="1"/>
  <c r="Q4565" i="1"/>
  <c r="R4565" i="1"/>
  <c r="E4565" i="1"/>
  <c r="G4565" i="1"/>
  <c r="H4565" i="1"/>
  <c r="J4565" i="1"/>
  <c r="K4565" i="1"/>
  <c r="L4565" i="1"/>
  <c r="A4566" i="1"/>
  <c r="B4566" i="1"/>
  <c r="C4566" i="1"/>
  <c r="D4566" i="1"/>
  <c r="Q4566" i="1"/>
  <c r="R4566" i="1"/>
  <c r="E4566" i="1"/>
  <c r="G4566" i="1"/>
  <c r="H4566" i="1"/>
  <c r="J4566" i="1"/>
  <c r="K4566" i="1"/>
  <c r="L4566" i="1"/>
  <c r="A4567" i="1"/>
  <c r="B4567" i="1"/>
  <c r="C4567" i="1"/>
  <c r="D4567" i="1"/>
  <c r="Q4567" i="1"/>
  <c r="R4567" i="1"/>
  <c r="E4567" i="1"/>
  <c r="G4567" i="1"/>
  <c r="H4567" i="1"/>
  <c r="J4567" i="1"/>
  <c r="K4567" i="1"/>
  <c r="L4567" i="1"/>
  <c r="A4568" i="1"/>
  <c r="B4568" i="1"/>
  <c r="C4568" i="1"/>
  <c r="D4568" i="1"/>
  <c r="Q4568" i="1"/>
  <c r="R4568" i="1"/>
  <c r="E4568" i="1"/>
  <c r="G4568" i="1"/>
  <c r="H4568" i="1"/>
  <c r="J4568" i="1"/>
  <c r="K4568" i="1"/>
  <c r="L4568" i="1"/>
  <c r="A4569" i="1"/>
  <c r="B4569" i="1"/>
  <c r="C4569" i="1"/>
  <c r="D4569" i="1"/>
  <c r="Q4569" i="1"/>
  <c r="R4569" i="1"/>
  <c r="E4569" i="1"/>
  <c r="G4569" i="1"/>
  <c r="H4569" i="1"/>
  <c r="J4569" i="1"/>
  <c r="K4569" i="1"/>
  <c r="L4569" i="1"/>
  <c r="A4570" i="1"/>
  <c r="B4570" i="1"/>
  <c r="C4570" i="1"/>
  <c r="D4570" i="1"/>
  <c r="Q4570" i="1"/>
  <c r="R4570" i="1"/>
  <c r="E4570" i="1"/>
  <c r="G4570" i="1"/>
  <c r="H4570" i="1"/>
  <c r="J4570" i="1"/>
  <c r="K4570" i="1"/>
  <c r="L4570" i="1"/>
  <c r="A4571" i="1"/>
  <c r="B4571" i="1"/>
  <c r="C4571" i="1"/>
  <c r="D4571" i="1"/>
  <c r="Q4571" i="1"/>
  <c r="R4571" i="1"/>
  <c r="E4571" i="1"/>
  <c r="G4571" i="1"/>
  <c r="H4571" i="1"/>
  <c r="J4571" i="1"/>
  <c r="K4571" i="1"/>
  <c r="L4571" i="1"/>
  <c r="A4572" i="1"/>
  <c r="B4572" i="1"/>
  <c r="C4572" i="1"/>
  <c r="D4572" i="1"/>
  <c r="Q4572" i="1"/>
  <c r="R4572" i="1"/>
  <c r="E4572" i="1"/>
  <c r="G4572" i="1"/>
  <c r="H4572" i="1"/>
  <c r="J4572" i="1"/>
  <c r="K4572" i="1"/>
  <c r="L4572" i="1"/>
  <c r="A4573" i="1"/>
  <c r="B4573" i="1"/>
  <c r="C4573" i="1"/>
  <c r="D4573" i="1"/>
  <c r="Q4573" i="1"/>
  <c r="R4573" i="1"/>
  <c r="E4573" i="1"/>
  <c r="G4573" i="1"/>
  <c r="H4573" i="1"/>
  <c r="J4573" i="1"/>
  <c r="K4573" i="1"/>
  <c r="L4573" i="1"/>
  <c r="A4574" i="1"/>
  <c r="B4574" i="1"/>
  <c r="C4574" i="1"/>
  <c r="D4574" i="1"/>
  <c r="Q4574" i="1"/>
  <c r="R4574" i="1"/>
  <c r="E4574" i="1"/>
  <c r="G4574" i="1"/>
  <c r="H4574" i="1"/>
  <c r="J4574" i="1"/>
  <c r="K4574" i="1"/>
  <c r="L4574" i="1"/>
  <c r="A4575" i="1"/>
  <c r="B4575" i="1"/>
  <c r="C4575" i="1"/>
  <c r="D4575" i="1"/>
  <c r="Q4575" i="1"/>
  <c r="R4575" i="1"/>
  <c r="E4575" i="1"/>
  <c r="G4575" i="1"/>
  <c r="H4575" i="1"/>
  <c r="J4575" i="1"/>
  <c r="K4575" i="1"/>
  <c r="L4575" i="1"/>
  <c r="A4576" i="1"/>
  <c r="B4576" i="1"/>
  <c r="C4576" i="1"/>
  <c r="D4576" i="1"/>
  <c r="Q4576" i="1"/>
  <c r="R4576" i="1"/>
  <c r="E4576" i="1"/>
  <c r="G4576" i="1"/>
  <c r="H4576" i="1"/>
  <c r="J4576" i="1"/>
  <c r="K4576" i="1"/>
  <c r="L4576" i="1"/>
  <c r="A4577" i="1"/>
  <c r="B4577" i="1"/>
  <c r="C4577" i="1"/>
  <c r="D4577" i="1"/>
  <c r="Q4577" i="1"/>
  <c r="R4577" i="1"/>
  <c r="E4577" i="1"/>
  <c r="G4577" i="1"/>
  <c r="H4577" i="1"/>
  <c r="J4577" i="1"/>
  <c r="K4577" i="1"/>
  <c r="L4577" i="1"/>
  <c r="A4578" i="1"/>
  <c r="B4578" i="1"/>
  <c r="C4578" i="1"/>
  <c r="D4578" i="1"/>
  <c r="Q4578" i="1"/>
  <c r="R4578" i="1"/>
  <c r="E4578" i="1"/>
  <c r="G4578" i="1"/>
  <c r="H4578" i="1"/>
  <c r="J4578" i="1"/>
  <c r="K4578" i="1"/>
  <c r="L4578" i="1"/>
  <c r="A4579" i="1"/>
  <c r="B4579" i="1"/>
  <c r="C4579" i="1"/>
  <c r="D4579" i="1"/>
  <c r="Q4579" i="1"/>
  <c r="R4579" i="1"/>
  <c r="E4579" i="1"/>
  <c r="G4579" i="1"/>
  <c r="H4579" i="1"/>
  <c r="J4579" i="1"/>
  <c r="K4579" i="1"/>
  <c r="L4579" i="1"/>
  <c r="A4580" i="1"/>
  <c r="B4580" i="1"/>
  <c r="C4580" i="1"/>
  <c r="D4580" i="1"/>
  <c r="Q4580" i="1"/>
  <c r="R4580" i="1"/>
  <c r="E4580" i="1"/>
  <c r="G4580" i="1"/>
  <c r="H4580" i="1"/>
  <c r="J4580" i="1"/>
  <c r="K4580" i="1"/>
  <c r="L4580" i="1"/>
  <c r="A4581" i="1"/>
  <c r="B4581" i="1"/>
  <c r="C4581" i="1"/>
  <c r="D4581" i="1"/>
  <c r="Q4581" i="1"/>
  <c r="R4581" i="1"/>
  <c r="E4581" i="1"/>
  <c r="G4581" i="1"/>
  <c r="H4581" i="1"/>
  <c r="J4581" i="1"/>
  <c r="K4581" i="1"/>
  <c r="L4581" i="1"/>
  <c r="A4582" i="1"/>
  <c r="B4582" i="1"/>
  <c r="C4582" i="1"/>
  <c r="D4582" i="1"/>
  <c r="Q4582" i="1"/>
  <c r="R4582" i="1"/>
  <c r="E4582" i="1"/>
  <c r="G4582" i="1"/>
  <c r="H4582" i="1"/>
  <c r="J4582" i="1"/>
  <c r="K4582" i="1"/>
  <c r="L4582" i="1"/>
  <c r="A4583" i="1"/>
  <c r="B4583" i="1"/>
  <c r="C4583" i="1"/>
  <c r="D4583" i="1"/>
  <c r="Q4583" i="1"/>
  <c r="R4583" i="1"/>
  <c r="E4583" i="1"/>
  <c r="G4583" i="1"/>
  <c r="H4583" i="1"/>
  <c r="J4583" i="1"/>
  <c r="K4583" i="1"/>
  <c r="L4583" i="1"/>
  <c r="A4584" i="1"/>
  <c r="B4584" i="1"/>
  <c r="C4584" i="1"/>
  <c r="D4584" i="1"/>
  <c r="Q4584" i="1"/>
  <c r="R4584" i="1"/>
  <c r="E4584" i="1"/>
  <c r="G4584" i="1"/>
  <c r="H4584" i="1"/>
  <c r="J4584" i="1"/>
  <c r="K4584" i="1"/>
  <c r="L4584" i="1"/>
  <c r="A4585" i="1"/>
  <c r="B4585" i="1"/>
  <c r="C4585" i="1"/>
  <c r="D4585" i="1"/>
  <c r="Q4585" i="1"/>
  <c r="R4585" i="1"/>
  <c r="E4585" i="1"/>
  <c r="G4585" i="1"/>
  <c r="H4585" i="1"/>
  <c r="J4585" i="1"/>
  <c r="K4585" i="1"/>
  <c r="L4585" i="1"/>
  <c r="A4586" i="1"/>
  <c r="B4586" i="1"/>
  <c r="C4586" i="1"/>
  <c r="D4586" i="1"/>
  <c r="Q4586" i="1"/>
  <c r="R4586" i="1"/>
  <c r="E4586" i="1"/>
  <c r="G4586" i="1"/>
  <c r="H4586" i="1"/>
  <c r="J4586" i="1"/>
  <c r="K4586" i="1"/>
  <c r="L4586" i="1"/>
  <c r="A4587" i="1"/>
  <c r="B4587" i="1"/>
  <c r="C4587" i="1"/>
  <c r="D4587" i="1"/>
  <c r="Q4587" i="1"/>
  <c r="R4587" i="1"/>
  <c r="E4587" i="1"/>
  <c r="G4587" i="1"/>
  <c r="H4587" i="1"/>
  <c r="J4587" i="1"/>
  <c r="K4587" i="1"/>
  <c r="L4587" i="1"/>
  <c r="A4588" i="1"/>
  <c r="B4588" i="1"/>
  <c r="C4588" i="1"/>
  <c r="D4588" i="1"/>
  <c r="Q4588" i="1"/>
  <c r="R4588" i="1"/>
  <c r="E4588" i="1"/>
  <c r="G4588" i="1"/>
  <c r="H4588" i="1"/>
  <c r="J4588" i="1"/>
  <c r="K4588" i="1"/>
  <c r="L4588" i="1"/>
  <c r="A4589" i="1"/>
  <c r="B4589" i="1"/>
  <c r="C4589" i="1"/>
  <c r="D4589" i="1"/>
  <c r="Q4589" i="1"/>
  <c r="R4589" i="1"/>
  <c r="E4589" i="1"/>
  <c r="G4589" i="1"/>
  <c r="H4589" i="1"/>
  <c r="J4589" i="1"/>
  <c r="K4589" i="1"/>
  <c r="L4589" i="1"/>
  <c r="A4590" i="1"/>
  <c r="B4590" i="1"/>
  <c r="C4590" i="1"/>
  <c r="D4590" i="1"/>
  <c r="Q4590" i="1"/>
  <c r="R4590" i="1"/>
  <c r="E4590" i="1"/>
  <c r="G4590" i="1"/>
  <c r="H4590" i="1"/>
  <c r="J4590" i="1"/>
  <c r="K4590" i="1"/>
  <c r="L4590" i="1"/>
  <c r="A4591" i="1"/>
  <c r="B4591" i="1"/>
  <c r="C4591" i="1"/>
  <c r="D4591" i="1"/>
  <c r="Q4591" i="1"/>
  <c r="R4591" i="1"/>
  <c r="E4591" i="1"/>
  <c r="G4591" i="1"/>
  <c r="H4591" i="1"/>
  <c r="J4591" i="1"/>
  <c r="K4591" i="1"/>
  <c r="L4591" i="1"/>
  <c r="A4592" i="1"/>
  <c r="B4592" i="1"/>
  <c r="C4592" i="1"/>
  <c r="D4592" i="1"/>
  <c r="Q4592" i="1"/>
  <c r="R4592" i="1"/>
  <c r="E4592" i="1"/>
  <c r="G4592" i="1"/>
  <c r="H4592" i="1"/>
  <c r="J4592" i="1"/>
  <c r="K4592" i="1"/>
  <c r="L4592" i="1"/>
  <c r="A4593" i="1"/>
  <c r="B4593" i="1"/>
  <c r="C4593" i="1"/>
  <c r="D4593" i="1"/>
  <c r="Q4593" i="1"/>
  <c r="R4593" i="1"/>
  <c r="E4593" i="1"/>
  <c r="G4593" i="1"/>
  <c r="H4593" i="1"/>
  <c r="J4593" i="1"/>
  <c r="K4593" i="1"/>
  <c r="L4593" i="1"/>
  <c r="A4594" i="1"/>
  <c r="B4594" i="1"/>
  <c r="C4594" i="1"/>
  <c r="D4594" i="1"/>
  <c r="Q4594" i="1"/>
  <c r="R4594" i="1"/>
  <c r="E4594" i="1"/>
  <c r="G4594" i="1"/>
  <c r="H4594" i="1"/>
  <c r="J4594" i="1"/>
  <c r="K4594" i="1"/>
  <c r="L4594" i="1"/>
  <c r="A4595" i="1"/>
  <c r="B4595" i="1"/>
  <c r="C4595" i="1"/>
  <c r="D4595" i="1"/>
  <c r="Q4595" i="1"/>
  <c r="R4595" i="1"/>
  <c r="E4595" i="1"/>
  <c r="G4595" i="1"/>
  <c r="H4595" i="1"/>
  <c r="J4595" i="1"/>
  <c r="K4595" i="1"/>
  <c r="L4595" i="1"/>
  <c r="A4596" i="1"/>
  <c r="B4596" i="1"/>
  <c r="C4596" i="1"/>
  <c r="D4596" i="1"/>
  <c r="Q4596" i="1"/>
  <c r="R4596" i="1"/>
  <c r="E4596" i="1"/>
  <c r="G4596" i="1"/>
  <c r="H4596" i="1"/>
  <c r="J4596" i="1"/>
  <c r="K4596" i="1"/>
  <c r="L4596" i="1"/>
  <c r="A4597" i="1"/>
  <c r="B4597" i="1"/>
  <c r="C4597" i="1"/>
  <c r="D4597" i="1"/>
  <c r="Q4597" i="1"/>
  <c r="R4597" i="1"/>
  <c r="E4597" i="1"/>
  <c r="G4597" i="1"/>
  <c r="H4597" i="1"/>
  <c r="J4597" i="1"/>
  <c r="K4597" i="1"/>
  <c r="L4597" i="1"/>
  <c r="A4598" i="1"/>
  <c r="B4598" i="1"/>
  <c r="C4598" i="1"/>
  <c r="D4598" i="1"/>
  <c r="Q4598" i="1"/>
  <c r="R4598" i="1"/>
  <c r="E4598" i="1"/>
  <c r="G4598" i="1"/>
  <c r="H4598" i="1"/>
  <c r="J4598" i="1"/>
  <c r="K4598" i="1"/>
  <c r="L4598" i="1"/>
  <c r="A4599" i="1"/>
  <c r="B4599" i="1"/>
  <c r="C4599" i="1"/>
  <c r="D4599" i="1"/>
  <c r="Q4599" i="1"/>
  <c r="R4599" i="1"/>
  <c r="E4599" i="1"/>
  <c r="G4599" i="1"/>
  <c r="H4599" i="1"/>
  <c r="J4599" i="1"/>
  <c r="K4599" i="1"/>
  <c r="L4599" i="1"/>
  <c r="A4600" i="1"/>
  <c r="B4600" i="1"/>
  <c r="C4600" i="1"/>
  <c r="D4600" i="1"/>
  <c r="Q4600" i="1"/>
  <c r="R4600" i="1"/>
  <c r="E4600" i="1"/>
  <c r="G4600" i="1"/>
  <c r="H4600" i="1"/>
  <c r="J4600" i="1"/>
  <c r="K4600" i="1"/>
  <c r="L4600" i="1"/>
  <c r="A4601" i="1"/>
  <c r="B4601" i="1"/>
  <c r="C4601" i="1"/>
  <c r="D4601" i="1"/>
  <c r="Q4601" i="1"/>
  <c r="R4601" i="1"/>
  <c r="E4601" i="1"/>
  <c r="G4601" i="1"/>
  <c r="H4601" i="1"/>
  <c r="J4601" i="1"/>
  <c r="K4601" i="1"/>
  <c r="L4601" i="1"/>
  <c r="A4602" i="1"/>
  <c r="B4602" i="1"/>
  <c r="C4602" i="1"/>
  <c r="D4602" i="1"/>
  <c r="Q4602" i="1"/>
  <c r="R4602" i="1"/>
  <c r="E4602" i="1"/>
  <c r="G4602" i="1"/>
  <c r="H4602" i="1"/>
  <c r="J4602" i="1"/>
  <c r="K4602" i="1"/>
  <c r="L4602" i="1"/>
  <c r="A4603" i="1"/>
  <c r="B4603" i="1"/>
  <c r="C4603" i="1"/>
  <c r="D4603" i="1"/>
  <c r="Q4603" i="1"/>
  <c r="R4603" i="1"/>
  <c r="E4603" i="1"/>
  <c r="G4603" i="1"/>
  <c r="H4603" i="1"/>
  <c r="J4603" i="1"/>
  <c r="K4603" i="1"/>
  <c r="L4603" i="1"/>
  <c r="A4604" i="1"/>
  <c r="B4604" i="1"/>
  <c r="C4604" i="1"/>
  <c r="D4604" i="1"/>
  <c r="Q4604" i="1"/>
  <c r="R4604" i="1"/>
  <c r="E4604" i="1"/>
  <c r="G4604" i="1"/>
  <c r="H4604" i="1"/>
  <c r="J4604" i="1"/>
  <c r="K4604" i="1"/>
  <c r="L4604" i="1"/>
  <c r="A4605" i="1"/>
  <c r="B4605" i="1"/>
  <c r="C4605" i="1"/>
  <c r="D4605" i="1"/>
  <c r="Q4605" i="1"/>
  <c r="R4605" i="1"/>
  <c r="E4605" i="1"/>
  <c r="G4605" i="1"/>
  <c r="H4605" i="1"/>
  <c r="J4605" i="1"/>
  <c r="K4605" i="1"/>
  <c r="L4605" i="1"/>
  <c r="A4606" i="1"/>
  <c r="B4606" i="1"/>
  <c r="C4606" i="1"/>
  <c r="D4606" i="1"/>
  <c r="Q4606" i="1"/>
  <c r="R4606" i="1"/>
  <c r="E4606" i="1"/>
  <c r="G4606" i="1"/>
  <c r="H4606" i="1"/>
  <c r="J4606" i="1"/>
  <c r="K4606" i="1"/>
  <c r="L4606" i="1"/>
  <c r="A4607" i="1"/>
  <c r="B4607" i="1"/>
  <c r="C4607" i="1"/>
  <c r="D4607" i="1"/>
  <c r="Q4607" i="1"/>
  <c r="R4607" i="1"/>
  <c r="E4607" i="1"/>
  <c r="G4607" i="1"/>
  <c r="H4607" i="1"/>
  <c r="J4607" i="1"/>
  <c r="K4607" i="1"/>
  <c r="L4607" i="1"/>
  <c r="A4608" i="1"/>
  <c r="B4608" i="1"/>
  <c r="C4608" i="1"/>
  <c r="D4608" i="1"/>
  <c r="Q4608" i="1"/>
  <c r="R4608" i="1"/>
  <c r="E4608" i="1"/>
  <c r="G4608" i="1"/>
  <c r="H4608" i="1"/>
  <c r="J4608" i="1"/>
  <c r="K4608" i="1"/>
  <c r="L4608" i="1"/>
  <c r="A4609" i="1"/>
  <c r="B4609" i="1"/>
  <c r="C4609" i="1"/>
  <c r="D4609" i="1"/>
  <c r="Q4609" i="1"/>
  <c r="R4609" i="1"/>
  <c r="E4609" i="1"/>
  <c r="G4609" i="1"/>
  <c r="H4609" i="1"/>
  <c r="J4609" i="1"/>
  <c r="K4609" i="1"/>
  <c r="L4609" i="1"/>
  <c r="A4610" i="1"/>
  <c r="B4610" i="1"/>
  <c r="C4610" i="1"/>
  <c r="D4610" i="1"/>
  <c r="Q4610" i="1"/>
  <c r="R4610" i="1"/>
  <c r="E4610" i="1"/>
  <c r="G4610" i="1"/>
  <c r="H4610" i="1"/>
  <c r="J4610" i="1"/>
  <c r="K4610" i="1"/>
  <c r="L4610" i="1"/>
  <c r="A4611" i="1"/>
  <c r="B4611" i="1"/>
  <c r="C4611" i="1"/>
  <c r="D4611" i="1"/>
  <c r="Q4611" i="1"/>
  <c r="R4611" i="1"/>
  <c r="E4611" i="1"/>
  <c r="G4611" i="1"/>
  <c r="H4611" i="1"/>
  <c r="J4611" i="1"/>
  <c r="K4611" i="1"/>
  <c r="L4611" i="1"/>
  <c r="A4612" i="1"/>
  <c r="B4612" i="1"/>
  <c r="C4612" i="1"/>
  <c r="D4612" i="1"/>
  <c r="Q4612" i="1"/>
  <c r="R4612" i="1"/>
  <c r="E4612" i="1"/>
  <c r="G4612" i="1"/>
  <c r="H4612" i="1"/>
  <c r="J4612" i="1"/>
  <c r="K4612" i="1"/>
  <c r="L4612" i="1"/>
  <c r="A4613" i="1"/>
  <c r="B4613" i="1"/>
  <c r="C4613" i="1"/>
  <c r="D4613" i="1"/>
  <c r="Q4613" i="1"/>
  <c r="R4613" i="1"/>
  <c r="E4613" i="1"/>
  <c r="G4613" i="1"/>
  <c r="H4613" i="1"/>
  <c r="J4613" i="1"/>
  <c r="K4613" i="1"/>
  <c r="L4613" i="1"/>
  <c r="A4614" i="1"/>
  <c r="B4614" i="1"/>
  <c r="C4614" i="1"/>
  <c r="D4614" i="1"/>
  <c r="Q4614" i="1"/>
  <c r="R4614" i="1"/>
  <c r="E4614" i="1"/>
  <c r="G4614" i="1"/>
  <c r="H4614" i="1"/>
  <c r="J4614" i="1"/>
  <c r="K4614" i="1"/>
  <c r="L4614" i="1"/>
  <c r="A4615" i="1"/>
  <c r="B4615" i="1"/>
  <c r="C4615" i="1"/>
  <c r="D4615" i="1"/>
  <c r="Q4615" i="1"/>
  <c r="R4615" i="1"/>
  <c r="E4615" i="1"/>
  <c r="G4615" i="1"/>
  <c r="H4615" i="1"/>
  <c r="J4615" i="1"/>
  <c r="K4615" i="1"/>
  <c r="L4615" i="1"/>
  <c r="A4616" i="1"/>
  <c r="B4616" i="1"/>
  <c r="C4616" i="1"/>
  <c r="D4616" i="1"/>
  <c r="Q4616" i="1"/>
  <c r="R4616" i="1"/>
  <c r="E4616" i="1"/>
  <c r="G4616" i="1"/>
  <c r="H4616" i="1"/>
  <c r="J4616" i="1"/>
  <c r="K4616" i="1"/>
  <c r="L4616" i="1"/>
  <c r="A4617" i="1"/>
  <c r="B4617" i="1"/>
  <c r="C4617" i="1"/>
  <c r="D4617" i="1"/>
  <c r="Q4617" i="1"/>
  <c r="R4617" i="1"/>
  <c r="E4617" i="1"/>
  <c r="G4617" i="1"/>
  <c r="H4617" i="1"/>
  <c r="J4617" i="1"/>
  <c r="K4617" i="1"/>
  <c r="L4617" i="1"/>
  <c r="A4618" i="1"/>
  <c r="B4618" i="1"/>
  <c r="C4618" i="1"/>
  <c r="D4618" i="1"/>
  <c r="Q4618" i="1"/>
  <c r="R4618" i="1"/>
  <c r="E4618" i="1"/>
  <c r="G4618" i="1"/>
  <c r="H4618" i="1"/>
  <c r="J4618" i="1"/>
  <c r="K4618" i="1"/>
  <c r="L4618" i="1"/>
  <c r="A4619" i="1"/>
  <c r="B4619" i="1"/>
  <c r="C4619" i="1"/>
  <c r="D4619" i="1"/>
  <c r="Q4619" i="1"/>
  <c r="R4619" i="1"/>
  <c r="E4619" i="1"/>
  <c r="G4619" i="1"/>
  <c r="H4619" i="1"/>
  <c r="J4619" i="1"/>
  <c r="K4619" i="1"/>
  <c r="L4619" i="1"/>
  <c r="A4620" i="1"/>
  <c r="B4620" i="1"/>
  <c r="C4620" i="1"/>
  <c r="D4620" i="1"/>
  <c r="Q4620" i="1"/>
  <c r="R4620" i="1"/>
  <c r="E4620" i="1"/>
  <c r="G4620" i="1"/>
  <c r="H4620" i="1"/>
  <c r="J4620" i="1"/>
  <c r="K4620" i="1"/>
  <c r="L4620" i="1"/>
  <c r="A4621" i="1"/>
  <c r="B4621" i="1"/>
  <c r="C4621" i="1"/>
  <c r="D4621" i="1"/>
  <c r="Q4621" i="1"/>
  <c r="R4621" i="1"/>
  <c r="E4621" i="1"/>
  <c r="G4621" i="1"/>
  <c r="H4621" i="1"/>
  <c r="J4621" i="1"/>
  <c r="K4621" i="1"/>
  <c r="L4621" i="1"/>
  <c r="A4622" i="1"/>
  <c r="B4622" i="1"/>
  <c r="C4622" i="1"/>
  <c r="D4622" i="1"/>
  <c r="Q4622" i="1"/>
  <c r="R4622" i="1"/>
  <c r="E4622" i="1"/>
  <c r="G4622" i="1"/>
  <c r="H4622" i="1"/>
  <c r="J4622" i="1"/>
  <c r="K4622" i="1"/>
  <c r="L4622" i="1"/>
  <c r="A4623" i="1"/>
  <c r="B4623" i="1"/>
  <c r="C4623" i="1"/>
  <c r="D4623" i="1"/>
  <c r="Q4623" i="1"/>
  <c r="R4623" i="1"/>
  <c r="E4623" i="1"/>
  <c r="G4623" i="1"/>
  <c r="H4623" i="1"/>
  <c r="J4623" i="1"/>
  <c r="K4623" i="1"/>
  <c r="L4623" i="1"/>
  <c r="A4624" i="1"/>
  <c r="B4624" i="1"/>
  <c r="C4624" i="1"/>
  <c r="D4624" i="1"/>
  <c r="Q4624" i="1"/>
  <c r="R4624" i="1"/>
  <c r="E4624" i="1"/>
  <c r="G4624" i="1"/>
  <c r="H4624" i="1"/>
  <c r="J4624" i="1"/>
  <c r="K4624" i="1"/>
  <c r="L4624" i="1"/>
  <c r="A4625" i="1"/>
  <c r="B4625" i="1"/>
  <c r="C4625" i="1"/>
  <c r="D4625" i="1"/>
  <c r="Q4625" i="1"/>
  <c r="R4625" i="1"/>
  <c r="E4625" i="1"/>
  <c r="G4625" i="1"/>
  <c r="H4625" i="1"/>
  <c r="J4625" i="1"/>
  <c r="K4625" i="1"/>
  <c r="L4625" i="1"/>
  <c r="A4626" i="1"/>
  <c r="B4626" i="1"/>
  <c r="C4626" i="1"/>
  <c r="D4626" i="1"/>
  <c r="Q4626" i="1"/>
  <c r="R4626" i="1"/>
  <c r="E4626" i="1"/>
  <c r="G4626" i="1"/>
  <c r="H4626" i="1"/>
  <c r="J4626" i="1"/>
  <c r="K4626" i="1"/>
  <c r="L4626" i="1"/>
  <c r="A4627" i="1"/>
  <c r="B4627" i="1"/>
  <c r="C4627" i="1"/>
  <c r="D4627" i="1"/>
  <c r="Q4627" i="1"/>
  <c r="R4627" i="1"/>
  <c r="E4627" i="1"/>
  <c r="G4627" i="1"/>
  <c r="H4627" i="1"/>
  <c r="J4627" i="1"/>
  <c r="K4627" i="1"/>
  <c r="L4627" i="1"/>
  <c r="A4628" i="1"/>
  <c r="B4628" i="1"/>
  <c r="C4628" i="1"/>
  <c r="D4628" i="1"/>
  <c r="Q4628" i="1"/>
  <c r="R4628" i="1"/>
  <c r="E4628" i="1"/>
  <c r="G4628" i="1"/>
  <c r="H4628" i="1"/>
  <c r="J4628" i="1"/>
  <c r="K4628" i="1"/>
  <c r="L4628" i="1"/>
  <c r="A4629" i="1"/>
  <c r="B4629" i="1"/>
  <c r="C4629" i="1"/>
  <c r="D4629" i="1"/>
  <c r="Q4629" i="1"/>
  <c r="R4629" i="1"/>
  <c r="E4629" i="1"/>
  <c r="G4629" i="1"/>
  <c r="H4629" i="1"/>
  <c r="J4629" i="1"/>
  <c r="K4629" i="1"/>
  <c r="L4629" i="1"/>
  <c r="A4630" i="1"/>
  <c r="B4630" i="1"/>
  <c r="C4630" i="1"/>
  <c r="D4630" i="1"/>
  <c r="Q4630" i="1"/>
  <c r="R4630" i="1"/>
  <c r="E4630" i="1"/>
  <c r="G4630" i="1"/>
  <c r="H4630" i="1"/>
  <c r="J4630" i="1"/>
  <c r="K4630" i="1"/>
  <c r="L4630" i="1"/>
  <c r="A4631" i="1"/>
  <c r="B4631" i="1"/>
  <c r="C4631" i="1"/>
  <c r="D4631" i="1"/>
  <c r="Q4631" i="1"/>
  <c r="R4631" i="1"/>
  <c r="E4631" i="1"/>
  <c r="G4631" i="1"/>
  <c r="H4631" i="1"/>
  <c r="J4631" i="1"/>
  <c r="K4631" i="1"/>
  <c r="L4631" i="1"/>
  <c r="A4632" i="1"/>
  <c r="B4632" i="1"/>
  <c r="C4632" i="1"/>
  <c r="D4632" i="1"/>
  <c r="Q4632" i="1"/>
  <c r="R4632" i="1"/>
  <c r="E4632" i="1"/>
  <c r="G4632" i="1"/>
  <c r="H4632" i="1"/>
  <c r="J4632" i="1"/>
  <c r="K4632" i="1"/>
  <c r="L4632" i="1"/>
  <c r="A4633" i="1"/>
  <c r="B4633" i="1"/>
  <c r="C4633" i="1"/>
  <c r="D4633" i="1"/>
  <c r="Q4633" i="1"/>
  <c r="R4633" i="1"/>
  <c r="E4633" i="1"/>
  <c r="G4633" i="1"/>
  <c r="H4633" i="1"/>
  <c r="J4633" i="1"/>
  <c r="K4633" i="1"/>
  <c r="L4633" i="1"/>
  <c r="A4634" i="1"/>
  <c r="B4634" i="1"/>
  <c r="C4634" i="1"/>
  <c r="D4634" i="1"/>
  <c r="Q4634" i="1"/>
  <c r="R4634" i="1"/>
  <c r="E4634" i="1"/>
  <c r="G4634" i="1"/>
  <c r="H4634" i="1"/>
  <c r="J4634" i="1"/>
  <c r="K4634" i="1"/>
  <c r="L4634" i="1"/>
  <c r="A4635" i="1"/>
  <c r="B4635" i="1"/>
  <c r="C4635" i="1"/>
  <c r="D4635" i="1"/>
  <c r="Q4635" i="1"/>
  <c r="R4635" i="1"/>
  <c r="E4635" i="1"/>
  <c r="G4635" i="1"/>
  <c r="H4635" i="1"/>
  <c r="J4635" i="1"/>
  <c r="K4635" i="1"/>
  <c r="L4635" i="1"/>
  <c r="A4636" i="1"/>
  <c r="B4636" i="1"/>
  <c r="C4636" i="1"/>
  <c r="D4636" i="1"/>
  <c r="Q4636" i="1"/>
  <c r="R4636" i="1"/>
  <c r="E4636" i="1"/>
  <c r="G4636" i="1"/>
  <c r="H4636" i="1"/>
  <c r="J4636" i="1"/>
  <c r="K4636" i="1"/>
  <c r="L4636" i="1"/>
  <c r="A4637" i="1"/>
  <c r="B4637" i="1"/>
  <c r="C4637" i="1"/>
  <c r="D4637" i="1"/>
  <c r="Q4637" i="1"/>
  <c r="R4637" i="1"/>
  <c r="E4637" i="1"/>
  <c r="G4637" i="1"/>
  <c r="H4637" i="1"/>
  <c r="J4637" i="1"/>
  <c r="K4637" i="1"/>
  <c r="L4637" i="1"/>
  <c r="A4638" i="1"/>
  <c r="B4638" i="1"/>
  <c r="C4638" i="1"/>
  <c r="D4638" i="1"/>
  <c r="Q4638" i="1"/>
  <c r="R4638" i="1"/>
  <c r="E4638" i="1"/>
  <c r="G4638" i="1"/>
  <c r="H4638" i="1"/>
  <c r="J4638" i="1"/>
  <c r="K4638" i="1"/>
  <c r="L4638" i="1"/>
  <c r="A4639" i="1"/>
  <c r="B4639" i="1"/>
  <c r="C4639" i="1"/>
  <c r="D4639" i="1"/>
  <c r="Q4639" i="1"/>
  <c r="R4639" i="1"/>
  <c r="E4639" i="1"/>
  <c r="G4639" i="1"/>
  <c r="H4639" i="1"/>
  <c r="J4639" i="1"/>
  <c r="K4639" i="1"/>
  <c r="L4639" i="1"/>
  <c r="A4640" i="1"/>
  <c r="B4640" i="1"/>
  <c r="C4640" i="1"/>
  <c r="D4640" i="1"/>
  <c r="Q4640" i="1"/>
  <c r="R4640" i="1"/>
  <c r="E4640" i="1"/>
  <c r="G4640" i="1"/>
  <c r="H4640" i="1"/>
  <c r="J4640" i="1"/>
  <c r="K4640" i="1"/>
  <c r="L4640" i="1"/>
  <c r="A4641" i="1"/>
  <c r="B4641" i="1"/>
  <c r="C4641" i="1"/>
  <c r="D4641" i="1"/>
  <c r="Q4641" i="1"/>
  <c r="R4641" i="1"/>
  <c r="E4641" i="1"/>
  <c r="G4641" i="1"/>
  <c r="H4641" i="1"/>
  <c r="J4641" i="1"/>
  <c r="K4641" i="1"/>
  <c r="L4641" i="1"/>
  <c r="A4642" i="1"/>
  <c r="B4642" i="1"/>
  <c r="C4642" i="1"/>
  <c r="D4642" i="1"/>
  <c r="Q4642" i="1"/>
  <c r="R4642" i="1"/>
  <c r="E4642" i="1"/>
  <c r="G4642" i="1"/>
  <c r="H4642" i="1"/>
  <c r="J4642" i="1"/>
  <c r="K4642" i="1"/>
  <c r="L4642" i="1"/>
  <c r="A4643" i="1"/>
  <c r="B4643" i="1"/>
  <c r="C4643" i="1"/>
  <c r="D4643" i="1"/>
  <c r="Q4643" i="1"/>
  <c r="R4643" i="1"/>
  <c r="E4643" i="1"/>
  <c r="G4643" i="1"/>
  <c r="H4643" i="1"/>
  <c r="J4643" i="1"/>
  <c r="K4643" i="1"/>
  <c r="L4643" i="1"/>
  <c r="A4644" i="1"/>
  <c r="B4644" i="1"/>
  <c r="C4644" i="1"/>
  <c r="D4644" i="1"/>
  <c r="Q4644" i="1"/>
  <c r="R4644" i="1"/>
  <c r="E4644" i="1"/>
  <c r="G4644" i="1"/>
  <c r="H4644" i="1"/>
  <c r="J4644" i="1"/>
  <c r="K4644" i="1"/>
  <c r="L4644" i="1"/>
  <c r="A4645" i="1"/>
  <c r="B4645" i="1"/>
  <c r="C4645" i="1"/>
  <c r="D4645" i="1"/>
  <c r="Q4645" i="1"/>
  <c r="R4645" i="1"/>
  <c r="E4645" i="1"/>
  <c r="G4645" i="1"/>
  <c r="H4645" i="1"/>
  <c r="J4645" i="1"/>
  <c r="K4645" i="1"/>
  <c r="L4645" i="1"/>
  <c r="A4646" i="1"/>
  <c r="B4646" i="1"/>
  <c r="C4646" i="1"/>
  <c r="D4646" i="1"/>
  <c r="Q4646" i="1"/>
  <c r="R4646" i="1"/>
  <c r="E4646" i="1"/>
  <c r="G4646" i="1"/>
  <c r="H4646" i="1"/>
  <c r="J4646" i="1"/>
  <c r="K4646" i="1"/>
  <c r="L4646" i="1"/>
  <c r="A4647" i="1"/>
  <c r="B4647" i="1"/>
  <c r="C4647" i="1"/>
  <c r="D4647" i="1"/>
  <c r="Q4647" i="1"/>
  <c r="R4647" i="1"/>
  <c r="E4647" i="1"/>
  <c r="G4647" i="1"/>
  <c r="H4647" i="1"/>
  <c r="J4647" i="1"/>
  <c r="K4647" i="1"/>
  <c r="L4647" i="1"/>
  <c r="A4648" i="1"/>
  <c r="B4648" i="1"/>
  <c r="C4648" i="1"/>
  <c r="D4648" i="1"/>
  <c r="Q4648" i="1"/>
  <c r="R4648" i="1"/>
  <c r="E4648" i="1"/>
  <c r="G4648" i="1"/>
  <c r="H4648" i="1"/>
  <c r="J4648" i="1"/>
  <c r="K4648" i="1"/>
  <c r="L4648" i="1"/>
  <c r="A4649" i="1"/>
  <c r="B4649" i="1"/>
  <c r="C4649" i="1"/>
  <c r="D4649" i="1"/>
  <c r="Q4649" i="1"/>
  <c r="R4649" i="1"/>
  <c r="E4649" i="1"/>
  <c r="G4649" i="1"/>
  <c r="H4649" i="1"/>
  <c r="J4649" i="1"/>
  <c r="K4649" i="1"/>
  <c r="L4649" i="1"/>
  <c r="A4650" i="1"/>
  <c r="B4650" i="1"/>
  <c r="C4650" i="1"/>
  <c r="D4650" i="1"/>
  <c r="Q4650" i="1"/>
  <c r="R4650" i="1"/>
  <c r="E4650" i="1"/>
  <c r="G4650" i="1"/>
  <c r="H4650" i="1"/>
  <c r="J4650" i="1"/>
  <c r="K4650" i="1"/>
  <c r="L4650" i="1"/>
  <c r="A4651" i="1"/>
  <c r="B4651" i="1"/>
  <c r="C4651" i="1"/>
  <c r="D4651" i="1"/>
  <c r="Q4651" i="1"/>
  <c r="R4651" i="1"/>
  <c r="E4651" i="1"/>
  <c r="G4651" i="1"/>
  <c r="H4651" i="1"/>
  <c r="J4651" i="1"/>
  <c r="K4651" i="1"/>
  <c r="L4651" i="1"/>
  <c r="A4652" i="1"/>
  <c r="B4652" i="1"/>
  <c r="C4652" i="1"/>
  <c r="D4652" i="1"/>
  <c r="Q4652" i="1"/>
  <c r="R4652" i="1"/>
  <c r="E4652" i="1"/>
  <c r="G4652" i="1"/>
  <c r="H4652" i="1"/>
  <c r="J4652" i="1"/>
  <c r="K4652" i="1"/>
  <c r="L4652" i="1"/>
  <c r="A4653" i="1"/>
  <c r="B4653" i="1"/>
  <c r="C4653" i="1"/>
  <c r="D4653" i="1"/>
  <c r="Q4653" i="1"/>
  <c r="R4653" i="1"/>
  <c r="E4653" i="1"/>
  <c r="G4653" i="1"/>
  <c r="H4653" i="1"/>
  <c r="J4653" i="1"/>
  <c r="K4653" i="1"/>
  <c r="L4653" i="1"/>
  <c r="A4654" i="1"/>
  <c r="B4654" i="1"/>
  <c r="C4654" i="1"/>
  <c r="D4654" i="1"/>
  <c r="Q4654" i="1"/>
  <c r="R4654" i="1"/>
  <c r="E4654" i="1"/>
  <c r="G4654" i="1"/>
  <c r="H4654" i="1"/>
  <c r="J4654" i="1"/>
  <c r="K4654" i="1"/>
  <c r="L4654" i="1"/>
  <c r="A4655" i="1"/>
  <c r="B4655" i="1"/>
  <c r="C4655" i="1"/>
  <c r="D4655" i="1"/>
  <c r="Q4655" i="1"/>
  <c r="R4655" i="1"/>
  <c r="E4655" i="1"/>
  <c r="G4655" i="1"/>
  <c r="H4655" i="1"/>
  <c r="J4655" i="1"/>
  <c r="K4655" i="1"/>
  <c r="L4655" i="1"/>
  <c r="A4656" i="1"/>
  <c r="B4656" i="1"/>
  <c r="C4656" i="1"/>
  <c r="D4656" i="1"/>
  <c r="Q4656" i="1"/>
  <c r="R4656" i="1"/>
  <c r="E4656" i="1"/>
  <c r="G4656" i="1"/>
  <c r="H4656" i="1"/>
  <c r="J4656" i="1"/>
  <c r="K4656" i="1"/>
  <c r="L4656" i="1"/>
  <c r="A4657" i="1"/>
  <c r="B4657" i="1"/>
  <c r="C4657" i="1"/>
  <c r="D4657" i="1"/>
  <c r="Q4657" i="1"/>
  <c r="R4657" i="1"/>
  <c r="E4657" i="1"/>
  <c r="G4657" i="1"/>
  <c r="H4657" i="1"/>
  <c r="J4657" i="1"/>
  <c r="K4657" i="1"/>
  <c r="L4657" i="1"/>
  <c r="A4658" i="1"/>
  <c r="B4658" i="1"/>
  <c r="C4658" i="1"/>
  <c r="D4658" i="1"/>
  <c r="Q4658" i="1"/>
  <c r="R4658" i="1"/>
  <c r="E4658" i="1"/>
  <c r="G4658" i="1"/>
  <c r="H4658" i="1"/>
  <c r="J4658" i="1"/>
  <c r="K4658" i="1"/>
  <c r="L4658" i="1"/>
  <c r="A4659" i="1"/>
  <c r="B4659" i="1"/>
  <c r="C4659" i="1"/>
  <c r="D4659" i="1"/>
  <c r="Q4659" i="1"/>
  <c r="R4659" i="1"/>
  <c r="E4659" i="1"/>
  <c r="G4659" i="1"/>
  <c r="H4659" i="1"/>
  <c r="J4659" i="1"/>
  <c r="K4659" i="1"/>
  <c r="L4659" i="1"/>
  <c r="A4660" i="1"/>
  <c r="B4660" i="1"/>
  <c r="C4660" i="1"/>
  <c r="D4660" i="1"/>
  <c r="Q4660" i="1"/>
  <c r="R4660" i="1"/>
  <c r="E4660" i="1"/>
  <c r="G4660" i="1"/>
  <c r="H4660" i="1"/>
  <c r="J4660" i="1"/>
  <c r="K4660" i="1"/>
  <c r="L4660" i="1"/>
  <c r="A6673" i="1"/>
  <c r="B6673" i="1"/>
  <c r="C6673" i="1"/>
  <c r="D6673" i="1"/>
  <c r="Q6673" i="1"/>
  <c r="R6673" i="1"/>
  <c r="E6673" i="1"/>
  <c r="G6673" i="1"/>
  <c r="H6673" i="1"/>
  <c r="J6673" i="1"/>
  <c r="K6673" i="1"/>
  <c r="L6673" i="1"/>
  <c r="A6674" i="1"/>
  <c r="B6674" i="1"/>
  <c r="C6674" i="1"/>
  <c r="D6674" i="1"/>
  <c r="Q6674" i="1"/>
  <c r="R6674" i="1"/>
  <c r="E6674" i="1"/>
  <c r="G6674" i="1"/>
  <c r="H6674" i="1"/>
  <c r="J6674" i="1"/>
  <c r="K6674" i="1"/>
  <c r="L6674" i="1"/>
  <c r="A6675" i="1"/>
  <c r="B6675" i="1"/>
  <c r="C6675" i="1"/>
  <c r="D6675" i="1"/>
  <c r="Q6675" i="1"/>
  <c r="R6675" i="1"/>
  <c r="E6675" i="1"/>
  <c r="G6675" i="1"/>
  <c r="H6675" i="1"/>
  <c r="J6675" i="1"/>
  <c r="K6675" i="1"/>
  <c r="L6675" i="1"/>
  <c r="A6676" i="1"/>
  <c r="B6676" i="1"/>
  <c r="C6676" i="1"/>
  <c r="D6676" i="1"/>
  <c r="Q6676" i="1"/>
  <c r="R6676" i="1"/>
  <c r="E6676" i="1"/>
  <c r="G6676" i="1"/>
  <c r="H6676" i="1"/>
  <c r="J6676" i="1"/>
  <c r="K6676" i="1"/>
  <c r="L6676" i="1"/>
  <c r="A6677" i="1"/>
  <c r="B6677" i="1"/>
  <c r="C6677" i="1"/>
  <c r="D6677" i="1"/>
  <c r="Q6677" i="1"/>
  <c r="R6677" i="1"/>
  <c r="E6677" i="1"/>
  <c r="G6677" i="1"/>
  <c r="H6677" i="1"/>
  <c r="J6677" i="1"/>
  <c r="K6677" i="1"/>
  <c r="L6677" i="1"/>
  <c r="A6678" i="1"/>
  <c r="B6678" i="1"/>
  <c r="C6678" i="1"/>
  <c r="D6678" i="1"/>
  <c r="Q6678" i="1"/>
  <c r="R6678" i="1"/>
  <c r="E6678" i="1"/>
  <c r="G6678" i="1"/>
  <c r="H6678" i="1"/>
  <c r="J6678" i="1"/>
  <c r="K6678" i="1"/>
  <c r="L6678" i="1"/>
  <c r="A6679" i="1"/>
  <c r="B6679" i="1"/>
  <c r="C6679" i="1"/>
  <c r="D6679" i="1"/>
  <c r="Q6679" i="1"/>
  <c r="R6679" i="1"/>
  <c r="E6679" i="1"/>
  <c r="G6679" i="1"/>
  <c r="H6679" i="1"/>
  <c r="J6679" i="1"/>
  <c r="K6679" i="1"/>
  <c r="L6679" i="1"/>
  <c r="A6680" i="1"/>
  <c r="B6680" i="1"/>
  <c r="C6680" i="1"/>
  <c r="D6680" i="1"/>
  <c r="Q6680" i="1"/>
  <c r="R6680" i="1"/>
  <c r="E6680" i="1"/>
  <c r="G6680" i="1"/>
  <c r="H6680" i="1"/>
  <c r="J6680" i="1"/>
  <c r="K6680" i="1"/>
  <c r="L6680" i="1"/>
  <c r="A6681" i="1"/>
  <c r="B6681" i="1"/>
  <c r="C6681" i="1"/>
  <c r="D6681" i="1"/>
  <c r="Q6681" i="1"/>
  <c r="R6681" i="1"/>
  <c r="E6681" i="1"/>
  <c r="G6681" i="1"/>
  <c r="H6681" i="1"/>
  <c r="J6681" i="1"/>
  <c r="K6681" i="1"/>
  <c r="L6681" i="1"/>
  <c r="A6682" i="1"/>
  <c r="B6682" i="1"/>
  <c r="C6682" i="1"/>
  <c r="D6682" i="1"/>
  <c r="Q6682" i="1"/>
  <c r="R6682" i="1"/>
  <c r="E6682" i="1"/>
  <c r="G6682" i="1"/>
  <c r="H6682" i="1"/>
  <c r="J6682" i="1"/>
  <c r="K6682" i="1"/>
  <c r="L6682" i="1"/>
  <c r="A6683" i="1"/>
  <c r="B6683" i="1"/>
  <c r="C6683" i="1"/>
  <c r="D6683" i="1"/>
  <c r="Q6683" i="1"/>
  <c r="R6683" i="1"/>
  <c r="E6683" i="1"/>
  <c r="G6683" i="1"/>
  <c r="H6683" i="1"/>
  <c r="J6683" i="1"/>
  <c r="K6683" i="1"/>
  <c r="L6683" i="1"/>
  <c r="A6684" i="1"/>
  <c r="B6684" i="1"/>
  <c r="C6684" i="1"/>
  <c r="D6684" i="1"/>
  <c r="Q6684" i="1"/>
  <c r="R6684" i="1"/>
  <c r="E6684" i="1"/>
  <c r="G6684" i="1"/>
  <c r="H6684" i="1"/>
  <c r="J6684" i="1"/>
  <c r="K6684" i="1"/>
  <c r="L6684" i="1"/>
  <c r="A6685" i="1"/>
  <c r="B6685" i="1"/>
  <c r="C6685" i="1"/>
  <c r="D6685" i="1"/>
  <c r="Q6685" i="1"/>
  <c r="R6685" i="1"/>
  <c r="E6685" i="1"/>
  <c r="G6685" i="1"/>
  <c r="H6685" i="1"/>
  <c r="J6685" i="1"/>
  <c r="K6685" i="1"/>
  <c r="L6685" i="1"/>
  <c r="A6686" i="1"/>
  <c r="B6686" i="1"/>
  <c r="C6686" i="1"/>
  <c r="D6686" i="1"/>
  <c r="Q6686" i="1"/>
  <c r="R6686" i="1"/>
  <c r="E6686" i="1"/>
  <c r="G6686" i="1"/>
  <c r="H6686" i="1"/>
  <c r="J6686" i="1"/>
  <c r="K6686" i="1"/>
  <c r="L6686" i="1"/>
  <c r="A6687" i="1"/>
  <c r="B6687" i="1"/>
  <c r="C6687" i="1"/>
  <c r="D6687" i="1"/>
  <c r="Q6687" i="1"/>
  <c r="R6687" i="1"/>
  <c r="E6687" i="1"/>
  <c r="G6687" i="1"/>
  <c r="H6687" i="1"/>
  <c r="J6687" i="1"/>
  <c r="K6687" i="1"/>
  <c r="L6687" i="1"/>
  <c r="A6688" i="1"/>
  <c r="B6688" i="1"/>
  <c r="C6688" i="1"/>
  <c r="D6688" i="1"/>
  <c r="Q6688" i="1"/>
  <c r="R6688" i="1"/>
  <c r="E6688" i="1"/>
  <c r="G6688" i="1"/>
  <c r="H6688" i="1"/>
  <c r="J6688" i="1"/>
  <c r="K6688" i="1"/>
  <c r="L6688" i="1"/>
  <c r="A6689" i="1"/>
  <c r="B6689" i="1"/>
  <c r="C6689" i="1"/>
  <c r="D6689" i="1"/>
  <c r="Q6689" i="1"/>
  <c r="R6689" i="1"/>
  <c r="E6689" i="1"/>
  <c r="G6689" i="1"/>
  <c r="H6689" i="1"/>
  <c r="J6689" i="1"/>
  <c r="K6689" i="1"/>
  <c r="L6689" i="1"/>
  <c r="A4661" i="1"/>
  <c r="B4661" i="1"/>
  <c r="C4661" i="1"/>
  <c r="D4661" i="1"/>
  <c r="Q4661" i="1"/>
  <c r="R4661" i="1"/>
  <c r="E4661" i="1"/>
  <c r="G4661" i="1"/>
  <c r="H4661" i="1"/>
  <c r="J4661" i="1"/>
  <c r="K4661" i="1"/>
  <c r="L4661" i="1"/>
  <c r="A4662" i="1"/>
  <c r="B4662" i="1"/>
  <c r="C4662" i="1"/>
  <c r="D4662" i="1"/>
  <c r="Q4662" i="1"/>
  <c r="R4662" i="1"/>
  <c r="E4662" i="1"/>
  <c r="G4662" i="1"/>
  <c r="H4662" i="1"/>
  <c r="J4662" i="1"/>
  <c r="K4662" i="1"/>
  <c r="L4662" i="1"/>
  <c r="A4663" i="1"/>
  <c r="B4663" i="1"/>
  <c r="C4663" i="1"/>
  <c r="D4663" i="1"/>
  <c r="Q4663" i="1"/>
  <c r="R4663" i="1"/>
  <c r="E4663" i="1"/>
  <c r="G4663" i="1"/>
  <c r="H4663" i="1"/>
  <c r="J4663" i="1"/>
  <c r="K4663" i="1"/>
  <c r="L4663" i="1"/>
  <c r="A4664" i="1"/>
  <c r="B4664" i="1"/>
  <c r="C4664" i="1"/>
  <c r="D4664" i="1"/>
  <c r="Q4664" i="1"/>
  <c r="R4664" i="1"/>
  <c r="E4664" i="1"/>
  <c r="G4664" i="1"/>
  <c r="H4664" i="1"/>
  <c r="J4664" i="1"/>
  <c r="K4664" i="1"/>
  <c r="L4664" i="1"/>
  <c r="A4665" i="1"/>
  <c r="B4665" i="1"/>
  <c r="C4665" i="1"/>
  <c r="D4665" i="1"/>
  <c r="Q4665" i="1"/>
  <c r="R4665" i="1"/>
  <c r="E4665" i="1"/>
  <c r="G4665" i="1"/>
  <c r="H4665" i="1"/>
  <c r="J4665" i="1"/>
  <c r="K4665" i="1"/>
  <c r="L4665" i="1"/>
  <c r="A4666" i="1"/>
  <c r="B4666" i="1"/>
  <c r="C4666" i="1"/>
  <c r="D4666" i="1"/>
  <c r="Q4666" i="1"/>
  <c r="R4666" i="1"/>
  <c r="E4666" i="1"/>
  <c r="G4666" i="1"/>
  <c r="H4666" i="1"/>
  <c r="J4666" i="1"/>
  <c r="K4666" i="1"/>
  <c r="L4666" i="1"/>
  <c r="A4667" i="1"/>
  <c r="B4667" i="1"/>
  <c r="C4667" i="1"/>
  <c r="D4667" i="1"/>
  <c r="Q4667" i="1"/>
  <c r="R4667" i="1"/>
  <c r="E4667" i="1"/>
  <c r="G4667" i="1"/>
  <c r="H4667" i="1"/>
  <c r="J4667" i="1"/>
  <c r="K4667" i="1"/>
  <c r="L4667" i="1"/>
  <c r="A4668" i="1"/>
  <c r="B4668" i="1"/>
  <c r="C4668" i="1"/>
  <c r="D4668" i="1"/>
  <c r="Q4668" i="1"/>
  <c r="R4668" i="1"/>
  <c r="E4668" i="1"/>
  <c r="G4668" i="1"/>
  <c r="H4668" i="1"/>
  <c r="J4668" i="1"/>
  <c r="K4668" i="1"/>
  <c r="L4668" i="1"/>
  <c r="A4669" i="1"/>
  <c r="B4669" i="1"/>
  <c r="C4669" i="1"/>
  <c r="D4669" i="1"/>
  <c r="Q4669" i="1"/>
  <c r="R4669" i="1"/>
  <c r="E4669" i="1"/>
  <c r="G4669" i="1"/>
  <c r="H4669" i="1"/>
  <c r="J4669" i="1"/>
  <c r="K4669" i="1"/>
  <c r="L4669" i="1"/>
  <c r="A4670" i="1"/>
  <c r="B4670" i="1"/>
  <c r="C4670" i="1"/>
  <c r="D4670" i="1"/>
  <c r="Q4670" i="1"/>
  <c r="R4670" i="1"/>
  <c r="E4670" i="1"/>
  <c r="G4670" i="1"/>
  <c r="H4670" i="1"/>
  <c r="J4670" i="1"/>
  <c r="K4670" i="1"/>
  <c r="L4670" i="1"/>
  <c r="A4671" i="1"/>
  <c r="B4671" i="1"/>
  <c r="C4671" i="1"/>
  <c r="D4671" i="1"/>
  <c r="Q4671" i="1"/>
  <c r="R4671" i="1"/>
  <c r="E4671" i="1"/>
  <c r="G4671" i="1"/>
  <c r="H4671" i="1"/>
  <c r="J4671" i="1"/>
  <c r="K4671" i="1"/>
  <c r="L4671" i="1"/>
  <c r="A4672" i="1"/>
  <c r="B4672" i="1"/>
  <c r="C4672" i="1"/>
  <c r="D4672" i="1"/>
  <c r="Q4672" i="1"/>
  <c r="R4672" i="1"/>
  <c r="E4672" i="1"/>
  <c r="G4672" i="1"/>
  <c r="H4672" i="1"/>
  <c r="J4672" i="1"/>
  <c r="K4672" i="1"/>
  <c r="L4672" i="1"/>
  <c r="A4673" i="1"/>
  <c r="B4673" i="1"/>
  <c r="C4673" i="1"/>
  <c r="D4673" i="1"/>
  <c r="Q4673" i="1"/>
  <c r="R4673" i="1"/>
  <c r="E4673" i="1"/>
  <c r="G4673" i="1"/>
  <c r="H4673" i="1"/>
  <c r="J4673" i="1"/>
  <c r="K4673" i="1"/>
  <c r="L4673" i="1"/>
  <c r="A4674" i="1"/>
  <c r="B4674" i="1"/>
  <c r="C4674" i="1"/>
  <c r="D4674" i="1"/>
  <c r="Q4674" i="1"/>
  <c r="R4674" i="1"/>
  <c r="E4674" i="1"/>
  <c r="G4674" i="1"/>
  <c r="H4674" i="1"/>
  <c r="J4674" i="1"/>
  <c r="K4674" i="1"/>
  <c r="L4674" i="1"/>
  <c r="A4675" i="1"/>
  <c r="B4675" i="1"/>
  <c r="C4675" i="1"/>
  <c r="D4675" i="1"/>
  <c r="Q4675" i="1"/>
  <c r="R4675" i="1"/>
  <c r="E4675" i="1"/>
  <c r="G4675" i="1"/>
  <c r="H4675" i="1"/>
  <c r="J4675" i="1"/>
  <c r="K4675" i="1"/>
  <c r="L4675" i="1"/>
  <c r="A4676" i="1"/>
  <c r="B4676" i="1"/>
  <c r="C4676" i="1"/>
  <c r="D4676" i="1"/>
  <c r="Q4676" i="1"/>
  <c r="R4676" i="1"/>
  <c r="E4676" i="1"/>
  <c r="G4676" i="1"/>
  <c r="H4676" i="1"/>
  <c r="J4676" i="1"/>
  <c r="K4676" i="1"/>
  <c r="L4676" i="1"/>
  <c r="A4677" i="1"/>
  <c r="B4677" i="1"/>
  <c r="C4677" i="1"/>
  <c r="D4677" i="1"/>
  <c r="Q4677" i="1"/>
  <c r="R4677" i="1"/>
  <c r="E4677" i="1"/>
  <c r="G4677" i="1"/>
  <c r="H4677" i="1"/>
  <c r="J4677" i="1"/>
  <c r="K4677" i="1"/>
  <c r="L4677" i="1"/>
  <c r="A4678" i="1"/>
  <c r="B4678" i="1"/>
  <c r="C4678" i="1"/>
  <c r="D4678" i="1"/>
  <c r="Q4678" i="1"/>
  <c r="R4678" i="1"/>
  <c r="E4678" i="1"/>
  <c r="G4678" i="1"/>
  <c r="H4678" i="1"/>
  <c r="J4678" i="1"/>
  <c r="K4678" i="1"/>
  <c r="L4678" i="1"/>
  <c r="A4679" i="1"/>
  <c r="B4679" i="1"/>
  <c r="C4679" i="1"/>
  <c r="D4679" i="1"/>
  <c r="Q4679" i="1"/>
  <c r="R4679" i="1"/>
  <c r="E4679" i="1"/>
  <c r="G4679" i="1"/>
  <c r="H4679" i="1"/>
  <c r="J4679" i="1"/>
  <c r="K4679" i="1"/>
  <c r="L4679" i="1"/>
  <c r="A4680" i="1"/>
  <c r="B4680" i="1"/>
  <c r="C4680" i="1"/>
  <c r="D4680" i="1"/>
  <c r="Q4680" i="1"/>
  <c r="R4680" i="1"/>
  <c r="E4680" i="1"/>
  <c r="G4680" i="1"/>
  <c r="H4680" i="1"/>
  <c r="J4680" i="1"/>
  <c r="K4680" i="1"/>
  <c r="L4680" i="1"/>
  <c r="A4681" i="1"/>
  <c r="B4681" i="1"/>
  <c r="C4681" i="1"/>
  <c r="D4681" i="1"/>
  <c r="Q4681" i="1"/>
  <c r="R4681" i="1"/>
  <c r="E4681" i="1"/>
  <c r="G4681" i="1"/>
  <c r="H4681" i="1"/>
  <c r="J4681" i="1"/>
  <c r="K4681" i="1"/>
  <c r="L4681" i="1"/>
  <c r="A4682" i="1"/>
  <c r="B4682" i="1"/>
  <c r="C4682" i="1"/>
  <c r="D4682" i="1"/>
  <c r="Q4682" i="1"/>
  <c r="R4682" i="1"/>
  <c r="E4682" i="1"/>
  <c r="G4682" i="1"/>
  <c r="H4682" i="1"/>
  <c r="J4682" i="1"/>
  <c r="K4682" i="1"/>
  <c r="L4682" i="1"/>
  <c r="A4683" i="1"/>
  <c r="B4683" i="1"/>
  <c r="C4683" i="1"/>
  <c r="D4683" i="1"/>
  <c r="Q4683" i="1"/>
  <c r="R4683" i="1"/>
  <c r="E4683" i="1"/>
  <c r="G4683" i="1"/>
  <c r="H4683" i="1"/>
  <c r="J4683" i="1"/>
  <c r="K4683" i="1"/>
  <c r="L4683" i="1"/>
  <c r="A4684" i="1"/>
  <c r="B4684" i="1"/>
  <c r="C4684" i="1"/>
  <c r="D4684" i="1"/>
  <c r="Q4684" i="1"/>
  <c r="R4684" i="1"/>
  <c r="E4684" i="1"/>
  <c r="G4684" i="1"/>
  <c r="H4684" i="1"/>
  <c r="J4684" i="1"/>
  <c r="K4684" i="1"/>
  <c r="L4684" i="1"/>
  <c r="A4685" i="1"/>
  <c r="B4685" i="1"/>
  <c r="C4685" i="1"/>
  <c r="D4685" i="1"/>
  <c r="Q4685" i="1"/>
  <c r="R4685" i="1"/>
  <c r="E4685" i="1"/>
  <c r="G4685" i="1"/>
  <c r="H4685" i="1"/>
  <c r="J4685" i="1"/>
  <c r="K4685" i="1"/>
  <c r="L4685" i="1"/>
  <c r="A4686" i="1"/>
  <c r="B4686" i="1"/>
  <c r="C4686" i="1"/>
  <c r="D4686" i="1"/>
  <c r="Q4686" i="1"/>
  <c r="R4686" i="1"/>
  <c r="E4686" i="1"/>
  <c r="G4686" i="1"/>
  <c r="H4686" i="1"/>
  <c r="J4686" i="1"/>
  <c r="K4686" i="1"/>
  <c r="L4686" i="1"/>
  <c r="A4687" i="1"/>
  <c r="B4687" i="1"/>
  <c r="C4687" i="1"/>
  <c r="D4687" i="1"/>
  <c r="Q4687" i="1"/>
  <c r="R4687" i="1"/>
  <c r="E4687" i="1"/>
  <c r="G4687" i="1"/>
  <c r="H4687" i="1"/>
  <c r="J4687" i="1"/>
  <c r="K4687" i="1"/>
  <c r="L4687" i="1"/>
  <c r="A4688" i="1"/>
  <c r="B4688" i="1"/>
  <c r="C4688" i="1"/>
  <c r="D4688" i="1"/>
  <c r="Q4688" i="1"/>
  <c r="R4688" i="1"/>
  <c r="E4688" i="1"/>
  <c r="G4688" i="1"/>
  <c r="H4688" i="1"/>
  <c r="J4688" i="1"/>
  <c r="K4688" i="1"/>
  <c r="L4688" i="1"/>
  <c r="A4689" i="1"/>
  <c r="B4689" i="1"/>
  <c r="C4689" i="1"/>
  <c r="D4689" i="1"/>
  <c r="Q4689" i="1"/>
  <c r="R4689" i="1"/>
  <c r="E4689" i="1"/>
  <c r="G4689" i="1"/>
  <c r="H4689" i="1"/>
  <c r="J4689" i="1"/>
  <c r="K4689" i="1"/>
  <c r="L4689" i="1"/>
  <c r="A4690" i="1"/>
  <c r="B4690" i="1"/>
  <c r="C4690" i="1"/>
  <c r="D4690" i="1"/>
  <c r="Q4690" i="1"/>
  <c r="R4690" i="1"/>
  <c r="E4690" i="1"/>
  <c r="G4690" i="1"/>
  <c r="H4690" i="1"/>
  <c r="J4690" i="1"/>
  <c r="K4690" i="1"/>
  <c r="L4690" i="1"/>
  <c r="A4691" i="1"/>
  <c r="B4691" i="1"/>
  <c r="C4691" i="1"/>
  <c r="D4691" i="1"/>
  <c r="Q4691" i="1"/>
  <c r="R4691" i="1"/>
  <c r="E4691" i="1"/>
  <c r="G4691" i="1"/>
  <c r="H4691" i="1"/>
  <c r="J4691" i="1"/>
  <c r="K4691" i="1"/>
  <c r="L4691" i="1"/>
  <c r="A4692" i="1"/>
  <c r="B4692" i="1"/>
  <c r="C4692" i="1"/>
  <c r="D4692" i="1"/>
  <c r="Q4692" i="1"/>
  <c r="R4692" i="1"/>
  <c r="E4692" i="1"/>
  <c r="G4692" i="1"/>
  <c r="H4692" i="1"/>
  <c r="J4692" i="1"/>
  <c r="K4692" i="1"/>
  <c r="L4692" i="1"/>
  <c r="A4693" i="1"/>
  <c r="B4693" i="1"/>
  <c r="C4693" i="1"/>
  <c r="D4693" i="1"/>
  <c r="Q4693" i="1"/>
  <c r="R4693" i="1"/>
  <c r="E4693" i="1"/>
  <c r="G4693" i="1"/>
  <c r="H4693" i="1"/>
  <c r="J4693" i="1"/>
  <c r="K4693" i="1"/>
  <c r="L4693" i="1"/>
  <c r="A4694" i="1"/>
  <c r="B4694" i="1"/>
  <c r="C4694" i="1"/>
  <c r="D4694" i="1"/>
  <c r="Q4694" i="1"/>
  <c r="R4694" i="1"/>
  <c r="E4694" i="1"/>
  <c r="G4694" i="1"/>
  <c r="H4694" i="1"/>
  <c r="J4694" i="1"/>
  <c r="K4694" i="1"/>
  <c r="L4694" i="1"/>
  <c r="A4329" i="1"/>
  <c r="B4329" i="1"/>
  <c r="C4329" i="1"/>
  <c r="D4329" i="1"/>
  <c r="Q4329" i="1"/>
  <c r="R4329" i="1"/>
  <c r="E4329" i="1"/>
  <c r="G4329" i="1"/>
  <c r="H4329" i="1"/>
  <c r="J4329" i="1"/>
  <c r="K4329" i="1"/>
  <c r="L4329" i="1"/>
  <c r="A4330" i="1"/>
  <c r="B4330" i="1"/>
  <c r="C4330" i="1"/>
  <c r="D4330" i="1"/>
  <c r="Q4330" i="1"/>
  <c r="R4330" i="1"/>
  <c r="E4330" i="1"/>
  <c r="G4330" i="1"/>
  <c r="H4330" i="1"/>
  <c r="J4330" i="1"/>
  <c r="K4330" i="1"/>
  <c r="L4330" i="1"/>
  <c r="A4331" i="1"/>
  <c r="B4331" i="1"/>
  <c r="C4331" i="1"/>
  <c r="D4331" i="1"/>
  <c r="Q4331" i="1"/>
  <c r="R4331" i="1"/>
  <c r="E4331" i="1"/>
  <c r="G4331" i="1"/>
  <c r="H4331" i="1"/>
  <c r="J4331" i="1"/>
  <c r="K4331" i="1"/>
  <c r="L4331" i="1"/>
  <c r="A4332" i="1"/>
  <c r="B4332" i="1"/>
  <c r="C4332" i="1"/>
  <c r="D4332" i="1"/>
  <c r="Q4332" i="1"/>
  <c r="R4332" i="1"/>
  <c r="E4332" i="1"/>
  <c r="G4332" i="1"/>
  <c r="H4332" i="1"/>
  <c r="J4332" i="1"/>
  <c r="K4332" i="1"/>
  <c r="L4332" i="1"/>
  <c r="A4333" i="1"/>
  <c r="B4333" i="1"/>
  <c r="C4333" i="1"/>
  <c r="D4333" i="1"/>
  <c r="Q4333" i="1"/>
  <c r="R4333" i="1"/>
  <c r="E4333" i="1"/>
  <c r="G4333" i="1"/>
  <c r="H4333" i="1"/>
  <c r="J4333" i="1"/>
  <c r="K4333" i="1"/>
  <c r="L4333" i="1"/>
  <c r="A4334" i="1"/>
  <c r="B4334" i="1"/>
  <c r="C4334" i="1"/>
  <c r="D4334" i="1"/>
  <c r="Q4334" i="1"/>
  <c r="R4334" i="1"/>
  <c r="E4334" i="1"/>
  <c r="G4334" i="1"/>
  <c r="H4334" i="1"/>
  <c r="J4334" i="1"/>
  <c r="K4334" i="1"/>
  <c r="L4334" i="1"/>
  <c r="A4335" i="1"/>
  <c r="B4335" i="1"/>
  <c r="C4335" i="1"/>
  <c r="D4335" i="1"/>
  <c r="Q4335" i="1"/>
  <c r="R4335" i="1"/>
  <c r="E4335" i="1"/>
  <c r="G4335" i="1"/>
  <c r="H4335" i="1"/>
  <c r="J4335" i="1"/>
  <c r="K4335" i="1"/>
  <c r="L4335" i="1"/>
  <c r="A4695" i="1"/>
  <c r="B4695" i="1"/>
  <c r="C4695" i="1"/>
  <c r="D4695" i="1"/>
  <c r="Q4695" i="1"/>
  <c r="R4695" i="1"/>
  <c r="E4695" i="1"/>
  <c r="G4695" i="1"/>
  <c r="H4695" i="1"/>
  <c r="J4695" i="1"/>
  <c r="K4695" i="1"/>
  <c r="L4695" i="1"/>
  <c r="A4696" i="1"/>
  <c r="B4696" i="1"/>
  <c r="C4696" i="1"/>
  <c r="D4696" i="1"/>
  <c r="Q4696" i="1"/>
  <c r="R4696" i="1"/>
  <c r="E4696" i="1"/>
  <c r="G4696" i="1"/>
  <c r="H4696" i="1"/>
  <c r="J4696" i="1"/>
  <c r="K4696" i="1"/>
  <c r="L4696" i="1"/>
  <c r="A4697" i="1"/>
  <c r="B4697" i="1"/>
  <c r="C4697" i="1"/>
  <c r="D4697" i="1"/>
  <c r="Q4697" i="1"/>
  <c r="R4697" i="1"/>
  <c r="E4697" i="1"/>
  <c r="G4697" i="1"/>
  <c r="H4697" i="1"/>
  <c r="J4697" i="1"/>
  <c r="K4697" i="1"/>
  <c r="L4697" i="1"/>
  <c r="A4698" i="1"/>
  <c r="B4698" i="1"/>
  <c r="C4698" i="1"/>
  <c r="D4698" i="1"/>
  <c r="Q4698" i="1"/>
  <c r="R4698" i="1"/>
  <c r="E4698" i="1"/>
  <c r="G4698" i="1"/>
  <c r="H4698" i="1"/>
  <c r="J4698" i="1"/>
  <c r="K4698" i="1"/>
  <c r="L4698" i="1"/>
  <c r="A4699" i="1"/>
  <c r="B4699" i="1"/>
  <c r="C4699" i="1"/>
  <c r="D4699" i="1"/>
  <c r="Q4699" i="1"/>
  <c r="R4699" i="1"/>
  <c r="E4699" i="1"/>
  <c r="G4699" i="1"/>
  <c r="H4699" i="1"/>
  <c r="J4699" i="1"/>
  <c r="K4699" i="1"/>
  <c r="L4699" i="1"/>
  <c r="A4700" i="1"/>
  <c r="B4700" i="1"/>
  <c r="C4700" i="1"/>
  <c r="D4700" i="1"/>
  <c r="Q4700" i="1"/>
  <c r="R4700" i="1"/>
  <c r="E4700" i="1"/>
  <c r="G4700" i="1"/>
  <c r="H4700" i="1"/>
  <c r="J4700" i="1"/>
  <c r="K4700" i="1"/>
  <c r="L4700" i="1"/>
  <c r="A4701" i="1"/>
  <c r="B4701" i="1"/>
  <c r="C4701" i="1"/>
  <c r="D4701" i="1"/>
  <c r="Q4701" i="1"/>
  <c r="R4701" i="1"/>
  <c r="E4701" i="1"/>
  <c r="G4701" i="1"/>
  <c r="H4701" i="1"/>
  <c r="J4701" i="1"/>
  <c r="K4701" i="1"/>
  <c r="L4701" i="1"/>
  <c r="A4702" i="1"/>
  <c r="B4702" i="1"/>
  <c r="C4702" i="1"/>
  <c r="D4702" i="1"/>
  <c r="Q4702" i="1"/>
  <c r="R4702" i="1"/>
  <c r="E4702" i="1"/>
  <c r="G4702" i="1"/>
  <c r="H4702" i="1"/>
  <c r="J4702" i="1"/>
  <c r="K4702" i="1"/>
  <c r="L4702" i="1"/>
  <c r="A4703" i="1"/>
  <c r="B4703" i="1"/>
  <c r="C4703" i="1"/>
  <c r="D4703" i="1"/>
  <c r="Q4703" i="1"/>
  <c r="R4703" i="1"/>
  <c r="E4703" i="1"/>
  <c r="G4703" i="1"/>
  <c r="H4703" i="1"/>
  <c r="J4703" i="1"/>
  <c r="K4703" i="1"/>
  <c r="L4703" i="1"/>
  <c r="A4704" i="1"/>
  <c r="B4704" i="1"/>
  <c r="C4704" i="1"/>
  <c r="D4704" i="1"/>
  <c r="Q4704" i="1"/>
  <c r="R4704" i="1"/>
  <c r="E4704" i="1"/>
  <c r="G4704" i="1"/>
  <c r="H4704" i="1"/>
  <c r="J4704" i="1"/>
  <c r="K4704" i="1"/>
  <c r="L4704" i="1"/>
  <c r="A4705" i="1"/>
  <c r="B4705" i="1"/>
  <c r="C4705" i="1"/>
  <c r="D4705" i="1"/>
  <c r="Q4705" i="1"/>
  <c r="R4705" i="1"/>
  <c r="E4705" i="1"/>
  <c r="G4705" i="1"/>
  <c r="H4705" i="1"/>
  <c r="J4705" i="1"/>
  <c r="K4705" i="1"/>
  <c r="L4705" i="1"/>
  <c r="A4706" i="1"/>
  <c r="B4706" i="1"/>
  <c r="C4706" i="1"/>
  <c r="D4706" i="1"/>
  <c r="Q4706" i="1"/>
  <c r="R4706" i="1"/>
  <c r="E4706" i="1"/>
  <c r="G4706" i="1"/>
  <c r="H4706" i="1"/>
  <c r="J4706" i="1"/>
  <c r="K4706" i="1"/>
  <c r="L4706" i="1"/>
  <c r="A4707" i="1"/>
  <c r="B4707" i="1"/>
  <c r="C4707" i="1"/>
  <c r="D4707" i="1"/>
  <c r="Q4707" i="1"/>
  <c r="R4707" i="1"/>
  <c r="E4707" i="1"/>
  <c r="G4707" i="1"/>
  <c r="H4707" i="1"/>
  <c r="J4707" i="1"/>
  <c r="K4707" i="1"/>
  <c r="L4707" i="1"/>
  <c r="A4708" i="1"/>
  <c r="B4708" i="1"/>
  <c r="C4708" i="1"/>
  <c r="D4708" i="1"/>
  <c r="Q4708" i="1"/>
  <c r="R4708" i="1"/>
  <c r="E4708" i="1"/>
  <c r="G4708" i="1"/>
  <c r="H4708" i="1"/>
  <c r="J4708" i="1"/>
  <c r="K4708" i="1"/>
  <c r="L4708" i="1"/>
  <c r="A4709" i="1"/>
  <c r="B4709" i="1"/>
  <c r="C4709" i="1"/>
  <c r="D4709" i="1"/>
  <c r="Q4709" i="1"/>
  <c r="R4709" i="1"/>
  <c r="E4709" i="1"/>
  <c r="G4709" i="1"/>
  <c r="H4709" i="1"/>
  <c r="J4709" i="1"/>
  <c r="K4709" i="1"/>
  <c r="L4709" i="1"/>
  <c r="A4710" i="1"/>
  <c r="B4710" i="1"/>
  <c r="C4710" i="1"/>
  <c r="D4710" i="1"/>
  <c r="Q4710" i="1"/>
  <c r="R4710" i="1"/>
  <c r="E4710" i="1"/>
  <c r="G4710" i="1"/>
  <c r="H4710" i="1"/>
  <c r="J4710" i="1"/>
  <c r="K4710" i="1"/>
  <c r="L4710" i="1"/>
  <c r="A4711" i="1"/>
  <c r="B4711" i="1"/>
  <c r="C4711" i="1"/>
  <c r="D4711" i="1"/>
  <c r="Q4711" i="1"/>
  <c r="R4711" i="1"/>
  <c r="E4711" i="1"/>
  <c r="G4711" i="1"/>
  <c r="H4711" i="1"/>
  <c r="J4711" i="1"/>
  <c r="K4711" i="1"/>
  <c r="L4711" i="1"/>
  <c r="A4712" i="1"/>
  <c r="B4712" i="1"/>
  <c r="C4712" i="1"/>
  <c r="D4712" i="1"/>
  <c r="Q4712" i="1"/>
  <c r="R4712" i="1"/>
  <c r="E4712" i="1"/>
  <c r="G4712" i="1"/>
  <c r="H4712" i="1"/>
  <c r="J4712" i="1"/>
  <c r="K4712" i="1"/>
  <c r="L4712" i="1"/>
  <c r="A4713" i="1"/>
  <c r="B4713" i="1"/>
  <c r="C4713" i="1"/>
  <c r="D4713" i="1"/>
  <c r="Q4713" i="1"/>
  <c r="R4713" i="1"/>
  <c r="E4713" i="1"/>
  <c r="G4713" i="1"/>
  <c r="H4713" i="1"/>
  <c r="J4713" i="1"/>
  <c r="K4713" i="1"/>
  <c r="L4713" i="1"/>
  <c r="A4714" i="1"/>
  <c r="B4714" i="1"/>
  <c r="C4714" i="1"/>
  <c r="D4714" i="1"/>
  <c r="Q4714" i="1"/>
  <c r="R4714" i="1"/>
  <c r="E4714" i="1"/>
  <c r="G4714" i="1"/>
  <c r="H4714" i="1"/>
  <c r="J4714" i="1"/>
  <c r="K4714" i="1"/>
  <c r="L4714" i="1"/>
  <c r="A4715" i="1"/>
  <c r="B4715" i="1"/>
  <c r="C4715" i="1"/>
  <c r="D4715" i="1"/>
  <c r="Q4715" i="1"/>
  <c r="R4715" i="1"/>
  <c r="E4715" i="1"/>
  <c r="G4715" i="1"/>
  <c r="H4715" i="1"/>
  <c r="J4715" i="1"/>
  <c r="K4715" i="1"/>
  <c r="L4715" i="1"/>
  <c r="A4716" i="1"/>
  <c r="B4716" i="1"/>
  <c r="C4716" i="1"/>
  <c r="D4716" i="1"/>
  <c r="Q4716" i="1"/>
  <c r="R4716" i="1"/>
  <c r="E4716" i="1"/>
  <c r="G4716" i="1"/>
  <c r="H4716" i="1"/>
  <c r="J4716" i="1"/>
  <c r="K4716" i="1"/>
  <c r="L4716" i="1"/>
  <c r="A4717" i="1"/>
  <c r="B4717" i="1"/>
  <c r="C4717" i="1"/>
  <c r="D4717" i="1"/>
  <c r="Q4717" i="1"/>
  <c r="R4717" i="1"/>
  <c r="E4717" i="1"/>
  <c r="G4717" i="1"/>
  <c r="H4717" i="1"/>
  <c r="J4717" i="1"/>
  <c r="K4717" i="1"/>
  <c r="L4717" i="1"/>
  <c r="A4750" i="1"/>
  <c r="B4750" i="1"/>
  <c r="C4750" i="1"/>
  <c r="D4750" i="1"/>
  <c r="Q4750" i="1"/>
  <c r="R4750" i="1"/>
  <c r="E4750" i="1"/>
  <c r="G4750" i="1"/>
  <c r="H4750" i="1"/>
  <c r="J4750" i="1"/>
  <c r="K4750" i="1"/>
  <c r="L4750" i="1"/>
  <c r="A4751" i="1"/>
  <c r="B4751" i="1"/>
  <c r="C4751" i="1"/>
  <c r="D4751" i="1"/>
  <c r="Q4751" i="1"/>
  <c r="R4751" i="1"/>
  <c r="E4751" i="1"/>
  <c r="G4751" i="1"/>
  <c r="H4751" i="1"/>
  <c r="J4751" i="1"/>
  <c r="K4751" i="1"/>
  <c r="L4751" i="1"/>
  <c r="A4752" i="1"/>
  <c r="B4752" i="1"/>
  <c r="C4752" i="1"/>
  <c r="D4752" i="1"/>
  <c r="Q4752" i="1"/>
  <c r="R4752" i="1"/>
  <c r="E4752" i="1"/>
  <c r="G4752" i="1"/>
  <c r="H4752" i="1"/>
  <c r="J4752" i="1"/>
  <c r="K4752" i="1"/>
  <c r="L4752" i="1"/>
  <c r="A4753" i="1"/>
  <c r="B4753" i="1"/>
  <c r="C4753" i="1"/>
  <c r="D4753" i="1"/>
  <c r="Q4753" i="1"/>
  <c r="R4753" i="1"/>
  <c r="E4753" i="1"/>
  <c r="G4753" i="1"/>
  <c r="H4753" i="1"/>
  <c r="J4753" i="1"/>
  <c r="K4753" i="1"/>
  <c r="L4753" i="1"/>
  <c r="A4754" i="1"/>
  <c r="B4754" i="1"/>
  <c r="C4754" i="1"/>
  <c r="D4754" i="1"/>
  <c r="Q4754" i="1"/>
  <c r="R4754" i="1"/>
  <c r="E4754" i="1"/>
  <c r="G4754" i="1"/>
  <c r="H4754" i="1"/>
  <c r="J4754" i="1"/>
  <c r="K4754" i="1"/>
  <c r="L4754" i="1"/>
  <c r="A4755" i="1"/>
  <c r="B4755" i="1"/>
  <c r="C4755" i="1"/>
  <c r="D4755" i="1"/>
  <c r="Q4755" i="1"/>
  <c r="R4755" i="1"/>
  <c r="E4755" i="1"/>
  <c r="G4755" i="1"/>
  <c r="H4755" i="1"/>
  <c r="J4755" i="1"/>
  <c r="K4755" i="1"/>
  <c r="L4755" i="1"/>
  <c r="A4756" i="1"/>
  <c r="B4756" i="1"/>
  <c r="C4756" i="1"/>
  <c r="D4756" i="1"/>
  <c r="Q4756" i="1"/>
  <c r="R4756" i="1"/>
  <c r="E4756" i="1"/>
  <c r="G4756" i="1"/>
  <c r="H4756" i="1"/>
  <c r="J4756" i="1"/>
  <c r="K4756" i="1"/>
  <c r="L4756" i="1"/>
  <c r="A4757" i="1"/>
  <c r="B4757" i="1"/>
  <c r="C4757" i="1"/>
  <c r="D4757" i="1"/>
  <c r="Q4757" i="1"/>
  <c r="R4757" i="1"/>
  <c r="E4757" i="1"/>
  <c r="G4757" i="1"/>
  <c r="H4757" i="1"/>
  <c r="J4757" i="1"/>
  <c r="K4757" i="1"/>
  <c r="L4757" i="1"/>
  <c r="A4758" i="1"/>
  <c r="B4758" i="1"/>
  <c r="C4758" i="1"/>
  <c r="D4758" i="1"/>
  <c r="Q4758" i="1"/>
  <c r="R4758" i="1"/>
  <c r="E4758" i="1"/>
  <c r="G4758" i="1"/>
  <c r="H4758" i="1"/>
  <c r="J4758" i="1"/>
  <c r="K4758" i="1"/>
  <c r="L4758" i="1"/>
  <c r="A4759" i="1"/>
  <c r="B4759" i="1"/>
  <c r="C4759" i="1"/>
  <c r="D4759" i="1"/>
  <c r="Q4759" i="1"/>
  <c r="R4759" i="1"/>
  <c r="E4759" i="1"/>
  <c r="G4759" i="1"/>
  <c r="H4759" i="1"/>
  <c r="J4759" i="1"/>
  <c r="K4759" i="1"/>
  <c r="L4759" i="1"/>
  <c r="A4760" i="1"/>
  <c r="B4760" i="1"/>
  <c r="C4760" i="1"/>
  <c r="D4760" i="1"/>
  <c r="Q4760" i="1"/>
  <c r="R4760" i="1"/>
  <c r="E4760" i="1"/>
  <c r="G4760" i="1"/>
  <c r="H4760" i="1"/>
  <c r="J4760" i="1"/>
  <c r="K4760" i="1"/>
  <c r="L4760" i="1"/>
  <c r="A4761" i="1"/>
  <c r="B4761" i="1"/>
  <c r="C4761" i="1"/>
  <c r="D4761" i="1"/>
  <c r="Q4761" i="1"/>
  <c r="R4761" i="1"/>
  <c r="E4761" i="1"/>
  <c r="G4761" i="1"/>
  <c r="H4761" i="1"/>
  <c r="J4761" i="1"/>
  <c r="K4761" i="1"/>
  <c r="L4761" i="1"/>
  <c r="A4762" i="1"/>
  <c r="B4762" i="1"/>
  <c r="C4762" i="1"/>
  <c r="D4762" i="1"/>
  <c r="Q4762" i="1"/>
  <c r="R4762" i="1"/>
  <c r="E4762" i="1"/>
  <c r="G4762" i="1"/>
  <c r="H4762" i="1"/>
  <c r="J4762" i="1"/>
  <c r="K4762" i="1"/>
  <c r="L4762" i="1"/>
  <c r="A4763" i="1"/>
  <c r="B4763" i="1"/>
  <c r="C4763" i="1"/>
  <c r="D4763" i="1"/>
  <c r="Q4763" i="1"/>
  <c r="R4763" i="1"/>
  <c r="E4763" i="1"/>
  <c r="G4763" i="1"/>
  <c r="H4763" i="1"/>
  <c r="J4763" i="1"/>
  <c r="K4763" i="1"/>
  <c r="L4763" i="1"/>
  <c r="A4764" i="1"/>
  <c r="B4764" i="1"/>
  <c r="C4764" i="1"/>
  <c r="D4764" i="1"/>
  <c r="Q4764" i="1"/>
  <c r="R4764" i="1"/>
  <c r="E4764" i="1"/>
  <c r="G4764" i="1"/>
  <c r="H4764" i="1"/>
  <c r="J4764" i="1"/>
  <c r="K4764" i="1"/>
  <c r="L4764" i="1"/>
  <c r="A4765" i="1"/>
  <c r="B4765" i="1"/>
  <c r="C4765" i="1"/>
  <c r="D4765" i="1"/>
  <c r="Q4765" i="1"/>
  <c r="R4765" i="1"/>
  <c r="E4765" i="1"/>
  <c r="G4765" i="1"/>
  <c r="H4765" i="1"/>
  <c r="J4765" i="1"/>
  <c r="K4765" i="1"/>
  <c r="L4765" i="1"/>
  <c r="A4766" i="1"/>
  <c r="B4766" i="1"/>
  <c r="C4766" i="1"/>
  <c r="D4766" i="1"/>
  <c r="Q4766" i="1"/>
  <c r="R4766" i="1"/>
  <c r="E4766" i="1"/>
  <c r="G4766" i="1"/>
  <c r="H4766" i="1"/>
  <c r="J4766" i="1"/>
  <c r="K4766" i="1"/>
  <c r="L4766" i="1"/>
  <c r="A4767" i="1"/>
  <c r="B4767" i="1"/>
  <c r="C4767" i="1"/>
  <c r="D4767" i="1"/>
  <c r="Q4767" i="1"/>
  <c r="R4767" i="1"/>
  <c r="E4767" i="1"/>
  <c r="G4767" i="1"/>
  <c r="H4767" i="1"/>
  <c r="J4767" i="1"/>
  <c r="K4767" i="1"/>
  <c r="L4767" i="1"/>
  <c r="A4768" i="1"/>
  <c r="B4768" i="1"/>
  <c r="C4768" i="1"/>
  <c r="D4768" i="1"/>
  <c r="Q4768" i="1"/>
  <c r="R4768" i="1"/>
  <c r="E4768" i="1"/>
  <c r="G4768" i="1"/>
  <c r="H4768" i="1"/>
  <c r="J4768" i="1"/>
  <c r="K4768" i="1"/>
  <c r="L4768" i="1"/>
  <c r="A4769" i="1"/>
  <c r="B4769" i="1"/>
  <c r="C4769" i="1"/>
  <c r="D4769" i="1"/>
  <c r="Q4769" i="1"/>
  <c r="R4769" i="1"/>
  <c r="E4769" i="1"/>
  <c r="G4769" i="1"/>
  <c r="H4769" i="1"/>
  <c r="J4769" i="1"/>
  <c r="K4769" i="1"/>
  <c r="L4769" i="1"/>
  <c r="A4770" i="1"/>
  <c r="B4770" i="1"/>
  <c r="C4770" i="1"/>
  <c r="D4770" i="1"/>
  <c r="Q4770" i="1"/>
  <c r="R4770" i="1"/>
  <c r="E4770" i="1"/>
  <c r="G4770" i="1"/>
  <c r="H4770" i="1"/>
  <c r="J4770" i="1"/>
  <c r="K4770" i="1"/>
  <c r="L4770" i="1"/>
  <c r="A4771" i="1"/>
  <c r="B4771" i="1"/>
  <c r="C4771" i="1"/>
  <c r="D4771" i="1"/>
  <c r="Q4771" i="1"/>
  <c r="R4771" i="1"/>
  <c r="E4771" i="1"/>
  <c r="G4771" i="1"/>
  <c r="H4771" i="1"/>
  <c r="J4771" i="1"/>
  <c r="K4771" i="1"/>
  <c r="L4771" i="1"/>
  <c r="A4772" i="1"/>
  <c r="B4772" i="1"/>
  <c r="C4772" i="1"/>
  <c r="D4772" i="1"/>
  <c r="Q4772" i="1"/>
  <c r="R4772" i="1"/>
  <c r="E4772" i="1"/>
  <c r="G4772" i="1"/>
  <c r="H4772" i="1"/>
  <c r="J4772" i="1"/>
  <c r="K4772" i="1"/>
  <c r="L4772" i="1"/>
  <c r="A4773" i="1"/>
  <c r="B4773" i="1"/>
  <c r="C4773" i="1"/>
  <c r="D4773" i="1"/>
  <c r="Q4773" i="1"/>
  <c r="R4773" i="1"/>
  <c r="E4773" i="1"/>
  <c r="G4773" i="1"/>
  <c r="H4773" i="1"/>
  <c r="J4773" i="1"/>
  <c r="K4773" i="1"/>
  <c r="L4773" i="1"/>
  <c r="A4774" i="1"/>
  <c r="B4774" i="1"/>
  <c r="C4774" i="1"/>
  <c r="D4774" i="1"/>
  <c r="Q4774" i="1"/>
  <c r="R4774" i="1"/>
  <c r="E4774" i="1"/>
  <c r="G4774" i="1"/>
  <c r="H4774" i="1"/>
  <c r="J4774" i="1"/>
  <c r="K4774" i="1"/>
  <c r="L4774" i="1"/>
  <c r="A4775" i="1"/>
  <c r="B4775" i="1"/>
  <c r="C4775" i="1"/>
  <c r="D4775" i="1"/>
  <c r="Q4775" i="1"/>
  <c r="R4775" i="1"/>
  <c r="E4775" i="1"/>
  <c r="G4775" i="1"/>
  <c r="H4775" i="1"/>
  <c r="J4775" i="1"/>
  <c r="K4775" i="1"/>
  <c r="L4775" i="1"/>
  <c r="A4776" i="1"/>
  <c r="B4776" i="1"/>
  <c r="C4776" i="1"/>
  <c r="D4776" i="1"/>
  <c r="Q4776" i="1"/>
  <c r="R4776" i="1"/>
  <c r="E4776" i="1"/>
  <c r="G4776" i="1"/>
  <c r="H4776" i="1"/>
  <c r="J4776" i="1"/>
  <c r="K4776" i="1"/>
  <c r="L4776" i="1"/>
  <c r="A4777" i="1"/>
  <c r="B4777" i="1"/>
  <c r="C4777" i="1"/>
  <c r="D4777" i="1"/>
  <c r="Q4777" i="1"/>
  <c r="R4777" i="1"/>
  <c r="E4777" i="1"/>
  <c r="G4777" i="1"/>
  <c r="H4777" i="1"/>
  <c r="J4777" i="1"/>
  <c r="K4777" i="1"/>
  <c r="L4777" i="1"/>
  <c r="A4778" i="1"/>
  <c r="B4778" i="1"/>
  <c r="C4778" i="1"/>
  <c r="D4778" i="1"/>
  <c r="Q4778" i="1"/>
  <c r="R4778" i="1"/>
  <c r="E4778" i="1"/>
  <c r="G4778" i="1"/>
  <c r="H4778" i="1"/>
  <c r="J4778" i="1"/>
  <c r="K4778" i="1"/>
  <c r="L4778" i="1"/>
  <c r="A4779" i="1"/>
  <c r="B4779" i="1"/>
  <c r="C4779" i="1"/>
  <c r="D4779" i="1"/>
  <c r="Q4779" i="1"/>
  <c r="R4779" i="1"/>
  <c r="E4779" i="1"/>
  <c r="G4779" i="1"/>
  <c r="H4779" i="1"/>
  <c r="J4779" i="1"/>
  <c r="K4779" i="1"/>
  <c r="L4779" i="1"/>
  <c r="A4780" i="1"/>
  <c r="B4780" i="1"/>
  <c r="C4780" i="1"/>
  <c r="D4780" i="1"/>
  <c r="Q4780" i="1"/>
  <c r="R4780" i="1"/>
  <c r="E4780" i="1"/>
  <c r="G4780" i="1"/>
  <c r="H4780" i="1"/>
  <c r="J4780" i="1"/>
  <c r="K4780" i="1"/>
  <c r="L4780" i="1"/>
  <c r="A4781" i="1"/>
  <c r="B4781" i="1"/>
  <c r="C4781" i="1"/>
  <c r="D4781" i="1"/>
  <c r="Q4781" i="1"/>
  <c r="R4781" i="1"/>
  <c r="E4781" i="1"/>
  <c r="G4781" i="1"/>
  <c r="H4781" i="1"/>
  <c r="J4781" i="1"/>
  <c r="K4781" i="1"/>
  <c r="L4781" i="1"/>
  <c r="A4782" i="1"/>
  <c r="B4782" i="1"/>
  <c r="C4782" i="1"/>
  <c r="D4782" i="1"/>
  <c r="Q4782" i="1"/>
  <c r="R4782" i="1"/>
  <c r="E4782" i="1"/>
  <c r="G4782" i="1"/>
  <c r="H4782" i="1"/>
  <c r="J4782" i="1"/>
  <c r="K4782" i="1"/>
  <c r="L4782" i="1"/>
  <c r="A4783" i="1"/>
  <c r="B4783" i="1"/>
  <c r="C4783" i="1"/>
  <c r="D4783" i="1"/>
  <c r="Q4783" i="1"/>
  <c r="R4783" i="1"/>
  <c r="E4783" i="1"/>
  <c r="G4783" i="1"/>
  <c r="H4783" i="1"/>
  <c r="J4783" i="1"/>
  <c r="K4783" i="1"/>
  <c r="L4783" i="1"/>
  <c r="A4784" i="1"/>
  <c r="B4784" i="1"/>
  <c r="C4784" i="1"/>
  <c r="D4784" i="1"/>
  <c r="Q4784" i="1"/>
  <c r="R4784" i="1"/>
  <c r="E4784" i="1"/>
  <c r="G4784" i="1"/>
  <c r="H4784" i="1"/>
  <c r="J4784" i="1"/>
  <c r="K4784" i="1"/>
  <c r="L4784" i="1"/>
  <c r="A4785" i="1"/>
  <c r="B4785" i="1"/>
  <c r="C4785" i="1"/>
  <c r="D4785" i="1"/>
  <c r="Q4785" i="1"/>
  <c r="R4785" i="1"/>
  <c r="E4785" i="1"/>
  <c r="G4785" i="1"/>
  <c r="H4785" i="1"/>
  <c r="J4785" i="1"/>
  <c r="K4785" i="1"/>
  <c r="L4785" i="1"/>
  <c r="A4786" i="1"/>
  <c r="B4786" i="1"/>
  <c r="C4786" i="1"/>
  <c r="D4786" i="1"/>
  <c r="Q4786" i="1"/>
  <c r="R4786" i="1"/>
  <c r="E4786" i="1"/>
  <c r="G4786" i="1"/>
  <c r="H4786" i="1"/>
  <c r="J4786" i="1"/>
  <c r="K4786" i="1"/>
  <c r="L4786" i="1"/>
  <c r="A4787" i="1"/>
  <c r="B4787" i="1"/>
  <c r="C4787" i="1"/>
  <c r="D4787" i="1"/>
  <c r="Q4787" i="1"/>
  <c r="R4787" i="1"/>
  <c r="E4787" i="1"/>
  <c r="G4787" i="1"/>
  <c r="H4787" i="1"/>
  <c r="J4787" i="1"/>
  <c r="K4787" i="1"/>
  <c r="L4787" i="1"/>
  <c r="A4788" i="1"/>
  <c r="B4788" i="1"/>
  <c r="C4788" i="1"/>
  <c r="D4788" i="1"/>
  <c r="Q4788" i="1"/>
  <c r="R4788" i="1"/>
  <c r="E4788" i="1"/>
  <c r="G4788" i="1"/>
  <c r="H4788" i="1"/>
  <c r="J4788" i="1"/>
  <c r="K4788" i="1"/>
  <c r="L4788" i="1"/>
  <c r="A4789" i="1"/>
  <c r="B4789" i="1"/>
  <c r="C4789" i="1"/>
  <c r="D4789" i="1"/>
  <c r="Q4789" i="1"/>
  <c r="R4789" i="1"/>
  <c r="E4789" i="1"/>
  <c r="G4789" i="1"/>
  <c r="H4789" i="1"/>
  <c r="J4789" i="1"/>
  <c r="K4789" i="1"/>
  <c r="L4789" i="1"/>
  <c r="A4718" i="1"/>
  <c r="B4718" i="1"/>
  <c r="C4718" i="1"/>
  <c r="D4718" i="1"/>
  <c r="Q4718" i="1"/>
  <c r="R4718" i="1"/>
  <c r="E4718" i="1"/>
  <c r="G4718" i="1"/>
  <c r="H4718" i="1"/>
  <c r="J4718" i="1"/>
  <c r="K4718" i="1"/>
  <c r="L4718" i="1"/>
  <c r="A4719" i="1"/>
  <c r="B4719" i="1"/>
  <c r="C4719" i="1"/>
  <c r="D4719" i="1"/>
  <c r="Q4719" i="1"/>
  <c r="R4719" i="1"/>
  <c r="E4719" i="1"/>
  <c r="G4719" i="1"/>
  <c r="H4719" i="1"/>
  <c r="J4719" i="1"/>
  <c r="K4719" i="1"/>
  <c r="L4719" i="1"/>
  <c r="A4720" i="1"/>
  <c r="B4720" i="1"/>
  <c r="C4720" i="1"/>
  <c r="D4720" i="1"/>
  <c r="Q4720" i="1"/>
  <c r="R4720" i="1"/>
  <c r="E4720" i="1"/>
  <c r="G4720" i="1"/>
  <c r="H4720" i="1"/>
  <c r="J4720" i="1"/>
  <c r="K4720" i="1"/>
  <c r="L4720" i="1"/>
  <c r="A4721" i="1"/>
  <c r="B4721" i="1"/>
  <c r="C4721" i="1"/>
  <c r="D4721" i="1"/>
  <c r="Q4721" i="1"/>
  <c r="R4721" i="1"/>
  <c r="E4721" i="1"/>
  <c r="G4721" i="1"/>
  <c r="H4721" i="1"/>
  <c r="J4721" i="1"/>
  <c r="K4721" i="1"/>
  <c r="L4721" i="1"/>
  <c r="A4722" i="1"/>
  <c r="B4722" i="1"/>
  <c r="C4722" i="1"/>
  <c r="D4722" i="1"/>
  <c r="Q4722" i="1"/>
  <c r="R4722" i="1"/>
  <c r="E4722" i="1"/>
  <c r="G4722" i="1"/>
  <c r="H4722" i="1"/>
  <c r="J4722" i="1"/>
  <c r="K4722" i="1"/>
  <c r="L4722" i="1"/>
  <c r="A4723" i="1"/>
  <c r="B4723" i="1"/>
  <c r="C4723" i="1"/>
  <c r="D4723" i="1"/>
  <c r="Q4723" i="1"/>
  <c r="R4723" i="1"/>
  <c r="E4723" i="1"/>
  <c r="G4723" i="1"/>
  <c r="H4723" i="1"/>
  <c r="J4723" i="1"/>
  <c r="K4723" i="1"/>
  <c r="L4723" i="1"/>
  <c r="A4724" i="1"/>
  <c r="B4724" i="1"/>
  <c r="C4724" i="1"/>
  <c r="D4724" i="1"/>
  <c r="Q4724" i="1"/>
  <c r="R4724" i="1"/>
  <c r="E4724" i="1"/>
  <c r="G4724" i="1"/>
  <c r="H4724" i="1"/>
  <c r="J4724" i="1"/>
  <c r="K4724" i="1"/>
  <c r="L4724" i="1"/>
  <c r="A4725" i="1"/>
  <c r="B4725" i="1"/>
  <c r="C4725" i="1"/>
  <c r="D4725" i="1"/>
  <c r="Q4725" i="1"/>
  <c r="R4725" i="1"/>
  <c r="E4725" i="1"/>
  <c r="G4725" i="1"/>
  <c r="H4725" i="1"/>
  <c r="J4725" i="1"/>
  <c r="K4725" i="1"/>
  <c r="L4725" i="1"/>
  <c r="A4726" i="1"/>
  <c r="B4726" i="1"/>
  <c r="C4726" i="1"/>
  <c r="D4726" i="1"/>
  <c r="Q4726" i="1"/>
  <c r="R4726" i="1"/>
  <c r="E4726" i="1"/>
  <c r="G4726" i="1"/>
  <c r="H4726" i="1"/>
  <c r="J4726" i="1"/>
  <c r="K4726" i="1"/>
  <c r="L4726" i="1"/>
  <c r="A4727" i="1"/>
  <c r="B4727" i="1"/>
  <c r="C4727" i="1"/>
  <c r="D4727" i="1"/>
  <c r="Q4727" i="1"/>
  <c r="R4727" i="1"/>
  <c r="E4727" i="1"/>
  <c r="G4727" i="1"/>
  <c r="H4727" i="1"/>
  <c r="J4727" i="1"/>
  <c r="K4727" i="1"/>
  <c r="L4727" i="1"/>
  <c r="A4728" i="1"/>
  <c r="B4728" i="1"/>
  <c r="C4728" i="1"/>
  <c r="D4728" i="1"/>
  <c r="Q4728" i="1"/>
  <c r="R4728" i="1"/>
  <c r="E4728" i="1"/>
  <c r="G4728" i="1"/>
  <c r="H4728" i="1"/>
  <c r="J4728" i="1"/>
  <c r="K4728" i="1"/>
  <c r="L4728" i="1"/>
  <c r="A4729" i="1"/>
  <c r="B4729" i="1"/>
  <c r="C4729" i="1"/>
  <c r="D4729" i="1"/>
  <c r="Q4729" i="1"/>
  <c r="R4729" i="1"/>
  <c r="E4729" i="1"/>
  <c r="G4729" i="1"/>
  <c r="H4729" i="1"/>
  <c r="J4729" i="1"/>
  <c r="K4729" i="1"/>
  <c r="L4729" i="1"/>
  <c r="A4730" i="1"/>
  <c r="B4730" i="1"/>
  <c r="C4730" i="1"/>
  <c r="D4730" i="1"/>
  <c r="Q4730" i="1"/>
  <c r="R4730" i="1"/>
  <c r="E4730" i="1"/>
  <c r="G4730" i="1"/>
  <c r="H4730" i="1"/>
  <c r="J4730" i="1"/>
  <c r="K4730" i="1"/>
  <c r="L4730" i="1"/>
  <c r="A4731" i="1"/>
  <c r="B4731" i="1"/>
  <c r="C4731" i="1"/>
  <c r="D4731" i="1"/>
  <c r="Q4731" i="1"/>
  <c r="R4731" i="1"/>
  <c r="E4731" i="1"/>
  <c r="G4731" i="1"/>
  <c r="H4731" i="1"/>
  <c r="J4731" i="1"/>
  <c r="K4731" i="1"/>
  <c r="L4731" i="1"/>
  <c r="A4732" i="1"/>
  <c r="B4732" i="1"/>
  <c r="C4732" i="1"/>
  <c r="D4732" i="1"/>
  <c r="Q4732" i="1"/>
  <c r="R4732" i="1"/>
  <c r="E4732" i="1"/>
  <c r="G4732" i="1"/>
  <c r="H4732" i="1"/>
  <c r="J4732" i="1"/>
  <c r="K4732" i="1"/>
  <c r="L4732" i="1"/>
  <c r="A4733" i="1"/>
  <c r="B4733" i="1"/>
  <c r="C4733" i="1"/>
  <c r="D4733" i="1"/>
  <c r="Q4733" i="1"/>
  <c r="R4733" i="1"/>
  <c r="E4733" i="1"/>
  <c r="G4733" i="1"/>
  <c r="H4733" i="1"/>
  <c r="J4733" i="1"/>
  <c r="K4733" i="1"/>
  <c r="L4733" i="1"/>
  <c r="A4734" i="1"/>
  <c r="B4734" i="1"/>
  <c r="C4734" i="1"/>
  <c r="D4734" i="1"/>
  <c r="Q4734" i="1"/>
  <c r="R4734" i="1"/>
  <c r="E4734" i="1"/>
  <c r="G4734" i="1"/>
  <c r="H4734" i="1"/>
  <c r="J4734" i="1"/>
  <c r="K4734" i="1"/>
  <c r="L4734" i="1"/>
  <c r="A4735" i="1"/>
  <c r="B4735" i="1"/>
  <c r="C4735" i="1"/>
  <c r="D4735" i="1"/>
  <c r="Q4735" i="1"/>
  <c r="R4735" i="1"/>
  <c r="E4735" i="1"/>
  <c r="G4735" i="1"/>
  <c r="H4735" i="1"/>
  <c r="J4735" i="1"/>
  <c r="K4735" i="1"/>
  <c r="L4735" i="1"/>
  <c r="A4736" i="1"/>
  <c r="B4736" i="1"/>
  <c r="C4736" i="1"/>
  <c r="D4736" i="1"/>
  <c r="Q4736" i="1"/>
  <c r="R4736" i="1"/>
  <c r="E4736" i="1"/>
  <c r="G4736" i="1"/>
  <c r="H4736" i="1"/>
  <c r="J4736" i="1"/>
  <c r="K4736" i="1"/>
  <c r="L4736" i="1"/>
  <c r="A4737" i="1"/>
  <c r="B4737" i="1"/>
  <c r="C4737" i="1"/>
  <c r="D4737" i="1"/>
  <c r="Q4737" i="1"/>
  <c r="R4737" i="1"/>
  <c r="E4737" i="1"/>
  <c r="G4737" i="1"/>
  <c r="H4737" i="1"/>
  <c r="J4737" i="1"/>
  <c r="K4737" i="1"/>
  <c r="L4737" i="1"/>
  <c r="A4738" i="1"/>
  <c r="B4738" i="1"/>
  <c r="C4738" i="1"/>
  <c r="D4738" i="1"/>
  <c r="Q4738" i="1"/>
  <c r="R4738" i="1"/>
  <c r="E4738" i="1"/>
  <c r="G4738" i="1"/>
  <c r="H4738" i="1"/>
  <c r="J4738" i="1"/>
  <c r="K4738" i="1"/>
  <c r="L4738" i="1"/>
  <c r="A4739" i="1"/>
  <c r="B4739" i="1"/>
  <c r="C4739" i="1"/>
  <c r="D4739" i="1"/>
  <c r="Q4739" i="1"/>
  <c r="R4739" i="1"/>
  <c r="E4739" i="1"/>
  <c r="G4739" i="1"/>
  <c r="H4739" i="1"/>
  <c r="J4739" i="1"/>
  <c r="K4739" i="1"/>
  <c r="L4739" i="1"/>
  <c r="A4740" i="1"/>
  <c r="B4740" i="1"/>
  <c r="C4740" i="1"/>
  <c r="D4740" i="1"/>
  <c r="Q4740" i="1"/>
  <c r="R4740" i="1"/>
  <c r="E4740" i="1"/>
  <c r="G4740" i="1"/>
  <c r="H4740" i="1"/>
  <c r="J4740" i="1"/>
  <c r="K4740" i="1"/>
  <c r="L4740" i="1"/>
  <c r="A4741" i="1"/>
  <c r="B4741" i="1"/>
  <c r="C4741" i="1"/>
  <c r="D4741" i="1"/>
  <c r="Q4741" i="1"/>
  <c r="R4741" i="1"/>
  <c r="E4741" i="1"/>
  <c r="G4741" i="1"/>
  <c r="H4741" i="1"/>
  <c r="J4741" i="1"/>
  <c r="K4741" i="1"/>
  <c r="L4741" i="1"/>
  <c r="A4742" i="1"/>
  <c r="B4742" i="1"/>
  <c r="C4742" i="1"/>
  <c r="D4742" i="1"/>
  <c r="Q4742" i="1"/>
  <c r="R4742" i="1"/>
  <c r="E4742" i="1"/>
  <c r="G4742" i="1"/>
  <c r="H4742" i="1"/>
  <c r="J4742" i="1"/>
  <c r="K4742" i="1"/>
  <c r="L4742" i="1"/>
  <c r="A4743" i="1"/>
  <c r="B4743" i="1"/>
  <c r="C4743" i="1"/>
  <c r="D4743" i="1"/>
  <c r="Q4743" i="1"/>
  <c r="R4743" i="1"/>
  <c r="E4743" i="1"/>
  <c r="G4743" i="1"/>
  <c r="H4743" i="1"/>
  <c r="J4743" i="1"/>
  <c r="K4743" i="1"/>
  <c r="L4743" i="1"/>
  <c r="A4744" i="1"/>
  <c r="B4744" i="1"/>
  <c r="C4744" i="1"/>
  <c r="D4744" i="1"/>
  <c r="Q4744" i="1"/>
  <c r="R4744" i="1"/>
  <c r="E4744" i="1"/>
  <c r="G4744" i="1"/>
  <c r="H4744" i="1"/>
  <c r="J4744" i="1"/>
  <c r="K4744" i="1"/>
  <c r="L4744" i="1"/>
  <c r="A4745" i="1"/>
  <c r="B4745" i="1"/>
  <c r="C4745" i="1"/>
  <c r="D4745" i="1"/>
  <c r="Q4745" i="1"/>
  <c r="R4745" i="1"/>
  <c r="E4745" i="1"/>
  <c r="G4745" i="1"/>
  <c r="H4745" i="1"/>
  <c r="J4745" i="1"/>
  <c r="K4745" i="1"/>
  <c r="L4745" i="1"/>
  <c r="A4746" i="1"/>
  <c r="B4746" i="1"/>
  <c r="C4746" i="1"/>
  <c r="D4746" i="1"/>
  <c r="Q4746" i="1"/>
  <c r="R4746" i="1"/>
  <c r="E4746" i="1"/>
  <c r="G4746" i="1"/>
  <c r="H4746" i="1"/>
  <c r="J4746" i="1"/>
  <c r="K4746" i="1"/>
  <c r="L4746" i="1"/>
  <c r="A4747" i="1"/>
  <c r="B4747" i="1"/>
  <c r="C4747" i="1"/>
  <c r="D4747" i="1"/>
  <c r="Q4747" i="1"/>
  <c r="R4747" i="1"/>
  <c r="E4747" i="1"/>
  <c r="G4747" i="1"/>
  <c r="H4747" i="1"/>
  <c r="J4747" i="1"/>
  <c r="K4747" i="1"/>
  <c r="L4747" i="1"/>
  <c r="A4748" i="1"/>
  <c r="B4748" i="1"/>
  <c r="C4748" i="1"/>
  <c r="D4748" i="1"/>
  <c r="Q4748" i="1"/>
  <c r="R4748" i="1"/>
  <c r="E4748" i="1"/>
  <c r="G4748" i="1"/>
  <c r="H4748" i="1"/>
  <c r="J4748" i="1"/>
  <c r="K4748" i="1"/>
  <c r="L4748" i="1"/>
  <c r="A4749" i="1"/>
  <c r="B4749" i="1"/>
  <c r="C4749" i="1"/>
  <c r="D4749" i="1"/>
  <c r="Q4749" i="1"/>
  <c r="R4749" i="1"/>
  <c r="E4749" i="1"/>
  <c r="G4749" i="1"/>
  <c r="H4749" i="1"/>
  <c r="J4749" i="1"/>
  <c r="K4749" i="1"/>
  <c r="L4749" i="1"/>
  <c r="A4790" i="1"/>
  <c r="B4790" i="1"/>
  <c r="C4790" i="1"/>
  <c r="D4790" i="1"/>
  <c r="Q4790" i="1"/>
  <c r="R4790" i="1"/>
  <c r="E4790" i="1"/>
  <c r="G4790" i="1"/>
  <c r="H4790" i="1"/>
  <c r="J4790" i="1"/>
  <c r="K4790" i="1"/>
  <c r="L4790" i="1"/>
  <c r="A4791" i="1"/>
  <c r="B4791" i="1"/>
  <c r="C4791" i="1"/>
  <c r="D4791" i="1"/>
  <c r="Q4791" i="1"/>
  <c r="R4791" i="1"/>
  <c r="E4791" i="1"/>
  <c r="G4791" i="1"/>
  <c r="H4791" i="1"/>
  <c r="J4791" i="1"/>
  <c r="K4791" i="1"/>
  <c r="L4791" i="1"/>
  <c r="A4792" i="1"/>
  <c r="B4792" i="1"/>
  <c r="C4792" i="1"/>
  <c r="D4792" i="1"/>
  <c r="Q4792" i="1"/>
  <c r="R4792" i="1"/>
  <c r="E4792" i="1"/>
  <c r="G4792" i="1"/>
  <c r="H4792" i="1"/>
  <c r="J4792" i="1"/>
  <c r="K4792" i="1"/>
  <c r="L4792" i="1"/>
  <c r="A4793" i="1"/>
  <c r="B4793" i="1"/>
  <c r="C4793" i="1"/>
  <c r="D4793" i="1"/>
  <c r="Q4793" i="1"/>
  <c r="R4793" i="1"/>
  <c r="E4793" i="1"/>
  <c r="G4793" i="1"/>
  <c r="H4793" i="1"/>
  <c r="J4793" i="1"/>
  <c r="K4793" i="1"/>
  <c r="L4793" i="1"/>
  <c r="A4794" i="1"/>
  <c r="B4794" i="1"/>
  <c r="C4794" i="1"/>
  <c r="D4794" i="1"/>
  <c r="Q4794" i="1"/>
  <c r="R4794" i="1"/>
  <c r="E4794" i="1"/>
  <c r="G4794" i="1"/>
  <c r="H4794" i="1"/>
  <c r="J4794" i="1"/>
  <c r="K4794" i="1"/>
  <c r="L4794" i="1"/>
  <c r="A4795" i="1"/>
  <c r="B4795" i="1"/>
  <c r="C4795" i="1"/>
  <c r="D4795" i="1"/>
  <c r="Q4795" i="1"/>
  <c r="R4795" i="1"/>
  <c r="E4795" i="1"/>
  <c r="G4795" i="1"/>
  <c r="H4795" i="1"/>
  <c r="J4795" i="1"/>
  <c r="K4795" i="1"/>
  <c r="L4795" i="1"/>
  <c r="A4796" i="1"/>
  <c r="B4796" i="1"/>
  <c r="C4796" i="1"/>
  <c r="D4796" i="1"/>
  <c r="Q4796" i="1"/>
  <c r="R4796" i="1"/>
  <c r="E4796" i="1"/>
  <c r="G4796" i="1"/>
  <c r="H4796" i="1"/>
  <c r="J4796" i="1"/>
  <c r="K4796" i="1"/>
  <c r="L4796" i="1"/>
  <c r="A4797" i="1"/>
  <c r="B4797" i="1"/>
  <c r="C4797" i="1"/>
  <c r="D4797" i="1"/>
  <c r="Q4797" i="1"/>
  <c r="R4797" i="1"/>
  <c r="E4797" i="1"/>
  <c r="G4797" i="1"/>
  <c r="H4797" i="1"/>
  <c r="J4797" i="1"/>
  <c r="K4797" i="1"/>
  <c r="L4797" i="1"/>
  <c r="A4798" i="1"/>
  <c r="B4798" i="1"/>
  <c r="C4798" i="1"/>
  <c r="D4798" i="1"/>
  <c r="Q4798" i="1"/>
  <c r="R4798" i="1"/>
  <c r="E4798" i="1"/>
  <c r="G4798" i="1"/>
  <c r="H4798" i="1"/>
  <c r="J4798" i="1"/>
  <c r="K4798" i="1"/>
  <c r="L4798" i="1"/>
  <c r="A4799" i="1"/>
  <c r="B4799" i="1"/>
  <c r="C4799" i="1"/>
  <c r="D4799" i="1"/>
  <c r="Q4799" i="1"/>
  <c r="R4799" i="1"/>
  <c r="E4799" i="1"/>
  <c r="G4799" i="1"/>
  <c r="H4799" i="1"/>
  <c r="J4799" i="1"/>
  <c r="K4799" i="1"/>
  <c r="L4799" i="1"/>
  <c r="A4800" i="1"/>
  <c r="B4800" i="1"/>
  <c r="C4800" i="1"/>
  <c r="D4800" i="1"/>
  <c r="Q4800" i="1"/>
  <c r="R4800" i="1"/>
  <c r="E4800" i="1"/>
  <c r="G4800" i="1"/>
  <c r="H4800" i="1"/>
  <c r="J4800" i="1"/>
  <c r="K4800" i="1"/>
  <c r="L4800" i="1"/>
  <c r="A4801" i="1"/>
  <c r="B4801" i="1"/>
  <c r="C4801" i="1"/>
  <c r="D4801" i="1"/>
  <c r="Q4801" i="1"/>
  <c r="R4801" i="1"/>
  <c r="E4801" i="1"/>
  <c r="G4801" i="1"/>
  <c r="H4801" i="1"/>
  <c r="J4801" i="1"/>
  <c r="K4801" i="1"/>
  <c r="L4801" i="1"/>
  <c r="A4802" i="1"/>
  <c r="B4802" i="1"/>
  <c r="C4802" i="1"/>
  <c r="D4802" i="1"/>
  <c r="Q4802" i="1"/>
  <c r="R4802" i="1"/>
  <c r="E4802" i="1"/>
  <c r="G4802" i="1"/>
  <c r="H4802" i="1"/>
  <c r="J4802" i="1"/>
  <c r="K4802" i="1"/>
  <c r="L4802" i="1"/>
  <c r="A4803" i="1"/>
  <c r="B4803" i="1"/>
  <c r="C4803" i="1"/>
  <c r="D4803" i="1"/>
  <c r="Q4803" i="1"/>
  <c r="R4803" i="1"/>
  <c r="E4803" i="1"/>
  <c r="G4803" i="1"/>
  <c r="H4803" i="1"/>
  <c r="J4803" i="1"/>
  <c r="K4803" i="1"/>
  <c r="L4803" i="1"/>
  <c r="A4804" i="1"/>
  <c r="B4804" i="1"/>
  <c r="C4804" i="1"/>
  <c r="D4804" i="1"/>
  <c r="Q4804" i="1"/>
  <c r="R4804" i="1"/>
  <c r="E4804" i="1"/>
  <c r="G4804" i="1"/>
  <c r="H4804" i="1"/>
  <c r="J4804" i="1"/>
  <c r="K4804" i="1"/>
  <c r="L4804" i="1"/>
  <c r="A4805" i="1"/>
  <c r="B4805" i="1"/>
  <c r="C4805" i="1"/>
  <c r="D4805" i="1"/>
  <c r="Q4805" i="1"/>
  <c r="R4805" i="1"/>
  <c r="E4805" i="1"/>
  <c r="G4805" i="1"/>
  <c r="H4805" i="1"/>
  <c r="J4805" i="1"/>
  <c r="K4805" i="1"/>
  <c r="L4805" i="1"/>
  <c r="A4806" i="1"/>
  <c r="B4806" i="1"/>
  <c r="C4806" i="1"/>
  <c r="D4806" i="1"/>
  <c r="Q4806" i="1"/>
  <c r="R4806" i="1"/>
  <c r="E4806" i="1"/>
  <c r="G4806" i="1"/>
  <c r="H4806" i="1"/>
  <c r="J4806" i="1"/>
  <c r="K4806" i="1"/>
  <c r="L4806" i="1"/>
  <c r="A4807" i="1"/>
  <c r="B4807" i="1"/>
  <c r="C4807" i="1"/>
  <c r="D4807" i="1"/>
  <c r="Q4807" i="1"/>
  <c r="R4807" i="1"/>
  <c r="E4807" i="1"/>
  <c r="G4807" i="1"/>
  <c r="H4807" i="1"/>
  <c r="J4807" i="1"/>
  <c r="K4807" i="1"/>
  <c r="L4807" i="1"/>
  <c r="A4808" i="1"/>
  <c r="B4808" i="1"/>
  <c r="C4808" i="1"/>
  <c r="D4808" i="1"/>
  <c r="Q4808" i="1"/>
  <c r="R4808" i="1"/>
  <c r="E4808" i="1"/>
  <c r="G4808" i="1"/>
  <c r="H4808" i="1"/>
  <c r="J4808" i="1"/>
  <c r="K4808" i="1"/>
  <c r="L4808" i="1"/>
  <c r="A4809" i="1"/>
  <c r="B4809" i="1"/>
  <c r="C4809" i="1"/>
  <c r="D4809" i="1"/>
  <c r="Q4809" i="1"/>
  <c r="R4809" i="1"/>
  <c r="E4809" i="1"/>
  <c r="G4809" i="1"/>
  <c r="H4809" i="1"/>
  <c r="J4809" i="1"/>
  <c r="K4809" i="1"/>
  <c r="L4809" i="1"/>
  <c r="A4810" i="1"/>
  <c r="B4810" i="1"/>
  <c r="C4810" i="1"/>
  <c r="D4810" i="1"/>
  <c r="Q4810" i="1"/>
  <c r="R4810" i="1"/>
  <c r="E4810" i="1"/>
  <c r="G4810" i="1"/>
  <c r="H4810" i="1"/>
  <c r="J4810" i="1"/>
  <c r="K4810" i="1"/>
  <c r="L4810" i="1"/>
  <c r="A4811" i="1"/>
  <c r="B4811" i="1"/>
  <c r="C4811" i="1"/>
  <c r="D4811" i="1"/>
  <c r="Q4811" i="1"/>
  <c r="R4811" i="1"/>
  <c r="E4811" i="1"/>
  <c r="G4811" i="1"/>
  <c r="H4811" i="1"/>
  <c r="J4811" i="1"/>
  <c r="K4811" i="1"/>
  <c r="L4811" i="1"/>
  <c r="A4812" i="1"/>
  <c r="B4812" i="1"/>
  <c r="C4812" i="1"/>
  <c r="D4812" i="1"/>
  <c r="Q4812" i="1"/>
  <c r="R4812" i="1"/>
  <c r="E4812" i="1"/>
  <c r="G4812" i="1"/>
  <c r="H4812" i="1"/>
  <c r="J4812" i="1"/>
  <c r="K4812" i="1"/>
  <c r="L4812" i="1"/>
  <c r="A4813" i="1"/>
  <c r="B4813" i="1"/>
  <c r="C4813" i="1"/>
  <c r="D4813" i="1"/>
  <c r="Q4813" i="1"/>
  <c r="R4813" i="1"/>
  <c r="E4813" i="1"/>
  <c r="G4813" i="1"/>
  <c r="H4813" i="1"/>
  <c r="J4813" i="1"/>
  <c r="K4813" i="1"/>
  <c r="L4813" i="1"/>
  <c r="A4814" i="1"/>
  <c r="B4814" i="1"/>
  <c r="C4814" i="1"/>
  <c r="D4814" i="1"/>
  <c r="Q4814" i="1"/>
  <c r="R4814" i="1"/>
  <c r="E4814" i="1"/>
  <c r="G4814" i="1"/>
  <c r="H4814" i="1"/>
  <c r="J4814" i="1"/>
  <c r="K4814" i="1"/>
  <c r="L4814" i="1"/>
  <c r="A4815" i="1"/>
  <c r="B4815" i="1"/>
  <c r="C4815" i="1"/>
  <c r="D4815" i="1"/>
  <c r="Q4815" i="1"/>
  <c r="R4815" i="1"/>
  <c r="E4815" i="1"/>
  <c r="G4815" i="1"/>
  <c r="H4815" i="1"/>
  <c r="J4815" i="1"/>
  <c r="K4815" i="1"/>
  <c r="L4815" i="1"/>
  <c r="A4816" i="1"/>
  <c r="B4816" i="1"/>
  <c r="C4816" i="1"/>
  <c r="D4816" i="1"/>
  <c r="Q4816" i="1"/>
  <c r="R4816" i="1"/>
  <c r="E4816" i="1"/>
  <c r="G4816" i="1"/>
  <c r="H4816" i="1"/>
  <c r="J4816" i="1"/>
  <c r="K4816" i="1"/>
  <c r="L4816" i="1"/>
  <c r="A4817" i="1"/>
  <c r="B4817" i="1"/>
  <c r="C4817" i="1"/>
  <c r="D4817" i="1"/>
  <c r="Q4817" i="1"/>
  <c r="R4817" i="1"/>
  <c r="E4817" i="1"/>
  <c r="G4817" i="1"/>
  <c r="H4817" i="1"/>
  <c r="J4817" i="1"/>
  <c r="K4817" i="1"/>
  <c r="L4817" i="1"/>
  <c r="A4818" i="1"/>
  <c r="B4818" i="1"/>
  <c r="C4818" i="1"/>
  <c r="D4818" i="1"/>
  <c r="Q4818" i="1"/>
  <c r="R4818" i="1"/>
  <c r="E4818" i="1"/>
  <c r="G4818" i="1"/>
  <c r="H4818" i="1"/>
  <c r="J4818" i="1"/>
  <c r="K4818" i="1"/>
  <c r="L4818" i="1"/>
  <c r="A4819" i="1"/>
  <c r="B4819" i="1"/>
  <c r="C4819" i="1"/>
  <c r="D4819" i="1"/>
  <c r="Q4819" i="1"/>
  <c r="R4819" i="1"/>
  <c r="E4819" i="1"/>
  <c r="G4819" i="1"/>
  <c r="H4819" i="1"/>
  <c r="J4819" i="1"/>
  <c r="K4819" i="1"/>
  <c r="L4819" i="1"/>
  <c r="A4820" i="1"/>
  <c r="B4820" i="1"/>
  <c r="C4820" i="1"/>
  <c r="D4820" i="1"/>
  <c r="Q4820" i="1"/>
  <c r="R4820" i="1"/>
  <c r="E4820" i="1"/>
  <c r="G4820" i="1"/>
  <c r="H4820" i="1"/>
  <c r="J4820" i="1"/>
  <c r="K4820" i="1"/>
  <c r="L4820" i="1"/>
  <c r="A4821" i="1"/>
  <c r="B4821" i="1"/>
  <c r="C4821" i="1"/>
  <c r="D4821" i="1"/>
  <c r="Q4821" i="1"/>
  <c r="R4821" i="1"/>
  <c r="E4821" i="1"/>
  <c r="G4821" i="1"/>
  <c r="H4821" i="1"/>
  <c r="J4821" i="1"/>
  <c r="K4821" i="1"/>
  <c r="L4821" i="1"/>
  <c r="A4822" i="1"/>
  <c r="B4822" i="1"/>
  <c r="C4822" i="1"/>
  <c r="D4822" i="1"/>
  <c r="Q4822" i="1"/>
  <c r="R4822" i="1"/>
  <c r="E4822" i="1"/>
  <c r="G4822" i="1"/>
  <c r="H4822" i="1"/>
  <c r="J4822" i="1"/>
  <c r="K4822" i="1"/>
  <c r="L4822" i="1"/>
  <c r="A4823" i="1"/>
  <c r="B4823" i="1"/>
  <c r="C4823" i="1"/>
  <c r="D4823" i="1"/>
  <c r="Q4823" i="1"/>
  <c r="R4823" i="1"/>
  <c r="E4823" i="1"/>
  <c r="G4823" i="1"/>
  <c r="H4823" i="1"/>
  <c r="J4823" i="1"/>
  <c r="K4823" i="1"/>
  <c r="L4823" i="1"/>
  <c r="A4824" i="1"/>
  <c r="B4824" i="1"/>
  <c r="C4824" i="1"/>
  <c r="D4824" i="1"/>
  <c r="Q4824" i="1"/>
  <c r="R4824" i="1"/>
  <c r="E4824" i="1"/>
  <c r="G4824" i="1"/>
  <c r="H4824" i="1"/>
  <c r="J4824" i="1"/>
  <c r="K4824" i="1"/>
  <c r="L4824" i="1"/>
  <c r="A4825" i="1"/>
  <c r="B4825" i="1"/>
  <c r="C4825" i="1"/>
  <c r="D4825" i="1"/>
  <c r="Q4825" i="1"/>
  <c r="R4825" i="1"/>
  <c r="E4825" i="1"/>
  <c r="G4825" i="1"/>
  <c r="H4825" i="1"/>
  <c r="J4825" i="1"/>
  <c r="K4825" i="1"/>
  <c r="L4825" i="1"/>
  <c r="A4826" i="1"/>
  <c r="B4826" i="1"/>
  <c r="C4826" i="1"/>
  <c r="D4826" i="1"/>
  <c r="Q4826" i="1"/>
  <c r="R4826" i="1"/>
  <c r="E4826" i="1"/>
  <c r="G4826" i="1"/>
  <c r="H4826" i="1"/>
  <c r="J4826" i="1"/>
  <c r="K4826" i="1"/>
  <c r="L4826" i="1"/>
  <c r="A4827" i="1"/>
  <c r="B4827" i="1"/>
  <c r="C4827" i="1"/>
  <c r="D4827" i="1"/>
  <c r="Q4827" i="1"/>
  <c r="R4827" i="1"/>
  <c r="E4827" i="1"/>
  <c r="G4827" i="1"/>
  <c r="H4827" i="1"/>
  <c r="J4827" i="1"/>
  <c r="K4827" i="1"/>
  <c r="L4827" i="1"/>
  <c r="A4828" i="1"/>
  <c r="B4828" i="1"/>
  <c r="C4828" i="1"/>
  <c r="D4828" i="1"/>
  <c r="Q4828" i="1"/>
  <c r="R4828" i="1"/>
  <c r="E4828" i="1"/>
  <c r="G4828" i="1"/>
  <c r="H4828" i="1"/>
  <c r="J4828" i="1"/>
  <c r="K4828" i="1"/>
  <c r="L4828" i="1"/>
  <c r="A4829" i="1"/>
  <c r="B4829" i="1"/>
  <c r="C4829" i="1"/>
  <c r="D4829" i="1"/>
  <c r="Q4829" i="1"/>
  <c r="R4829" i="1"/>
  <c r="E4829" i="1"/>
  <c r="G4829" i="1"/>
  <c r="H4829" i="1"/>
  <c r="J4829" i="1"/>
  <c r="K4829" i="1"/>
  <c r="L4829" i="1"/>
  <c r="A4830" i="1"/>
  <c r="B4830" i="1"/>
  <c r="C4830" i="1"/>
  <c r="D4830" i="1"/>
  <c r="Q4830" i="1"/>
  <c r="R4830" i="1"/>
  <c r="E4830" i="1"/>
  <c r="G4830" i="1"/>
  <c r="H4830" i="1"/>
  <c r="J4830" i="1"/>
  <c r="K4830" i="1"/>
  <c r="L4830" i="1"/>
  <c r="A4831" i="1"/>
  <c r="B4831" i="1"/>
  <c r="C4831" i="1"/>
  <c r="D4831" i="1"/>
  <c r="Q4831" i="1"/>
  <c r="R4831" i="1"/>
  <c r="E4831" i="1"/>
  <c r="G4831" i="1"/>
  <c r="H4831" i="1"/>
  <c r="J4831" i="1"/>
  <c r="K4831" i="1"/>
  <c r="L4831" i="1"/>
  <c r="A4832" i="1"/>
  <c r="B4832" i="1"/>
  <c r="C4832" i="1"/>
  <c r="D4832" i="1"/>
  <c r="Q4832" i="1"/>
  <c r="R4832" i="1"/>
  <c r="E4832" i="1"/>
  <c r="G4832" i="1"/>
  <c r="H4832" i="1"/>
  <c r="J4832" i="1"/>
  <c r="K4832" i="1"/>
  <c r="L4832" i="1"/>
  <c r="A4833" i="1"/>
  <c r="B4833" i="1"/>
  <c r="C4833" i="1"/>
  <c r="D4833" i="1"/>
  <c r="Q4833" i="1"/>
  <c r="R4833" i="1"/>
  <c r="E4833" i="1"/>
  <c r="G4833" i="1"/>
  <c r="H4833" i="1"/>
  <c r="J4833" i="1"/>
  <c r="K4833" i="1"/>
  <c r="L4833" i="1"/>
  <c r="A4834" i="1"/>
  <c r="B4834" i="1"/>
  <c r="C4834" i="1"/>
  <c r="D4834" i="1"/>
  <c r="Q4834" i="1"/>
  <c r="R4834" i="1"/>
  <c r="E4834" i="1"/>
  <c r="G4834" i="1"/>
  <c r="H4834" i="1"/>
  <c r="J4834" i="1"/>
  <c r="K4834" i="1"/>
  <c r="L4834" i="1"/>
  <c r="A4835" i="1"/>
  <c r="B4835" i="1"/>
  <c r="C4835" i="1"/>
  <c r="D4835" i="1"/>
  <c r="Q4835" i="1"/>
  <c r="R4835" i="1"/>
  <c r="E4835" i="1"/>
  <c r="G4835" i="1"/>
  <c r="H4835" i="1"/>
  <c r="J4835" i="1"/>
  <c r="K4835" i="1"/>
  <c r="L4835" i="1"/>
  <c r="A4836" i="1"/>
  <c r="B4836" i="1"/>
  <c r="C4836" i="1"/>
  <c r="D4836" i="1"/>
  <c r="Q4836" i="1"/>
  <c r="R4836" i="1"/>
  <c r="E4836" i="1"/>
  <c r="G4836" i="1"/>
  <c r="H4836" i="1"/>
  <c r="J4836" i="1"/>
  <c r="K4836" i="1"/>
  <c r="L4836" i="1"/>
  <c r="A4837" i="1"/>
  <c r="B4837" i="1"/>
  <c r="C4837" i="1"/>
  <c r="D4837" i="1"/>
  <c r="Q4837" i="1"/>
  <c r="R4837" i="1"/>
  <c r="E4837" i="1"/>
  <c r="G4837" i="1"/>
  <c r="H4837" i="1"/>
  <c r="J4837" i="1"/>
  <c r="K4837" i="1"/>
  <c r="L4837" i="1"/>
  <c r="A4838" i="1"/>
  <c r="B4838" i="1"/>
  <c r="C4838" i="1"/>
  <c r="D4838" i="1"/>
  <c r="Q4838" i="1"/>
  <c r="R4838" i="1"/>
  <c r="E4838" i="1"/>
  <c r="G4838" i="1"/>
  <c r="H4838" i="1"/>
  <c r="J4838" i="1"/>
  <c r="K4838" i="1"/>
  <c r="L4838" i="1"/>
  <c r="A4839" i="1"/>
  <c r="B4839" i="1"/>
  <c r="C4839" i="1"/>
  <c r="D4839" i="1"/>
  <c r="Q4839" i="1"/>
  <c r="R4839" i="1"/>
  <c r="E4839" i="1"/>
  <c r="G4839" i="1"/>
  <c r="H4839" i="1"/>
  <c r="J4839" i="1"/>
  <c r="K4839" i="1"/>
  <c r="L4839" i="1"/>
  <c r="A4840" i="1"/>
  <c r="B4840" i="1"/>
  <c r="C4840" i="1"/>
  <c r="D4840" i="1"/>
  <c r="Q4840" i="1"/>
  <c r="R4840" i="1"/>
  <c r="E4840" i="1"/>
  <c r="G4840" i="1"/>
  <c r="H4840" i="1"/>
  <c r="J4840" i="1"/>
  <c r="K4840" i="1"/>
  <c r="L4840" i="1"/>
  <c r="A4841" i="1"/>
  <c r="B4841" i="1"/>
  <c r="C4841" i="1"/>
  <c r="D4841" i="1"/>
  <c r="Q4841" i="1"/>
  <c r="R4841" i="1"/>
  <c r="E4841" i="1"/>
  <c r="G4841" i="1"/>
  <c r="H4841" i="1"/>
  <c r="J4841" i="1"/>
  <c r="K4841" i="1"/>
  <c r="L4841" i="1"/>
  <c r="A4842" i="1"/>
  <c r="B4842" i="1"/>
  <c r="C4842" i="1"/>
  <c r="D4842" i="1"/>
  <c r="Q4842" i="1"/>
  <c r="R4842" i="1"/>
  <c r="E4842" i="1"/>
  <c r="G4842" i="1"/>
  <c r="H4842" i="1"/>
  <c r="J4842" i="1"/>
  <c r="K4842" i="1"/>
  <c r="L4842" i="1"/>
  <c r="A4843" i="1"/>
  <c r="B4843" i="1"/>
  <c r="C4843" i="1"/>
  <c r="D4843" i="1"/>
  <c r="Q4843" i="1"/>
  <c r="R4843" i="1"/>
  <c r="E4843" i="1"/>
  <c r="G4843" i="1"/>
  <c r="H4843" i="1"/>
  <c r="J4843" i="1"/>
  <c r="K4843" i="1"/>
  <c r="L4843" i="1"/>
  <c r="A4844" i="1"/>
  <c r="B4844" i="1"/>
  <c r="C4844" i="1"/>
  <c r="D4844" i="1"/>
  <c r="Q4844" i="1"/>
  <c r="R4844" i="1"/>
  <c r="E4844" i="1"/>
  <c r="G4844" i="1"/>
  <c r="H4844" i="1"/>
  <c r="J4844" i="1"/>
  <c r="K4844" i="1"/>
  <c r="L4844" i="1"/>
  <c r="A4845" i="1"/>
  <c r="B4845" i="1"/>
  <c r="C4845" i="1"/>
  <c r="D4845" i="1"/>
  <c r="Q4845" i="1"/>
  <c r="R4845" i="1"/>
  <c r="E4845" i="1"/>
  <c r="G4845" i="1"/>
  <c r="H4845" i="1"/>
  <c r="J4845" i="1"/>
  <c r="K4845" i="1"/>
  <c r="L4845" i="1"/>
  <c r="A4846" i="1"/>
  <c r="B4846" i="1"/>
  <c r="C4846" i="1"/>
  <c r="D4846" i="1"/>
  <c r="Q4846" i="1"/>
  <c r="R4846" i="1"/>
  <c r="E4846" i="1"/>
  <c r="G4846" i="1"/>
  <c r="H4846" i="1"/>
  <c r="J4846" i="1"/>
  <c r="K4846" i="1"/>
  <c r="L4846" i="1"/>
  <c r="A4847" i="1"/>
  <c r="B4847" i="1"/>
  <c r="C4847" i="1"/>
  <c r="D4847" i="1"/>
  <c r="Q4847" i="1"/>
  <c r="R4847" i="1"/>
  <c r="E4847" i="1"/>
  <c r="G4847" i="1"/>
  <c r="H4847" i="1"/>
  <c r="J4847" i="1"/>
  <c r="K4847" i="1"/>
  <c r="L4847" i="1"/>
  <c r="A4848" i="1"/>
  <c r="B4848" i="1"/>
  <c r="C4848" i="1"/>
  <c r="D4848" i="1"/>
  <c r="Q4848" i="1"/>
  <c r="R4848" i="1"/>
  <c r="E4848" i="1"/>
  <c r="G4848" i="1"/>
  <c r="H4848" i="1"/>
  <c r="J4848" i="1"/>
  <c r="K4848" i="1"/>
  <c r="L4848" i="1"/>
  <c r="A4849" i="1"/>
  <c r="B4849" i="1"/>
  <c r="C4849" i="1"/>
  <c r="D4849" i="1"/>
  <c r="Q4849" i="1"/>
  <c r="R4849" i="1"/>
  <c r="E4849" i="1"/>
  <c r="G4849" i="1"/>
  <c r="H4849" i="1"/>
  <c r="J4849" i="1"/>
  <c r="K4849" i="1"/>
  <c r="L4849" i="1"/>
  <c r="A4850" i="1"/>
  <c r="B4850" i="1"/>
  <c r="C4850" i="1"/>
  <c r="D4850" i="1"/>
  <c r="Q4850" i="1"/>
  <c r="R4850" i="1"/>
  <c r="E4850" i="1"/>
  <c r="G4850" i="1"/>
  <c r="H4850" i="1"/>
  <c r="J4850" i="1"/>
  <c r="K4850" i="1"/>
  <c r="L4850" i="1"/>
  <c r="A4851" i="1"/>
  <c r="B4851" i="1"/>
  <c r="C4851" i="1"/>
  <c r="D4851" i="1"/>
  <c r="Q4851" i="1"/>
  <c r="R4851" i="1"/>
  <c r="E4851" i="1"/>
  <c r="G4851" i="1"/>
  <c r="H4851" i="1"/>
  <c r="J4851" i="1"/>
  <c r="K4851" i="1"/>
  <c r="L4851" i="1"/>
  <c r="A4852" i="1"/>
  <c r="B4852" i="1"/>
  <c r="C4852" i="1"/>
  <c r="D4852" i="1"/>
  <c r="Q4852" i="1"/>
  <c r="R4852" i="1"/>
  <c r="E4852" i="1"/>
  <c r="G4852" i="1"/>
  <c r="H4852" i="1"/>
  <c r="J4852" i="1"/>
  <c r="K4852" i="1"/>
  <c r="L4852" i="1"/>
  <c r="A4853" i="1"/>
  <c r="B4853" i="1"/>
  <c r="C4853" i="1"/>
  <c r="D4853" i="1"/>
  <c r="Q4853" i="1"/>
  <c r="R4853" i="1"/>
  <c r="E4853" i="1"/>
  <c r="G4853" i="1"/>
  <c r="H4853" i="1"/>
  <c r="J4853" i="1"/>
  <c r="K4853" i="1"/>
  <c r="L4853" i="1"/>
  <c r="A4854" i="1"/>
  <c r="B4854" i="1"/>
  <c r="C4854" i="1"/>
  <c r="D4854" i="1"/>
  <c r="Q4854" i="1"/>
  <c r="R4854" i="1"/>
  <c r="E4854" i="1"/>
  <c r="G4854" i="1"/>
  <c r="H4854" i="1"/>
  <c r="J4854" i="1"/>
  <c r="K4854" i="1"/>
  <c r="L4854" i="1"/>
  <c r="A4855" i="1"/>
  <c r="B4855" i="1"/>
  <c r="C4855" i="1"/>
  <c r="D4855" i="1"/>
  <c r="Q4855" i="1"/>
  <c r="R4855" i="1"/>
  <c r="E4855" i="1"/>
  <c r="G4855" i="1"/>
  <c r="H4855" i="1"/>
  <c r="J4855" i="1"/>
  <c r="K4855" i="1"/>
  <c r="L4855" i="1"/>
  <c r="A4856" i="1"/>
  <c r="B4856" i="1"/>
  <c r="C4856" i="1"/>
  <c r="D4856" i="1"/>
  <c r="Q4856" i="1"/>
  <c r="R4856" i="1"/>
  <c r="E4856" i="1"/>
  <c r="G4856" i="1"/>
  <c r="H4856" i="1"/>
  <c r="J4856" i="1"/>
  <c r="K4856" i="1"/>
  <c r="L4856" i="1"/>
  <c r="A4857" i="1"/>
  <c r="B4857" i="1"/>
  <c r="C4857" i="1"/>
  <c r="D4857" i="1"/>
  <c r="Q4857" i="1"/>
  <c r="R4857" i="1"/>
  <c r="E4857" i="1"/>
  <c r="G4857" i="1"/>
  <c r="H4857" i="1"/>
  <c r="J4857" i="1"/>
  <c r="K4857" i="1"/>
  <c r="L4857" i="1"/>
  <c r="A4858" i="1"/>
  <c r="B4858" i="1"/>
  <c r="C4858" i="1"/>
  <c r="D4858" i="1"/>
  <c r="Q4858" i="1"/>
  <c r="R4858" i="1"/>
  <c r="E4858" i="1"/>
  <c r="G4858" i="1"/>
  <c r="H4858" i="1"/>
  <c r="J4858" i="1"/>
  <c r="K4858" i="1"/>
  <c r="L4858" i="1"/>
  <c r="A4859" i="1"/>
  <c r="B4859" i="1"/>
  <c r="C4859" i="1"/>
  <c r="D4859" i="1"/>
  <c r="Q4859" i="1"/>
  <c r="R4859" i="1"/>
  <c r="E4859" i="1"/>
  <c r="G4859" i="1"/>
  <c r="H4859" i="1"/>
  <c r="J4859" i="1"/>
  <c r="K4859" i="1"/>
  <c r="L4859" i="1"/>
  <c r="A4860" i="1"/>
  <c r="B4860" i="1"/>
  <c r="C4860" i="1"/>
  <c r="D4860" i="1"/>
  <c r="Q4860" i="1"/>
  <c r="R4860" i="1"/>
  <c r="E4860" i="1"/>
  <c r="G4860" i="1"/>
  <c r="H4860" i="1"/>
  <c r="J4860" i="1"/>
  <c r="K4860" i="1"/>
  <c r="L4860" i="1"/>
  <c r="A4861" i="1"/>
  <c r="B4861" i="1"/>
  <c r="C4861" i="1"/>
  <c r="D4861" i="1"/>
  <c r="Q4861" i="1"/>
  <c r="R4861" i="1"/>
  <c r="E4861" i="1"/>
  <c r="G4861" i="1"/>
  <c r="H4861" i="1"/>
  <c r="J4861" i="1"/>
  <c r="K4861" i="1"/>
  <c r="L4861" i="1"/>
  <c r="A4862" i="1"/>
  <c r="B4862" i="1"/>
  <c r="C4862" i="1"/>
  <c r="D4862" i="1"/>
  <c r="Q4862" i="1"/>
  <c r="R4862" i="1"/>
  <c r="E4862" i="1"/>
  <c r="G4862" i="1"/>
  <c r="H4862" i="1"/>
  <c r="J4862" i="1"/>
  <c r="K4862" i="1"/>
  <c r="L4862" i="1"/>
  <c r="A4863" i="1"/>
  <c r="B4863" i="1"/>
  <c r="C4863" i="1"/>
  <c r="D4863" i="1"/>
  <c r="Q4863" i="1"/>
  <c r="R4863" i="1"/>
  <c r="E4863" i="1"/>
  <c r="G4863" i="1"/>
  <c r="H4863" i="1"/>
  <c r="J4863" i="1"/>
  <c r="K4863" i="1"/>
  <c r="L4863" i="1"/>
  <c r="A4864" i="1"/>
  <c r="B4864" i="1"/>
  <c r="C4864" i="1"/>
  <c r="D4864" i="1"/>
  <c r="Q4864" i="1"/>
  <c r="R4864" i="1"/>
  <c r="E4864" i="1"/>
  <c r="G4864" i="1"/>
  <c r="H4864" i="1"/>
  <c r="J4864" i="1"/>
  <c r="K4864" i="1"/>
  <c r="L4864" i="1"/>
  <c r="A4865" i="1"/>
  <c r="B4865" i="1"/>
  <c r="C4865" i="1"/>
  <c r="D4865" i="1"/>
  <c r="Q4865" i="1"/>
  <c r="R4865" i="1"/>
  <c r="E4865" i="1"/>
  <c r="G4865" i="1"/>
  <c r="H4865" i="1"/>
  <c r="J4865" i="1"/>
  <c r="K4865" i="1"/>
  <c r="L4865" i="1"/>
  <c r="A4866" i="1"/>
  <c r="B4866" i="1"/>
  <c r="C4866" i="1"/>
  <c r="D4866" i="1"/>
  <c r="Q4866" i="1"/>
  <c r="R4866" i="1"/>
  <c r="E4866" i="1"/>
  <c r="G4866" i="1"/>
  <c r="H4866" i="1"/>
  <c r="J4866" i="1"/>
  <c r="K4866" i="1"/>
  <c r="L4866" i="1"/>
  <c r="A4867" i="1"/>
  <c r="B4867" i="1"/>
  <c r="C4867" i="1"/>
  <c r="D4867" i="1"/>
  <c r="Q4867" i="1"/>
  <c r="R4867" i="1"/>
  <c r="E4867" i="1"/>
  <c r="G4867" i="1"/>
  <c r="H4867" i="1"/>
  <c r="J4867" i="1"/>
  <c r="K4867" i="1"/>
  <c r="L4867" i="1"/>
  <c r="A4868" i="1"/>
  <c r="B4868" i="1"/>
  <c r="C4868" i="1"/>
  <c r="D4868" i="1"/>
  <c r="Q4868" i="1"/>
  <c r="R4868" i="1"/>
  <c r="E4868" i="1"/>
  <c r="G4868" i="1"/>
  <c r="H4868" i="1"/>
  <c r="J4868" i="1"/>
  <c r="K4868" i="1"/>
  <c r="L4868" i="1"/>
  <c r="A4869" i="1"/>
  <c r="B4869" i="1"/>
  <c r="C4869" i="1"/>
  <c r="D4869" i="1"/>
  <c r="Q4869" i="1"/>
  <c r="R4869" i="1"/>
  <c r="E4869" i="1"/>
  <c r="G4869" i="1"/>
  <c r="H4869" i="1"/>
  <c r="J4869" i="1"/>
  <c r="K4869" i="1"/>
  <c r="L4869" i="1"/>
  <c r="A4870" i="1"/>
  <c r="B4870" i="1"/>
  <c r="C4870" i="1"/>
  <c r="D4870" i="1"/>
  <c r="Q4870" i="1"/>
  <c r="R4870" i="1"/>
  <c r="E4870" i="1"/>
  <c r="G4870" i="1"/>
  <c r="H4870" i="1"/>
  <c r="J4870" i="1"/>
  <c r="K4870" i="1"/>
  <c r="L4870" i="1"/>
  <c r="A4871" i="1"/>
  <c r="B4871" i="1"/>
  <c r="C4871" i="1"/>
  <c r="D4871" i="1"/>
  <c r="Q4871" i="1"/>
  <c r="R4871" i="1"/>
  <c r="E4871" i="1"/>
  <c r="G4871" i="1"/>
  <c r="H4871" i="1"/>
  <c r="J4871" i="1"/>
  <c r="K4871" i="1"/>
  <c r="L4871" i="1"/>
  <c r="A4872" i="1"/>
  <c r="B4872" i="1"/>
  <c r="C4872" i="1"/>
  <c r="D4872" i="1"/>
  <c r="Q4872" i="1"/>
  <c r="R4872" i="1"/>
  <c r="E4872" i="1"/>
  <c r="G4872" i="1"/>
  <c r="H4872" i="1"/>
  <c r="J4872" i="1"/>
  <c r="K4872" i="1"/>
  <c r="L4872" i="1"/>
  <c r="A4873" i="1"/>
  <c r="B4873" i="1"/>
  <c r="C4873" i="1"/>
  <c r="D4873" i="1"/>
  <c r="Q4873" i="1"/>
  <c r="R4873" i="1"/>
  <c r="E4873" i="1"/>
  <c r="G4873" i="1"/>
  <c r="H4873" i="1"/>
  <c r="J4873" i="1"/>
  <c r="K4873" i="1"/>
  <c r="L4873" i="1"/>
  <c r="A4874" i="1"/>
  <c r="B4874" i="1"/>
  <c r="C4874" i="1"/>
  <c r="D4874" i="1"/>
  <c r="Q4874" i="1"/>
  <c r="R4874" i="1"/>
  <c r="E4874" i="1"/>
  <c r="G4874" i="1"/>
  <c r="H4874" i="1"/>
  <c r="J4874" i="1"/>
  <c r="K4874" i="1"/>
  <c r="L4874" i="1"/>
  <c r="A4875" i="1"/>
  <c r="B4875" i="1"/>
  <c r="C4875" i="1"/>
  <c r="D4875" i="1"/>
  <c r="Q4875" i="1"/>
  <c r="R4875" i="1"/>
  <c r="E4875" i="1"/>
  <c r="G4875" i="1"/>
  <c r="H4875" i="1"/>
  <c r="J4875" i="1"/>
  <c r="K4875" i="1"/>
  <c r="L4875" i="1"/>
  <c r="A4876" i="1"/>
  <c r="B4876" i="1"/>
  <c r="C4876" i="1"/>
  <c r="D4876" i="1"/>
  <c r="Q4876" i="1"/>
  <c r="R4876" i="1"/>
  <c r="E4876" i="1"/>
  <c r="G4876" i="1"/>
  <c r="H4876" i="1"/>
  <c r="J4876" i="1"/>
  <c r="K4876" i="1"/>
  <c r="L4876" i="1"/>
  <c r="A4877" i="1"/>
  <c r="B4877" i="1"/>
  <c r="C4877" i="1"/>
  <c r="D4877" i="1"/>
  <c r="Q4877" i="1"/>
  <c r="R4877" i="1"/>
  <c r="E4877" i="1"/>
  <c r="G4877" i="1"/>
  <c r="H4877" i="1"/>
  <c r="J4877" i="1"/>
  <c r="K4877" i="1"/>
  <c r="L4877" i="1"/>
  <c r="A4878" i="1"/>
  <c r="B4878" i="1"/>
  <c r="C4878" i="1"/>
  <c r="D4878" i="1"/>
  <c r="Q4878" i="1"/>
  <c r="R4878" i="1"/>
  <c r="E4878" i="1"/>
  <c r="G4878" i="1"/>
  <c r="H4878" i="1"/>
  <c r="J4878" i="1"/>
  <c r="K4878" i="1"/>
  <c r="L4878" i="1"/>
  <c r="A4879" i="1"/>
  <c r="B4879" i="1"/>
  <c r="C4879" i="1"/>
  <c r="D4879" i="1"/>
  <c r="Q4879" i="1"/>
  <c r="R4879" i="1"/>
  <c r="E4879" i="1"/>
  <c r="G4879" i="1"/>
  <c r="H4879" i="1"/>
  <c r="J4879" i="1"/>
  <c r="K4879" i="1"/>
  <c r="L4879" i="1"/>
  <c r="A4880" i="1"/>
  <c r="B4880" i="1"/>
  <c r="C4880" i="1"/>
  <c r="D4880" i="1"/>
  <c r="Q4880" i="1"/>
  <c r="R4880" i="1"/>
  <c r="E4880" i="1"/>
  <c r="G4880" i="1"/>
  <c r="H4880" i="1"/>
  <c r="J4880" i="1"/>
  <c r="K4880" i="1"/>
  <c r="L4880" i="1"/>
  <c r="A4881" i="1"/>
  <c r="B4881" i="1"/>
  <c r="C4881" i="1"/>
  <c r="D4881" i="1"/>
  <c r="Q4881" i="1"/>
  <c r="R4881" i="1"/>
  <c r="E4881" i="1"/>
  <c r="G4881" i="1"/>
  <c r="H4881" i="1"/>
  <c r="J4881" i="1"/>
  <c r="K4881" i="1"/>
  <c r="L4881" i="1"/>
  <c r="A4882" i="1"/>
  <c r="B4882" i="1"/>
  <c r="C4882" i="1"/>
  <c r="D4882" i="1"/>
  <c r="Q4882" i="1"/>
  <c r="R4882" i="1"/>
  <c r="E4882" i="1"/>
  <c r="G4882" i="1"/>
  <c r="H4882" i="1"/>
  <c r="J4882" i="1"/>
  <c r="K4882" i="1"/>
  <c r="L4882" i="1"/>
  <c r="A4883" i="1"/>
  <c r="B4883" i="1"/>
  <c r="C4883" i="1"/>
  <c r="D4883" i="1"/>
  <c r="Q4883" i="1"/>
  <c r="R4883" i="1"/>
  <c r="E4883" i="1"/>
  <c r="G4883" i="1"/>
  <c r="H4883" i="1"/>
  <c r="J4883" i="1"/>
  <c r="K4883" i="1"/>
  <c r="L4883" i="1"/>
  <c r="A4884" i="1"/>
  <c r="B4884" i="1"/>
  <c r="C4884" i="1"/>
  <c r="D4884" i="1"/>
  <c r="Q4884" i="1"/>
  <c r="R4884" i="1"/>
  <c r="E4884" i="1"/>
  <c r="G4884" i="1"/>
  <c r="H4884" i="1"/>
  <c r="J4884" i="1"/>
  <c r="K4884" i="1"/>
  <c r="L4884" i="1"/>
  <c r="A4885" i="1"/>
  <c r="B4885" i="1"/>
  <c r="C4885" i="1"/>
  <c r="D4885" i="1"/>
  <c r="Q4885" i="1"/>
  <c r="R4885" i="1"/>
  <c r="E4885" i="1"/>
  <c r="G4885" i="1"/>
  <c r="H4885" i="1"/>
  <c r="J4885" i="1"/>
  <c r="K4885" i="1"/>
  <c r="L4885" i="1"/>
  <c r="A4886" i="1"/>
  <c r="B4886" i="1"/>
  <c r="C4886" i="1"/>
  <c r="D4886" i="1"/>
  <c r="Q4886" i="1"/>
  <c r="R4886" i="1"/>
  <c r="E4886" i="1"/>
  <c r="G4886" i="1"/>
  <c r="H4886" i="1"/>
  <c r="J4886" i="1"/>
  <c r="K4886" i="1"/>
  <c r="L4886" i="1"/>
  <c r="A4887" i="1"/>
  <c r="B4887" i="1"/>
  <c r="C4887" i="1"/>
  <c r="D4887" i="1"/>
  <c r="Q4887" i="1"/>
  <c r="R4887" i="1"/>
  <c r="E4887" i="1"/>
  <c r="G4887" i="1"/>
  <c r="H4887" i="1"/>
  <c r="J4887" i="1"/>
  <c r="K4887" i="1"/>
  <c r="L4887" i="1"/>
  <c r="A4888" i="1"/>
  <c r="B4888" i="1"/>
  <c r="C4888" i="1"/>
  <c r="D4888" i="1"/>
  <c r="Q4888" i="1"/>
  <c r="R4888" i="1"/>
  <c r="E4888" i="1"/>
  <c r="G4888" i="1"/>
  <c r="H4888" i="1"/>
  <c r="J4888" i="1"/>
  <c r="K4888" i="1"/>
  <c r="L4888" i="1"/>
  <c r="A4889" i="1"/>
  <c r="B4889" i="1"/>
  <c r="C4889" i="1"/>
  <c r="D4889" i="1"/>
  <c r="Q4889" i="1"/>
  <c r="R4889" i="1"/>
  <c r="E4889" i="1"/>
  <c r="G4889" i="1"/>
  <c r="H4889" i="1"/>
  <c r="J4889" i="1"/>
  <c r="K4889" i="1"/>
  <c r="L4889" i="1"/>
  <c r="A4890" i="1"/>
  <c r="B4890" i="1"/>
  <c r="C4890" i="1"/>
  <c r="D4890" i="1"/>
  <c r="Q4890" i="1"/>
  <c r="R4890" i="1"/>
  <c r="E4890" i="1"/>
  <c r="G4890" i="1"/>
  <c r="H4890" i="1"/>
  <c r="J4890" i="1"/>
  <c r="K4890" i="1"/>
  <c r="L4890" i="1"/>
  <c r="A4891" i="1"/>
  <c r="B4891" i="1"/>
  <c r="C4891" i="1"/>
  <c r="D4891" i="1"/>
  <c r="Q4891" i="1"/>
  <c r="R4891" i="1"/>
  <c r="E4891" i="1"/>
  <c r="G4891" i="1"/>
  <c r="H4891" i="1"/>
  <c r="J4891" i="1"/>
  <c r="K4891" i="1"/>
  <c r="L4891" i="1"/>
  <c r="A4892" i="1"/>
  <c r="B4892" i="1"/>
  <c r="C4892" i="1"/>
  <c r="D4892" i="1"/>
  <c r="Q4892" i="1"/>
  <c r="R4892" i="1"/>
  <c r="E4892" i="1"/>
  <c r="G4892" i="1"/>
  <c r="H4892" i="1"/>
  <c r="J4892" i="1"/>
  <c r="K4892" i="1"/>
  <c r="L4892" i="1"/>
  <c r="A4893" i="1"/>
  <c r="B4893" i="1"/>
  <c r="C4893" i="1"/>
  <c r="D4893" i="1"/>
  <c r="Q4893" i="1"/>
  <c r="R4893" i="1"/>
  <c r="E4893" i="1"/>
  <c r="G4893" i="1"/>
  <c r="H4893" i="1"/>
  <c r="J4893" i="1"/>
  <c r="K4893" i="1"/>
  <c r="L4893" i="1"/>
  <c r="A4894" i="1"/>
  <c r="B4894" i="1"/>
  <c r="C4894" i="1"/>
  <c r="D4894" i="1"/>
  <c r="Q4894" i="1"/>
  <c r="R4894" i="1"/>
  <c r="E4894" i="1"/>
  <c r="G4894" i="1"/>
  <c r="H4894" i="1"/>
  <c r="J4894" i="1"/>
  <c r="K4894" i="1"/>
  <c r="L4894" i="1"/>
  <c r="A4895" i="1"/>
  <c r="B4895" i="1"/>
  <c r="C4895" i="1"/>
  <c r="D4895" i="1"/>
  <c r="Q4895" i="1"/>
  <c r="R4895" i="1"/>
  <c r="E4895" i="1"/>
  <c r="G4895" i="1"/>
  <c r="H4895" i="1"/>
  <c r="J4895" i="1"/>
  <c r="K4895" i="1"/>
  <c r="L4895" i="1"/>
  <c r="A4896" i="1"/>
  <c r="B4896" i="1"/>
  <c r="C4896" i="1"/>
  <c r="D4896" i="1"/>
  <c r="Q4896" i="1"/>
  <c r="R4896" i="1"/>
  <c r="E4896" i="1"/>
  <c r="G4896" i="1"/>
  <c r="H4896" i="1"/>
  <c r="J4896" i="1"/>
  <c r="K4896" i="1"/>
  <c r="L4896" i="1"/>
  <c r="A4897" i="1"/>
  <c r="B4897" i="1"/>
  <c r="C4897" i="1"/>
  <c r="D4897" i="1"/>
  <c r="Q4897" i="1"/>
  <c r="R4897" i="1"/>
  <c r="E4897" i="1"/>
  <c r="G4897" i="1"/>
  <c r="H4897" i="1"/>
  <c r="J4897" i="1"/>
  <c r="K4897" i="1"/>
  <c r="L4897" i="1"/>
  <c r="A4898" i="1"/>
  <c r="B4898" i="1"/>
  <c r="C4898" i="1"/>
  <c r="D4898" i="1"/>
  <c r="Q4898" i="1"/>
  <c r="R4898" i="1"/>
  <c r="E4898" i="1"/>
  <c r="G4898" i="1"/>
  <c r="H4898" i="1"/>
  <c r="J4898" i="1"/>
  <c r="K4898" i="1"/>
  <c r="L4898" i="1"/>
  <c r="A4899" i="1"/>
  <c r="B4899" i="1"/>
  <c r="C4899" i="1"/>
  <c r="D4899" i="1"/>
  <c r="Q4899" i="1"/>
  <c r="R4899" i="1"/>
  <c r="E4899" i="1"/>
  <c r="G4899" i="1"/>
  <c r="H4899" i="1"/>
  <c r="J4899" i="1"/>
  <c r="K4899" i="1"/>
  <c r="L4899" i="1"/>
  <c r="A4900" i="1"/>
  <c r="B4900" i="1"/>
  <c r="C4900" i="1"/>
  <c r="D4900" i="1"/>
  <c r="Q4900" i="1"/>
  <c r="R4900" i="1"/>
  <c r="E4900" i="1"/>
  <c r="G4900" i="1"/>
  <c r="H4900" i="1"/>
  <c r="J4900" i="1"/>
  <c r="K4900" i="1"/>
  <c r="L4900" i="1"/>
  <c r="A4901" i="1"/>
  <c r="B4901" i="1"/>
  <c r="C4901" i="1"/>
  <c r="D4901" i="1"/>
  <c r="Q4901" i="1"/>
  <c r="R4901" i="1"/>
  <c r="E4901" i="1"/>
  <c r="G4901" i="1"/>
  <c r="H4901" i="1"/>
  <c r="J4901" i="1"/>
  <c r="K4901" i="1"/>
  <c r="L4901" i="1"/>
  <c r="A4902" i="1"/>
  <c r="B4902" i="1"/>
  <c r="C4902" i="1"/>
  <c r="D4902" i="1"/>
  <c r="Q4902" i="1"/>
  <c r="R4902" i="1"/>
  <c r="E4902" i="1"/>
  <c r="G4902" i="1"/>
  <c r="H4902" i="1"/>
  <c r="J4902" i="1"/>
  <c r="K4902" i="1"/>
  <c r="L4902" i="1"/>
  <c r="A4903" i="1"/>
  <c r="B4903" i="1"/>
  <c r="C4903" i="1"/>
  <c r="D4903" i="1"/>
  <c r="Q4903" i="1"/>
  <c r="R4903" i="1"/>
  <c r="E4903" i="1"/>
  <c r="G4903" i="1"/>
  <c r="H4903" i="1"/>
  <c r="J4903" i="1"/>
  <c r="K4903" i="1"/>
  <c r="L4903" i="1"/>
  <c r="A4904" i="1"/>
  <c r="B4904" i="1"/>
  <c r="C4904" i="1"/>
  <c r="D4904" i="1"/>
  <c r="Q4904" i="1"/>
  <c r="R4904" i="1"/>
  <c r="E4904" i="1"/>
  <c r="G4904" i="1"/>
  <c r="H4904" i="1"/>
  <c r="J4904" i="1"/>
  <c r="K4904" i="1"/>
  <c r="L4904" i="1"/>
  <c r="A4905" i="1"/>
  <c r="B4905" i="1"/>
  <c r="C4905" i="1"/>
  <c r="D4905" i="1"/>
  <c r="Q4905" i="1"/>
  <c r="R4905" i="1"/>
  <c r="E4905" i="1"/>
  <c r="G4905" i="1"/>
  <c r="H4905" i="1"/>
  <c r="J4905" i="1"/>
  <c r="K4905" i="1"/>
  <c r="L4905" i="1"/>
  <c r="A4906" i="1"/>
  <c r="B4906" i="1"/>
  <c r="C4906" i="1"/>
  <c r="D4906" i="1"/>
  <c r="Q4906" i="1"/>
  <c r="R4906" i="1"/>
  <c r="E4906" i="1"/>
  <c r="G4906" i="1"/>
  <c r="H4906" i="1"/>
  <c r="J4906" i="1"/>
  <c r="K4906" i="1"/>
  <c r="L4906" i="1"/>
  <c r="A4907" i="1"/>
  <c r="B4907" i="1"/>
  <c r="C4907" i="1"/>
  <c r="D4907" i="1"/>
  <c r="Q4907" i="1"/>
  <c r="R4907" i="1"/>
  <c r="E4907" i="1"/>
  <c r="G4907" i="1"/>
  <c r="H4907" i="1"/>
  <c r="J4907" i="1"/>
  <c r="K4907" i="1"/>
  <c r="L4907" i="1"/>
  <c r="A4908" i="1"/>
  <c r="B4908" i="1"/>
  <c r="C4908" i="1"/>
  <c r="D4908" i="1"/>
  <c r="Q4908" i="1"/>
  <c r="R4908" i="1"/>
  <c r="E4908" i="1"/>
  <c r="G4908" i="1"/>
  <c r="H4908" i="1"/>
  <c r="J4908" i="1"/>
  <c r="K4908" i="1"/>
  <c r="L4908" i="1"/>
  <c r="A4909" i="1"/>
  <c r="B4909" i="1"/>
  <c r="C4909" i="1"/>
  <c r="D4909" i="1"/>
  <c r="Q4909" i="1"/>
  <c r="R4909" i="1"/>
  <c r="E4909" i="1"/>
  <c r="G4909" i="1"/>
  <c r="H4909" i="1"/>
  <c r="J4909" i="1"/>
  <c r="K4909" i="1"/>
  <c r="L4909" i="1"/>
  <c r="A4910" i="1"/>
  <c r="B4910" i="1"/>
  <c r="C4910" i="1"/>
  <c r="D4910" i="1"/>
  <c r="Q4910" i="1"/>
  <c r="R4910" i="1"/>
  <c r="E4910" i="1"/>
  <c r="G4910" i="1"/>
  <c r="H4910" i="1"/>
  <c r="J4910" i="1"/>
  <c r="K4910" i="1"/>
  <c r="L4910" i="1"/>
  <c r="A4911" i="1"/>
  <c r="B4911" i="1"/>
  <c r="C4911" i="1"/>
  <c r="D4911" i="1"/>
  <c r="Q4911" i="1"/>
  <c r="R4911" i="1"/>
  <c r="E4911" i="1"/>
  <c r="G4911" i="1"/>
  <c r="H4911" i="1"/>
  <c r="J4911" i="1"/>
  <c r="K4911" i="1"/>
  <c r="L4911" i="1"/>
  <c r="A4912" i="1"/>
  <c r="B4912" i="1"/>
  <c r="C4912" i="1"/>
  <c r="D4912" i="1"/>
  <c r="Q4912" i="1"/>
  <c r="R4912" i="1"/>
  <c r="E4912" i="1"/>
  <c r="G4912" i="1"/>
  <c r="H4912" i="1"/>
  <c r="J4912" i="1"/>
  <c r="K4912" i="1"/>
  <c r="L4912" i="1"/>
  <c r="A4913" i="1"/>
  <c r="B4913" i="1"/>
  <c r="C4913" i="1"/>
  <c r="D4913" i="1"/>
  <c r="Q4913" i="1"/>
  <c r="R4913" i="1"/>
  <c r="E4913" i="1"/>
  <c r="G4913" i="1"/>
  <c r="H4913" i="1"/>
  <c r="J4913" i="1"/>
  <c r="K4913" i="1"/>
  <c r="L4913" i="1"/>
  <c r="A4914" i="1"/>
  <c r="B4914" i="1"/>
  <c r="C4914" i="1"/>
  <c r="D4914" i="1"/>
  <c r="Q4914" i="1"/>
  <c r="R4914" i="1"/>
  <c r="E4914" i="1"/>
  <c r="G4914" i="1"/>
  <c r="H4914" i="1"/>
  <c r="J4914" i="1"/>
  <c r="K4914" i="1"/>
  <c r="L4914" i="1"/>
  <c r="A4915" i="1"/>
  <c r="B4915" i="1"/>
  <c r="C4915" i="1"/>
  <c r="D4915" i="1"/>
  <c r="Q4915" i="1"/>
  <c r="R4915" i="1"/>
  <c r="E4915" i="1"/>
  <c r="G4915" i="1"/>
  <c r="H4915" i="1"/>
  <c r="J4915" i="1"/>
  <c r="K4915" i="1"/>
  <c r="L4915" i="1"/>
  <c r="A4916" i="1"/>
  <c r="B4916" i="1"/>
  <c r="C4916" i="1"/>
  <c r="D4916" i="1"/>
  <c r="Q4916" i="1"/>
  <c r="R4916" i="1"/>
  <c r="E4916" i="1"/>
  <c r="G4916" i="1"/>
  <c r="H4916" i="1"/>
  <c r="J4916" i="1"/>
  <c r="K4916" i="1"/>
  <c r="L4916" i="1"/>
  <c r="A4917" i="1"/>
  <c r="B4917" i="1"/>
  <c r="C4917" i="1"/>
  <c r="D4917" i="1"/>
  <c r="Q4917" i="1"/>
  <c r="R4917" i="1"/>
  <c r="E4917" i="1"/>
  <c r="G4917" i="1"/>
  <c r="H4917" i="1"/>
  <c r="J4917" i="1"/>
  <c r="K4917" i="1"/>
  <c r="L4917" i="1"/>
  <c r="A4918" i="1"/>
  <c r="B4918" i="1"/>
  <c r="C4918" i="1"/>
  <c r="D4918" i="1"/>
  <c r="Q4918" i="1"/>
  <c r="R4918" i="1"/>
  <c r="E4918" i="1"/>
  <c r="G4918" i="1"/>
  <c r="H4918" i="1"/>
  <c r="J4918" i="1"/>
  <c r="K4918" i="1"/>
  <c r="L4918" i="1"/>
  <c r="A4919" i="1"/>
  <c r="B4919" i="1"/>
  <c r="C4919" i="1"/>
  <c r="D4919" i="1"/>
  <c r="Q4919" i="1"/>
  <c r="R4919" i="1"/>
  <c r="E4919" i="1"/>
  <c r="G4919" i="1"/>
  <c r="H4919" i="1"/>
  <c r="J4919" i="1"/>
  <c r="K4919" i="1"/>
  <c r="L4919" i="1"/>
  <c r="A4920" i="1"/>
  <c r="B4920" i="1"/>
  <c r="C4920" i="1"/>
  <c r="D4920" i="1"/>
  <c r="Q4920" i="1"/>
  <c r="R4920" i="1"/>
  <c r="E4920" i="1"/>
  <c r="G4920" i="1"/>
  <c r="H4920" i="1"/>
  <c r="J4920" i="1"/>
  <c r="K4920" i="1"/>
  <c r="L4920" i="1"/>
  <c r="A4921" i="1"/>
  <c r="B4921" i="1"/>
  <c r="C4921" i="1"/>
  <c r="D4921" i="1"/>
  <c r="Q4921" i="1"/>
  <c r="R4921" i="1"/>
  <c r="E4921" i="1"/>
  <c r="G4921" i="1"/>
  <c r="H4921" i="1"/>
  <c r="J4921" i="1"/>
  <c r="K4921" i="1"/>
  <c r="L4921" i="1"/>
  <c r="A4922" i="1"/>
  <c r="B4922" i="1"/>
  <c r="C4922" i="1"/>
  <c r="D4922" i="1"/>
  <c r="Q4922" i="1"/>
  <c r="R4922" i="1"/>
  <c r="E4922" i="1"/>
  <c r="G4922" i="1"/>
  <c r="H4922" i="1"/>
  <c r="J4922" i="1"/>
  <c r="K4922" i="1"/>
  <c r="L4922" i="1"/>
  <c r="A4923" i="1"/>
  <c r="B4923" i="1"/>
  <c r="C4923" i="1"/>
  <c r="D4923" i="1"/>
  <c r="Q4923" i="1"/>
  <c r="R4923" i="1"/>
  <c r="E4923" i="1"/>
  <c r="G4923" i="1"/>
  <c r="H4923" i="1"/>
  <c r="J4923" i="1"/>
  <c r="K4923" i="1"/>
  <c r="L4923" i="1"/>
  <c r="A4924" i="1"/>
  <c r="B4924" i="1"/>
  <c r="C4924" i="1"/>
  <c r="D4924" i="1"/>
  <c r="Q4924" i="1"/>
  <c r="R4924" i="1"/>
  <c r="E4924" i="1"/>
  <c r="G4924" i="1"/>
  <c r="H4924" i="1"/>
  <c r="J4924" i="1"/>
  <c r="K4924" i="1"/>
  <c r="L4924" i="1"/>
  <c r="A4925" i="1"/>
  <c r="B4925" i="1"/>
  <c r="C4925" i="1"/>
  <c r="D4925" i="1"/>
  <c r="Q4925" i="1"/>
  <c r="R4925" i="1"/>
  <c r="E4925" i="1"/>
  <c r="G4925" i="1"/>
  <c r="H4925" i="1"/>
  <c r="J4925" i="1"/>
  <c r="K4925" i="1"/>
  <c r="L4925" i="1"/>
  <c r="A4926" i="1"/>
  <c r="B4926" i="1"/>
  <c r="C4926" i="1"/>
  <c r="D4926" i="1"/>
  <c r="Q4926" i="1"/>
  <c r="R4926" i="1"/>
  <c r="E4926" i="1"/>
  <c r="G4926" i="1"/>
  <c r="H4926" i="1"/>
  <c r="J4926" i="1"/>
  <c r="K4926" i="1"/>
  <c r="L4926" i="1"/>
  <c r="A4927" i="1"/>
  <c r="B4927" i="1"/>
  <c r="C4927" i="1"/>
  <c r="D4927" i="1"/>
  <c r="Q4927" i="1"/>
  <c r="R4927" i="1"/>
  <c r="E4927" i="1"/>
  <c r="G4927" i="1"/>
  <c r="H4927" i="1"/>
  <c r="J4927" i="1"/>
  <c r="K4927" i="1"/>
  <c r="L4927" i="1"/>
  <c r="A4928" i="1"/>
  <c r="B4928" i="1"/>
  <c r="C4928" i="1"/>
  <c r="D4928" i="1"/>
  <c r="Q4928" i="1"/>
  <c r="R4928" i="1"/>
  <c r="E4928" i="1"/>
  <c r="G4928" i="1"/>
  <c r="H4928" i="1"/>
  <c r="J4928" i="1"/>
  <c r="K4928" i="1"/>
  <c r="L4928" i="1"/>
  <c r="A4929" i="1"/>
  <c r="B4929" i="1"/>
  <c r="C4929" i="1"/>
  <c r="D4929" i="1"/>
  <c r="Q4929" i="1"/>
  <c r="R4929" i="1"/>
  <c r="E4929" i="1"/>
  <c r="G4929" i="1"/>
  <c r="H4929" i="1"/>
  <c r="J4929" i="1"/>
  <c r="K4929" i="1"/>
  <c r="L4929" i="1"/>
  <c r="A4930" i="1"/>
  <c r="B4930" i="1"/>
  <c r="C4930" i="1"/>
  <c r="D4930" i="1"/>
  <c r="Q4930" i="1"/>
  <c r="R4930" i="1"/>
  <c r="E4930" i="1"/>
  <c r="G4930" i="1"/>
  <c r="H4930" i="1"/>
  <c r="J4930" i="1"/>
  <c r="K4930" i="1"/>
  <c r="L4930" i="1"/>
  <c r="A4931" i="1"/>
  <c r="B4931" i="1"/>
  <c r="C4931" i="1"/>
  <c r="D4931" i="1"/>
  <c r="Q4931" i="1"/>
  <c r="R4931" i="1"/>
  <c r="E4931" i="1"/>
  <c r="G4931" i="1"/>
  <c r="H4931" i="1"/>
  <c r="J4931" i="1"/>
  <c r="K4931" i="1"/>
  <c r="L4931" i="1"/>
  <c r="A4932" i="1"/>
  <c r="B4932" i="1"/>
  <c r="C4932" i="1"/>
  <c r="D4932" i="1"/>
  <c r="Q4932" i="1"/>
  <c r="R4932" i="1"/>
  <c r="E4932" i="1"/>
  <c r="G4932" i="1"/>
  <c r="H4932" i="1"/>
  <c r="J4932" i="1"/>
  <c r="K4932" i="1"/>
  <c r="L4932" i="1"/>
  <c r="A4933" i="1"/>
  <c r="B4933" i="1"/>
  <c r="C4933" i="1"/>
  <c r="D4933" i="1"/>
  <c r="Q4933" i="1"/>
  <c r="R4933" i="1"/>
  <c r="E4933" i="1"/>
  <c r="G4933" i="1"/>
  <c r="H4933" i="1"/>
  <c r="J4933" i="1"/>
  <c r="K4933" i="1"/>
  <c r="L4933" i="1"/>
  <c r="A4934" i="1"/>
  <c r="B4934" i="1"/>
  <c r="C4934" i="1"/>
  <c r="D4934" i="1"/>
  <c r="Q4934" i="1"/>
  <c r="R4934" i="1"/>
  <c r="E4934" i="1"/>
  <c r="G4934" i="1"/>
  <c r="H4934" i="1"/>
  <c r="J4934" i="1"/>
  <c r="K4934" i="1"/>
  <c r="L4934" i="1"/>
  <c r="A4935" i="1"/>
  <c r="B4935" i="1"/>
  <c r="C4935" i="1"/>
  <c r="D4935" i="1"/>
  <c r="Q4935" i="1"/>
  <c r="R4935" i="1"/>
  <c r="E4935" i="1"/>
  <c r="G4935" i="1"/>
  <c r="H4935" i="1"/>
  <c r="J4935" i="1"/>
  <c r="K4935" i="1"/>
  <c r="L4935" i="1"/>
  <c r="A4936" i="1"/>
  <c r="B4936" i="1"/>
  <c r="C4936" i="1"/>
  <c r="D4936" i="1"/>
  <c r="Q4936" i="1"/>
  <c r="R4936" i="1"/>
  <c r="E4936" i="1"/>
  <c r="G4936" i="1"/>
  <c r="H4936" i="1"/>
  <c r="J4936" i="1"/>
  <c r="K4936" i="1"/>
  <c r="L4936" i="1"/>
  <c r="A4937" i="1"/>
  <c r="B4937" i="1"/>
  <c r="C4937" i="1"/>
  <c r="D4937" i="1"/>
  <c r="Q4937" i="1"/>
  <c r="R4937" i="1"/>
  <c r="E4937" i="1"/>
  <c r="G4937" i="1"/>
  <c r="H4937" i="1"/>
  <c r="J4937" i="1"/>
  <c r="K4937" i="1"/>
  <c r="L4937" i="1"/>
  <c r="A4938" i="1"/>
  <c r="B4938" i="1"/>
  <c r="C4938" i="1"/>
  <c r="D4938" i="1"/>
  <c r="Q4938" i="1"/>
  <c r="R4938" i="1"/>
  <c r="E4938" i="1"/>
  <c r="G4938" i="1"/>
  <c r="H4938" i="1"/>
  <c r="J4938" i="1"/>
  <c r="K4938" i="1"/>
  <c r="L4938" i="1"/>
  <c r="A4939" i="1"/>
  <c r="B4939" i="1"/>
  <c r="C4939" i="1"/>
  <c r="D4939" i="1"/>
  <c r="Q4939" i="1"/>
  <c r="R4939" i="1"/>
  <c r="E4939" i="1"/>
  <c r="G4939" i="1"/>
  <c r="H4939" i="1"/>
  <c r="J4939" i="1"/>
  <c r="K4939" i="1"/>
  <c r="L4939" i="1"/>
  <c r="A4940" i="1"/>
  <c r="B4940" i="1"/>
  <c r="C4940" i="1"/>
  <c r="D4940" i="1"/>
  <c r="Q4940" i="1"/>
  <c r="R4940" i="1"/>
  <c r="E4940" i="1"/>
  <c r="G4940" i="1"/>
  <c r="H4940" i="1"/>
  <c r="J4940" i="1"/>
  <c r="K4940" i="1"/>
  <c r="L4940" i="1"/>
  <c r="A4941" i="1"/>
  <c r="B4941" i="1"/>
  <c r="C4941" i="1"/>
  <c r="D4941" i="1"/>
  <c r="Q4941" i="1"/>
  <c r="R4941" i="1"/>
  <c r="E4941" i="1"/>
  <c r="G4941" i="1"/>
  <c r="H4941" i="1"/>
  <c r="J4941" i="1"/>
  <c r="K4941" i="1"/>
  <c r="L4941" i="1"/>
  <c r="A4942" i="1"/>
  <c r="B4942" i="1"/>
  <c r="C4942" i="1"/>
  <c r="D4942" i="1"/>
  <c r="Q4942" i="1"/>
  <c r="R4942" i="1"/>
  <c r="E4942" i="1"/>
  <c r="G4942" i="1"/>
  <c r="H4942" i="1"/>
  <c r="J4942" i="1"/>
  <c r="K4942" i="1"/>
  <c r="L4942" i="1"/>
  <c r="A4943" i="1"/>
  <c r="B4943" i="1"/>
  <c r="C4943" i="1"/>
  <c r="D4943" i="1"/>
  <c r="Q4943" i="1"/>
  <c r="R4943" i="1"/>
  <c r="E4943" i="1"/>
  <c r="G4943" i="1"/>
  <c r="H4943" i="1"/>
  <c r="J4943" i="1"/>
  <c r="K4943" i="1"/>
  <c r="L4943" i="1"/>
  <c r="A4944" i="1"/>
  <c r="B4944" i="1"/>
  <c r="C4944" i="1"/>
  <c r="D4944" i="1"/>
  <c r="Q4944" i="1"/>
  <c r="R4944" i="1"/>
  <c r="E4944" i="1"/>
  <c r="G4944" i="1"/>
  <c r="H4944" i="1"/>
  <c r="J4944" i="1"/>
  <c r="K4944" i="1"/>
  <c r="L4944" i="1"/>
  <c r="A4945" i="1"/>
  <c r="B4945" i="1"/>
  <c r="C4945" i="1"/>
  <c r="D4945" i="1"/>
  <c r="Q4945" i="1"/>
  <c r="R4945" i="1"/>
  <c r="E4945" i="1"/>
  <c r="G4945" i="1"/>
  <c r="H4945" i="1"/>
  <c r="J4945" i="1"/>
  <c r="K4945" i="1"/>
  <c r="L4945" i="1"/>
  <c r="A4946" i="1"/>
  <c r="B4946" i="1"/>
  <c r="C4946" i="1"/>
  <c r="D4946" i="1"/>
  <c r="Q4946" i="1"/>
  <c r="R4946" i="1"/>
  <c r="E4946" i="1"/>
  <c r="G4946" i="1"/>
  <c r="H4946" i="1"/>
  <c r="J4946" i="1"/>
  <c r="K4946" i="1"/>
  <c r="L4946" i="1"/>
  <c r="A4947" i="1"/>
  <c r="B4947" i="1"/>
  <c r="C4947" i="1"/>
  <c r="D4947" i="1"/>
  <c r="Q4947" i="1"/>
  <c r="R4947" i="1"/>
  <c r="E4947" i="1"/>
  <c r="G4947" i="1"/>
  <c r="H4947" i="1"/>
  <c r="J4947" i="1"/>
  <c r="K4947" i="1"/>
  <c r="L4947" i="1"/>
  <c r="A4948" i="1"/>
  <c r="B4948" i="1"/>
  <c r="C4948" i="1"/>
  <c r="D4948" i="1"/>
  <c r="Q4948" i="1"/>
  <c r="R4948" i="1"/>
  <c r="E4948" i="1"/>
  <c r="G4948" i="1"/>
  <c r="H4948" i="1"/>
  <c r="J4948" i="1"/>
  <c r="K4948" i="1"/>
  <c r="L4948" i="1"/>
  <c r="A4949" i="1"/>
  <c r="B4949" i="1"/>
  <c r="C4949" i="1"/>
  <c r="D4949" i="1"/>
  <c r="Q4949" i="1"/>
  <c r="R4949" i="1"/>
  <c r="E4949" i="1"/>
  <c r="G4949" i="1"/>
  <c r="H4949" i="1"/>
  <c r="J4949" i="1"/>
  <c r="K4949" i="1"/>
  <c r="L4949" i="1"/>
  <c r="A4950" i="1"/>
  <c r="B4950" i="1"/>
  <c r="C4950" i="1"/>
  <c r="D4950" i="1"/>
  <c r="Q4950" i="1"/>
  <c r="R4950" i="1"/>
  <c r="E4950" i="1"/>
  <c r="G4950" i="1"/>
  <c r="H4950" i="1"/>
  <c r="J4950" i="1"/>
  <c r="K4950" i="1"/>
  <c r="L4950" i="1"/>
  <c r="A4951" i="1"/>
  <c r="B4951" i="1"/>
  <c r="C4951" i="1"/>
  <c r="D4951" i="1"/>
  <c r="Q4951" i="1"/>
  <c r="R4951" i="1"/>
  <c r="E4951" i="1"/>
  <c r="G4951" i="1"/>
  <c r="H4951" i="1"/>
  <c r="J4951" i="1"/>
  <c r="K4951" i="1"/>
  <c r="L4951" i="1"/>
  <c r="A4952" i="1"/>
  <c r="B4952" i="1"/>
  <c r="C4952" i="1"/>
  <c r="D4952" i="1"/>
  <c r="Q4952" i="1"/>
  <c r="R4952" i="1"/>
  <c r="E4952" i="1"/>
  <c r="G4952" i="1"/>
  <c r="H4952" i="1"/>
  <c r="J4952" i="1"/>
  <c r="K4952" i="1"/>
  <c r="L4952" i="1"/>
  <c r="A4953" i="1"/>
  <c r="B4953" i="1"/>
  <c r="C4953" i="1"/>
  <c r="D4953" i="1"/>
  <c r="Q4953" i="1"/>
  <c r="R4953" i="1"/>
  <c r="E4953" i="1"/>
  <c r="G4953" i="1"/>
  <c r="H4953" i="1"/>
  <c r="J4953" i="1"/>
  <c r="K4953" i="1"/>
  <c r="L4953" i="1"/>
  <c r="A4954" i="1"/>
  <c r="B4954" i="1"/>
  <c r="C4954" i="1"/>
  <c r="D4954" i="1"/>
  <c r="Q4954" i="1"/>
  <c r="R4954" i="1"/>
  <c r="E4954" i="1"/>
  <c r="G4954" i="1"/>
  <c r="H4954" i="1"/>
  <c r="J4954" i="1"/>
  <c r="K4954" i="1"/>
  <c r="L4954" i="1"/>
  <c r="A4955" i="1"/>
  <c r="B4955" i="1"/>
  <c r="C4955" i="1"/>
  <c r="D4955" i="1"/>
  <c r="Q4955" i="1"/>
  <c r="R4955" i="1"/>
  <c r="E4955" i="1"/>
  <c r="G4955" i="1"/>
  <c r="H4955" i="1"/>
  <c r="J4955" i="1"/>
  <c r="K4955" i="1"/>
  <c r="L4955" i="1"/>
  <c r="A4956" i="1"/>
  <c r="B4956" i="1"/>
  <c r="C4956" i="1"/>
  <c r="D4956" i="1"/>
  <c r="Q4956" i="1"/>
  <c r="R4956" i="1"/>
  <c r="E4956" i="1"/>
  <c r="G4956" i="1"/>
  <c r="H4956" i="1"/>
  <c r="J4956" i="1"/>
  <c r="K4956" i="1"/>
  <c r="L4956" i="1"/>
  <c r="A4957" i="1"/>
  <c r="B4957" i="1"/>
  <c r="C4957" i="1"/>
  <c r="D4957" i="1"/>
  <c r="Q4957" i="1"/>
  <c r="R4957" i="1"/>
  <c r="E4957" i="1"/>
  <c r="G4957" i="1"/>
  <c r="H4957" i="1"/>
  <c r="J4957" i="1"/>
  <c r="K4957" i="1"/>
  <c r="L4957" i="1"/>
  <c r="A4958" i="1"/>
  <c r="B4958" i="1"/>
  <c r="C4958" i="1"/>
  <c r="D4958" i="1"/>
  <c r="Q4958" i="1"/>
  <c r="R4958" i="1"/>
  <c r="E4958" i="1"/>
  <c r="G4958" i="1"/>
  <c r="H4958" i="1"/>
  <c r="J4958" i="1"/>
  <c r="K4958" i="1"/>
  <c r="L4958" i="1"/>
  <c r="A4959" i="1"/>
  <c r="B4959" i="1"/>
  <c r="C4959" i="1"/>
  <c r="D4959" i="1"/>
  <c r="Q4959" i="1"/>
  <c r="R4959" i="1"/>
  <c r="E4959" i="1"/>
  <c r="G4959" i="1"/>
  <c r="H4959" i="1"/>
  <c r="J4959" i="1"/>
  <c r="K4959" i="1"/>
  <c r="L4959" i="1"/>
  <c r="A4960" i="1"/>
  <c r="B4960" i="1"/>
  <c r="C4960" i="1"/>
  <c r="D4960" i="1"/>
  <c r="Q4960" i="1"/>
  <c r="R4960" i="1"/>
  <c r="E4960" i="1"/>
  <c r="G4960" i="1"/>
  <c r="H4960" i="1"/>
  <c r="J4960" i="1"/>
  <c r="K4960" i="1"/>
  <c r="L4960" i="1"/>
  <c r="A4961" i="1"/>
  <c r="B4961" i="1"/>
  <c r="C4961" i="1"/>
  <c r="D4961" i="1"/>
  <c r="Q4961" i="1"/>
  <c r="R4961" i="1"/>
  <c r="E4961" i="1"/>
  <c r="G4961" i="1"/>
  <c r="H4961" i="1"/>
  <c r="J4961" i="1"/>
  <c r="K4961" i="1"/>
  <c r="L4961" i="1"/>
  <c r="A4962" i="1"/>
  <c r="B4962" i="1"/>
  <c r="C4962" i="1"/>
  <c r="D4962" i="1"/>
  <c r="Q4962" i="1"/>
  <c r="R4962" i="1"/>
  <c r="E4962" i="1"/>
  <c r="G4962" i="1"/>
  <c r="H4962" i="1"/>
  <c r="J4962" i="1"/>
  <c r="K4962" i="1"/>
  <c r="L4962" i="1"/>
  <c r="A4963" i="1"/>
  <c r="B4963" i="1"/>
  <c r="C4963" i="1"/>
  <c r="D4963" i="1"/>
  <c r="Q4963" i="1"/>
  <c r="R4963" i="1"/>
  <c r="E4963" i="1"/>
  <c r="G4963" i="1"/>
  <c r="H4963" i="1"/>
  <c r="J4963" i="1"/>
  <c r="K4963" i="1"/>
  <c r="L4963" i="1"/>
  <c r="A4964" i="1"/>
  <c r="B4964" i="1"/>
  <c r="C4964" i="1"/>
  <c r="D4964" i="1"/>
  <c r="Q4964" i="1"/>
  <c r="R4964" i="1"/>
  <c r="E4964" i="1"/>
  <c r="G4964" i="1"/>
  <c r="H4964" i="1"/>
  <c r="J4964" i="1"/>
  <c r="K4964" i="1"/>
  <c r="L4964" i="1"/>
  <c r="A4965" i="1"/>
  <c r="B4965" i="1"/>
  <c r="C4965" i="1"/>
  <c r="D4965" i="1"/>
  <c r="Q4965" i="1"/>
  <c r="R4965" i="1"/>
  <c r="E4965" i="1"/>
  <c r="G4965" i="1"/>
  <c r="H4965" i="1"/>
  <c r="J4965" i="1"/>
  <c r="K4965" i="1"/>
  <c r="L4965" i="1"/>
  <c r="A4966" i="1"/>
  <c r="B4966" i="1"/>
  <c r="C4966" i="1"/>
  <c r="D4966" i="1"/>
  <c r="Q4966" i="1"/>
  <c r="R4966" i="1"/>
  <c r="E4966" i="1"/>
  <c r="G4966" i="1"/>
  <c r="H4966" i="1"/>
  <c r="J4966" i="1"/>
  <c r="K4966" i="1"/>
  <c r="L4966" i="1"/>
  <c r="A4967" i="1"/>
  <c r="B4967" i="1"/>
  <c r="C4967" i="1"/>
  <c r="D4967" i="1"/>
  <c r="Q4967" i="1"/>
  <c r="R4967" i="1"/>
  <c r="E4967" i="1"/>
  <c r="G4967" i="1"/>
  <c r="H4967" i="1"/>
  <c r="J4967" i="1"/>
  <c r="K4967" i="1"/>
  <c r="L4967" i="1"/>
  <c r="A4968" i="1"/>
  <c r="B4968" i="1"/>
  <c r="C4968" i="1"/>
  <c r="D4968" i="1"/>
  <c r="Q4968" i="1"/>
  <c r="R4968" i="1"/>
  <c r="E4968" i="1"/>
  <c r="G4968" i="1"/>
  <c r="H4968" i="1"/>
  <c r="J4968" i="1"/>
  <c r="K4968" i="1"/>
  <c r="L4968" i="1"/>
  <c r="A4969" i="1"/>
  <c r="B4969" i="1"/>
  <c r="C4969" i="1"/>
  <c r="D4969" i="1"/>
  <c r="Q4969" i="1"/>
  <c r="R4969" i="1"/>
  <c r="E4969" i="1"/>
  <c r="G4969" i="1"/>
  <c r="H4969" i="1"/>
  <c r="J4969" i="1"/>
  <c r="K4969" i="1"/>
  <c r="L4969" i="1"/>
  <c r="A4970" i="1"/>
  <c r="B4970" i="1"/>
  <c r="C4970" i="1"/>
  <c r="D4970" i="1"/>
  <c r="Q4970" i="1"/>
  <c r="R4970" i="1"/>
  <c r="E4970" i="1"/>
  <c r="G4970" i="1"/>
  <c r="H4970" i="1"/>
  <c r="J4970" i="1"/>
  <c r="K4970" i="1"/>
  <c r="L4970" i="1"/>
  <c r="A4971" i="1"/>
  <c r="B4971" i="1"/>
  <c r="C4971" i="1"/>
  <c r="D4971" i="1"/>
  <c r="Q4971" i="1"/>
  <c r="R4971" i="1"/>
  <c r="E4971" i="1"/>
  <c r="G4971" i="1"/>
  <c r="H4971" i="1"/>
  <c r="J4971" i="1"/>
  <c r="K4971" i="1"/>
  <c r="L4971" i="1"/>
  <c r="A4972" i="1"/>
  <c r="B4972" i="1"/>
  <c r="C4972" i="1"/>
  <c r="D4972" i="1"/>
  <c r="Q4972" i="1"/>
  <c r="R4972" i="1"/>
  <c r="E4972" i="1"/>
  <c r="G4972" i="1"/>
  <c r="H4972" i="1"/>
  <c r="J4972" i="1"/>
  <c r="K4972" i="1"/>
  <c r="L4972" i="1"/>
  <c r="A4973" i="1"/>
  <c r="B4973" i="1"/>
  <c r="C4973" i="1"/>
  <c r="D4973" i="1"/>
  <c r="Q4973" i="1"/>
  <c r="R4973" i="1"/>
  <c r="E4973" i="1"/>
  <c r="G4973" i="1"/>
  <c r="H4973" i="1"/>
  <c r="J4973" i="1"/>
  <c r="K4973" i="1"/>
  <c r="L4973" i="1"/>
  <c r="A4974" i="1"/>
  <c r="B4974" i="1"/>
  <c r="C4974" i="1"/>
  <c r="D4974" i="1"/>
  <c r="Q4974" i="1"/>
  <c r="R4974" i="1"/>
  <c r="E4974" i="1"/>
  <c r="G4974" i="1"/>
  <c r="H4974" i="1"/>
  <c r="J4974" i="1"/>
  <c r="K4974" i="1"/>
  <c r="L4974" i="1"/>
  <c r="A4975" i="1"/>
  <c r="B4975" i="1"/>
  <c r="C4975" i="1"/>
  <c r="D4975" i="1"/>
  <c r="Q4975" i="1"/>
  <c r="R4975" i="1"/>
  <c r="E4975" i="1"/>
  <c r="G4975" i="1"/>
  <c r="H4975" i="1"/>
  <c r="J4975" i="1"/>
  <c r="K4975" i="1"/>
  <c r="L4975" i="1"/>
  <c r="A4976" i="1"/>
  <c r="B4976" i="1"/>
  <c r="C4976" i="1"/>
  <c r="D4976" i="1"/>
  <c r="Q4976" i="1"/>
  <c r="R4976" i="1"/>
  <c r="E4976" i="1"/>
  <c r="G4976" i="1"/>
  <c r="H4976" i="1"/>
  <c r="J4976" i="1"/>
  <c r="K4976" i="1"/>
  <c r="L4976" i="1"/>
  <c r="A4977" i="1"/>
  <c r="B4977" i="1"/>
  <c r="C4977" i="1"/>
  <c r="D4977" i="1"/>
  <c r="Q4977" i="1"/>
  <c r="R4977" i="1"/>
  <c r="E4977" i="1"/>
  <c r="G4977" i="1"/>
  <c r="H4977" i="1"/>
  <c r="J4977" i="1"/>
  <c r="K4977" i="1"/>
  <c r="L4977" i="1"/>
  <c r="A4978" i="1"/>
  <c r="B4978" i="1"/>
  <c r="C4978" i="1"/>
  <c r="D4978" i="1"/>
  <c r="Q4978" i="1"/>
  <c r="R4978" i="1"/>
  <c r="E4978" i="1"/>
  <c r="G4978" i="1"/>
  <c r="H4978" i="1"/>
  <c r="J4978" i="1"/>
  <c r="K4978" i="1"/>
  <c r="L4978" i="1"/>
  <c r="A4979" i="1"/>
  <c r="B4979" i="1"/>
  <c r="C4979" i="1"/>
  <c r="D4979" i="1"/>
  <c r="Q4979" i="1"/>
  <c r="R4979" i="1"/>
  <c r="E4979" i="1"/>
  <c r="G4979" i="1"/>
  <c r="H4979" i="1"/>
  <c r="J4979" i="1"/>
  <c r="K4979" i="1"/>
  <c r="L4979" i="1"/>
  <c r="A4980" i="1"/>
  <c r="B4980" i="1"/>
  <c r="C4980" i="1"/>
  <c r="D4980" i="1"/>
  <c r="Q4980" i="1"/>
  <c r="R4980" i="1"/>
  <c r="E4980" i="1"/>
  <c r="G4980" i="1"/>
  <c r="H4980" i="1"/>
  <c r="J4980" i="1"/>
  <c r="K4980" i="1"/>
  <c r="L4980" i="1"/>
  <c r="A4981" i="1"/>
  <c r="B4981" i="1"/>
  <c r="C4981" i="1"/>
  <c r="D4981" i="1"/>
  <c r="Q4981" i="1"/>
  <c r="R4981" i="1"/>
  <c r="E4981" i="1"/>
  <c r="G4981" i="1"/>
  <c r="H4981" i="1"/>
  <c r="J4981" i="1"/>
  <c r="K4981" i="1"/>
  <c r="L4981" i="1"/>
  <c r="A4982" i="1"/>
  <c r="B4982" i="1"/>
  <c r="C4982" i="1"/>
  <c r="D4982" i="1"/>
  <c r="Q4982" i="1"/>
  <c r="R4982" i="1"/>
  <c r="E4982" i="1"/>
  <c r="G4982" i="1"/>
  <c r="H4982" i="1"/>
  <c r="J4982" i="1"/>
  <c r="K4982" i="1"/>
  <c r="L4982" i="1"/>
  <c r="A4983" i="1"/>
  <c r="B4983" i="1"/>
  <c r="C4983" i="1"/>
  <c r="D4983" i="1"/>
  <c r="Q4983" i="1"/>
  <c r="R4983" i="1"/>
  <c r="E4983" i="1"/>
  <c r="G4983" i="1"/>
  <c r="H4983" i="1"/>
  <c r="J4983" i="1"/>
  <c r="K4983" i="1"/>
  <c r="L4983" i="1"/>
  <c r="A4984" i="1"/>
  <c r="B4984" i="1"/>
  <c r="C4984" i="1"/>
  <c r="D4984" i="1"/>
  <c r="Q4984" i="1"/>
  <c r="R4984" i="1"/>
  <c r="E4984" i="1"/>
  <c r="G4984" i="1"/>
  <c r="H4984" i="1"/>
  <c r="J4984" i="1"/>
  <c r="K4984" i="1"/>
  <c r="L4984" i="1"/>
  <c r="A4985" i="1"/>
  <c r="B4985" i="1"/>
  <c r="C4985" i="1"/>
  <c r="D4985" i="1"/>
  <c r="Q4985" i="1"/>
  <c r="R4985" i="1"/>
  <c r="E4985" i="1"/>
  <c r="G4985" i="1"/>
  <c r="H4985" i="1"/>
  <c r="J4985" i="1"/>
  <c r="K4985" i="1"/>
  <c r="L4985" i="1"/>
  <c r="A4986" i="1"/>
  <c r="B4986" i="1"/>
  <c r="C4986" i="1"/>
  <c r="D4986" i="1"/>
  <c r="Q4986" i="1"/>
  <c r="R4986" i="1"/>
  <c r="E4986" i="1"/>
  <c r="G4986" i="1"/>
  <c r="H4986" i="1"/>
  <c r="J4986" i="1"/>
  <c r="K4986" i="1"/>
  <c r="L4986" i="1"/>
  <c r="A4987" i="1"/>
  <c r="B4987" i="1"/>
  <c r="C4987" i="1"/>
  <c r="D4987" i="1"/>
  <c r="Q4987" i="1"/>
  <c r="R4987" i="1"/>
  <c r="E4987" i="1"/>
  <c r="G4987" i="1"/>
  <c r="H4987" i="1"/>
  <c r="J4987" i="1"/>
  <c r="K4987" i="1"/>
  <c r="L4987" i="1"/>
  <c r="A4988" i="1"/>
  <c r="B4988" i="1"/>
  <c r="C4988" i="1"/>
  <c r="D4988" i="1"/>
  <c r="Q4988" i="1"/>
  <c r="R4988" i="1"/>
  <c r="E4988" i="1"/>
  <c r="G4988" i="1"/>
  <c r="H4988" i="1"/>
  <c r="J4988" i="1"/>
  <c r="K4988" i="1"/>
  <c r="L4988" i="1"/>
  <c r="A4989" i="1"/>
  <c r="B4989" i="1"/>
  <c r="C4989" i="1"/>
  <c r="D4989" i="1"/>
  <c r="Q4989" i="1"/>
  <c r="R4989" i="1"/>
  <c r="E4989" i="1"/>
  <c r="G4989" i="1"/>
  <c r="H4989" i="1"/>
  <c r="J4989" i="1"/>
  <c r="K4989" i="1"/>
  <c r="L4989" i="1"/>
  <c r="A4990" i="1"/>
  <c r="B4990" i="1"/>
  <c r="C4990" i="1"/>
  <c r="D4990" i="1"/>
  <c r="Q4990" i="1"/>
  <c r="R4990" i="1"/>
  <c r="E4990" i="1"/>
  <c r="G4990" i="1"/>
  <c r="H4990" i="1"/>
  <c r="J4990" i="1"/>
  <c r="K4990" i="1"/>
  <c r="L4990" i="1"/>
  <c r="A4991" i="1"/>
  <c r="B4991" i="1"/>
  <c r="C4991" i="1"/>
  <c r="D4991" i="1"/>
  <c r="Q4991" i="1"/>
  <c r="R4991" i="1"/>
  <c r="E4991" i="1"/>
  <c r="G4991" i="1"/>
  <c r="H4991" i="1"/>
  <c r="J4991" i="1"/>
  <c r="K4991" i="1"/>
  <c r="L4991" i="1"/>
  <c r="A4992" i="1"/>
  <c r="B4992" i="1"/>
  <c r="C4992" i="1"/>
  <c r="D4992" i="1"/>
  <c r="Q4992" i="1"/>
  <c r="R4992" i="1"/>
  <c r="E4992" i="1"/>
  <c r="G4992" i="1"/>
  <c r="H4992" i="1"/>
  <c r="J4992" i="1"/>
  <c r="K4992" i="1"/>
  <c r="L4992" i="1"/>
  <c r="A4993" i="1"/>
  <c r="B4993" i="1"/>
  <c r="C4993" i="1"/>
  <c r="D4993" i="1"/>
  <c r="Q4993" i="1"/>
  <c r="R4993" i="1"/>
  <c r="E4993" i="1"/>
  <c r="G4993" i="1"/>
  <c r="H4993" i="1"/>
  <c r="J4993" i="1"/>
  <c r="K4993" i="1"/>
  <c r="L4993" i="1"/>
  <c r="A4994" i="1"/>
  <c r="B4994" i="1"/>
  <c r="C4994" i="1"/>
  <c r="D4994" i="1"/>
  <c r="Q4994" i="1"/>
  <c r="R4994" i="1"/>
  <c r="E4994" i="1"/>
  <c r="G4994" i="1"/>
  <c r="H4994" i="1"/>
  <c r="J4994" i="1"/>
  <c r="K4994" i="1"/>
  <c r="L4994" i="1"/>
  <c r="A4995" i="1"/>
  <c r="B4995" i="1"/>
  <c r="C4995" i="1"/>
  <c r="D4995" i="1"/>
  <c r="Q4995" i="1"/>
  <c r="R4995" i="1"/>
  <c r="E4995" i="1"/>
  <c r="G4995" i="1"/>
  <c r="H4995" i="1"/>
  <c r="J4995" i="1"/>
  <c r="K4995" i="1"/>
  <c r="L4995" i="1"/>
  <c r="A4996" i="1"/>
  <c r="B4996" i="1"/>
  <c r="C4996" i="1"/>
  <c r="D4996" i="1"/>
  <c r="Q4996" i="1"/>
  <c r="R4996" i="1"/>
  <c r="E4996" i="1"/>
  <c r="G4996" i="1"/>
  <c r="H4996" i="1"/>
  <c r="J4996" i="1"/>
  <c r="K4996" i="1"/>
  <c r="L4996" i="1"/>
  <c r="A4997" i="1"/>
  <c r="B4997" i="1"/>
  <c r="C4997" i="1"/>
  <c r="D4997" i="1"/>
  <c r="Q4997" i="1"/>
  <c r="R4997" i="1"/>
  <c r="E4997" i="1"/>
  <c r="G4997" i="1"/>
  <c r="H4997" i="1"/>
  <c r="J4997" i="1"/>
  <c r="K4997" i="1"/>
  <c r="L4997" i="1"/>
  <c r="A4998" i="1"/>
  <c r="B4998" i="1"/>
  <c r="C4998" i="1"/>
  <c r="D4998" i="1"/>
  <c r="Q4998" i="1"/>
  <c r="R4998" i="1"/>
  <c r="E4998" i="1"/>
  <c r="G4998" i="1"/>
  <c r="H4998" i="1"/>
  <c r="J4998" i="1"/>
  <c r="K4998" i="1"/>
  <c r="L4998" i="1"/>
  <c r="A4999" i="1"/>
  <c r="B4999" i="1"/>
  <c r="C4999" i="1"/>
  <c r="D4999" i="1"/>
  <c r="Q4999" i="1"/>
  <c r="R4999" i="1"/>
  <c r="E4999" i="1"/>
  <c r="G4999" i="1"/>
  <c r="H4999" i="1"/>
  <c r="J4999" i="1"/>
  <c r="K4999" i="1"/>
  <c r="L4999" i="1"/>
  <c r="A5000" i="1"/>
  <c r="B5000" i="1"/>
  <c r="C5000" i="1"/>
  <c r="D5000" i="1"/>
  <c r="Q5000" i="1"/>
  <c r="R5000" i="1"/>
  <c r="E5000" i="1"/>
  <c r="G5000" i="1"/>
  <c r="H5000" i="1"/>
  <c r="J5000" i="1"/>
  <c r="K5000" i="1"/>
  <c r="L5000" i="1"/>
  <c r="A5001" i="1"/>
  <c r="B5001" i="1"/>
  <c r="C5001" i="1"/>
  <c r="D5001" i="1"/>
  <c r="Q5001" i="1"/>
  <c r="R5001" i="1"/>
  <c r="E5001" i="1"/>
  <c r="G5001" i="1"/>
  <c r="H5001" i="1"/>
  <c r="J5001" i="1"/>
  <c r="K5001" i="1"/>
  <c r="L5001" i="1"/>
  <c r="A5002" i="1"/>
  <c r="B5002" i="1"/>
  <c r="C5002" i="1"/>
  <c r="D5002" i="1"/>
  <c r="Q5002" i="1"/>
  <c r="R5002" i="1"/>
  <c r="E5002" i="1"/>
  <c r="G5002" i="1"/>
  <c r="H5002" i="1"/>
  <c r="J5002" i="1"/>
  <c r="K5002" i="1"/>
  <c r="L5002" i="1"/>
  <c r="A5003" i="1"/>
  <c r="B5003" i="1"/>
  <c r="C5003" i="1"/>
  <c r="D5003" i="1"/>
  <c r="Q5003" i="1"/>
  <c r="R5003" i="1"/>
  <c r="E5003" i="1"/>
  <c r="G5003" i="1"/>
  <c r="H5003" i="1"/>
  <c r="J5003" i="1"/>
  <c r="K5003" i="1"/>
  <c r="L5003" i="1"/>
  <c r="A5004" i="1"/>
  <c r="B5004" i="1"/>
  <c r="C5004" i="1"/>
  <c r="D5004" i="1"/>
  <c r="Q5004" i="1"/>
  <c r="R5004" i="1"/>
  <c r="E5004" i="1"/>
  <c r="G5004" i="1"/>
  <c r="H5004" i="1"/>
  <c r="J5004" i="1"/>
  <c r="K5004" i="1"/>
  <c r="L5004" i="1"/>
  <c r="A5005" i="1"/>
  <c r="B5005" i="1"/>
  <c r="C5005" i="1"/>
  <c r="D5005" i="1"/>
  <c r="Q5005" i="1"/>
  <c r="R5005" i="1"/>
  <c r="E5005" i="1"/>
  <c r="G5005" i="1"/>
  <c r="H5005" i="1"/>
  <c r="J5005" i="1"/>
  <c r="K5005" i="1"/>
  <c r="L5005" i="1"/>
  <c r="A5006" i="1"/>
  <c r="B5006" i="1"/>
  <c r="C5006" i="1"/>
  <c r="D5006" i="1"/>
  <c r="Q5006" i="1"/>
  <c r="R5006" i="1"/>
  <c r="E5006" i="1"/>
  <c r="G5006" i="1"/>
  <c r="H5006" i="1"/>
  <c r="J5006" i="1"/>
  <c r="K5006" i="1"/>
  <c r="L5006" i="1"/>
  <c r="A5007" i="1"/>
  <c r="B5007" i="1"/>
  <c r="C5007" i="1"/>
  <c r="D5007" i="1"/>
  <c r="Q5007" i="1"/>
  <c r="R5007" i="1"/>
  <c r="E5007" i="1"/>
  <c r="G5007" i="1"/>
  <c r="H5007" i="1"/>
  <c r="J5007" i="1"/>
  <c r="K5007" i="1"/>
  <c r="L5007" i="1"/>
  <c r="A5008" i="1"/>
  <c r="B5008" i="1"/>
  <c r="C5008" i="1"/>
  <c r="D5008" i="1"/>
  <c r="Q5008" i="1"/>
  <c r="R5008" i="1"/>
  <c r="E5008" i="1"/>
  <c r="G5008" i="1"/>
  <c r="H5008" i="1"/>
  <c r="J5008" i="1"/>
  <c r="K5008" i="1"/>
  <c r="L5008" i="1"/>
  <c r="A5009" i="1"/>
  <c r="B5009" i="1"/>
  <c r="C5009" i="1"/>
  <c r="D5009" i="1"/>
  <c r="Q5009" i="1"/>
  <c r="R5009" i="1"/>
  <c r="E5009" i="1"/>
  <c r="G5009" i="1"/>
  <c r="H5009" i="1"/>
  <c r="J5009" i="1"/>
  <c r="K5009" i="1"/>
  <c r="L5009" i="1"/>
  <c r="A5010" i="1"/>
  <c r="B5010" i="1"/>
  <c r="C5010" i="1"/>
  <c r="D5010" i="1"/>
  <c r="Q5010" i="1"/>
  <c r="R5010" i="1"/>
  <c r="E5010" i="1"/>
  <c r="G5010" i="1"/>
  <c r="H5010" i="1"/>
  <c r="J5010" i="1"/>
  <c r="K5010" i="1"/>
  <c r="L5010" i="1"/>
  <c r="A5011" i="1"/>
  <c r="B5011" i="1"/>
  <c r="C5011" i="1"/>
  <c r="D5011" i="1"/>
  <c r="Q5011" i="1"/>
  <c r="R5011" i="1"/>
  <c r="E5011" i="1"/>
  <c r="G5011" i="1"/>
  <c r="H5011" i="1"/>
  <c r="J5011" i="1"/>
  <c r="K5011" i="1"/>
  <c r="L5011" i="1"/>
  <c r="A5012" i="1"/>
  <c r="B5012" i="1"/>
  <c r="C5012" i="1"/>
  <c r="D5012" i="1"/>
  <c r="Q5012" i="1"/>
  <c r="R5012" i="1"/>
  <c r="E5012" i="1"/>
  <c r="G5012" i="1"/>
  <c r="H5012" i="1"/>
  <c r="J5012" i="1"/>
  <c r="K5012" i="1"/>
  <c r="L5012" i="1"/>
  <c r="A5013" i="1"/>
  <c r="B5013" i="1"/>
  <c r="C5013" i="1"/>
  <c r="D5013" i="1"/>
  <c r="Q5013" i="1"/>
  <c r="R5013" i="1"/>
  <c r="E5013" i="1"/>
  <c r="G5013" i="1"/>
  <c r="H5013" i="1"/>
  <c r="J5013" i="1"/>
  <c r="K5013" i="1"/>
  <c r="L5013" i="1"/>
  <c r="A5014" i="1"/>
  <c r="B5014" i="1"/>
  <c r="C5014" i="1"/>
  <c r="D5014" i="1"/>
  <c r="Q5014" i="1"/>
  <c r="R5014" i="1"/>
  <c r="E5014" i="1"/>
  <c r="G5014" i="1"/>
  <c r="H5014" i="1"/>
  <c r="J5014" i="1"/>
  <c r="K5014" i="1"/>
  <c r="L5014" i="1"/>
  <c r="A5015" i="1"/>
  <c r="B5015" i="1"/>
  <c r="C5015" i="1"/>
  <c r="D5015" i="1"/>
  <c r="Q5015" i="1"/>
  <c r="R5015" i="1"/>
  <c r="E5015" i="1"/>
  <c r="G5015" i="1"/>
  <c r="H5015" i="1"/>
  <c r="J5015" i="1"/>
  <c r="K5015" i="1"/>
  <c r="L5015" i="1"/>
  <c r="A5016" i="1"/>
  <c r="B5016" i="1"/>
  <c r="C5016" i="1"/>
  <c r="D5016" i="1"/>
  <c r="Q5016" i="1"/>
  <c r="R5016" i="1"/>
  <c r="E5016" i="1"/>
  <c r="G5016" i="1"/>
  <c r="H5016" i="1"/>
  <c r="J5016" i="1"/>
  <c r="K5016" i="1"/>
  <c r="L5016" i="1"/>
  <c r="A5017" i="1"/>
  <c r="B5017" i="1"/>
  <c r="C5017" i="1"/>
  <c r="D5017" i="1"/>
  <c r="Q5017" i="1"/>
  <c r="R5017" i="1"/>
  <c r="E5017" i="1"/>
  <c r="G5017" i="1"/>
  <c r="H5017" i="1"/>
  <c r="J5017" i="1"/>
  <c r="K5017" i="1"/>
  <c r="L5017" i="1"/>
  <c r="A5018" i="1"/>
  <c r="B5018" i="1"/>
  <c r="C5018" i="1"/>
  <c r="D5018" i="1"/>
  <c r="Q5018" i="1"/>
  <c r="R5018" i="1"/>
  <c r="E5018" i="1"/>
  <c r="G5018" i="1"/>
  <c r="H5018" i="1"/>
  <c r="J5018" i="1"/>
  <c r="K5018" i="1"/>
  <c r="L5018" i="1"/>
  <c r="A5019" i="1"/>
  <c r="B5019" i="1"/>
  <c r="C5019" i="1"/>
  <c r="D5019" i="1"/>
  <c r="Q5019" i="1"/>
  <c r="R5019" i="1"/>
  <c r="E5019" i="1"/>
  <c r="G5019" i="1"/>
  <c r="H5019" i="1"/>
  <c r="J5019" i="1"/>
  <c r="K5019" i="1"/>
  <c r="L5019" i="1"/>
  <c r="A5020" i="1"/>
  <c r="B5020" i="1"/>
  <c r="C5020" i="1"/>
  <c r="D5020" i="1"/>
  <c r="Q5020" i="1"/>
  <c r="R5020" i="1"/>
  <c r="E5020" i="1"/>
  <c r="G5020" i="1"/>
  <c r="H5020" i="1"/>
  <c r="J5020" i="1"/>
  <c r="K5020" i="1"/>
  <c r="L5020" i="1"/>
  <c r="A5021" i="1"/>
  <c r="B5021" i="1"/>
  <c r="C5021" i="1"/>
  <c r="D5021" i="1"/>
  <c r="Q5021" i="1"/>
  <c r="R5021" i="1"/>
  <c r="E5021" i="1"/>
  <c r="G5021" i="1"/>
  <c r="H5021" i="1"/>
  <c r="J5021" i="1"/>
  <c r="K5021" i="1"/>
  <c r="L5021" i="1"/>
  <c r="A5022" i="1"/>
  <c r="B5022" i="1"/>
  <c r="C5022" i="1"/>
  <c r="D5022" i="1"/>
  <c r="Q5022" i="1"/>
  <c r="R5022" i="1"/>
  <c r="E5022" i="1"/>
  <c r="G5022" i="1"/>
  <c r="H5022" i="1"/>
  <c r="J5022" i="1"/>
  <c r="K5022" i="1"/>
  <c r="L5022" i="1"/>
  <c r="A5023" i="1"/>
  <c r="B5023" i="1"/>
  <c r="C5023" i="1"/>
  <c r="D5023" i="1"/>
  <c r="Q5023" i="1"/>
  <c r="R5023" i="1"/>
  <c r="E5023" i="1"/>
  <c r="G5023" i="1"/>
  <c r="H5023" i="1"/>
  <c r="J5023" i="1"/>
  <c r="K5023" i="1"/>
  <c r="L5023" i="1"/>
  <c r="A5024" i="1"/>
  <c r="B5024" i="1"/>
  <c r="C5024" i="1"/>
  <c r="D5024" i="1"/>
  <c r="Q5024" i="1"/>
  <c r="R5024" i="1"/>
  <c r="E5024" i="1"/>
  <c r="G5024" i="1"/>
  <c r="H5024" i="1"/>
  <c r="J5024" i="1"/>
  <c r="K5024" i="1"/>
  <c r="L5024" i="1"/>
  <c r="A5025" i="1"/>
  <c r="B5025" i="1"/>
  <c r="C5025" i="1"/>
  <c r="D5025" i="1"/>
  <c r="Q5025" i="1"/>
  <c r="R5025" i="1"/>
  <c r="E5025" i="1"/>
  <c r="G5025" i="1"/>
  <c r="H5025" i="1"/>
  <c r="J5025" i="1"/>
  <c r="K5025" i="1"/>
  <c r="L5025" i="1"/>
  <c r="A5026" i="1"/>
  <c r="B5026" i="1"/>
  <c r="C5026" i="1"/>
  <c r="D5026" i="1"/>
  <c r="Q5026" i="1"/>
  <c r="R5026" i="1"/>
  <c r="E5026" i="1"/>
  <c r="G5026" i="1"/>
  <c r="H5026" i="1"/>
  <c r="J5026" i="1"/>
  <c r="K5026" i="1"/>
  <c r="L5026" i="1"/>
  <c r="A5027" i="1"/>
  <c r="B5027" i="1"/>
  <c r="C5027" i="1"/>
  <c r="D5027" i="1"/>
  <c r="Q5027" i="1"/>
  <c r="R5027" i="1"/>
  <c r="E5027" i="1"/>
  <c r="G5027" i="1"/>
  <c r="H5027" i="1"/>
  <c r="J5027" i="1"/>
  <c r="K5027" i="1"/>
  <c r="L5027" i="1"/>
  <c r="A5028" i="1"/>
  <c r="B5028" i="1"/>
  <c r="C5028" i="1"/>
  <c r="D5028" i="1"/>
  <c r="Q5028" i="1"/>
  <c r="R5028" i="1"/>
  <c r="E5028" i="1"/>
  <c r="G5028" i="1"/>
  <c r="H5028" i="1"/>
  <c r="J5028" i="1"/>
  <c r="K5028" i="1"/>
  <c r="L5028" i="1"/>
  <c r="A5029" i="1"/>
  <c r="B5029" i="1"/>
  <c r="C5029" i="1"/>
  <c r="D5029" i="1"/>
  <c r="Q5029" i="1"/>
  <c r="R5029" i="1"/>
  <c r="E5029" i="1"/>
  <c r="G5029" i="1"/>
  <c r="H5029" i="1"/>
  <c r="J5029" i="1"/>
  <c r="K5029" i="1"/>
  <c r="L5029" i="1"/>
  <c r="A5030" i="1"/>
  <c r="B5030" i="1"/>
  <c r="C5030" i="1"/>
  <c r="D5030" i="1"/>
  <c r="Q5030" i="1"/>
  <c r="R5030" i="1"/>
  <c r="E5030" i="1"/>
  <c r="G5030" i="1"/>
  <c r="H5030" i="1"/>
  <c r="J5030" i="1"/>
  <c r="K5030" i="1"/>
  <c r="L5030" i="1"/>
  <c r="A5031" i="1"/>
  <c r="B5031" i="1"/>
  <c r="C5031" i="1"/>
  <c r="D5031" i="1"/>
  <c r="Q5031" i="1"/>
  <c r="R5031" i="1"/>
  <c r="E5031" i="1"/>
  <c r="G5031" i="1"/>
  <c r="H5031" i="1"/>
  <c r="J5031" i="1"/>
  <c r="K5031" i="1"/>
  <c r="L5031" i="1"/>
  <c r="A5032" i="1"/>
  <c r="B5032" i="1"/>
  <c r="C5032" i="1"/>
  <c r="D5032" i="1"/>
  <c r="Q5032" i="1"/>
  <c r="R5032" i="1"/>
  <c r="E5032" i="1"/>
  <c r="G5032" i="1"/>
  <c r="H5032" i="1"/>
  <c r="J5032" i="1"/>
  <c r="K5032" i="1"/>
  <c r="L5032" i="1"/>
  <c r="A5033" i="1"/>
  <c r="B5033" i="1"/>
  <c r="C5033" i="1"/>
  <c r="D5033" i="1"/>
  <c r="Q5033" i="1"/>
  <c r="R5033" i="1"/>
  <c r="E5033" i="1"/>
  <c r="G5033" i="1"/>
  <c r="H5033" i="1"/>
  <c r="J5033" i="1"/>
  <c r="K5033" i="1"/>
  <c r="L5033" i="1"/>
  <c r="A5034" i="1"/>
  <c r="B5034" i="1"/>
  <c r="C5034" i="1"/>
  <c r="D5034" i="1"/>
  <c r="Q5034" i="1"/>
  <c r="R5034" i="1"/>
  <c r="E5034" i="1"/>
  <c r="G5034" i="1"/>
  <c r="H5034" i="1"/>
  <c r="J5034" i="1"/>
  <c r="K5034" i="1"/>
  <c r="L5034" i="1"/>
  <c r="A5035" i="1"/>
  <c r="B5035" i="1"/>
  <c r="C5035" i="1"/>
  <c r="D5035" i="1"/>
  <c r="Q5035" i="1"/>
  <c r="R5035" i="1"/>
  <c r="E5035" i="1"/>
  <c r="G5035" i="1"/>
  <c r="H5035" i="1"/>
  <c r="J5035" i="1"/>
  <c r="K5035" i="1"/>
  <c r="L5035" i="1"/>
  <c r="A5036" i="1"/>
  <c r="B5036" i="1"/>
  <c r="C5036" i="1"/>
  <c r="D5036" i="1"/>
  <c r="Q5036" i="1"/>
  <c r="R5036" i="1"/>
  <c r="E5036" i="1"/>
  <c r="G5036" i="1"/>
  <c r="H5036" i="1"/>
  <c r="J5036" i="1"/>
  <c r="K5036" i="1"/>
  <c r="L5036" i="1"/>
  <c r="A5037" i="1"/>
  <c r="B5037" i="1"/>
  <c r="C5037" i="1"/>
  <c r="D5037" i="1"/>
  <c r="Q5037" i="1"/>
  <c r="R5037" i="1"/>
  <c r="E5037" i="1"/>
  <c r="G5037" i="1"/>
  <c r="H5037" i="1"/>
  <c r="J5037" i="1"/>
  <c r="K5037" i="1"/>
  <c r="L5037" i="1"/>
  <c r="A5038" i="1"/>
  <c r="B5038" i="1"/>
  <c r="C5038" i="1"/>
  <c r="D5038" i="1"/>
  <c r="Q5038" i="1"/>
  <c r="R5038" i="1"/>
  <c r="E5038" i="1"/>
  <c r="G5038" i="1"/>
  <c r="H5038" i="1"/>
  <c r="J5038" i="1"/>
  <c r="K5038" i="1"/>
  <c r="L5038" i="1"/>
  <c r="A5039" i="1"/>
  <c r="B5039" i="1"/>
  <c r="C5039" i="1"/>
  <c r="D5039" i="1"/>
  <c r="Q5039" i="1"/>
  <c r="R5039" i="1"/>
  <c r="E5039" i="1"/>
  <c r="G5039" i="1"/>
  <c r="H5039" i="1"/>
  <c r="J5039" i="1"/>
  <c r="K5039" i="1"/>
  <c r="L5039" i="1"/>
  <c r="A5040" i="1"/>
  <c r="B5040" i="1"/>
  <c r="C5040" i="1"/>
  <c r="D5040" i="1"/>
  <c r="Q5040" i="1"/>
  <c r="R5040" i="1"/>
  <c r="E5040" i="1"/>
  <c r="G5040" i="1"/>
  <c r="H5040" i="1"/>
  <c r="J5040" i="1"/>
  <c r="K5040" i="1"/>
  <c r="L5040" i="1"/>
  <c r="A5041" i="1"/>
  <c r="B5041" i="1"/>
  <c r="C5041" i="1"/>
  <c r="D5041" i="1"/>
  <c r="Q5041" i="1"/>
  <c r="R5041" i="1"/>
  <c r="E5041" i="1"/>
  <c r="G5041" i="1"/>
  <c r="H5041" i="1"/>
  <c r="J5041" i="1"/>
  <c r="K5041" i="1"/>
  <c r="L5041" i="1"/>
  <c r="A5042" i="1"/>
  <c r="B5042" i="1"/>
  <c r="C5042" i="1"/>
  <c r="D5042" i="1"/>
  <c r="Q5042" i="1"/>
  <c r="R5042" i="1"/>
  <c r="E5042" i="1"/>
  <c r="G5042" i="1"/>
  <c r="H5042" i="1"/>
  <c r="J5042" i="1"/>
  <c r="K5042" i="1"/>
  <c r="L5042" i="1"/>
  <c r="A5043" i="1"/>
  <c r="B5043" i="1"/>
  <c r="C5043" i="1"/>
  <c r="D5043" i="1"/>
  <c r="Q5043" i="1"/>
  <c r="R5043" i="1"/>
  <c r="E5043" i="1"/>
  <c r="G5043" i="1"/>
  <c r="H5043" i="1"/>
  <c r="J5043" i="1"/>
  <c r="K5043" i="1"/>
  <c r="L5043" i="1"/>
  <c r="A5044" i="1"/>
  <c r="B5044" i="1"/>
  <c r="C5044" i="1"/>
  <c r="D5044" i="1"/>
  <c r="Q5044" i="1"/>
  <c r="R5044" i="1"/>
  <c r="E5044" i="1"/>
  <c r="G5044" i="1"/>
  <c r="H5044" i="1"/>
  <c r="J5044" i="1"/>
  <c r="K5044" i="1"/>
  <c r="L5044" i="1"/>
  <c r="A5045" i="1"/>
  <c r="B5045" i="1"/>
  <c r="C5045" i="1"/>
  <c r="D5045" i="1"/>
  <c r="Q5045" i="1"/>
  <c r="R5045" i="1"/>
  <c r="E5045" i="1"/>
  <c r="G5045" i="1"/>
  <c r="H5045" i="1"/>
  <c r="J5045" i="1"/>
  <c r="K5045" i="1"/>
  <c r="L5045" i="1"/>
  <c r="A5046" i="1"/>
  <c r="B5046" i="1"/>
  <c r="C5046" i="1"/>
  <c r="D5046" i="1"/>
  <c r="Q5046" i="1"/>
  <c r="R5046" i="1"/>
  <c r="E5046" i="1"/>
  <c r="G5046" i="1"/>
  <c r="H5046" i="1"/>
  <c r="J5046" i="1"/>
  <c r="K5046" i="1"/>
  <c r="L5046" i="1"/>
  <c r="A5047" i="1"/>
  <c r="B5047" i="1"/>
  <c r="C5047" i="1"/>
  <c r="D5047" i="1"/>
  <c r="Q5047" i="1"/>
  <c r="R5047" i="1"/>
  <c r="E5047" i="1"/>
  <c r="G5047" i="1"/>
  <c r="H5047" i="1"/>
  <c r="J5047" i="1"/>
  <c r="K5047" i="1"/>
  <c r="L5047" i="1"/>
  <c r="A5048" i="1"/>
  <c r="B5048" i="1"/>
  <c r="C5048" i="1"/>
  <c r="D5048" i="1"/>
  <c r="Q5048" i="1"/>
  <c r="R5048" i="1"/>
  <c r="E5048" i="1"/>
  <c r="G5048" i="1"/>
  <c r="H5048" i="1"/>
  <c r="J5048" i="1"/>
  <c r="K5048" i="1"/>
  <c r="L5048" i="1"/>
  <c r="A5049" i="1"/>
  <c r="B5049" i="1"/>
  <c r="C5049" i="1"/>
  <c r="D5049" i="1"/>
  <c r="Q5049" i="1"/>
  <c r="R5049" i="1"/>
  <c r="E5049" i="1"/>
  <c r="G5049" i="1"/>
  <c r="H5049" i="1"/>
  <c r="J5049" i="1"/>
  <c r="K5049" i="1"/>
  <c r="L5049" i="1"/>
  <c r="A5050" i="1"/>
  <c r="B5050" i="1"/>
  <c r="C5050" i="1"/>
  <c r="D5050" i="1"/>
  <c r="Q5050" i="1"/>
  <c r="R5050" i="1"/>
  <c r="E5050" i="1"/>
  <c r="G5050" i="1"/>
  <c r="H5050" i="1"/>
  <c r="J5050" i="1"/>
  <c r="K5050" i="1"/>
  <c r="L5050" i="1"/>
  <c r="A5051" i="1"/>
  <c r="B5051" i="1"/>
  <c r="C5051" i="1"/>
  <c r="D5051" i="1"/>
  <c r="Q5051" i="1"/>
  <c r="R5051" i="1"/>
  <c r="E5051" i="1"/>
  <c r="G5051" i="1"/>
  <c r="H5051" i="1"/>
  <c r="J5051" i="1"/>
  <c r="K5051" i="1"/>
  <c r="L5051" i="1"/>
  <c r="A5052" i="1"/>
  <c r="B5052" i="1"/>
  <c r="C5052" i="1"/>
  <c r="D5052" i="1"/>
  <c r="Q5052" i="1"/>
  <c r="R5052" i="1"/>
  <c r="E5052" i="1"/>
  <c r="G5052" i="1"/>
  <c r="H5052" i="1"/>
  <c r="J5052" i="1"/>
  <c r="K5052" i="1"/>
  <c r="L5052" i="1"/>
  <c r="A5053" i="1"/>
  <c r="B5053" i="1"/>
  <c r="C5053" i="1"/>
  <c r="D5053" i="1"/>
  <c r="Q5053" i="1"/>
  <c r="R5053" i="1"/>
  <c r="E5053" i="1"/>
  <c r="G5053" i="1"/>
  <c r="H5053" i="1"/>
  <c r="J5053" i="1"/>
  <c r="K5053" i="1"/>
  <c r="L5053" i="1"/>
  <c r="A5054" i="1"/>
  <c r="B5054" i="1"/>
  <c r="C5054" i="1"/>
  <c r="D5054" i="1"/>
  <c r="Q5054" i="1"/>
  <c r="R5054" i="1"/>
  <c r="E5054" i="1"/>
  <c r="G5054" i="1"/>
  <c r="H5054" i="1"/>
  <c r="J5054" i="1"/>
  <c r="K5054" i="1"/>
  <c r="L5054" i="1"/>
  <c r="A5055" i="1"/>
  <c r="B5055" i="1"/>
  <c r="C5055" i="1"/>
  <c r="D5055" i="1"/>
  <c r="Q5055" i="1"/>
  <c r="R5055" i="1"/>
  <c r="E5055" i="1"/>
  <c r="G5055" i="1"/>
  <c r="H5055" i="1"/>
  <c r="J5055" i="1"/>
  <c r="K5055" i="1"/>
  <c r="L5055" i="1"/>
  <c r="A5056" i="1"/>
  <c r="B5056" i="1"/>
  <c r="C5056" i="1"/>
  <c r="D5056" i="1"/>
  <c r="Q5056" i="1"/>
  <c r="R5056" i="1"/>
  <c r="E5056" i="1"/>
  <c r="G5056" i="1"/>
  <c r="H5056" i="1"/>
  <c r="J5056" i="1"/>
  <c r="K5056" i="1"/>
  <c r="L5056" i="1"/>
  <c r="A5057" i="1"/>
  <c r="B5057" i="1"/>
  <c r="C5057" i="1"/>
  <c r="D5057" i="1"/>
  <c r="Q5057" i="1"/>
  <c r="R5057" i="1"/>
  <c r="E5057" i="1"/>
  <c r="G5057" i="1"/>
  <c r="H5057" i="1"/>
  <c r="J5057" i="1"/>
  <c r="K5057" i="1"/>
  <c r="L5057" i="1"/>
  <c r="A5058" i="1"/>
  <c r="B5058" i="1"/>
  <c r="C5058" i="1"/>
  <c r="D5058" i="1"/>
  <c r="Q5058" i="1"/>
  <c r="R5058" i="1"/>
  <c r="E5058" i="1"/>
  <c r="G5058" i="1"/>
  <c r="H5058" i="1"/>
  <c r="J5058" i="1"/>
  <c r="K5058" i="1"/>
  <c r="L5058" i="1"/>
  <c r="A5059" i="1"/>
  <c r="B5059" i="1"/>
  <c r="C5059" i="1"/>
  <c r="D5059" i="1"/>
  <c r="Q5059" i="1"/>
  <c r="R5059" i="1"/>
  <c r="E5059" i="1"/>
  <c r="G5059" i="1"/>
  <c r="H5059" i="1"/>
  <c r="J5059" i="1"/>
  <c r="K5059" i="1"/>
  <c r="L5059" i="1"/>
  <c r="A5060" i="1"/>
  <c r="B5060" i="1"/>
  <c r="C5060" i="1"/>
  <c r="D5060" i="1"/>
  <c r="Q5060" i="1"/>
  <c r="R5060" i="1"/>
  <c r="E5060" i="1"/>
  <c r="G5060" i="1"/>
  <c r="H5060" i="1"/>
  <c r="J5060" i="1"/>
  <c r="K5060" i="1"/>
  <c r="L5060" i="1"/>
  <c r="A5061" i="1"/>
  <c r="B5061" i="1"/>
  <c r="C5061" i="1"/>
  <c r="D5061" i="1"/>
  <c r="Q5061" i="1"/>
  <c r="R5061" i="1"/>
  <c r="E5061" i="1"/>
  <c r="G5061" i="1"/>
  <c r="H5061" i="1"/>
  <c r="J5061" i="1"/>
  <c r="K5061" i="1"/>
  <c r="L5061" i="1"/>
  <c r="A5062" i="1"/>
  <c r="B5062" i="1"/>
  <c r="C5062" i="1"/>
  <c r="D5062" i="1"/>
  <c r="Q5062" i="1"/>
  <c r="R5062" i="1"/>
  <c r="E5062" i="1"/>
  <c r="G5062" i="1"/>
  <c r="H5062" i="1"/>
  <c r="J5062" i="1"/>
  <c r="K5062" i="1"/>
  <c r="L5062" i="1"/>
  <c r="A5063" i="1"/>
  <c r="B5063" i="1"/>
  <c r="C5063" i="1"/>
  <c r="D5063" i="1"/>
  <c r="Q5063" i="1"/>
  <c r="R5063" i="1"/>
  <c r="E5063" i="1"/>
  <c r="G5063" i="1"/>
  <c r="H5063" i="1"/>
  <c r="J5063" i="1"/>
  <c r="K5063" i="1"/>
  <c r="L5063" i="1"/>
  <c r="A5064" i="1"/>
  <c r="B5064" i="1"/>
  <c r="C5064" i="1"/>
  <c r="D5064" i="1"/>
  <c r="Q5064" i="1"/>
  <c r="R5064" i="1"/>
  <c r="E5064" i="1"/>
  <c r="G5064" i="1"/>
  <c r="H5064" i="1"/>
  <c r="J5064" i="1"/>
  <c r="K5064" i="1"/>
  <c r="L5064" i="1"/>
  <c r="A5065" i="1"/>
  <c r="B5065" i="1"/>
  <c r="C5065" i="1"/>
  <c r="D5065" i="1"/>
  <c r="Q5065" i="1"/>
  <c r="R5065" i="1"/>
  <c r="E5065" i="1"/>
  <c r="G5065" i="1"/>
  <c r="H5065" i="1"/>
  <c r="J5065" i="1"/>
  <c r="K5065" i="1"/>
  <c r="L5065" i="1"/>
  <c r="A5066" i="1"/>
  <c r="B5066" i="1"/>
  <c r="C5066" i="1"/>
  <c r="D5066" i="1"/>
  <c r="Q5066" i="1"/>
  <c r="R5066" i="1"/>
  <c r="E5066" i="1"/>
  <c r="G5066" i="1"/>
  <c r="H5066" i="1"/>
  <c r="J5066" i="1"/>
  <c r="K5066" i="1"/>
  <c r="L5066" i="1"/>
  <c r="A5067" i="1"/>
  <c r="B5067" i="1"/>
  <c r="C5067" i="1"/>
  <c r="D5067" i="1"/>
  <c r="Q5067" i="1"/>
  <c r="R5067" i="1"/>
  <c r="E5067" i="1"/>
  <c r="G5067" i="1"/>
  <c r="H5067" i="1"/>
  <c r="J5067" i="1"/>
  <c r="K5067" i="1"/>
  <c r="L5067" i="1"/>
  <c r="A5068" i="1"/>
  <c r="B5068" i="1"/>
  <c r="C5068" i="1"/>
  <c r="D5068" i="1"/>
  <c r="Q5068" i="1"/>
  <c r="R5068" i="1"/>
  <c r="E5068" i="1"/>
  <c r="G5068" i="1"/>
  <c r="H5068" i="1"/>
  <c r="J5068" i="1"/>
  <c r="K5068" i="1"/>
  <c r="L5068" i="1"/>
  <c r="A5069" i="1"/>
  <c r="B5069" i="1"/>
  <c r="C5069" i="1"/>
  <c r="D5069" i="1"/>
  <c r="Q5069" i="1"/>
  <c r="R5069" i="1"/>
  <c r="E5069" i="1"/>
  <c r="G5069" i="1"/>
  <c r="H5069" i="1"/>
  <c r="J5069" i="1"/>
  <c r="K5069" i="1"/>
  <c r="L5069" i="1"/>
  <c r="A5070" i="1"/>
  <c r="B5070" i="1"/>
  <c r="C5070" i="1"/>
  <c r="D5070" i="1"/>
  <c r="Q5070" i="1"/>
  <c r="R5070" i="1"/>
  <c r="E5070" i="1"/>
  <c r="G5070" i="1"/>
  <c r="H5070" i="1"/>
  <c r="J5070" i="1"/>
  <c r="K5070" i="1"/>
  <c r="L5070" i="1"/>
  <c r="A5071" i="1"/>
  <c r="B5071" i="1"/>
  <c r="C5071" i="1"/>
  <c r="D5071" i="1"/>
  <c r="Q5071" i="1"/>
  <c r="R5071" i="1"/>
  <c r="E5071" i="1"/>
  <c r="G5071" i="1"/>
  <c r="H5071" i="1"/>
  <c r="J5071" i="1"/>
  <c r="K5071" i="1"/>
  <c r="L5071" i="1"/>
  <c r="A5072" i="1"/>
  <c r="B5072" i="1"/>
  <c r="C5072" i="1"/>
  <c r="D5072" i="1"/>
  <c r="Q5072" i="1"/>
  <c r="R5072" i="1"/>
  <c r="E5072" i="1"/>
  <c r="G5072" i="1"/>
  <c r="H5072" i="1"/>
  <c r="J5072" i="1"/>
  <c r="K5072" i="1"/>
  <c r="L5072" i="1"/>
  <c r="A5073" i="1"/>
  <c r="B5073" i="1"/>
  <c r="C5073" i="1"/>
  <c r="D5073" i="1"/>
  <c r="Q5073" i="1"/>
  <c r="R5073" i="1"/>
  <c r="E5073" i="1"/>
  <c r="G5073" i="1"/>
  <c r="H5073" i="1"/>
  <c r="J5073" i="1"/>
  <c r="K5073" i="1"/>
  <c r="L5073" i="1"/>
  <c r="A5074" i="1"/>
  <c r="B5074" i="1"/>
  <c r="C5074" i="1"/>
  <c r="D5074" i="1"/>
  <c r="Q5074" i="1"/>
  <c r="R5074" i="1"/>
  <c r="E5074" i="1"/>
  <c r="G5074" i="1"/>
  <c r="H5074" i="1"/>
  <c r="J5074" i="1"/>
  <c r="K5074" i="1"/>
  <c r="L5074" i="1"/>
  <c r="A5075" i="1"/>
  <c r="B5075" i="1"/>
  <c r="C5075" i="1"/>
  <c r="D5075" i="1"/>
  <c r="Q5075" i="1"/>
  <c r="R5075" i="1"/>
  <c r="E5075" i="1"/>
  <c r="G5075" i="1"/>
  <c r="H5075" i="1"/>
  <c r="J5075" i="1"/>
  <c r="K5075" i="1"/>
  <c r="L5075" i="1"/>
  <c r="A5076" i="1"/>
  <c r="B5076" i="1"/>
  <c r="C5076" i="1"/>
  <c r="D5076" i="1"/>
  <c r="Q5076" i="1"/>
  <c r="R5076" i="1"/>
  <c r="E5076" i="1"/>
  <c r="G5076" i="1"/>
  <c r="H5076" i="1"/>
  <c r="J5076" i="1"/>
  <c r="K5076" i="1"/>
  <c r="L5076" i="1"/>
  <c r="A5077" i="1"/>
  <c r="B5077" i="1"/>
  <c r="C5077" i="1"/>
  <c r="D5077" i="1"/>
  <c r="Q5077" i="1"/>
  <c r="R5077" i="1"/>
  <c r="E5077" i="1"/>
  <c r="G5077" i="1"/>
  <c r="H5077" i="1"/>
  <c r="J5077" i="1"/>
  <c r="K5077" i="1"/>
  <c r="L5077" i="1"/>
  <c r="A5078" i="1"/>
  <c r="B5078" i="1"/>
  <c r="C5078" i="1"/>
  <c r="D5078" i="1"/>
  <c r="Q5078" i="1"/>
  <c r="R5078" i="1"/>
  <c r="E5078" i="1"/>
  <c r="G5078" i="1"/>
  <c r="H5078" i="1"/>
  <c r="J5078" i="1"/>
  <c r="K5078" i="1"/>
  <c r="L5078" i="1"/>
  <c r="A5079" i="1"/>
  <c r="B5079" i="1"/>
  <c r="C5079" i="1"/>
  <c r="D5079" i="1"/>
  <c r="Q5079" i="1"/>
  <c r="R5079" i="1"/>
  <c r="E5079" i="1"/>
  <c r="G5079" i="1"/>
  <c r="H5079" i="1"/>
  <c r="J5079" i="1"/>
  <c r="K5079" i="1"/>
  <c r="L5079" i="1"/>
  <c r="A5080" i="1"/>
  <c r="B5080" i="1"/>
  <c r="C5080" i="1"/>
  <c r="D5080" i="1"/>
  <c r="Q5080" i="1"/>
  <c r="R5080" i="1"/>
  <c r="E5080" i="1"/>
  <c r="G5080" i="1"/>
  <c r="H5080" i="1"/>
  <c r="J5080" i="1"/>
  <c r="K5080" i="1"/>
  <c r="L5080" i="1"/>
  <c r="A5081" i="1"/>
  <c r="B5081" i="1"/>
  <c r="C5081" i="1"/>
  <c r="D5081" i="1"/>
  <c r="Q5081" i="1"/>
  <c r="R5081" i="1"/>
  <c r="E5081" i="1"/>
  <c r="G5081" i="1"/>
  <c r="H5081" i="1"/>
  <c r="J5081" i="1"/>
  <c r="K5081" i="1"/>
  <c r="L5081" i="1"/>
  <c r="A5082" i="1"/>
  <c r="B5082" i="1"/>
  <c r="C5082" i="1"/>
  <c r="D5082" i="1"/>
  <c r="Q5082" i="1"/>
  <c r="R5082" i="1"/>
  <c r="E5082" i="1"/>
  <c r="G5082" i="1"/>
  <c r="H5082" i="1"/>
  <c r="J5082" i="1"/>
  <c r="K5082" i="1"/>
  <c r="L5082" i="1"/>
  <c r="A5083" i="1"/>
  <c r="B5083" i="1"/>
  <c r="C5083" i="1"/>
  <c r="D5083" i="1"/>
  <c r="Q5083" i="1"/>
  <c r="R5083" i="1"/>
  <c r="E5083" i="1"/>
  <c r="G5083" i="1"/>
  <c r="H5083" i="1"/>
  <c r="J5083" i="1"/>
  <c r="K5083" i="1"/>
  <c r="L5083" i="1"/>
  <c r="A5084" i="1"/>
  <c r="B5084" i="1"/>
  <c r="C5084" i="1"/>
  <c r="D5084" i="1"/>
  <c r="Q5084" i="1"/>
  <c r="R5084" i="1"/>
  <c r="E5084" i="1"/>
  <c r="G5084" i="1"/>
  <c r="H5084" i="1"/>
  <c r="J5084" i="1"/>
  <c r="K5084" i="1"/>
  <c r="L5084" i="1"/>
  <c r="A5085" i="1"/>
  <c r="B5085" i="1"/>
  <c r="C5085" i="1"/>
  <c r="D5085" i="1"/>
  <c r="Q5085" i="1"/>
  <c r="R5085" i="1"/>
  <c r="E5085" i="1"/>
  <c r="G5085" i="1"/>
  <c r="H5085" i="1"/>
  <c r="J5085" i="1"/>
  <c r="K5085" i="1"/>
  <c r="L5085" i="1"/>
  <c r="A5086" i="1"/>
  <c r="B5086" i="1"/>
  <c r="C5086" i="1"/>
  <c r="D5086" i="1"/>
  <c r="Q5086" i="1"/>
  <c r="R5086" i="1"/>
  <c r="E5086" i="1"/>
  <c r="G5086" i="1"/>
  <c r="H5086" i="1"/>
  <c r="J5086" i="1"/>
  <c r="K5086" i="1"/>
  <c r="L5086" i="1"/>
  <c r="A5087" i="1"/>
  <c r="B5087" i="1"/>
  <c r="C5087" i="1"/>
  <c r="D5087" i="1"/>
  <c r="Q5087" i="1"/>
  <c r="R5087" i="1"/>
  <c r="E5087" i="1"/>
  <c r="G5087" i="1"/>
  <c r="H5087" i="1"/>
  <c r="J5087" i="1"/>
  <c r="K5087" i="1"/>
  <c r="L5087" i="1"/>
  <c r="A5088" i="1"/>
  <c r="B5088" i="1"/>
  <c r="C5088" i="1"/>
  <c r="D5088" i="1"/>
  <c r="Q5088" i="1"/>
  <c r="R5088" i="1"/>
  <c r="E5088" i="1"/>
  <c r="G5088" i="1"/>
  <c r="H5088" i="1"/>
  <c r="J5088" i="1"/>
  <c r="K5088" i="1"/>
  <c r="L5088" i="1"/>
  <c r="A5089" i="1"/>
  <c r="B5089" i="1"/>
  <c r="C5089" i="1"/>
  <c r="D5089" i="1"/>
  <c r="Q5089" i="1"/>
  <c r="R5089" i="1"/>
  <c r="E5089" i="1"/>
  <c r="G5089" i="1"/>
  <c r="H5089" i="1"/>
  <c r="J5089" i="1"/>
  <c r="K5089" i="1"/>
  <c r="L5089" i="1"/>
  <c r="A5090" i="1"/>
  <c r="B5090" i="1"/>
  <c r="C5090" i="1"/>
  <c r="D5090" i="1"/>
  <c r="Q5090" i="1"/>
  <c r="R5090" i="1"/>
  <c r="E5090" i="1"/>
  <c r="G5090" i="1"/>
  <c r="H5090" i="1"/>
  <c r="J5090" i="1"/>
  <c r="K5090" i="1"/>
  <c r="L5090" i="1"/>
  <c r="A5091" i="1"/>
  <c r="B5091" i="1"/>
  <c r="C5091" i="1"/>
  <c r="D5091" i="1"/>
  <c r="Q5091" i="1"/>
  <c r="R5091" i="1"/>
  <c r="E5091" i="1"/>
  <c r="G5091" i="1"/>
  <c r="H5091" i="1"/>
  <c r="J5091" i="1"/>
  <c r="K5091" i="1"/>
  <c r="L5091" i="1"/>
  <c r="A5092" i="1"/>
  <c r="B5092" i="1"/>
  <c r="C5092" i="1"/>
  <c r="D5092" i="1"/>
  <c r="Q5092" i="1"/>
  <c r="R5092" i="1"/>
  <c r="E5092" i="1"/>
  <c r="G5092" i="1"/>
  <c r="H5092" i="1"/>
  <c r="J5092" i="1"/>
  <c r="K5092" i="1"/>
  <c r="L5092" i="1"/>
  <c r="A5093" i="1"/>
  <c r="B5093" i="1"/>
  <c r="C5093" i="1"/>
  <c r="D5093" i="1"/>
  <c r="Q5093" i="1"/>
  <c r="R5093" i="1"/>
  <c r="E5093" i="1"/>
  <c r="G5093" i="1"/>
  <c r="H5093" i="1"/>
  <c r="J5093" i="1"/>
  <c r="K5093" i="1"/>
  <c r="L5093" i="1"/>
  <c r="A5094" i="1"/>
  <c r="B5094" i="1"/>
  <c r="C5094" i="1"/>
  <c r="D5094" i="1"/>
  <c r="Q5094" i="1"/>
  <c r="R5094" i="1"/>
  <c r="E5094" i="1"/>
  <c r="G5094" i="1"/>
  <c r="H5094" i="1"/>
  <c r="J5094" i="1"/>
  <c r="K5094" i="1"/>
  <c r="L5094" i="1"/>
  <c r="A5095" i="1"/>
  <c r="B5095" i="1"/>
  <c r="C5095" i="1"/>
  <c r="D5095" i="1"/>
  <c r="Q5095" i="1"/>
  <c r="R5095" i="1"/>
  <c r="E5095" i="1"/>
  <c r="G5095" i="1"/>
  <c r="H5095" i="1"/>
  <c r="J5095" i="1"/>
  <c r="K5095" i="1"/>
  <c r="L5095" i="1"/>
  <c r="A5096" i="1"/>
  <c r="B5096" i="1"/>
  <c r="C5096" i="1"/>
  <c r="D5096" i="1"/>
  <c r="Q5096" i="1"/>
  <c r="R5096" i="1"/>
  <c r="E5096" i="1"/>
  <c r="G5096" i="1"/>
  <c r="H5096" i="1"/>
  <c r="J5096" i="1"/>
  <c r="K5096" i="1"/>
  <c r="L5096" i="1"/>
  <c r="A5097" i="1"/>
  <c r="B5097" i="1"/>
  <c r="C5097" i="1"/>
  <c r="D5097" i="1"/>
  <c r="Q5097" i="1"/>
  <c r="R5097" i="1"/>
  <c r="E5097" i="1"/>
  <c r="G5097" i="1"/>
  <c r="H5097" i="1"/>
  <c r="J5097" i="1"/>
  <c r="K5097" i="1"/>
  <c r="L5097" i="1"/>
  <c r="A5098" i="1"/>
  <c r="B5098" i="1"/>
  <c r="C5098" i="1"/>
  <c r="D5098" i="1"/>
  <c r="Q5098" i="1"/>
  <c r="R5098" i="1"/>
  <c r="E5098" i="1"/>
  <c r="G5098" i="1"/>
  <c r="H5098" i="1"/>
  <c r="J5098" i="1"/>
  <c r="K5098" i="1"/>
  <c r="L5098" i="1"/>
  <c r="A5099" i="1"/>
  <c r="B5099" i="1"/>
  <c r="C5099" i="1"/>
  <c r="D5099" i="1"/>
  <c r="Q5099" i="1"/>
  <c r="R5099" i="1"/>
  <c r="E5099" i="1"/>
  <c r="G5099" i="1"/>
  <c r="H5099" i="1"/>
  <c r="J5099" i="1"/>
  <c r="K5099" i="1"/>
  <c r="L5099" i="1"/>
  <c r="A5100" i="1"/>
  <c r="B5100" i="1"/>
  <c r="C5100" i="1"/>
  <c r="D5100" i="1"/>
  <c r="Q5100" i="1"/>
  <c r="R5100" i="1"/>
  <c r="E5100" i="1"/>
  <c r="G5100" i="1"/>
  <c r="H5100" i="1"/>
  <c r="J5100" i="1"/>
  <c r="K5100" i="1"/>
  <c r="L5100" i="1"/>
  <c r="A5101" i="1"/>
  <c r="B5101" i="1"/>
  <c r="C5101" i="1"/>
  <c r="D5101" i="1"/>
  <c r="Q5101" i="1"/>
  <c r="R5101" i="1"/>
  <c r="E5101" i="1"/>
  <c r="G5101" i="1"/>
  <c r="H5101" i="1"/>
  <c r="J5101" i="1"/>
  <c r="K5101" i="1"/>
  <c r="L5101" i="1"/>
  <c r="A5102" i="1"/>
  <c r="B5102" i="1"/>
  <c r="C5102" i="1"/>
  <c r="D5102" i="1"/>
  <c r="Q5102" i="1"/>
  <c r="R5102" i="1"/>
  <c r="E5102" i="1"/>
  <c r="G5102" i="1"/>
  <c r="H5102" i="1"/>
  <c r="J5102" i="1"/>
  <c r="K5102" i="1"/>
  <c r="L5102" i="1"/>
  <c r="A5103" i="1"/>
  <c r="B5103" i="1"/>
  <c r="C5103" i="1"/>
  <c r="D5103" i="1"/>
  <c r="Q5103" i="1"/>
  <c r="R5103" i="1"/>
  <c r="E5103" i="1"/>
  <c r="G5103" i="1"/>
  <c r="H5103" i="1"/>
  <c r="J5103" i="1"/>
  <c r="K5103" i="1"/>
  <c r="L5103" i="1"/>
  <c r="A5104" i="1"/>
  <c r="B5104" i="1"/>
  <c r="C5104" i="1"/>
  <c r="D5104" i="1"/>
  <c r="Q5104" i="1"/>
  <c r="R5104" i="1"/>
  <c r="E5104" i="1"/>
  <c r="G5104" i="1"/>
  <c r="H5104" i="1"/>
  <c r="J5104" i="1"/>
  <c r="K5104" i="1"/>
  <c r="L5104" i="1"/>
  <c r="A5105" i="1"/>
  <c r="B5105" i="1"/>
  <c r="C5105" i="1"/>
  <c r="D5105" i="1"/>
  <c r="Q5105" i="1"/>
  <c r="R5105" i="1"/>
  <c r="E5105" i="1"/>
  <c r="G5105" i="1"/>
  <c r="H5105" i="1"/>
  <c r="J5105" i="1"/>
  <c r="K5105" i="1"/>
  <c r="L5105" i="1"/>
  <c r="A5106" i="1"/>
  <c r="B5106" i="1"/>
  <c r="C5106" i="1"/>
  <c r="D5106" i="1"/>
  <c r="Q5106" i="1"/>
  <c r="R5106" i="1"/>
  <c r="E5106" i="1"/>
  <c r="G5106" i="1"/>
  <c r="H5106" i="1"/>
  <c r="J5106" i="1"/>
  <c r="K5106" i="1"/>
  <c r="L5106" i="1"/>
  <c r="A5107" i="1"/>
  <c r="B5107" i="1"/>
  <c r="C5107" i="1"/>
  <c r="D5107" i="1"/>
  <c r="Q5107" i="1"/>
  <c r="R5107" i="1"/>
  <c r="E5107" i="1"/>
  <c r="G5107" i="1"/>
  <c r="H5107" i="1"/>
  <c r="J5107" i="1"/>
  <c r="K5107" i="1"/>
  <c r="L5107" i="1"/>
  <c r="A5108" i="1"/>
  <c r="B5108" i="1"/>
  <c r="C5108" i="1"/>
  <c r="D5108" i="1"/>
  <c r="Q5108" i="1"/>
  <c r="R5108" i="1"/>
  <c r="E5108" i="1"/>
  <c r="G5108" i="1"/>
  <c r="H5108" i="1"/>
  <c r="J5108" i="1"/>
  <c r="K5108" i="1"/>
  <c r="L5108" i="1"/>
  <c r="A5109" i="1"/>
  <c r="B5109" i="1"/>
  <c r="C5109" i="1"/>
  <c r="D5109" i="1"/>
  <c r="Q5109" i="1"/>
  <c r="R5109" i="1"/>
  <c r="E5109" i="1"/>
  <c r="G5109" i="1"/>
  <c r="H5109" i="1"/>
  <c r="J5109" i="1"/>
  <c r="K5109" i="1"/>
  <c r="L5109" i="1"/>
  <c r="A5110" i="1"/>
  <c r="B5110" i="1"/>
  <c r="C5110" i="1"/>
  <c r="D5110" i="1"/>
  <c r="Q5110" i="1"/>
  <c r="R5110" i="1"/>
  <c r="E5110" i="1"/>
  <c r="G5110" i="1"/>
  <c r="H5110" i="1"/>
  <c r="J5110" i="1"/>
  <c r="K5110" i="1"/>
  <c r="L5110" i="1"/>
  <c r="A5111" i="1"/>
  <c r="B5111" i="1"/>
  <c r="C5111" i="1"/>
  <c r="D5111" i="1"/>
  <c r="Q5111" i="1"/>
  <c r="R5111" i="1"/>
  <c r="E5111" i="1"/>
  <c r="G5111" i="1"/>
  <c r="H5111" i="1"/>
  <c r="J5111" i="1"/>
  <c r="K5111" i="1"/>
  <c r="L5111" i="1"/>
  <c r="A5112" i="1"/>
  <c r="B5112" i="1"/>
  <c r="C5112" i="1"/>
  <c r="D5112" i="1"/>
  <c r="Q5112" i="1"/>
  <c r="R5112" i="1"/>
  <c r="E5112" i="1"/>
  <c r="G5112" i="1"/>
  <c r="H5112" i="1"/>
  <c r="J5112" i="1"/>
  <c r="K5112" i="1"/>
  <c r="L5112" i="1"/>
  <c r="A5113" i="1"/>
  <c r="B5113" i="1"/>
  <c r="C5113" i="1"/>
  <c r="D5113" i="1"/>
  <c r="Q5113" i="1"/>
  <c r="R5113" i="1"/>
  <c r="E5113" i="1"/>
  <c r="G5113" i="1"/>
  <c r="H5113" i="1"/>
  <c r="J5113" i="1"/>
  <c r="K5113" i="1"/>
  <c r="L5113" i="1"/>
  <c r="A5114" i="1"/>
  <c r="B5114" i="1"/>
  <c r="C5114" i="1"/>
  <c r="D5114" i="1"/>
  <c r="Q5114" i="1"/>
  <c r="R5114" i="1"/>
  <c r="E5114" i="1"/>
  <c r="G5114" i="1"/>
  <c r="H5114" i="1"/>
  <c r="J5114" i="1"/>
  <c r="K5114" i="1"/>
  <c r="L5114" i="1"/>
  <c r="A5115" i="1"/>
  <c r="B5115" i="1"/>
  <c r="C5115" i="1"/>
  <c r="D5115" i="1"/>
  <c r="Q5115" i="1"/>
  <c r="R5115" i="1"/>
  <c r="E5115" i="1"/>
  <c r="G5115" i="1"/>
  <c r="H5115" i="1"/>
  <c r="J5115" i="1"/>
  <c r="K5115" i="1"/>
  <c r="L5115" i="1"/>
  <c r="A5116" i="1"/>
  <c r="B5116" i="1"/>
  <c r="C5116" i="1"/>
  <c r="D5116" i="1"/>
  <c r="Q5116" i="1"/>
  <c r="R5116" i="1"/>
  <c r="E5116" i="1"/>
  <c r="G5116" i="1"/>
  <c r="H5116" i="1"/>
  <c r="J5116" i="1"/>
  <c r="K5116" i="1"/>
  <c r="L5116" i="1"/>
  <c r="A5117" i="1"/>
  <c r="B5117" i="1"/>
  <c r="C5117" i="1"/>
  <c r="D5117" i="1"/>
  <c r="Q5117" i="1"/>
  <c r="R5117" i="1"/>
  <c r="E5117" i="1"/>
  <c r="G5117" i="1"/>
  <c r="H5117" i="1"/>
  <c r="J5117" i="1"/>
  <c r="K5117" i="1"/>
  <c r="L5117" i="1"/>
  <c r="A5118" i="1"/>
  <c r="B5118" i="1"/>
  <c r="C5118" i="1"/>
  <c r="D5118" i="1"/>
  <c r="Q5118" i="1"/>
  <c r="R5118" i="1"/>
  <c r="E5118" i="1"/>
  <c r="G5118" i="1"/>
  <c r="H5118" i="1"/>
  <c r="J5118" i="1"/>
  <c r="K5118" i="1"/>
  <c r="L5118" i="1"/>
  <c r="A5119" i="1"/>
  <c r="B5119" i="1"/>
  <c r="C5119" i="1"/>
  <c r="D5119" i="1"/>
  <c r="Q5119" i="1"/>
  <c r="R5119" i="1"/>
  <c r="E5119" i="1"/>
  <c r="G5119" i="1"/>
  <c r="H5119" i="1"/>
  <c r="J5119" i="1"/>
  <c r="K5119" i="1"/>
  <c r="L5119" i="1"/>
  <c r="A5120" i="1"/>
  <c r="B5120" i="1"/>
  <c r="C5120" i="1"/>
  <c r="D5120" i="1"/>
  <c r="Q5120" i="1"/>
  <c r="R5120" i="1"/>
  <c r="E5120" i="1"/>
  <c r="G5120" i="1"/>
  <c r="H5120" i="1"/>
  <c r="J5120" i="1"/>
  <c r="K5120" i="1"/>
  <c r="L5120" i="1"/>
  <c r="A5121" i="1"/>
  <c r="B5121" i="1"/>
  <c r="C5121" i="1"/>
  <c r="D5121" i="1"/>
  <c r="Q5121" i="1"/>
  <c r="R5121" i="1"/>
  <c r="E5121" i="1"/>
  <c r="G5121" i="1"/>
  <c r="H5121" i="1"/>
  <c r="J5121" i="1"/>
  <c r="K5121" i="1"/>
  <c r="L5121" i="1"/>
  <c r="A5122" i="1"/>
  <c r="B5122" i="1"/>
  <c r="C5122" i="1"/>
  <c r="D5122" i="1"/>
  <c r="Q5122" i="1"/>
  <c r="R5122" i="1"/>
  <c r="E5122" i="1"/>
  <c r="G5122" i="1"/>
  <c r="H5122" i="1"/>
  <c r="J5122" i="1"/>
  <c r="K5122" i="1"/>
  <c r="L5122" i="1"/>
  <c r="A5123" i="1"/>
  <c r="B5123" i="1"/>
  <c r="C5123" i="1"/>
  <c r="D5123" i="1"/>
  <c r="Q5123" i="1"/>
  <c r="R5123" i="1"/>
  <c r="E5123" i="1"/>
  <c r="G5123" i="1"/>
  <c r="H5123" i="1"/>
  <c r="J5123" i="1"/>
  <c r="K5123" i="1"/>
  <c r="L5123" i="1"/>
  <c r="A5124" i="1"/>
  <c r="B5124" i="1"/>
  <c r="C5124" i="1"/>
  <c r="D5124" i="1"/>
  <c r="Q5124" i="1"/>
  <c r="R5124" i="1"/>
  <c r="E5124" i="1"/>
  <c r="G5124" i="1"/>
  <c r="H5124" i="1"/>
  <c r="J5124" i="1"/>
  <c r="K5124" i="1"/>
  <c r="L5124" i="1"/>
  <c r="A5125" i="1"/>
  <c r="B5125" i="1"/>
  <c r="C5125" i="1"/>
  <c r="D5125" i="1"/>
  <c r="Q5125" i="1"/>
  <c r="R5125" i="1"/>
  <c r="E5125" i="1"/>
  <c r="G5125" i="1"/>
  <c r="H5125" i="1"/>
  <c r="J5125" i="1"/>
  <c r="K5125" i="1"/>
  <c r="L5125" i="1"/>
  <c r="A5126" i="1"/>
  <c r="B5126" i="1"/>
  <c r="C5126" i="1"/>
  <c r="D5126" i="1"/>
  <c r="Q5126" i="1"/>
  <c r="R5126" i="1"/>
  <c r="E5126" i="1"/>
  <c r="G5126" i="1"/>
  <c r="H5126" i="1"/>
  <c r="J5126" i="1"/>
  <c r="K5126" i="1"/>
  <c r="L5126" i="1"/>
  <c r="A5127" i="1"/>
  <c r="B5127" i="1"/>
  <c r="C5127" i="1"/>
  <c r="D5127" i="1"/>
  <c r="Q5127" i="1"/>
  <c r="R5127" i="1"/>
  <c r="E5127" i="1"/>
  <c r="G5127" i="1"/>
  <c r="H5127" i="1"/>
  <c r="J5127" i="1"/>
  <c r="K5127" i="1"/>
  <c r="L5127" i="1"/>
  <c r="A5128" i="1"/>
  <c r="B5128" i="1"/>
  <c r="C5128" i="1"/>
  <c r="D5128" i="1"/>
  <c r="Q5128" i="1"/>
  <c r="R5128" i="1"/>
  <c r="E5128" i="1"/>
  <c r="G5128" i="1"/>
  <c r="H5128" i="1"/>
  <c r="J5128" i="1"/>
  <c r="K5128" i="1"/>
  <c r="L5128" i="1"/>
  <c r="A5129" i="1"/>
  <c r="B5129" i="1"/>
  <c r="C5129" i="1"/>
  <c r="D5129" i="1"/>
  <c r="Q5129" i="1"/>
  <c r="R5129" i="1"/>
  <c r="E5129" i="1"/>
  <c r="G5129" i="1"/>
  <c r="H5129" i="1"/>
  <c r="J5129" i="1"/>
  <c r="K5129" i="1"/>
  <c r="L5129" i="1"/>
  <c r="A5130" i="1"/>
  <c r="B5130" i="1"/>
  <c r="C5130" i="1"/>
  <c r="D5130" i="1"/>
  <c r="Q5130" i="1"/>
  <c r="R5130" i="1"/>
  <c r="E5130" i="1"/>
  <c r="G5130" i="1"/>
  <c r="H5130" i="1"/>
  <c r="J5130" i="1"/>
  <c r="K5130" i="1"/>
  <c r="L5130" i="1"/>
  <c r="A5131" i="1"/>
  <c r="B5131" i="1"/>
  <c r="C5131" i="1"/>
  <c r="D5131" i="1"/>
  <c r="Q5131" i="1"/>
  <c r="R5131" i="1"/>
  <c r="E5131" i="1"/>
  <c r="G5131" i="1"/>
  <c r="H5131" i="1"/>
  <c r="J5131" i="1"/>
  <c r="K5131" i="1"/>
  <c r="L5131" i="1"/>
  <c r="A5132" i="1"/>
  <c r="B5132" i="1"/>
  <c r="C5132" i="1"/>
  <c r="D5132" i="1"/>
  <c r="Q5132" i="1"/>
  <c r="R5132" i="1"/>
  <c r="E5132" i="1"/>
  <c r="G5132" i="1"/>
  <c r="H5132" i="1"/>
  <c r="J5132" i="1"/>
  <c r="K5132" i="1"/>
  <c r="L5132" i="1"/>
  <c r="A5133" i="1"/>
  <c r="B5133" i="1"/>
  <c r="C5133" i="1"/>
  <c r="D5133" i="1"/>
  <c r="Q5133" i="1"/>
  <c r="R5133" i="1"/>
  <c r="E5133" i="1"/>
  <c r="G5133" i="1"/>
  <c r="H5133" i="1"/>
  <c r="J5133" i="1"/>
  <c r="K5133" i="1"/>
  <c r="L5133" i="1"/>
  <c r="A5134" i="1"/>
  <c r="B5134" i="1"/>
  <c r="C5134" i="1"/>
  <c r="D5134" i="1"/>
  <c r="Q5134" i="1"/>
  <c r="R5134" i="1"/>
  <c r="E5134" i="1"/>
  <c r="G5134" i="1"/>
  <c r="H5134" i="1"/>
  <c r="J5134" i="1"/>
  <c r="K5134" i="1"/>
  <c r="L5134" i="1"/>
  <c r="A5135" i="1"/>
  <c r="B5135" i="1"/>
  <c r="C5135" i="1"/>
  <c r="D5135" i="1"/>
  <c r="Q5135" i="1"/>
  <c r="R5135" i="1"/>
  <c r="E5135" i="1"/>
  <c r="G5135" i="1"/>
  <c r="H5135" i="1"/>
  <c r="J5135" i="1"/>
  <c r="K5135" i="1"/>
  <c r="L5135" i="1"/>
  <c r="A5136" i="1"/>
  <c r="B5136" i="1"/>
  <c r="C5136" i="1"/>
  <c r="D5136" i="1"/>
  <c r="Q5136" i="1"/>
  <c r="R5136" i="1"/>
  <c r="E5136" i="1"/>
  <c r="G5136" i="1"/>
  <c r="H5136" i="1"/>
  <c r="J5136" i="1"/>
  <c r="K5136" i="1"/>
  <c r="L5136" i="1"/>
  <c r="A5137" i="1"/>
  <c r="B5137" i="1"/>
  <c r="C5137" i="1"/>
  <c r="D5137" i="1"/>
  <c r="Q5137" i="1"/>
  <c r="R5137" i="1"/>
  <c r="E5137" i="1"/>
  <c r="G5137" i="1"/>
  <c r="H5137" i="1"/>
  <c r="J5137" i="1"/>
  <c r="K5137" i="1"/>
  <c r="L5137" i="1"/>
  <c r="A5138" i="1"/>
  <c r="B5138" i="1"/>
  <c r="C5138" i="1"/>
  <c r="D5138" i="1"/>
  <c r="Q5138" i="1"/>
  <c r="R5138" i="1"/>
  <c r="E5138" i="1"/>
  <c r="G5138" i="1"/>
  <c r="H5138" i="1"/>
  <c r="J5138" i="1"/>
  <c r="K5138" i="1"/>
  <c r="L5138" i="1"/>
  <c r="A5139" i="1"/>
  <c r="B5139" i="1"/>
  <c r="C5139" i="1"/>
  <c r="D5139" i="1"/>
  <c r="Q5139" i="1"/>
  <c r="R5139" i="1"/>
  <c r="E5139" i="1"/>
  <c r="G5139" i="1"/>
  <c r="H5139" i="1"/>
  <c r="J5139" i="1"/>
  <c r="K5139" i="1"/>
  <c r="L5139" i="1"/>
  <c r="A5140" i="1"/>
  <c r="B5140" i="1"/>
  <c r="C5140" i="1"/>
  <c r="D5140" i="1"/>
  <c r="Q5140" i="1"/>
  <c r="R5140" i="1"/>
  <c r="E5140" i="1"/>
  <c r="G5140" i="1"/>
  <c r="H5140" i="1"/>
  <c r="J5140" i="1"/>
  <c r="K5140" i="1"/>
  <c r="L5140" i="1"/>
  <c r="A5141" i="1"/>
  <c r="B5141" i="1"/>
  <c r="C5141" i="1"/>
  <c r="D5141" i="1"/>
  <c r="Q5141" i="1"/>
  <c r="R5141" i="1"/>
  <c r="E5141" i="1"/>
  <c r="G5141" i="1"/>
  <c r="H5141" i="1"/>
  <c r="J5141" i="1"/>
  <c r="K5141" i="1"/>
  <c r="L5141" i="1"/>
  <c r="A5142" i="1"/>
  <c r="B5142" i="1"/>
  <c r="C5142" i="1"/>
  <c r="D5142" i="1"/>
  <c r="Q5142" i="1"/>
  <c r="R5142" i="1"/>
  <c r="E5142" i="1"/>
  <c r="G5142" i="1"/>
  <c r="H5142" i="1"/>
  <c r="J5142" i="1"/>
  <c r="K5142" i="1"/>
  <c r="L5142" i="1"/>
  <c r="A5143" i="1"/>
  <c r="B5143" i="1"/>
  <c r="C5143" i="1"/>
  <c r="D5143" i="1"/>
  <c r="Q5143" i="1"/>
  <c r="R5143" i="1"/>
  <c r="E5143" i="1"/>
  <c r="G5143" i="1"/>
  <c r="H5143" i="1"/>
  <c r="J5143" i="1"/>
  <c r="K5143" i="1"/>
  <c r="L5143" i="1"/>
  <c r="A5144" i="1"/>
  <c r="B5144" i="1"/>
  <c r="C5144" i="1"/>
  <c r="D5144" i="1"/>
  <c r="Q5144" i="1"/>
  <c r="R5144" i="1"/>
  <c r="E5144" i="1"/>
  <c r="G5144" i="1"/>
  <c r="H5144" i="1"/>
  <c r="J5144" i="1"/>
  <c r="K5144" i="1"/>
  <c r="L5144" i="1"/>
  <c r="A5145" i="1"/>
  <c r="B5145" i="1"/>
  <c r="C5145" i="1"/>
  <c r="D5145" i="1"/>
  <c r="Q5145" i="1"/>
  <c r="R5145" i="1"/>
  <c r="E5145" i="1"/>
  <c r="G5145" i="1"/>
  <c r="H5145" i="1"/>
  <c r="J5145" i="1"/>
  <c r="K5145" i="1"/>
  <c r="L5145" i="1"/>
  <c r="A5146" i="1"/>
  <c r="B5146" i="1"/>
  <c r="C5146" i="1"/>
  <c r="D5146" i="1"/>
  <c r="Q5146" i="1"/>
  <c r="R5146" i="1"/>
  <c r="E5146" i="1"/>
  <c r="G5146" i="1"/>
  <c r="H5146" i="1"/>
  <c r="J5146" i="1"/>
  <c r="K5146" i="1"/>
  <c r="L5146" i="1"/>
  <c r="A5147" i="1"/>
  <c r="B5147" i="1"/>
  <c r="C5147" i="1"/>
  <c r="D5147" i="1"/>
  <c r="Q5147" i="1"/>
  <c r="R5147" i="1"/>
  <c r="E5147" i="1"/>
  <c r="G5147" i="1"/>
  <c r="H5147" i="1"/>
  <c r="J5147" i="1"/>
  <c r="K5147" i="1"/>
  <c r="L5147" i="1"/>
  <c r="A5148" i="1"/>
  <c r="B5148" i="1"/>
  <c r="C5148" i="1"/>
  <c r="D5148" i="1"/>
  <c r="Q5148" i="1"/>
  <c r="R5148" i="1"/>
  <c r="E5148" i="1"/>
  <c r="G5148" i="1"/>
  <c r="H5148" i="1"/>
  <c r="J5148" i="1"/>
  <c r="K5148" i="1"/>
  <c r="L5148" i="1"/>
  <c r="A5149" i="1"/>
  <c r="B5149" i="1"/>
  <c r="C5149" i="1"/>
  <c r="D5149" i="1"/>
  <c r="Q5149" i="1"/>
  <c r="R5149" i="1"/>
  <c r="E5149" i="1"/>
  <c r="G5149" i="1"/>
  <c r="H5149" i="1"/>
  <c r="J5149" i="1"/>
  <c r="K5149" i="1"/>
  <c r="L5149" i="1"/>
  <c r="A5150" i="1"/>
  <c r="B5150" i="1"/>
  <c r="C5150" i="1"/>
  <c r="D5150" i="1"/>
  <c r="Q5150" i="1"/>
  <c r="R5150" i="1"/>
  <c r="E5150" i="1"/>
  <c r="G5150" i="1"/>
  <c r="H5150" i="1"/>
  <c r="J5150" i="1"/>
  <c r="K5150" i="1"/>
  <c r="L5150" i="1"/>
  <c r="A5151" i="1"/>
  <c r="B5151" i="1"/>
  <c r="C5151" i="1"/>
  <c r="D5151" i="1"/>
  <c r="Q5151" i="1"/>
  <c r="R5151" i="1"/>
  <c r="E5151" i="1"/>
  <c r="G5151" i="1"/>
  <c r="H5151" i="1"/>
  <c r="J5151" i="1"/>
  <c r="K5151" i="1"/>
  <c r="L5151" i="1"/>
  <c r="A5152" i="1"/>
  <c r="B5152" i="1"/>
  <c r="C5152" i="1"/>
  <c r="D5152" i="1"/>
  <c r="Q5152" i="1"/>
  <c r="R5152" i="1"/>
  <c r="E5152" i="1"/>
  <c r="G5152" i="1"/>
  <c r="H5152" i="1"/>
  <c r="J5152" i="1"/>
  <c r="K5152" i="1"/>
  <c r="L5152" i="1"/>
  <c r="A5153" i="1"/>
  <c r="B5153" i="1"/>
  <c r="C5153" i="1"/>
  <c r="D5153" i="1"/>
  <c r="Q5153" i="1"/>
  <c r="R5153" i="1"/>
  <c r="E5153" i="1"/>
  <c r="G5153" i="1"/>
  <c r="H5153" i="1"/>
  <c r="J5153" i="1"/>
  <c r="K5153" i="1"/>
  <c r="L5153" i="1"/>
  <c r="A5154" i="1"/>
  <c r="B5154" i="1"/>
  <c r="C5154" i="1"/>
  <c r="D5154" i="1"/>
  <c r="Q5154" i="1"/>
  <c r="R5154" i="1"/>
  <c r="E5154" i="1"/>
  <c r="G5154" i="1"/>
  <c r="H5154" i="1"/>
  <c r="J5154" i="1"/>
  <c r="K5154" i="1"/>
  <c r="L5154" i="1"/>
  <c r="A5155" i="1"/>
  <c r="B5155" i="1"/>
  <c r="C5155" i="1"/>
  <c r="D5155" i="1"/>
  <c r="Q5155" i="1"/>
  <c r="R5155" i="1"/>
  <c r="E5155" i="1"/>
  <c r="G5155" i="1"/>
  <c r="H5155" i="1"/>
  <c r="J5155" i="1"/>
  <c r="K5155" i="1"/>
  <c r="L5155" i="1"/>
  <c r="A5156" i="1"/>
  <c r="B5156" i="1"/>
  <c r="C5156" i="1"/>
  <c r="D5156" i="1"/>
  <c r="Q5156" i="1"/>
  <c r="R5156" i="1"/>
  <c r="E5156" i="1"/>
  <c r="G5156" i="1"/>
  <c r="H5156" i="1"/>
  <c r="J5156" i="1"/>
  <c r="K5156" i="1"/>
  <c r="L5156" i="1"/>
  <c r="A5157" i="1"/>
  <c r="B5157" i="1"/>
  <c r="C5157" i="1"/>
  <c r="D5157" i="1"/>
  <c r="Q5157" i="1"/>
  <c r="R5157" i="1"/>
  <c r="E5157" i="1"/>
  <c r="G5157" i="1"/>
  <c r="H5157" i="1"/>
  <c r="J5157" i="1"/>
  <c r="K5157" i="1"/>
  <c r="L5157" i="1"/>
  <c r="A5158" i="1"/>
  <c r="B5158" i="1"/>
  <c r="C5158" i="1"/>
  <c r="D5158" i="1"/>
  <c r="Q5158" i="1"/>
  <c r="R5158" i="1"/>
  <c r="E5158" i="1"/>
  <c r="G5158" i="1"/>
  <c r="H5158" i="1"/>
  <c r="J5158" i="1"/>
  <c r="K5158" i="1"/>
  <c r="L5158" i="1"/>
  <c r="A5159" i="1"/>
  <c r="B5159" i="1"/>
  <c r="C5159" i="1"/>
  <c r="D5159" i="1"/>
  <c r="Q5159" i="1"/>
  <c r="R5159" i="1"/>
  <c r="E5159" i="1"/>
  <c r="G5159" i="1"/>
  <c r="H5159" i="1"/>
  <c r="J5159" i="1"/>
  <c r="K5159" i="1"/>
  <c r="L5159" i="1"/>
  <c r="A5160" i="1"/>
  <c r="B5160" i="1"/>
  <c r="C5160" i="1"/>
  <c r="D5160" i="1"/>
  <c r="Q5160" i="1"/>
  <c r="R5160" i="1"/>
  <c r="E5160" i="1"/>
  <c r="G5160" i="1"/>
  <c r="H5160" i="1"/>
  <c r="J5160" i="1"/>
  <c r="K5160" i="1"/>
  <c r="L5160" i="1"/>
  <c r="A5161" i="1"/>
  <c r="B5161" i="1"/>
  <c r="C5161" i="1"/>
  <c r="D5161" i="1"/>
  <c r="Q5161" i="1"/>
  <c r="R5161" i="1"/>
  <c r="E5161" i="1"/>
  <c r="G5161" i="1"/>
  <c r="H5161" i="1"/>
  <c r="J5161" i="1"/>
  <c r="K5161" i="1"/>
  <c r="L5161" i="1"/>
  <c r="A5162" i="1"/>
  <c r="B5162" i="1"/>
  <c r="C5162" i="1"/>
  <c r="D5162" i="1"/>
  <c r="Q5162" i="1"/>
  <c r="R5162" i="1"/>
  <c r="E5162" i="1"/>
  <c r="G5162" i="1"/>
  <c r="H5162" i="1"/>
  <c r="J5162" i="1"/>
  <c r="K5162" i="1"/>
  <c r="L5162" i="1"/>
  <c r="A5163" i="1"/>
  <c r="B5163" i="1"/>
  <c r="C5163" i="1"/>
  <c r="D5163" i="1"/>
  <c r="Q5163" i="1"/>
  <c r="R5163" i="1"/>
  <c r="E5163" i="1"/>
  <c r="G5163" i="1"/>
  <c r="H5163" i="1"/>
  <c r="J5163" i="1"/>
  <c r="K5163" i="1"/>
  <c r="L5163" i="1"/>
  <c r="A5164" i="1"/>
  <c r="B5164" i="1"/>
  <c r="C5164" i="1"/>
  <c r="D5164" i="1"/>
  <c r="Q5164" i="1"/>
  <c r="R5164" i="1"/>
  <c r="E5164" i="1"/>
  <c r="G5164" i="1"/>
  <c r="H5164" i="1"/>
  <c r="J5164" i="1"/>
  <c r="K5164" i="1"/>
  <c r="L5164" i="1"/>
  <c r="A5165" i="1"/>
  <c r="B5165" i="1"/>
  <c r="C5165" i="1"/>
  <c r="D5165" i="1"/>
  <c r="Q5165" i="1"/>
  <c r="R5165" i="1"/>
  <c r="E5165" i="1"/>
  <c r="G5165" i="1"/>
  <c r="H5165" i="1"/>
  <c r="J5165" i="1"/>
  <c r="K5165" i="1"/>
  <c r="L5165" i="1"/>
  <c r="A5166" i="1"/>
  <c r="B5166" i="1"/>
  <c r="C5166" i="1"/>
  <c r="D5166" i="1"/>
  <c r="Q5166" i="1"/>
  <c r="R5166" i="1"/>
  <c r="E5166" i="1"/>
  <c r="G5166" i="1"/>
  <c r="H5166" i="1"/>
  <c r="J5166" i="1"/>
  <c r="K5166" i="1"/>
  <c r="L5166" i="1"/>
  <c r="A5167" i="1"/>
  <c r="B5167" i="1"/>
  <c r="C5167" i="1"/>
  <c r="D5167" i="1"/>
  <c r="Q5167" i="1"/>
  <c r="R5167" i="1"/>
  <c r="E5167" i="1"/>
  <c r="G5167" i="1"/>
  <c r="H5167" i="1"/>
  <c r="J5167" i="1"/>
  <c r="K5167" i="1"/>
  <c r="L5167" i="1"/>
  <c r="A5168" i="1"/>
  <c r="B5168" i="1"/>
  <c r="C5168" i="1"/>
  <c r="D5168" i="1"/>
  <c r="Q5168" i="1"/>
  <c r="R5168" i="1"/>
  <c r="E5168" i="1"/>
  <c r="G5168" i="1"/>
  <c r="H5168" i="1"/>
  <c r="J5168" i="1"/>
  <c r="K5168" i="1"/>
  <c r="L5168" i="1"/>
  <c r="A5169" i="1"/>
  <c r="B5169" i="1"/>
  <c r="C5169" i="1"/>
  <c r="D5169" i="1"/>
  <c r="Q5169" i="1"/>
  <c r="R5169" i="1"/>
  <c r="E5169" i="1"/>
  <c r="G5169" i="1"/>
  <c r="H5169" i="1"/>
  <c r="J5169" i="1"/>
  <c r="K5169" i="1"/>
  <c r="L5169" i="1"/>
  <c r="A5170" i="1"/>
  <c r="B5170" i="1"/>
  <c r="C5170" i="1"/>
  <c r="D5170" i="1"/>
  <c r="Q5170" i="1"/>
  <c r="R5170" i="1"/>
  <c r="E5170" i="1"/>
  <c r="G5170" i="1"/>
  <c r="H5170" i="1"/>
  <c r="J5170" i="1"/>
  <c r="K5170" i="1"/>
  <c r="L5170" i="1"/>
  <c r="A5171" i="1"/>
  <c r="B5171" i="1"/>
  <c r="C5171" i="1"/>
  <c r="D5171" i="1"/>
  <c r="Q5171" i="1"/>
  <c r="R5171" i="1"/>
  <c r="E5171" i="1"/>
  <c r="F5171" i="1"/>
  <c r="G5171" i="1"/>
  <c r="H5171" i="1"/>
  <c r="J5171" i="1"/>
  <c r="K5171" i="1"/>
  <c r="L5171" i="1"/>
  <c r="A5172" i="1"/>
  <c r="B5172" i="1"/>
  <c r="C5172" i="1"/>
  <c r="D5172" i="1"/>
  <c r="Q5172" i="1"/>
  <c r="R5172" i="1"/>
  <c r="E5172" i="1"/>
  <c r="F5172" i="1"/>
  <c r="G5172" i="1"/>
  <c r="H5172" i="1"/>
  <c r="J5172" i="1"/>
  <c r="K5172" i="1"/>
  <c r="L5172" i="1"/>
  <c r="A5173" i="1"/>
  <c r="B5173" i="1"/>
  <c r="C5173" i="1"/>
  <c r="D5173" i="1"/>
  <c r="Q5173" i="1"/>
  <c r="R5173" i="1"/>
  <c r="E5173" i="1"/>
  <c r="F5173" i="1"/>
  <c r="G5173" i="1"/>
  <c r="H5173" i="1"/>
  <c r="J5173" i="1"/>
  <c r="K5173" i="1"/>
  <c r="L5173" i="1"/>
  <c r="A5174" i="1"/>
  <c r="B5174" i="1"/>
  <c r="C5174" i="1"/>
  <c r="D5174" i="1"/>
  <c r="Q5174" i="1"/>
  <c r="R5174" i="1"/>
  <c r="E5174" i="1"/>
  <c r="F5174" i="1"/>
  <c r="G5174" i="1"/>
  <c r="H5174" i="1"/>
  <c r="J5174" i="1"/>
  <c r="K5174" i="1"/>
  <c r="L5174" i="1"/>
  <c r="A5175" i="1"/>
  <c r="B5175" i="1"/>
  <c r="C5175" i="1"/>
  <c r="D5175" i="1"/>
  <c r="Q5175" i="1"/>
  <c r="R5175" i="1"/>
  <c r="E5175" i="1"/>
  <c r="F5175" i="1"/>
  <c r="G5175" i="1"/>
  <c r="H5175" i="1"/>
  <c r="J5175" i="1"/>
  <c r="K5175" i="1"/>
  <c r="L5175" i="1"/>
  <c r="A5176" i="1"/>
  <c r="B5176" i="1"/>
  <c r="C5176" i="1"/>
  <c r="D5176" i="1"/>
  <c r="Q5176" i="1"/>
  <c r="R5176" i="1"/>
  <c r="E5176" i="1"/>
  <c r="F5176" i="1"/>
  <c r="G5176" i="1"/>
  <c r="H5176" i="1"/>
  <c r="J5176" i="1"/>
  <c r="K5176" i="1"/>
  <c r="L5176" i="1"/>
  <c r="A5177" i="1"/>
  <c r="B5177" i="1"/>
  <c r="C5177" i="1"/>
  <c r="D5177" i="1"/>
  <c r="Q5177" i="1"/>
  <c r="R5177" i="1"/>
  <c r="E5177" i="1"/>
  <c r="F5177" i="1"/>
  <c r="G5177" i="1"/>
  <c r="H5177" i="1"/>
  <c r="J5177" i="1"/>
  <c r="K5177" i="1"/>
  <c r="L5177" i="1"/>
  <c r="A5178" i="1"/>
  <c r="B5178" i="1"/>
  <c r="C5178" i="1"/>
  <c r="D5178" i="1"/>
  <c r="Q5178" i="1"/>
  <c r="R5178" i="1"/>
  <c r="E5178" i="1"/>
  <c r="F5178" i="1"/>
  <c r="G5178" i="1"/>
  <c r="H5178" i="1"/>
  <c r="J5178" i="1"/>
  <c r="K5178" i="1"/>
  <c r="L5178" i="1"/>
  <c r="A5179" i="1"/>
  <c r="B5179" i="1"/>
  <c r="C5179" i="1"/>
  <c r="D5179" i="1"/>
  <c r="Q5179" i="1"/>
  <c r="R5179" i="1"/>
  <c r="E5179" i="1"/>
  <c r="F5179" i="1"/>
  <c r="G5179" i="1"/>
  <c r="H5179" i="1"/>
  <c r="J5179" i="1"/>
  <c r="K5179" i="1"/>
  <c r="L5179" i="1"/>
  <c r="A5180" i="1"/>
  <c r="B5180" i="1"/>
  <c r="C5180" i="1"/>
  <c r="D5180" i="1"/>
  <c r="Q5180" i="1"/>
  <c r="R5180" i="1"/>
  <c r="E5180" i="1"/>
  <c r="F5180" i="1"/>
  <c r="G5180" i="1"/>
  <c r="H5180" i="1"/>
  <c r="J5180" i="1"/>
  <c r="K5180" i="1"/>
  <c r="L5180" i="1"/>
  <c r="A5181" i="1"/>
  <c r="B5181" i="1"/>
  <c r="C5181" i="1"/>
  <c r="D5181" i="1"/>
  <c r="Q5181" i="1"/>
  <c r="R5181" i="1"/>
  <c r="E5181" i="1"/>
  <c r="F5181" i="1"/>
  <c r="G5181" i="1"/>
  <c r="H5181" i="1"/>
  <c r="J5181" i="1"/>
  <c r="K5181" i="1"/>
  <c r="L5181" i="1"/>
  <c r="A5182" i="1"/>
  <c r="B5182" i="1"/>
  <c r="C5182" i="1"/>
  <c r="D5182" i="1"/>
  <c r="Q5182" i="1"/>
  <c r="R5182" i="1"/>
  <c r="E5182" i="1"/>
  <c r="F5182" i="1"/>
  <c r="G5182" i="1"/>
  <c r="H5182" i="1"/>
  <c r="J5182" i="1"/>
  <c r="K5182" i="1"/>
  <c r="L5182" i="1"/>
  <c r="A5183" i="1"/>
  <c r="B5183" i="1"/>
  <c r="C5183" i="1"/>
  <c r="D5183" i="1"/>
  <c r="Q5183" i="1"/>
  <c r="R5183" i="1"/>
  <c r="E5183" i="1"/>
  <c r="F5183" i="1"/>
  <c r="G5183" i="1"/>
  <c r="H5183" i="1"/>
  <c r="J5183" i="1"/>
  <c r="K5183" i="1"/>
  <c r="L5183" i="1"/>
  <c r="A5184" i="1"/>
  <c r="B5184" i="1"/>
  <c r="C5184" i="1"/>
  <c r="D5184" i="1"/>
  <c r="Q5184" i="1"/>
  <c r="R5184" i="1"/>
  <c r="E5184" i="1"/>
  <c r="F5184" i="1"/>
  <c r="G5184" i="1"/>
  <c r="H5184" i="1"/>
  <c r="J5184" i="1"/>
  <c r="K5184" i="1"/>
  <c r="L5184" i="1"/>
  <c r="A5185" i="1"/>
  <c r="B5185" i="1"/>
  <c r="C5185" i="1"/>
  <c r="D5185" i="1"/>
  <c r="Q5185" i="1"/>
  <c r="R5185" i="1"/>
  <c r="E5185" i="1"/>
  <c r="F5185" i="1"/>
  <c r="G5185" i="1"/>
  <c r="H5185" i="1"/>
  <c r="J5185" i="1"/>
  <c r="K5185" i="1"/>
  <c r="L5185" i="1"/>
  <c r="A5186" i="1"/>
  <c r="B5186" i="1"/>
  <c r="C5186" i="1"/>
  <c r="D5186" i="1"/>
  <c r="Q5186" i="1"/>
  <c r="R5186" i="1"/>
  <c r="E5186" i="1"/>
  <c r="F5186" i="1"/>
  <c r="G5186" i="1"/>
  <c r="H5186" i="1"/>
  <c r="J5186" i="1"/>
  <c r="K5186" i="1"/>
  <c r="L5186" i="1"/>
  <c r="A5187" i="1"/>
  <c r="B5187" i="1"/>
  <c r="C5187" i="1"/>
  <c r="D5187" i="1"/>
  <c r="Q5187" i="1"/>
  <c r="R5187" i="1"/>
  <c r="E5187" i="1"/>
  <c r="F5187" i="1"/>
  <c r="G5187" i="1"/>
  <c r="H5187" i="1"/>
  <c r="J5187" i="1"/>
  <c r="K5187" i="1"/>
  <c r="L5187" i="1"/>
  <c r="A5188" i="1"/>
  <c r="B5188" i="1"/>
  <c r="C5188" i="1"/>
  <c r="D5188" i="1"/>
  <c r="Q5188" i="1"/>
  <c r="R5188" i="1"/>
  <c r="E5188" i="1"/>
  <c r="F5188" i="1"/>
  <c r="G5188" i="1"/>
  <c r="H5188" i="1"/>
  <c r="J5188" i="1"/>
  <c r="K5188" i="1"/>
  <c r="L5188" i="1"/>
  <c r="A5189" i="1"/>
  <c r="B5189" i="1"/>
  <c r="C5189" i="1"/>
  <c r="D5189" i="1"/>
  <c r="Q5189" i="1"/>
  <c r="R5189" i="1"/>
  <c r="E5189" i="1"/>
  <c r="F5189" i="1"/>
  <c r="G5189" i="1"/>
  <c r="H5189" i="1"/>
  <c r="J5189" i="1"/>
  <c r="K5189" i="1"/>
  <c r="L5189" i="1"/>
  <c r="A5190" i="1"/>
  <c r="B5190" i="1"/>
  <c r="C5190" i="1"/>
  <c r="D5190" i="1"/>
  <c r="Q5190" i="1"/>
  <c r="R5190" i="1"/>
  <c r="E5190" i="1"/>
  <c r="F5190" i="1"/>
  <c r="G5190" i="1"/>
  <c r="H5190" i="1"/>
  <c r="J5190" i="1"/>
  <c r="K5190" i="1"/>
  <c r="L5190" i="1"/>
  <c r="A5191" i="1"/>
  <c r="B5191" i="1"/>
  <c r="C5191" i="1"/>
  <c r="D5191" i="1"/>
  <c r="Q5191" i="1"/>
  <c r="R5191" i="1"/>
  <c r="E5191" i="1"/>
  <c r="F5191" i="1"/>
  <c r="G5191" i="1"/>
  <c r="H5191" i="1"/>
  <c r="J5191" i="1"/>
  <c r="K5191" i="1"/>
  <c r="L5191" i="1"/>
  <c r="A5192" i="1"/>
  <c r="B5192" i="1"/>
  <c r="C5192" i="1"/>
  <c r="D5192" i="1"/>
  <c r="Q5192" i="1"/>
  <c r="R5192" i="1"/>
  <c r="E5192" i="1"/>
  <c r="F5192" i="1"/>
  <c r="G5192" i="1"/>
  <c r="H5192" i="1"/>
  <c r="J5192" i="1"/>
  <c r="K5192" i="1"/>
  <c r="L5192" i="1"/>
  <c r="A5193" i="1"/>
  <c r="B5193" i="1"/>
  <c r="C5193" i="1"/>
  <c r="D5193" i="1"/>
  <c r="Q5193" i="1"/>
  <c r="R5193" i="1"/>
  <c r="E5193" i="1"/>
  <c r="F5193" i="1"/>
  <c r="G5193" i="1"/>
  <c r="H5193" i="1"/>
  <c r="J5193" i="1"/>
  <c r="K5193" i="1"/>
  <c r="L5193" i="1"/>
  <c r="A5194" i="1"/>
  <c r="B5194" i="1"/>
  <c r="C5194" i="1"/>
  <c r="D5194" i="1"/>
  <c r="Q5194" i="1"/>
  <c r="R5194" i="1"/>
  <c r="E5194" i="1"/>
  <c r="F5194" i="1"/>
  <c r="G5194" i="1"/>
  <c r="H5194" i="1"/>
  <c r="J5194" i="1"/>
  <c r="K5194" i="1"/>
  <c r="L5194" i="1"/>
  <c r="A5195" i="1"/>
  <c r="B5195" i="1"/>
  <c r="C5195" i="1"/>
  <c r="D5195" i="1"/>
  <c r="Q5195" i="1"/>
  <c r="R5195" i="1"/>
  <c r="E5195" i="1"/>
  <c r="F5195" i="1"/>
  <c r="G5195" i="1"/>
  <c r="H5195" i="1"/>
  <c r="J5195" i="1"/>
  <c r="K5195" i="1"/>
  <c r="L5195" i="1"/>
  <c r="A5196" i="1"/>
  <c r="B5196" i="1"/>
  <c r="C5196" i="1"/>
  <c r="D5196" i="1"/>
  <c r="Q5196" i="1"/>
  <c r="R5196" i="1"/>
  <c r="E5196" i="1"/>
  <c r="G5196" i="1"/>
  <c r="H5196" i="1"/>
  <c r="J5196" i="1"/>
  <c r="K5196" i="1"/>
  <c r="L5196" i="1"/>
  <c r="A5197" i="1"/>
  <c r="B5197" i="1"/>
  <c r="C5197" i="1"/>
  <c r="D5197" i="1"/>
  <c r="Q5197" i="1"/>
  <c r="R5197" i="1"/>
  <c r="E5197" i="1"/>
  <c r="G5197" i="1"/>
  <c r="H5197" i="1"/>
  <c r="J5197" i="1"/>
  <c r="K5197" i="1"/>
  <c r="L5197" i="1"/>
  <c r="A5198" i="1"/>
  <c r="B5198" i="1"/>
  <c r="C5198" i="1"/>
  <c r="D5198" i="1"/>
  <c r="Q5198" i="1"/>
  <c r="R5198" i="1"/>
  <c r="E5198" i="1"/>
  <c r="G5198" i="1"/>
  <c r="H5198" i="1"/>
  <c r="J5198" i="1"/>
  <c r="K5198" i="1"/>
  <c r="L5198" i="1"/>
  <c r="A5199" i="1"/>
  <c r="B5199" i="1"/>
  <c r="C5199" i="1"/>
  <c r="D5199" i="1"/>
  <c r="Q5199" i="1"/>
  <c r="R5199" i="1"/>
  <c r="E5199" i="1"/>
  <c r="G5199" i="1"/>
  <c r="H5199" i="1"/>
  <c r="J5199" i="1"/>
  <c r="K5199" i="1"/>
  <c r="L5199" i="1"/>
  <c r="A5200" i="1"/>
  <c r="B5200" i="1"/>
  <c r="C5200" i="1"/>
  <c r="D5200" i="1"/>
  <c r="Q5200" i="1"/>
  <c r="R5200" i="1"/>
  <c r="E5200" i="1"/>
  <c r="G5200" i="1"/>
  <c r="H5200" i="1"/>
  <c r="J5200" i="1"/>
  <c r="K5200" i="1"/>
  <c r="L5200" i="1"/>
  <c r="A5201" i="1"/>
  <c r="B5201" i="1"/>
  <c r="C5201" i="1"/>
  <c r="D5201" i="1"/>
  <c r="Q5201" i="1"/>
  <c r="R5201" i="1"/>
  <c r="E5201" i="1"/>
  <c r="G5201" i="1"/>
  <c r="H5201" i="1"/>
  <c r="J5201" i="1"/>
  <c r="K5201" i="1"/>
  <c r="L5201" i="1"/>
  <c r="A5202" i="1"/>
  <c r="B5202" i="1"/>
  <c r="C5202" i="1"/>
  <c r="D5202" i="1"/>
  <c r="Q5202" i="1"/>
  <c r="R5202" i="1"/>
  <c r="E5202" i="1"/>
  <c r="G5202" i="1"/>
  <c r="H5202" i="1"/>
  <c r="J5202" i="1"/>
  <c r="K5202" i="1"/>
  <c r="L5202" i="1"/>
  <c r="A5203" i="1"/>
  <c r="B5203" i="1"/>
  <c r="C5203" i="1"/>
  <c r="D5203" i="1"/>
  <c r="Q5203" i="1"/>
  <c r="R5203" i="1"/>
  <c r="E5203" i="1"/>
  <c r="G5203" i="1"/>
  <c r="H5203" i="1"/>
  <c r="J5203" i="1"/>
  <c r="K5203" i="1"/>
  <c r="L5203" i="1"/>
  <c r="A5204" i="1"/>
  <c r="B5204" i="1"/>
  <c r="C5204" i="1"/>
  <c r="D5204" i="1"/>
  <c r="Q5204" i="1"/>
  <c r="R5204" i="1"/>
  <c r="E5204" i="1"/>
  <c r="G5204" i="1"/>
  <c r="H5204" i="1"/>
  <c r="J5204" i="1"/>
  <c r="K5204" i="1"/>
  <c r="L5204" i="1"/>
  <c r="A5205" i="1"/>
  <c r="B5205" i="1"/>
  <c r="C5205" i="1"/>
  <c r="D5205" i="1"/>
  <c r="Q5205" i="1"/>
  <c r="R5205" i="1"/>
  <c r="E5205" i="1"/>
  <c r="G5205" i="1"/>
  <c r="H5205" i="1"/>
  <c r="J5205" i="1"/>
  <c r="K5205" i="1"/>
  <c r="L5205" i="1"/>
  <c r="A5206" i="1"/>
  <c r="B5206" i="1"/>
  <c r="C5206" i="1"/>
  <c r="D5206" i="1"/>
  <c r="Q5206" i="1"/>
  <c r="R5206" i="1"/>
  <c r="E5206" i="1"/>
  <c r="G5206" i="1"/>
  <c r="H5206" i="1"/>
  <c r="J5206" i="1"/>
  <c r="K5206" i="1"/>
  <c r="L5206" i="1"/>
  <c r="A5207" i="1"/>
  <c r="B5207" i="1"/>
  <c r="C5207" i="1"/>
  <c r="D5207" i="1"/>
  <c r="Q5207" i="1"/>
  <c r="R5207" i="1"/>
  <c r="E5207" i="1"/>
  <c r="G5207" i="1"/>
  <c r="H5207" i="1"/>
  <c r="J5207" i="1"/>
  <c r="K5207" i="1"/>
  <c r="L5207" i="1"/>
  <c r="A5208" i="1"/>
  <c r="B5208" i="1"/>
  <c r="C5208" i="1"/>
  <c r="D5208" i="1"/>
  <c r="Q5208" i="1"/>
  <c r="R5208" i="1"/>
  <c r="E5208" i="1"/>
  <c r="G5208" i="1"/>
  <c r="H5208" i="1"/>
  <c r="J5208" i="1"/>
  <c r="K5208" i="1"/>
  <c r="L5208" i="1"/>
  <c r="A5209" i="1"/>
  <c r="B5209" i="1"/>
  <c r="C5209" i="1"/>
  <c r="D5209" i="1"/>
  <c r="Q5209" i="1"/>
  <c r="R5209" i="1"/>
  <c r="E5209" i="1"/>
  <c r="G5209" i="1"/>
  <c r="H5209" i="1"/>
  <c r="J5209" i="1"/>
  <c r="K5209" i="1"/>
  <c r="L5209" i="1"/>
  <c r="A5210" i="1"/>
  <c r="B5210" i="1"/>
  <c r="C5210" i="1"/>
  <c r="D5210" i="1"/>
  <c r="Q5210" i="1"/>
  <c r="R5210" i="1"/>
  <c r="E5210" i="1"/>
  <c r="G5210" i="1"/>
  <c r="H5210" i="1"/>
  <c r="J5210" i="1"/>
  <c r="K5210" i="1"/>
  <c r="L5210" i="1"/>
  <c r="A5211" i="1"/>
  <c r="B5211" i="1"/>
  <c r="C5211" i="1"/>
  <c r="D5211" i="1"/>
  <c r="Q5211" i="1"/>
  <c r="R5211" i="1"/>
  <c r="E5211" i="1"/>
  <c r="G5211" i="1"/>
  <c r="H5211" i="1"/>
  <c r="J5211" i="1"/>
  <c r="K5211" i="1"/>
  <c r="L5211" i="1"/>
  <c r="A5212" i="1"/>
  <c r="B5212" i="1"/>
  <c r="C5212" i="1"/>
  <c r="D5212" i="1"/>
  <c r="Q5212" i="1"/>
  <c r="R5212" i="1"/>
  <c r="E5212" i="1"/>
  <c r="G5212" i="1"/>
  <c r="H5212" i="1"/>
  <c r="J5212" i="1"/>
  <c r="K5212" i="1"/>
  <c r="L5212" i="1"/>
  <c r="A5213" i="1"/>
  <c r="B5213" i="1"/>
  <c r="C5213" i="1"/>
  <c r="D5213" i="1"/>
  <c r="Q5213" i="1"/>
  <c r="R5213" i="1"/>
  <c r="E5213" i="1"/>
  <c r="G5213" i="1"/>
  <c r="H5213" i="1"/>
  <c r="J5213" i="1"/>
  <c r="K5213" i="1"/>
  <c r="L5213" i="1"/>
  <c r="A5214" i="1"/>
  <c r="B5214" i="1"/>
  <c r="C5214" i="1"/>
  <c r="D5214" i="1"/>
  <c r="Q5214" i="1"/>
  <c r="R5214" i="1"/>
  <c r="E5214" i="1"/>
  <c r="G5214" i="1"/>
  <c r="H5214" i="1"/>
  <c r="J5214" i="1"/>
  <c r="K5214" i="1"/>
  <c r="L5214" i="1"/>
  <c r="A5215" i="1"/>
  <c r="B5215" i="1"/>
  <c r="C5215" i="1"/>
  <c r="D5215" i="1"/>
  <c r="Q5215" i="1"/>
  <c r="R5215" i="1"/>
  <c r="E5215" i="1"/>
  <c r="G5215" i="1"/>
  <c r="H5215" i="1"/>
  <c r="J5215" i="1"/>
  <c r="K5215" i="1"/>
  <c r="L5215" i="1"/>
  <c r="A5216" i="1"/>
  <c r="B5216" i="1"/>
  <c r="C5216" i="1"/>
  <c r="D5216" i="1"/>
  <c r="Q5216" i="1"/>
  <c r="R5216" i="1"/>
  <c r="E5216" i="1"/>
  <c r="G5216" i="1"/>
  <c r="H5216" i="1"/>
  <c r="J5216" i="1"/>
  <c r="K5216" i="1"/>
  <c r="L5216" i="1"/>
  <c r="A5217" i="1"/>
  <c r="B5217" i="1"/>
  <c r="C5217" i="1"/>
  <c r="D5217" i="1"/>
  <c r="Q5217" i="1"/>
  <c r="R5217" i="1"/>
  <c r="E5217" i="1"/>
  <c r="G5217" i="1"/>
  <c r="H5217" i="1"/>
  <c r="J5217" i="1"/>
  <c r="K5217" i="1"/>
  <c r="L5217" i="1"/>
  <c r="A5218" i="1"/>
  <c r="B5218" i="1"/>
  <c r="C5218" i="1"/>
  <c r="D5218" i="1"/>
  <c r="Q5218" i="1"/>
  <c r="R5218" i="1"/>
  <c r="E5218" i="1"/>
  <c r="G5218" i="1"/>
  <c r="H5218" i="1"/>
  <c r="J5218" i="1"/>
  <c r="K5218" i="1"/>
  <c r="L5218" i="1"/>
  <c r="A5219" i="1"/>
  <c r="B5219" i="1"/>
  <c r="C5219" i="1"/>
  <c r="D5219" i="1"/>
  <c r="Q5219" i="1"/>
  <c r="R5219" i="1"/>
  <c r="E5219" i="1"/>
  <c r="G5219" i="1"/>
  <c r="H5219" i="1"/>
  <c r="J5219" i="1"/>
  <c r="K5219" i="1"/>
  <c r="L5219" i="1"/>
  <c r="A5220" i="1"/>
  <c r="B5220" i="1"/>
  <c r="C5220" i="1"/>
  <c r="D5220" i="1"/>
  <c r="Q5220" i="1"/>
  <c r="R5220" i="1"/>
  <c r="E5220" i="1"/>
  <c r="G5220" i="1"/>
  <c r="H5220" i="1"/>
  <c r="J5220" i="1"/>
  <c r="K5220" i="1"/>
  <c r="L5220" i="1"/>
  <c r="A5221" i="1"/>
  <c r="B5221" i="1"/>
  <c r="C5221" i="1"/>
  <c r="D5221" i="1"/>
  <c r="Q5221" i="1"/>
  <c r="R5221" i="1"/>
  <c r="E5221" i="1"/>
  <c r="G5221" i="1"/>
  <c r="H5221" i="1"/>
  <c r="J5221" i="1"/>
  <c r="K5221" i="1"/>
  <c r="L5221" i="1"/>
  <c r="A5222" i="1"/>
  <c r="B5222" i="1"/>
  <c r="C5222" i="1"/>
  <c r="D5222" i="1"/>
  <c r="Q5222" i="1"/>
  <c r="R5222" i="1"/>
  <c r="E5222" i="1"/>
  <c r="G5222" i="1"/>
  <c r="H5222" i="1"/>
  <c r="J5222" i="1"/>
  <c r="K5222" i="1"/>
  <c r="L5222" i="1"/>
  <c r="A5223" i="1"/>
  <c r="B5223" i="1"/>
  <c r="C5223" i="1"/>
  <c r="D5223" i="1"/>
  <c r="Q5223" i="1"/>
  <c r="R5223" i="1"/>
  <c r="E5223" i="1"/>
  <c r="G5223" i="1"/>
  <c r="H5223" i="1"/>
  <c r="J5223" i="1"/>
  <c r="K5223" i="1"/>
  <c r="L5223" i="1"/>
  <c r="A5224" i="1"/>
  <c r="B5224" i="1"/>
  <c r="C5224" i="1"/>
  <c r="D5224" i="1"/>
  <c r="Q5224" i="1"/>
  <c r="R5224" i="1"/>
  <c r="E5224" i="1"/>
  <c r="G5224" i="1"/>
  <c r="H5224" i="1"/>
  <c r="J5224" i="1"/>
  <c r="K5224" i="1"/>
  <c r="L5224" i="1"/>
  <c r="A5225" i="1"/>
  <c r="B5225" i="1"/>
  <c r="C5225" i="1"/>
  <c r="D5225" i="1"/>
  <c r="Q5225" i="1"/>
  <c r="R5225" i="1"/>
  <c r="E5225" i="1"/>
  <c r="G5225" i="1"/>
  <c r="H5225" i="1"/>
  <c r="J5225" i="1"/>
  <c r="K5225" i="1"/>
  <c r="L5225" i="1"/>
  <c r="A5226" i="1"/>
  <c r="B5226" i="1"/>
  <c r="C5226" i="1"/>
  <c r="D5226" i="1"/>
  <c r="Q5226" i="1"/>
  <c r="R5226" i="1"/>
  <c r="E5226" i="1"/>
  <c r="G5226" i="1"/>
  <c r="H5226" i="1"/>
  <c r="J5226" i="1"/>
  <c r="K5226" i="1"/>
  <c r="L5226" i="1"/>
  <c r="A5227" i="1"/>
  <c r="B5227" i="1"/>
  <c r="C5227" i="1"/>
  <c r="D5227" i="1"/>
  <c r="Q5227" i="1"/>
  <c r="R5227" i="1"/>
  <c r="E5227" i="1"/>
  <c r="G5227" i="1"/>
  <c r="H5227" i="1"/>
  <c r="J5227" i="1"/>
  <c r="K5227" i="1"/>
  <c r="L5227" i="1"/>
  <c r="A5228" i="1"/>
  <c r="B5228" i="1"/>
  <c r="C5228" i="1"/>
  <c r="D5228" i="1"/>
  <c r="Q5228" i="1"/>
  <c r="R5228" i="1"/>
  <c r="E5228" i="1"/>
  <c r="G5228" i="1"/>
  <c r="H5228" i="1"/>
  <c r="J5228" i="1"/>
  <c r="K5228" i="1"/>
  <c r="L5228" i="1"/>
  <c r="A5229" i="1"/>
  <c r="B5229" i="1"/>
  <c r="C5229" i="1"/>
  <c r="D5229" i="1"/>
  <c r="Q5229" i="1"/>
  <c r="R5229" i="1"/>
  <c r="E5229" i="1"/>
  <c r="G5229" i="1"/>
  <c r="H5229" i="1"/>
  <c r="J5229" i="1"/>
  <c r="K5229" i="1"/>
  <c r="L5229" i="1"/>
  <c r="A5230" i="1"/>
  <c r="B5230" i="1"/>
  <c r="C5230" i="1"/>
  <c r="D5230" i="1"/>
  <c r="Q5230" i="1"/>
  <c r="R5230" i="1"/>
  <c r="E5230" i="1"/>
  <c r="G5230" i="1"/>
  <c r="H5230" i="1"/>
  <c r="J5230" i="1"/>
  <c r="K5230" i="1"/>
  <c r="L5230" i="1"/>
  <c r="A5231" i="1"/>
  <c r="B5231" i="1"/>
  <c r="C5231" i="1"/>
  <c r="D5231" i="1"/>
  <c r="Q5231" i="1"/>
  <c r="R5231" i="1"/>
  <c r="E5231" i="1"/>
  <c r="G5231" i="1"/>
  <c r="H5231" i="1"/>
  <c r="J5231" i="1"/>
  <c r="K5231" i="1"/>
  <c r="L5231" i="1"/>
  <c r="A5232" i="1"/>
  <c r="B5232" i="1"/>
  <c r="C5232" i="1"/>
  <c r="D5232" i="1"/>
  <c r="Q5232" i="1"/>
  <c r="R5232" i="1"/>
  <c r="E5232" i="1"/>
  <c r="G5232" i="1"/>
  <c r="H5232" i="1"/>
  <c r="J5232" i="1"/>
  <c r="K5232" i="1"/>
  <c r="L5232" i="1"/>
  <c r="A5233" i="1"/>
  <c r="B5233" i="1"/>
  <c r="C5233" i="1"/>
  <c r="D5233" i="1"/>
  <c r="Q5233" i="1"/>
  <c r="R5233" i="1"/>
  <c r="E5233" i="1"/>
  <c r="G5233" i="1"/>
  <c r="H5233" i="1"/>
  <c r="J5233" i="1"/>
  <c r="K5233" i="1"/>
  <c r="L5233" i="1"/>
  <c r="A5234" i="1"/>
  <c r="B5234" i="1"/>
  <c r="C5234" i="1"/>
  <c r="D5234" i="1"/>
  <c r="Q5234" i="1"/>
  <c r="R5234" i="1"/>
  <c r="E5234" i="1"/>
  <c r="G5234" i="1"/>
  <c r="H5234" i="1"/>
  <c r="J5234" i="1"/>
  <c r="K5234" i="1"/>
  <c r="L5234" i="1"/>
  <c r="A5235" i="1"/>
  <c r="B5235" i="1"/>
  <c r="C5235" i="1"/>
  <c r="D5235" i="1"/>
  <c r="Q5235" i="1"/>
  <c r="R5235" i="1"/>
  <c r="E5235" i="1"/>
  <c r="G5235" i="1"/>
  <c r="H5235" i="1"/>
  <c r="J5235" i="1"/>
  <c r="K5235" i="1"/>
  <c r="L5235" i="1"/>
  <c r="A5236" i="1"/>
  <c r="B5236" i="1"/>
  <c r="C5236" i="1"/>
  <c r="D5236" i="1"/>
  <c r="Q5236" i="1"/>
  <c r="R5236" i="1"/>
  <c r="E5236" i="1"/>
  <c r="G5236" i="1"/>
  <c r="H5236" i="1"/>
  <c r="J5236" i="1"/>
  <c r="K5236" i="1"/>
  <c r="L5236" i="1"/>
  <c r="A5237" i="1"/>
  <c r="B5237" i="1"/>
  <c r="C5237" i="1"/>
  <c r="D5237" i="1"/>
  <c r="Q5237" i="1"/>
  <c r="R5237" i="1"/>
  <c r="E5237" i="1"/>
  <c r="G5237" i="1"/>
  <c r="H5237" i="1"/>
  <c r="J5237" i="1"/>
  <c r="K5237" i="1"/>
  <c r="L5237" i="1"/>
  <c r="A5238" i="1"/>
  <c r="B5238" i="1"/>
  <c r="C5238" i="1"/>
  <c r="D5238" i="1"/>
  <c r="Q5238" i="1"/>
  <c r="R5238" i="1"/>
  <c r="E5238" i="1"/>
  <c r="G5238" i="1"/>
  <c r="H5238" i="1"/>
  <c r="J5238" i="1"/>
  <c r="K5238" i="1"/>
  <c r="L5238" i="1"/>
  <c r="A5239" i="1"/>
  <c r="B5239" i="1"/>
  <c r="C5239" i="1"/>
  <c r="D5239" i="1"/>
  <c r="Q5239" i="1"/>
  <c r="R5239" i="1"/>
  <c r="E5239" i="1"/>
  <c r="G5239" i="1"/>
  <c r="H5239" i="1"/>
  <c r="J5239" i="1"/>
  <c r="K5239" i="1"/>
  <c r="L5239" i="1"/>
  <c r="A5240" i="1"/>
  <c r="B5240" i="1"/>
  <c r="C5240" i="1"/>
  <c r="D5240" i="1"/>
  <c r="Q5240" i="1"/>
  <c r="R5240" i="1"/>
  <c r="E5240" i="1"/>
  <c r="G5240" i="1"/>
  <c r="H5240" i="1"/>
  <c r="J5240" i="1"/>
  <c r="K5240" i="1"/>
  <c r="L5240" i="1"/>
  <c r="A5241" i="1"/>
  <c r="B5241" i="1"/>
  <c r="C5241" i="1"/>
  <c r="D5241" i="1"/>
  <c r="Q5241" i="1"/>
  <c r="R5241" i="1"/>
  <c r="E5241" i="1"/>
  <c r="G5241" i="1"/>
  <c r="H5241" i="1"/>
  <c r="J5241" i="1"/>
  <c r="K5241" i="1"/>
  <c r="L5241" i="1"/>
  <c r="A5242" i="1"/>
  <c r="B5242" i="1"/>
  <c r="C5242" i="1"/>
  <c r="D5242" i="1"/>
  <c r="Q5242" i="1"/>
  <c r="R5242" i="1"/>
  <c r="E5242" i="1"/>
  <c r="G5242" i="1"/>
  <c r="H5242" i="1"/>
  <c r="J5242" i="1"/>
  <c r="K5242" i="1"/>
  <c r="L5242" i="1"/>
  <c r="A5243" i="1"/>
  <c r="B5243" i="1"/>
  <c r="C5243" i="1"/>
  <c r="D5243" i="1"/>
  <c r="Q5243" i="1"/>
  <c r="R5243" i="1"/>
  <c r="E5243" i="1"/>
  <c r="G5243" i="1"/>
  <c r="H5243" i="1"/>
  <c r="J5243" i="1"/>
  <c r="K5243" i="1"/>
  <c r="L5243" i="1"/>
  <c r="A5244" i="1"/>
  <c r="B5244" i="1"/>
  <c r="C5244" i="1"/>
  <c r="D5244" i="1"/>
  <c r="Q5244" i="1"/>
  <c r="R5244" i="1"/>
  <c r="E5244" i="1"/>
  <c r="G5244" i="1"/>
  <c r="H5244" i="1"/>
  <c r="J5244" i="1"/>
  <c r="K5244" i="1"/>
  <c r="L5244" i="1"/>
  <c r="A5245" i="1"/>
  <c r="B5245" i="1"/>
  <c r="C5245" i="1"/>
  <c r="D5245" i="1"/>
  <c r="Q5245" i="1"/>
  <c r="R5245" i="1"/>
  <c r="E5245" i="1"/>
  <c r="G5245" i="1"/>
  <c r="H5245" i="1"/>
  <c r="J5245" i="1"/>
  <c r="K5245" i="1"/>
  <c r="L5245" i="1"/>
  <c r="A5246" i="1"/>
  <c r="B5246" i="1"/>
  <c r="C5246" i="1"/>
  <c r="D5246" i="1"/>
  <c r="Q5246" i="1"/>
  <c r="R5246" i="1"/>
  <c r="E5246" i="1"/>
  <c r="G5246" i="1"/>
  <c r="H5246" i="1"/>
  <c r="J5246" i="1"/>
  <c r="K5246" i="1"/>
  <c r="L5246" i="1"/>
  <c r="A5247" i="1"/>
  <c r="B5247" i="1"/>
  <c r="C5247" i="1"/>
  <c r="D5247" i="1"/>
  <c r="Q5247" i="1"/>
  <c r="R5247" i="1"/>
  <c r="E5247" i="1"/>
  <c r="G5247" i="1"/>
  <c r="H5247" i="1"/>
  <c r="J5247" i="1"/>
  <c r="K5247" i="1"/>
  <c r="L5247" i="1"/>
  <c r="A5248" i="1"/>
  <c r="B5248" i="1"/>
  <c r="C5248" i="1"/>
  <c r="D5248" i="1"/>
  <c r="Q5248" i="1"/>
  <c r="R5248" i="1"/>
  <c r="E5248" i="1"/>
  <c r="G5248" i="1"/>
  <c r="H5248" i="1"/>
  <c r="J5248" i="1"/>
  <c r="K5248" i="1"/>
  <c r="L5248" i="1"/>
  <c r="A5249" i="1"/>
  <c r="B5249" i="1"/>
  <c r="C5249" i="1"/>
  <c r="D5249" i="1"/>
  <c r="Q5249" i="1"/>
  <c r="R5249" i="1"/>
  <c r="E5249" i="1"/>
  <c r="G5249" i="1"/>
  <c r="H5249" i="1"/>
  <c r="J5249" i="1"/>
  <c r="K5249" i="1"/>
  <c r="L5249" i="1"/>
  <c r="A5250" i="1"/>
  <c r="B5250" i="1"/>
  <c r="C5250" i="1"/>
  <c r="D5250" i="1"/>
  <c r="Q5250" i="1"/>
  <c r="R5250" i="1"/>
  <c r="E5250" i="1"/>
  <c r="G5250" i="1"/>
  <c r="H5250" i="1"/>
  <c r="J5250" i="1"/>
  <c r="K5250" i="1"/>
  <c r="L5250" i="1"/>
  <c r="A5251" i="1"/>
  <c r="B5251" i="1"/>
  <c r="C5251" i="1"/>
  <c r="D5251" i="1"/>
  <c r="Q5251" i="1"/>
  <c r="R5251" i="1"/>
  <c r="E5251" i="1"/>
  <c r="G5251" i="1"/>
  <c r="H5251" i="1"/>
  <c r="J5251" i="1"/>
  <c r="K5251" i="1"/>
  <c r="L5251" i="1"/>
  <c r="A5252" i="1"/>
  <c r="B5252" i="1"/>
  <c r="C5252" i="1"/>
  <c r="D5252" i="1"/>
  <c r="Q5252" i="1"/>
  <c r="R5252" i="1"/>
  <c r="E5252" i="1"/>
  <c r="G5252" i="1"/>
  <c r="H5252" i="1"/>
  <c r="J5252" i="1"/>
  <c r="K5252" i="1"/>
  <c r="L5252" i="1"/>
  <c r="A5253" i="1"/>
  <c r="B5253" i="1"/>
  <c r="C5253" i="1"/>
  <c r="D5253" i="1"/>
  <c r="Q5253" i="1"/>
  <c r="R5253" i="1"/>
  <c r="E5253" i="1"/>
  <c r="G5253" i="1"/>
  <c r="H5253" i="1"/>
  <c r="J5253" i="1"/>
  <c r="K5253" i="1"/>
  <c r="L5253" i="1"/>
  <c r="A5254" i="1"/>
  <c r="B5254" i="1"/>
  <c r="C5254" i="1"/>
  <c r="D5254" i="1"/>
  <c r="Q5254" i="1"/>
  <c r="R5254" i="1"/>
  <c r="E5254" i="1"/>
  <c r="G5254" i="1"/>
  <c r="H5254" i="1"/>
  <c r="J5254" i="1"/>
  <c r="K5254" i="1"/>
  <c r="L5254" i="1"/>
  <c r="A5255" i="1"/>
  <c r="B5255" i="1"/>
  <c r="C5255" i="1"/>
  <c r="D5255" i="1"/>
  <c r="Q5255" i="1"/>
  <c r="R5255" i="1"/>
  <c r="E5255" i="1"/>
  <c r="G5255" i="1"/>
  <c r="H5255" i="1"/>
  <c r="J5255" i="1"/>
  <c r="K5255" i="1"/>
  <c r="L5255" i="1"/>
  <c r="A5256" i="1"/>
  <c r="B5256" i="1"/>
  <c r="C5256" i="1"/>
  <c r="D5256" i="1"/>
  <c r="Q5256" i="1"/>
  <c r="R5256" i="1"/>
  <c r="E5256" i="1"/>
  <c r="G5256" i="1"/>
  <c r="H5256" i="1"/>
  <c r="J5256" i="1"/>
  <c r="K5256" i="1"/>
  <c r="L5256" i="1"/>
  <c r="A5257" i="1"/>
  <c r="B5257" i="1"/>
  <c r="C5257" i="1"/>
  <c r="D5257" i="1"/>
  <c r="Q5257" i="1"/>
  <c r="R5257" i="1"/>
  <c r="E5257" i="1"/>
  <c r="G5257" i="1"/>
  <c r="H5257" i="1"/>
  <c r="J5257" i="1"/>
  <c r="K5257" i="1"/>
  <c r="L5257" i="1"/>
  <c r="A5258" i="1"/>
  <c r="B5258" i="1"/>
  <c r="C5258" i="1"/>
  <c r="D5258" i="1"/>
  <c r="Q5258" i="1"/>
  <c r="R5258" i="1"/>
  <c r="E5258" i="1"/>
  <c r="G5258" i="1"/>
  <c r="H5258" i="1"/>
  <c r="J5258" i="1"/>
  <c r="K5258" i="1"/>
  <c r="L5258" i="1"/>
  <c r="A5259" i="1"/>
  <c r="B5259" i="1"/>
  <c r="C5259" i="1"/>
  <c r="D5259" i="1"/>
  <c r="Q5259" i="1"/>
  <c r="R5259" i="1"/>
  <c r="E5259" i="1"/>
  <c r="G5259" i="1"/>
  <c r="H5259" i="1"/>
  <c r="J5259" i="1"/>
  <c r="K5259" i="1"/>
  <c r="L5259" i="1"/>
  <c r="A5260" i="1"/>
  <c r="B5260" i="1"/>
  <c r="C5260" i="1"/>
  <c r="D5260" i="1"/>
  <c r="Q5260" i="1"/>
  <c r="R5260" i="1"/>
  <c r="E5260" i="1"/>
  <c r="G5260" i="1"/>
  <c r="H5260" i="1"/>
  <c r="J5260" i="1"/>
  <c r="K5260" i="1"/>
  <c r="L5260" i="1"/>
  <c r="A5261" i="1"/>
  <c r="B5261" i="1"/>
  <c r="C5261" i="1"/>
  <c r="D5261" i="1"/>
  <c r="Q5261" i="1"/>
  <c r="R5261" i="1"/>
  <c r="E5261" i="1"/>
  <c r="G5261" i="1"/>
  <c r="H5261" i="1"/>
  <c r="J5261" i="1"/>
  <c r="K5261" i="1"/>
  <c r="L5261" i="1"/>
  <c r="A5262" i="1"/>
  <c r="B5262" i="1"/>
  <c r="C5262" i="1"/>
  <c r="D5262" i="1"/>
  <c r="Q5262" i="1"/>
  <c r="R5262" i="1"/>
  <c r="E5262" i="1"/>
  <c r="G5262" i="1"/>
  <c r="H5262" i="1"/>
  <c r="J5262" i="1"/>
  <c r="K5262" i="1"/>
  <c r="L5262" i="1"/>
  <c r="A5263" i="1"/>
  <c r="B5263" i="1"/>
  <c r="C5263" i="1"/>
  <c r="D5263" i="1"/>
  <c r="Q5263" i="1"/>
  <c r="R5263" i="1"/>
  <c r="E5263" i="1"/>
  <c r="G5263" i="1"/>
  <c r="H5263" i="1"/>
  <c r="J5263" i="1"/>
  <c r="K5263" i="1"/>
  <c r="L5263" i="1"/>
  <c r="A5264" i="1"/>
  <c r="B5264" i="1"/>
  <c r="C5264" i="1"/>
  <c r="D5264" i="1"/>
  <c r="Q5264" i="1"/>
  <c r="R5264" i="1"/>
  <c r="E5264" i="1"/>
  <c r="G5264" i="1"/>
  <c r="H5264" i="1"/>
  <c r="J5264" i="1"/>
  <c r="K5264" i="1"/>
  <c r="L5264" i="1"/>
  <c r="A5265" i="1"/>
  <c r="B5265" i="1"/>
  <c r="C5265" i="1"/>
  <c r="D5265" i="1"/>
  <c r="Q5265" i="1"/>
  <c r="R5265" i="1"/>
  <c r="E5265" i="1"/>
  <c r="G5265" i="1"/>
  <c r="H5265" i="1"/>
  <c r="J5265" i="1"/>
  <c r="K5265" i="1"/>
  <c r="L5265" i="1"/>
  <c r="A5266" i="1"/>
  <c r="B5266" i="1"/>
  <c r="C5266" i="1"/>
  <c r="D5266" i="1"/>
  <c r="Q5266" i="1"/>
  <c r="R5266" i="1"/>
  <c r="E5266" i="1"/>
  <c r="G5266" i="1"/>
  <c r="H5266" i="1"/>
  <c r="J5266" i="1"/>
  <c r="K5266" i="1"/>
  <c r="L5266" i="1"/>
  <c r="A5267" i="1"/>
  <c r="B5267" i="1"/>
  <c r="C5267" i="1"/>
  <c r="D5267" i="1"/>
  <c r="Q5267" i="1"/>
  <c r="R5267" i="1"/>
  <c r="E5267" i="1"/>
  <c r="G5267" i="1"/>
  <c r="H5267" i="1"/>
  <c r="J5267" i="1"/>
  <c r="K5267" i="1"/>
  <c r="L5267" i="1"/>
  <c r="A5268" i="1"/>
  <c r="B5268" i="1"/>
  <c r="C5268" i="1"/>
  <c r="D5268" i="1"/>
  <c r="Q5268" i="1"/>
  <c r="R5268" i="1"/>
  <c r="E5268" i="1"/>
  <c r="G5268" i="1"/>
  <c r="H5268" i="1"/>
  <c r="J5268" i="1"/>
  <c r="K5268" i="1"/>
  <c r="L5268" i="1"/>
  <c r="A5269" i="1"/>
  <c r="B5269" i="1"/>
  <c r="C5269" i="1"/>
  <c r="D5269" i="1"/>
  <c r="Q5269" i="1"/>
  <c r="R5269" i="1"/>
  <c r="E5269" i="1"/>
  <c r="G5269" i="1"/>
  <c r="H5269" i="1"/>
  <c r="J5269" i="1"/>
  <c r="K5269" i="1"/>
  <c r="L5269" i="1"/>
  <c r="A5270" i="1"/>
  <c r="B5270" i="1"/>
  <c r="C5270" i="1"/>
  <c r="D5270" i="1"/>
  <c r="Q5270" i="1"/>
  <c r="R5270" i="1"/>
  <c r="E5270" i="1"/>
  <c r="G5270" i="1"/>
  <c r="H5270" i="1"/>
  <c r="J5270" i="1"/>
  <c r="K5270" i="1"/>
  <c r="L5270" i="1"/>
  <c r="A5271" i="1"/>
  <c r="B5271" i="1"/>
  <c r="C5271" i="1"/>
  <c r="D5271" i="1"/>
  <c r="Q5271" i="1"/>
  <c r="R5271" i="1"/>
  <c r="E5271" i="1"/>
  <c r="G5271" i="1"/>
  <c r="H5271" i="1"/>
  <c r="J5271" i="1"/>
  <c r="K5271" i="1"/>
  <c r="L5271" i="1"/>
  <c r="A5272" i="1"/>
  <c r="B5272" i="1"/>
  <c r="C5272" i="1"/>
  <c r="D5272" i="1"/>
  <c r="Q5272" i="1"/>
  <c r="R5272" i="1"/>
  <c r="E5272" i="1"/>
  <c r="G5272" i="1"/>
  <c r="H5272" i="1"/>
  <c r="J5272" i="1"/>
  <c r="K5272" i="1"/>
  <c r="L5272" i="1"/>
  <c r="A5273" i="1"/>
  <c r="B5273" i="1"/>
  <c r="C5273" i="1"/>
  <c r="D5273" i="1"/>
  <c r="Q5273" i="1"/>
  <c r="R5273" i="1"/>
  <c r="E5273" i="1"/>
  <c r="G5273" i="1"/>
  <c r="H5273" i="1"/>
  <c r="J5273" i="1"/>
  <c r="K5273" i="1"/>
  <c r="L5273" i="1"/>
  <c r="A5274" i="1"/>
  <c r="B5274" i="1"/>
  <c r="C5274" i="1"/>
  <c r="D5274" i="1"/>
  <c r="Q5274" i="1"/>
  <c r="R5274" i="1"/>
  <c r="E5274" i="1"/>
  <c r="G5274" i="1"/>
  <c r="H5274" i="1"/>
  <c r="J5274" i="1"/>
  <c r="K5274" i="1"/>
  <c r="L5274" i="1"/>
  <c r="A5275" i="1"/>
  <c r="B5275" i="1"/>
  <c r="C5275" i="1"/>
  <c r="D5275" i="1"/>
  <c r="Q5275" i="1"/>
  <c r="R5275" i="1"/>
  <c r="E5275" i="1"/>
  <c r="G5275" i="1"/>
  <c r="H5275" i="1"/>
  <c r="J5275" i="1"/>
  <c r="K5275" i="1"/>
  <c r="L5275" i="1"/>
  <c r="A5276" i="1"/>
  <c r="B5276" i="1"/>
  <c r="C5276" i="1"/>
  <c r="D5276" i="1"/>
  <c r="Q5276" i="1"/>
  <c r="R5276" i="1"/>
  <c r="E5276" i="1"/>
  <c r="G5276" i="1"/>
  <c r="H5276" i="1"/>
  <c r="J5276" i="1"/>
  <c r="K5276" i="1"/>
  <c r="L5276" i="1"/>
  <c r="A5277" i="1"/>
  <c r="B5277" i="1"/>
  <c r="C5277" i="1"/>
  <c r="D5277" i="1"/>
  <c r="Q5277" i="1"/>
  <c r="R5277" i="1"/>
  <c r="E5277" i="1"/>
  <c r="G5277" i="1"/>
  <c r="H5277" i="1"/>
  <c r="J5277" i="1"/>
  <c r="K5277" i="1"/>
  <c r="L5277" i="1"/>
  <c r="A5278" i="1"/>
  <c r="B5278" i="1"/>
  <c r="C5278" i="1"/>
  <c r="D5278" i="1"/>
  <c r="Q5278" i="1"/>
  <c r="R5278" i="1"/>
  <c r="E5278" i="1"/>
  <c r="G5278" i="1"/>
  <c r="H5278" i="1"/>
  <c r="J5278" i="1"/>
  <c r="K5278" i="1"/>
  <c r="L5278" i="1"/>
  <c r="A5279" i="1"/>
  <c r="B5279" i="1"/>
  <c r="C5279" i="1"/>
  <c r="D5279" i="1"/>
  <c r="Q5279" i="1"/>
  <c r="R5279" i="1"/>
  <c r="E5279" i="1"/>
  <c r="G5279" i="1"/>
  <c r="H5279" i="1"/>
  <c r="J5279" i="1"/>
  <c r="K5279" i="1"/>
  <c r="L5279" i="1"/>
  <c r="A5280" i="1"/>
  <c r="B5280" i="1"/>
  <c r="C5280" i="1"/>
  <c r="D5280" i="1"/>
  <c r="Q5280" i="1"/>
  <c r="R5280" i="1"/>
  <c r="E5280" i="1"/>
  <c r="G5280" i="1"/>
  <c r="H5280" i="1"/>
  <c r="J5280" i="1"/>
  <c r="K5280" i="1"/>
  <c r="L5280" i="1"/>
  <c r="A5281" i="1"/>
  <c r="B5281" i="1"/>
  <c r="C5281" i="1"/>
  <c r="D5281" i="1"/>
  <c r="Q5281" i="1"/>
  <c r="R5281" i="1"/>
  <c r="E5281" i="1"/>
  <c r="G5281" i="1"/>
  <c r="H5281" i="1"/>
  <c r="J5281" i="1"/>
  <c r="K5281" i="1"/>
  <c r="L5281" i="1"/>
  <c r="A5282" i="1"/>
  <c r="B5282" i="1"/>
  <c r="C5282" i="1"/>
  <c r="D5282" i="1"/>
  <c r="Q5282" i="1"/>
  <c r="R5282" i="1"/>
  <c r="E5282" i="1"/>
  <c r="G5282" i="1"/>
  <c r="H5282" i="1"/>
  <c r="J5282" i="1"/>
  <c r="K5282" i="1"/>
  <c r="L5282" i="1"/>
  <c r="A5283" i="1"/>
  <c r="B5283" i="1"/>
  <c r="C5283" i="1"/>
  <c r="D5283" i="1"/>
  <c r="Q5283" i="1"/>
  <c r="R5283" i="1"/>
  <c r="E5283" i="1"/>
  <c r="G5283" i="1"/>
  <c r="H5283" i="1"/>
  <c r="J5283" i="1"/>
  <c r="K5283" i="1"/>
  <c r="L5283" i="1"/>
  <c r="A5284" i="1"/>
  <c r="B5284" i="1"/>
  <c r="C5284" i="1"/>
  <c r="D5284" i="1"/>
  <c r="Q5284" i="1"/>
  <c r="R5284" i="1"/>
  <c r="E5284" i="1"/>
  <c r="G5284" i="1"/>
  <c r="H5284" i="1"/>
  <c r="J5284" i="1"/>
  <c r="K5284" i="1"/>
  <c r="L5284" i="1"/>
  <c r="A5285" i="1"/>
  <c r="B5285" i="1"/>
  <c r="C5285" i="1"/>
  <c r="D5285" i="1"/>
  <c r="Q5285" i="1"/>
  <c r="R5285" i="1"/>
  <c r="E5285" i="1"/>
  <c r="G5285" i="1"/>
  <c r="H5285" i="1"/>
  <c r="J5285" i="1"/>
  <c r="K5285" i="1"/>
  <c r="L5285" i="1"/>
  <c r="A5286" i="1"/>
  <c r="B5286" i="1"/>
  <c r="C5286" i="1"/>
  <c r="D5286" i="1"/>
  <c r="Q5286" i="1"/>
  <c r="R5286" i="1"/>
  <c r="E5286" i="1"/>
  <c r="G5286" i="1"/>
  <c r="H5286" i="1"/>
  <c r="J5286" i="1"/>
  <c r="K5286" i="1"/>
  <c r="L5286" i="1"/>
  <c r="A5287" i="1"/>
  <c r="B5287" i="1"/>
  <c r="C5287" i="1"/>
  <c r="D5287" i="1"/>
  <c r="Q5287" i="1"/>
  <c r="R5287" i="1"/>
  <c r="E5287" i="1"/>
  <c r="G5287" i="1"/>
  <c r="H5287" i="1"/>
  <c r="J5287" i="1"/>
  <c r="K5287" i="1"/>
  <c r="L5287" i="1"/>
  <c r="A5288" i="1"/>
  <c r="B5288" i="1"/>
  <c r="C5288" i="1"/>
  <c r="D5288" i="1"/>
  <c r="Q5288" i="1"/>
  <c r="R5288" i="1"/>
  <c r="E5288" i="1"/>
  <c r="G5288" i="1"/>
  <c r="H5288" i="1"/>
  <c r="J5288" i="1"/>
  <c r="K5288" i="1"/>
  <c r="L5288" i="1"/>
  <c r="A5289" i="1"/>
  <c r="B5289" i="1"/>
  <c r="C5289" i="1"/>
  <c r="D5289" i="1"/>
  <c r="Q5289" i="1"/>
  <c r="R5289" i="1"/>
  <c r="E5289" i="1"/>
  <c r="G5289" i="1"/>
  <c r="H5289" i="1"/>
  <c r="J5289" i="1"/>
  <c r="K5289" i="1"/>
  <c r="L5289" i="1"/>
  <c r="A5290" i="1"/>
  <c r="B5290" i="1"/>
  <c r="C5290" i="1"/>
  <c r="D5290" i="1"/>
  <c r="Q5290" i="1"/>
  <c r="R5290" i="1"/>
  <c r="E5290" i="1"/>
  <c r="G5290" i="1"/>
  <c r="H5290" i="1"/>
  <c r="J5290" i="1"/>
  <c r="K5290" i="1"/>
  <c r="L5290" i="1"/>
  <c r="A5291" i="1"/>
  <c r="B5291" i="1"/>
  <c r="C5291" i="1"/>
  <c r="D5291" i="1"/>
  <c r="Q5291" i="1"/>
  <c r="R5291" i="1"/>
  <c r="E5291" i="1"/>
  <c r="G5291" i="1"/>
  <c r="H5291" i="1"/>
  <c r="J5291" i="1"/>
  <c r="K5291" i="1"/>
  <c r="L5291" i="1"/>
  <c r="A5292" i="1"/>
  <c r="B5292" i="1"/>
  <c r="C5292" i="1"/>
  <c r="D5292" i="1"/>
  <c r="Q5292" i="1"/>
  <c r="R5292" i="1"/>
  <c r="E5292" i="1"/>
  <c r="G5292" i="1"/>
  <c r="H5292" i="1"/>
  <c r="J5292" i="1"/>
  <c r="K5292" i="1"/>
  <c r="L5292" i="1"/>
  <c r="A5293" i="1"/>
  <c r="B5293" i="1"/>
  <c r="C5293" i="1"/>
  <c r="D5293" i="1"/>
  <c r="Q5293" i="1"/>
  <c r="R5293" i="1"/>
  <c r="E5293" i="1"/>
  <c r="G5293" i="1"/>
  <c r="H5293" i="1"/>
  <c r="J5293" i="1"/>
  <c r="K5293" i="1"/>
  <c r="L5293" i="1"/>
  <c r="A5294" i="1"/>
  <c r="B5294" i="1"/>
  <c r="C5294" i="1"/>
  <c r="D5294" i="1"/>
  <c r="Q5294" i="1"/>
  <c r="R5294" i="1"/>
  <c r="E5294" i="1"/>
  <c r="G5294" i="1"/>
  <c r="H5294" i="1"/>
  <c r="J5294" i="1"/>
  <c r="K5294" i="1"/>
  <c r="L5294" i="1"/>
  <c r="A5295" i="1"/>
  <c r="B5295" i="1"/>
  <c r="C5295" i="1"/>
  <c r="D5295" i="1"/>
  <c r="Q5295" i="1"/>
  <c r="R5295" i="1"/>
  <c r="E5295" i="1"/>
  <c r="G5295" i="1"/>
  <c r="H5295" i="1"/>
  <c r="J5295" i="1"/>
  <c r="K5295" i="1"/>
  <c r="L5295" i="1"/>
  <c r="A5296" i="1"/>
  <c r="B5296" i="1"/>
  <c r="C5296" i="1"/>
  <c r="D5296" i="1"/>
  <c r="Q5296" i="1"/>
  <c r="R5296" i="1"/>
  <c r="E5296" i="1"/>
  <c r="G5296" i="1"/>
  <c r="H5296" i="1"/>
  <c r="J5296" i="1"/>
  <c r="K5296" i="1"/>
  <c r="L5296" i="1"/>
  <c r="A5297" i="1"/>
  <c r="B5297" i="1"/>
  <c r="C5297" i="1"/>
  <c r="D5297" i="1"/>
  <c r="Q5297" i="1"/>
  <c r="R5297" i="1"/>
  <c r="E5297" i="1"/>
  <c r="G5297" i="1"/>
  <c r="H5297" i="1"/>
  <c r="J5297" i="1"/>
  <c r="K5297" i="1"/>
  <c r="L5297" i="1"/>
  <c r="A5298" i="1"/>
  <c r="B5298" i="1"/>
  <c r="C5298" i="1"/>
  <c r="D5298" i="1"/>
  <c r="Q5298" i="1"/>
  <c r="R5298" i="1"/>
  <c r="E5298" i="1"/>
  <c r="G5298" i="1"/>
  <c r="H5298" i="1"/>
  <c r="J5298" i="1"/>
  <c r="K5298" i="1"/>
  <c r="L5298" i="1"/>
  <c r="A5299" i="1"/>
  <c r="B5299" i="1"/>
  <c r="C5299" i="1"/>
  <c r="D5299" i="1"/>
  <c r="Q5299" i="1"/>
  <c r="R5299" i="1"/>
  <c r="E5299" i="1"/>
  <c r="G5299" i="1"/>
  <c r="H5299" i="1"/>
  <c r="J5299" i="1"/>
  <c r="K5299" i="1"/>
  <c r="L5299" i="1"/>
  <c r="A4336" i="1"/>
  <c r="B4336" i="1"/>
  <c r="C4336" i="1"/>
  <c r="D4336" i="1"/>
  <c r="Q4336" i="1"/>
  <c r="R4336" i="1"/>
  <c r="E4336" i="1"/>
  <c r="G4336" i="1"/>
  <c r="H4336" i="1"/>
  <c r="J4336" i="1"/>
  <c r="K4336" i="1"/>
  <c r="L4336" i="1"/>
  <c r="A4337" i="1"/>
  <c r="B4337" i="1"/>
  <c r="C4337" i="1"/>
  <c r="D4337" i="1"/>
  <c r="Q4337" i="1"/>
  <c r="R4337" i="1"/>
  <c r="E4337" i="1"/>
  <c r="G4337" i="1"/>
  <c r="H4337" i="1"/>
  <c r="J4337" i="1"/>
  <c r="K4337" i="1"/>
  <c r="L4337" i="1"/>
  <c r="A4338" i="1"/>
  <c r="B4338" i="1"/>
  <c r="C4338" i="1"/>
  <c r="D4338" i="1"/>
  <c r="Q4338" i="1"/>
  <c r="R4338" i="1"/>
  <c r="E4338" i="1"/>
  <c r="G4338" i="1"/>
  <c r="H4338" i="1"/>
  <c r="J4338" i="1"/>
  <c r="K4338" i="1"/>
  <c r="L4338" i="1"/>
  <c r="A4339" i="1"/>
  <c r="B4339" i="1"/>
  <c r="C4339" i="1"/>
  <c r="D4339" i="1"/>
  <c r="Q4339" i="1"/>
  <c r="R4339" i="1"/>
  <c r="E4339" i="1"/>
  <c r="G4339" i="1"/>
  <c r="H4339" i="1"/>
  <c r="J4339" i="1"/>
  <c r="K4339" i="1"/>
  <c r="L4339" i="1"/>
  <c r="A4340" i="1"/>
  <c r="B4340" i="1"/>
  <c r="C4340" i="1"/>
  <c r="D4340" i="1"/>
  <c r="Q4340" i="1"/>
  <c r="R4340" i="1"/>
  <c r="E4340" i="1"/>
  <c r="G4340" i="1"/>
  <c r="H4340" i="1"/>
  <c r="J4340" i="1"/>
  <c r="K4340" i="1"/>
  <c r="L4340" i="1"/>
  <c r="A4341" i="1"/>
  <c r="B4341" i="1"/>
  <c r="C4341" i="1"/>
  <c r="D4341" i="1"/>
  <c r="Q4341" i="1"/>
  <c r="R4341" i="1"/>
  <c r="E4341" i="1"/>
  <c r="G4341" i="1"/>
  <c r="H4341" i="1"/>
  <c r="J4341" i="1"/>
  <c r="K4341" i="1"/>
  <c r="L4341" i="1"/>
  <c r="A4342" i="1"/>
  <c r="B4342" i="1"/>
  <c r="C4342" i="1"/>
  <c r="D4342" i="1"/>
  <c r="Q4342" i="1"/>
  <c r="R4342" i="1"/>
  <c r="E4342" i="1"/>
  <c r="G4342" i="1"/>
  <c r="H4342" i="1"/>
  <c r="J4342" i="1"/>
  <c r="K4342" i="1"/>
  <c r="L4342" i="1"/>
  <c r="A4343" i="1"/>
  <c r="B4343" i="1"/>
  <c r="C4343" i="1"/>
  <c r="D4343" i="1"/>
  <c r="Q4343" i="1"/>
  <c r="R4343" i="1"/>
  <c r="E4343" i="1"/>
  <c r="G4343" i="1"/>
  <c r="H4343" i="1"/>
  <c r="J4343" i="1"/>
  <c r="K4343" i="1"/>
  <c r="L4343" i="1"/>
  <c r="A4344" i="1"/>
  <c r="B4344" i="1"/>
  <c r="C4344" i="1"/>
  <c r="D4344" i="1"/>
  <c r="Q4344" i="1"/>
  <c r="R4344" i="1"/>
  <c r="E4344" i="1"/>
  <c r="G4344" i="1"/>
  <c r="H4344" i="1"/>
  <c r="J4344" i="1"/>
  <c r="K4344" i="1"/>
  <c r="L4344" i="1"/>
  <c r="A4345" i="1"/>
  <c r="B4345" i="1"/>
  <c r="C4345" i="1"/>
  <c r="D4345" i="1"/>
  <c r="Q4345" i="1"/>
  <c r="R4345" i="1"/>
  <c r="E4345" i="1"/>
  <c r="G4345" i="1"/>
  <c r="H4345" i="1"/>
  <c r="J4345" i="1"/>
  <c r="K4345" i="1"/>
  <c r="L4345" i="1"/>
  <c r="A4346" i="1"/>
  <c r="B4346" i="1"/>
  <c r="C4346" i="1"/>
  <c r="D4346" i="1"/>
  <c r="Q4346" i="1"/>
  <c r="R4346" i="1"/>
  <c r="E4346" i="1"/>
  <c r="G4346" i="1"/>
  <c r="H4346" i="1"/>
  <c r="J4346" i="1"/>
  <c r="K4346" i="1"/>
  <c r="L4346" i="1"/>
  <c r="A5300" i="1"/>
  <c r="B5300" i="1"/>
  <c r="C5300" i="1"/>
  <c r="D5300" i="1"/>
  <c r="Q5300" i="1"/>
  <c r="R5300" i="1"/>
  <c r="E5300" i="1"/>
  <c r="G5300" i="1"/>
  <c r="H5300" i="1"/>
  <c r="J5300" i="1"/>
  <c r="K5300" i="1"/>
  <c r="L5300" i="1"/>
  <c r="A5301" i="1"/>
  <c r="B5301" i="1"/>
  <c r="C5301" i="1"/>
  <c r="D5301" i="1"/>
  <c r="Q5301" i="1"/>
  <c r="R5301" i="1"/>
  <c r="E5301" i="1"/>
  <c r="G5301" i="1"/>
  <c r="H5301" i="1"/>
  <c r="J5301" i="1"/>
  <c r="K5301" i="1"/>
  <c r="L5301" i="1"/>
  <c r="A5302" i="1"/>
  <c r="B5302" i="1"/>
  <c r="C5302" i="1"/>
  <c r="D5302" i="1"/>
  <c r="Q5302" i="1"/>
  <c r="R5302" i="1"/>
  <c r="E5302" i="1"/>
  <c r="G5302" i="1"/>
  <c r="H5302" i="1"/>
  <c r="J5302" i="1"/>
  <c r="K5302" i="1"/>
  <c r="L5302" i="1"/>
  <c r="A5303" i="1"/>
  <c r="B5303" i="1"/>
  <c r="C5303" i="1"/>
  <c r="D5303" i="1"/>
  <c r="Q5303" i="1"/>
  <c r="R5303" i="1"/>
  <c r="E5303" i="1"/>
  <c r="G5303" i="1"/>
  <c r="H5303" i="1"/>
  <c r="J5303" i="1"/>
  <c r="K5303" i="1"/>
  <c r="L5303" i="1"/>
  <c r="A5304" i="1"/>
  <c r="B5304" i="1"/>
  <c r="C5304" i="1"/>
  <c r="D5304" i="1"/>
  <c r="Q5304" i="1"/>
  <c r="R5304" i="1"/>
  <c r="E5304" i="1"/>
  <c r="G5304" i="1"/>
  <c r="H5304" i="1"/>
  <c r="J5304" i="1"/>
  <c r="K5304" i="1"/>
  <c r="L5304" i="1"/>
  <c r="A5305" i="1"/>
  <c r="B5305" i="1"/>
  <c r="C5305" i="1"/>
  <c r="D5305" i="1"/>
  <c r="Q5305" i="1"/>
  <c r="R5305" i="1"/>
  <c r="E5305" i="1"/>
  <c r="G5305" i="1"/>
  <c r="H5305" i="1"/>
  <c r="J5305" i="1"/>
  <c r="K5305" i="1"/>
  <c r="L5305" i="1"/>
  <c r="A5306" i="1"/>
  <c r="B5306" i="1"/>
  <c r="C5306" i="1"/>
  <c r="D5306" i="1"/>
  <c r="Q5306" i="1"/>
  <c r="R5306" i="1"/>
  <c r="E5306" i="1"/>
  <c r="G5306" i="1"/>
  <c r="H5306" i="1"/>
  <c r="J5306" i="1"/>
  <c r="K5306" i="1"/>
  <c r="L5306" i="1"/>
  <c r="A5307" i="1"/>
  <c r="B5307" i="1"/>
  <c r="C5307" i="1"/>
  <c r="D5307" i="1"/>
  <c r="Q5307" i="1"/>
  <c r="R5307" i="1"/>
  <c r="E5307" i="1"/>
  <c r="G5307" i="1"/>
  <c r="H5307" i="1"/>
  <c r="J5307" i="1"/>
  <c r="K5307" i="1"/>
  <c r="L5307" i="1"/>
  <c r="A5308" i="1"/>
  <c r="B5308" i="1"/>
  <c r="C5308" i="1"/>
  <c r="D5308" i="1"/>
  <c r="Q5308" i="1"/>
  <c r="R5308" i="1"/>
  <c r="E5308" i="1"/>
  <c r="G5308" i="1"/>
  <c r="H5308" i="1"/>
  <c r="J5308" i="1"/>
  <c r="K5308" i="1"/>
  <c r="L5308" i="1"/>
  <c r="A5309" i="1"/>
  <c r="B5309" i="1"/>
  <c r="C5309" i="1"/>
  <c r="D5309" i="1"/>
  <c r="Q5309" i="1"/>
  <c r="R5309" i="1"/>
  <c r="E5309" i="1"/>
  <c r="G5309" i="1"/>
  <c r="H5309" i="1"/>
  <c r="J5309" i="1"/>
  <c r="K5309" i="1"/>
  <c r="L5309" i="1"/>
  <c r="A5310" i="1"/>
  <c r="B5310" i="1"/>
  <c r="C5310" i="1"/>
  <c r="D5310" i="1"/>
  <c r="Q5310" i="1"/>
  <c r="R5310" i="1"/>
  <c r="E5310" i="1"/>
  <c r="G5310" i="1"/>
  <c r="H5310" i="1"/>
  <c r="J5310" i="1"/>
  <c r="K5310" i="1"/>
  <c r="L5310" i="1"/>
  <c r="A5311" i="1"/>
  <c r="B5311" i="1"/>
  <c r="C5311" i="1"/>
  <c r="D5311" i="1"/>
  <c r="Q5311" i="1"/>
  <c r="R5311" i="1"/>
  <c r="E5311" i="1"/>
  <c r="G5311" i="1"/>
  <c r="H5311" i="1"/>
  <c r="J5311" i="1"/>
  <c r="K5311" i="1"/>
  <c r="L5311" i="1"/>
  <c r="A5312" i="1"/>
  <c r="B5312" i="1"/>
  <c r="C5312" i="1"/>
  <c r="D5312" i="1"/>
  <c r="Q5312" i="1"/>
  <c r="R5312" i="1"/>
  <c r="E5312" i="1"/>
  <c r="G5312" i="1"/>
  <c r="H5312" i="1"/>
  <c r="J5312" i="1"/>
  <c r="K5312" i="1"/>
  <c r="L5312" i="1"/>
  <c r="A5313" i="1"/>
  <c r="B5313" i="1"/>
  <c r="C5313" i="1"/>
  <c r="D5313" i="1"/>
  <c r="Q5313" i="1"/>
  <c r="R5313" i="1"/>
  <c r="E5313" i="1"/>
  <c r="G5313" i="1"/>
  <c r="H5313" i="1"/>
  <c r="J5313" i="1"/>
  <c r="K5313" i="1"/>
  <c r="L5313" i="1"/>
  <c r="A5314" i="1"/>
  <c r="B5314" i="1"/>
  <c r="C5314" i="1"/>
  <c r="D5314" i="1"/>
  <c r="Q5314" i="1"/>
  <c r="R5314" i="1"/>
  <c r="E5314" i="1"/>
  <c r="G5314" i="1"/>
  <c r="H5314" i="1"/>
  <c r="J5314" i="1"/>
  <c r="K5314" i="1"/>
  <c r="L5314" i="1"/>
  <c r="A5315" i="1"/>
  <c r="B5315" i="1"/>
  <c r="C5315" i="1"/>
  <c r="D5315" i="1"/>
  <c r="Q5315" i="1"/>
  <c r="R5315" i="1"/>
  <c r="E5315" i="1"/>
  <c r="G5315" i="1"/>
  <c r="H5315" i="1"/>
  <c r="J5315" i="1"/>
  <c r="K5315" i="1"/>
  <c r="L5315" i="1"/>
  <c r="A5316" i="1"/>
  <c r="B5316" i="1"/>
  <c r="C5316" i="1"/>
  <c r="D5316" i="1"/>
  <c r="Q5316" i="1"/>
  <c r="R5316" i="1"/>
  <c r="E5316" i="1"/>
  <c r="G5316" i="1"/>
  <c r="H5316" i="1"/>
  <c r="J5316" i="1"/>
  <c r="K5316" i="1"/>
  <c r="L5316" i="1"/>
  <c r="A5317" i="1"/>
  <c r="B5317" i="1"/>
  <c r="C5317" i="1"/>
  <c r="D5317" i="1"/>
  <c r="Q5317" i="1"/>
  <c r="R5317" i="1"/>
  <c r="E5317" i="1"/>
  <c r="G5317" i="1"/>
  <c r="H5317" i="1"/>
  <c r="J5317" i="1"/>
  <c r="K5317" i="1"/>
  <c r="L5317" i="1"/>
  <c r="A5318" i="1"/>
  <c r="B5318" i="1"/>
  <c r="C5318" i="1"/>
  <c r="D5318" i="1"/>
  <c r="Q5318" i="1"/>
  <c r="R5318" i="1"/>
  <c r="E5318" i="1"/>
  <c r="G5318" i="1"/>
  <c r="H5318" i="1"/>
  <c r="J5318" i="1"/>
  <c r="K5318" i="1"/>
  <c r="L5318" i="1"/>
  <c r="A5319" i="1"/>
  <c r="B5319" i="1"/>
  <c r="C5319" i="1"/>
  <c r="D5319" i="1"/>
  <c r="Q5319" i="1"/>
  <c r="R5319" i="1"/>
  <c r="E5319" i="1"/>
  <c r="G5319" i="1"/>
  <c r="H5319" i="1"/>
  <c r="J5319" i="1"/>
  <c r="K5319" i="1"/>
  <c r="L5319" i="1"/>
  <c r="A5320" i="1"/>
  <c r="B5320" i="1"/>
  <c r="C5320" i="1"/>
  <c r="D5320" i="1"/>
  <c r="Q5320" i="1"/>
  <c r="R5320" i="1"/>
  <c r="E5320" i="1"/>
  <c r="G5320" i="1"/>
  <c r="H5320" i="1"/>
  <c r="J5320" i="1"/>
  <c r="K5320" i="1"/>
  <c r="L5320" i="1"/>
  <c r="A5321" i="1"/>
  <c r="B5321" i="1"/>
  <c r="C5321" i="1"/>
  <c r="D5321" i="1"/>
  <c r="Q5321" i="1"/>
  <c r="R5321" i="1"/>
  <c r="E5321" i="1"/>
  <c r="G5321" i="1"/>
  <c r="H5321" i="1"/>
  <c r="J5321" i="1"/>
  <c r="K5321" i="1"/>
  <c r="L5321" i="1"/>
  <c r="A5322" i="1"/>
  <c r="B5322" i="1"/>
  <c r="C5322" i="1"/>
  <c r="D5322" i="1"/>
  <c r="Q5322" i="1"/>
  <c r="R5322" i="1"/>
  <c r="E5322" i="1"/>
  <c r="G5322" i="1"/>
  <c r="H5322" i="1"/>
  <c r="J5322" i="1"/>
  <c r="K5322" i="1"/>
  <c r="L5322" i="1"/>
  <c r="A5323" i="1"/>
  <c r="B5323" i="1"/>
  <c r="C5323" i="1"/>
  <c r="D5323" i="1"/>
  <c r="Q5323" i="1"/>
  <c r="R5323" i="1"/>
  <c r="E5323" i="1"/>
  <c r="G5323" i="1"/>
  <c r="H5323" i="1"/>
  <c r="J5323" i="1"/>
  <c r="K5323" i="1"/>
  <c r="L5323" i="1"/>
  <c r="A5324" i="1"/>
  <c r="B5324" i="1"/>
  <c r="C5324" i="1"/>
  <c r="D5324" i="1"/>
  <c r="Q5324" i="1"/>
  <c r="R5324" i="1"/>
  <c r="E5324" i="1"/>
  <c r="G5324" i="1"/>
  <c r="H5324" i="1"/>
  <c r="J5324" i="1"/>
  <c r="K5324" i="1"/>
  <c r="L5324" i="1"/>
  <c r="A5325" i="1"/>
  <c r="B5325" i="1"/>
  <c r="C5325" i="1"/>
  <c r="D5325" i="1"/>
  <c r="Q5325" i="1"/>
  <c r="R5325" i="1"/>
  <c r="E5325" i="1"/>
  <c r="G5325" i="1"/>
  <c r="H5325" i="1"/>
  <c r="J5325" i="1"/>
  <c r="K5325" i="1"/>
  <c r="L5325" i="1"/>
  <c r="A5326" i="1"/>
  <c r="B5326" i="1"/>
  <c r="C5326" i="1"/>
  <c r="D5326" i="1"/>
  <c r="Q5326" i="1"/>
  <c r="R5326" i="1"/>
  <c r="E5326" i="1"/>
  <c r="G5326" i="1"/>
  <c r="H5326" i="1"/>
  <c r="J5326" i="1"/>
  <c r="K5326" i="1"/>
  <c r="L5326" i="1"/>
  <c r="A5327" i="1"/>
  <c r="B5327" i="1"/>
  <c r="C5327" i="1"/>
  <c r="D5327" i="1"/>
  <c r="Q5327" i="1"/>
  <c r="R5327" i="1"/>
  <c r="E5327" i="1"/>
  <c r="G5327" i="1"/>
  <c r="H5327" i="1"/>
  <c r="J5327" i="1"/>
  <c r="K5327" i="1"/>
  <c r="L5327" i="1"/>
  <c r="A5328" i="1"/>
  <c r="B5328" i="1"/>
  <c r="C5328" i="1"/>
  <c r="D5328" i="1"/>
  <c r="Q5328" i="1"/>
  <c r="R5328" i="1"/>
  <c r="E5328" i="1"/>
  <c r="G5328" i="1"/>
  <c r="H5328" i="1"/>
  <c r="J5328" i="1"/>
  <c r="K5328" i="1"/>
  <c r="L5328" i="1"/>
  <c r="A5329" i="1"/>
  <c r="B5329" i="1"/>
  <c r="C5329" i="1"/>
  <c r="D5329" i="1"/>
  <c r="Q5329" i="1"/>
  <c r="R5329" i="1"/>
  <c r="E5329" i="1"/>
  <c r="G5329" i="1"/>
  <c r="H5329" i="1"/>
  <c r="J5329" i="1"/>
  <c r="K5329" i="1"/>
  <c r="L5329" i="1"/>
  <c r="A5330" i="1"/>
  <c r="B5330" i="1"/>
  <c r="C5330" i="1"/>
  <c r="D5330" i="1"/>
  <c r="Q5330" i="1"/>
  <c r="R5330" i="1"/>
  <c r="E5330" i="1"/>
  <c r="G5330" i="1"/>
  <c r="H5330" i="1"/>
  <c r="J5330" i="1"/>
  <c r="K5330" i="1"/>
  <c r="L5330" i="1"/>
  <c r="A5331" i="1"/>
  <c r="B5331" i="1"/>
  <c r="C5331" i="1"/>
  <c r="D5331" i="1"/>
  <c r="Q5331" i="1"/>
  <c r="R5331" i="1"/>
  <c r="E5331" i="1"/>
  <c r="G5331" i="1"/>
  <c r="H5331" i="1"/>
  <c r="J5331" i="1"/>
  <c r="K5331" i="1"/>
  <c r="L5331" i="1"/>
  <c r="A5332" i="1"/>
  <c r="B5332" i="1"/>
  <c r="C5332" i="1"/>
  <c r="D5332" i="1"/>
  <c r="Q5332" i="1"/>
  <c r="R5332" i="1"/>
  <c r="E5332" i="1"/>
  <c r="G5332" i="1"/>
  <c r="H5332" i="1"/>
  <c r="J5332" i="1"/>
  <c r="K5332" i="1"/>
  <c r="L5332" i="1"/>
  <c r="A5333" i="1"/>
  <c r="B5333" i="1"/>
  <c r="C5333" i="1"/>
  <c r="D5333" i="1"/>
  <c r="Q5333" i="1"/>
  <c r="R5333" i="1"/>
  <c r="E5333" i="1"/>
  <c r="G5333" i="1"/>
  <c r="H5333" i="1"/>
  <c r="J5333" i="1"/>
  <c r="K5333" i="1"/>
  <c r="L5333" i="1"/>
  <c r="A5334" i="1"/>
  <c r="B5334" i="1"/>
  <c r="C5334" i="1"/>
  <c r="D5334" i="1"/>
  <c r="Q5334" i="1"/>
  <c r="R5334" i="1"/>
  <c r="E5334" i="1"/>
  <c r="G5334" i="1"/>
  <c r="H5334" i="1"/>
  <c r="J5334" i="1"/>
  <c r="K5334" i="1"/>
  <c r="L5334" i="1"/>
  <c r="A5335" i="1"/>
  <c r="B5335" i="1"/>
  <c r="C5335" i="1"/>
  <c r="D5335" i="1"/>
  <c r="Q5335" i="1"/>
  <c r="R5335" i="1"/>
  <c r="E5335" i="1"/>
  <c r="G5335" i="1"/>
  <c r="H5335" i="1"/>
  <c r="J5335" i="1"/>
  <c r="K5335" i="1"/>
  <c r="L5335" i="1"/>
  <c r="A5336" i="1"/>
  <c r="B5336" i="1"/>
  <c r="C5336" i="1"/>
  <c r="D5336" i="1"/>
  <c r="Q5336" i="1"/>
  <c r="R5336" i="1"/>
  <c r="E5336" i="1"/>
  <c r="G5336" i="1"/>
  <c r="H5336" i="1"/>
  <c r="J5336" i="1"/>
  <c r="K5336" i="1"/>
  <c r="L5336" i="1"/>
  <c r="A5337" i="1"/>
  <c r="B5337" i="1"/>
  <c r="C5337" i="1"/>
  <c r="D5337" i="1"/>
  <c r="Q5337" i="1"/>
  <c r="R5337" i="1"/>
  <c r="E5337" i="1"/>
  <c r="G5337" i="1"/>
  <c r="H5337" i="1"/>
  <c r="J5337" i="1"/>
  <c r="K5337" i="1"/>
  <c r="L5337" i="1"/>
  <c r="A5338" i="1"/>
  <c r="B5338" i="1"/>
  <c r="C5338" i="1"/>
  <c r="D5338" i="1"/>
  <c r="Q5338" i="1"/>
  <c r="R5338" i="1"/>
  <c r="E5338" i="1"/>
  <c r="G5338" i="1"/>
  <c r="H5338" i="1"/>
  <c r="J5338" i="1"/>
  <c r="K5338" i="1"/>
  <c r="L5338" i="1"/>
  <c r="A5339" i="1"/>
  <c r="B5339" i="1"/>
  <c r="C5339" i="1"/>
  <c r="D5339" i="1"/>
  <c r="Q5339" i="1"/>
  <c r="R5339" i="1"/>
  <c r="E5339" i="1"/>
  <c r="G5339" i="1"/>
  <c r="H5339" i="1"/>
  <c r="J5339" i="1"/>
  <c r="K5339" i="1"/>
  <c r="L5339" i="1"/>
  <c r="A5340" i="1"/>
  <c r="B5340" i="1"/>
  <c r="C5340" i="1"/>
  <c r="D5340" i="1"/>
  <c r="Q5340" i="1"/>
  <c r="R5340" i="1"/>
  <c r="E5340" i="1"/>
  <c r="G5340" i="1"/>
  <c r="H5340" i="1"/>
  <c r="J5340" i="1"/>
  <c r="K5340" i="1"/>
  <c r="L5340" i="1"/>
  <c r="A5341" i="1"/>
  <c r="B5341" i="1"/>
  <c r="C5341" i="1"/>
  <c r="D5341" i="1"/>
  <c r="Q5341" i="1"/>
  <c r="R5341" i="1"/>
  <c r="E5341" i="1"/>
  <c r="G5341" i="1"/>
  <c r="H5341" i="1"/>
  <c r="J5341" i="1"/>
  <c r="K5341" i="1"/>
  <c r="L5341" i="1"/>
  <c r="A5342" i="1"/>
  <c r="B5342" i="1"/>
  <c r="C5342" i="1"/>
  <c r="D5342" i="1"/>
  <c r="Q5342" i="1"/>
  <c r="R5342" i="1"/>
  <c r="E5342" i="1"/>
  <c r="G5342" i="1"/>
  <c r="H5342" i="1"/>
  <c r="J5342" i="1"/>
  <c r="K5342" i="1"/>
  <c r="L5342" i="1"/>
  <c r="A5343" i="1"/>
  <c r="B5343" i="1"/>
  <c r="C5343" i="1"/>
  <c r="D5343" i="1"/>
  <c r="Q5343" i="1"/>
  <c r="R5343" i="1"/>
  <c r="E5343" i="1"/>
  <c r="G5343" i="1"/>
  <c r="H5343" i="1"/>
  <c r="J5343" i="1"/>
  <c r="K5343" i="1"/>
  <c r="L5343" i="1"/>
  <c r="A5344" i="1"/>
  <c r="B5344" i="1"/>
  <c r="C5344" i="1"/>
  <c r="D5344" i="1"/>
  <c r="Q5344" i="1"/>
  <c r="R5344" i="1"/>
  <c r="E5344" i="1"/>
  <c r="G5344" i="1"/>
  <c r="H5344" i="1"/>
  <c r="J5344" i="1"/>
  <c r="K5344" i="1"/>
  <c r="L5344" i="1"/>
  <c r="A5345" i="1"/>
  <c r="B5345" i="1"/>
  <c r="C5345" i="1"/>
  <c r="D5345" i="1"/>
  <c r="Q5345" i="1"/>
  <c r="R5345" i="1"/>
  <c r="E5345" i="1"/>
  <c r="G5345" i="1"/>
  <c r="H5345" i="1"/>
  <c r="J5345" i="1"/>
  <c r="K5345" i="1"/>
  <c r="L5345" i="1"/>
  <c r="A5346" i="1"/>
  <c r="B5346" i="1"/>
  <c r="C5346" i="1"/>
  <c r="D5346" i="1"/>
  <c r="Q5346" i="1"/>
  <c r="R5346" i="1"/>
  <c r="E5346" i="1"/>
  <c r="G5346" i="1"/>
  <c r="H5346" i="1"/>
  <c r="J5346" i="1"/>
  <c r="K5346" i="1"/>
  <c r="L5346" i="1"/>
  <c r="A5347" i="1"/>
  <c r="B5347" i="1"/>
  <c r="C5347" i="1"/>
  <c r="D5347" i="1"/>
  <c r="Q5347" i="1"/>
  <c r="R5347" i="1"/>
  <c r="E5347" i="1"/>
  <c r="G5347" i="1"/>
  <c r="H5347" i="1"/>
  <c r="J5347" i="1"/>
  <c r="K5347" i="1"/>
  <c r="L5347" i="1"/>
  <c r="A6639" i="1"/>
  <c r="B6639" i="1"/>
  <c r="C6639" i="1"/>
  <c r="D6639" i="1"/>
  <c r="Q6639" i="1"/>
  <c r="R6639" i="1"/>
  <c r="E6639" i="1"/>
  <c r="G6639" i="1"/>
  <c r="H6639" i="1"/>
  <c r="J6639" i="1"/>
  <c r="K6639" i="1"/>
  <c r="L6639" i="1"/>
  <c r="A6640" i="1"/>
  <c r="B6640" i="1"/>
  <c r="C6640" i="1"/>
  <c r="D6640" i="1"/>
  <c r="Q6640" i="1"/>
  <c r="R6640" i="1"/>
  <c r="E6640" i="1"/>
  <c r="G6640" i="1"/>
  <c r="H6640" i="1"/>
  <c r="J6640" i="1"/>
  <c r="K6640" i="1"/>
  <c r="L6640" i="1"/>
  <c r="A6641" i="1"/>
  <c r="B6641" i="1"/>
  <c r="C6641" i="1"/>
  <c r="D6641" i="1"/>
  <c r="Q6641" i="1"/>
  <c r="R6641" i="1"/>
  <c r="E6641" i="1"/>
  <c r="G6641" i="1"/>
  <c r="H6641" i="1"/>
  <c r="J6641" i="1"/>
  <c r="K6641" i="1"/>
  <c r="L6641" i="1"/>
  <c r="A6642" i="1"/>
  <c r="B6642" i="1"/>
  <c r="C6642" i="1"/>
  <c r="D6642" i="1"/>
  <c r="Q6642" i="1"/>
  <c r="R6642" i="1"/>
  <c r="E6642" i="1"/>
  <c r="G6642" i="1"/>
  <c r="H6642" i="1"/>
  <c r="J6642" i="1"/>
  <c r="K6642" i="1"/>
  <c r="L6642" i="1"/>
  <c r="A6643" i="1"/>
  <c r="B6643" i="1"/>
  <c r="C6643" i="1"/>
  <c r="D6643" i="1"/>
  <c r="Q6643" i="1"/>
  <c r="R6643" i="1"/>
  <c r="E6643" i="1"/>
  <c r="G6643" i="1"/>
  <c r="H6643" i="1"/>
  <c r="J6643" i="1"/>
  <c r="K6643" i="1"/>
  <c r="L6643" i="1"/>
  <c r="A6644" i="1"/>
  <c r="B6644" i="1"/>
  <c r="C6644" i="1"/>
  <c r="D6644" i="1"/>
  <c r="Q6644" i="1"/>
  <c r="R6644" i="1"/>
  <c r="E6644" i="1"/>
  <c r="G6644" i="1"/>
  <c r="H6644" i="1"/>
  <c r="J6644" i="1"/>
  <c r="K6644" i="1"/>
  <c r="L6644" i="1"/>
  <c r="A6645" i="1"/>
  <c r="B6645" i="1"/>
  <c r="C6645" i="1"/>
  <c r="D6645" i="1"/>
  <c r="Q6645" i="1"/>
  <c r="R6645" i="1"/>
  <c r="E6645" i="1"/>
  <c r="G6645" i="1"/>
  <c r="H6645" i="1"/>
  <c r="J6645" i="1"/>
  <c r="K6645" i="1"/>
  <c r="L6645" i="1"/>
  <c r="A6646" i="1"/>
  <c r="B6646" i="1"/>
  <c r="C6646" i="1"/>
  <c r="D6646" i="1"/>
  <c r="Q6646" i="1"/>
  <c r="R6646" i="1"/>
  <c r="E6646" i="1"/>
  <c r="G6646" i="1"/>
  <c r="H6646" i="1"/>
  <c r="J6646" i="1"/>
  <c r="K6646" i="1"/>
  <c r="L6646" i="1"/>
  <c r="A6647" i="1"/>
  <c r="B6647" i="1"/>
  <c r="C6647" i="1"/>
  <c r="D6647" i="1"/>
  <c r="Q6647" i="1"/>
  <c r="R6647" i="1"/>
  <c r="E6647" i="1"/>
  <c r="G6647" i="1"/>
  <c r="H6647" i="1"/>
  <c r="J6647" i="1"/>
  <c r="K6647" i="1"/>
  <c r="L6647" i="1"/>
  <c r="A6648" i="1"/>
  <c r="B6648" i="1"/>
  <c r="C6648" i="1"/>
  <c r="D6648" i="1"/>
  <c r="Q6648" i="1"/>
  <c r="R6648" i="1"/>
  <c r="E6648" i="1"/>
  <c r="G6648" i="1"/>
  <c r="H6648" i="1"/>
  <c r="J6648" i="1"/>
  <c r="K6648" i="1"/>
  <c r="L6648" i="1"/>
  <c r="A6649" i="1"/>
  <c r="B6649" i="1"/>
  <c r="C6649" i="1"/>
  <c r="D6649" i="1"/>
  <c r="Q6649" i="1"/>
  <c r="R6649" i="1"/>
  <c r="E6649" i="1"/>
  <c r="G6649" i="1"/>
  <c r="H6649" i="1"/>
  <c r="J6649" i="1"/>
  <c r="K6649" i="1"/>
  <c r="L6649" i="1"/>
  <c r="A6650" i="1"/>
  <c r="B6650" i="1"/>
  <c r="C6650" i="1"/>
  <c r="D6650" i="1"/>
  <c r="Q6650" i="1"/>
  <c r="R6650" i="1"/>
  <c r="E6650" i="1"/>
  <c r="G6650" i="1"/>
  <c r="H6650" i="1"/>
  <c r="J6650" i="1"/>
  <c r="K6650" i="1"/>
  <c r="L6650" i="1"/>
  <c r="A6651" i="1"/>
  <c r="B6651" i="1"/>
  <c r="C6651" i="1"/>
  <c r="D6651" i="1"/>
  <c r="Q6651" i="1"/>
  <c r="R6651" i="1"/>
  <c r="E6651" i="1"/>
  <c r="G6651" i="1"/>
  <c r="H6651" i="1"/>
  <c r="J6651" i="1"/>
  <c r="K6651" i="1"/>
  <c r="L6651" i="1"/>
  <c r="A6652" i="1"/>
  <c r="B6652" i="1"/>
  <c r="C6652" i="1"/>
  <c r="D6652" i="1"/>
  <c r="Q6652" i="1"/>
  <c r="R6652" i="1"/>
  <c r="E6652" i="1"/>
  <c r="G6652" i="1"/>
  <c r="H6652" i="1"/>
  <c r="J6652" i="1"/>
  <c r="K6652" i="1"/>
  <c r="L6652" i="1"/>
  <c r="A6653" i="1"/>
  <c r="B6653" i="1"/>
  <c r="C6653" i="1"/>
  <c r="D6653" i="1"/>
  <c r="Q6653" i="1"/>
  <c r="R6653" i="1"/>
  <c r="E6653" i="1"/>
  <c r="G6653" i="1"/>
  <c r="H6653" i="1"/>
  <c r="J6653" i="1"/>
  <c r="K6653" i="1"/>
  <c r="L6653" i="1"/>
  <c r="A6654" i="1"/>
  <c r="B6654" i="1"/>
  <c r="C6654" i="1"/>
  <c r="D6654" i="1"/>
  <c r="Q6654" i="1"/>
  <c r="R6654" i="1"/>
  <c r="E6654" i="1"/>
  <c r="G6654" i="1"/>
  <c r="H6654" i="1"/>
  <c r="J6654" i="1"/>
  <c r="K6654" i="1"/>
  <c r="L6654" i="1"/>
  <c r="A6655" i="1"/>
  <c r="B6655" i="1"/>
  <c r="C6655" i="1"/>
  <c r="D6655" i="1"/>
  <c r="Q6655" i="1"/>
  <c r="R6655" i="1"/>
  <c r="E6655" i="1"/>
  <c r="G6655" i="1"/>
  <c r="H6655" i="1"/>
  <c r="J6655" i="1"/>
  <c r="K6655" i="1"/>
  <c r="L6655" i="1"/>
  <c r="A6656" i="1"/>
  <c r="B6656" i="1"/>
  <c r="C6656" i="1"/>
  <c r="D6656" i="1"/>
  <c r="Q6656" i="1"/>
  <c r="R6656" i="1"/>
  <c r="E6656" i="1"/>
  <c r="G6656" i="1"/>
  <c r="H6656" i="1"/>
  <c r="J6656" i="1"/>
  <c r="K6656" i="1"/>
  <c r="L6656" i="1"/>
  <c r="A6729" i="1"/>
  <c r="B6729" i="1"/>
  <c r="C6729" i="1"/>
  <c r="D6729" i="1"/>
  <c r="Q6729" i="1"/>
  <c r="R6729" i="1"/>
  <c r="E6729" i="1"/>
  <c r="G6729" i="1"/>
  <c r="H6729" i="1"/>
  <c r="J6729" i="1"/>
  <c r="K6729" i="1"/>
  <c r="L6729" i="1"/>
  <c r="A6730" i="1"/>
  <c r="B6730" i="1"/>
  <c r="C6730" i="1"/>
  <c r="D6730" i="1"/>
  <c r="Q6730" i="1"/>
  <c r="R6730" i="1"/>
  <c r="E6730" i="1"/>
  <c r="G6730" i="1"/>
  <c r="H6730" i="1"/>
  <c r="J6730" i="1"/>
  <c r="K6730" i="1"/>
  <c r="L6730" i="1"/>
  <c r="A6731" i="1"/>
  <c r="B6731" i="1"/>
  <c r="C6731" i="1"/>
  <c r="D6731" i="1"/>
  <c r="Q6731" i="1"/>
  <c r="R6731" i="1"/>
  <c r="E6731" i="1"/>
  <c r="G6731" i="1"/>
  <c r="H6731" i="1"/>
  <c r="J6731" i="1"/>
  <c r="K6731" i="1"/>
  <c r="L6731" i="1"/>
  <c r="A6732" i="1"/>
  <c r="B6732" i="1"/>
  <c r="C6732" i="1"/>
  <c r="D6732" i="1"/>
  <c r="Q6732" i="1"/>
  <c r="R6732" i="1"/>
  <c r="E6732" i="1"/>
  <c r="G6732" i="1"/>
  <c r="H6732" i="1"/>
  <c r="J6732" i="1"/>
  <c r="K6732" i="1"/>
  <c r="L6732" i="1"/>
  <c r="A6733" i="1"/>
  <c r="B6733" i="1"/>
  <c r="C6733" i="1"/>
  <c r="D6733" i="1"/>
  <c r="Q6733" i="1"/>
  <c r="R6733" i="1"/>
  <c r="E6733" i="1"/>
  <c r="G6733" i="1"/>
  <c r="H6733" i="1"/>
  <c r="J6733" i="1"/>
  <c r="K6733" i="1"/>
  <c r="L6733" i="1"/>
  <c r="A6734" i="1"/>
  <c r="B6734" i="1"/>
  <c r="C6734" i="1"/>
  <c r="D6734" i="1"/>
  <c r="Q6734" i="1"/>
  <c r="R6734" i="1"/>
  <c r="E6734" i="1"/>
  <c r="G6734" i="1"/>
  <c r="H6734" i="1"/>
  <c r="J6734" i="1"/>
  <c r="K6734" i="1"/>
  <c r="L6734" i="1"/>
  <c r="A6735" i="1"/>
  <c r="B6735" i="1"/>
  <c r="C6735" i="1"/>
  <c r="D6735" i="1"/>
  <c r="Q6735" i="1"/>
  <c r="R6735" i="1"/>
  <c r="E6735" i="1"/>
  <c r="G6735" i="1"/>
  <c r="H6735" i="1"/>
  <c r="J6735" i="1"/>
  <c r="K6735" i="1"/>
  <c r="L6735" i="1"/>
  <c r="A6736" i="1"/>
  <c r="B6736" i="1"/>
  <c r="C6736" i="1"/>
  <c r="D6736" i="1"/>
  <c r="Q6736" i="1"/>
  <c r="R6736" i="1"/>
  <c r="E6736" i="1"/>
  <c r="G6736" i="1"/>
  <c r="H6736" i="1"/>
  <c r="J6736" i="1"/>
  <c r="K6736" i="1"/>
  <c r="L6736" i="1"/>
  <c r="A6737" i="1"/>
  <c r="B6737" i="1"/>
  <c r="C6737" i="1"/>
  <c r="D6737" i="1"/>
  <c r="Q6737" i="1"/>
  <c r="R6737" i="1"/>
  <c r="E6737" i="1"/>
  <c r="G6737" i="1"/>
  <c r="H6737" i="1"/>
  <c r="J6737" i="1"/>
  <c r="K6737" i="1"/>
  <c r="L6737" i="1"/>
  <c r="A6738" i="1"/>
  <c r="B6738" i="1"/>
  <c r="C6738" i="1"/>
  <c r="D6738" i="1"/>
  <c r="Q6738" i="1"/>
  <c r="R6738" i="1"/>
  <c r="E6738" i="1"/>
  <c r="G6738" i="1"/>
  <c r="H6738" i="1"/>
  <c r="J6738" i="1"/>
  <c r="K6738" i="1"/>
  <c r="L6738" i="1"/>
  <c r="A6739" i="1"/>
  <c r="B6739" i="1"/>
  <c r="C6739" i="1"/>
  <c r="D6739" i="1"/>
  <c r="Q6739" i="1"/>
  <c r="R6739" i="1"/>
  <c r="E6739" i="1"/>
  <c r="G6739" i="1"/>
  <c r="H6739" i="1"/>
  <c r="J6739" i="1"/>
  <c r="K6739" i="1"/>
  <c r="L6739" i="1"/>
  <c r="A6740" i="1"/>
  <c r="B6740" i="1"/>
  <c r="C6740" i="1"/>
  <c r="D6740" i="1"/>
  <c r="Q6740" i="1"/>
  <c r="R6740" i="1"/>
  <c r="E6740" i="1"/>
  <c r="G6740" i="1"/>
  <c r="H6740" i="1"/>
  <c r="J6740" i="1"/>
  <c r="K6740" i="1"/>
  <c r="L6740" i="1"/>
  <c r="A6741" i="1"/>
  <c r="B6741" i="1"/>
  <c r="C6741" i="1"/>
  <c r="D6741" i="1"/>
  <c r="Q6741" i="1"/>
  <c r="R6741" i="1"/>
  <c r="E6741" i="1"/>
  <c r="G6741" i="1"/>
  <c r="H6741" i="1"/>
  <c r="J6741" i="1"/>
  <c r="K6741" i="1"/>
  <c r="L6741" i="1"/>
  <c r="A5348" i="1"/>
  <c r="B5348" i="1"/>
  <c r="C5348" i="1"/>
  <c r="D5348" i="1"/>
  <c r="Q5348" i="1"/>
  <c r="R5348" i="1"/>
  <c r="E5348" i="1"/>
  <c r="G5348" i="1"/>
  <c r="H5348" i="1"/>
  <c r="J5348" i="1"/>
  <c r="K5348" i="1"/>
  <c r="L5348" i="1"/>
  <c r="A5349" i="1"/>
  <c r="B5349" i="1"/>
  <c r="C5349" i="1"/>
  <c r="D5349" i="1"/>
  <c r="Q5349" i="1"/>
  <c r="R5349" i="1"/>
  <c r="E5349" i="1"/>
  <c r="G5349" i="1"/>
  <c r="H5349" i="1"/>
  <c r="J5349" i="1"/>
  <c r="K5349" i="1"/>
  <c r="L5349" i="1"/>
  <c r="A5350" i="1"/>
  <c r="B5350" i="1"/>
  <c r="C5350" i="1"/>
  <c r="D5350" i="1"/>
  <c r="Q5350" i="1"/>
  <c r="R5350" i="1"/>
  <c r="E5350" i="1"/>
  <c r="G5350" i="1"/>
  <c r="H5350" i="1"/>
  <c r="J5350" i="1"/>
  <c r="K5350" i="1"/>
  <c r="L5350" i="1"/>
  <c r="A5351" i="1"/>
  <c r="B5351" i="1"/>
  <c r="C5351" i="1"/>
  <c r="D5351" i="1"/>
  <c r="Q5351" i="1"/>
  <c r="R5351" i="1"/>
  <c r="E5351" i="1"/>
  <c r="G5351" i="1"/>
  <c r="H5351" i="1"/>
  <c r="J5351" i="1"/>
  <c r="K5351" i="1"/>
  <c r="L5351" i="1"/>
  <c r="A5352" i="1"/>
  <c r="B5352" i="1"/>
  <c r="C5352" i="1"/>
  <c r="D5352" i="1"/>
  <c r="Q5352" i="1"/>
  <c r="R5352" i="1"/>
  <c r="E5352" i="1"/>
  <c r="G5352" i="1"/>
  <c r="H5352" i="1"/>
  <c r="J5352" i="1"/>
  <c r="K5352" i="1"/>
  <c r="L5352" i="1"/>
  <c r="A5353" i="1"/>
  <c r="B5353" i="1"/>
  <c r="C5353" i="1"/>
  <c r="D5353" i="1"/>
  <c r="Q5353" i="1"/>
  <c r="R5353" i="1"/>
  <c r="E5353" i="1"/>
  <c r="G5353" i="1"/>
  <c r="H5353" i="1"/>
  <c r="J5353" i="1"/>
  <c r="K5353" i="1"/>
  <c r="L5353" i="1"/>
  <c r="A5354" i="1"/>
  <c r="B5354" i="1"/>
  <c r="C5354" i="1"/>
  <c r="D5354" i="1"/>
  <c r="Q5354" i="1"/>
  <c r="R5354" i="1"/>
  <c r="E5354" i="1"/>
  <c r="G5354" i="1"/>
  <c r="H5354" i="1"/>
  <c r="J5354" i="1"/>
  <c r="K5354" i="1"/>
  <c r="L5354" i="1"/>
  <c r="A5355" i="1"/>
  <c r="B5355" i="1"/>
  <c r="C5355" i="1"/>
  <c r="D5355" i="1"/>
  <c r="Q5355" i="1"/>
  <c r="R5355" i="1"/>
  <c r="E5355" i="1"/>
  <c r="G5355" i="1"/>
  <c r="H5355" i="1"/>
  <c r="J5355" i="1"/>
  <c r="K5355" i="1"/>
  <c r="L5355" i="1"/>
  <c r="A5356" i="1"/>
  <c r="B5356" i="1"/>
  <c r="C5356" i="1"/>
  <c r="D5356" i="1"/>
  <c r="Q5356" i="1"/>
  <c r="R5356" i="1"/>
  <c r="E5356" i="1"/>
  <c r="G5356" i="1"/>
  <c r="H5356" i="1"/>
  <c r="J5356" i="1"/>
  <c r="K5356" i="1"/>
  <c r="L5356" i="1"/>
  <c r="A5357" i="1"/>
  <c r="B5357" i="1"/>
  <c r="C5357" i="1"/>
  <c r="D5357" i="1"/>
  <c r="Q5357" i="1"/>
  <c r="R5357" i="1"/>
  <c r="E5357" i="1"/>
  <c r="G5357" i="1"/>
  <c r="H5357" i="1"/>
  <c r="J5357" i="1"/>
  <c r="K5357" i="1"/>
  <c r="L5357" i="1"/>
  <c r="A5358" i="1"/>
  <c r="B5358" i="1"/>
  <c r="C5358" i="1"/>
  <c r="D5358" i="1"/>
  <c r="Q5358" i="1"/>
  <c r="R5358" i="1"/>
  <c r="E5358" i="1"/>
  <c r="G5358" i="1"/>
  <c r="H5358" i="1"/>
  <c r="J5358" i="1"/>
  <c r="K5358" i="1"/>
  <c r="L5358" i="1"/>
  <c r="A5359" i="1"/>
  <c r="B5359" i="1"/>
  <c r="C5359" i="1"/>
  <c r="D5359" i="1"/>
  <c r="Q5359" i="1"/>
  <c r="R5359" i="1"/>
  <c r="E5359" i="1"/>
  <c r="G5359" i="1"/>
  <c r="H5359" i="1"/>
  <c r="J5359" i="1"/>
  <c r="K5359" i="1"/>
  <c r="L5359" i="1"/>
  <c r="A5360" i="1"/>
  <c r="B5360" i="1"/>
  <c r="C5360" i="1"/>
  <c r="D5360" i="1"/>
  <c r="Q5360" i="1"/>
  <c r="R5360" i="1"/>
  <c r="E5360" i="1"/>
  <c r="G5360" i="1"/>
  <c r="H5360" i="1"/>
  <c r="J5360" i="1"/>
  <c r="K5360" i="1"/>
  <c r="L5360" i="1"/>
  <c r="A5361" i="1"/>
  <c r="B5361" i="1"/>
  <c r="C5361" i="1"/>
  <c r="D5361" i="1"/>
  <c r="Q5361" i="1"/>
  <c r="R5361" i="1"/>
  <c r="E5361" i="1"/>
  <c r="G5361" i="1"/>
  <c r="H5361" i="1"/>
  <c r="J5361" i="1"/>
  <c r="K5361" i="1"/>
  <c r="L5361" i="1"/>
  <c r="A4347" i="1"/>
  <c r="B4347" i="1"/>
  <c r="C4347" i="1"/>
  <c r="D4347" i="1"/>
  <c r="Q4347" i="1"/>
  <c r="R4347" i="1"/>
  <c r="E4347" i="1"/>
  <c r="G4347" i="1"/>
  <c r="H4347" i="1"/>
  <c r="J4347" i="1"/>
  <c r="K4347" i="1"/>
  <c r="L4347" i="1"/>
  <c r="A4348" i="1"/>
  <c r="B4348" i="1"/>
  <c r="C4348" i="1"/>
  <c r="D4348" i="1"/>
  <c r="Q4348" i="1"/>
  <c r="R4348" i="1"/>
  <c r="E4348" i="1"/>
  <c r="G4348" i="1"/>
  <c r="H4348" i="1"/>
  <c r="J4348" i="1"/>
  <c r="K4348" i="1"/>
  <c r="L4348" i="1"/>
  <c r="A4349" i="1"/>
  <c r="B4349" i="1"/>
  <c r="C4349" i="1"/>
  <c r="D4349" i="1"/>
  <c r="Q4349" i="1"/>
  <c r="R4349" i="1"/>
  <c r="E4349" i="1"/>
  <c r="G4349" i="1"/>
  <c r="H4349" i="1"/>
  <c r="J4349" i="1"/>
  <c r="K4349" i="1"/>
  <c r="L4349" i="1"/>
  <c r="A4350" i="1"/>
  <c r="B4350" i="1"/>
  <c r="C4350" i="1"/>
  <c r="D4350" i="1"/>
  <c r="Q4350" i="1"/>
  <c r="R4350" i="1"/>
  <c r="E4350" i="1"/>
  <c r="G4350" i="1"/>
  <c r="H4350" i="1"/>
  <c r="J4350" i="1"/>
  <c r="K4350" i="1"/>
  <c r="L4350" i="1"/>
  <c r="A4351" i="1"/>
  <c r="B4351" i="1"/>
  <c r="C4351" i="1"/>
  <c r="D4351" i="1"/>
  <c r="Q4351" i="1"/>
  <c r="R4351" i="1"/>
  <c r="E4351" i="1"/>
  <c r="G4351" i="1"/>
  <c r="H4351" i="1"/>
  <c r="J4351" i="1"/>
  <c r="K4351" i="1"/>
  <c r="L4351" i="1"/>
  <c r="A4352" i="1"/>
  <c r="B4352" i="1"/>
  <c r="C4352" i="1"/>
  <c r="D4352" i="1"/>
  <c r="Q4352" i="1"/>
  <c r="R4352" i="1"/>
  <c r="E4352" i="1"/>
  <c r="G4352" i="1"/>
  <c r="H4352" i="1"/>
  <c r="J4352" i="1"/>
  <c r="K4352" i="1"/>
  <c r="L4352" i="1"/>
  <c r="A4353" i="1"/>
  <c r="B4353" i="1"/>
  <c r="C4353" i="1"/>
  <c r="D4353" i="1"/>
  <c r="Q4353" i="1"/>
  <c r="R4353" i="1"/>
  <c r="E4353" i="1"/>
  <c r="G4353" i="1"/>
  <c r="H4353" i="1"/>
  <c r="J4353" i="1"/>
  <c r="K4353" i="1"/>
  <c r="L4353" i="1"/>
  <c r="A4354" i="1"/>
  <c r="B4354" i="1"/>
  <c r="C4354" i="1"/>
  <c r="D4354" i="1"/>
  <c r="Q4354" i="1"/>
  <c r="R4354" i="1"/>
  <c r="E4354" i="1"/>
  <c r="G4354" i="1"/>
  <c r="H4354" i="1"/>
  <c r="J4354" i="1"/>
  <c r="K4354" i="1"/>
  <c r="L4354" i="1"/>
  <c r="A4355" i="1"/>
  <c r="B4355" i="1"/>
  <c r="C4355" i="1"/>
  <c r="D4355" i="1"/>
  <c r="Q4355" i="1"/>
  <c r="R4355" i="1"/>
  <c r="E4355" i="1"/>
  <c r="G4355" i="1"/>
  <c r="H4355" i="1"/>
  <c r="J4355" i="1"/>
  <c r="K4355" i="1"/>
  <c r="L4355" i="1"/>
  <c r="A4356" i="1"/>
  <c r="B4356" i="1"/>
  <c r="C4356" i="1"/>
  <c r="D4356" i="1"/>
  <c r="Q4356" i="1"/>
  <c r="R4356" i="1"/>
  <c r="E4356" i="1"/>
  <c r="G4356" i="1"/>
  <c r="H4356" i="1"/>
  <c r="J4356" i="1"/>
  <c r="K4356" i="1"/>
  <c r="L4356" i="1"/>
  <c r="A5362" i="1"/>
  <c r="B5362" i="1"/>
  <c r="C5362" i="1"/>
  <c r="D5362" i="1"/>
  <c r="Q5362" i="1"/>
  <c r="R5362" i="1"/>
  <c r="E5362" i="1"/>
  <c r="G5362" i="1"/>
  <c r="H5362" i="1"/>
  <c r="J5362" i="1"/>
  <c r="K5362" i="1"/>
  <c r="L5362" i="1"/>
  <c r="A5363" i="1"/>
  <c r="B5363" i="1"/>
  <c r="C5363" i="1"/>
  <c r="D5363" i="1"/>
  <c r="Q5363" i="1"/>
  <c r="R5363" i="1"/>
  <c r="E5363" i="1"/>
  <c r="G5363" i="1"/>
  <c r="H5363" i="1"/>
  <c r="J5363" i="1"/>
  <c r="K5363" i="1"/>
  <c r="L5363" i="1"/>
  <c r="A5364" i="1"/>
  <c r="B5364" i="1"/>
  <c r="C5364" i="1"/>
  <c r="D5364" i="1"/>
  <c r="Q5364" i="1"/>
  <c r="R5364" i="1"/>
  <c r="E5364" i="1"/>
  <c r="G5364" i="1"/>
  <c r="H5364" i="1"/>
  <c r="J5364" i="1"/>
  <c r="K5364" i="1"/>
  <c r="L5364" i="1"/>
  <c r="A5365" i="1"/>
  <c r="B5365" i="1"/>
  <c r="C5365" i="1"/>
  <c r="D5365" i="1"/>
  <c r="Q5365" i="1"/>
  <c r="R5365" i="1"/>
  <c r="E5365" i="1"/>
  <c r="G5365" i="1"/>
  <c r="H5365" i="1"/>
  <c r="J5365" i="1"/>
  <c r="K5365" i="1"/>
  <c r="L5365" i="1"/>
  <c r="A5366" i="1"/>
  <c r="B5366" i="1"/>
  <c r="C5366" i="1"/>
  <c r="D5366" i="1"/>
  <c r="Q5366" i="1"/>
  <c r="R5366" i="1"/>
  <c r="E5366" i="1"/>
  <c r="G5366" i="1"/>
  <c r="H5366" i="1"/>
  <c r="J5366" i="1"/>
  <c r="K5366" i="1"/>
  <c r="L5366" i="1"/>
  <c r="A5367" i="1"/>
  <c r="B5367" i="1"/>
  <c r="C5367" i="1"/>
  <c r="D5367" i="1"/>
  <c r="Q5367" i="1"/>
  <c r="R5367" i="1"/>
  <c r="E5367" i="1"/>
  <c r="G5367" i="1"/>
  <c r="H5367" i="1"/>
  <c r="J5367" i="1"/>
  <c r="K5367" i="1"/>
  <c r="L5367" i="1"/>
  <c r="A5368" i="1"/>
  <c r="B5368" i="1"/>
  <c r="C5368" i="1"/>
  <c r="D5368" i="1"/>
  <c r="Q5368" i="1"/>
  <c r="R5368" i="1"/>
  <c r="E5368" i="1"/>
  <c r="G5368" i="1"/>
  <c r="H5368" i="1"/>
  <c r="J5368" i="1"/>
  <c r="K5368" i="1"/>
  <c r="L5368" i="1"/>
  <c r="A5369" i="1"/>
  <c r="B5369" i="1"/>
  <c r="C5369" i="1"/>
  <c r="D5369" i="1"/>
  <c r="Q5369" i="1"/>
  <c r="R5369" i="1"/>
  <c r="E5369" i="1"/>
  <c r="G5369" i="1"/>
  <c r="H5369" i="1"/>
  <c r="J5369" i="1"/>
  <c r="K5369" i="1"/>
  <c r="L5369" i="1"/>
  <c r="A5370" i="1"/>
  <c r="B5370" i="1"/>
  <c r="C5370" i="1"/>
  <c r="D5370" i="1"/>
  <c r="Q5370" i="1"/>
  <c r="R5370" i="1"/>
  <c r="E5370" i="1"/>
  <c r="G5370" i="1"/>
  <c r="H5370" i="1"/>
  <c r="J5370" i="1"/>
  <c r="K5370" i="1"/>
  <c r="L5370" i="1"/>
  <c r="A5371" i="1"/>
  <c r="B5371" i="1"/>
  <c r="C5371" i="1"/>
  <c r="D5371" i="1"/>
  <c r="Q5371" i="1"/>
  <c r="R5371" i="1"/>
  <c r="E5371" i="1"/>
  <c r="G5371" i="1"/>
  <c r="H5371" i="1"/>
  <c r="J5371" i="1"/>
  <c r="K5371" i="1"/>
  <c r="L5371" i="1"/>
  <c r="A5372" i="1"/>
  <c r="B5372" i="1"/>
  <c r="C5372" i="1"/>
  <c r="D5372" i="1"/>
  <c r="Q5372" i="1"/>
  <c r="R5372" i="1"/>
  <c r="E5372" i="1"/>
  <c r="G5372" i="1"/>
  <c r="H5372" i="1"/>
  <c r="J5372" i="1"/>
  <c r="K5372" i="1"/>
  <c r="L5372" i="1"/>
  <c r="A5373" i="1"/>
  <c r="B5373" i="1"/>
  <c r="C5373" i="1"/>
  <c r="D5373" i="1"/>
  <c r="Q5373" i="1"/>
  <c r="R5373" i="1"/>
  <c r="E5373" i="1"/>
  <c r="G5373" i="1"/>
  <c r="H5373" i="1"/>
  <c r="J5373" i="1"/>
  <c r="K5373" i="1"/>
  <c r="L5373" i="1"/>
  <c r="A5374" i="1"/>
  <c r="B5374" i="1"/>
  <c r="C5374" i="1"/>
  <c r="D5374" i="1"/>
  <c r="Q5374" i="1"/>
  <c r="R5374" i="1"/>
  <c r="E5374" i="1"/>
  <c r="G5374" i="1"/>
  <c r="H5374" i="1"/>
  <c r="J5374" i="1"/>
  <c r="K5374" i="1"/>
  <c r="L5374" i="1"/>
  <c r="A5375" i="1"/>
  <c r="B5375" i="1"/>
  <c r="C5375" i="1"/>
  <c r="D5375" i="1"/>
  <c r="Q5375" i="1"/>
  <c r="R5375" i="1"/>
  <c r="E5375" i="1"/>
  <c r="G5375" i="1"/>
  <c r="H5375" i="1"/>
  <c r="J5375" i="1"/>
  <c r="K5375" i="1"/>
  <c r="L5375" i="1"/>
  <c r="A5376" i="1"/>
  <c r="B5376" i="1"/>
  <c r="C5376" i="1"/>
  <c r="D5376" i="1"/>
  <c r="Q5376" i="1"/>
  <c r="R5376" i="1"/>
  <c r="E5376" i="1"/>
  <c r="G5376" i="1"/>
  <c r="H5376" i="1"/>
  <c r="J5376" i="1"/>
  <c r="K5376" i="1"/>
  <c r="L5376" i="1"/>
  <c r="A5377" i="1"/>
  <c r="B5377" i="1"/>
  <c r="C5377" i="1"/>
  <c r="D5377" i="1"/>
  <c r="Q5377" i="1"/>
  <c r="R5377" i="1"/>
  <c r="E5377" i="1"/>
  <c r="G5377" i="1"/>
  <c r="H5377" i="1"/>
  <c r="J5377" i="1"/>
  <c r="K5377" i="1"/>
  <c r="L5377" i="1"/>
  <c r="A5378" i="1"/>
  <c r="B5378" i="1"/>
  <c r="C5378" i="1"/>
  <c r="D5378" i="1"/>
  <c r="Q5378" i="1"/>
  <c r="R5378" i="1"/>
  <c r="E5378" i="1"/>
  <c r="G5378" i="1"/>
  <c r="H5378" i="1"/>
  <c r="J5378" i="1"/>
  <c r="K5378" i="1"/>
  <c r="L5378" i="1"/>
  <c r="A5379" i="1"/>
  <c r="B5379" i="1"/>
  <c r="C5379" i="1"/>
  <c r="D5379" i="1"/>
  <c r="Q5379" i="1"/>
  <c r="R5379" i="1"/>
  <c r="E5379" i="1"/>
  <c r="G5379" i="1"/>
  <c r="H5379" i="1"/>
  <c r="J5379" i="1"/>
  <c r="K5379" i="1"/>
  <c r="L5379" i="1"/>
  <c r="A5380" i="1"/>
  <c r="B5380" i="1"/>
  <c r="C5380" i="1"/>
  <c r="D5380" i="1"/>
  <c r="Q5380" i="1"/>
  <c r="R5380" i="1"/>
  <c r="E5380" i="1"/>
  <c r="G5380" i="1"/>
  <c r="H5380" i="1"/>
  <c r="J5380" i="1"/>
  <c r="K5380" i="1"/>
  <c r="L5380" i="1"/>
  <c r="A5381" i="1"/>
  <c r="B5381" i="1"/>
  <c r="C5381" i="1"/>
  <c r="D5381" i="1"/>
  <c r="Q5381" i="1"/>
  <c r="R5381" i="1"/>
  <c r="E5381" i="1"/>
  <c r="G5381" i="1"/>
  <c r="H5381" i="1"/>
  <c r="J5381" i="1"/>
  <c r="K5381" i="1"/>
  <c r="L5381" i="1"/>
  <c r="A5382" i="1"/>
  <c r="B5382" i="1"/>
  <c r="C5382" i="1"/>
  <c r="D5382" i="1"/>
  <c r="Q5382" i="1"/>
  <c r="R5382" i="1"/>
  <c r="E5382" i="1"/>
  <c r="G5382" i="1"/>
  <c r="H5382" i="1"/>
  <c r="J5382" i="1"/>
  <c r="K5382" i="1"/>
  <c r="L5382" i="1"/>
  <c r="A5383" i="1"/>
  <c r="B5383" i="1"/>
  <c r="C5383" i="1"/>
  <c r="D5383" i="1"/>
  <c r="Q5383" i="1"/>
  <c r="R5383" i="1"/>
  <c r="E5383" i="1"/>
  <c r="G5383" i="1"/>
  <c r="H5383" i="1"/>
  <c r="J5383" i="1"/>
  <c r="K5383" i="1"/>
  <c r="L5383" i="1"/>
  <c r="A5384" i="1"/>
  <c r="B5384" i="1"/>
  <c r="C5384" i="1"/>
  <c r="D5384" i="1"/>
  <c r="Q5384" i="1"/>
  <c r="R5384" i="1"/>
  <c r="E5384" i="1"/>
  <c r="G5384" i="1"/>
  <c r="H5384" i="1"/>
  <c r="J5384" i="1"/>
  <c r="K5384" i="1"/>
  <c r="L5384" i="1"/>
  <c r="A5385" i="1"/>
  <c r="B5385" i="1"/>
  <c r="C5385" i="1"/>
  <c r="D5385" i="1"/>
  <c r="Q5385" i="1"/>
  <c r="R5385" i="1"/>
  <c r="E5385" i="1"/>
  <c r="G5385" i="1"/>
  <c r="H5385" i="1"/>
  <c r="J5385" i="1"/>
  <c r="K5385" i="1"/>
  <c r="L5385" i="1"/>
  <c r="A5386" i="1"/>
  <c r="B5386" i="1"/>
  <c r="C5386" i="1"/>
  <c r="D5386" i="1"/>
  <c r="Q5386" i="1"/>
  <c r="R5386" i="1"/>
  <c r="E5386" i="1"/>
  <c r="G5386" i="1"/>
  <c r="H5386" i="1"/>
  <c r="J5386" i="1"/>
  <c r="K5386" i="1"/>
  <c r="L5386" i="1"/>
  <c r="A5387" i="1"/>
  <c r="B5387" i="1"/>
  <c r="C5387" i="1"/>
  <c r="D5387" i="1"/>
  <c r="Q5387" i="1"/>
  <c r="R5387" i="1"/>
  <c r="E5387" i="1"/>
  <c r="G5387" i="1"/>
  <c r="H5387" i="1"/>
  <c r="J5387" i="1"/>
  <c r="K5387" i="1"/>
  <c r="L5387" i="1"/>
  <c r="A5388" i="1"/>
  <c r="B5388" i="1"/>
  <c r="C5388" i="1"/>
  <c r="D5388" i="1"/>
  <c r="Q5388" i="1"/>
  <c r="R5388" i="1"/>
  <c r="E5388" i="1"/>
  <c r="G5388" i="1"/>
  <c r="H5388" i="1"/>
  <c r="J5388" i="1"/>
  <c r="K5388" i="1"/>
  <c r="L5388" i="1"/>
  <c r="A5389" i="1"/>
  <c r="B5389" i="1"/>
  <c r="C5389" i="1"/>
  <c r="D5389" i="1"/>
  <c r="Q5389" i="1"/>
  <c r="R5389" i="1"/>
  <c r="E5389" i="1"/>
  <c r="G5389" i="1"/>
  <c r="H5389" i="1"/>
  <c r="J5389" i="1"/>
  <c r="K5389" i="1"/>
  <c r="L5389" i="1"/>
  <c r="A5390" i="1"/>
  <c r="B5390" i="1"/>
  <c r="C5390" i="1"/>
  <c r="D5390" i="1"/>
  <c r="Q5390" i="1"/>
  <c r="R5390" i="1"/>
  <c r="E5390" i="1"/>
  <c r="G5390" i="1"/>
  <c r="H5390" i="1"/>
  <c r="J5390" i="1"/>
  <c r="K5390" i="1"/>
  <c r="L5390" i="1"/>
  <c r="A5391" i="1"/>
  <c r="B5391" i="1"/>
  <c r="C5391" i="1"/>
  <c r="D5391" i="1"/>
  <c r="Q5391" i="1"/>
  <c r="R5391" i="1"/>
  <c r="E5391" i="1"/>
  <c r="G5391" i="1"/>
  <c r="H5391" i="1"/>
  <c r="J5391" i="1"/>
  <c r="K5391" i="1"/>
  <c r="L5391" i="1"/>
  <c r="A5392" i="1"/>
  <c r="B5392" i="1"/>
  <c r="C5392" i="1"/>
  <c r="D5392" i="1"/>
  <c r="Q5392" i="1"/>
  <c r="R5392" i="1"/>
  <c r="E5392" i="1"/>
  <c r="G5392" i="1"/>
  <c r="H5392" i="1"/>
  <c r="J5392" i="1"/>
  <c r="K5392" i="1"/>
  <c r="L5392" i="1"/>
  <c r="A5393" i="1"/>
  <c r="B5393" i="1"/>
  <c r="C5393" i="1"/>
  <c r="D5393" i="1"/>
  <c r="Q5393" i="1"/>
  <c r="R5393" i="1"/>
  <c r="E5393" i="1"/>
  <c r="G5393" i="1"/>
  <c r="H5393" i="1"/>
  <c r="J5393" i="1"/>
  <c r="K5393" i="1"/>
  <c r="L5393" i="1"/>
  <c r="A5394" i="1"/>
  <c r="B5394" i="1"/>
  <c r="C5394" i="1"/>
  <c r="D5394" i="1"/>
  <c r="Q5394" i="1"/>
  <c r="R5394" i="1"/>
  <c r="E5394" i="1"/>
  <c r="G5394" i="1"/>
  <c r="H5394" i="1"/>
  <c r="J5394" i="1"/>
  <c r="K5394" i="1"/>
  <c r="L5394" i="1"/>
  <c r="A5395" i="1"/>
  <c r="B5395" i="1"/>
  <c r="C5395" i="1"/>
  <c r="D5395" i="1"/>
  <c r="Q5395" i="1"/>
  <c r="R5395" i="1"/>
  <c r="E5395" i="1"/>
  <c r="G5395" i="1"/>
  <c r="H5395" i="1"/>
  <c r="J5395" i="1"/>
  <c r="K5395" i="1"/>
  <c r="L5395" i="1"/>
  <c r="A5396" i="1"/>
  <c r="B5396" i="1"/>
  <c r="C5396" i="1"/>
  <c r="D5396" i="1"/>
  <c r="Q5396" i="1"/>
  <c r="R5396" i="1"/>
  <c r="E5396" i="1"/>
  <c r="G5396" i="1"/>
  <c r="H5396" i="1"/>
  <c r="J5396" i="1"/>
  <c r="K5396" i="1"/>
  <c r="L5396" i="1"/>
  <c r="A5397" i="1"/>
  <c r="B5397" i="1"/>
  <c r="C5397" i="1"/>
  <c r="D5397" i="1"/>
  <c r="Q5397" i="1"/>
  <c r="R5397" i="1"/>
  <c r="E5397" i="1"/>
  <c r="G5397" i="1"/>
  <c r="H5397" i="1"/>
  <c r="J5397" i="1"/>
  <c r="K5397" i="1"/>
  <c r="L5397" i="1"/>
  <c r="A5398" i="1"/>
  <c r="B5398" i="1"/>
  <c r="C5398" i="1"/>
  <c r="D5398" i="1"/>
  <c r="Q5398" i="1"/>
  <c r="R5398" i="1"/>
  <c r="E5398" i="1"/>
  <c r="G5398" i="1"/>
  <c r="H5398" i="1"/>
  <c r="J5398" i="1"/>
  <c r="K5398" i="1"/>
  <c r="L5398" i="1"/>
  <c r="A5399" i="1"/>
  <c r="B5399" i="1"/>
  <c r="C5399" i="1"/>
  <c r="D5399" i="1"/>
  <c r="Q5399" i="1"/>
  <c r="R5399" i="1"/>
  <c r="E5399" i="1"/>
  <c r="G5399" i="1"/>
  <c r="H5399" i="1"/>
  <c r="J5399" i="1"/>
  <c r="K5399" i="1"/>
  <c r="L5399" i="1"/>
  <c r="A5400" i="1"/>
  <c r="B5400" i="1"/>
  <c r="C5400" i="1"/>
  <c r="D5400" i="1"/>
  <c r="Q5400" i="1"/>
  <c r="R5400" i="1"/>
  <c r="E5400" i="1"/>
  <c r="G5400" i="1"/>
  <c r="H5400" i="1"/>
  <c r="J5400" i="1"/>
  <c r="K5400" i="1"/>
  <c r="L5400" i="1"/>
  <c r="A5401" i="1"/>
  <c r="B5401" i="1"/>
  <c r="C5401" i="1"/>
  <c r="D5401" i="1"/>
  <c r="Q5401" i="1"/>
  <c r="R5401" i="1"/>
  <c r="E5401" i="1"/>
  <c r="G5401" i="1"/>
  <c r="H5401" i="1"/>
  <c r="J5401" i="1"/>
  <c r="K5401" i="1"/>
  <c r="L5401" i="1"/>
  <c r="A5402" i="1"/>
  <c r="B5402" i="1"/>
  <c r="C5402" i="1"/>
  <c r="D5402" i="1"/>
  <c r="Q5402" i="1"/>
  <c r="R5402" i="1"/>
  <c r="E5402" i="1"/>
  <c r="G5402" i="1"/>
  <c r="H5402" i="1"/>
  <c r="J5402" i="1"/>
  <c r="K5402" i="1"/>
  <c r="L5402" i="1"/>
  <c r="A5403" i="1"/>
  <c r="B5403" i="1"/>
  <c r="C5403" i="1"/>
  <c r="D5403" i="1"/>
  <c r="Q5403" i="1"/>
  <c r="R5403" i="1"/>
  <c r="E5403" i="1"/>
  <c r="G5403" i="1"/>
  <c r="H5403" i="1"/>
  <c r="J5403" i="1"/>
  <c r="K5403" i="1"/>
  <c r="L5403" i="1"/>
  <c r="A5404" i="1"/>
  <c r="B5404" i="1"/>
  <c r="C5404" i="1"/>
  <c r="D5404" i="1"/>
  <c r="Q5404" i="1"/>
  <c r="R5404" i="1"/>
  <c r="E5404" i="1"/>
  <c r="G5404" i="1"/>
  <c r="H5404" i="1"/>
  <c r="J5404" i="1"/>
  <c r="K5404" i="1"/>
  <c r="L5404" i="1"/>
  <c r="A5405" i="1"/>
  <c r="B5405" i="1"/>
  <c r="C5405" i="1"/>
  <c r="D5405" i="1"/>
  <c r="Q5405" i="1"/>
  <c r="R5405" i="1"/>
  <c r="E5405" i="1"/>
  <c r="G5405" i="1"/>
  <c r="H5405" i="1"/>
  <c r="J5405" i="1"/>
  <c r="K5405" i="1"/>
  <c r="L5405" i="1"/>
  <c r="A5406" i="1"/>
  <c r="B5406" i="1"/>
  <c r="C5406" i="1"/>
  <c r="D5406" i="1"/>
  <c r="Q5406" i="1"/>
  <c r="R5406" i="1"/>
  <c r="E5406" i="1"/>
  <c r="G5406" i="1"/>
  <c r="H5406" i="1"/>
  <c r="J5406" i="1"/>
  <c r="K5406" i="1"/>
  <c r="L5406" i="1"/>
  <c r="A5407" i="1"/>
  <c r="B5407" i="1"/>
  <c r="C5407" i="1"/>
  <c r="D5407" i="1"/>
  <c r="Q5407" i="1"/>
  <c r="R5407" i="1"/>
  <c r="E5407" i="1"/>
  <c r="G5407" i="1"/>
  <c r="H5407" i="1"/>
  <c r="J5407" i="1"/>
  <c r="K5407" i="1"/>
  <c r="L5407" i="1"/>
  <c r="A5408" i="1"/>
  <c r="B5408" i="1"/>
  <c r="C5408" i="1"/>
  <c r="D5408" i="1"/>
  <c r="Q5408" i="1"/>
  <c r="R5408" i="1"/>
  <c r="E5408" i="1"/>
  <c r="G5408" i="1"/>
  <c r="H5408" i="1"/>
  <c r="J5408" i="1"/>
  <c r="K5408" i="1"/>
  <c r="L5408" i="1"/>
  <c r="A5409" i="1"/>
  <c r="B5409" i="1"/>
  <c r="C5409" i="1"/>
  <c r="D5409" i="1"/>
  <c r="Q5409" i="1"/>
  <c r="R5409" i="1"/>
  <c r="E5409" i="1"/>
  <c r="G5409" i="1"/>
  <c r="H5409" i="1"/>
  <c r="J5409" i="1"/>
  <c r="K5409" i="1"/>
  <c r="L5409" i="1"/>
  <c r="A5410" i="1"/>
  <c r="B5410" i="1"/>
  <c r="C5410" i="1"/>
  <c r="D5410" i="1"/>
  <c r="Q5410" i="1"/>
  <c r="R5410" i="1"/>
  <c r="E5410" i="1"/>
  <c r="G5410" i="1"/>
  <c r="H5410" i="1"/>
  <c r="J5410" i="1"/>
  <c r="K5410" i="1"/>
  <c r="L5410" i="1"/>
  <c r="A5411" i="1"/>
  <c r="B5411" i="1"/>
  <c r="C5411" i="1"/>
  <c r="D5411" i="1"/>
  <c r="Q5411" i="1"/>
  <c r="R5411" i="1"/>
  <c r="E5411" i="1"/>
  <c r="G5411" i="1"/>
  <c r="H5411" i="1"/>
  <c r="J5411" i="1"/>
  <c r="K5411" i="1"/>
  <c r="L5411" i="1"/>
  <c r="A5412" i="1"/>
  <c r="B5412" i="1"/>
  <c r="C5412" i="1"/>
  <c r="D5412" i="1"/>
  <c r="Q5412" i="1"/>
  <c r="R5412" i="1"/>
  <c r="E5412" i="1"/>
  <c r="G5412" i="1"/>
  <c r="H5412" i="1"/>
  <c r="J5412" i="1"/>
  <c r="K5412" i="1"/>
  <c r="L5412" i="1"/>
  <c r="A5413" i="1"/>
  <c r="B5413" i="1"/>
  <c r="C5413" i="1"/>
  <c r="D5413" i="1"/>
  <c r="Q5413" i="1"/>
  <c r="R5413" i="1"/>
  <c r="E5413" i="1"/>
  <c r="G5413" i="1"/>
  <c r="H5413" i="1"/>
  <c r="J5413" i="1"/>
  <c r="K5413" i="1"/>
  <c r="L5413" i="1"/>
  <c r="A5414" i="1"/>
  <c r="B5414" i="1"/>
  <c r="C5414" i="1"/>
  <c r="D5414" i="1"/>
  <c r="Q5414" i="1"/>
  <c r="R5414" i="1"/>
  <c r="E5414" i="1"/>
  <c r="G5414" i="1"/>
  <c r="H5414" i="1"/>
  <c r="J5414" i="1"/>
  <c r="K5414" i="1"/>
  <c r="L5414" i="1"/>
  <c r="A5415" i="1"/>
  <c r="B5415" i="1"/>
  <c r="C5415" i="1"/>
  <c r="D5415" i="1"/>
  <c r="Q5415" i="1"/>
  <c r="R5415" i="1"/>
  <c r="E5415" i="1"/>
  <c r="G5415" i="1"/>
  <c r="H5415" i="1"/>
  <c r="J5415" i="1"/>
  <c r="K5415" i="1"/>
  <c r="L5415" i="1"/>
  <c r="A5416" i="1"/>
  <c r="B5416" i="1"/>
  <c r="C5416" i="1"/>
  <c r="D5416" i="1"/>
  <c r="Q5416" i="1"/>
  <c r="R5416" i="1"/>
  <c r="E5416" i="1"/>
  <c r="G5416" i="1"/>
  <c r="H5416" i="1"/>
  <c r="J5416" i="1"/>
  <c r="K5416" i="1"/>
  <c r="L5416" i="1"/>
  <c r="A5417" i="1"/>
  <c r="B5417" i="1"/>
  <c r="C5417" i="1"/>
  <c r="D5417" i="1"/>
  <c r="Q5417" i="1"/>
  <c r="R5417" i="1"/>
  <c r="E5417" i="1"/>
  <c r="G5417" i="1"/>
  <c r="H5417" i="1"/>
  <c r="J5417" i="1"/>
  <c r="K5417" i="1"/>
  <c r="L5417" i="1"/>
  <c r="A5418" i="1"/>
  <c r="B5418" i="1"/>
  <c r="C5418" i="1"/>
  <c r="D5418" i="1"/>
  <c r="Q5418" i="1"/>
  <c r="R5418" i="1"/>
  <c r="E5418" i="1"/>
  <c r="G5418" i="1"/>
  <c r="H5418" i="1"/>
  <c r="J5418" i="1"/>
  <c r="K5418" i="1"/>
  <c r="L5418" i="1"/>
  <c r="A5419" i="1"/>
  <c r="B5419" i="1"/>
  <c r="C5419" i="1"/>
  <c r="D5419" i="1"/>
  <c r="Q5419" i="1"/>
  <c r="R5419" i="1"/>
  <c r="E5419" i="1"/>
  <c r="G5419" i="1"/>
  <c r="H5419" i="1"/>
  <c r="J5419" i="1"/>
  <c r="K5419" i="1"/>
  <c r="L5419" i="1"/>
  <c r="A5420" i="1"/>
  <c r="B5420" i="1"/>
  <c r="C5420" i="1"/>
  <c r="D5420" i="1"/>
  <c r="Q5420" i="1"/>
  <c r="R5420" i="1"/>
  <c r="E5420" i="1"/>
  <c r="G5420" i="1"/>
  <c r="H5420" i="1"/>
  <c r="J5420" i="1"/>
  <c r="K5420" i="1"/>
  <c r="L5420" i="1"/>
  <c r="A5421" i="1"/>
  <c r="B5421" i="1"/>
  <c r="C5421" i="1"/>
  <c r="D5421" i="1"/>
  <c r="Q5421" i="1"/>
  <c r="R5421" i="1"/>
  <c r="E5421" i="1"/>
  <c r="G5421" i="1"/>
  <c r="H5421" i="1"/>
  <c r="J5421" i="1"/>
  <c r="K5421" i="1"/>
  <c r="L5421" i="1"/>
  <c r="A5422" i="1"/>
  <c r="B5422" i="1"/>
  <c r="C5422" i="1"/>
  <c r="D5422" i="1"/>
  <c r="Q5422" i="1"/>
  <c r="R5422" i="1"/>
  <c r="E5422" i="1"/>
  <c r="G5422" i="1"/>
  <c r="H5422" i="1"/>
  <c r="J5422" i="1"/>
  <c r="K5422" i="1"/>
  <c r="L5422" i="1"/>
  <c r="A5423" i="1"/>
  <c r="B5423" i="1"/>
  <c r="C5423" i="1"/>
  <c r="D5423" i="1"/>
  <c r="Q5423" i="1"/>
  <c r="R5423" i="1"/>
  <c r="E5423" i="1"/>
  <c r="G5423" i="1"/>
  <c r="H5423" i="1"/>
  <c r="J5423" i="1"/>
  <c r="K5423" i="1"/>
  <c r="L5423" i="1"/>
  <c r="A5424" i="1"/>
  <c r="B5424" i="1"/>
  <c r="C5424" i="1"/>
  <c r="D5424" i="1"/>
  <c r="Q5424" i="1"/>
  <c r="R5424" i="1"/>
  <c r="E5424" i="1"/>
  <c r="G5424" i="1"/>
  <c r="H5424" i="1"/>
  <c r="J5424" i="1"/>
  <c r="K5424" i="1"/>
  <c r="L5424" i="1"/>
  <c r="A5425" i="1"/>
  <c r="B5425" i="1"/>
  <c r="C5425" i="1"/>
  <c r="D5425" i="1"/>
  <c r="Q5425" i="1"/>
  <c r="R5425" i="1"/>
  <c r="E5425" i="1"/>
  <c r="G5425" i="1"/>
  <c r="H5425" i="1"/>
  <c r="J5425" i="1"/>
  <c r="K5425" i="1"/>
  <c r="L5425" i="1"/>
  <c r="A5426" i="1"/>
  <c r="B5426" i="1"/>
  <c r="C5426" i="1"/>
  <c r="D5426" i="1"/>
  <c r="Q5426" i="1"/>
  <c r="R5426" i="1"/>
  <c r="E5426" i="1"/>
  <c r="G5426" i="1"/>
  <c r="H5426" i="1"/>
  <c r="J5426" i="1"/>
  <c r="K5426" i="1"/>
  <c r="L5426" i="1"/>
  <c r="A5427" i="1"/>
  <c r="B5427" i="1"/>
  <c r="C5427" i="1"/>
  <c r="D5427" i="1"/>
  <c r="Q5427" i="1"/>
  <c r="R5427" i="1"/>
  <c r="E5427" i="1"/>
  <c r="G5427" i="1"/>
  <c r="H5427" i="1"/>
  <c r="J5427" i="1"/>
  <c r="K5427" i="1"/>
  <c r="L5427" i="1"/>
  <c r="A5428" i="1"/>
  <c r="B5428" i="1"/>
  <c r="C5428" i="1"/>
  <c r="D5428" i="1"/>
  <c r="Q5428" i="1"/>
  <c r="R5428" i="1"/>
  <c r="E5428" i="1"/>
  <c r="G5428" i="1"/>
  <c r="H5428" i="1"/>
  <c r="J5428" i="1"/>
  <c r="K5428" i="1"/>
  <c r="L5428" i="1"/>
  <c r="A5429" i="1"/>
  <c r="B5429" i="1"/>
  <c r="C5429" i="1"/>
  <c r="D5429" i="1"/>
  <c r="Q5429" i="1"/>
  <c r="R5429" i="1"/>
  <c r="E5429" i="1"/>
  <c r="G5429" i="1"/>
  <c r="H5429" i="1"/>
  <c r="J5429" i="1"/>
  <c r="K5429" i="1"/>
  <c r="L5429" i="1"/>
  <c r="A5430" i="1"/>
  <c r="B5430" i="1"/>
  <c r="C5430" i="1"/>
  <c r="D5430" i="1"/>
  <c r="Q5430" i="1"/>
  <c r="R5430" i="1"/>
  <c r="E5430" i="1"/>
  <c r="G5430" i="1"/>
  <c r="H5430" i="1"/>
  <c r="J5430" i="1"/>
  <c r="K5430" i="1"/>
  <c r="L5430" i="1"/>
  <c r="A5431" i="1"/>
  <c r="B5431" i="1"/>
  <c r="C5431" i="1"/>
  <c r="D5431" i="1"/>
  <c r="Q5431" i="1"/>
  <c r="R5431" i="1"/>
  <c r="E5431" i="1"/>
  <c r="G5431" i="1"/>
  <c r="H5431" i="1"/>
  <c r="J5431" i="1"/>
  <c r="K5431" i="1"/>
  <c r="L5431" i="1"/>
  <c r="A5432" i="1"/>
  <c r="B5432" i="1"/>
  <c r="C5432" i="1"/>
  <c r="D5432" i="1"/>
  <c r="Q5432" i="1"/>
  <c r="R5432" i="1"/>
  <c r="E5432" i="1"/>
  <c r="G5432" i="1"/>
  <c r="H5432" i="1"/>
  <c r="J5432" i="1"/>
  <c r="K5432" i="1"/>
  <c r="L5432" i="1"/>
  <c r="A5433" i="1"/>
  <c r="B5433" i="1"/>
  <c r="C5433" i="1"/>
  <c r="D5433" i="1"/>
  <c r="Q5433" i="1"/>
  <c r="R5433" i="1"/>
  <c r="E5433" i="1"/>
  <c r="G5433" i="1"/>
  <c r="H5433" i="1"/>
  <c r="J5433" i="1"/>
  <c r="K5433" i="1"/>
  <c r="L5433" i="1"/>
  <c r="A5434" i="1"/>
  <c r="B5434" i="1"/>
  <c r="C5434" i="1"/>
  <c r="D5434" i="1"/>
  <c r="Q5434" i="1"/>
  <c r="R5434" i="1"/>
  <c r="E5434" i="1"/>
  <c r="G5434" i="1"/>
  <c r="H5434" i="1"/>
  <c r="J5434" i="1"/>
  <c r="K5434" i="1"/>
  <c r="L5434" i="1"/>
  <c r="A5435" i="1"/>
  <c r="B5435" i="1"/>
  <c r="C5435" i="1"/>
  <c r="D5435" i="1"/>
  <c r="Q5435" i="1"/>
  <c r="R5435" i="1"/>
  <c r="E5435" i="1"/>
  <c r="G5435" i="1"/>
  <c r="H5435" i="1"/>
  <c r="J5435" i="1"/>
  <c r="K5435" i="1"/>
  <c r="L5435" i="1"/>
  <c r="A5436" i="1"/>
  <c r="B5436" i="1"/>
  <c r="C5436" i="1"/>
  <c r="D5436" i="1"/>
  <c r="Q5436" i="1"/>
  <c r="R5436" i="1"/>
  <c r="E5436" i="1"/>
  <c r="G5436" i="1"/>
  <c r="H5436" i="1"/>
  <c r="J5436" i="1"/>
  <c r="K5436" i="1"/>
  <c r="L5436" i="1"/>
  <c r="A5437" i="1"/>
  <c r="B5437" i="1"/>
  <c r="C5437" i="1"/>
  <c r="D5437" i="1"/>
  <c r="Q5437" i="1"/>
  <c r="R5437" i="1"/>
  <c r="E5437" i="1"/>
  <c r="G5437" i="1"/>
  <c r="H5437" i="1"/>
  <c r="J5437" i="1"/>
  <c r="K5437" i="1"/>
  <c r="L5437" i="1"/>
  <c r="A5438" i="1"/>
  <c r="B5438" i="1"/>
  <c r="C5438" i="1"/>
  <c r="D5438" i="1"/>
  <c r="Q5438" i="1"/>
  <c r="R5438" i="1"/>
  <c r="E5438" i="1"/>
  <c r="G5438" i="1"/>
  <c r="H5438" i="1"/>
  <c r="J5438" i="1"/>
  <c r="K5438" i="1"/>
  <c r="L5438" i="1"/>
  <c r="A5439" i="1"/>
  <c r="B5439" i="1"/>
  <c r="C5439" i="1"/>
  <c r="D5439" i="1"/>
  <c r="Q5439" i="1"/>
  <c r="R5439" i="1"/>
  <c r="E5439" i="1"/>
  <c r="G5439" i="1"/>
  <c r="H5439" i="1"/>
  <c r="J5439" i="1"/>
  <c r="K5439" i="1"/>
  <c r="L5439" i="1"/>
  <c r="A5440" i="1"/>
  <c r="B5440" i="1"/>
  <c r="C5440" i="1"/>
  <c r="D5440" i="1"/>
  <c r="Q5440" i="1"/>
  <c r="R5440" i="1"/>
  <c r="E5440" i="1"/>
  <c r="G5440" i="1"/>
  <c r="H5440" i="1"/>
  <c r="J5440" i="1"/>
  <c r="K5440" i="1"/>
  <c r="L5440" i="1"/>
  <c r="A5441" i="1"/>
  <c r="B5441" i="1"/>
  <c r="C5441" i="1"/>
  <c r="D5441" i="1"/>
  <c r="Q5441" i="1"/>
  <c r="R5441" i="1"/>
  <c r="E5441" i="1"/>
  <c r="G5441" i="1"/>
  <c r="H5441" i="1"/>
  <c r="J5441" i="1"/>
  <c r="K5441" i="1"/>
  <c r="L5441" i="1"/>
  <c r="A5442" i="1"/>
  <c r="B5442" i="1"/>
  <c r="C5442" i="1"/>
  <c r="D5442" i="1"/>
  <c r="Q5442" i="1"/>
  <c r="R5442" i="1"/>
  <c r="E5442" i="1"/>
  <c r="G5442" i="1"/>
  <c r="H5442" i="1"/>
  <c r="J5442" i="1"/>
  <c r="K5442" i="1"/>
  <c r="L5442" i="1"/>
  <c r="A5443" i="1"/>
  <c r="B5443" i="1"/>
  <c r="C5443" i="1"/>
  <c r="D5443" i="1"/>
  <c r="Q5443" i="1"/>
  <c r="R5443" i="1"/>
  <c r="E5443" i="1"/>
  <c r="G5443" i="1"/>
  <c r="H5443" i="1"/>
  <c r="J5443" i="1"/>
  <c r="K5443" i="1"/>
  <c r="L5443" i="1"/>
  <c r="A5444" i="1"/>
  <c r="B5444" i="1"/>
  <c r="C5444" i="1"/>
  <c r="D5444" i="1"/>
  <c r="Q5444" i="1"/>
  <c r="R5444" i="1"/>
  <c r="E5444" i="1"/>
  <c r="G5444" i="1"/>
  <c r="H5444" i="1"/>
  <c r="J5444" i="1"/>
  <c r="K5444" i="1"/>
  <c r="L5444" i="1"/>
  <c r="A5445" i="1"/>
  <c r="B5445" i="1"/>
  <c r="C5445" i="1"/>
  <c r="D5445" i="1"/>
  <c r="Q5445" i="1"/>
  <c r="R5445" i="1"/>
  <c r="E5445" i="1"/>
  <c r="G5445" i="1"/>
  <c r="H5445" i="1"/>
  <c r="J5445" i="1"/>
  <c r="K5445" i="1"/>
  <c r="L5445" i="1"/>
  <c r="A5446" i="1"/>
  <c r="B5446" i="1"/>
  <c r="C5446" i="1"/>
  <c r="D5446" i="1"/>
  <c r="Q5446" i="1"/>
  <c r="R5446" i="1"/>
  <c r="E5446" i="1"/>
  <c r="G5446" i="1"/>
  <c r="H5446" i="1"/>
  <c r="J5446" i="1"/>
  <c r="K5446" i="1"/>
  <c r="L5446" i="1"/>
  <c r="A5447" i="1"/>
  <c r="B5447" i="1"/>
  <c r="C5447" i="1"/>
  <c r="D5447" i="1"/>
  <c r="Q5447" i="1"/>
  <c r="R5447" i="1"/>
  <c r="E5447" i="1"/>
  <c r="G5447" i="1"/>
  <c r="H5447" i="1"/>
  <c r="J5447" i="1"/>
  <c r="K5447" i="1"/>
  <c r="L5447" i="1"/>
  <c r="A5448" i="1"/>
  <c r="B5448" i="1"/>
  <c r="C5448" i="1"/>
  <c r="D5448" i="1"/>
  <c r="Q5448" i="1"/>
  <c r="R5448" i="1"/>
  <c r="E5448" i="1"/>
  <c r="G5448" i="1"/>
  <c r="H5448" i="1"/>
  <c r="J5448" i="1"/>
  <c r="K5448" i="1"/>
  <c r="L5448" i="1"/>
  <c r="A5449" i="1"/>
  <c r="B5449" i="1"/>
  <c r="C5449" i="1"/>
  <c r="D5449" i="1"/>
  <c r="Q5449" i="1"/>
  <c r="R5449" i="1"/>
  <c r="E5449" i="1"/>
  <c r="G5449" i="1"/>
  <c r="H5449" i="1"/>
  <c r="J5449" i="1"/>
  <c r="K5449" i="1"/>
  <c r="L5449" i="1"/>
  <c r="A5450" i="1"/>
  <c r="B5450" i="1"/>
  <c r="C5450" i="1"/>
  <c r="D5450" i="1"/>
  <c r="Q5450" i="1"/>
  <c r="R5450" i="1"/>
  <c r="E5450" i="1"/>
  <c r="G5450" i="1"/>
  <c r="H5450" i="1"/>
  <c r="J5450" i="1"/>
  <c r="K5450" i="1"/>
  <c r="L5450" i="1"/>
  <c r="A5451" i="1"/>
  <c r="B5451" i="1"/>
  <c r="C5451" i="1"/>
  <c r="D5451" i="1"/>
  <c r="Q5451" i="1"/>
  <c r="R5451" i="1"/>
  <c r="E5451" i="1"/>
  <c r="G5451" i="1"/>
  <c r="H5451" i="1"/>
  <c r="J5451" i="1"/>
  <c r="K5451" i="1"/>
  <c r="L5451" i="1"/>
  <c r="A5452" i="1"/>
  <c r="B5452" i="1"/>
  <c r="C5452" i="1"/>
  <c r="D5452" i="1"/>
  <c r="Q5452" i="1"/>
  <c r="R5452" i="1"/>
  <c r="E5452" i="1"/>
  <c r="G5452" i="1"/>
  <c r="H5452" i="1"/>
  <c r="J5452" i="1"/>
  <c r="K5452" i="1"/>
  <c r="L5452" i="1"/>
  <c r="A5453" i="1"/>
  <c r="B5453" i="1"/>
  <c r="C5453" i="1"/>
  <c r="D5453" i="1"/>
  <c r="Q5453" i="1"/>
  <c r="R5453" i="1"/>
  <c r="E5453" i="1"/>
  <c r="G5453" i="1"/>
  <c r="H5453" i="1"/>
  <c r="J5453" i="1"/>
  <c r="K5453" i="1"/>
  <c r="L5453" i="1"/>
  <c r="A5454" i="1"/>
  <c r="B5454" i="1"/>
  <c r="C5454" i="1"/>
  <c r="D5454" i="1"/>
  <c r="Q5454" i="1"/>
  <c r="R5454" i="1"/>
  <c r="E5454" i="1"/>
  <c r="G5454" i="1"/>
  <c r="H5454" i="1"/>
  <c r="J5454" i="1"/>
  <c r="K5454" i="1"/>
  <c r="L5454" i="1"/>
  <c r="A5455" i="1"/>
  <c r="B5455" i="1"/>
  <c r="C5455" i="1"/>
  <c r="D5455" i="1"/>
  <c r="Q5455" i="1"/>
  <c r="R5455" i="1"/>
  <c r="E5455" i="1"/>
  <c r="G5455" i="1"/>
  <c r="H5455" i="1"/>
  <c r="J5455" i="1"/>
  <c r="K5455" i="1"/>
  <c r="L5455" i="1"/>
  <c r="A5456" i="1"/>
  <c r="B5456" i="1"/>
  <c r="C5456" i="1"/>
  <c r="D5456" i="1"/>
  <c r="Q5456" i="1"/>
  <c r="R5456" i="1"/>
  <c r="E5456" i="1"/>
  <c r="G5456" i="1"/>
  <c r="H5456" i="1"/>
  <c r="J5456" i="1"/>
  <c r="K5456" i="1"/>
  <c r="L5456" i="1"/>
  <c r="A5457" i="1"/>
  <c r="B5457" i="1"/>
  <c r="C5457" i="1"/>
  <c r="D5457" i="1"/>
  <c r="Q5457" i="1"/>
  <c r="R5457" i="1"/>
  <c r="E5457" i="1"/>
  <c r="G5457" i="1"/>
  <c r="H5457" i="1"/>
  <c r="J5457" i="1"/>
  <c r="K5457" i="1"/>
  <c r="L5457" i="1"/>
  <c r="A5458" i="1"/>
  <c r="B5458" i="1"/>
  <c r="C5458" i="1"/>
  <c r="D5458" i="1"/>
  <c r="Q5458" i="1"/>
  <c r="R5458" i="1"/>
  <c r="E5458" i="1"/>
  <c r="G5458" i="1"/>
  <c r="H5458" i="1"/>
  <c r="J5458" i="1"/>
  <c r="K5458" i="1"/>
  <c r="L5458" i="1"/>
  <c r="A5459" i="1"/>
  <c r="B5459" i="1"/>
  <c r="C5459" i="1"/>
  <c r="D5459" i="1"/>
  <c r="Q5459" i="1"/>
  <c r="R5459" i="1"/>
  <c r="E5459" i="1"/>
  <c r="G5459" i="1"/>
  <c r="H5459" i="1"/>
  <c r="J5459" i="1"/>
  <c r="K5459" i="1"/>
  <c r="L5459" i="1"/>
  <c r="A5460" i="1"/>
  <c r="B5460" i="1"/>
  <c r="C5460" i="1"/>
  <c r="D5460" i="1"/>
  <c r="Q5460" i="1"/>
  <c r="R5460" i="1"/>
  <c r="E5460" i="1"/>
  <c r="G5460" i="1"/>
  <c r="H5460" i="1"/>
  <c r="J5460" i="1"/>
  <c r="K5460" i="1"/>
  <c r="L5460" i="1"/>
  <c r="A5461" i="1"/>
  <c r="B5461" i="1"/>
  <c r="C5461" i="1"/>
  <c r="D5461" i="1"/>
  <c r="Q5461" i="1"/>
  <c r="R5461" i="1"/>
  <c r="E5461" i="1"/>
  <c r="G5461" i="1"/>
  <c r="H5461" i="1"/>
  <c r="J5461" i="1"/>
  <c r="K5461" i="1"/>
  <c r="L5461" i="1"/>
  <c r="A5462" i="1"/>
  <c r="B5462" i="1"/>
  <c r="C5462" i="1"/>
  <c r="D5462" i="1"/>
  <c r="Q5462" i="1"/>
  <c r="R5462" i="1"/>
  <c r="E5462" i="1"/>
  <c r="G5462" i="1"/>
  <c r="H5462" i="1"/>
  <c r="J5462" i="1"/>
  <c r="K5462" i="1"/>
  <c r="L5462" i="1"/>
  <c r="A5463" i="1"/>
  <c r="B5463" i="1"/>
  <c r="C5463" i="1"/>
  <c r="D5463" i="1"/>
  <c r="Q5463" i="1"/>
  <c r="R5463" i="1"/>
  <c r="E5463" i="1"/>
  <c r="G5463" i="1"/>
  <c r="H5463" i="1"/>
  <c r="J5463" i="1"/>
  <c r="K5463" i="1"/>
  <c r="L5463" i="1"/>
  <c r="A5464" i="1"/>
  <c r="B5464" i="1"/>
  <c r="C5464" i="1"/>
  <c r="D5464" i="1"/>
  <c r="Q5464" i="1"/>
  <c r="R5464" i="1"/>
  <c r="E5464" i="1"/>
  <c r="G5464" i="1"/>
  <c r="H5464" i="1"/>
  <c r="J5464" i="1"/>
  <c r="K5464" i="1"/>
  <c r="L5464" i="1"/>
  <c r="A5465" i="1"/>
  <c r="B5465" i="1"/>
  <c r="C5465" i="1"/>
  <c r="D5465" i="1"/>
  <c r="Q5465" i="1"/>
  <c r="R5465" i="1"/>
  <c r="E5465" i="1"/>
  <c r="G5465" i="1"/>
  <c r="H5465" i="1"/>
  <c r="J5465" i="1"/>
  <c r="K5465" i="1"/>
  <c r="L5465" i="1"/>
  <c r="A5466" i="1"/>
  <c r="B5466" i="1"/>
  <c r="C5466" i="1"/>
  <c r="D5466" i="1"/>
  <c r="Q5466" i="1"/>
  <c r="R5466" i="1"/>
  <c r="E5466" i="1"/>
  <c r="G5466" i="1"/>
  <c r="H5466" i="1"/>
  <c r="J5466" i="1"/>
  <c r="K5466" i="1"/>
  <c r="L5466" i="1"/>
  <c r="A5467" i="1"/>
  <c r="B5467" i="1"/>
  <c r="C5467" i="1"/>
  <c r="D5467" i="1"/>
  <c r="Q5467" i="1"/>
  <c r="R5467" i="1"/>
  <c r="E5467" i="1"/>
  <c r="G5467" i="1"/>
  <c r="H5467" i="1"/>
  <c r="J5467" i="1"/>
  <c r="K5467" i="1"/>
  <c r="L5467" i="1"/>
  <c r="A5468" i="1"/>
  <c r="B5468" i="1"/>
  <c r="C5468" i="1"/>
  <c r="D5468" i="1"/>
  <c r="Q5468" i="1"/>
  <c r="R5468" i="1"/>
  <c r="E5468" i="1"/>
  <c r="G5468" i="1"/>
  <c r="H5468" i="1"/>
  <c r="J5468" i="1"/>
  <c r="K5468" i="1"/>
  <c r="L5468" i="1"/>
  <c r="A5469" i="1"/>
  <c r="B5469" i="1"/>
  <c r="C5469" i="1"/>
  <c r="D5469" i="1"/>
  <c r="Q5469" i="1"/>
  <c r="R5469" i="1"/>
  <c r="E5469" i="1"/>
  <c r="G5469" i="1"/>
  <c r="H5469" i="1"/>
  <c r="J5469" i="1"/>
  <c r="K5469" i="1"/>
  <c r="L5469" i="1"/>
  <c r="A5470" i="1"/>
  <c r="B5470" i="1"/>
  <c r="C5470" i="1"/>
  <c r="D5470" i="1"/>
  <c r="Q5470" i="1"/>
  <c r="R5470" i="1"/>
  <c r="E5470" i="1"/>
  <c r="G5470" i="1"/>
  <c r="H5470" i="1"/>
  <c r="J5470" i="1"/>
  <c r="K5470" i="1"/>
  <c r="L5470" i="1"/>
  <c r="A5471" i="1"/>
  <c r="B5471" i="1"/>
  <c r="C5471" i="1"/>
  <c r="D5471" i="1"/>
  <c r="Q5471" i="1"/>
  <c r="R5471" i="1"/>
  <c r="E5471" i="1"/>
  <c r="G5471" i="1"/>
  <c r="H5471" i="1"/>
  <c r="J5471" i="1"/>
  <c r="K5471" i="1"/>
  <c r="L5471" i="1"/>
  <c r="A5472" i="1"/>
  <c r="B5472" i="1"/>
  <c r="C5472" i="1"/>
  <c r="D5472" i="1"/>
  <c r="Q5472" i="1"/>
  <c r="R5472" i="1"/>
  <c r="E5472" i="1"/>
  <c r="G5472" i="1"/>
  <c r="H5472" i="1"/>
  <c r="J5472" i="1"/>
  <c r="K5472" i="1"/>
  <c r="L5472" i="1"/>
  <c r="A5473" i="1"/>
  <c r="B5473" i="1"/>
  <c r="C5473" i="1"/>
  <c r="D5473" i="1"/>
  <c r="Q5473" i="1"/>
  <c r="R5473" i="1"/>
  <c r="E5473" i="1"/>
  <c r="G5473" i="1"/>
  <c r="H5473" i="1"/>
  <c r="J5473" i="1"/>
  <c r="K5473" i="1"/>
  <c r="L5473" i="1"/>
  <c r="A5474" i="1"/>
  <c r="B5474" i="1"/>
  <c r="C5474" i="1"/>
  <c r="D5474" i="1"/>
  <c r="Q5474" i="1"/>
  <c r="R5474" i="1"/>
  <c r="E5474" i="1"/>
  <c r="G5474" i="1"/>
  <c r="H5474" i="1"/>
  <c r="J5474" i="1"/>
  <c r="K5474" i="1"/>
  <c r="L5474" i="1"/>
  <c r="A5475" i="1"/>
  <c r="B5475" i="1"/>
  <c r="C5475" i="1"/>
  <c r="D5475" i="1"/>
  <c r="Q5475" i="1"/>
  <c r="R5475" i="1"/>
  <c r="E5475" i="1"/>
  <c r="G5475" i="1"/>
  <c r="H5475" i="1"/>
  <c r="J5475" i="1"/>
  <c r="K5475" i="1"/>
  <c r="L5475" i="1"/>
  <c r="A5476" i="1"/>
  <c r="B5476" i="1"/>
  <c r="C5476" i="1"/>
  <c r="D5476" i="1"/>
  <c r="Q5476" i="1"/>
  <c r="R5476" i="1"/>
  <c r="E5476" i="1"/>
  <c r="G5476" i="1"/>
  <c r="H5476" i="1"/>
  <c r="J5476" i="1"/>
  <c r="K5476" i="1"/>
  <c r="L5476" i="1"/>
  <c r="A5477" i="1"/>
  <c r="B5477" i="1"/>
  <c r="C5477" i="1"/>
  <c r="D5477" i="1"/>
  <c r="Q5477" i="1"/>
  <c r="R5477" i="1"/>
  <c r="E5477" i="1"/>
  <c r="G5477" i="1"/>
  <c r="H5477" i="1"/>
  <c r="J5477" i="1"/>
  <c r="K5477" i="1"/>
  <c r="L5477" i="1"/>
  <c r="A5478" i="1"/>
  <c r="B5478" i="1"/>
  <c r="C5478" i="1"/>
  <c r="D5478" i="1"/>
  <c r="Q5478" i="1"/>
  <c r="R5478" i="1"/>
  <c r="E5478" i="1"/>
  <c r="G5478" i="1"/>
  <c r="H5478" i="1"/>
  <c r="J5478" i="1"/>
  <c r="K5478" i="1"/>
  <c r="L5478" i="1"/>
  <c r="A5479" i="1"/>
  <c r="B5479" i="1"/>
  <c r="C5479" i="1"/>
  <c r="D5479" i="1"/>
  <c r="Q5479" i="1"/>
  <c r="R5479" i="1"/>
  <c r="E5479" i="1"/>
  <c r="G5479" i="1"/>
  <c r="H5479" i="1"/>
  <c r="J5479" i="1"/>
  <c r="K5479" i="1"/>
  <c r="L5479" i="1"/>
  <c r="A5480" i="1"/>
  <c r="B5480" i="1"/>
  <c r="C5480" i="1"/>
  <c r="D5480" i="1"/>
  <c r="Q5480" i="1"/>
  <c r="R5480" i="1"/>
  <c r="E5480" i="1"/>
  <c r="G5480" i="1"/>
  <c r="H5480" i="1"/>
  <c r="J5480" i="1"/>
  <c r="K5480" i="1"/>
  <c r="L5480" i="1"/>
  <c r="A5481" i="1"/>
  <c r="B5481" i="1"/>
  <c r="C5481" i="1"/>
  <c r="D5481" i="1"/>
  <c r="Q5481" i="1"/>
  <c r="R5481" i="1"/>
  <c r="E5481" i="1"/>
  <c r="G5481" i="1"/>
  <c r="H5481" i="1"/>
  <c r="J5481" i="1"/>
  <c r="K5481" i="1"/>
  <c r="L5481" i="1"/>
  <c r="A5482" i="1"/>
  <c r="B5482" i="1"/>
  <c r="C5482" i="1"/>
  <c r="D5482" i="1"/>
  <c r="Q5482" i="1"/>
  <c r="R5482" i="1"/>
  <c r="E5482" i="1"/>
  <c r="G5482" i="1"/>
  <c r="H5482" i="1"/>
  <c r="J5482" i="1"/>
  <c r="K5482" i="1"/>
  <c r="L5482" i="1"/>
  <c r="A5483" i="1"/>
  <c r="B5483" i="1"/>
  <c r="C5483" i="1"/>
  <c r="D5483" i="1"/>
  <c r="Q5483" i="1"/>
  <c r="R5483" i="1"/>
  <c r="E5483" i="1"/>
  <c r="G5483" i="1"/>
  <c r="H5483" i="1"/>
  <c r="J5483" i="1"/>
  <c r="K5483" i="1"/>
  <c r="L5483" i="1"/>
  <c r="A5484" i="1"/>
  <c r="B5484" i="1"/>
  <c r="C5484" i="1"/>
  <c r="D5484" i="1"/>
  <c r="Q5484" i="1"/>
  <c r="R5484" i="1"/>
  <c r="E5484" i="1"/>
  <c r="G5484" i="1"/>
  <c r="H5484" i="1"/>
  <c r="J5484" i="1"/>
  <c r="K5484" i="1"/>
  <c r="L5484" i="1"/>
  <c r="A5485" i="1"/>
  <c r="B5485" i="1"/>
  <c r="C5485" i="1"/>
  <c r="D5485" i="1"/>
  <c r="Q5485" i="1"/>
  <c r="R5485" i="1"/>
  <c r="E5485" i="1"/>
  <c r="G5485" i="1"/>
  <c r="H5485" i="1"/>
  <c r="J5485" i="1"/>
  <c r="K5485" i="1"/>
  <c r="L5485" i="1"/>
  <c r="A5486" i="1"/>
  <c r="B5486" i="1"/>
  <c r="C5486" i="1"/>
  <c r="D5486" i="1"/>
  <c r="Q5486" i="1"/>
  <c r="R5486" i="1"/>
  <c r="E5486" i="1"/>
  <c r="G5486" i="1"/>
  <c r="H5486" i="1"/>
  <c r="J5486" i="1"/>
  <c r="K5486" i="1"/>
  <c r="L5486" i="1"/>
  <c r="A5487" i="1"/>
  <c r="B5487" i="1"/>
  <c r="C5487" i="1"/>
  <c r="D5487" i="1"/>
  <c r="Q5487" i="1"/>
  <c r="R5487" i="1"/>
  <c r="E5487" i="1"/>
  <c r="G5487" i="1"/>
  <c r="H5487" i="1"/>
  <c r="J5487" i="1"/>
  <c r="K5487" i="1"/>
  <c r="L5487" i="1"/>
  <c r="A5488" i="1"/>
  <c r="B5488" i="1"/>
  <c r="C5488" i="1"/>
  <c r="D5488" i="1"/>
  <c r="Q5488" i="1"/>
  <c r="R5488" i="1"/>
  <c r="E5488" i="1"/>
  <c r="G5488" i="1"/>
  <c r="H5488" i="1"/>
  <c r="J5488" i="1"/>
  <c r="K5488" i="1"/>
  <c r="L5488" i="1"/>
  <c r="A5489" i="1"/>
  <c r="B5489" i="1"/>
  <c r="C5489" i="1"/>
  <c r="D5489" i="1"/>
  <c r="Q5489" i="1"/>
  <c r="R5489" i="1"/>
  <c r="E5489" i="1"/>
  <c r="G5489" i="1"/>
  <c r="H5489" i="1"/>
  <c r="J5489" i="1"/>
  <c r="K5489" i="1"/>
  <c r="L5489" i="1"/>
  <c r="A5490" i="1"/>
  <c r="B5490" i="1"/>
  <c r="C5490" i="1"/>
  <c r="D5490" i="1"/>
  <c r="Q5490" i="1"/>
  <c r="R5490" i="1"/>
  <c r="E5490" i="1"/>
  <c r="G5490" i="1"/>
  <c r="H5490" i="1"/>
  <c r="J5490" i="1"/>
  <c r="K5490" i="1"/>
  <c r="L5490" i="1"/>
  <c r="A5491" i="1"/>
  <c r="B5491" i="1"/>
  <c r="C5491" i="1"/>
  <c r="D5491" i="1"/>
  <c r="Q5491" i="1"/>
  <c r="R5491" i="1"/>
  <c r="E5491" i="1"/>
  <c r="G5491" i="1"/>
  <c r="H5491" i="1"/>
  <c r="J5491" i="1"/>
  <c r="K5491" i="1"/>
  <c r="L5491" i="1"/>
  <c r="A5492" i="1"/>
  <c r="B5492" i="1"/>
  <c r="C5492" i="1"/>
  <c r="D5492" i="1"/>
  <c r="Q5492" i="1"/>
  <c r="R5492" i="1"/>
  <c r="E5492" i="1"/>
  <c r="G5492" i="1"/>
  <c r="H5492" i="1"/>
  <c r="J5492" i="1"/>
  <c r="K5492" i="1"/>
  <c r="L5492" i="1"/>
  <c r="A5493" i="1"/>
  <c r="B5493" i="1"/>
  <c r="C5493" i="1"/>
  <c r="D5493" i="1"/>
  <c r="Q5493" i="1"/>
  <c r="R5493" i="1"/>
  <c r="E5493" i="1"/>
  <c r="G5493" i="1"/>
  <c r="H5493" i="1"/>
  <c r="J5493" i="1"/>
  <c r="K5493" i="1"/>
  <c r="L5493" i="1"/>
  <c r="A5494" i="1"/>
  <c r="B5494" i="1"/>
  <c r="C5494" i="1"/>
  <c r="D5494" i="1"/>
  <c r="Q5494" i="1"/>
  <c r="R5494" i="1"/>
  <c r="E5494" i="1"/>
  <c r="G5494" i="1"/>
  <c r="H5494" i="1"/>
  <c r="J5494" i="1"/>
  <c r="K5494" i="1"/>
  <c r="L5494" i="1"/>
  <c r="A5495" i="1"/>
  <c r="B5495" i="1"/>
  <c r="C5495" i="1"/>
  <c r="D5495" i="1"/>
  <c r="Q5495" i="1"/>
  <c r="R5495" i="1"/>
  <c r="E5495" i="1"/>
  <c r="G5495" i="1"/>
  <c r="H5495" i="1"/>
  <c r="J5495" i="1"/>
  <c r="K5495" i="1"/>
  <c r="L5495" i="1"/>
  <c r="A5496" i="1"/>
  <c r="B5496" i="1"/>
  <c r="C5496" i="1"/>
  <c r="D5496" i="1"/>
  <c r="Q5496" i="1"/>
  <c r="R5496" i="1"/>
  <c r="E5496" i="1"/>
  <c r="G5496" i="1"/>
  <c r="H5496" i="1"/>
  <c r="J5496" i="1"/>
  <c r="K5496" i="1"/>
  <c r="L5496" i="1"/>
  <c r="A5497" i="1"/>
  <c r="B5497" i="1"/>
  <c r="C5497" i="1"/>
  <c r="D5497" i="1"/>
  <c r="Q5497" i="1"/>
  <c r="R5497" i="1"/>
  <c r="E5497" i="1"/>
  <c r="G5497" i="1"/>
  <c r="H5497" i="1"/>
  <c r="J5497" i="1"/>
  <c r="K5497" i="1"/>
  <c r="L5497" i="1"/>
  <c r="A5498" i="1"/>
  <c r="B5498" i="1"/>
  <c r="C5498" i="1"/>
  <c r="D5498" i="1"/>
  <c r="Q5498" i="1"/>
  <c r="R5498" i="1"/>
  <c r="E5498" i="1"/>
  <c r="G5498" i="1"/>
  <c r="H5498" i="1"/>
  <c r="J5498" i="1"/>
  <c r="K5498" i="1"/>
  <c r="L5498" i="1"/>
  <c r="A5499" i="1"/>
  <c r="B5499" i="1"/>
  <c r="C5499" i="1"/>
  <c r="D5499" i="1"/>
  <c r="Q5499" i="1"/>
  <c r="R5499" i="1"/>
  <c r="E5499" i="1"/>
  <c r="G5499" i="1"/>
  <c r="H5499" i="1"/>
  <c r="J5499" i="1"/>
  <c r="K5499" i="1"/>
  <c r="L5499" i="1"/>
  <c r="A5500" i="1"/>
  <c r="B5500" i="1"/>
  <c r="C5500" i="1"/>
  <c r="D5500" i="1"/>
  <c r="Q5500" i="1"/>
  <c r="R5500" i="1"/>
  <c r="E5500" i="1"/>
  <c r="G5500" i="1"/>
  <c r="H5500" i="1"/>
  <c r="J5500" i="1"/>
  <c r="K5500" i="1"/>
  <c r="L5500" i="1"/>
  <c r="A5501" i="1"/>
  <c r="B5501" i="1"/>
  <c r="C5501" i="1"/>
  <c r="D5501" i="1"/>
  <c r="Q5501" i="1"/>
  <c r="R5501" i="1"/>
  <c r="E5501" i="1"/>
  <c r="G5501" i="1"/>
  <c r="H5501" i="1"/>
  <c r="J5501" i="1"/>
  <c r="K5501" i="1"/>
  <c r="L5501" i="1"/>
  <c r="A5502" i="1"/>
  <c r="B5502" i="1"/>
  <c r="C5502" i="1"/>
  <c r="D5502" i="1"/>
  <c r="Q5502" i="1"/>
  <c r="R5502" i="1"/>
  <c r="E5502" i="1"/>
  <c r="G5502" i="1"/>
  <c r="H5502" i="1"/>
  <c r="J5502" i="1"/>
  <c r="K5502" i="1"/>
  <c r="L5502" i="1"/>
  <c r="A5503" i="1"/>
  <c r="B5503" i="1"/>
  <c r="C5503" i="1"/>
  <c r="D5503" i="1"/>
  <c r="Q5503" i="1"/>
  <c r="R5503" i="1"/>
  <c r="E5503" i="1"/>
  <c r="G5503" i="1"/>
  <c r="H5503" i="1"/>
  <c r="J5503" i="1"/>
  <c r="K5503" i="1"/>
  <c r="L5503" i="1"/>
  <c r="A5504" i="1"/>
  <c r="B5504" i="1"/>
  <c r="C5504" i="1"/>
  <c r="D5504" i="1"/>
  <c r="Q5504" i="1"/>
  <c r="R5504" i="1"/>
  <c r="E5504" i="1"/>
  <c r="G5504" i="1"/>
  <c r="H5504" i="1"/>
  <c r="J5504" i="1"/>
  <c r="K5504" i="1"/>
  <c r="L5504" i="1"/>
  <c r="A5505" i="1"/>
  <c r="B5505" i="1"/>
  <c r="C5505" i="1"/>
  <c r="D5505" i="1"/>
  <c r="Q5505" i="1"/>
  <c r="R5505" i="1"/>
  <c r="E5505" i="1"/>
  <c r="G5505" i="1"/>
  <c r="H5505" i="1"/>
  <c r="J5505" i="1"/>
  <c r="K5505" i="1"/>
  <c r="L5505" i="1"/>
  <c r="A5506" i="1"/>
  <c r="B5506" i="1"/>
  <c r="C5506" i="1"/>
  <c r="D5506" i="1"/>
  <c r="Q5506" i="1"/>
  <c r="R5506" i="1"/>
  <c r="E5506" i="1"/>
  <c r="G5506" i="1"/>
  <c r="H5506" i="1"/>
  <c r="J5506" i="1"/>
  <c r="K5506" i="1"/>
  <c r="L5506" i="1"/>
  <c r="A5507" i="1"/>
  <c r="B5507" i="1"/>
  <c r="C5507" i="1"/>
  <c r="D5507" i="1"/>
  <c r="Q5507" i="1"/>
  <c r="R5507" i="1"/>
  <c r="E5507" i="1"/>
  <c r="G5507" i="1"/>
  <c r="H5507" i="1"/>
  <c r="J5507" i="1"/>
  <c r="K5507" i="1"/>
  <c r="L5507" i="1"/>
  <c r="A5508" i="1"/>
  <c r="B5508" i="1"/>
  <c r="C5508" i="1"/>
  <c r="D5508" i="1"/>
  <c r="Q5508" i="1"/>
  <c r="R5508" i="1"/>
  <c r="E5508" i="1"/>
  <c r="G5508" i="1"/>
  <c r="H5508" i="1"/>
  <c r="J5508" i="1"/>
  <c r="K5508" i="1"/>
  <c r="L5508" i="1"/>
  <c r="A5509" i="1"/>
  <c r="B5509" i="1"/>
  <c r="C5509" i="1"/>
  <c r="D5509" i="1"/>
  <c r="Q5509" i="1"/>
  <c r="R5509" i="1"/>
  <c r="E5509" i="1"/>
  <c r="G5509" i="1"/>
  <c r="H5509" i="1"/>
  <c r="J5509" i="1"/>
  <c r="K5509" i="1"/>
  <c r="L5509" i="1"/>
  <c r="A5510" i="1"/>
  <c r="B5510" i="1"/>
  <c r="C5510" i="1"/>
  <c r="D5510" i="1"/>
  <c r="Q5510" i="1"/>
  <c r="R5510" i="1"/>
  <c r="E5510" i="1"/>
  <c r="G5510" i="1"/>
  <c r="H5510" i="1"/>
  <c r="J5510" i="1"/>
  <c r="K5510" i="1"/>
  <c r="L5510" i="1"/>
  <c r="A5511" i="1"/>
  <c r="B5511" i="1"/>
  <c r="C5511" i="1"/>
  <c r="D5511" i="1"/>
  <c r="Q5511" i="1"/>
  <c r="R5511" i="1"/>
  <c r="E5511" i="1"/>
  <c r="G5511" i="1"/>
  <c r="H5511" i="1"/>
  <c r="J5511" i="1"/>
  <c r="K5511" i="1"/>
  <c r="L5511" i="1"/>
  <c r="A5512" i="1"/>
  <c r="B5512" i="1"/>
  <c r="C5512" i="1"/>
  <c r="D5512" i="1"/>
  <c r="Q5512" i="1"/>
  <c r="R5512" i="1"/>
  <c r="E5512" i="1"/>
  <c r="G5512" i="1"/>
  <c r="H5512" i="1"/>
  <c r="J5512" i="1"/>
  <c r="K5512" i="1"/>
  <c r="L5512" i="1"/>
  <c r="A5513" i="1"/>
  <c r="B5513" i="1"/>
  <c r="C5513" i="1"/>
  <c r="D5513" i="1"/>
  <c r="Q5513" i="1"/>
  <c r="R5513" i="1"/>
  <c r="E5513" i="1"/>
  <c r="G5513" i="1"/>
  <c r="H5513" i="1"/>
  <c r="J5513" i="1"/>
  <c r="K5513" i="1"/>
  <c r="L5513" i="1"/>
  <c r="A5514" i="1"/>
  <c r="B5514" i="1"/>
  <c r="C5514" i="1"/>
  <c r="D5514" i="1"/>
  <c r="Q5514" i="1"/>
  <c r="R5514" i="1"/>
  <c r="E5514" i="1"/>
  <c r="G5514" i="1"/>
  <c r="H5514" i="1"/>
  <c r="J5514" i="1"/>
  <c r="K5514" i="1"/>
  <c r="L5514" i="1"/>
  <c r="A5515" i="1"/>
  <c r="B5515" i="1"/>
  <c r="C5515" i="1"/>
  <c r="D5515" i="1"/>
  <c r="Q5515" i="1"/>
  <c r="R5515" i="1"/>
  <c r="E5515" i="1"/>
  <c r="G5515" i="1"/>
  <c r="H5515" i="1"/>
  <c r="J5515" i="1"/>
  <c r="K5515" i="1"/>
  <c r="L5515" i="1"/>
  <c r="A5516" i="1"/>
  <c r="B5516" i="1"/>
  <c r="C5516" i="1"/>
  <c r="D5516" i="1"/>
  <c r="Q5516" i="1"/>
  <c r="R5516" i="1"/>
  <c r="E5516" i="1"/>
  <c r="G5516" i="1"/>
  <c r="H5516" i="1"/>
  <c r="J5516" i="1"/>
  <c r="K5516" i="1"/>
  <c r="L5516" i="1"/>
  <c r="A5517" i="1"/>
  <c r="B5517" i="1"/>
  <c r="C5517" i="1"/>
  <c r="D5517" i="1"/>
  <c r="Q5517" i="1"/>
  <c r="R5517" i="1"/>
  <c r="E5517" i="1"/>
  <c r="G5517" i="1"/>
  <c r="H5517" i="1"/>
  <c r="J5517" i="1"/>
  <c r="K5517" i="1"/>
  <c r="L5517" i="1"/>
  <c r="A5518" i="1"/>
  <c r="B5518" i="1"/>
  <c r="C5518" i="1"/>
  <c r="D5518" i="1"/>
  <c r="Q5518" i="1"/>
  <c r="R5518" i="1"/>
  <c r="E5518" i="1"/>
  <c r="G5518" i="1"/>
  <c r="H5518" i="1"/>
  <c r="J5518" i="1"/>
  <c r="K5518" i="1"/>
  <c r="L5518" i="1"/>
  <c r="A5519" i="1"/>
  <c r="B5519" i="1"/>
  <c r="C5519" i="1"/>
  <c r="D5519" i="1"/>
  <c r="Q5519" i="1"/>
  <c r="R5519" i="1"/>
  <c r="E5519" i="1"/>
  <c r="G5519" i="1"/>
  <c r="H5519" i="1"/>
  <c r="J5519" i="1"/>
  <c r="K5519" i="1"/>
  <c r="L5519" i="1"/>
  <c r="A5520" i="1"/>
  <c r="B5520" i="1"/>
  <c r="C5520" i="1"/>
  <c r="D5520" i="1"/>
  <c r="Q5520" i="1"/>
  <c r="R5520" i="1"/>
  <c r="E5520" i="1"/>
  <c r="G5520" i="1"/>
  <c r="H5520" i="1"/>
  <c r="J5520" i="1"/>
  <c r="K5520" i="1"/>
  <c r="L5520" i="1"/>
  <c r="A5521" i="1"/>
  <c r="B5521" i="1"/>
  <c r="C5521" i="1"/>
  <c r="D5521" i="1"/>
  <c r="Q5521" i="1"/>
  <c r="R5521" i="1"/>
  <c r="E5521" i="1"/>
  <c r="G5521" i="1"/>
  <c r="H5521" i="1"/>
  <c r="J5521" i="1"/>
  <c r="K5521" i="1"/>
  <c r="L5521" i="1"/>
  <c r="A5522" i="1"/>
  <c r="B5522" i="1"/>
  <c r="C5522" i="1"/>
  <c r="D5522" i="1"/>
  <c r="Q5522" i="1"/>
  <c r="R5522" i="1"/>
  <c r="E5522" i="1"/>
  <c r="G5522" i="1"/>
  <c r="H5522" i="1"/>
  <c r="J5522" i="1"/>
  <c r="K5522" i="1"/>
  <c r="L5522" i="1"/>
  <c r="A5523" i="1"/>
  <c r="B5523" i="1"/>
  <c r="C5523" i="1"/>
  <c r="D5523" i="1"/>
  <c r="Q5523" i="1"/>
  <c r="R5523" i="1"/>
  <c r="E5523" i="1"/>
  <c r="G5523" i="1"/>
  <c r="H5523" i="1"/>
  <c r="J5523" i="1"/>
  <c r="K5523" i="1"/>
  <c r="L5523" i="1"/>
  <c r="A5524" i="1"/>
  <c r="B5524" i="1"/>
  <c r="C5524" i="1"/>
  <c r="D5524" i="1"/>
  <c r="Q5524" i="1"/>
  <c r="R5524" i="1"/>
  <c r="E5524" i="1"/>
  <c r="G5524" i="1"/>
  <c r="H5524" i="1"/>
  <c r="J5524" i="1"/>
  <c r="K5524" i="1"/>
  <c r="L5524" i="1"/>
  <c r="A5525" i="1"/>
  <c r="B5525" i="1"/>
  <c r="C5525" i="1"/>
  <c r="D5525" i="1"/>
  <c r="Q5525" i="1"/>
  <c r="R5525" i="1"/>
  <c r="E5525" i="1"/>
  <c r="G5525" i="1"/>
  <c r="H5525" i="1"/>
  <c r="J5525" i="1"/>
  <c r="K5525" i="1"/>
  <c r="L5525" i="1"/>
  <c r="A5526" i="1"/>
  <c r="B5526" i="1"/>
  <c r="C5526" i="1"/>
  <c r="D5526" i="1"/>
  <c r="Q5526" i="1"/>
  <c r="R5526" i="1"/>
  <c r="E5526" i="1"/>
  <c r="G5526" i="1"/>
  <c r="H5526" i="1"/>
  <c r="J5526" i="1"/>
  <c r="K5526" i="1"/>
  <c r="L5526" i="1"/>
  <c r="A5527" i="1"/>
  <c r="B5527" i="1"/>
  <c r="C5527" i="1"/>
  <c r="D5527" i="1"/>
  <c r="Q5527" i="1"/>
  <c r="R5527" i="1"/>
  <c r="E5527" i="1"/>
  <c r="G5527" i="1"/>
  <c r="H5527" i="1"/>
  <c r="J5527" i="1"/>
  <c r="K5527" i="1"/>
  <c r="L5527" i="1"/>
  <c r="A5528" i="1"/>
  <c r="B5528" i="1"/>
  <c r="C5528" i="1"/>
  <c r="D5528" i="1"/>
  <c r="Q5528" i="1"/>
  <c r="R5528" i="1"/>
  <c r="E5528" i="1"/>
  <c r="G5528" i="1"/>
  <c r="H5528" i="1"/>
  <c r="J5528" i="1"/>
  <c r="K5528" i="1"/>
  <c r="L5528" i="1"/>
  <c r="A5529" i="1"/>
  <c r="B5529" i="1"/>
  <c r="C5529" i="1"/>
  <c r="D5529" i="1"/>
  <c r="Q5529" i="1"/>
  <c r="R5529" i="1"/>
  <c r="E5529" i="1"/>
  <c r="G5529" i="1"/>
  <c r="H5529" i="1"/>
  <c r="J5529" i="1"/>
  <c r="K5529" i="1"/>
  <c r="L5529" i="1"/>
  <c r="A5530" i="1"/>
  <c r="B5530" i="1"/>
  <c r="C5530" i="1"/>
  <c r="D5530" i="1"/>
  <c r="Q5530" i="1"/>
  <c r="R5530" i="1"/>
  <c r="E5530" i="1"/>
  <c r="G5530" i="1"/>
  <c r="H5530" i="1"/>
  <c r="J5530" i="1"/>
  <c r="K5530" i="1"/>
  <c r="L5530" i="1"/>
  <c r="A5531" i="1"/>
  <c r="B5531" i="1"/>
  <c r="C5531" i="1"/>
  <c r="D5531" i="1"/>
  <c r="Q5531" i="1"/>
  <c r="R5531" i="1"/>
  <c r="E5531" i="1"/>
  <c r="G5531" i="1"/>
  <c r="H5531" i="1"/>
  <c r="J5531" i="1"/>
  <c r="K5531" i="1"/>
  <c r="L5531" i="1"/>
  <c r="A5532" i="1"/>
  <c r="B5532" i="1"/>
  <c r="C5532" i="1"/>
  <c r="D5532" i="1"/>
  <c r="Q5532" i="1"/>
  <c r="R5532" i="1"/>
  <c r="E5532" i="1"/>
  <c r="G5532" i="1"/>
  <c r="H5532" i="1"/>
  <c r="J5532" i="1"/>
  <c r="K5532" i="1"/>
  <c r="L5532" i="1"/>
  <c r="A5533" i="1"/>
  <c r="B5533" i="1"/>
  <c r="C5533" i="1"/>
  <c r="D5533" i="1"/>
  <c r="Q5533" i="1"/>
  <c r="R5533" i="1"/>
  <c r="E5533" i="1"/>
  <c r="G5533" i="1"/>
  <c r="H5533" i="1"/>
  <c r="J5533" i="1"/>
  <c r="K5533" i="1"/>
  <c r="L5533" i="1"/>
  <c r="A5534" i="1"/>
  <c r="B5534" i="1"/>
  <c r="C5534" i="1"/>
  <c r="D5534" i="1"/>
  <c r="Q5534" i="1"/>
  <c r="R5534" i="1"/>
  <c r="E5534" i="1"/>
  <c r="G5534" i="1"/>
  <c r="H5534" i="1"/>
  <c r="J5534" i="1"/>
  <c r="K5534" i="1"/>
  <c r="L5534" i="1"/>
  <c r="A5535" i="1"/>
  <c r="B5535" i="1"/>
  <c r="C5535" i="1"/>
  <c r="D5535" i="1"/>
  <c r="Q5535" i="1"/>
  <c r="R5535" i="1"/>
  <c r="E5535" i="1"/>
  <c r="G5535" i="1"/>
  <c r="H5535" i="1"/>
  <c r="J5535" i="1"/>
  <c r="K5535" i="1"/>
  <c r="L5535" i="1"/>
  <c r="A5536" i="1"/>
  <c r="B5536" i="1"/>
  <c r="C5536" i="1"/>
  <c r="D5536" i="1"/>
  <c r="Q5536" i="1"/>
  <c r="R5536" i="1"/>
  <c r="E5536" i="1"/>
  <c r="G5536" i="1"/>
  <c r="H5536" i="1"/>
  <c r="J5536" i="1"/>
  <c r="K5536" i="1"/>
  <c r="L5536" i="1"/>
  <c r="A5537" i="1"/>
  <c r="B5537" i="1"/>
  <c r="C5537" i="1"/>
  <c r="D5537" i="1"/>
  <c r="Q5537" i="1"/>
  <c r="R5537" i="1"/>
  <c r="E5537" i="1"/>
  <c r="G5537" i="1"/>
  <c r="H5537" i="1"/>
  <c r="J5537" i="1"/>
  <c r="K5537" i="1"/>
  <c r="L5537" i="1"/>
  <c r="A5538" i="1"/>
  <c r="B5538" i="1"/>
  <c r="C5538" i="1"/>
  <c r="D5538" i="1"/>
  <c r="Q5538" i="1"/>
  <c r="R5538" i="1"/>
  <c r="E5538" i="1"/>
  <c r="G5538" i="1"/>
  <c r="H5538" i="1"/>
  <c r="J5538" i="1"/>
  <c r="K5538" i="1"/>
  <c r="L5538" i="1"/>
  <c r="A5539" i="1"/>
  <c r="B5539" i="1"/>
  <c r="C5539" i="1"/>
  <c r="D5539" i="1"/>
  <c r="Q5539" i="1"/>
  <c r="R5539" i="1"/>
  <c r="E5539" i="1"/>
  <c r="G5539" i="1"/>
  <c r="H5539" i="1"/>
  <c r="J5539" i="1"/>
  <c r="K5539" i="1"/>
  <c r="L5539" i="1"/>
  <c r="A5540" i="1"/>
  <c r="B5540" i="1"/>
  <c r="C5540" i="1"/>
  <c r="D5540" i="1"/>
  <c r="Q5540" i="1"/>
  <c r="R5540" i="1"/>
  <c r="E5540" i="1"/>
  <c r="G5540" i="1"/>
  <c r="H5540" i="1"/>
  <c r="J5540" i="1"/>
  <c r="K5540" i="1"/>
  <c r="L5540" i="1"/>
  <c r="A5541" i="1"/>
  <c r="B5541" i="1"/>
  <c r="C5541" i="1"/>
  <c r="D5541" i="1"/>
  <c r="Q5541" i="1"/>
  <c r="R5541" i="1"/>
  <c r="E5541" i="1"/>
  <c r="G5541" i="1"/>
  <c r="H5541" i="1"/>
  <c r="J5541" i="1"/>
  <c r="K5541" i="1"/>
  <c r="L5541" i="1"/>
  <c r="A5542" i="1"/>
  <c r="B5542" i="1"/>
  <c r="C5542" i="1"/>
  <c r="D5542" i="1"/>
  <c r="Q5542" i="1"/>
  <c r="R5542" i="1"/>
  <c r="E5542" i="1"/>
  <c r="G5542" i="1"/>
  <c r="H5542" i="1"/>
  <c r="J5542" i="1"/>
  <c r="K5542" i="1"/>
  <c r="L5542" i="1"/>
  <c r="A5543" i="1"/>
  <c r="B5543" i="1"/>
  <c r="C5543" i="1"/>
  <c r="D5543" i="1"/>
  <c r="Q5543" i="1"/>
  <c r="R5543" i="1"/>
  <c r="E5543" i="1"/>
  <c r="G5543" i="1"/>
  <c r="H5543" i="1"/>
  <c r="J5543" i="1"/>
  <c r="K5543" i="1"/>
  <c r="L5543" i="1"/>
  <c r="A5544" i="1"/>
  <c r="B5544" i="1"/>
  <c r="C5544" i="1"/>
  <c r="D5544" i="1"/>
  <c r="Q5544" i="1"/>
  <c r="R5544" i="1"/>
  <c r="E5544" i="1"/>
  <c r="G5544" i="1"/>
  <c r="H5544" i="1"/>
  <c r="J5544" i="1"/>
  <c r="K5544" i="1"/>
  <c r="L5544" i="1"/>
  <c r="A5545" i="1"/>
  <c r="B5545" i="1"/>
  <c r="C5545" i="1"/>
  <c r="D5545" i="1"/>
  <c r="Q5545" i="1"/>
  <c r="R5545" i="1"/>
  <c r="E5545" i="1"/>
  <c r="G5545" i="1"/>
  <c r="H5545" i="1"/>
  <c r="J5545" i="1"/>
  <c r="K5545" i="1"/>
  <c r="L5545" i="1"/>
  <c r="A6698" i="1"/>
  <c r="B6698" i="1"/>
  <c r="C6698" i="1"/>
  <c r="D6698" i="1"/>
  <c r="Q6698" i="1"/>
  <c r="R6698" i="1"/>
  <c r="E6698" i="1"/>
  <c r="G6698" i="1"/>
  <c r="H6698" i="1"/>
  <c r="J6698" i="1"/>
  <c r="K6698" i="1"/>
  <c r="L6698" i="1"/>
  <c r="A6699" i="1"/>
  <c r="B6699" i="1"/>
  <c r="C6699" i="1"/>
  <c r="D6699" i="1"/>
  <c r="Q6699" i="1"/>
  <c r="R6699" i="1"/>
  <c r="E6699" i="1"/>
  <c r="G6699" i="1"/>
  <c r="H6699" i="1"/>
  <c r="J6699" i="1"/>
  <c r="K6699" i="1"/>
  <c r="L6699" i="1"/>
  <c r="A6700" i="1"/>
  <c r="B6700" i="1"/>
  <c r="C6700" i="1"/>
  <c r="D6700" i="1"/>
  <c r="Q6700" i="1"/>
  <c r="R6700" i="1"/>
  <c r="E6700" i="1"/>
  <c r="G6700" i="1"/>
  <c r="H6700" i="1"/>
  <c r="J6700" i="1"/>
  <c r="K6700" i="1"/>
  <c r="L6700" i="1"/>
  <c r="A6701" i="1"/>
  <c r="B6701" i="1"/>
  <c r="C6701" i="1"/>
  <c r="D6701" i="1"/>
  <c r="Q6701" i="1"/>
  <c r="R6701" i="1"/>
  <c r="E6701" i="1"/>
  <c r="G6701" i="1"/>
  <c r="H6701" i="1"/>
  <c r="J6701" i="1"/>
  <c r="K6701" i="1"/>
  <c r="L6701" i="1"/>
  <c r="A6702" i="1"/>
  <c r="B6702" i="1"/>
  <c r="C6702" i="1"/>
  <c r="D6702" i="1"/>
  <c r="Q6702" i="1"/>
  <c r="R6702" i="1"/>
  <c r="E6702" i="1"/>
  <c r="G6702" i="1"/>
  <c r="H6702" i="1"/>
  <c r="J6702" i="1"/>
  <c r="K6702" i="1"/>
  <c r="L6702" i="1"/>
  <c r="A6703" i="1"/>
  <c r="B6703" i="1"/>
  <c r="C6703" i="1"/>
  <c r="D6703" i="1"/>
  <c r="Q6703" i="1"/>
  <c r="R6703" i="1"/>
  <c r="E6703" i="1"/>
  <c r="G6703" i="1"/>
  <c r="H6703" i="1"/>
  <c r="J6703" i="1"/>
  <c r="K6703" i="1"/>
  <c r="L6703" i="1"/>
  <c r="A6704" i="1"/>
  <c r="B6704" i="1"/>
  <c r="C6704" i="1"/>
  <c r="D6704" i="1"/>
  <c r="Q6704" i="1"/>
  <c r="R6704" i="1"/>
  <c r="E6704" i="1"/>
  <c r="G6704" i="1"/>
  <c r="H6704" i="1"/>
  <c r="J6704" i="1"/>
  <c r="K6704" i="1"/>
  <c r="L6704" i="1"/>
  <c r="A5546" i="1"/>
  <c r="B5546" i="1"/>
  <c r="C5546" i="1"/>
  <c r="D5546" i="1"/>
  <c r="Q5546" i="1"/>
  <c r="R5546" i="1"/>
  <c r="E5546" i="1"/>
  <c r="G5546" i="1"/>
  <c r="H5546" i="1"/>
  <c r="J5546" i="1"/>
  <c r="K5546" i="1"/>
  <c r="L5546" i="1"/>
  <c r="A5547" i="1"/>
  <c r="B5547" i="1"/>
  <c r="C5547" i="1"/>
  <c r="D5547" i="1"/>
  <c r="Q5547" i="1"/>
  <c r="R5547" i="1"/>
  <c r="E5547" i="1"/>
  <c r="G5547" i="1"/>
  <c r="H5547" i="1"/>
  <c r="J5547" i="1"/>
  <c r="K5547" i="1"/>
  <c r="L5547" i="1"/>
  <c r="A5548" i="1"/>
  <c r="B5548" i="1"/>
  <c r="C5548" i="1"/>
  <c r="D5548" i="1"/>
  <c r="Q5548" i="1"/>
  <c r="R5548" i="1"/>
  <c r="E5548" i="1"/>
  <c r="G5548" i="1"/>
  <c r="H5548" i="1"/>
  <c r="J5548" i="1"/>
  <c r="K5548" i="1"/>
  <c r="L5548" i="1"/>
  <c r="A5549" i="1"/>
  <c r="B5549" i="1"/>
  <c r="C5549" i="1"/>
  <c r="D5549" i="1"/>
  <c r="Q5549" i="1"/>
  <c r="R5549" i="1"/>
  <c r="E5549" i="1"/>
  <c r="G5549" i="1"/>
  <c r="H5549" i="1"/>
  <c r="J5549" i="1"/>
  <c r="K5549" i="1"/>
  <c r="L5549" i="1"/>
  <c r="A5550" i="1"/>
  <c r="B5550" i="1"/>
  <c r="C5550" i="1"/>
  <c r="D5550" i="1"/>
  <c r="Q5550" i="1"/>
  <c r="R5550" i="1"/>
  <c r="E5550" i="1"/>
  <c r="G5550" i="1"/>
  <c r="H5550" i="1"/>
  <c r="J5550" i="1"/>
  <c r="K5550" i="1"/>
  <c r="L5550" i="1"/>
  <c r="A5551" i="1"/>
  <c r="B5551" i="1"/>
  <c r="C5551" i="1"/>
  <c r="D5551" i="1"/>
  <c r="Q5551" i="1"/>
  <c r="R5551" i="1"/>
  <c r="E5551" i="1"/>
  <c r="G5551" i="1"/>
  <c r="H5551" i="1"/>
  <c r="J5551" i="1"/>
  <c r="K5551" i="1"/>
  <c r="L5551" i="1"/>
  <c r="A5552" i="1"/>
  <c r="B5552" i="1"/>
  <c r="C5552" i="1"/>
  <c r="D5552" i="1"/>
  <c r="Q5552" i="1"/>
  <c r="R5552" i="1"/>
  <c r="E5552" i="1"/>
  <c r="G5552" i="1"/>
  <c r="H5552" i="1"/>
  <c r="J5552" i="1"/>
  <c r="K5552" i="1"/>
  <c r="L5552" i="1"/>
  <c r="A5553" i="1"/>
  <c r="B5553" i="1"/>
  <c r="C5553" i="1"/>
  <c r="D5553" i="1"/>
  <c r="Q5553" i="1"/>
  <c r="R5553" i="1"/>
  <c r="E5553" i="1"/>
  <c r="G5553" i="1"/>
  <c r="H5553" i="1"/>
  <c r="J5553" i="1"/>
  <c r="K5553" i="1"/>
  <c r="L5553" i="1"/>
  <c r="A5554" i="1"/>
  <c r="B5554" i="1"/>
  <c r="C5554" i="1"/>
  <c r="D5554" i="1"/>
  <c r="Q5554" i="1"/>
  <c r="R5554" i="1"/>
  <c r="E5554" i="1"/>
  <c r="G5554" i="1"/>
  <c r="H5554" i="1"/>
  <c r="J5554" i="1"/>
  <c r="K5554" i="1"/>
  <c r="L5554" i="1"/>
  <c r="A5555" i="1"/>
  <c r="B5555" i="1"/>
  <c r="C5555" i="1"/>
  <c r="D5555" i="1"/>
  <c r="Q5555" i="1"/>
  <c r="R5555" i="1"/>
  <c r="E5555" i="1"/>
  <c r="G5555" i="1"/>
  <c r="H5555" i="1"/>
  <c r="J5555" i="1"/>
  <c r="K5555" i="1"/>
  <c r="L5555" i="1"/>
  <c r="A5556" i="1"/>
  <c r="B5556" i="1"/>
  <c r="C5556" i="1"/>
  <c r="D5556" i="1"/>
  <c r="Q5556" i="1"/>
  <c r="R5556" i="1"/>
  <c r="E5556" i="1"/>
  <c r="G5556" i="1"/>
  <c r="H5556" i="1"/>
  <c r="J5556" i="1"/>
  <c r="K5556" i="1"/>
  <c r="L5556" i="1"/>
  <c r="A5557" i="1"/>
  <c r="B5557" i="1"/>
  <c r="C5557" i="1"/>
  <c r="D5557" i="1"/>
  <c r="Q5557" i="1"/>
  <c r="R5557" i="1"/>
  <c r="E5557" i="1"/>
  <c r="G5557" i="1"/>
  <c r="H5557" i="1"/>
  <c r="J5557" i="1"/>
  <c r="K5557" i="1"/>
  <c r="L5557" i="1"/>
  <c r="A5558" i="1"/>
  <c r="B5558" i="1"/>
  <c r="C5558" i="1"/>
  <c r="D5558" i="1"/>
  <c r="Q5558" i="1"/>
  <c r="R5558" i="1"/>
  <c r="E5558" i="1"/>
  <c r="G5558" i="1"/>
  <c r="H5558" i="1"/>
  <c r="J5558" i="1"/>
  <c r="K5558" i="1"/>
  <c r="L5558" i="1"/>
  <c r="A5559" i="1"/>
  <c r="B5559" i="1"/>
  <c r="C5559" i="1"/>
  <c r="D5559" i="1"/>
  <c r="Q5559" i="1"/>
  <c r="R5559" i="1"/>
  <c r="E5559" i="1"/>
  <c r="G5559" i="1"/>
  <c r="H5559" i="1"/>
  <c r="J5559" i="1"/>
  <c r="K5559" i="1"/>
  <c r="L5559" i="1"/>
  <c r="A5560" i="1"/>
  <c r="B5560" i="1"/>
  <c r="C5560" i="1"/>
  <c r="D5560" i="1"/>
  <c r="Q5560" i="1"/>
  <c r="R5560" i="1"/>
  <c r="E5560" i="1"/>
  <c r="G5560" i="1"/>
  <c r="H5560" i="1"/>
  <c r="J5560" i="1"/>
  <c r="K5560" i="1"/>
  <c r="L5560" i="1"/>
  <c r="A5561" i="1"/>
  <c r="B5561" i="1"/>
  <c r="C5561" i="1"/>
  <c r="D5561" i="1"/>
  <c r="Q5561" i="1"/>
  <c r="R5561" i="1"/>
  <c r="E5561" i="1"/>
  <c r="G5561" i="1"/>
  <c r="H5561" i="1"/>
  <c r="J5561" i="1"/>
  <c r="K5561" i="1"/>
  <c r="L5561" i="1"/>
  <c r="A5562" i="1"/>
  <c r="B5562" i="1"/>
  <c r="C5562" i="1"/>
  <c r="D5562" i="1"/>
  <c r="Q5562" i="1"/>
  <c r="R5562" i="1"/>
  <c r="E5562" i="1"/>
  <c r="G5562" i="1"/>
  <c r="H5562" i="1"/>
  <c r="J5562" i="1"/>
  <c r="K5562" i="1"/>
  <c r="L5562" i="1"/>
  <c r="A5563" i="1"/>
  <c r="B5563" i="1"/>
  <c r="C5563" i="1"/>
  <c r="D5563" i="1"/>
  <c r="Q5563" i="1"/>
  <c r="R5563" i="1"/>
  <c r="E5563" i="1"/>
  <c r="G5563" i="1"/>
  <c r="H5563" i="1"/>
  <c r="J5563" i="1"/>
  <c r="K5563" i="1"/>
  <c r="L5563" i="1"/>
  <c r="A5564" i="1"/>
  <c r="B5564" i="1"/>
  <c r="C5564" i="1"/>
  <c r="D5564" i="1"/>
  <c r="Q5564" i="1"/>
  <c r="R5564" i="1"/>
  <c r="E5564" i="1"/>
  <c r="G5564" i="1"/>
  <c r="H5564" i="1"/>
  <c r="J5564" i="1"/>
  <c r="K5564" i="1"/>
  <c r="L5564" i="1"/>
  <c r="A5565" i="1"/>
  <c r="B5565" i="1"/>
  <c r="C5565" i="1"/>
  <c r="D5565" i="1"/>
  <c r="Q5565" i="1"/>
  <c r="R5565" i="1"/>
  <c r="E5565" i="1"/>
  <c r="G5565" i="1"/>
  <c r="H5565" i="1"/>
  <c r="J5565" i="1"/>
  <c r="K5565" i="1"/>
  <c r="L5565" i="1"/>
  <c r="A5566" i="1"/>
  <c r="B5566" i="1"/>
  <c r="C5566" i="1"/>
  <c r="D5566" i="1"/>
  <c r="Q5566" i="1"/>
  <c r="R5566" i="1"/>
  <c r="E5566" i="1"/>
  <c r="G5566" i="1"/>
  <c r="H5566" i="1"/>
  <c r="J5566" i="1"/>
  <c r="K5566" i="1"/>
  <c r="L5566" i="1"/>
  <c r="A5567" i="1"/>
  <c r="B5567" i="1"/>
  <c r="C5567" i="1"/>
  <c r="D5567" i="1"/>
  <c r="Q5567" i="1"/>
  <c r="R5567" i="1"/>
  <c r="E5567" i="1"/>
  <c r="G5567" i="1"/>
  <c r="H5567" i="1"/>
  <c r="J5567" i="1"/>
  <c r="K5567" i="1"/>
  <c r="L5567" i="1"/>
  <c r="A5568" i="1"/>
  <c r="B5568" i="1"/>
  <c r="C5568" i="1"/>
  <c r="D5568" i="1"/>
  <c r="Q5568" i="1"/>
  <c r="R5568" i="1"/>
  <c r="E5568" i="1"/>
  <c r="G5568" i="1"/>
  <c r="H5568" i="1"/>
  <c r="J5568" i="1"/>
  <c r="K5568" i="1"/>
  <c r="L5568" i="1"/>
  <c r="A5569" i="1"/>
  <c r="B5569" i="1"/>
  <c r="C5569" i="1"/>
  <c r="D5569" i="1"/>
  <c r="Q5569" i="1"/>
  <c r="R5569" i="1"/>
  <c r="E5569" i="1"/>
  <c r="G5569" i="1"/>
  <c r="H5569" i="1"/>
  <c r="J5569" i="1"/>
  <c r="K5569" i="1"/>
  <c r="L5569" i="1"/>
  <c r="A5570" i="1"/>
  <c r="B5570" i="1"/>
  <c r="C5570" i="1"/>
  <c r="D5570" i="1"/>
  <c r="Q5570" i="1"/>
  <c r="R5570" i="1"/>
  <c r="E5570" i="1"/>
  <c r="G5570" i="1"/>
  <c r="H5570" i="1"/>
  <c r="J5570" i="1"/>
  <c r="K5570" i="1"/>
  <c r="L5570" i="1"/>
  <c r="A5571" i="1"/>
  <c r="B5571" i="1"/>
  <c r="C5571" i="1"/>
  <c r="D5571" i="1"/>
  <c r="Q5571" i="1"/>
  <c r="R5571" i="1"/>
  <c r="E5571" i="1"/>
  <c r="G5571" i="1"/>
  <c r="H5571" i="1"/>
  <c r="J5571" i="1"/>
  <c r="K5571" i="1"/>
  <c r="L5571" i="1"/>
  <c r="A5572" i="1"/>
  <c r="B5572" i="1"/>
  <c r="C5572" i="1"/>
  <c r="D5572" i="1"/>
  <c r="Q5572" i="1"/>
  <c r="R5572" i="1"/>
  <c r="E5572" i="1"/>
  <c r="G5572" i="1"/>
  <c r="H5572" i="1"/>
  <c r="J5572" i="1"/>
  <c r="K5572" i="1"/>
  <c r="L5572" i="1"/>
  <c r="A5573" i="1"/>
  <c r="B5573" i="1"/>
  <c r="C5573" i="1"/>
  <c r="D5573" i="1"/>
  <c r="Q5573" i="1"/>
  <c r="R5573" i="1"/>
  <c r="E5573" i="1"/>
  <c r="G5573" i="1"/>
  <c r="H5573" i="1"/>
  <c r="J5573" i="1"/>
  <c r="K5573" i="1"/>
  <c r="L5573" i="1"/>
  <c r="A5574" i="1"/>
  <c r="B5574" i="1"/>
  <c r="C5574" i="1"/>
  <c r="D5574" i="1"/>
  <c r="Q5574" i="1"/>
  <c r="R5574" i="1"/>
  <c r="E5574" i="1"/>
  <c r="G5574" i="1"/>
  <c r="H5574" i="1"/>
  <c r="J5574" i="1"/>
  <c r="K5574" i="1"/>
  <c r="L5574" i="1"/>
  <c r="A5575" i="1"/>
  <c r="B5575" i="1"/>
  <c r="C5575" i="1"/>
  <c r="D5575" i="1"/>
  <c r="Q5575" i="1"/>
  <c r="R5575" i="1"/>
  <c r="E5575" i="1"/>
  <c r="G5575" i="1"/>
  <c r="H5575" i="1"/>
  <c r="J5575" i="1"/>
  <c r="K5575" i="1"/>
  <c r="L5575" i="1"/>
  <c r="A5576" i="1"/>
  <c r="B5576" i="1"/>
  <c r="C5576" i="1"/>
  <c r="D5576" i="1"/>
  <c r="Q5576" i="1"/>
  <c r="R5576" i="1"/>
  <c r="E5576" i="1"/>
  <c r="G5576" i="1"/>
  <c r="H5576" i="1"/>
  <c r="J5576" i="1"/>
  <c r="K5576" i="1"/>
  <c r="L5576" i="1"/>
  <c r="A5577" i="1"/>
  <c r="B5577" i="1"/>
  <c r="C5577" i="1"/>
  <c r="D5577" i="1"/>
  <c r="Q5577" i="1"/>
  <c r="R5577" i="1"/>
  <c r="E5577" i="1"/>
  <c r="G5577" i="1"/>
  <c r="H5577" i="1"/>
  <c r="J5577" i="1"/>
  <c r="K5577" i="1"/>
  <c r="L5577" i="1"/>
  <c r="A5578" i="1"/>
  <c r="B5578" i="1"/>
  <c r="C5578" i="1"/>
  <c r="D5578" i="1"/>
  <c r="Q5578" i="1"/>
  <c r="R5578" i="1"/>
  <c r="E5578" i="1"/>
  <c r="G5578" i="1"/>
  <c r="H5578" i="1"/>
  <c r="J5578" i="1"/>
  <c r="K5578" i="1"/>
  <c r="L5578" i="1"/>
  <c r="A5579" i="1"/>
  <c r="B5579" i="1"/>
  <c r="C5579" i="1"/>
  <c r="D5579" i="1"/>
  <c r="Q5579" i="1"/>
  <c r="R5579" i="1"/>
  <c r="E5579" i="1"/>
  <c r="G5579" i="1"/>
  <c r="H5579" i="1"/>
  <c r="J5579" i="1"/>
  <c r="K5579" i="1"/>
  <c r="L5579" i="1"/>
  <c r="A5580" i="1"/>
  <c r="B5580" i="1"/>
  <c r="C5580" i="1"/>
  <c r="D5580" i="1"/>
  <c r="Q5580" i="1"/>
  <c r="R5580" i="1"/>
  <c r="E5580" i="1"/>
  <c r="G5580" i="1"/>
  <c r="H5580" i="1"/>
  <c r="J5580" i="1"/>
  <c r="K5580" i="1"/>
  <c r="L5580" i="1"/>
  <c r="A5581" i="1"/>
  <c r="B5581" i="1"/>
  <c r="C5581" i="1"/>
  <c r="D5581" i="1"/>
  <c r="Q5581" i="1"/>
  <c r="R5581" i="1"/>
  <c r="E5581" i="1"/>
  <c r="G5581" i="1"/>
  <c r="H5581" i="1"/>
  <c r="J5581" i="1"/>
  <c r="K5581" i="1"/>
  <c r="L5581" i="1"/>
  <c r="A5582" i="1"/>
  <c r="B5582" i="1"/>
  <c r="C5582" i="1"/>
  <c r="D5582" i="1"/>
  <c r="Q5582" i="1"/>
  <c r="R5582" i="1"/>
  <c r="E5582" i="1"/>
  <c r="G5582" i="1"/>
  <c r="H5582" i="1"/>
  <c r="J5582" i="1"/>
  <c r="K5582" i="1"/>
  <c r="L5582" i="1"/>
  <c r="A5583" i="1"/>
  <c r="B5583" i="1"/>
  <c r="C5583" i="1"/>
  <c r="D5583" i="1"/>
  <c r="Q5583" i="1"/>
  <c r="R5583" i="1"/>
  <c r="E5583" i="1"/>
  <c r="G5583" i="1"/>
  <c r="H5583" i="1"/>
  <c r="J5583" i="1"/>
  <c r="K5583" i="1"/>
  <c r="L5583" i="1"/>
  <c r="A5584" i="1"/>
  <c r="B5584" i="1"/>
  <c r="C5584" i="1"/>
  <c r="D5584" i="1"/>
  <c r="Q5584" i="1"/>
  <c r="R5584" i="1"/>
  <c r="E5584" i="1"/>
  <c r="G5584" i="1"/>
  <c r="H5584" i="1"/>
  <c r="J5584" i="1"/>
  <c r="K5584" i="1"/>
  <c r="L5584" i="1"/>
  <c r="A5585" i="1"/>
  <c r="B5585" i="1"/>
  <c r="C5585" i="1"/>
  <c r="D5585" i="1"/>
  <c r="Q5585" i="1"/>
  <c r="R5585" i="1"/>
  <c r="E5585" i="1"/>
  <c r="G5585" i="1"/>
  <c r="H5585" i="1"/>
  <c r="J5585" i="1"/>
  <c r="K5585" i="1"/>
  <c r="L5585" i="1"/>
  <c r="A5586" i="1"/>
  <c r="B5586" i="1"/>
  <c r="C5586" i="1"/>
  <c r="D5586" i="1"/>
  <c r="Q5586" i="1"/>
  <c r="R5586" i="1"/>
  <c r="E5586" i="1"/>
  <c r="G5586" i="1"/>
  <c r="H5586" i="1"/>
  <c r="J5586" i="1"/>
  <c r="K5586" i="1"/>
  <c r="L5586" i="1"/>
  <c r="A5587" i="1"/>
  <c r="B5587" i="1"/>
  <c r="C5587" i="1"/>
  <c r="D5587" i="1"/>
  <c r="Q5587" i="1"/>
  <c r="R5587" i="1"/>
  <c r="E5587" i="1"/>
  <c r="G5587" i="1"/>
  <c r="H5587" i="1"/>
  <c r="J5587" i="1"/>
  <c r="K5587" i="1"/>
  <c r="L5587" i="1"/>
  <c r="A5588" i="1"/>
  <c r="B5588" i="1"/>
  <c r="C5588" i="1"/>
  <c r="D5588" i="1"/>
  <c r="Q5588" i="1"/>
  <c r="R5588" i="1"/>
  <c r="E5588" i="1"/>
  <c r="G5588" i="1"/>
  <c r="H5588" i="1"/>
  <c r="J5588" i="1"/>
  <c r="K5588" i="1"/>
  <c r="L5588" i="1"/>
  <c r="A5589" i="1"/>
  <c r="B5589" i="1"/>
  <c r="C5589" i="1"/>
  <c r="D5589" i="1"/>
  <c r="Q5589" i="1"/>
  <c r="R5589" i="1"/>
  <c r="E5589" i="1"/>
  <c r="G5589" i="1"/>
  <c r="H5589" i="1"/>
  <c r="J5589" i="1"/>
  <c r="K5589" i="1"/>
  <c r="L5589" i="1"/>
  <c r="A5590" i="1"/>
  <c r="B5590" i="1"/>
  <c r="C5590" i="1"/>
  <c r="D5590" i="1"/>
  <c r="Q5590" i="1"/>
  <c r="R5590" i="1"/>
  <c r="E5590" i="1"/>
  <c r="G5590" i="1"/>
  <c r="H5590" i="1"/>
  <c r="J5590" i="1"/>
  <c r="K5590" i="1"/>
  <c r="L5590" i="1"/>
  <c r="A5591" i="1"/>
  <c r="B5591" i="1"/>
  <c r="C5591" i="1"/>
  <c r="D5591" i="1"/>
  <c r="Q5591" i="1"/>
  <c r="R5591" i="1"/>
  <c r="E5591" i="1"/>
  <c r="G5591" i="1"/>
  <c r="H5591" i="1"/>
  <c r="J5591" i="1"/>
  <c r="K5591" i="1"/>
  <c r="L5591" i="1"/>
  <c r="A5592" i="1"/>
  <c r="B5592" i="1"/>
  <c r="C5592" i="1"/>
  <c r="D5592" i="1"/>
  <c r="Q5592" i="1"/>
  <c r="R5592" i="1"/>
  <c r="E5592" i="1"/>
  <c r="G5592" i="1"/>
  <c r="H5592" i="1"/>
  <c r="J5592" i="1"/>
  <c r="K5592" i="1"/>
  <c r="L5592" i="1"/>
  <c r="A5593" i="1"/>
  <c r="B5593" i="1"/>
  <c r="C5593" i="1"/>
  <c r="D5593" i="1"/>
  <c r="Q5593" i="1"/>
  <c r="R5593" i="1"/>
  <c r="E5593" i="1"/>
  <c r="G5593" i="1"/>
  <c r="H5593" i="1"/>
  <c r="J5593" i="1"/>
  <c r="K5593" i="1"/>
  <c r="L5593" i="1"/>
  <c r="A5594" i="1"/>
  <c r="B5594" i="1"/>
  <c r="C5594" i="1"/>
  <c r="D5594" i="1"/>
  <c r="Q5594" i="1"/>
  <c r="R5594" i="1"/>
  <c r="E5594" i="1"/>
  <c r="G5594" i="1"/>
  <c r="H5594" i="1"/>
  <c r="J5594" i="1"/>
  <c r="K5594" i="1"/>
  <c r="L5594" i="1"/>
  <c r="A5595" i="1"/>
  <c r="B5595" i="1"/>
  <c r="C5595" i="1"/>
  <c r="D5595" i="1"/>
  <c r="Q5595" i="1"/>
  <c r="R5595" i="1"/>
  <c r="E5595" i="1"/>
  <c r="G5595" i="1"/>
  <c r="H5595" i="1"/>
  <c r="J5595" i="1"/>
  <c r="K5595" i="1"/>
  <c r="L5595" i="1"/>
  <c r="A5596" i="1"/>
  <c r="B5596" i="1"/>
  <c r="C5596" i="1"/>
  <c r="D5596" i="1"/>
  <c r="Q5596" i="1"/>
  <c r="R5596" i="1"/>
  <c r="E5596" i="1"/>
  <c r="G5596" i="1"/>
  <c r="H5596" i="1"/>
  <c r="J5596" i="1"/>
  <c r="K5596" i="1"/>
  <c r="L5596" i="1"/>
  <c r="A5597" i="1"/>
  <c r="B5597" i="1"/>
  <c r="C5597" i="1"/>
  <c r="D5597" i="1"/>
  <c r="Q5597" i="1"/>
  <c r="R5597" i="1"/>
  <c r="E5597" i="1"/>
  <c r="G5597" i="1"/>
  <c r="H5597" i="1"/>
  <c r="J5597" i="1"/>
  <c r="K5597" i="1"/>
  <c r="L5597" i="1"/>
  <c r="A5598" i="1"/>
  <c r="B5598" i="1"/>
  <c r="C5598" i="1"/>
  <c r="D5598" i="1"/>
  <c r="Q5598" i="1"/>
  <c r="R5598" i="1"/>
  <c r="E5598" i="1"/>
  <c r="G5598" i="1"/>
  <c r="H5598" i="1"/>
  <c r="J5598" i="1"/>
  <c r="K5598" i="1"/>
  <c r="L5598" i="1"/>
  <c r="A5599" i="1"/>
  <c r="B5599" i="1"/>
  <c r="C5599" i="1"/>
  <c r="D5599" i="1"/>
  <c r="Q5599" i="1"/>
  <c r="R5599" i="1"/>
  <c r="E5599" i="1"/>
  <c r="G5599" i="1"/>
  <c r="H5599" i="1"/>
  <c r="J5599" i="1"/>
  <c r="K5599" i="1"/>
  <c r="L5599" i="1"/>
  <c r="A5600" i="1"/>
  <c r="B5600" i="1"/>
  <c r="C5600" i="1"/>
  <c r="D5600" i="1"/>
  <c r="Q5600" i="1"/>
  <c r="R5600" i="1"/>
  <c r="E5600" i="1"/>
  <c r="G5600" i="1"/>
  <c r="H5600" i="1"/>
  <c r="J5600" i="1"/>
  <c r="K5600" i="1"/>
  <c r="L5600" i="1"/>
  <c r="A5601" i="1"/>
  <c r="B5601" i="1"/>
  <c r="C5601" i="1"/>
  <c r="D5601" i="1"/>
  <c r="Q5601" i="1"/>
  <c r="R5601" i="1"/>
  <c r="E5601" i="1"/>
  <c r="G5601" i="1"/>
  <c r="H5601" i="1"/>
  <c r="J5601" i="1"/>
  <c r="K5601" i="1"/>
  <c r="L5601" i="1"/>
  <c r="A5602" i="1"/>
  <c r="B5602" i="1"/>
  <c r="C5602" i="1"/>
  <c r="D5602" i="1"/>
  <c r="Q5602" i="1"/>
  <c r="R5602" i="1"/>
  <c r="E5602" i="1"/>
  <c r="G5602" i="1"/>
  <c r="H5602" i="1"/>
  <c r="J5602" i="1"/>
  <c r="K5602" i="1"/>
  <c r="L5602" i="1"/>
  <c r="A5603" i="1"/>
  <c r="B5603" i="1"/>
  <c r="C5603" i="1"/>
  <c r="D5603" i="1"/>
  <c r="Q5603" i="1"/>
  <c r="R5603" i="1"/>
  <c r="E5603" i="1"/>
  <c r="G5603" i="1"/>
  <c r="H5603" i="1"/>
  <c r="J5603" i="1"/>
  <c r="K5603" i="1"/>
  <c r="L5603" i="1"/>
  <c r="A5604" i="1"/>
  <c r="B5604" i="1"/>
  <c r="C5604" i="1"/>
  <c r="D5604" i="1"/>
  <c r="Q5604" i="1"/>
  <c r="R5604" i="1"/>
  <c r="E5604" i="1"/>
  <c r="G5604" i="1"/>
  <c r="H5604" i="1"/>
  <c r="J5604" i="1"/>
  <c r="K5604" i="1"/>
  <c r="L5604" i="1"/>
  <c r="A5605" i="1"/>
  <c r="B5605" i="1"/>
  <c r="C5605" i="1"/>
  <c r="D5605" i="1"/>
  <c r="Q5605" i="1"/>
  <c r="R5605" i="1"/>
  <c r="E5605" i="1"/>
  <c r="G5605" i="1"/>
  <c r="H5605" i="1"/>
  <c r="J5605" i="1"/>
  <c r="K5605" i="1"/>
  <c r="L5605" i="1"/>
  <c r="A5606" i="1"/>
  <c r="B5606" i="1"/>
  <c r="C5606" i="1"/>
  <c r="D5606" i="1"/>
  <c r="Q5606" i="1"/>
  <c r="R5606" i="1"/>
  <c r="E5606" i="1"/>
  <c r="G5606" i="1"/>
  <c r="H5606" i="1"/>
  <c r="J5606" i="1"/>
  <c r="K5606" i="1"/>
  <c r="L5606" i="1"/>
  <c r="A5607" i="1"/>
  <c r="B5607" i="1"/>
  <c r="C5607" i="1"/>
  <c r="D5607" i="1"/>
  <c r="Q5607" i="1"/>
  <c r="R5607" i="1"/>
  <c r="E5607" i="1"/>
  <c r="G5607" i="1"/>
  <c r="H5607" i="1"/>
  <c r="J5607" i="1"/>
  <c r="K5607" i="1"/>
  <c r="L5607" i="1"/>
  <c r="A5608" i="1"/>
  <c r="B5608" i="1"/>
  <c r="C5608" i="1"/>
  <c r="D5608" i="1"/>
  <c r="Q5608" i="1"/>
  <c r="R5608" i="1"/>
  <c r="E5608" i="1"/>
  <c r="G5608" i="1"/>
  <c r="H5608" i="1"/>
  <c r="J5608" i="1"/>
  <c r="K5608" i="1"/>
  <c r="L5608" i="1"/>
  <c r="A5609" i="1"/>
  <c r="B5609" i="1"/>
  <c r="C5609" i="1"/>
  <c r="D5609" i="1"/>
  <c r="Q5609" i="1"/>
  <c r="R5609" i="1"/>
  <c r="E5609" i="1"/>
  <c r="G5609" i="1"/>
  <c r="H5609" i="1"/>
  <c r="J5609" i="1"/>
  <c r="K5609" i="1"/>
  <c r="L5609" i="1"/>
  <c r="A5610" i="1"/>
  <c r="B5610" i="1"/>
  <c r="C5610" i="1"/>
  <c r="D5610" i="1"/>
  <c r="Q5610" i="1"/>
  <c r="R5610" i="1"/>
  <c r="E5610" i="1"/>
  <c r="G5610" i="1"/>
  <c r="H5610" i="1"/>
  <c r="J5610" i="1"/>
  <c r="K5610" i="1"/>
  <c r="L5610" i="1"/>
  <c r="A5611" i="1"/>
  <c r="B5611" i="1"/>
  <c r="C5611" i="1"/>
  <c r="D5611" i="1"/>
  <c r="Q5611" i="1"/>
  <c r="R5611" i="1"/>
  <c r="E5611" i="1"/>
  <c r="G5611" i="1"/>
  <c r="H5611" i="1"/>
  <c r="J5611" i="1"/>
  <c r="K5611" i="1"/>
  <c r="L5611" i="1"/>
  <c r="A5612" i="1"/>
  <c r="B5612" i="1"/>
  <c r="C5612" i="1"/>
  <c r="D5612" i="1"/>
  <c r="Q5612" i="1"/>
  <c r="R5612" i="1"/>
  <c r="E5612" i="1"/>
  <c r="G5612" i="1"/>
  <c r="H5612" i="1"/>
  <c r="J5612" i="1"/>
  <c r="K5612" i="1"/>
  <c r="L5612" i="1"/>
  <c r="A5613" i="1"/>
  <c r="B5613" i="1"/>
  <c r="C5613" i="1"/>
  <c r="D5613" i="1"/>
  <c r="Q5613" i="1"/>
  <c r="R5613" i="1"/>
  <c r="E5613" i="1"/>
  <c r="G5613" i="1"/>
  <c r="H5613" i="1"/>
  <c r="J5613" i="1"/>
  <c r="K5613" i="1"/>
  <c r="L5613" i="1"/>
  <c r="A5614" i="1"/>
  <c r="B5614" i="1"/>
  <c r="C5614" i="1"/>
  <c r="D5614" i="1"/>
  <c r="Q5614" i="1"/>
  <c r="R5614" i="1"/>
  <c r="E5614" i="1"/>
  <c r="G5614" i="1"/>
  <c r="H5614" i="1"/>
  <c r="J5614" i="1"/>
  <c r="K5614" i="1"/>
  <c r="L5614" i="1"/>
  <c r="A5615" i="1"/>
  <c r="B5615" i="1"/>
  <c r="C5615" i="1"/>
  <c r="D5615" i="1"/>
  <c r="Q5615" i="1"/>
  <c r="R5615" i="1"/>
  <c r="E5615" i="1"/>
  <c r="G5615" i="1"/>
  <c r="H5615" i="1"/>
  <c r="J5615" i="1"/>
  <c r="K5615" i="1"/>
  <c r="L5615" i="1"/>
  <c r="A5616" i="1"/>
  <c r="B5616" i="1"/>
  <c r="C5616" i="1"/>
  <c r="D5616" i="1"/>
  <c r="Q5616" i="1"/>
  <c r="R5616" i="1"/>
  <c r="E5616" i="1"/>
  <c r="G5616" i="1"/>
  <c r="H5616" i="1"/>
  <c r="J5616" i="1"/>
  <c r="K5616" i="1"/>
  <c r="L5616" i="1"/>
  <c r="A5617" i="1"/>
  <c r="B5617" i="1"/>
  <c r="C5617" i="1"/>
  <c r="D5617" i="1"/>
  <c r="Q5617" i="1"/>
  <c r="R5617" i="1"/>
  <c r="E5617" i="1"/>
  <c r="G5617" i="1"/>
  <c r="H5617" i="1"/>
  <c r="J5617" i="1"/>
  <c r="K5617" i="1"/>
  <c r="L5617" i="1"/>
  <c r="A5618" i="1"/>
  <c r="B5618" i="1"/>
  <c r="C5618" i="1"/>
  <c r="D5618" i="1"/>
  <c r="Q5618" i="1"/>
  <c r="R5618" i="1"/>
  <c r="E5618" i="1"/>
  <c r="G5618" i="1"/>
  <c r="H5618" i="1"/>
  <c r="J5618" i="1"/>
  <c r="K5618" i="1"/>
  <c r="L5618" i="1"/>
  <c r="A5619" i="1"/>
  <c r="B5619" i="1"/>
  <c r="C5619" i="1"/>
  <c r="D5619" i="1"/>
  <c r="Q5619" i="1"/>
  <c r="R5619" i="1"/>
  <c r="E5619" i="1"/>
  <c r="G5619" i="1"/>
  <c r="H5619" i="1"/>
  <c r="J5619" i="1"/>
  <c r="K5619" i="1"/>
  <c r="L5619" i="1"/>
  <c r="A5620" i="1"/>
  <c r="B5620" i="1"/>
  <c r="C5620" i="1"/>
  <c r="D5620" i="1"/>
  <c r="Q5620" i="1"/>
  <c r="R5620" i="1"/>
  <c r="E5620" i="1"/>
  <c r="G5620" i="1"/>
  <c r="H5620" i="1"/>
  <c r="J5620" i="1"/>
  <c r="K5620" i="1"/>
  <c r="L5620" i="1"/>
  <c r="A5621" i="1"/>
  <c r="B5621" i="1"/>
  <c r="C5621" i="1"/>
  <c r="D5621" i="1"/>
  <c r="Q5621" i="1"/>
  <c r="R5621" i="1"/>
  <c r="E5621" i="1"/>
  <c r="G5621" i="1"/>
  <c r="H5621" i="1"/>
  <c r="J5621" i="1"/>
  <c r="K5621" i="1"/>
  <c r="L5621" i="1"/>
  <c r="A5622" i="1"/>
  <c r="B5622" i="1"/>
  <c r="C5622" i="1"/>
  <c r="D5622" i="1"/>
  <c r="Q5622" i="1"/>
  <c r="R5622" i="1"/>
  <c r="E5622" i="1"/>
  <c r="G5622" i="1"/>
  <c r="H5622" i="1"/>
  <c r="J5622" i="1"/>
  <c r="K5622" i="1"/>
  <c r="L5622" i="1"/>
  <c r="A5623" i="1"/>
  <c r="B5623" i="1"/>
  <c r="C5623" i="1"/>
  <c r="D5623" i="1"/>
  <c r="Q5623" i="1"/>
  <c r="R5623" i="1"/>
  <c r="E5623" i="1"/>
  <c r="G5623" i="1"/>
  <c r="H5623" i="1"/>
  <c r="J5623" i="1"/>
  <c r="K5623" i="1"/>
  <c r="L5623" i="1"/>
  <c r="A5624" i="1"/>
  <c r="B5624" i="1"/>
  <c r="C5624" i="1"/>
  <c r="D5624" i="1"/>
  <c r="Q5624" i="1"/>
  <c r="R5624" i="1"/>
  <c r="E5624" i="1"/>
  <c r="G5624" i="1"/>
  <c r="H5624" i="1"/>
  <c r="J5624" i="1"/>
  <c r="K5624" i="1"/>
  <c r="L5624" i="1"/>
  <c r="A5625" i="1"/>
  <c r="B5625" i="1"/>
  <c r="C5625" i="1"/>
  <c r="D5625" i="1"/>
  <c r="Q5625" i="1"/>
  <c r="R5625" i="1"/>
  <c r="E5625" i="1"/>
  <c r="G5625" i="1"/>
  <c r="H5625" i="1"/>
  <c r="J5625" i="1"/>
  <c r="K5625" i="1"/>
  <c r="L5625" i="1"/>
  <c r="A5626" i="1"/>
  <c r="B5626" i="1"/>
  <c r="C5626" i="1"/>
  <c r="D5626" i="1"/>
  <c r="Q5626" i="1"/>
  <c r="R5626" i="1"/>
  <c r="E5626" i="1"/>
  <c r="G5626" i="1"/>
  <c r="H5626" i="1"/>
  <c r="J5626" i="1"/>
  <c r="K5626" i="1"/>
  <c r="L5626" i="1"/>
  <c r="A5627" i="1"/>
  <c r="B5627" i="1"/>
  <c r="C5627" i="1"/>
  <c r="D5627" i="1"/>
  <c r="Q5627" i="1"/>
  <c r="R5627" i="1"/>
  <c r="E5627" i="1"/>
  <c r="G5627" i="1"/>
  <c r="H5627" i="1"/>
  <c r="J5627" i="1"/>
  <c r="K5627" i="1"/>
  <c r="L5627" i="1"/>
  <c r="A5628" i="1"/>
  <c r="B5628" i="1"/>
  <c r="C5628" i="1"/>
  <c r="D5628" i="1"/>
  <c r="Q5628" i="1"/>
  <c r="R5628" i="1"/>
  <c r="E5628" i="1"/>
  <c r="G5628" i="1"/>
  <c r="H5628" i="1"/>
  <c r="J5628" i="1"/>
  <c r="K5628" i="1"/>
  <c r="L5628" i="1"/>
  <c r="A5629" i="1"/>
  <c r="B5629" i="1"/>
  <c r="C5629" i="1"/>
  <c r="D5629" i="1"/>
  <c r="Q5629" i="1"/>
  <c r="R5629" i="1"/>
  <c r="E5629" i="1"/>
  <c r="G5629" i="1"/>
  <c r="H5629" i="1"/>
  <c r="J5629" i="1"/>
  <c r="K5629" i="1"/>
  <c r="L5629" i="1"/>
  <c r="A5630" i="1"/>
  <c r="B5630" i="1"/>
  <c r="C5630" i="1"/>
  <c r="D5630" i="1"/>
  <c r="Q5630" i="1"/>
  <c r="R5630" i="1"/>
  <c r="E5630" i="1"/>
  <c r="G5630" i="1"/>
  <c r="H5630" i="1"/>
  <c r="J5630" i="1"/>
  <c r="K5630" i="1"/>
  <c r="L5630" i="1"/>
  <c r="A5631" i="1"/>
  <c r="B5631" i="1"/>
  <c r="C5631" i="1"/>
  <c r="D5631" i="1"/>
  <c r="Q5631" i="1"/>
  <c r="R5631" i="1"/>
  <c r="E5631" i="1"/>
  <c r="G5631" i="1"/>
  <c r="H5631" i="1"/>
  <c r="J5631" i="1"/>
  <c r="K5631" i="1"/>
  <c r="L5631" i="1"/>
  <c r="A5632" i="1"/>
  <c r="B5632" i="1"/>
  <c r="C5632" i="1"/>
  <c r="D5632" i="1"/>
  <c r="Q5632" i="1"/>
  <c r="R5632" i="1"/>
  <c r="E5632" i="1"/>
  <c r="G5632" i="1"/>
  <c r="H5632" i="1"/>
  <c r="J5632" i="1"/>
  <c r="K5632" i="1"/>
  <c r="L5632" i="1"/>
  <c r="A5633" i="1"/>
  <c r="B5633" i="1"/>
  <c r="C5633" i="1"/>
  <c r="D5633" i="1"/>
  <c r="Q5633" i="1"/>
  <c r="R5633" i="1"/>
  <c r="E5633" i="1"/>
  <c r="G5633" i="1"/>
  <c r="H5633" i="1"/>
  <c r="J5633" i="1"/>
  <c r="K5633" i="1"/>
  <c r="L5633" i="1"/>
  <c r="A5634" i="1"/>
  <c r="B5634" i="1"/>
  <c r="C5634" i="1"/>
  <c r="D5634" i="1"/>
  <c r="Q5634" i="1"/>
  <c r="R5634" i="1"/>
  <c r="E5634" i="1"/>
  <c r="G5634" i="1"/>
  <c r="H5634" i="1"/>
  <c r="J5634" i="1"/>
  <c r="K5634" i="1"/>
  <c r="L5634" i="1"/>
  <c r="A5635" i="1"/>
  <c r="B5635" i="1"/>
  <c r="C5635" i="1"/>
  <c r="D5635" i="1"/>
  <c r="Q5635" i="1"/>
  <c r="R5635" i="1"/>
  <c r="E5635" i="1"/>
  <c r="G5635" i="1"/>
  <c r="H5635" i="1"/>
  <c r="J5635" i="1"/>
  <c r="K5635" i="1"/>
  <c r="L5635" i="1"/>
  <c r="A5636" i="1"/>
  <c r="B5636" i="1"/>
  <c r="C5636" i="1"/>
  <c r="D5636" i="1"/>
  <c r="Q5636" i="1"/>
  <c r="R5636" i="1"/>
  <c r="E5636" i="1"/>
  <c r="G5636" i="1"/>
  <c r="H5636" i="1"/>
  <c r="J5636" i="1"/>
  <c r="K5636" i="1"/>
  <c r="L5636" i="1"/>
  <c r="A5637" i="1"/>
  <c r="B5637" i="1"/>
  <c r="C5637" i="1"/>
  <c r="D5637" i="1"/>
  <c r="Q5637" i="1"/>
  <c r="R5637" i="1"/>
  <c r="E5637" i="1"/>
  <c r="G5637" i="1"/>
  <c r="H5637" i="1"/>
  <c r="J5637" i="1"/>
  <c r="K5637" i="1"/>
  <c r="L5637" i="1"/>
  <c r="A5638" i="1"/>
  <c r="B5638" i="1"/>
  <c r="C5638" i="1"/>
  <c r="D5638" i="1"/>
  <c r="Q5638" i="1"/>
  <c r="R5638" i="1"/>
  <c r="E5638" i="1"/>
  <c r="G5638" i="1"/>
  <c r="H5638" i="1"/>
  <c r="J5638" i="1"/>
  <c r="K5638" i="1"/>
  <c r="L5638" i="1"/>
  <c r="A5639" i="1"/>
  <c r="B5639" i="1"/>
  <c r="C5639" i="1"/>
  <c r="D5639" i="1"/>
  <c r="Q5639" i="1"/>
  <c r="R5639" i="1"/>
  <c r="E5639" i="1"/>
  <c r="G5639" i="1"/>
  <c r="H5639" i="1"/>
  <c r="J5639" i="1"/>
  <c r="K5639" i="1"/>
  <c r="L5639" i="1"/>
  <c r="A5640" i="1"/>
  <c r="B5640" i="1"/>
  <c r="C5640" i="1"/>
  <c r="D5640" i="1"/>
  <c r="Q5640" i="1"/>
  <c r="R5640" i="1"/>
  <c r="E5640" i="1"/>
  <c r="G5640" i="1"/>
  <c r="H5640" i="1"/>
  <c r="J5640" i="1"/>
  <c r="K5640" i="1"/>
  <c r="L5640" i="1"/>
  <c r="A5641" i="1"/>
  <c r="B5641" i="1"/>
  <c r="C5641" i="1"/>
  <c r="D5641" i="1"/>
  <c r="Q5641" i="1"/>
  <c r="R5641" i="1"/>
  <c r="E5641" i="1"/>
  <c r="G5641" i="1"/>
  <c r="H5641" i="1"/>
  <c r="J5641" i="1"/>
  <c r="K5641" i="1"/>
  <c r="L5641" i="1"/>
  <c r="A5642" i="1"/>
  <c r="B5642" i="1"/>
  <c r="C5642" i="1"/>
  <c r="D5642" i="1"/>
  <c r="Q5642" i="1"/>
  <c r="R5642" i="1"/>
  <c r="E5642" i="1"/>
  <c r="G5642" i="1"/>
  <c r="H5642" i="1"/>
  <c r="J5642" i="1"/>
  <c r="K5642" i="1"/>
  <c r="L5642" i="1"/>
  <c r="A5643" i="1"/>
  <c r="B5643" i="1"/>
  <c r="C5643" i="1"/>
  <c r="D5643" i="1"/>
  <c r="Q5643" i="1"/>
  <c r="R5643" i="1"/>
  <c r="E5643" i="1"/>
  <c r="G5643" i="1"/>
  <c r="H5643" i="1"/>
  <c r="J5643" i="1"/>
  <c r="K5643" i="1"/>
  <c r="L5643" i="1"/>
  <c r="A5644" i="1"/>
  <c r="B5644" i="1"/>
  <c r="C5644" i="1"/>
  <c r="D5644" i="1"/>
  <c r="Q5644" i="1"/>
  <c r="R5644" i="1"/>
  <c r="E5644" i="1"/>
  <c r="G5644" i="1"/>
  <c r="H5644" i="1"/>
  <c r="J5644" i="1"/>
  <c r="K5644" i="1"/>
  <c r="L5644" i="1"/>
  <c r="A5645" i="1"/>
  <c r="B5645" i="1"/>
  <c r="C5645" i="1"/>
  <c r="D5645" i="1"/>
  <c r="Q5645" i="1"/>
  <c r="R5645" i="1"/>
  <c r="E5645" i="1"/>
  <c r="G5645" i="1"/>
  <c r="H5645" i="1"/>
  <c r="J5645" i="1"/>
  <c r="K5645" i="1"/>
  <c r="L5645" i="1"/>
  <c r="A5646" i="1"/>
  <c r="B5646" i="1"/>
  <c r="C5646" i="1"/>
  <c r="D5646" i="1"/>
  <c r="Q5646" i="1"/>
  <c r="R5646" i="1"/>
  <c r="E5646" i="1"/>
  <c r="G5646" i="1"/>
  <c r="H5646" i="1"/>
  <c r="J5646" i="1"/>
  <c r="K5646" i="1"/>
  <c r="L5646" i="1"/>
  <c r="A5647" i="1"/>
  <c r="B5647" i="1"/>
  <c r="C5647" i="1"/>
  <c r="D5647" i="1"/>
  <c r="Q5647" i="1"/>
  <c r="R5647" i="1"/>
  <c r="E5647" i="1"/>
  <c r="G5647" i="1"/>
  <c r="H5647" i="1"/>
  <c r="J5647" i="1"/>
  <c r="K5647" i="1"/>
  <c r="L5647" i="1"/>
  <c r="A5648" i="1"/>
  <c r="B5648" i="1"/>
  <c r="C5648" i="1"/>
  <c r="D5648" i="1"/>
  <c r="Q5648" i="1"/>
  <c r="R5648" i="1"/>
  <c r="E5648" i="1"/>
  <c r="G5648" i="1"/>
  <c r="H5648" i="1"/>
  <c r="J5648" i="1"/>
  <c r="K5648" i="1"/>
  <c r="L5648" i="1"/>
  <c r="A5649" i="1"/>
  <c r="B5649" i="1"/>
  <c r="C5649" i="1"/>
  <c r="D5649" i="1"/>
  <c r="Q5649" i="1"/>
  <c r="R5649" i="1"/>
  <c r="E5649" i="1"/>
  <c r="G5649" i="1"/>
  <c r="H5649" i="1"/>
  <c r="J5649" i="1"/>
  <c r="K5649" i="1"/>
  <c r="L5649" i="1"/>
  <c r="A5650" i="1"/>
  <c r="B5650" i="1"/>
  <c r="C5650" i="1"/>
  <c r="D5650" i="1"/>
  <c r="Q5650" i="1"/>
  <c r="R5650" i="1"/>
  <c r="E5650" i="1"/>
  <c r="G5650" i="1"/>
  <c r="H5650" i="1"/>
  <c r="J5650" i="1"/>
  <c r="K5650" i="1"/>
  <c r="L5650" i="1"/>
  <c r="A5651" i="1"/>
  <c r="B5651" i="1"/>
  <c r="C5651" i="1"/>
  <c r="D5651" i="1"/>
  <c r="Q5651" i="1"/>
  <c r="R5651" i="1"/>
  <c r="E5651" i="1"/>
  <c r="G5651" i="1"/>
  <c r="H5651" i="1"/>
  <c r="J5651" i="1"/>
  <c r="K5651" i="1"/>
  <c r="L5651" i="1"/>
  <c r="A5652" i="1"/>
  <c r="B5652" i="1"/>
  <c r="C5652" i="1"/>
  <c r="D5652" i="1"/>
  <c r="Q5652" i="1"/>
  <c r="R5652" i="1"/>
  <c r="E5652" i="1"/>
  <c r="G5652" i="1"/>
  <c r="H5652" i="1"/>
  <c r="J5652" i="1"/>
  <c r="K5652" i="1"/>
  <c r="L5652" i="1"/>
  <c r="A5653" i="1"/>
  <c r="B5653" i="1"/>
  <c r="C5653" i="1"/>
  <c r="D5653" i="1"/>
  <c r="Q5653" i="1"/>
  <c r="R5653" i="1"/>
  <c r="E5653" i="1"/>
  <c r="G5653" i="1"/>
  <c r="H5653" i="1"/>
  <c r="J5653" i="1"/>
  <c r="K5653" i="1"/>
  <c r="L5653" i="1"/>
  <c r="A5654" i="1"/>
  <c r="B5654" i="1"/>
  <c r="C5654" i="1"/>
  <c r="D5654" i="1"/>
  <c r="Q5654" i="1"/>
  <c r="R5654" i="1"/>
  <c r="E5654" i="1"/>
  <c r="G5654" i="1"/>
  <c r="H5654" i="1"/>
  <c r="J5654" i="1"/>
  <c r="K5654" i="1"/>
  <c r="L5654" i="1"/>
  <c r="A5655" i="1"/>
  <c r="B5655" i="1"/>
  <c r="C5655" i="1"/>
  <c r="D5655" i="1"/>
  <c r="Q5655" i="1"/>
  <c r="R5655" i="1"/>
  <c r="E5655" i="1"/>
  <c r="G5655" i="1"/>
  <c r="H5655" i="1"/>
  <c r="J5655" i="1"/>
  <c r="K5655" i="1"/>
  <c r="L5655" i="1"/>
  <c r="A5656" i="1"/>
  <c r="B5656" i="1"/>
  <c r="C5656" i="1"/>
  <c r="D5656" i="1"/>
  <c r="Q5656" i="1"/>
  <c r="R5656" i="1"/>
  <c r="E5656" i="1"/>
  <c r="G5656" i="1"/>
  <c r="H5656" i="1"/>
  <c r="J5656" i="1"/>
  <c r="K5656" i="1"/>
  <c r="L5656" i="1"/>
  <c r="A5657" i="1"/>
  <c r="B5657" i="1"/>
  <c r="C5657" i="1"/>
  <c r="D5657" i="1"/>
  <c r="Q5657" i="1"/>
  <c r="R5657" i="1"/>
  <c r="E5657" i="1"/>
  <c r="G5657" i="1"/>
  <c r="H5657" i="1"/>
  <c r="J5657" i="1"/>
  <c r="K5657" i="1"/>
  <c r="L5657" i="1"/>
  <c r="A5658" i="1"/>
  <c r="B5658" i="1"/>
  <c r="C5658" i="1"/>
  <c r="D5658" i="1"/>
  <c r="Q5658" i="1"/>
  <c r="R5658" i="1"/>
  <c r="E5658" i="1"/>
  <c r="G5658" i="1"/>
  <c r="H5658" i="1"/>
  <c r="J5658" i="1"/>
  <c r="K5658" i="1"/>
  <c r="L5658" i="1"/>
  <c r="A5659" i="1"/>
  <c r="B5659" i="1"/>
  <c r="C5659" i="1"/>
  <c r="D5659" i="1"/>
  <c r="Q5659" i="1"/>
  <c r="R5659" i="1"/>
  <c r="E5659" i="1"/>
  <c r="G5659" i="1"/>
  <c r="H5659" i="1"/>
  <c r="J5659" i="1"/>
  <c r="K5659" i="1"/>
  <c r="L5659" i="1"/>
  <c r="A5660" i="1"/>
  <c r="B5660" i="1"/>
  <c r="C5660" i="1"/>
  <c r="D5660" i="1"/>
  <c r="Q5660" i="1"/>
  <c r="R5660" i="1"/>
  <c r="E5660" i="1"/>
  <c r="G5660" i="1"/>
  <c r="H5660" i="1"/>
  <c r="J5660" i="1"/>
  <c r="K5660" i="1"/>
  <c r="L5660" i="1"/>
  <c r="A5661" i="1"/>
  <c r="B5661" i="1"/>
  <c r="C5661" i="1"/>
  <c r="D5661" i="1"/>
  <c r="Q5661" i="1"/>
  <c r="R5661" i="1"/>
  <c r="E5661" i="1"/>
  <c r="G5661" i="1"/>
  <c r="H5661" i="1"/>
  <c r="J5661" i="1"/>
  <c r="K5661" i="1"/>
  <c r="L5661" i="1"/>
  <c r="A5662" i="1"/>
  <c r="B5662" i="1"/>
  <c r="C5662" i="1"/>
  <c r="D5662" i="1"/>
  <c r="Q5662" i="1"/>
  <c r="R5662" i="1"/>
  <c r="E5662" i="1"/>
  <c r="G5662" i="1"/>
  <c r="H5662" i="1"/>
  <c r="J5662" i="1"/>
  <c r="K5662" i="1"/>
  <c r="L5662" i="1"/>
  <c r="A5663" i="1"/>
  <c r="B5663" i="1"/>
  <c r="C5663" i="1"/>
  <c r="D5663" i="1"/>
  <c r="Q5663" i="1"/>
  <c r="R5663" i="1"/>
  <c r="E5663" i="1"/>
  <c r="G5663" i="1"/>
  <c r="H5663" i="1"/>
  <c r="J5663" i="1"/>
  <c r="K5663" i="1"/>
  <c r="L5663" i="1"/>
  <c r="A5664" i="1"/>
  <c r="B5664" i="1"/>
  <c r="C5664" i="1"/>
  <c r="D5664" i="1"/>
  <c r="Q5664" i="1"/>
  <c r="R5664" i="1"/>
  <c r="E5664" i="1"/>
  <c r="G5664" i="1"/>
  <c r="H5664" i="1"/>
  <c r="J5664" i="1"/>
  <c r="K5664" i="1"/>
  <c r="L5664" i="1"/>
  <c r="A5665" i="1"/>
  <c r="B5665" i="1"/>
  <c r="C5665" i="1"/>
  <c r="D5665" i="1"/>
  <c r="Q5665" i="1"/>
  <c r="R5665" i="1"/>
  <c r="E5665" i="1"/>
  <c r="G5665" i="1"/>
  <c r="H5665" i="1"/>
  <c r="J5665" i="1"/>
  <c r="K5665" i="1"/>
  <c r="L5665" i="1"/>
  <c r="A5666" i="1"/>
  <c r="B5666" i="1"/>
  <c r="C5666" i="1"/>
  <c r="D5666" i="1"/>
  <c r="Q5666" i="1"/>
  <c r="R5666" i="1"/>
  <c r="E5666" i="1"/>
  <c r="G5666" i="1"/>
  <c r="H5666" i="1"/>
  <c r="J5666" i="1"/>
  <c r="K5666" i="1"/>
  <c r="L5666" i="1"/>
  <c r="A5667" i="1"/>
  <c r="B5667" i="1"/>
  <c r="C5667" i="1"/>
  <c r="D5667" i="1"/>
  <c r="Q5667" i="1"/>
  <c r="R5667" i="1"/>
  <c r="E5667" i="1"/>
  <c r="G5667" i="1"/>
  <c r="H5667" i="1"/>
  <c r="J5667" i="1"/>
  <c r="K5667" i="1"/>
  <c r="L5667" i="1"/>
  <c r="A5668" i="1"/>
  <c r="B5668" i="1"/>
  <c r="C5668" i="1"/>
  <c r="D5668" i="1"/>
  <c r="Q5668" i="1"/>
  <c r="R5668" i="1"/>
  <c r="E5668" i="1"/>
  <c r="G5668" i="1"/>
  <c r="H5668" i="1"/>
  <c r="J5668" i="1"/>
  <c r="K5668" i="1"/>
  <c r="L5668" i="1"/>
  <c r="A5669" i="1"/>
  <c r="B5669" i="1"/>
  <c r="C5669" i="1"/>
  <c r="D5669" i="1"/>
  <c r="Q5669" i="1"/>
  <c r="R5669" i="1"/>
  <c r="E5669" i="1"/>
  <c r="G5669" i="1"/>
  <c r="H5669" i="1"/>
  <c r="J5669" i="1"/>
  <c r="K5669" i="1"/>
  <c r="L5669" i="1"/>
  <c r="A5670" i="1"/>
  <c r="B5670" i="1"/>
  <c r="C5670" i="1"/>
  <c r="D5670" i="1"/>
  <c r="Q5670" i="1"/>
  <c r="R5670" i="1"/>
  <c r="E5670" i="1"/>
  <c r="G5670" i="1"/>
  <c r="H5670" i="1"/>
  <c r="J5670" i="1"/>
  <c r="K5670" i="1"/>
  <c r="L5670" i="1"/>
  <c r="A5671" i="1"/>
  <c r="B5671" i="1"/>
  <c r="C5671" i="1"/>
  <c r="D5671" i="1"/>
  <c r="Q5671" i="1"/>
  <c r="R5671" i="1"/>
  <c r="E5671" i="1"/>
  <c r="G5671" i="1"/>
  <c r="H5671" i="1"/>
  <c r="J5671" i="1"/>
  <c r="K5671" i="1"/>
  <c r="L5671" i="1"/>
  <c r="A5672" i="1"/>
  <c r="B5672" i="1"/>
  <c r="C5672" i="1"/>
  <c r="D5672" i="1"/>
  <c r="Q5672" i="1"/>
  <c r="R5672" i="1"/>
  <c r="E5672" i="1"/>
  <c r="G5672" i="1"/>
  <c r="H5672" i="1"/>
  <c r="J5672" i="1"/>
  <c r="K5672" i="1"/>
  <c r="L5672" i="1"/>
  <c r="A5673" i="1"/>
  <c r="B5673" i="1"/>
  <c r="C5673" i="1"/>
  <c r="D5673" i="1"/>
  <c r="Q5673" i="1"/>
  <c r="R5673" i="1"/>
  <c r="E5673" i="1"/>
  <c r="G5673" i="1"/>
  <c r="H5673" i="1"/>
  <c r="J5673" i="1"/>
  <c r="K5673" i="1"/>
  <c r="L5673" i="1"/>
  <c r="A5674" i="1"/>
  <c r="B5674" i="1"/>
  <c r="C5674" i="1"/>
  <c r="D5674" i="1"/>
  <c r="Q5674" i="1"/>
  <c r="R5674" i="1"/>
  <c r="E5674" i="1"/>
  <c r="G5674" i="1"/>
  <c r="H5674" i="1"/>
  <c r="J5674" i="1"/>
  <c r="K5674" i="1"/>
  <c r="L5674" i="1"/>
  <c r="A5675" i="1"/>
  <c r="B5675" i="1"/>
  <c r="C5675" i="1"/>
  <c r="D5675" i="1"/>
  <c r="Q5675" i="1"/>
  <c r="R5675" i="1"/>
  <c r="E5675" i="1"/>
  <c r="G5675" i="1"/>
  <c r="H5675" i="1"/>
  <c r="J5675" i="1"/>
  <c r="K5675" i="1"/>
  <c r="L5675" i="1"/>
  <c r="A5676" i="1"/>
  <c r="B5676" i="1"/>
  <c r="C5676" i="1"/>
  <c r="D5676" i="1"/>
  <c r="Q5676" i="1"/>
  <c r="R5676" i="1"/>
  <c r="E5676" i="1"/>
  <c r="G5676" i="1"/>
  <c r="H5676" i="1"/>
  <c r="J5676" i="1"/>
  <c r="K5676" i="1"/>
  <c r="L5676" i="1"/>
  <c r="A5677" i="1"/>
  <c r="B5677" i="1"/>
  <c r="C5677" i="1"/>
  <c r="D5677" i="1"/>
  <c r="Q5677" i="1"/>
  <c r="R5677" i="1"/>
  <c r="E5677" i="1"/>
  <c r="G5677" i="1"/>
  <c r="H5677" i="1"/>
  <c r="J5677" i="1"/>
  <c r="K5677" i="1"/>
  <c r="L5677" i="1"/>
  <c r="A5678" i="1"/>
  <c r="B5678" i="1"/>
  <c r="C5678" i="1"/>
  <c r="D5678" i="1"/>
  <c r="Q5678" i="1"/>
  <c r="R5678" i="1"/>
  <c r="E5678" i="1"/>
  <c r="G5678" i="1"/>
  <c r="H5678" i="1"/>
  <c r="J5678" i="1"/>
  <c r="K5678" i="1"/>
  <c r="L5678" i="1"/>
  <c r="A5679" i="1"/>
  <c r="B5679" i="1"/>
  <c r="C5679" i="1"/>
  <c r="D5679" i="1"/>
  <c r="Q5679" i="1"/>
  <c r="R5679" i="1"/>
  <c r="E5679" i="1"/>
  <c r="G5679" i="1"/>
  <c r="H5679" i="1"/>
  <c r="J5679" i="1"/>
  <c r="K5679" i="1"/>
  <c r="L5679" i="1"/>
  <c r="A5680" i="1"/>
  <c r="B5680" i="1"/>
  <c r="C5680" i="1"/>
  <c r="D5680" i="1"/>
  <c r="Q5680" i="1"/>
  <c r="R5680" i="1"/>
  <c r="E5680" i="1"/>
  <c r="G5680" i="1"/>
  <c r="H5680" i="1"/>
  <c r="J5680" i="1"/>
  <c r="K5680" i="1"/>
  <c r="L5680" i="1"/>
  <c r="A5681" i="1"/>
  <c r="B5681" i="1"/>
  <c r="C5681" i="1"/>
  <c r="D5681" i="1"/>
  <c r="Q5681" i="1"/>
  <c r="R5681" i="1"/>
  <c r="E5681" i="1"/>
  <c r="G5681" i="1"/>
  <c r="H5681" i="1"/>
  <c r="J5681" i="1"/>
  <c r="K5681" i="1"/>
  <c r="L5681" i="1"/>
  <c r="A5682" i="1"/>
  <c r="B5682" i="1"/>
  <c r="C5682" i="1"/>
  <c r="D5682" i="1"/>
  <c r="Q5682" i="1"/>
  <c r="R5682" i="1"/>
  <c r="E5682" i="1"/>
  <c r="G5682" i="1"/>
  <c r="H5682" i="1"/>
  <c r="J5682" i="1"/>
  <c r="K5682" i="1"/>
  <c r="L5682" i="1"/>
  <c r="A5683" i="1"/>
  <c r="B5683" i="1"/>
  <c r="C5683" i="1"/>
  <c r="D5683" i="1"/>
  <c r="Q5683" i="1"/>
  <c r="R5683" i="1"/>
  <c r="E5683" i="1"/>
  <c r="G5683" i="1"/>
  <c r="H5683" i="1"/>
  <c r="J5683" i="1"/>
  <c r="K5683" i="1"/>
  <c r="L5683" i="1"/>
  <c r="A5684" i="1"/>
  <c r="B5684" i="1"/>
  <c r="C5684" i="1"/>
  <c r="D5684" i="1"/>
  <c r="Q5684" i="1"/>
  <c r="R5684" i="1"/>
  <c r="E5684" i="1"/>
  <c r="G5684" i="1"/>
  <c r="H5684" i="1"/>
  <c r="J5684" i="1"/>
  <c r="K5684" i="1"/>
  <c r="L5684" i="1"/>
  <c r="A5685" i="1"/>
  <c r="B5685" i="1"/>
  <c r="C5685" i="1"/>
  <c r="D5685" i="1"/>
  <c r="Q5685" i="1"/>
  <c r="R5685" i="1"/>
  <c r="E5685" i="1"/>
  <c r="G5685" i="1"/>
  <c r="H5685" i="1"/>
  <c r="J5685" i="1"/>
  <c r="K5685" i="1"/>
  <c r="L5685" i="1"/>
  <c r="A5686" i="1"/>
  <c r="B5686" i="1"/>
  <c r="C5686" i="1"/>
  <c r="D5686" i="1"/>
  <c r="Q5686" i="1"/>
  <c r="R5686" i="1"/>
  <c r="E5686" i="1"/>
  <c r="G5686" i="1"/>
  <c r="H5686" i="1"/>
  <c r="J5686" i="1"/>
  <c r="K5686" i="1"/>
  <c r="L5686" i="1"/>
  <c r="A5687" i="1"/>
  <c r="B5687" i="1"/>
  <c r="C5687" i="1"/>
  <c r="D5687" i="1"/>
  <c r="Q5687" i="1"/>
  <c r="R5687" i="1"/>
  <c r="E5687" i="1"/>
  <c r="G5687" i="1"/>
  <c r="H5687" i="1"/>
  <c r="J5687" i="1"/>
  <c r="K5687" i="1"/>
  <c r="L5687" i="1"/>
  <c r="A5688" i="1"/>
  <c r="B5688" i="1"/>
  <c r="C5688" i="1"/>
  <c r="D5688" i="1"/>
  <c r="Q5688" i="1"/>
  <c r="R5688" i="1"/>
  <c r="E5688" i="1"/>
  <c r="G5688" i="1"/>
  <c r="H5688" i="1"/>
  <c r="J5688" i="1"/>
  <c r="K5688" i="1"/>
  <c r="L5688" i="1"/>
  <c r="A5689" i="1"/>
  <c r="B5689" i="1"/>
  <c r="C5689" i="1"/>
  <c r="D5689" i="1"/>
  <c r="Q5689" i="1"/>
  <c r="R5689" i="1"/>
  <c r="E5689" i="1"/>
  <c r="G5689" i="1"/>
  <c r="H5689" i="1"/>
  <c r="J5689" i="1"/>
  <c r="K5689" i="1"/>
  <c r="L5689" i="1"/>
  <c r="A5690" i="1"/>
  <c r="B5690" i="1"/>
  <c r="C5690" i="1"/>
  <c r="D5690" i="1"/>
  <c r="Q5690" i="1"/>
  <c r="R5690" i="1"/>
  <c r="E5690" i="1"/>
  <c r="G5690" i="1"/>
  <c r="H5690" i="1"/>
  <c r="J5690" i="1"/>
  <c r="K5690" i="1"/>
  <c r="L5690" i="1"/>
  <c r="A5691" i="1"/>
  <c r="B5691" i="1"/>
  <c r="C5691" i="1"/>
  <c r="D5691" i="1"/>
  <c r="Q5691" i="1"/>
  <c r="R5691" i="1"/>
  <c r="E5691" i="1"/>
  <c r="G5691" i="1"/>
  <c r="H5691" i="1"/>
  <c r="J5691" i="1"/>
  <c r="K5691" i="1"/>
  <c r="L5691" i="1"/>
  <c r="A5692" i="1"/>
  <c r="B5692" i="1"/>
  <c r="C5692" i="1"/>
  <c r="D5692" i="1"/>
  <c r="Q5692" i="1"/>
  <c r="R5692" i="1"/>
  <c r="E5692" i="1"/>
  <c r="G5692" i="1"/>
  <c r="H5692" i="1"/>
  <c r="J5692" i="1"/>
  <c r="K5692" i="1"/>
  <c r="L5692" i="1"/>
  <c r="A5693" i="1"/>
  <c r="B5693" i="1"/>
  <c r="C5693" i="1"/>
  <c r="D5693" i="1"/>
  <c r="Q5693" i="1"/>
  <c r="R5693" i="1"/>
  <c r="E5693" i="1"/>
  <c r="G5693" i="1"/>
  <c r="H5693" i="1"/>
  <c r="J5693" i="1"/>
  <c r="K5693" i="1"/>
  <c r="L5693" i="1"/>
  <c r="A5694" i="1"/>
  <c r="B5694" i="1"/>
  <c r="C5694" i="1"/>
  <c r="D5694" i="1"/>
  <c r="Q5694" i="1"/>
  <c r="R5694" i="1"/>
  <c r="E5694" i="1"/>
  <c r="G5694" i="1"/>
  <c r="H5694" i="1"/>
  <c r="J5694" i="1"/>
  <c r="K5694" i="1"/>
  <c r="L5694" i="1"/>
  <c r="A5695" i="1"/>
  <c r="B5695" i="1"/>
  <c r="C5695" i="1"/>
  <c r="D5695" i="1"/>
  <c r="Q5695" i="1"/>
  <c r="R5695" i="1"/>
  <c r="E5695" i="1"/>
  <c r="G5695" i="1"/>
  <c r="H5695" i="1"/>
  <c r="J5695" i="1"/>
  <c r="K5695" i="1"/>
  <c r="L5695" i="1"/>
  <c r="A5696" i="1"/>
  <c r="B5696" i="1"/>
  <c r="C5696" i="1"/>
  <c r="D5696" i="1"/>
  <c r="Q5696" i="1"/>
  <c r="R5696" i="1"/>
  <c r="E5696" i="1"/>
  <c r="G5696" i="1"/>
  <c r="H5696" i="1"/>
  <c r="J5696" i="1"/>
  <c r="K5696" i="1"/>
  <c r="L5696" i="1"/>
  <c r="A5697" i="1"/>
  <c r="B5697" i="1"/>
  <c r="C5697" i="1"/>
  <c r="D5697" i="1"/>
  <c r="Q5697" i="1"/>
  <c r="R5697" i="1"/>
  <c r="E5697" i="1"/>
  <c r="G5697" i="1"/>
  <c r="H5697" i="1"/>
  <c r="J5697" i="1"/>
  <c r="K5697" i="1"/>
  <c r="L5697" i="1"/>
  <c r="A5698" i="1"/>
  <c r="B5698" i="1"/>
  <c r="C5698" i="1"/>
  <c r="D5698" i="1"/>
  <c r="Q5698" i="1"/>
  <c r="R5698" i="1"/>
  <c r="E5698" i="1"/>
  <c r="G5698" i="1"/>
  <c r="H5698" i="1"/>
  <c r="J5698" i="1"/>
  <c r="K5698" i="1"/>
  <c r="L5698" i="1"/>
  <c r="A5699" i="1"/>
  <c r="B5699" i="1"/>
  <c r="C5699" i="1"/>
  <c r="D5699" i="1"/>
  <c r="Q5699" i="1"/>
  <c r="R5699" i="1"/>
  <c r="E5699" i="1"/>
  <c r="G5699" i="1"/>
  <c r="H5699" i="1"/>
  <c r="J5699" i="1"/>
  <c r="K5699" i="1"/>
  <c r="L5699" i="1"/>
  <c r="A5700" i="1"/>
  <c r="B5700" i="1"/>
  <c r="C5700" i="1"/>
  <c r="D5700" i="1"/>
  <c r="Q5700" i="1"/>
  <c r="R5700" i="1"/>
  <c r="E5700" i="1"/>
  <c r="G5700" i="1"/>
  <c r="H5700" i="1"/>
  <c r="J5700" i="1"/>
  <c r="K5700" i="1"/>
  <c r="L5700" i="1"/>
  <c r="A5701" i="1"/>
  <c r="B5701" i="1"/>
  <c r="C5701" i="1"/>
  <c r="D5701" i="1"/>
  <c r="Q5701" i="1"/>
  <c r="R5701" i="1"/>
  <c r="E5701" i="1"/>
  <c r="G5701" i="1"/>
  <c r="H5701" i="1"/>
  <c r="J5701" i="1"/>
  <c r="K5701" i="1"/>
  <c r="L5701" i="1"/>
  <c r="A5702" i="1"/>
  <c r="B5702" i="1"/>
  <c r="C5702" i="1"/>
  <c r="D5702" i="1"/>
  <c r="Q5702" i="1"/>
  <c r="R5702" i="1"/>
  <c r="E5702" i="1"/>
  <c r="G5702" i="1"/>
  <c r="H5702" i="1"/>
  <c r="J5702" i="1"/>
  <c r="K5702" i="1"/>
  <c r="L5702" i="1"/>
  <c r="A5703" i="1"/>
  <c r="B5703" i="1"/>
  <c r="C5703" i="1"/>
  <c r="D5703" i="1"/>
  <c r="Q5703" i="1"/>
  <c r="R5703" i="1"/>
  <c r="E5703" i="1"/>
  <c r="G5703" i="1"/>
  <c r="H5703" i="1"/>
  <c r="J5703" i="1"/>
  <c r="K5703" i="1"/>
  <c r="L5703" i="1"/>
  <c r="A5704" i="1"/>
  <c r="B5704" i="1"/>
  <c r="C5704" i="1"/>
  <c r="D5704" i="1"/>
  <c r="Q5704" i="1"/>
  <c r="R5704" i="1"/>
  <c r="E5704" i="1"/>
  <c r="G5704" i="1"/>
  <c r="H5704" i="1"/>
  <c r="J5704" i="1"/>
  <c r="K5704" i="1"/>
  <c r="L5704" i="1"/>
  <c r="A5705" i="1"/>
  <c r="B5705" i="1"/>
  <c r="C5705" i="1"/>
  <c r="D5705" i="1"/>
  <c r="Q5705" i="1"/>
  <c r="R5705" i="1"/>
  <c r="E5705" i="1"/>
  <c r="G5705" i="1"/>
  <c r="H5705" i="1"/>
  <c r="J5705" i="1"/>
  <c r="K5705" i="1"/>
  <c r="L5705" i="1"/>
  <c r="A5706" i="1"/>
  <c r="B5706" i="1"/>
  <c r="C5706" i="1"/>
  <c r="D5706" i="1"/>
  <c r="Q5706" i="1"/>
  <c r="R5706" i="1"/>
  <c r="E5706" i="1"/>
  <c r="G5706" i="1"/>
  <c r="H5706" i="1"/>
  <c r="J5706" i="1"/>
  <c r="K5706" i="1"/>
  <c r="L5706" i="1"/>
  <c r="A5707" i="1"/>
  <c r="B5707" i="1"/>
  <c r="C5707" i="1"/>
  <c r="D5707" i="1"/>
  <c r="Q5707" i="1"/>
  <c r="R5707" i="1"/>
  <c r="E5707" i="1"/>
  <c r="G5707" i="1"/>
  <c r="H5707" i="1"/>
  <c r="J5707" i="1"/>
  <c r="K5707" i="1"/>
  <c r="L5707" i="1"/>
  <c r="A5708" i="1"/>
  <c r="B5708" i="1"/>
  <c r="C5708" i="1"/>
  <c r="D5708" i="1"/>
  <c r="Q5708" i="1"/>
  <c r="R5708" i="1"/>
  <c r="E5708" i="1"/>
  <c r="G5708" i="1"/>
  <c r="H5708" i="1"/>
  <c r="J5708" i="1"/>
  <c r="K5708" i="1"/>
  <c r="L5708" i="1"/>
  <c r="A5709" i="1"/>
  <c r="B5709" i="1"/>
  <c r="C5709" i="1"/>
  <c r="D5709" i="1"/>
  <c r="Q5709" i="1"/>
  <c r="R5709" i="1"/>
  <c r="E5709" i="1"/>
  <c r="G5709" i="1"/>
  <c r="H5709" i="1"/>
  <c r="J5709" i="1"/>
  <c r="K5709" i="1"/>
  <c r="L5709" i="1"/>
  <c r="A5710" i="1"/>
  <c r="B5710" i="1"/>
  <c r="C5710" i="1"/>
  <c r="D5710" i="1"/>
  <c r="Q5710" i="1"/>
  <c r="R5710" i="1"/>
  <c r="E5710" i="1"/>
  <c r="G5710" i="1"/>
  <c r="H5710" i="1"/>
  <c r="J5710" i="1"/>
  <c r="K5710" i="1"/>
  <c r="L5710" i="1"/>
  <c r="A5711" i="1"/>
  <c r="B5711" i="1"/>
  <c r="C5711" i="1"/>
  <c r="D5711" i="1"/>
  <c r="Q5711" i="1"/>
  <c r="R5711" i="1"/>
  <c r="E5711" i="1"/>
  <c r="G5711" i="1"/>
  <c r="H5711" i="1"/>
  <c r="J5711" i="1"/>
  <c r="K5711" i="1"/>
  <c r="L5711" i="1"/>
  <c r="A5712" i="1"/>
  <c r="B5712" i="1"/>
  <c r="C5712" i="1"/>
  <c r="D5712" i="1"/>
  <c r="Q5712" i="1"/>
  <c r="R5712" i="1"/>
  <c r="E5712" i="1"/>
  <c r="G5712" i="1"/>
  <c r="H5712" i="1"/>
  <c r="J5712" i="1"/>
  <c r="K5712" i="1"/>
  <c r="L5712" i="1"/>
  <c r="A5713" i="1"/>
  <c r="B5713" i="1"/>
  <c r="C5713" i="1"/>
  <c r="D5713" i="1"/>
  <c r="Q5713" i="1"/>
  <c r="R5713" i="1"/>
  <c r="E5713" i="1"/>
  <c r="G5713" i="1"/>
  <c r="H5713" i="1"/>
  <c r="J5713" i="1"/>
  <c r="K5713" i="1"/>
  <c r="L5713" i="1"/>
  <c r="A5714" i="1"/>
  <c r="B5714" i="1"/>
  <c r="C5714" i="1"/>
  <c r="D5714" i="1"/>
  <c r="Q5714" i="1"/>
  <c r="R5714" i="1"/>
  <c r="E5714" i="1"/>
  <c r="G5714" i="1"/>
  <c r="H5714" i="1"/>
  <c r="J5714" i="1"/>
  <c r="K5714" i="1"/>
  <c r="L5714" i="1"/>
  <c r="A5715" i="1"/>
  <c r="B5715" i="1"/>
  <c r="C5715" i="1"/>
  <c r="D5715" i="1"/>
  <c r="Q5715" i="1"/>
  <c r="R5715" i="1"/>
  <c r="E5715" i="1"/>
  <c r="G5715" i="1"/>
  <c r="H5715" i="1"/>
  <c r="J5715" i="1"/>
  <c r="K5715" i="1"/>
  <c r="L5715" i="1"/>
  <c r="A5716" i="1"/>
  <c r="B5716" i="1"/>
  <c r="C5716" i="1"/>
  <c r="D5716" i="1"/>
  <c r="Q5716" i="1"/>
  <c r="R5716" i="1"/>
  <c r="E5716" i="1"/>
  <c r="G5716" i="1"/>
  <c r="H5716" i="1"/>
  <c r="J5716" i="1"/>
  <c r="K5716" i="1"/>
  <c r="L5716" i="1"/>
  <c r="A5717" i="1"/>
  <c r="B5717" i="1"/>
  <c r="C5717" i="1"/>
  <c r="D5717" i="1"/>
  <c r="Q5717" i="1"/>
  <c r="R5717" i="1"/>
  <c r="E5717" i="1"/>
  <c r="G5717" i="1"/>
  <c r="H5717" i="1"/>
  <c r="J5717" i="1"/>
  <c r="K5717" i="1"/>
  <c r="L5717" i="1"/>
  <c r="A5718" i="1"/>
  <c r="B5718" i="1"/>
  <c r="C5718" i="1"/>
  <c r="D5718" i="1"/>
  <c r="Q5718" i="1"/>
  <c r="R5718" i="1"/>
  <c r="E5718" i="1"/>
  <c r="G5718" i="1"/>
  <c r="H5718" i="1"/>
  <c r="J5718" i="1"/>
  <c r="K5718" i="1"/>
  <c r="L5718" i="1"/>
  <c r="A5719" i="1"/>
  <c r="B5719" i="1"/>
  <c r="C5719" i="1"/>
  <c r="D5719" i="1"/>
  <c r="Q5719" i="1"/>
  <c r="R5719" i="1"/>
  <c r="E5719" i="1"/>
  <c r="G5719" i="1"/>
  <c r="H5719" i="1"/>
  <c r="J5719" i="1"/>
  <c r="K5719" i="1"/>
  <c r="L5719" i="1"/>
  <c r="A5720" i="1"/>
  <c r="B5720" i="1"/>
  <c r="C5720" i="1"/>
  <c r="D5720" i="1"/>
  <c r="Q5720" i="1"/>
  <c r="R5720" i="1"/>
  <c r="E5720" i="1"/>
  <c r="G5720" i="1"/>
  <c r="H5720" i="1"/>
  <c r="J5720" i="1"/>
  <c r="K5720" i="1"/>
  <c r="L5720" i="1"/>
  <c r="A5721" i="1"/>
  <c r="B5721" i="1"/>
  <c r="C5721" i="1"/>
  <c r="D5721" i="1"/>
  <c r="Q5721" i="1"/>
  <c r="R5721" i="1"/>
  <c r="E5721" i="1"/>
  <c r="G5721" i="1"/>
  <c r="H5721" i="1"/>
  <c r="J5721" i="1"/>
  <c r="K5721" i="1"/>
  <c r="L5721" i="1"/>
  <c r="A5722" i="1"/>
  <c r="B5722" i="1"/>
  <c r="C5722" i="1"/>
  <c r="D5722" i="1"/>
  <c r="Q5722" i="1"/>
  <c r="R5722" i="1"/>
  <c r="E5722" i="1"/>
  <c r="G5722" i="1"/>
  <c r="H5722" i="1"/>
  <c r="J5722" i="1"/>
  <c r="K5722" i="1"/>
  <c r="L5722" i="1"/>
  <c r="A6657" i="1"/>
  <c r="B6657" i="1"/>
  <c r="C6657" i="1"/>
  <c r="D6657" i="1"/>
  <c r="Q6657" i="1"/>
  <c r="R6657" i="1"/>
  <c r="E6657" i="1"/>
  <c r="G6657" i="1"/>
  <c r="H6657" i="1"/>
  <c r="J6657" i="1"/>
  <c r="K6657" i="1"/>
  <c r="L6657" i="1"/>
  <c r="A6658" i="1"/>
  <c r="B6658" i="1"/>
  <c r="C6658" i="1"/>
  <c r="D6658" i="1"/>
  <c r="Q6658" i="1"/>
  <c r="R6658" i="1"/>
  <c r="E6658" i="1"/>
  <c r="G6658" i="1"/>
  <c r="H6658" i="1"/>
  <c r="J6658" i="1"/>
  <c r="K6658" i="1"/>
  <c r="L6658" i="1"/>
  <c r="A6659" i="1"/>
  <c r="B6659" i="1"/>
  <c r="C6659" i="1"/>
  <c r="D6659" i="1"/>
  <c r="Q6659" i="1"/>
  <c r="R6659" i="1"/>
  <c r="E6659" i="1"/>
  <c r="G6659" i="1"/>
  <c r="H6659" i="1"/>
  <c r="J6659" i="1"/>
  <c r="K6659" i="1"/>
  <c r="L6659" i="1"/>
  <c r="A6660" i="1"/>
  <c r="B6660" i="1"/>
  <c r="C6660" i="1"/>
  <c r="D6660" i="1"/>
  <c r="Q6660" i="1"/>
  <c r="R6660" i="1"/>
  <c r="E6660" i="1"/>
  <c r="G6660" i="1"/>
  <c r="H6660" i="1"/>
  <c r="J6660" i="1"/>
  <c r="K6660" i="1"/>
  <c r="L6660" i="1"/>
  <c r="A6661" i="1"/>
  <c r="B6661" i="1"/>
  <c r="C6661" i="1"/>
  <c r="D6661" i="1"/>
  <c r="Q6661" i="1"/>
  <c r="R6661" i="1"/>
  <c r="E6661" i="1"/>
  <c r="G6661" i="1"/>
  <c r="H6661" i="1"/>
  <c r="J6661" i="1"/>
  <c r="K6661" i="1"/>
  <c r="L6661" i="1"/>
  <c r="A6662" i="1"/>
  <c r="B6662" i="1"/>
  <c r="C6662" i="1"/>
  <c r="D6662" i="1"/>
  <c r="Q6662" i="1"/>
  <c r="R6662" i="1"/>
  <c r="E6662" i="1"/>
  <c r="G6662" i="1"/>
  <c r="H6662" i="1"/>
  <c r="J6662" i="1"/>
  <c r="K6662" i="1"/>
  <c r="L6662" i="1"/>
  <c r="A6663" i="1"/>
  <c r="B6663" i="1"/>
  <c r="C6663" i="1"/>
  <c r="D6663" i="1"/>
  <c r="Q6663" i="1"/>
  <c r="R6663" i="1"/>
  <c r="E6663" i="1"/>
  <c r="G6663" i="1"/>
  <c r="H6663" i="1"/>
  <c r="J6663" i="1"/>
  <c r="K6663" i="1"/>
  <c r="L6663" i="1"/>
  <c r="A6664" i="1"/>
  <c r="B6664" i="1"/>
  <c r="C6664" i="1"/>
  <c r="D6664" i="1"/>
  <c r="Q6664" i="1"/>
  <c r="R6664" i="1"/>
  <c r="E6664" i="1"/>
  <c r="G6664" i="1"/>
  <c r="H6664" i="1"/>
  <c r="J6664" i="1"/>
  <c r="K6664" i="1"/>
  <c r="L6664" i="1"/>
  <c r="A6665" i="1"/>
  <c r="B6665" i="1"/>
  <c r="C6665" i="1"/>
  <c r="D6665" i="1"/>
  <c r="Q6665" i="1"/>
  <c r="R6665" i="1"/>
  <c r="E6665" i="1"/>
  <c r="G6665" i="1"/>
  <c r="H6665" i="1"/>
  <c r="J6665" i="1"/>
  <c r="K6665" i="1"/>
  <c r="L6665" i="1"/>
  <c r="A6666" i="1"/>
  <c r="B6666" i="1"/>
  <c r="C6666" i="1"/>
  <c r="D6666" i="1"/>
  <c r="Q6666" i="1"/>
  <c r="R6666" i="1"/>
  <c r="E6666" i="1"/>
  <c r="G6666" i="1"/>
  <c r="H6666" i="1"/>
  <c r="J6666" i="1"/>
  <c r="K6666" i="1"/>
  <c r="L6666" i="1"/>
  <c r="A6667" i="1"/>
  <c r="B6667" i="1"/>
  <c r="C6667" i="1"/>
  <c r="D6667" i="1"/>
  <c r="Q6667" i="1"/>
  <c r="R6667" i="1"/>
  <c r="E6667" i="1"/>
  <c r="G6667" i="1"/>
  <c r="H6667" i="1"/>
  <c r="J6667" i="1"/>
  <c r="K6667" i="1"/>
  <c r="L6667" i="1"/>
  <c r="A6668" i="1"/>
  <c r="B6668" i="1"/>
  <c r="C6668" i="1"/>
  <c r="D6668" i="1"/>
  <c r="Q6668" i="1"/>
  <c r="R6668" i="1"/>
  <c r="E6668" i="1"/>
  <c r="G6668" i="1"/>
  <c r="H6668" i="1"/>
  <c r="J6668" i="1"/>
  <c r="K6668" i="1"/>
  <c r="L6668" i="1"/>
  <c r="A6669" i="1"/>
  <c r="B6669" i="1"/>
  <c r="C6669" i="1"/>
  <c r="D6669" i="1"/>
  <c r="Q6669" i="1"/>
  <c r="R6669" i="1"/>
  <c r="E6669" i="1"/>
  <c r="G6669" i="1"/>
  <c r="H6669" i="1"/>
  <c r="J6669" i="1"/>
  <c r="K6669" i="1"/>
  <c r="L6669" i="1"/>
  <c r="A6670" i="1"/>
  <c r="B6670" i="1"/>
  <c r="C6670" i="1"/>
  <c r="D6670" i="1"/>
  <c r="Q6670" i="1"/>
  <c r="R6670" i="1"/>
  <c r="E6670" i="1"/>
  <c r="G6670" i="1"/>
  <c r="H6670" i="1"/>
  <c r="J6670" i="1"/>
  <c r="K6670" i="1"/>
  <c r="L6670" i="1"/>
  <c r="A6671" i="1"/>
  <c r="B6671" i="1"/>
  <c r="C6671" i="1"/>
  <c r="D6671" i="1"/>
  <c r="Q6671" i="1"/>
  <c r="R6671" i="1"/>
  <c r="E6671" i="1"/>
  <c r="G6671" i="1"/>
  <c r="H6671" i="1"/>
  <c r="J6671" i="1"/>
  <c r="K6671" i="1"/>
  <c r="L6671" i="1"/>
  <c r="A6672" i="1"/>
  <c r="B6672" i="1"/>
  <c r="C6672" i="1"/>
  <c r="D6672" i="1"/>
  <c r="Q6672" i="1"/>
  <c r="R6672" i="1"/>
  <c r="E6672" i="1"/>
  <c r="G6672" i="1"/>
  <c r="H6672" i="1"/>
  <c r="J6672" i="1"/>
  <c r="K6672" i="1"/>
  <c r="L6672" i="1"/>
  <c r="A6705" i="1"/>
  <c r="B6705" i="1"/>
  <c r="C6705" i="1"/>
  <c r="D6705" i="1"/>
  <c r="Q6705" i="1"/>
  <c r="R6705" i="1"/>
  <c r="E6705" i="1"/>
  <c r="G6705" i="1"/>
  <c r="H6705" i="1"/>
  <c r="J6705" i="1"/>
  <c r="K6705" i="1"/>
  <c r="L6705" i="1"/>
  <c r="A6706" i="1"/>
  <c r="B6706" i="1"/>
  <c r="C6706" i="1"/>
  <c r="D6706" i="1"/>
  <c r="Q6706" i="1"/>
  <c r="R6706" i="1"/>
  <c r="E6706" i="1"/>
  <c r="G6706" i="1"/>
  <c r="H6706" i="1"/>
  <c r="J6706" i="1"/>
  <c r="K6706" i="1"/>
  <c r="L6706" i="1"/>
  <c r="A6707" i="1"/>
  <c r="B6707" i="1"/>
  <c r="C6707" i="1"/>
  <c r="D6707" i="1"/>
  <c r="Q6707" i="1"/>
  <c r="R6707" i="1"/>
  <c r="E6707" i="1"/>
  <c r="G6707" i="1"/>
  <c r="H6707" i="1"/>
  <c r="J6707" i="1"/>
  <c r="K6707" i="1"/>
  <c r="L6707" i="1"/>
  <c r="A6708" i="1"/>
  <c r="B6708" i="1"/>
  <c r="C6708" i="1"/>
  <c r="D6708" i="1"/>
  <c r="Q6708" i="1"/>
  <c r="R6708" i="1"/>
  <c r="E6708" i="1"/>
  <c r="G6708" i="1"/>
  <c r="H6708" i="1"/>
  <c r="J6708" i="1"/>
  <c r="K6708" i="1"/>
  <c r="L6708" i="1"/>
  <c r="A6709" i="1"/>
  <c r="B6709" i="1"/>
  <c r="C6709" i="1"/>
  <c r="D6709" i="1"/>
  <c r="Q6709" i="1"/>
  <c r="R6709" i="1"/>
  <c r="E6709" i="1"/>
  <c r="G6709" i="1"/>
  <c r="H6709" i="1"/>
  <c r="J6709" i="1"/>
  <c r="K6709" i="1"/>
  <c r="L6709" i="1"/>
  <c r="A6710" i="1"/>
  <c r="B6710" i="1"/>
  <c r="C6710" i="1"/>
  <c r="D6710" i="1"/>
  <c r="Q6710" i="1"/>
  <c r="R6710" i="1"/>
  <c r="E6710" i="1"/>
  <c r="G6710" i="1"/>
  <c r="H6710" i="1"/>
  <c r="J6710" i="1"/>
  <c r="K6710" i="1"/>
  <c r="L6710" i="1"/>
  <c r="A6711" i="1"/>
  <c r="B6711" i="1"/>
  <c r="C6711" i="1"/>
  <c r="D6711" i="1"/>
  <c r="Q6711" i="1"/>
  <c r="R6711" i="1"/>
  <c r="E6711" i="1"/>
  <c r="G6711" i="1"/>
  <c r="H6711" i="1"/>
  <c r="J6711" i="1"/>
  <c r="K6711" i="1"/>
  <c r="L6711" i="1"/>
  <c r="A6712" i="1"/>
  <c r="B6712" i="1"/>
  <c r="C6712" i="1"/>
  <c r="D6712" i="1"/>
  <c r="Q6712" i="1"/>
  <c r="R6712" i="1"/>
  <c r="E6712" i="1"/>
  <c r="G6712" i="1"/>
  <c r="H6712" i="1"/>
  <c r="J6712" i="1"/>
  <c r="K6712" i="1"/>
  <c r="L6712" i="1"/>
  <c r="A6713" i="1"/>
  <c r="B6713" i="1"/>
  <c r="C6713" i="1"/>
  <c r="D6713" i="1"/>
  <c r="Q6713" i="1"/>
  <c r="R6713" i="1"/>
  <c r="E6713" i="1"/>
  <c r="G6713" i="1"/>
  <c r="H6713" i="1"/>
  <c r="J6713" i="1"/>
  <c r="K6713" i="1"/>
  <c r="L6713" i="1"/>
  <c r="A6714" i="1"/>
  <c r="B6714" i="1"/>
  <c r="C6714" i="1"/>
  <c r="D6714" i="1"/>
  <c r="Q6714" i="1"/>
  <c r="R6714" i="1"/>
  <c r="E6714" i="1"/>
  <c r="G6714" i="1"/>
  <c r="H6714" i="1"/>
  <c r="J6714" i="1"/>
  <c r="K6714" i="1"/>
  <c r="L6714" i="1"/>
  <c r="A5723" i="1"/>
  <c r="B5723" i="1"/>
  <c r="C5723" i="1"/>
  <c r="D5723" i="1"/>
  <c r="Q5723" i="1"/>
  <c r="R5723" i="1"/>
  <c r="E5723" i="1"/>
  <c r="G5723" i="1"/>
  <c r="H5723" i="1"/>
  <c r="J5723" i="1"/>
  <c r="K5723" i="1"/>
  <c r="L5723" i="1"/>
  <c r="A5724" i="1"/>
  <c r="B5724" i="1"/>
  <c r="C5724" i="1"/>
  <c r="D5724" i="1"/>
  <c r="Q5724" i="1"/>
  <c r="R5724" i="1"/>
  <c r="E5724" i="1"/>
  <c r="G5724" i="1"/>
  <c r="H5724" i="1"/>
  <c r="J5724" i="1"/>
  <c r="K5724" i="1"/>
  <c r="L5724" i="1"/>
  <c r="A5725" i="1"/>
  <c r="B5725" i="1"/>
  <c r="C5725" i="1"/>
  <c r="D5725" i="1"/>
  <c r="Q5725" i="1"/>
  <c r="R5725" i="1"/>
  <c r="E5725" i="1"/>
  <c r="G5725" i="1"/>
  <c r="H5725" i="1"/>
  <c r="J5725" i="1"/>
  <c r="K5725" i="1"/>
  <c r="L5725" i="1"/>
  <c r="A5726" i="1"/>
  <c r="B5726" i="1"/>
  <c r="C5726" i="1"/>
  <c r="D5726" i="1"/>
  <c r="Q5726" i="1"/>
  <c r="R5726" i="1"/>
  <c r="E5726" i="1"/>
  <c r="G5726" i="1"/>
  <c r="H5726" i="1"/>
  <c r="J5726" i="1"/>
  <c r="K5726" i="1"/>
  <c r="L5726" i="1"/>
  <c r="A5727" i="1"/>
  <c r="B5727" i="1"/>
  <c r="C5727" i="1"/>
  <c r="D5727" i="1"/>
  <c r="Q5727" i="1"/>
  <c r="R5727" i="1"/>
  <c r="E5727" i="1"/>
  <c r="G5727" i="1"/>
  <c r="H5727" i="1"/>
  <c r="J5727" i="1"/>
  <c r="K5727" i="1"/>
  <c r="L5727" i="1"/>
  <c r="A5728" i="1"/>
  <c r="B5728" i="1"/>
  <c r="C5728" i="1"/>
  <c r="D5728" i="1"/>
  <c r="Q5728" i="1"/>
  <c r="R5728" i="1"/>
  <c r="E5728" i="1"/>
  <c r="G5728" i="1"/>
  <c r="H5728" i="1"/>
  <c r="J5728" i="1"/>
  <c r="K5728" i="1"/>
  <c r="L5728" i="1"/>
  <c r="A5729" i="1"/>
  <c r="B5729" i="1"/>
  <c r="C5729" i="1"/>
  <c r="D5729" i="1"/>
  <c r="Q5729" i="1"/>
  <c r="R5729" i="1"/>
  <c r="E5729" i="1"/>
  <c r="G5729" i="1"/>
  <c r="H5729" i="1"/>
  <c r="J5729" i="1"/>
  <c r="K5729" i="1"/>
  <c r="L5729" i="1"/>
  <c r="A5730" i="1"/>
  <c r="B5730" i="1"/>
  <c r="C5730" i="1"/>
  <c r="D5730" i="1"/>
  <c r="Q5730" i="1"/>
  <c r="R5730" i="1"/>
  <c r="E5730" i="1"/>
  <c r="G5730" i="1"/>
  <c r="H5730" i="1"/>
  <c r="J5730" i="1"/>
  <c r="K5730" i="1"/>
  <c r="L5730" i="1"/>
  <c r="A5731" i="1"/>
  <c r="B5731" i="1"/>
  <c r="C5731" i="1"/>
  <c r="D5731" i="1"/>
  <c r="Q5731" i="1"/>
  <c r="R5731" i="1"/>
  <c r="E5731" i="1"/>
  <c r="G5731" i="1"/>
  <c r="H5731" i="1"/>
  <c r="J5731" i="1"/>
  <c r="K5731" i="1"/>
  <c r="L5731" i="1"/>
  <c r="A5732" i="1"/>
  <c r="B5732" i="1"/>
  <c r="C5732" i="1"/>
  <c r="D5732" i="1"/>
  <c r="Q5732" i="1"/>
  <c r="R5732" i="1"/>
  <c r="E5732" i="1"/>
  <c r="G5732" i="1"/>
  <c r="H5732" i="1"/>
  <c r="J5732" i="1"/>
  <c r="K5732" i="1"/>
  <c r="L5732" i="1"/>
  <c r="A5733" i="1"/>
  <c r="B5733" i="1"/>
  <c r="C5733" i="1"/>
  <c r="D5733" i="1"/>
  <c r="Q5733" i="1"/>
  <c r="R5733" i="1"/>
  <c r="E5733" i="1"/>
  <c r="G5733" i="1"/>
  <c r="H5733" i="1"/>
  <c r="J5733" i="1"/>
  <c r="K5733" i="1"/>
  <c r="L5733" i="1"/>
  <c r="A5734" i="1"/>
  <c r="B5734" i="1"/>
  <c r="C5734" i="1"/>
  <c r="D5734" i="1"/>
  <c r="Q5734" i="1"/>
  <c r="R5734" i="1"/>
  <c r="E5734" i="1"/>
  <c r="G5734" i="1"/>
  <c r="H5734" i="1"/>
  <c r="J5734" i="1"/>
  <c r="K5734" i="1"/>
  <c r="L5734" i="1"/>
  <c r="A5735" i="1"/>
  <c r="B5735" i="1"/>
  <c r="C5735" i="1"/>
  <c r="D5735" i="1"/>
  <c r="Q5735" i="1"/>
  <c r="R5735" i="1"/>
  <c r="E5735" i="1"/>
  <c r="G5735" i="1"/>
  <c r="H5735" i="1"/>
  <c r="J5735" i="1"/>
  <c r="K5735" i="1"/>
  <c r="L5735" i="1"/>
  <c r="A5736" i="1"/>
  <c r="B5736" i="1"/>
  <c r="C5736" i="1"/>
  <c r="D5736" i="1"/>
  <c r="Q5736" i="1"/>
  <c r="R5736" i="1"/>
  <c r="E5736" i="1"/>
  <c r="G5736" i="1"/>
  <c r="H5736" i="1"/>
  <c r="J5736" i="1"/>
  <c r="K5736" i="1"/>
  <c r="L5736" i="1"/>
  <c r="A5737" i="1"/>
  <c r="B5737" i="1"/>
  <c r="C5737" i="1"/>
  <c r="D5737" i="1"/>
  <c r="Q5737" i="1"/>
  <c r="R5737" i="1"/>
  <c r="E5737" i="1"/>
  <c r="G5737" i="1"/>
  <c r="H5737" i="1"/>
  <c r="J5737" i="1"/>
  <c r="K5737" i="1"/>
  <c r="L5737" i="1"/>
  <c r="A5738" i="1"/>
  <c r="B5738" i="1"/>
  <c r="C5738" i="1"/>
  <c r="D5738" i="1"/>
  <c r="Q5738" i="1"/>
  <c r="R5738" i="1"/>
  <c r="E5738" i="1"/>
  <c r="G5738" i="1"/>
  <c r="H5738" i="1"/>
  <c r="J5738" i="1"/>
  <c r="K5738" i="1"/>
  <c r="L5738" i="1"/>
  <c r="A5739" i="1"/>
  <c r="B5739" i="1"/>
  <c r="C5739" i="1"/>
  <c r="D5739" i="1"/>
  <c r="Q5739" i="1"/>
  <c r="R5739" i="1"/>
  <c r="E5739" i="1"/>
  <c r="G5739" i="1"/>
  <c r="H5739" i="1"/>
  <c r="J5739" i="1"/>
  <c r="K5739" i="1"/>
  <c r="L5739" i="1"/>
  <c r="A5740" i="1"/>
  <c r="B5740" i="1"/>
  <c r="C5740" i="1"/>
  <c r="D5740" i="1"/>
  <c r="Q5740" i="1"/>
  <c r="R5740" i="1"/>
  <c r="E5740" i="1"/>
  <c r="G5740" i="1"/>
  <c r="H5740" i="1"/>
  <c r="J5740" i="1"/>
  <c r="K5740" i="1"/>
  <c r="L5740" i="1"/>
  <c r="A5741" i="1"/>
  <c r="B5741" i="1"/>
  <c r="C5741" i="1"/>
  <c r="D5741" i="1"/>
  <c r="Q5741" i="1"/>
  <c r="R5741" i="1"/>
  <c r="E5741" i="1"/>
  <c r="G5741" i="1"/>
  <c r="H5741" i="1"/>
  <c r="J5741" i="1"/>
  <c r="K5741" i="1"/>
  <c r="L5741" i="1"/>
  <c r="A5742" i="1"/>
  <c r="B5742" i="1"/>
  <c r="C5742" i="1"/>
  <c r="D5742" i="1"/>
  <c r="Q5742" i="1"/>
  <c r="R5742" i="1"/>
  <c r="E5742" i="1"/>
  <c r="G5742" i="1"/>
  <c r="H5742" i="1"/>
  <c r="J5742" i="1"/>
  <c r="K5742" i="1"/>
  <c r="L5742" i="1"/>
  <c r="A5743" i="1"/>
  <c r="B5743" i="1"/>
  <c r="C5743" i="1"/>
  <c r="D5743" i="1"/>
  <c r="Q5743" i="1"/>
  <c r="R5743" i="1"/>
  <c r="E5743" i="1"/>
  <c r="G5743" i="1"/>
  <c r="H5743" i="1"/>
  <c r="J5743" i="1"/>
  <c r="K5743" i="1"/>
  <c r="L5743" i="1"/>
  <c r="A5744" i="1"/>
  <c r="B5744" i="1"/>
  <c r="C5744" i="1"/>
  <c r="D5744" i="1"/>
  <c r="Q5744" i="1"/>
  <c r="R5744" i="1"/>
  <c r="E5744" i="1"/>
  <c r="G5744" i="1"/>
  <c r="H5744" i="1"/>
  <c r="J5744" i="1"/>
  <c r="K5744" i="1"/>
  <c r="L5744" i="1"/>
  <c r="A5745" i="1"/>
  <c r="B5745" i="1"/>
  <c r="C5745" i="1"/>
  <c r="D5745" i="1"/>
  <c r="Q5745" i="1"/>
  <c r="R5745" i="1"/>
  <c r="E5745" i="1"/>
  <c r="G5745" i="1"/>
  <c r="H5745" i="1"/>
  <c r="J5745" i="1"/>
  <c r="K5745" i="1"/>
  <c r="L5745" i="1"/>
  <c r="A5746" i="1"/>
  <c r="B5746" i="1"/>
  <c r="C5746" i="1"/>
  <c r="D5746" i="1"/>
  <c r="Q5746" i="1"/>
  <c r="R5746" i="1"/>
  <c r="E5746" i="1"/>
  <c r="G5746" i="1"/>
  <c r="H5746" i="1"/>
  <c r="J5746" i="1"/>
  <c r="K5746" i="1"/>
  <c r="L5746" i="1"/>
  <c r="A5747" i="1"/>
  <c r="B5747" i="1"/>
  <c r="C5747" i="1"/>
  <c r="D5747" i="1"/>
  <c r="Q5747" i="1"/>
  <c r="R5747" i="1"/>
  <c r="E5747" i="1"/>
  <c r="G5747" i="1"/>
  <c r="H5747" i="1"/>
  <c r="J5747" i="1"/>
  <c r="K5747" i="1"/>
  <c r="L5747" i="1"/>
  <c r="A5748" i="1"/>
  <c r="B5748" i="1"/>
  <c r="C5748" i="1"/>
  <c r="D5748" i="1"/>
  <c r="Q5748" i="1"/>
  <c r="R5748" i="1"/>
  <c r="E5748" i="1"/>
  <c r="G5748" i="1"/>
  <c r="H5748" i="1"/>
  <c r="J5748" i="1"/>
  <c r="K5748" i="1"/>
  <c r="L5748" i="1"/>
  <c r="A5749" i="1"/>
  <c r="B5749" i="1"/>
  <c r="C5749" i="1"/>
  <c r="D5749" i="1"/>
  <c r="Q5749" i="1"/>
  <c r="R5749" i="1"/>
  <c r="E5749" i="1"/>
  <c r="G5749" i="1"/>
  <c r="H5749" i="1"/>
  <c r="J5749" i="1"/>
  <c r="K5749" i="1"/>
  <c r="L5749" i="1"/>
  <c r="A5750" i="1"/>
  <c r="B5750" i="1"/>
  <c r="C5750" i="1"/>
  <c r="D5750" i="1"/>
  <c r="Q5750" i="1"/>
  <c r="R5750" i="1"/>
  <c r="E5750" i="1"/>
  <c r="G5750" i="1"/>
  <c r="H5750" i="1"/>
  <c r="J5750" i="1"/>
  <c r="K5750" i="1"/>
  <c r="L5750" i="1"/>
  <c r="A5751" i="1"/>
  <c r="B5751" i="1"/>
  <c r="C5751" i="1"/>
  <c r="D5751" i="1"/>
  <c r="Q5751" i="1"/>
  <c r="R5751" i="1"/>
  <c r="E5751" i="1"/>
  <c r="G5751" i="1"/>
  <c r="H5751" i="1"/>
  <c r="J5751" i="1"/>
  <c r="K5751" i="1"/>
  <c r="L5751" i="1"/>
  <c r="A5752" i="1"/>
  <c r="B5752" i="1"/>
  <c r="C5752" i="1"/>
  <c r="D5752" i="1"/>
  <c r="Q5752" i="1"/>
  <c r="R5752" i="1"/>
  <c r="E5752" i="1"/>
  <c r="G5752" i="1"/>
  <c r="H5752" i="1"/>
  <c r="J5752" i="1"/>
  <c r="K5752" i="1"/>
  <c r="L5752" i="1"/>
  <c r="A5753" i="1"/>
  <c r="B5753" i="1"/>
  <c r="C5753" i="1"/>
  <c r="D5753" i="1"/>
  <c r="Q5753" i="1"/>
  <c r="R5753" i="1"/>
  <c r="E5753" i="1"/>
  <c r="G5753" i="1"/>
  <c r="H5753" i="1"/>
  <c r="J5753" i="1"/>
  <c r="K5753" i="1"/>
  <c r="L5753" i="1"/>
  <c r="A5754" i="1"/>
  <c r="B5754" i="1"/>
  <c r="C5754" i="1"/>
  <c r="D5754" i="1"/>
  <c r="Q5754" i="1"/>
  <c r="R5754" i="1"/>
  <c r="E5754" i="1"/>
  <c r="G5754" i="1"/>
  <c r="H5754" i="1"/>
  <c r="J5754" i="1"/>
  <c r="K5754" i="1"/>
  <c r="L5754" i="1"/>
  <c r="A5755" i="1"/>
  <c r="B5755" i="1"/>
  <c r="C5755" i="1"/>
  <c r="D5755" i="1"/>
  <c r="Q5755" i="1"/>
  <c r="R5755" i="1"/>
  <c r="E5755" i="1"/>
  <c r="G5755" i="1"/>
  <c r="H5755" i="1"/>
  <c r="J5755" i="1"/>
  <c r="K5755" i="1"/>
  <c r="L5755" i="1"/>
  <c r="A5756" i="1"/>
  <c r="B5756" i="1"/>
  <c r="C5756" i="1"/>
  <c r="D5756" i="1"/>
  <c r="Q5756" i="1"/>
  <c r="R5756" i="1"/>
  <c r="E5756" i="1"/>
  <c r="G5756" i="1"/>
  <c r="H5756" i="1"/>
  <c r="J5756" i="1"/>
  <c r="K5756" i="1"/>
  <c r="L5756" i="1"/>
  <c r="A5757" i="1"/>
  <c r="B5757" i="1"/>
  <c r="C5757" i="1"/>
  <c r="D5757" i="1"/>
  <c r="Q5757" i="1"/>
  <c r="R5757" i="1"/>
  <c r="E5757" i="1"/>
  <c r="G5757" i="1"/>
  <c r="H5757" i="1"/>
  <c r="J5757" i="1"/>
  <c r="K5757" i="1"/>
  <c r="L5757" i="1"/>
  <c r="A5758" i="1"/>
  <c r="B5758" i="1"/>
  <c r="C5758" i="1"/>
  <c r="D5758" i="1"/>
  <c r="Q5758" i="1"/>
  <c r="R5758" i="1"/>
  <c r="E5758" i="1"/>
  <c r="G5758" i="1"/>
  <c r="H5758" i="1"/>
  <c r="J5758" i="1"/>
  <c r="K5758" i="1"/>
  <c r="L5758" i="1"/>
  <c r="A5759" i="1"/>
  <c r="B5759" i="1"/>
  <c r="C5759" i="1"/>
  <c r="D5759" i="1"/>
  <c r="Q5759" i="1"/>
  <c r="R5759" i="1"/>
  <c r="E5759" i="1"/>
  <c r="G5759" i="1"/>
  <c r="H5759" i="1"/>
  <c r="J5759" i="1"/>
  <c r="K5759" i="1"/>
  <c r="L5759" i="1"/>
  <c r="A5760" i="1"/>
  <c r="B5760" i="1"/>
  <c r="C5760" i="1"/>
  <c r="D5760" i="1"/>
  <c r="Q5760" i="1"/>
  <c r="R5760" i="1"/>
  <c r="E5760" i="1"/>
  <c r="G5760" i="1"/>
  <c r="H5760" i="1"/>
  <c r="J5760" i="1"/>
  <c r="K5760" i="1"/>
  <c r="L5760" i="1"/>
  <c r="A5761" i="1"/>
  <c r="B5761" i="1"/>
  <c r="C5761" i="1"/>
  <c r="D5761" i="1"/>
  <c r="Q5761" i="1"/>
  <c r="R5761" i="1"/>
  <c r="E5761" i="1"/>
  <c r="G5761" i="1"/>
  <c r="H5761" i="1"/>
  <c r="J5761" i="1"/>
  <c r="K5761" i="1"/>
  <c r="L5761" i="1"/>
  <c r="A5762" i="1"/>
  <c r="B5762" i="1"/>
  <c r="C5762" i="1"/>
  <c r="D5762" i="1"/>
  <c r="Q5762" i="1"/>
  <c r="R5762" i="1"/>
  <c r="E5762" i="1"/>
  <c r="G5762" i="1"/>
  <c r="H5762" i="1"/>
  <c r="J5762" i="1"/>
  <c r="K5762" i="1"/>
  <c r="L5762" i="1"/>
  <c r="A5763" i="1"/>
  <c r="B5763" i="1"/>
  <c r="C5763" i="1"/>
  <c r="D5763" i="1"/>
  <c r="Q5763" i="1"/>
  <c r="R5763" i="1"/>
  <c r="E5763" i="1"/>
  <c r="G5763" i="1"/>
  <c r="H5763" i="1"/>
  <c r="J5763" i="1"/>
  <c r="K5763" i="1"/>
  <c r="L5763" i="1"/>
  <c r="A5764" i="1"/>
  <c r="B5764" i="1"/>
  <c r="C5764" i="1"/>
  <c r="D5764" i="1"/>
  <c r="Q5764" i="1"/>
  <c r="R5764" i="1"/>
  <c r="E5764" i="1"/>
  <c r="G5764" i="1"/>
  <c r="H5764" i="1"/>
  <c r="J5764" i="1"/>
  <c r="K5764" i="1"/>
  <c r="L5764" i="1"/>
  <c r="A5765" i="1"/>
  <c r="B5765" i="1"/>
  <c r="C5765" i="1"/>
  <c r="D5765" i="1"/>
  <c r="Q5765" i="1"/>
  <c r="R5765" i="1"/>
  <c r="E5765" i="1"/>
  <c r="G5765" i="1"/>
  <c r="H5765" i="1"/>
  <c r="J5765" i="1"/>
  <c r="K5765" i="1"/>
  <c r="L5765" i="1"/>
  <c r="A5766" i="1"/>
  <c r="B5766" i="1"/>
  <c r="C5766" i="1"/>
  <c r="D5766" i="1"/>
  <c r="Q5766" i="1"/>
  <c r="R5766" i="1"/>
  <c r="E5766" i="1"/>
  <c r="G5766" i="1"/>
  <c r="H5766" i="1"/>
  <c r="J5766" i="1"/>
  <c r="K5766" i="1"/>
  <c r="L5766" i="1"/>
  <c r="A5767" i="1"/>
  <c r="B5767" i="1"/>
  <c r="C5767" i="1"/>
  <c r="D5767" i="1"/>
  <c r="Q5767" i="1"/>
  <c r="R5767" i="1"/>
  <c r="E5767" i="1"/>
  <c r="G5767" i="1"/>
  <c r="H5767" i="1"/>
  <c r="J5767" i="1"/>
  <c r="K5767" i="1"/>
  <c r="L5767" i="1"/>
  <c r="A5768" i="1"/>
  <c r="B5768" i="1"/>
  <c r="C5768" i="1"/>
  <c r="D5768" i="1"/>
  <c r="Q5768" i="1"/>
  <c r="R5768" i="1"/>
  <c r="E5768" i="1"/>
  <c r="G5768" i="1"/>
  <c r="H5768" i="1"/>
  <c r="J5768" i="1"/>
  <c r="K5768" i="1"/>
  <c r="L5768" i="1"/>
  <c r="A5769" i="1"/>
  <c r="B5769" i="1"/>
  <c r="C5769" i="1"/>
  <c r="D5769" i="1"/>
  <c r="Q5769" i="1"/>
  <c r="R5769" i="1"/>
  <c r="E5769" i="1"/>
  <c r="G5769" i="1"/>
  <c r="H5769" i="1"/>
  <c r="J5769" i="1"/>
  <c r="K5769" i="1"/>
  <c r="L5769" i="1"/>
  <c r="A5770" i="1"/>
  <c r="B5770" i="1"/>
  <c r="C5770" i="1"/>
  <c r="D5770" i="1"/>
  <c r="Q5770" i="1"/>
  <c r="R5770" i="1"/>
  <c r="E5770" i="1"/>
  <c r="G5770" i="1"/>
  <c r="H5770" i="1"/>
  <c r="J5770" i="1"/>
  <c r="K5770" i="1"/>
  <c r="L5770" i="1"/>
  <c r="A5771" i="1"/>
  <c r="B5771" i="1"/>
  <c r="C5771" i="1"/>
  <c r="D5771" i="1"/>
  <c r="Q5771" i="1"/>
  <c r="R5771" i="1"/>
  <c r="E5771" i="1"/>
  <c r="G5771" i="1"/>
  <c r="H5771" i="1"/>
  <c r="J5771" i="1"/>
  <c r="K5771" i="1"/>
  <c r="L5771" i="1"/>
  <c r="A5772" i="1"/>
  <c r="B5772" i="1"/>
  <c r="C5772" i="1"/>
  <c r="D5772" i="1"/>
  <c r="Q5772" i="1"/>
  <c r="R5772" i="1"/>
  <c r="E5772" i="1"/>
  <c r="G5772" i="1"/>
  <c r="H5772" i="1"/>
  <c r="J5772" i="1"/>
  <c r="K5772" i="1"/>
  <c r="L5772" i="1"/>
  <c r="A5773" i="1"/>
  <c r="B5773" i="1"/>
  <c r="C5773" i="1"/>
  <c r="D5773" i="1"/>
  <c r="Q5773" i="1"/>
  <c r="R5773" i="1"/>
  <c r="E5773" i="1"/>
  <c r="G5773" i="1"/>
  <c r="H5773" i="1"/>
  <c r="J5773" i="1"/>
  <c r="K5773" i="1"/>
  <c r="L5773" i="1"/>
  <c r="A5774" i="1"/>
  <c r="B5774" i="1"/>
  <c r="C5774" i="1"/>
  <c r="D5774" i="1"/>
  <c r="Q5774" i="1"/>
  <c r="R5774" i="1"/>
  <c r="E5774" i="1"/>
  <c r="G5774" i="1"/>
  <c r="H5774" i="1"/>
  <c r="J5774" i="1"/>
  <c r="K5774" i="1"/>
  <c r="L5774" i="1"/>
  <c r="A5775" i="1"/>
  <c r="B5775" i="1"/>
  <c r="C5775" i="1"/>
  <c r="D5775" i="1"/>
  <c r="Q5775" i="1"/>
  <c r="R5775" i="1"/>
  <c r="E5775" i="1"/>
  <c r="G5775" i="1"/>
  <c r="H5775" i="1"/>
  <c r="J5775" i="1"/>
  <c r="K5775" i="1"/>
  <c r="L5775" i="1"/>
  <c r="A5776" i="1"/>
  <c r="B5776" i="1"/>
  <c r="C5776" i="1"/>
  <c r="D5776" i="1"/>
  <c r="Q5776" i="1"/>
  <c r="R5776" i="1"/>
  <c r="E5776" i="1"/>
  <c r="G5776" i="1"/>
  <c r="H5776" i="1"/>
  <c r="J5776" i="1"/>
  <c r="K5776" i="1"/>
  <c r="L5776" i="1"/>
  <c r="A5777" i="1"/>
  <c r="B5777" i="1"/>
  <c r="C5777" i="1"/>
  <c r="D5777" i="1"/>
  <c r="Q5777" i="1"/>
  <c r="R5777" i="1"/>
  <c r="E5777" i="1"/>
  <c r="G5777" i="1"/>
  <c r="H5777" i="1"/>
  <c r="J5777" i="1"/>
  <c r="K5777" i="1"/>
  <c r="L5777" i="1"/>
  <c r="A5778" i="1"/>
  <c r="B5778" i="1"/>
  <c r="C5778" i="1"/>
  <c r="D5778" i="1"/>
  <c r="Q5778" i="1"/>
  <c r="R5778" i="1"/>
  <c r="E5778" i="1"/>
  <c r="G5778" i="1"/>
  <c r="H5778" i="1"/>
  <c r="J5778" i="1"/>
  <c r="K5778" i="1"/>
  <c r="L5778" i="1"/>
  <c r="A5779" i="1"/>
  <c r="B5779" i="1"/>
  <c r="C5779" i="1"/>
  <c r="D5779" i="1"/>
  <c r="Q5779" i="1"/>
  <c r="R5779" i="1"/>
  <c r="E5779" i="1"/>
  <c r="G5779" i="1"/>
  <c r="H5779" i="1"/>
  <c r="J5779" i="1"/>
  <c r="K5779" i="1"/>
  <c r="L5779" i="1"/>
  <c r="A5780" i="1"/>
  <c r="B5780" i="1"/>
  <c r="C5780" i="1"/>
  <c r="D5780" i="1"/>
  <c r="Q5780" i="1"/>
  <c r="R5780" i="1"/>
  <c r="E5780" i="1"/>
  <c r="G5780" i="1"/>
  <c r="H5780" i="1"/>
  <c r="J5780" i="1"/>
  <c r="K5780" i="1"/>
  <c r="L5780" i="1"/>
  <c r="A5781" i="1"/>
  <c r="B5781" i="1"/>
  <c r="C5781" i="1"/>
  <c r="D5781" i="1"/>
  <c r="Q5781" i="1"/>
  <c r="R5781" i="1"/>
  <c r="E5781" i="1"/>
  <c r="G5781" i="1"/>
  <c r="H5781" i="1"/>
  <c r="J5781" i="1"/>
  <c r="K5781" i="1"/>
  <c r="L5781" i="1"/>
  <c r="A5782" i="1"/>
  <c r="B5782" i="1"/>
  <c r="C5782" i="1"/>
  <c r="D5782" i="1"/>
  <c r="Q5782" i="1"/>
  <c r="R5782" i="1"/>
  <c r="E5782" i="1"/>
  <c r="G5782" i="1"/>
  <c r="H5782" i="1"/>
  <c r="J5782" i="1"/>
  <c r="K5782" i="1"/>
  <c r="L5782" i="1"/>
  <c r="A5783" i="1"/>
  <c r="B5783" i="1"/>
  <c r="C5783" i="1"/>
  <c r="D5783" i="1"/>
  <c r="Q5783" i="1"/>
  <c r="R5783" i="1"/>
  <c r="E5783" i="1"/>
  <c r="G5783" i="1"/>
  <c r="H5783" i="1"/>
  <c r="J5783" i="1"/>
  <c r="K5783" i="1"/>
  <c r="L5783" i="1"/>
  <c r="A5784" i="1"/>
  <c r="B5784" i="1"/>
  <c r="C5784" i="1"/>
  <c r="D5784" i="1"/>
  <c r="Q5784" i="1"/>
  <c r="R5784" i="1"/>
  <c r="E5784" i="1"/>
  <c r="G5784" i="1"/>
  <c r="H5784" i="1"/>
  <c r="J5784" i="1"/>
  <c r="K5784" i="1"/>
  <c r="L5784" i="1"/>
  <c r="A5785" i="1"/>
  <c r="B5785" i="1"/>
  <c r="C5785" i="1"/>
  <c r="D5785" i="1"/>
  <c r="Q5785" i="1"/>
  <c r="R5785" i="1"/>
  <c r="E5785" i="1"/>
  <c r="G5785" i="1"/>
  <c r="H5785" i="1"/>
  <c r="J5785" i="1"/>
  <c r="K5785" i="1"/>
  <c r="L5785" i="1"/>
  <c r="A5786" i="1"/>
  <c r="B5786" i="1"/>
  <c r="C5786" i="1"/>
  <c r="D5786" i="1"/>
  <c r="Q5786" i="1"/>
  <c r="R5786" i="1"/>
  <c r="E5786" i="1"/>
  <c r="G5786" i="1"/>
  <c r="H5786" i="1"/>
  <c r="J5786" i="1"/>
  <c r="K5786" i="1"/>
  <c r="L5786" i="1"/>
  <c r="A5787" i="1"/>
  <c r="B5787" i="1"/>
  <c r="C5787" i="1"/>
  <c r="D5787" i="1"/>
  <c r="Q5787" i="1"/>
  <c r="R5787" i="1"/>
  <c r="E5787" i="1"/>
  <c r="G5787" i="1"/>
  <c r="H5787" i="1"/>
  <c r="J5787" i="1"/>
  <c r="K5787" i="1"/>
  <c r="L5787" i="1"/>
  <c r="A5788" i="1"/>
  <c r="B5788" i="1"/>
  <c r="C5788" i="1"/>
  <c r="D5788" i="1"/>
  <c r="Q5788" i="1"/>
  <c r="R5788" i="1"/>
  <c r="E5788" i="1"/>
  <c r="G5788" i="1"/>
  <c r="H5788" i="1"/>
  <c r="J5788" i="1"/>
  <c r="K5788" i="1"/>
  <c r="L5788" i="1"/>
  <c r="A5789" i="1"/>
  <c r="B5789" i="1"/>
  <c r="C5789" i="1"/>
  <c r="D5789" i="1"/>
  <c r="Q5789" i="1"/>
  <c r="R5789" i="1"/>
  <c r="E5789" i="1"/>
  <c r="G5789" i="1"/>
  <c r="H5789" i="1"/>
  <c r="J5789" i="1"/>
  <c r="K5789" i="1"/>
  <c r="L5789" i="1"/>
  <c r="A5790" i="1"/>
  <c r="B5790" i="1"/>
  <c r="C5790" i="1"/>
  <c r="D5790" i="1"/>
  <c r="Q5790" i="1"/>
  <c r="R5790" i="1"/>
  <c r="E5790" i="1"/>
  <c r="G5790" i="1"/>
  <c r="H5790" i="1"/>
  <c r="J5790" i="1"/>
  <c r="K5790" i="1"/>
  <c r="L5790" i="1"/>
  <c r="A5791" i="1"/>
  <c r="B5791" i="1"/>
  <c r="C5791" i="1"/>
  <c r="D5791" i="1"/>
  <c r="Q5791" i="1"/>
  <c r="R5791" i="1"/>
  <c r="E5791" i="1"/>
  <c r="G5791" i="1"/>
  <c r="H5791" i="1"/>
  <c r="J5791" i="1"/>
  <c r="K5791" i="1"/>
  <c r="L5791" i="1"/>
  <c r="A5792" i="1"/>
  <c r="B5792" i="1"/>
  <c r="C5792" i="1"/>
  <c r="D5792" i="1"/>
  <c r="Q5792" i="1"/>
  <c r="R5792" i="1"/>
  <c r="E5792" i="1"/>
  <c r="G5792" i="1"/>
  <c r="H5792" i="1"/>
  <c r="J5792" i="1"/>
  <c r="K5792" i="1"/>
  <c r="L5792" i="1"/>
  <c r="A5793" i="1"/>
  <c r="B5793" i="1"/>
  <c r="C5793" i="1"/>
  <c r="D5793" i="1"/>
  <c r="Q5793" i="1"/>
  <c r="R5793" i="1"/>
  <c r="E5793" i="1"/>
  <c r="G5793" i="1"/>
  <c r="H5793" i="1"/>
  <c r="J5793" i="1"/>
  <c r="K5793" i="1"/>
  <c r="L5793" i="1"/>
  <c r="A5794" i="1"/>
  <c r="B5794" i="1"/>
  <c r="C5794" i="1"/>
  <c r="D5794" i="1"/>
  <c r="Q5794" i="1"/>
  <c r="R5794" i="1"/>
  <c r="E5794" i="1"/>
  <c r="G5794" i="1"/>
  <c r="H5794" i="1"/>
  <c r="J5794" i="1"/>
  <c r="K5794" i="1"/>
  <c r="L5794" i="1"/>
  <c r="A5795" i="1"/>
  <c r="B5795" i="1"/>
  <c r="C5795" i="1"/>
  <c r="D5795" i="1"/>
  <c r="Q5795" i="1"/>
  <c r="R5795" i="1"/>
  <c r="E5795" i="1"/>
  <c r="G5795" i="1"/>
  <c r="H5795" i="1"/>
  <c r="J5795" i="1"/>
  <c r="K5795" i="1"/>
  <c r="L5795" i="1"/>
  <c r="A5796" i="1"/>
  <c r="B5796" i="1"/>
  <c r="C5796" i="1"/>
  <c r="D5796" i="1"/>
  <c r="Q5796" i="1"/>
  <c r="R5796" i="1"/>
  <c r="E5796" i="1"/>
  <c r="G5796" i="1"/>
  <c r="H5796" i="1"/>
  <c r="J5796" i="1"/>
  <c r="K5796" i="1"/>
  <c r="L5796" i="1"/>
  <c r="A5797" i="1"/>
  <c r="B5797" i="1"/>
  <c r="C5797" i="1"/>
  <c r="D5797" i="1"/>
  <c r="Q5797" i="1"/>
  <c r="R5797" i="1"/>
  <c r="E5797" i="1"/>
  <c r="G5797" i="1"/>
  <c r="H5797" i="1"/>
  <c r="J5797" i="1"/>
  <c r="K5797" i="1"/>
  <c r="L5797" i="1"/>
  <c r="A5798" i="1"/>
  <c r="B5798" i="1"/>
  <c r="C5798" i="1"/>
  <c r="D5798" i="1"/>
  <c r="Q5798" i="1"/>
  <c r="R5798" i="1"/>
  <c r="E5798" i="1"/>
  <c r="G5798" i="1"/>
  <c r="H5798" i="1"/>
  <c r="J5798" i="1"/>
  <c r="K5798" i="1"/>
  <c r="L5798" i="1"/>
  <c r="A5799" i="1"/>
  <c r="B5799" i="1"/>
  <c r="C5799" i="1"/>
  <c r="D5799" i="1"/>
  <c r="Q5799" i="1"/>
  <c r="R5799" i="1"/>
  <c r="E5799" i="1"/>
  <c r="G5799" i="1"/>
  <c r="H5799" i="1"/>
  <c r="J5799" i="1"/>
  <c r="K5799" i="1"/>
  <c r="L5799" i="1"/>
  <c r="A5800" i="1"/>
  <c r="B5800" i="1"/>
  <c r="C5800" i="1"/>
  <c r="D5800" i="1"/>
  <c r="Q5800" i="1"/>
  <c r="R5800" i="1"/>
  <c r="E5800" i="1"/>
  <c r="G5800" i="1"/>
  <c r="H5800" i="1"/>
  <c r="J5800" i="1"/>
  <c r="K5800" i="1"/>
  <c r="L5800" i="1"/>
  <c r="A5801" i="1"/>
  <c r="B5801" i="1"/>
  <c r="C5801" i="1"/>
  <c r="D5801" i="1"/>
  <c r="Q5801" i="1"/>
  <c r="R5801" i="1"/>
  <c r="E5801" i="1"/>
  <c r="G5801" i="1"/>
  <c r="H5801" i="1"/>
  <c r="J5801" i="1"/>
  <c r="K5801" i="1"/>
  <c r="L5801" i="1"/>
  <c r="A5802" i="1"/>
  <c r="B5802" i="1"/>
  <c r="C5802" i="1"/>
  <c r="D5802" i="1"/>
  <c r="Q5802" i="1"/>
  <c r="R5802" i="1"/>
  <c r="E5802" i="1"/>
  <c r="G5802" i="1"/>
  <c r="H5802" i="1"/>
  <c r="J5802" i="1"/>
  <c r="K5802" i="1"/>
  <c r="L5802" i="1"/>
  <c r="A5803" i="1"/>
  <c r="B5803" i="1"/>
  <c r="C5803" i="1"/>
  <c r="D5803" i="1"/>
  <c r="Q5803" i="1"/>
  <c r="R5803" i="1"/>
  <c r="E5803" i="1"/>
  <c r="G5803" i="1"/>
  <c r="H5803" i="1"/>
  <c r="J5803" i="1"/>
  <c r="K5803" i="1"/>
  <c r="L5803" i="1"/>
  <c r="A5804" i="1"/>
  <c r="B5804" i="1"/>
  <c r="C5804" i="1"/>
  <c r="D5804" i="1"/>
  <c r="Q5804" i="1"/>
  <c r="R5804" i="1"/>
  <c r="E5804" i="1"/>
  <c r="G5804" i="1"/>
  <c r="H5804" i="1"/>
  <c r="J5804" i="1"/>
  <c r="K5804" i="1"/>
  <c r="L5804" i="1"/>
  <c r="A5805" i="1"/>
  <c r="B5805" i="1"/>
  <c r="C5805" i="1"/>
  <c r="D5805" i="1"/>
  <c r="Q5805" i="1"/>
  <c r="R5805" i="1"/>
  <c r="E5805" i="1"/>
  <c r="G5805" i="1"/>
  <c r="H5805" i="1"/>
  <c r="J5805" i="1"/>
  <c r="K5805" i="1"/>
  <c r="L5805" i="1"/>
  <c r="A5806" i="1"/>
  <c r="B5806" i="1"/>
  <c r="C5806" i="1"/>
  <c r="D5806" i="1"/>
  <c r="Q5806" i="1"/>
  <c r="R5806" i="1"/>
  <c r="E5806" i="1"/>
  <c r="G5806" i="1"/>
  <c r="H5806" i="1"/>
  <c r="J5806" i="1"/>
  <c r="K5806" i="1"/>
  <c r="L5806" i="1"/>
  <c r="A5807" i="1"/>
  <c r="B5807" i="1"/>
  <c r="C5807" i="1"/>
  <c r="D5807" i="1"/>
  <c r="Q5807" i="1"/>
  <c r="R5807" i="1"/>
  <c r="E5807" i="1"/>
  <c r="G5807" i="1"/>
  <c r="H5807" i="1"/>
  <c r="J5807" i="1"/>
  <c r="K5807" i="1"/>
  <c r="L5807" i="1"/>
  <c r="A5808" i="1"/>
  <c r="B5808" i="1"/>
  <c r="C5808" i="1"/>
  <c r="D5808" i="1"/>
  <c r="Q5808" i="1"/>
  <c r="R5808" i="1"/>
  <c r="E5808" i="1"/>
  <c r="G5808" i="1"/>
  <c r="H5808" i="1"/>
  <c r="J5808" i="1"/>
  <c r="K5808" i="1"/>
  <c r="L5808" i="1"/>
  <c r="A5809" i="1"/>
  <c r="B5809" i="1"/>
  <c r="C5809" i="1"/>
  <c r="D5809" i="1"/>
  <c r="Q5809" i="1"/>
  <c r="R5809" i="1"/>
  <c r="E5809" i="1"/>
  <c r="G5809" i="1"/>
  <c r="H5809" i="1"/>
  <c r="J5809" i="1"/>
  <c r="K5809" i="1"/>
  <c r="L5809" i="1"/>
  <c r="A5810" i="1"/>
  <c r="B5810" i="1"/>
  <c r="C5810" i="1"/>
  <c r="D5810" i="1"/>
  <c r="Q5810" i="1"/>
  <c r="R5810" i="1"/>
  <c r="E5810" i="1"/>
  <c r="G5810" i="1"/>
  <c r="H5810" i="1"/>
  <c r="J5810" i="1"/>
  <c r="K5810" i="1"/>
  <c r="L5810" i="1"/>
  <c r="A5811" i="1"/>
  <c r="B5811" i="1"/>
  <c r="C5811" i="1"/>
  <c r="D5811" i="1"/>
  <c r="Q5811" i="1"/>
  <c r="R5811" i="1"/>
  <c r="E5811" i="1"/>
  <c r="G5811" i="1"/>
  <c r="H5811" i="1"/>
  <c r="J5811" i="1"/>
  <c r="K5811" i="1"/>
  <c r="L5811" i="1"/>
  <c r="A5812" i="1"/>
  <c r="B5812" i="1"/>
  <c r="C5812" i="1"/>
  <c r="D5812" i="1"/>
  <c r="Q5812" i="1"/>
  <c r="R5812" i="1"/>
  <c r="E5812" i="1"/>
  <c r="G5812" i="1"/>
  <c r="H5812" i="1"/>
  <c r="J5812" i="1"/>
  <c r="K5812" i="1"/>
  <c r="L5812" i="1"/>
  <c r="A5813" i="1"/>
  <c r="B5813" i="1"/>
  <c r="C5813" i="1"/>
  <c r="D5813" i="1"/>
  <c r="Q5813" i="1"/>
  <c r="R5813" i="1"/>
  <c r="E5813" i="1"/>
  <c r="G5813" i="1"/>
  <c r="H5813" i="1"/>
  <c r="J5813" i="1"/>
  <c r="K5813" i="1"/>
  <c r="L5813" i="1"/>
  <c r="A5814" i="1"/>
  <c r="B5814" i="1"/>
  <c r="C5814" i="1"/>
  <c r="D5814" i="1"/>
  <c r="Q5814" i="1"/>
  <c r="R5814" i="1"/>
  <c r="E5814" i="1"/>
  <c r="G5814" i="1"/>
  <c r="H5814" i="1"/>
  <c r="J5814" i="1"/>
  <c r="K5814" i="1"/>
  <c r="L5814" i="1"/>
  <c r="A5815" i="1"/>
  <c r="B5815" i="1"/>
  <c r="C5815" i="1"/>
  <c r="D5815" i="1"/>
  <c r="Q5815" i="1"/>
  <c r="R5815" i="1"/>
  <c r="E5815" i="1"/>
  <c r="G5815" i="1"/>
  <c r="H5815" i="1"/>
  <c r="J5815" i="1"/>
  <c r="K5815" i="1"/>
  <c r="L5815" i="1"/>
  <c r="A5816" i="1"/>
  <c r="B5816" i="1"/>
  <c r="C5816" i="1"/>
  <c r="D5816" i="1"/>
  <c r="Q5816" i="1"/>
  <c r="R5816" i="1"/>
  <c r="E5816" i="1"/>
  <c r="G5816" i="1"/>
  <c r="H5816" i="1"/>
  <c r="J5816" i="1"/>
  <c r="K5816" i="1"/>
  <c r="L5816" i="1"/>
  <c r="A5817" i="1"/>
  <c r="B5817" i="1"/>
  <c r="C5817" i="1"/>
  <c r="D5817" i="1"/>
  <c r="Q5817" i="1"/>
  <c r="R5817" i="1"/>
  <c r="E5817" i="1"/>
  <c r="G5817" i="1"/>
  <c r="H5817" i="1"/>
  <c r="J5817" i="1"/>
  <c r="K5817" i="1"/>
  <c r="L5817" i="1"/>
  <c r="A5818" i="1"/>
  <c r="B5818" i="1"/>
  <c r="C5818" i="1"/>
  <c r="D5818" i="1"/>
  <c r="Q5818" i="1"/>
  <c r="R5818" i="1"/>
  <c r="E5818" i="1"/>
  <c r="G5818" i="1"/>
  <c r="H5818" i="1"/>
  <c r="J5818" i="1"/>
  <c r="K5818" i="1"/>
  <c r="L5818" i="1"/>
  <c r="A5819" i="1"/>
  <c r="B5819" i="1"/>
  <c r="C5819" i="1"/>
  <c r="D5819" i="1"/>
  <c r="Q5819" i="1"/>
  <c r="R5819" i="1"/>
  <c r="E5819" i="1"/>
  <c r="G5819" i="1"/>
  <c r="H5819" i="1"/>
  <c r="J5819" i="1"/>
  <c r="K5819" i="1"/>
  <c r="L5819" i="1"/>
  <c r="A5820" i="1"/>
  <c r="B5820" i="1"/>
  <c r="C5820" i="1"/>
  <c r="D5820" i="1"/>
  <c r="Q5820" i="1"/>
  <c r="R5820" i="1"/>
  <c r="E5820" i="1"/>
  <c r="G5820" i="1"/>
  <c r="H5820" i="1"/>
  <c r="J5820" i="1"/>
  <c r="K5820" i="1"/>
  <c r="L5820" i="1"/>
  <c r="A5821" i="1"/>
  <c r="B5821" i="1"/>
  <c r="C5821" i="1"/>
  <c r="D5821" i="1"/>
  <c r="Q5821" i="1"/>
  <c r="R5821" i="1"/>
  <c r="E5821" i="1"/>
  <c r="G5821" i="1"/>
  <c r="H5821" i="1"/>
  <c r="J5821" i="1"/>
  <c r="K5821" i="1"/>
  <c r="L5821" i="1"/>
  <c r="A5822" i="1"/>
  <c r="B5822" i="1"/>
  <c r="C5822" i="1"/>
  <c r="D5822" i="1"/>
  <c r="Q5822" i="1"/>
  <c r="R5822" i="1"/>
  <c r="E5822" i="1"/>
  <c r="G5822" i="1"/>
  <c r="H5822" i="1"/>
  <c r="J5822" i="1"/>
  <c r="K5822" i="1"/>
  <c r="L5822" i="1"/>
  <c r="A5823" i="1"/>
  <c r="B5823" i="1"/>
  <c r="C5823" i="1"/>
  <c r="D5823" i="1"/>
  <c r="Q5823" i="1"/>
  <c r="R5823" i="1"/>
  <c r="E5823" i="1"/>
  <c r="G5823" i="1"/>
  <c r="H5823" i="1"/>
  <c r="J5823" i="1"/>
  <c r="K5823" i="1"/>
  <c r="L5823" i="1"/>
  <c r="A5824" i="1"/>
  <c r="B5824" i="1"/>
  <c r="C5824" i="1"/>
  <c r="D5824" i="1"/>
  <c r="Q5824" i="1"/>
  <c r="R5824" i="1"/>
  <c r="E5824" i="1"/>
  <c r="G5824" i="1"/>
  <c r="H5824" i="1"/>
  <c r="J5824" i="1"/>
  <c r="K5824" i="1"/>
  <c r="L5824" i="1"/>
  <c r="A5825" i="1"/>
  <c r="B5825" i="1"/>
  <c r="C5825" i="1"/>
  <c r="D5825" i="1"/>
  <c r="Q5825" i="1"/>
  <c r="R5825" i="1"/>
  <c r="E5825" i="1"/>
  <c r="G5825" i="1"/>
  <c r="H5825" i="1"/>
  <c r="J5825" i="1"/>
  <c r="K5825" i="1"/>
  <c r="L5825" i="1"/>
  <c r="A5826" i="1"/>
  <c r="B5826" i="1"/>
  <c r="C5826" i="1"/>
  <c r="D5826" i="1"/>
  <c r="Q5826" i="1"/>
  <c r="R5826" i="1"/>
  <c r="E5826" i="1"/>
  <c r="G5826" i="1"/>
  <c r="H5826" i="1"/>
  <c r="J5826" i="1"/>
  <c r="K5826" i="1"/>
  <c r="L5826" i="1"/>
  <c r="A5827" i="1"/>
  <c r="B5827" i="1"/>
  <c r="C5827" i="1"/>
  <c r="D5827" i="1"/>
  <c r="Q5827" i="1"/>
  <c r="R5827" i="1"/>
  <c r="E5827" i="1"/>
  <c r="G5827" i="1"/>
  <c r="H5827" i="1"/>
  <c r="J5827" i="1"/>
  <c r="K5827" i="1"/>
  <c r="L5827" i="1"/>
  <c r="A5828" i="1"/>
  <c r="B5828" i="1"/>
  <c r="C5828" i="1"/>
  <c r="D5828" i="1"/>
  <c r="Q5828" i="1"/>
  <c r="R5828" i="1"/>
  <c r="E5828" i="1"/>
  <c r="G5828" i="1"/>
  <c r="H5828" i="1"/>
  <c r="J5828" i="1"/>
  <c r="K5828" i="1"/>
  <c r="L5828" i="1"/>
  <c r="A5829" i="1"/>
  <c r="B5829" i="1"/>
  <c r="C5829" i="1"/>
  <c r="D5829" i="1"/>
  <c r="Q5829" i="1"/>
  <c r="R5829" i="1"/>
  <c r="E5829" i="1"/>
  <c r="G5829" i="1"/>
  <c r="H5829" i="1"/>
  <c r="J5829" i="1"/>
  <c r="K5829" i="1"/>
  <c r="L5829" i="1"/>
  <c r="A5830" i="1"/>
  <c r="B5830" i="1"/>
  <c r="C5830" i="1"/>
  <c r="D5830" i="1"/>
  <c r="Q5830" i="1"/>
  <c r="R5830" i="1"/>
  <c r="E5830" i="1"/>
  <c r="G5830" i="1"/>
  <c r="H5830" i="1"/>
  <c r="J5830" i="1"/>
  <c r="K5830" i="1"/>
  <c r="L5830" i="1"/>
  <c r="A5831" i="1"/>
  <c r="B5831" i="1"/>
  <c r="C5831" i="1"/>
  <c r="D5831" i="1"/>
  <c r="Q5831" i="1"/>
  <c r="R5831" i="1"/>
  <c r="E5831" i="1"/>
  <c r="G5831" i="1"/>
  <c r="H5831" i="1"/>
  <c r="J5831" i="1"/>
  <c r="K5831" i="1"/>
  <c r="L5831" i="1"/>
  <c r="A5832" i="1"/>
  <c r="B5832" i="1"/>
  <c r="C5832" i="1"/>
  <c r="D5832" i="1"/>
  <c r="Q5832" i="1"/>
  <c r="R5832" i="1"/>
  <c r="E5832" i="1"/>
  <c r="G5832" i="1"/>
  <c r="H5832" i="1"/>
  <c r="J5832" i="1"/>
  <c r="K5832" i="1"/>
  <c r="L5832" i="1"/>
  <c r="A5833" i="1"/>
  <c r="B5833" i="1"/>
  <c r="C5833" i="1"/>
  <c r="D5833" i="1"/>
  <c r="Q5833" i="1"/>
  <c r="R5833" i="1"/>
  <c r="E5833" i="1"/>
  <c r="G5833" i="1"/>
  <c r="H5833" i="1"/>
  <c r="J5833" i="1"/>
  <c r="K5833" i="1"/>
  <c r="L5833" i="1"/>
  <c r="A5834" i="1"/>
  <c r="B5834" i="1"/>
  <c r="C5834" i="1"/>
  <c r="D5834" i="1"/>
  <c r="Q5834" i="1"/>
  <c r="R5834" i="1"/>
  <c r="E5834" i="1"/>
  <c r="G5834" i="1"/>
  <c r="H5834" i="1"/>
  <c r="J5834" i="1"/>
  <c r="K5834" i="1"/>
  <c r="L5834" i="1"/>
  <c r="A5835" i="1"/>
  <c r="B5835" i="1"/>
  <c r="C5835" i="1"/>
  <c r="D5835" i="1"/>
  <c r="Q5835" i="1"/>
  <c r="R5835" i="1"/>
  <c r="E5835" i="1"/>
  <c r="G5835" i="1"/>
  <c r="H5835" i="1"/>
  <c r="J5835" i="1"/>
  <c r="K5835" i="1"/>
  <c r="L5835" i="1"/>
  <c r="A5836" i="1"/>
  <c r="B5836" i="1"/>
  <c r="C5836" i="1"/>
  <c r="D5836" i="1"/>
  <c r="Q5836" i="1"/>
  <c r="R5836" i="1"/>
  <c r="E5836" i="1"/>
  <c r="G5836" i="1"/>
  <c r="H5836" i="1"/>
  <c r="J5836" i="1"/>
  <c r="K5836" i="1"/>
  <c r="L5836" i="1"/>
  <c r="A5837" i="1"/>
  <c r="B5837" i="1"/>
  <c r="C5837" i="1"/>
  <c r="D5837" i="1"/>
  <c r="Q5837" i="1"/>
  <c r="R5837" i="1"/>
  <c r="E5837" i="1"/>
  <c r="G5837" i="1"/>
  <c r="H5837" i="1"/>
  <c r="J5837" i="1"/>
  <c r="K5837" i="1"/>
  <c r="L5837" i="1"/>
  <c r="A5838" i="1"/>
  <c r="B5838" i="1"/>
  <c r="C5838" i="1"/>
  <c r="D5838" i="1"/>
  <c r="Q5838" i="1"/>
  <c r="R5838" i="1"/>
  <c r="E5838" i="1"/>
  <c r="G5838" i="1"/>
  <c r="H5838" i="1"/>
  <c r="J5838" i="1"/>
  <c r="K5838" i="1"/>
  <c r="L5838" i="1"/>
  <c r="A5839" i="1"/>
  <c r="B5839" i="1"/>
  <c r="C5839" i="1"/>
  <c r="D5839" i="1"/>
  <c r="Q5839" i="1"/>
  <c r="R5839" i="1"/>
  <c r="E5839" i="1"/>
  <c r="G5839" i="1"/>
  <c r="H5839" i="1"/>
  <c r="J5839" i="1"/>
  <c r="K5839" i="1"/>
  <c r="L5839" i="1"/>
  <c r="A5840" i="1"/>
  <c r="B5840" i="1"/>
  <c r="C5840" i="1"/>
  <c r="D5840" i="1"/>
  <c r="Q5840" i="1"/>
  <c r="R5840" i="1"/>
  <c r="E5840" i="1"/>
  <c r="G5840" i="1"/>
  <c r="H5840" i="1"/>
  <c r="J5840" i="1"/>
  <c r="K5840" i="1"/>
  <c r="L5840" i="1"/>
  <c r="A5841" i="1"/>
  <c r="B5841" i="1"/>
  <c r="C5841" i="1"/>
  <c r="D5841" i="1"/>
  <c r="Q5841" i="1"/>
  <c r="R5841" i="1"/>
  <c r="E5841" i="1"/>
  <c r="G5841" i="1"/>
  <c r="H5841" i="1"/>
  <c r="J5841" i="1"/>
  <c r="K5841" i="1"/>
  <c r="L5841" i="1"/>
  <c r="A5842" i="1"/>
  <c r="B5842" i="1"/>
  <c r="C5842" i="1"/>
  <c r="D5842" i="1"/>
  <c r="Q5842" i="1"/>
  <c r="R5842" i="1"/>
  <c r="E5842" i="1"/>
  <c r="G5842" i="1"/>
  <c r="H5842" i="1"/>
  <c r="J5842" i="1"/>
  <c r="K5842" i="1"/>
  <c r="L5842" i="1"/>
  <c r="A5843" i="1"/>
  <c r="B5843" i="1"/>
  <c r="C5843" i="1"/>
  <c r="D5843" i="1"/>
  <c r="Q5843" i="1"/>
  <c r="R5843" i="1"/>
  <c r="E5843" i="1"/>
  <c r="G5843" i="1"/>
  <c r="H5843" i="1"/>
  <c r="J5843" i="1"/>
  <c r="K5843" i="1"/>
  <c r="L5843" i="1"/>
  <c r="A5844" i="1"/>
  <c r="B5844" i="1"/>
  <c r="C5844" i="1"/>
  <c r="D5844" i="1"/>
  <c r="Q5844" i="1"/>
  <c r="R5844" i="1"/>
  <c r="E5844" i="1"/>
  <c r="G5844" i="1"/>
  <c r="H5844" i="1"/>
  <c r="J5844" i="1"/>
  <c r="K5844" i="1"/>
  <c r="L5844" i="1"/>
  <c r="A5845" i="1"/>
  <c r="B5845" i="1"/>
  <c r="C5845" i="1"/>
  <c r="D5845" i="1"/>
  <c r="Q5845" i="1"/>
  <c r="R5845" i="1"/>
  <c r="E5845" i="1"/>
  <c r="G5845" i="1"/>
  <c r="H5845" i="1"/>
  <c r="J5845" i="1"/>
  <c r="K5845" i="1"/>
  <c r="L5845" i="1"/>
  <c r="A5846" i="1"/>
  <c r="B5846" i="1"/>
  <c r="C5846" i="1"/>
  <c r="D5846" i="1"/>
  <c r="Q5846" i="1"/>
  <c r="R5846" i="1"/>
  <c r="E5846" i="1"/>
  <c r="G5846" i="1"/>
  <c r="H5846" i="1"/>
  <c r="J5846" i="1"/>
  <c r="K5846" i="1"/>
  <c r="L5846" i="1"/>
  <c r="A5847" i="1"/>
  <c r="B5847" i="1"/>
  <c r="C5847" i="1"/>
  <c r="D5847" i="1"/>
  <c r="Q5847" i="1"/>
  <c r="R5847" i="1"/>
  <c r="E5847" i="1"/>
  <c r="G5847" i="1"/>
  <c r="H5847" i="1"/>
  <c r="J5847" i="1"/>
  <c r="K5847" i="1"/>
  <c r="L5847" i="1"/>
  <c r="A5848" i="1"/>
  <c r="B5848" i="1"/>
  <c r="C5848" i="1"/>
  <c r="D5848" i="1"/>
  <c r="Q5848" i="1"/>
  <c r="R5848" i="1"/>
  <c r="E5848" i="1"/>
  <c r="G5848" i="1"/>
  <c r="H5848" i="1"/>
  <c r="J5848" i="1"/>
  <c r="K5848" i="1"/>
  <c r="L5848" i="1"/>
  <c r="A5849" i="1"/>
  <c r="B5849" i="1"/>
  <c r="C5849" i="1"/>
  <c r="D5849" i="1"/>
  <c r="Q5849" i="1"/>
  <c r="R5849" i="1"/>
  <c r="E5849" i="1"/>
  <c r="G5849" i="1"/>
  <c r="H5849" i="1"/>
  <c r="J5849" i="1"/>
  <c r="K5849" i="1"/>
  <c r="L5849" i="1"/>
  <c r="A5850" i="1"/>
  <c r="B5850" i="1"/>
  <c r="C5850" i="1"/>
  <c r="D5850" i="1"/>
  <c r="Q5850" i="1"/>
  <c r="R5850" i="1"/>
  <c r="E5850" i="1"/>
  <c r="G5850" i="1"/>
  <c r="H5850" i="1"/>
  <c r="J5850" i="1"/>
  <c r="K5850" i="1"/>
  <c r="L5850" i="1"/>
  <c r="A5851" i="1"/>
  <c r="B5851" i="1"/>
  <c r="C5851" i="1"/>
  <c r="D5851" i="1"/>
  <c r="Q5851" i="1"/>
  <c r="R5851" i="1"/>
  <c r="E5851" i="1"/>
  <c r="G5851" i="1"/>
  <c r="H5851" i="1"/>
  <c r="J5851" i="1"/>
  <c r="K5851" i="1"/>
  <c r="L5851" i="1"/>
  <c r="A5852" i="1"/>
  <c r="B5852" i="1"/>
  <c r="C5852" i="1"/>
  <c r="D5852" i="1"/>
  <c r="Q5852" i="1"/>
  <c r="R5852" i="1"/>
  <c r="E5852" i="1"/>
  <c r="G5852" i="1"/>
  <c r="H5852" i="1"/>
  <c r="J5852" i="1"/>
  <c r="K5852" i="1"/>
  <c r="L5852" i="1"/>
  <c r="A5853" i="1"/>
  <c r="B5853" i="1"/>
  <c r="C5853" i="1"/>
  <c r="D5853" i="1"/>
  <c r="Q5853" i="1"/>
  <c r="R5853" i="1"/>
  <c r="E5853" i="1"/>
  <c r="G5853" i="1"/>
  <c r="H5853" i="1"/>
  <c r="J5853" i="1"/>
  <c r="K5853" i="1"/>
  <c r="L5853" i="1"/>
  <c r="A5854" i="1"/>
  <c r="B5854" i="1"/>
  <c r="C5854" i="1"/>
  <c r="D5854" i="1"/>
  <c r="Q5854" i="1"/>
  <c r="R5854" i="1"/>
  <c r="E5854" i="1"/>
  <c r="G5854" i="1"/>
  <c r="H5854" i="1"/>
  <c r="J5854" i="1"/>
  <c r="K5854" i="1"/>
  <c r="L5854" i="1"/>
  <c r="A5855" i="1"/>
  <c r="B5855" i="1"/>
  <c r="C5855" i="1"/>
  <c r="D5855" i="1"/>
  <c r="Q5855" i="1"/>
  <c r="R5855" i="1"/>
  <c r="E5855" i="1"/>
  <c r="G5855" i="1"/>
  <c r="H5855" i="1"/>
  <c r="J5855" i="1"/>
  <c r="K5855" i="1"/>
  <c r="L5855" i="1"/>
  <c r="A5856" i="1"/>
  <c r="B5856" i="1"/>
  <c r="C5856" i="1"/>
  <c r="D5856" i="1"/>
  <c r="Q5856" i="1"/>
  <c r="R5856" i="1"/>
  <c r="E5856" i="1"/>
  <c r="G5856" i="1"/>
  <c r="H5856" i="1"/>
  <c r="J5856" i="1"/>
  <c r="K5856" i="1"/>
  <c r="L5856" i="1"/>
  <c r="A5857" i="1"/>
  <c r="B5857" i="1"/>
  <c r="C5857" i="1"/>
  <c r="D5857" i="1"/>
  <c r="Q5857" i="1"/>
  <c r="R5857" i="1"/>
  <c r="E5857" i="1"/>
  <c r="G5857" i="1"/>
  <c r="H5857" i="1"/>
  <c r="J5857" i="1"/>
  <c r="K5857" i="1"/>
  <c r="L5857" i="1"/>
  <c r="A5858" i="1"/>
  <c r="B5858" i="1"/>
  <c r="C5858" i="1"/>
  <c r="D5858" i="1"/>
  <c r="Q5858" i="1"/>
  <c r="R5858" i="1"/>
  <c r="E5858" i="1"/>
  <c r="G5858" i="1"/>
  <c r="H5858" i="1"/>
  <c r="J5858" i="1"/>
  <c r="K5858" i="1"/>
  <c r="L5858" i="1"/>
  <c r="A5859" i="1"/>
  <c r="B5859" i="1"/>
  <c r="C5859" i="1"/>
  <c r="D5859" i="1"/>
  <c r="Q5859" i="1"/>
  <c r="R5859" i="1"/>
  <c r="E5859" i="1"/>
  <c r="G5859" i="1"/>
  <c r="H5859" i="1"/>
  <c r="J5859" i="1"/>
  <c r="K5859" i="1"/>
  <c r="L5859" i="1"/>
  <c r="A5860" i="1"/>
  <c r="B5860" i="1"/>
  <c r="C5860" i="1"/>
  <c r="D5860" i="1"/>
  <c r="Q5860" i="1"/>
  <c r="R5860" i="1"/>
  <c r="E5860" i="1"/>
  <c r="G5860" i="1"/>
  <c r="H5860" i="1"/>
  <c r="J5860" i="1"/>
  <c r="K5860" i="1"/>
  <c r="L5860" i="1"/>
  <c r="A5861" i="1"/>
  <c r="B5861" i="1"/>
  <c r="C5861" i="1"/>
  <c r="D5861" i="1"/>
  <c r="Q5861" i="1"/>
  <c r="R5861" i="1"/>
  <c r="E5861" i="1"/>
  <c r="G5861" i="1"/>
  <c r="H5861" i="1"/>
  <c r="J5861" i="1"/>
  <c r="K5861" i="1"/>
  <c r="L5861" i="1"/>
  <c r="A5862" i="1"/>
  <c r="B5862" i="1"/>
  <c r="C5862" i="1"/>
  <c r="D5862" i="1"/>
  <c r="Q5862" i="1"/>
  <c r="R5862" i="1"/>
  <c r="E5862" i="1"/>
  <c r="G5862" i="1"/>
  <c r="H5862" i="1"/>
  <c r="J5862" i="1"/>
  <c r="K5862" i="1"/>
  <c r="L5862" i="1"/>
  <c r="A5863" i="1"/>
  <c r="B5863" i="1"/>
  <c r="C5863" i="1"/>
  <c r="D5863" i="1"/>
  <c r="Q5863" i="1"/>
  <c r="R5863" i="1"/>
  <c r="E5863" i="1"/>
  <c r="G5863" i="1"/>
  <c r="H5863" i="1"/>
  <c r="J5863" i="1"/>
  <c r="K5863" i="1"/>
  <c r="L5863" i="1"/>
  <c r="A5864" i="1"/>
  <c r="B5864" i="1"/>
  <c r="C5864" i="1"/>
  <c r="D5864" i="1"/>
  <c r="Q5864" i="1"/>
  <c r="R5864" i="1"/>
  <c r="E5864" i="1"/>
  <c r="G5864" i="1"/>
  <c r="H5864" i="1"/>
  <c r="J5864" i="1"/>
  <c r="K5864" i="1"/>
  <c r="L5864" i="1"/>
  <c r="A5865" i="1"/>
  <c r="B5865" i="1"/>
  <c r="C5865" i="1"/>
  <c r="D5865" i="1"/>
  <c r="Q5865" i="1"/>
  <c r="R5865" i="1"/>
  <c r="E5865" i="1"/>
  <c r="G5865" i="1"/>
  <c r="H5865" i="1"/>
  <c r="J5865" i="1"/>
  <c r="K5865" i="1"/>
  <c r="L5865" i="1"/>
  <c r="A5866" i="1"/>
  <c r="B5866" i="1"/>
  <c r="C5866" i="1"/>
  <c r="D5866" i="1"/>
  <c r="Q5866" i="1"/>
  <c r="R5866" i="1"/>
  <c r="E5866" i="1"/>
  <c r="G5866" i="1"/>
  <c r="H5866" i="1"/>
  <c r="J5866" i="1"/>
  <c r="K5866" i="1"/>
  <c r="L5866" i="1"/>
  <c r="A5867" i="1"/>
  <c r="B5867" i="1"/>
  <c r="C5867" i="1"/>
  <c r="D5867" i="1"/>
  <c r="Q5867" i="1"/>
  <c r="R5867" i="1"/>
  <c r="E5867" i="1"/>
  <c r="G5867" i="1"/>
  <c r="H5867" i="1"/>
  <c r="J5867" i="1"/>
  <c r="K5867" i="1"/>
  <c r="L5867" i="1"/>
  <c r="A5868" i="1"/>
  <c r="B5868" i="1"/>
  <c r="C5868" i="1"/>
  <c r="D5868" i="1"/>
  <c r="Q5868" i="1"/>
  <c r="R5868" i="1"/>
  <c r="E5868" i="1"/>
  <c r="G5868" i="1"/>
  <c r="H5868" i="1"/>
  <c r="J5868" i="1"/>
  <c r="K5868" i="1"/>
  <c r="L5868" i="1"/>
  <c r="A5869" i="1"/>
  <c r="B5869" i="1"/>
  <c r="C5869" i="1"/>
  <c r="D5869" i="1"/>
  <c r="Q5869" i="1"/>
  <c r="R5869" i="1"/>
  <c r="E5869" i="1"/>
  <c r="G5869" i="1"/>
  <c r="H5869" i="1"/>
  <c r="J5869" i="1"/>
  <c r="K5869" i="1"/>
  <c r="L5869" i="1"/>
  <c r="A5870" i="1"/>
  <c r="B5870" i="1"/>
  <c r="C5870" i="1"/>
  <c r="D5870" i="1"/>
  <c r="Q5870" i="1"/>
  <c r="R5870" i="1"/>
  <c r="E5870" i="1"/>
  <c r="G5870" i="1"/>
  <c r="H5870" i="1"/>
  <c r="J5870" i="1"/>
  <c r="K5870" i="1"/>
  <c r="L5870" i="1"/>
  <c r="A5871" i="1"/>
  <c r="B5871" i="1"/>
  <c r="C5871" i="1"/>
  <c r="D5871" i="1"/>
  <c r="Q5871" i="1"/>
  <c r="R5871" i="1"/>
  <c r="E5871" i="1"/>
  <c r="G5871" i="1"/>
  <c r="H5871" i="1"/>
  <c r="J5871" i="1"/>
  <c r="K5871" i="1"/>
  <c r="L5871" i="1"/>
  <c r="A5872" i="1"/>
  <c r="B5872" i="1"/>
  <c r="C5872" i="1"/>
  <c r="D5872" i="1"/>
  <c r="Q5872" i="1"/>
  <c r="R5872" i="1"/>
  <c r="E5872" i="1"/>
  <c r="G5872" i="1"/>
  <c r="H5872" i="1"/>
  <c r="J5872" i="1"/>
  <c r="K5872" i="1"/>
  <c r="L5872" i="1"/>
  <c r="A5873" i="1"/>
  <c r="B5873" i="1"/>
  <c r="C5873" i="1"/>
  <c r="D5873" i="1"/>
  <c r="Q5873" i="1"/>
  <c r="R5873" i="1"/>
  <c r="E5873" i="1"/>
  <c r="G5873" i="1"/>
  <c r="H5873" i="1"/>
  <c r="J5873" i="1"/>
  <c r="K5873" i="1"/>
  <c r="L5873" i="1"/>
  <c r="A5874" i="1"/>
  <c r="B5874" i="1"/>
  <c r="C5874" i="1"/>
  <c r="D5874" i="1"/>
  <c r="Q5874" i="1"/>
  <c r="R5874" i="1"/>
  <c r="E5874" i="1"/>
  <c r="G5874" i="1"/>
  <c r="H5874" i="1"/>
  <c r="J5874" i="1"/>
  <c r="K5874" i="1"/>
  <c r="L5874" i="1"/>
  <c r="A5875" i="1"/>
  <c r="B5875" i="1"/>
  <c r="C5875" i="1"/>
  <c r="D5875" i="1"/>
  <c r="Q5875" i="1"/>
  <c r="R5875" i="1"/>
  <c r="E5875" i="1"/>
  <c r="G5875" i="1"/>
  <c r="H5875" i="1"/>
  <c r="J5875" i="1"/>
  <c r="K5875" i="1"/>
  <c r="L5875" i="1"/>
  <c r="A5876" i="1"/>
  <c r="B5876" i="1"/>
  <c r="C5876" i="1"/>
  <c r="D5876" i="1"/>
  <c r="Q5876" i="1"/>
  <c r="R5876" i="1"/>
  <c r="E5876" i="1"/>
  <c r="G5876" i="1"/>
  <c r="H5876" i="1"/>
  <c r="J5876" i="1"/>
  <c r="K5876" i="1"/>
  <c r="L5876" i="1"/>
  <c r="A5877" i="1"/>
  <c r="B5877" i="1"/>
  <c r="C5877" i="1"/>
  <c r="D5877" i="1"/>
  <c r="Q5877" i="1"/>
  <c r="R5877" i="1"/>
  <c r="E5877" i="1"/>
  <c r="G5877" i="1"/>
  <c r="H5877" i="1"/>
  <c r="J5877" i="1"/>
  <c r="K5877" i="1"/>
  <c r="L5877" i="1"/>
  <c r="A5878" i="1"/>
  <c r="B5878" i="1"/>
  <c r="C5878" i="1"/>
  <c r="D5878" i="1"/>
  <c r="Q5878" i="1"/>
  <c r="R5878" i="1"/>
  <c r="E5878" i="1"/>
  <c r="G5878" i="1"/>
  <c r="H5878" i="1"/>
  <c r="J5878" i="1"/>
  <c r="K5878" i="1"/>
  <c r="L5878" i="1"/>
  <c r="A5879" i="1"/>
  <c r="B5879" i="1"/>
  <c r="C5879" i="1"/>
  <c r="D5879" i="1"/>
  <c r="Q5879" i="1"/>
  <c r="R5879" i="1"/>
  <c r="E5879" i="1"/>
  <c r="G5879" i="1"/>
  <c r="H5879" i="1"/>
  <c r="J5879" i="1"/>
  <c r="K5879" i="1"/>
  <c r="L5879" i="1"/>
  <c r="A5880" i="1"/>
  <c r="B5880" i="1"/>
  <c r="C5880" i="1"/>
  <c r="D5880" i="1"/>
  <c r="Q5880" i="1"/>
  <c r="R5880" i="1"/>
  <c r="E5880" i="1"/>
  <c r="G5880" i="1"/>
  <c r="H5880" i="1"/>
  <c r="J5880" i="1"/>
  <c r="K5880" i="1"/>
  <c r="L5880" i="1"/>
  <c r="A5881" i="1"/>
  <c r="B5881" i="1"/>
  <c r="C5881" i="1"/>
  <c r="D5881" i="1"/>
  <c r="Q5881" i="1"/>
  <c r="R5881" i="1"/>
  <c r="E5881" i="1"/>
  <c r="G5881" i="1"/>
  <c r="H5881" i="1"/>
  <c r="J5881" i="1"/>
  <c r="K5881" i="1"/>
  <c r="L5881" i="1"/>
  <c r="A5882" i="1"/>
  <c r="B5882" i="1"/>
  <c r="C5882" i="1"/>
  <c r="D5882" i="1"/>
  <c r="Q5882" i="1"/>
  <c r="R5882" i="1"/>
  <c r="E5882" i="1"/>
  <c r="G5882" i="1"/>
  <c r="H5882" i="1"/>
  <c r="J5882" i="1"/>
  <c r="K5882" i="1"/>
  <c r="L5882" i="1"/>
  <c r="A5883" i="1"/>
  <c r="B5883" i="1"/>
  <c r="C5883" i="1"/>
  <c r="D5883" i="1"/>
  <c r="Q5883" i="1"/>
  <c r="R5883" i="1"/>
  <c r="E5883" i="1"/>
  <c r="G5883" i="1"/>
  <c r="H5883" i="1"/>
  <c r="J5883" i="1"/>
  <c r="K5883" i="1"/>
  <c r="L5883" i="1"/>
  <c r="A5884" i="1"/>
  <c r="B5884" i="1"/>
  <c r="C5884" i="1"/>
  <c r="D5884" i="1"/>
  <c r="Q5884" i="1"/>
  <c r="R5884" i="1"/>
  <c r="E5884" i="1"/>
  <c r="G5884" i="1"/>
  <c r="H5884" i="1"/>
  <c r="J5884" i="1"/>
  <c r="K5884" i="1"/>
  <c r="L5884" i="1"/>
  <c r="A5885" i="1"/>
  <c r="B5885" i="1"/>
  <c r="C5885" i="1"/>
  <c r="D5885" i="1"/>
  <c r="Q5885" i="1"/>
  <c r="R5885" i="1"/>
  <c r="E5885" i="1"/>
  <c r="G5885" i="1"/>
  <c r="H5885" i="1"/>
  <c r="J5885" i="1"/>
  <c r="K5885" i="1"/>
  <c r="L5885" i="1"/>
  <c r="A5886" i="1"/>
  <c r="B5886" i="1"/>
  <c r="C5886" i="1"/>
  <c r="D5886" i="1"/>
  <c r="Q5886" i="1"/>
  <c r="R5886" i="1"/>
  <c r="E5886" i="1"/>
  <c r="G5886" i="1"/>
  <c r="H5886" i="1"/>
  <c r="J5886" i="1"/>
  <c r="K5886" i="1"/>
  <c r="L5886" i="1"/>
  <c r="A5887" i="1"/>
  <c r="B5887" i="1"/>
  <c r="C5887" i="1"/>
  <c r="D5887" i="1"/>
  <c r="Q5887" i="1"/>
  <c r="R5887" i="1"/>
  <c r="E5887" i="1"/>
  <c r="G5887" i="1"/>
  <c r="H5887" i="1"/>
  <c r="J5887" i="1"/>
  <c r="K5887" i="1"/>
  <c r="L5887" i="1"/>
  <c r="A5888" i="1"/>
  <c r="B5888" i="1"/>
  <c r="C5888" i="1"/>
  <c r="D5888" i="1"/>
  <c r="Q5888" i="1"/>
  <c r="R5888" i="1"/>
  <c r="E5888" i="1"/>
  <c r="G5888" i="1"/>
  <c r="H5888" i="1"/>
  <c r="J5888" i="1"/>
  <c r="K5888" i="1"/>
  <c r="L5888" i="1"/>
  <c r="A5889" i="1"/>
  <c r="B5889" i="1"/>
  <c r="C5889" i="1"/>
  <c r="D5889" i="1"/>
  <c r="Q5889" i="1"/>
  <c r="R5889" i="1"/>
  <c r="E5889" i="1"/>
  <c r="G5889" i="1"/>
  <c r="H5889" i="1"/>
  <c r="J5889" i="1"/>
  <c r="K5889" i="1"/>
  <c r="L5889" i="1"/>
  <c r="A5890" i="1"/>
  <c r="B5890" i="1"/>
  <c r="C5890" i="1"/>
  <c r="D5890" i="1"/>
  <c r="Q5890" i="1"/>
  <c r="R5890" i="1"/>
  <c r="E5890" i="1"/>
  <c r="G5890" i="1"/>
  <c r="H5890" i="1"/>
  <c r="J5890" i="1"/>
  <c r="K5890" i="1"/>
  <c r="L5890" i="1"/>
  <c r="A5891" i="1"/>
  <c r="B5891" i="1"/>
  <c r="C5891" i="1"/>
  <c r="D5891" i="1"/>
  <c r="Q5891" i="1"/>
  <c r="R5891" i="1"/>
  <c r="E5891" i="1"/>
  <c r="G5891" i="1"/>
  <c r="H5891" i="1"/>
  <c r="J5891" i="1"/>
  <c r="K5891" i="1"/>
  <c r="L5891" i="1"/>
  <c r="A5892" i="1"/>
  <c r="B5892" i="1"/>
  <c r="C5892" i="1"/>
  <c r="D5892" i="1"/>
  <c r="Q5892" i="1"/>
  <c r="R5892" i="1"/>
  <c r="E5892" i="1"/>
  <c r="G5892" i="1"/>
  <c r="H5892" i="1"/>
  <c r="J5892" i="1"/>
  <c r="K5892" i="1"/>
  <c r="L5892" i="1"/>
  <c r="A5893" i="1"/>
  <c r="B5893" i="1"/>
  <c r="C5893" i="1"/>
  <c r="D5893" i="1"/>
  <c r="Q5893" i="1"/>
  <c r="R5893" i="1"/>
  <c r="E5893" i="1"/>
  <c r="G5893" i="1"/>
  <c r="H5893" i="1"/>
  <c r="J5893" i="1"/>
  <c r="K5893" i="1"/>
  <c r="L5893" i="1"/>
  <c r="A5894" i="1"/>
  <c r="B5894" i="1"/>
  <c r="C5894" i="1"/>
  <c r="D5894" i="1"/>
  <c r="Q5894" i="1"/>
  <c r="R5894" i="1"/>
  <c r="E5894" i="1"/>
  <c r="G5894" i="1"/>
  <c r="H5894" i="1"/>
  <c r="J5894" i="1"/>
  <c r="K5894" i="1"/>
  <c r="L5894" i="1"/>
  <c r="A5895" i="1"/>
  <c r="B5895" i="1"/>
  <c r="C5895" i="1"/>
  <c r="D5895" i="1"/>
  <c r="Q5895" i="1"/>
  <c r="R5895" i="1"/>
  <c r="E5895" i="1"/>
  <c r="G5895" i="1"/>
  <c r="H5895" i="1"/>
  <c r="J5895" i="1"/>
  <c r="K5895" i="1"/>
  <c r="L5895" i="1"/>
  <c r="A5896" i="1"/>
  <c r="B5896" i="1"/>
  <c r="C5896" i="1"/>
  <c r="D5896" i="1"/>
  <c r="Q5896" i="1"/>
  <c r="R5896" i="1"/>
  <c r="E5896" i="1"/>
  <c r="G5896" i="1"/>
  <c r="H5896" i="1"/>
  <c r="J5896" i="1"/>
  <c r="K5896" i="1"/>
  <c r="L5896" i="1"/>
  <c r="A5897" i="1"/>
  <c r="B5897" i="1"/>
  <c r="C5897" i="1"/>
  <c r="D5897" i="1"/>
  <c r="Q5897" i="1"/>
  <c r="R5897" i="1"/>
  <c r="E5897" i="1"/>
  <c r="G5897" i="1"/>
  <c r="H5897" i="1"/>
  <c r="J5897" i="1"/>
  <c r="K5897" i="1"/>
  <c r="L5897" i="1"/>
  <c r="A5898" i="1"/>
  <c r="B5898" i="1"/>
  <c r="C5898" i="1"/>
  <c r="D5898" i="1"/>
  <c r="Q5898" i="1"/>
  <c r="R5898" i="1"/>
  <c r="E5898" i="1"/>
  <c r="G5898" i="1"/>
  <c r="H5898" i="1"/>
  <c r="J5898" i="1"/>
  <c r="K5898" i="1"/>
  <c r="L5898" i="1"/>
  <c r="A5899" i="1"/>
  <c r="B5899" i="1"/>
  <c r="C5899" i="1"/>
  <c r="D5899" i="1"/>
  <c r="Q5899" i="1"/>
  <c r="R5899" i="1"/>
  <c r="E5899" i="1"/>
  <c r="G5899" i="1"/>
  <c r="H5899" i="1"/>
  <c r="J5899" i="1"/>
  <c r="K5899" i="1"/>
  <c r="L5899" i="1"/>
  <c r="A5900" i="1"/>
  <c r="B5900" i="1"/>
  <c r="C5900" i="1"/>
  <c r="D5900" i="1"/>
  <c r="Q5900" i="1"/>
  <c r="R5900" i="1"/>
  <c r="E5900" i="1"/>
  <c r="G5900" i="1"/>
  <c r="H5900" i="1"/>
  <c r="J5900" i="1"/>
  <c r="K5900" i="1"/>
  <c r="L5900" i="1"/>
  <c r="A5901" i="1"/>
  <c r="B5901" i="1"/>
  <c r="C5901" i="1"/>
  <c r="D5901" i="1"/>
  <c r="Q5901" i="1"/>
  <c r="R5901" i="1"/>
  <c r="E5901" i="1"/>
  <c r="G5901" i="1"/>
  <c r="H5901" i="1"/>
  <c r="J5901" i="1"/>
  <c r="K5901" i="1"/>
  <c r="L5901" i="1"/>
  <c r="A5902" i="1"/>
  <c r="B5902" i="1"/>
  <c r="C5902" i="1"/>
  <c r="D5902" i="1"/>
  <c r="Q5902" i="1"/>
  <c r="R5902" i="1"/>
  <c r="E5902" i="1"/>
  <c r="G5902" i="1"/>
  <c r="H5902" i="1"/>
  <c r="J5902" i="1"/>
  <c r="K5902" i="1"/>
  <c r="L5902" i="1"/>
  <c r="A5903" i="1"/>
  <c r="B5903" i="1"/>
  <c r="C5903" i="1"/>
  <c r="D5903" i="1"/>
  <c r="Q5903" i="1"/>
  <c r="R5903" i="1"/>
  <c r="E5903" i="1"/>
  <c r="G5903" i="1"/>
  <c r="H5903" i="1"/>
  <c r="J5903" i="1"/>
  <c r="K5903" i="1"/>
  <c r="L5903" i="1"/>
  <c r="A5904" i="1"/>
  <c r="B5904" i="1"/>
  <c r="C5904" i="1"/>
  <c r="D5904" i="1"/>
  <c r="Q5904" i="1"/>
  <c r="R5904" i="1"/>
  <c r="E5904" i="1"/>
  <c r="G5904" i="1"/>
  <c r="H5904" i="1"/>
  <c r="J5904" i="1"/>
  <c r="K5904" i="1"/>
  <c r="L5904" i="1"/>
  <c r="A5905" i="1"/>
  <c r="B5905" i="1"/>
  <c r="C5905" i="1"/>
  <c r="D5905" i="1"/>
  <c r="Q5905" i="1"/>
  <c r="R5905" i="1"/>
  <c r="E5905" i="1"/>
  <c r="G5905" i="1"/>
  <c r="H5905" i="1"/>
  <c r="J5905" i="1"/>
  <c r="K5905" i="1"/>
  <c r="L5905" i="1"/>
  <c r="A5906" i="1"/>
  <c r="B5906" i="1"/>
  <c r="C5906" i="1"/>
  <c r="D5906" i="1"/>
  <c r="Q5906" i="1"/>
  <c r="R5906" i="1"/>
  <c r="E5906" i="1"/>
  <c r="G5906" i="1"/>
  <c r="H5906" i="1"/>
  <c r="J5906" i="1"/>
  <c r="K5906" i="1"/>
  <c r="L5906" i="1"/>
  <c r="A5907" i="1"/>
  <c r="B5907" i="1"/>
  <c r="C5907" i="1"/>
  <c r="D5907" i="1"/>
  <c r="Q5907" i="1"/>
  <c r="R5907" i="1"/>
  <c r="E5907" i="1"/>
  <c r="G5907" i="1"/>
  <c r="H5907" i="1"/>
  <c r="J5907" i="1"/>
  <c r="K5907" i="1"/>
  <c r="L5907" i="1"/>
  <c r="A5908" i="1"/>
  <c r="B5908" i="1"/>
  <c r="C5908" i="1"/>
  <c r="D5908" i="1"/>
  <c r="Q5908" i="1"/>
  <c r="R5908" i="1"/>
  <c r="E5908" i="1"/>
  <c r="G5908" i="1"/>
  <c r="H5908" i="1"/>
  <c r="J5908" i="1"/>
  <c r="K5908" i="1"/>
  <c r="L5908" i="1"/>
  <c r="A5909" i="1"/>
  <c r="B5909" i="1"/>
  <c r="C5909" i="1"/>
  <c r="D5909" i="1"/>
  <c r="Q5909" i="1"/>
  <c r="R5909" i="1"/>
  <c r="E5909" i="1"/>
  <c r="G5909" i="1"/>
  <c r="H5909" i="1"/>
  <c r="J5909" i="1"/>
  <c r="K5909" i="1"/>
  <c r="L5909" i="1"/>
  <c r="A5910" i="1"/>
  <c r="B5910" i="1"/>
  <c r="C5910" i="1"/>
  <c r="D5910" i="1"/>
  <c r="Q5910" i="1"/>
  <c r="R5910" i="1"/>
  <c r="E5910" i="1"/>
  <c r="G5910" i="1"/>
  <c r="H5910" i="1"/>
  <c r="J5910" i="1"/>
  <c r="K5910" i="1"/>
  <c r="L5910" i="1"/>
  <c r="A5911" i="1"/>
  <c r="B5911" i="1"/>
  <c r="C5911" i="1"/>
  <c r="D5911" i="1"/>
  <c r="Q5911" i="1"/>
  <c r="R5911" i="1"/>
  <c r="E5911" i="1"/>
  <c r="G5911" i="1"/>
  <c r="H5911" i="1"/>
  <c r="J5911" i="1"/>
  <c r="K5911" i="1"/>
  <c r="L5911" i="1"/>
  <c r="A5912" i="1"/>
  <c r="B5912" i="1"/>
  <c r="C5912" i="1"/>
  <c r="D5912" i="1"/>
  <c r="Q5912" i="1"/>
  <c r="R5912" i="1"/>
  <c r="E5912" i="1"/>
  <c r="G5912" i="1"/>
  <c r="H5912" i="1"/>
  <c r="J5912" i="1"/>
  <c r="K5912" i="1"/>
  <c r="L5912" i="1"/>
  <c r="A5913" i="1"/>
  <c r="B5913" i="1"/>
  <c r="C5913" i="1"/>
  <c r="D5913" i="1"/>
  <c r="Q5913" i="1"/>
  <c r="R5913" i="1"/>
  <c r="E5913" i="1"/>
  <c r="G5913" i="1"/>
  <c r="H5913" i="1"/>
  <c r="J5913" i="1"/>
  <c r="K5913" i="1"/>
  <c r="L5913" i="1"/>
  <c r="A5914" i="1"/>
  <c r="B5914" i="1"/>
  <c r="C5914" i="1"/>
  <c r="D5914" i="1"/>
  <c r="Q5914" i="1"/>
  <c r="R5914" i="1"/>
  <c r="E5914" i="1"/>
  <c r="G5914" i="1"/>
  <c r="H5914" i="1"/>
  <c r="J5914" i="1"/>
  <c r="K5914" i="1"/>
  <c r="L5914" i="1"/>
  <c r="A5915" i="1"/>
  <c r="B5915" i="1"/>
  <c r="C5915" i="1"/>
  <c r="D5915" i="1"/>
  <c r="Q5915" i="1"/>
  <c r="R5915" i="1"/>
  <c r="E5915" i="1"/>
  <c r="G5915" i="1"/>
  <c r="H5915" i="1"/>
  <c r="J5915" i="1"/>
  <c r="K5915" i="1"/>
  <c r="L5915" i="1"/>
  <c r="A5916" i="1"/>
  <c r="B5916" i="1"/>
  <c r="C5916" i="1"/>
  <c r="D5916" i="1"/>
  <c r="Q5916" i="1"/>
  <c r="R5916" i="1"/>
  <c r="E5916" i="1"/>
  <c r="G5916" i="1"/>
  <c r="H5916" i="1"/>
  <c r="J5916" i="1"/>
  <c r="K5916" i="1"/>
  <c r="L5916" i="1"/>
  <c r="A5917" i="1"/>
  <c r="B5917" i="1"/>
  <c r="C5917" i="1"/>
  <c r="D5917" i="1"/>
  <c r="Q5917" i="1"/>
  <c r="R5917" i="1"/>
  <c r="E5917" i="1"/>
  <c r="G5917" i="1"/>
  <c r="H5917" i="1"/>
  <c r="J5917" i="1"/>
  <c r="K5917" i="1"/>
  <c r="L5917" i="1"/>
  <c r="A5918" i="1"/>
  <c r="B5918" i="1"/>
  <c r="C5918" i="1"/>
  <c r="D5918" i="1"/>
  <c r="Q5918" i="1"/>
  <c r="R5918" i="1"/>
  <c r="E5918" i="1"/>
  <c r="G5918" i="1"/>
  <c r="H5918" i="1"/>
  <c r="J5918" i="1"/>
  <c r="K5918" i="1"/>
  <c r="L5918" i="1"/>
  <c r="A5919" i="1"/>
  <c r="B5919" i="1"/>
  <c r="C5919" i="1"/>
  <c r="D5919" i="1"/>
  <c r="Q5919" i="1"/>
  <c r="R5919" i="1"/>
  <c r="E5919" i="1"/>
  <c r="G5919" i="1"/>
  <c r="H5919" i="1"/>
  <c r="J5919" i="1"/>
  <c r="K5919" i="1"/>
  <c r="L5919" i="1"/>
  <c r="A5920" i="1"/>
  <c r="B5920" i="1"/>
  <c r="C5920" i="1"/>
  <c r="D5920" i="1"/>
  <c r="Q5920" i="1"/>
  <c r="R5920" i="1"/>
  <c r="E5920" i="1"/>
  <c r="G5920" i="1"/>
  <c r="H5920" i="1"/>
  <c r="J5920" i="1"/>
  <c r="K5920" i="1"/>
  <c r="L5920" i="1"/>
  <c r="A5921" i="1"/>
  <c r="B5921" i="1"/>
  <c r="C5921" i="1"/>
  <c r="D5921" i="1"/>
  <c r="Q5921" i="1"/>
  <c r="R5921" i="1"/>
  <c r="E5921" i="1"/>
  <c r="G5921" i="1"/>
  <c r="H5921" i="1"/>
  <c r="J5921" i="1"/>
  <c r="K5921" i="1"/>
  <c r="L5921" i="1"/>
  <c r="A5922" i="1"/>
  <c r="B5922" i="1"/>
  <c r="C5922" i="1"/>
  <c r="D5922" i="1"/>
  <c r="Q5922" i="1"/>
  <c r="R5922" i="1"/>
  <c r="E5922" i="1"/>
  <c r="G5922" i="1"/>
  <c r="H5922" i="1"/>
  <c r="J5922" i="1"/>
  <c r="K5922" i="1"/>
  <c r="L5922" i="1"/>
  <c r="A5923" i="1"/>
  <c r="B5923" i="1"/>
  <c r="C5923" i="1"/>
  <c r="D5923" i="1"/>
  <c r="Q5923" i="1"/>
  <c r="R5923" i="1"/>
  <c r="E5923" i="1"/>
  <c r="G5923" i="1"/>
  <c r="H5923" i="1"/>
  <c r="J5923" i="1"/>
  <c r="K5923" i="1"/>
  <c r="L5923" i="1"/>
  <c r="A5924" i="1"/>
  <c r="B5924" i="1"/>
  <c r="C5924" i="1"/>
  <c r="D5924" i="1"/>
  <c r="Q5924" i="1"/>
  <c r="R5924" i="1"/>
  <c r="E5924" i="1"/>
  <c r="G5924" i="1"/>
  <c r="H5924" i="1"/>
  <c r="J5924" i="1"/>
  <c r="K5924" i="1"/>
  <c r="L5924" i="1"/>
  <c r="A5925" i="1"/>
  <c r="B5925" i="1"/>
  <c r="C5925" i="1"/>
  <c r="D5925" i="1"/>
  <c r="Q5925" i="1"/>
  <c r="R5925" i="1"/>
  <c r="E5925" i="1"/>
  <c r="G5925" i="1"/>
  <c r="H5925" i="1"/>
  <c r="J5925" i="1"/>
  <c r="K5925" i="1"/>
  <c r="L5925" i="1"/>
  <c r="A5926" i="1"/>
  <c r="B5926" i="1"/>
  <c r="C5926" i="1"/>
  <c r="D5926" i="1"/>
  <c r="Q5926" i="1"/>
  <c r="R5926" i="1"/>
  <c r="E5926" i="1"/>
  <c r="G5926" i="1"/>
  <c r="H5926" i="1"/>
  <c r="J5926" i="1"/>
  <c r="K5926" i="1"/>
  <c r="L5926" i="1"/>
  <c r="A5927" i="1"/>
  <c r="B5927" i="1"/>
  <c r="C5927" i="1"/>
  <c r="D5927" i="1"/>
  <c r="Q5927" i="1"/>
  <c r="R5927" i="1"/>
  <c r="E5927" i="1"/>
  <c r="G5927" i="1"/>
  <c r="H5927" i="1"/>
  <c r="J5927" i="1"/>
  <c r="K5927" i="1"/>
  <c r="L5927" i="1"/>
  <c r="A4357" i="1"/>
  <c r="B4357" i="1"/>
  <c r="C4357" i="1"/>
  <c r="D4357" i="1"/>
  <c r="Q4357" i="1"/>
  <c r="R4357" i="1"/>
  <c r="E4357" i="1"/>
  <c r="G4357" i="1"/>
  <c r="H4357" i="1"/>
  <c r="J4357" i="1"/>
  <c r="K4357" i="1"/>
  <c r="L4357" i="1"/>
  <c r="A4358" i="1"/>
  <c r="B4358" i="1"/>
  <c r="C4358" i="1"/>
  <c r="D4358" i="1"/>
  <c r="Q4358" i="1"/>
  <c r="R4358" i="1"/>
  <c r="E4358" i="1"/>
  <c r="G4358" i="1"/>
  <c r="H4358" i="1"/>
  <c r="J4358" i="1"/>
  <c r="K4358" i="1"/>
  <c r="L4358" i="1"/>
  <c r="A4359" i="1"/>
  <c r="B4359" i="1"/>
  <c r="C4359" i="1"/>
  <c r="D4359" i="1"/>
  <c r="Q4359" i="1"/>
  <c r="R4359" i="1"/>
  <c r="E4359" i="1"/>
  <c r="G4359" i="1"/>
  <c r="H4359" i="1"/>
  <c r="J4359" i="1"/>
  <c r="K4359" i="1"/>
  <c r="L4359" i="1"/>
  <c r="A4360" i="1"/>
  <c r="B4360" i="1"/>
  <c r="C4360" i="1"/>
  <c r="D4360" i="1"/>
  <c r="Q4360" i="1"/>
  <c r="R4360" i="1"/>
  <c r="E4360" i="1"/>
  <c r="G4360" i="1"/>
  <c r="H4360" i="1"/>
  <c r="J4360" i="1"/>
  <c r="K4360" i="1"/>
  <c r="L4360" i="1"/>
  <c r="A4361" i="1"/>
  <c r="B4361" i="1"/>
  <c r="C4361" i="1"/>
  <c r="D4361" i="1"/>
  <c r="Q4361" i="1"/>
  <c r="R4361" i="1"/>
  <c r="E4361" i="1"/>
  <c r="G4361" i="1"/>
  <c r="H4361" i="1"/>
  <c r="J4361" i="1"/>
  <c r="K4361" i="1"/>
  <c r="L4361" i="1"/>
  <c r="A4362" i="1"/>
  <c r="B4362" i="1"/>
  <c r="C4362" i="1"/>
  <c r="D4362" i="1"/>
  <c r="Q4362" i="1"/>
  <c r="R4362" i="1"/>
  <c r="E4362" i="1"/>
  <c r="G4362" i="1"/>
  <c r="H4362" i="1"/>
  <c r="J4362" i="1"/>
  <c r="K4362" i="1"/>
  <c r="L4362" i="1"/>
  <c r="A4363" i="1"/>
  <c r="B4363" i="1"/>
  <c r="C4363" i="1"/>
  <c r="D4363" i="1"/>
  <c r="Q4363" i="1"/>
  <c r="R4363" i="1"/>
  <c r="E4363" i="1"/>
  <c r="G4363" i="1"/>
  <c r="H4363" i="1"/>
  <c r="J4363" i="1"/>
  <c r="K4363" i="1"/>
  <c r="L4363" i="1"/>
  <c r="A5928" i="1"/>
  <c r="B5928" i="1"/>
  <c r="C5928" i="1"/>
  <c r="D5928" i="1"/>
  <c r="Q5928" i="1"/>
  <c r="R5928" i="1"/>
  <c r="E5928" i="1"/>
  <c r="G5928" i="1"/>
  <c r="H5928" i="1"/>
  <c r="J5928" i="1"/>
  <c r="K5928" i="1"/>
  <c r="L5928" i="1"/>
  <c r="A5929" i="1"/>
  <c r="B5929" i="1"/>
  <c r="C5929" i="1"/>
  <c r="D5929" i="1"/>
  <c r="Q5929" i="1"/>
  <c r="R5929" i="1"/>
  <c r="E5929" i="1"/>
  <c r="G5929" i="1"/>
  <c r="H5929" i="1"/>
  <c r="J5929" i="1"/>
  <c r="K5929" i="1"/>
  <c r="L5929" i="1"/>
  <c r="A5930" i="1"/>
  <c r="B5930" i="1"/>
  <c r="C5930" i="1"/>
  <c r="D5930" i="1"/>
  <c r="Q5930" i="1"/>
  <c r="R5930" i="1"/>
  <c r="E5930" i="1"/>
  <c r="G5930" i="1"/>
  <c r="H5930" i="1"/>
  <c r="J5930" i="1"/>
  <c r="K5930" i="1"/>
  <c r="L5930" i="1"/>
  <c r="A5931" i="1"/>
  <c r="B5931" i="1"/>
  <c r="C5931" i="1"/>
  <c r="D5931" i="1"/>
  <c r="Q5931" i="1"/>
  <c r="R5931" i="1"/>
  <c r="E5931" i="1"/>
  <c r="G5931" i="1"/>
  <c r="H5931" i="1"/>
  <c r="J5931" i="1"/>
  <c r="K5931" i="1"/>
  <c r="L5931" i="1"/>
  <c r="A5932" i="1"/>
  <c r="B5932" i="1"/>
  <c r="C5932" i="1"/>
  <c r="D5932" i="1"/>
  <c r="Q5932" i="1"/>
  <c r="R5932" i="1"/>
  <c r="E5932" i="1"/>
  <c r="G5932" i="1"/>
  <c r="H5932" i="1"/>
  <c r="J5932" i="1"/>
  <c r="K5932" i="1"/>
  <c r="L5932" i="1"/>
  <c r="A5933" i="1"/>
  <c r="B5933" i="1"/>
  <c r="C5933" i="1"/>
  <c r="D5933" i="1"/>
  <c r="Q5933" i="1"/>
  <c r="R5933" i="1"/>
  <c r="E5933" i="1"/>
  <c r="G5933" i="1"/>
  <c r="H5933" i="1"/>
  <c r="J5933" i="1"/>
  <c r="K5933" i="1"/>
  <c r="L5933" i="1"/>
  <c r="A5934" i="1"/>
  <c r="B5934" i="1"/>
  <c r="C5934" i="1"/>
  <c r="D5934" i="1"/>
  <c r="Q5934" i="1"/>
  <c r="R5934" i="1"/>
  <c r="E5934" i="1"/>
  <c r="G5934" i="1"/>
  <c r="H5934" i="1"/>
  <c r="J5934" i="1"/>
  <c r="K5934" i="1"/>
  <c r="L5934" i="1"/>
  <c r="A5935" i="1"/>
  <c r="B5935" i="1"/>
  <c r="C5935" i="1"/>
  <c r="D5935" i="1"/>
  <c r="Q5935" i="1"/>
  <c r="R5935" i="1"/>
  <c r="E5935" i="1"/>
  <c r="G5935" i="1"/>
  <c r="H5935" i="1"/>
  <c r="J5935" i="1"/>
  <c r="K5935" i="1"/>
  <c r="L5935" i="1"/>
  <c r="A5936" i="1"/>
  <c r="B5936" i="1"/>
  <c r="C5936" i="1"/>
  <c r="D5936" i="1"/>
  <c r="Q5936" i="1"/>
  <c r="R5936" i="1"/>
  <c r="E5936" i="1"/>
  <c r="G5936" i="1"/>
  <c r="H5936" i="1"/>
  <c r="J5936" i="1"/>
  <c r="K5936" i="1"/>
  <c r="L5936" i="1"/>
  <c r="A5937" i="1"/>
  <c r="B5937" i="1"/>
  <c r="C5937" i="1"/>
  <c r="D5937" i="1"/>
  <c r="Q5937" i="1"/>
  <c r="R5937" i="1"/>
  <c r="E5937" i="1"/>
  <c r="G5937" i="1"/>
  <c r="H5937" i="1"/>
  <c r="J5937" i="1"/>
  <c r="K5937" i="1"/>
  <c r="L5937" i="1"/>
  <c r="A5938" i="1"/>
  <c r="B5938" i="1"/>
  <c r="C5938" i="1"/>
  <c r="D5938" i="1"/>
  <c r="Q5938" i="1"/>
  <c r="R5938" i="1"/>
  <c r="E5938" i="1"/>
  <c r="G5938" i="1"/>
  <c r="H5938" i="1"/>
  <c r="J5938" i="1"/>
  <c r="K5938" i="1"/>
  <c r="L5938" i="1"/>
  <c r="A5939" i="1"/>
  <c r="B5939" i="1"/>
  <c r="C5939" i="1"/>
  <c r="D5939" i="1"/>
  <c r="Q5939" i="1"/>
  <c r="R5939" i="1"/>
  <c r="E5939" i="1"/>
  <c r="G5939" i="1"/>
  <c r="H5939" i="1"/>
  <c r="J5939" i="1"/>
  <c r="K5939" i="1"/>
  <c r="L5939" i="1"/>
  <c r="A5940" i="1"/>
  <c r="B5940" i="1"/>
  <c r="C5940" i="1"/>
  <c r="D5940" i="1"/>
  <c r="Q5940" i="1"/>
  <c r="R5940" i="1"/>
  <c r="E5940" i="1"/>
  <c r="G5940" i="1"/>
  <c r="H5940" i="1"/>
  <c r="J5940" i="1"/>
  <c r="K5940" i="1"/>
  <c r="L5940" i="1"/>
  <c r="A5941" i="1"/>
  <c r="B5941" i="1"/>
  <c r="C5941" i="1"/>
  <c r="D5941" i="1"/>
  <c r="Q5941" i="1"/>
  <c r="R5941" i="1"/>
  <c r="E5941" i="1"/>
  <c r="G5941" i="1"/>
  <c r="H5941" i="1"/>
  <c r="J5941" i="1"/>
  <c r="K5941" i="1"/>
  <c r="L5941" i="1"/>
  <c r="A5942" i="1"/>
  <c r="B5942" i="1"/>
  <c r="C5942" i="1"/>
  <c r="D5942" i="1"/>
  <c r="Q5942" i="1"/>
  <c r="R5942" i="1"/>
  <c r="E5942" i="1"/>
  <c r="G5942" i="1"/>
  <c r="H5942" i="1"/>
  <c r="J5942" i="1"/>
  <c r="K5942" i="1"/>
  <c r="L5942" i="1"/>
  <c r="A5943" i="1"/>
  <c r="B5943" i="1"/>
  <c r="C5943" i="1"/>
  <c r="D5943" i="1"/>
  <c r="Q5943" i="1"/>
  <c r="R5943" i="1"/>
  <c r="E5943" i="1"/>
  <c r="G5943" i="1"/>
  <c r="H5943" i="1"/>
  <c r="J5943" i="1"/>
  <c r="K5943" i="1"/>
  <c r="L5943" i="1"/>
  <c r="A5944" i="1"/>
  <c r="B5944" i="1"/>
  <c r="C5944" i="1"/>
  <c r="D5944" i="1"/>
  <c r="Q5944" i="1"/>
  <c r="R5944" i="1"/>
  <c r="E5944" i="1"/>
  <c r="G5944" i="1"/>
  <c r="H5944" i="1"/>
  <c r="J5944" i="1"/>
  <c r="K5944" i="1"/>
  <c r="L5944" i="1"/>
  <c r="A5945" i="1"/>
  <c r="B5945" i="1"/>
  <c r="C5945" i="1"/>
  <c r="D5945" i="1"/>
  <c r="Q5945" i="1"/>
  <c r="R5945" i="1"/>
  <c r="E5945" i="1"/>
  <c r="G5945" i="1"/>
  <c r="H5945" i="1"/>
  <c r="J5945" i="1"/>
  <c r="K5945" i="1"/>
  <c r="L5945" i="1"/>
  <c r="A5946" i="1"/>
  <c r="B5946" i="1"/>
  <c r="C5946" i="1"/>
  <c r="D5946" i="1"/>
  <c r="Q5946" i="1"/>
  <c r="R5946" i="1"/>
  <c r="E5946" i="1"/>
  <c r="G5946" i="1"/>
  <c r="H5946" i="1"/>
  <c r="J5946" i="1"/>
  <c r="K5946" i="1"/>
  <c r="L5946" i="1"/>
  <c r="A5947" i="1"/>
  <c r="B5947" i="1"/>
  <c r="C5947" i="1"/>
  <c r="D5947" i="1"/>
  <c r="Q5947" i="1"/>
  <c r="R5947" i="1"/>
  <c r="E5947" i="1"/>
  <c r="G5947" i="1"/>
  <c r="H5947" i="1"/>
  <c r="J5947" i="1"/>
  <c r="K5947" i="1"/>
  <c r="L5947" i="1"/>
  <c r="A5948" i="1"/>
  <c r="B5948" i="1"/>
  <c r="C5948" i="1"/>
  <c r="D5948" i="1"/>
  <c r="Q5948" i="1"/>
  <c r="R5948" i="1"/>
  <c r="E5948" i="1"/>
  <c r="G5948" i="1"/>
  <c r="H5948" i="1"/>
  <c r="J5948" i="1"/>
  <c r="K5948" i="1"/>
  <c r="L5948" i="1"/>
  <c r="A5949" i="1"/>
  <c r="B5949" i="1"/>
  <c r="C5949" i="1"/>
  <c r="D5949" i="1"/>
  <c r="Q5949" i="1"/>
  <c r="R5949" i="1"/>
  <c r="E5949" i="1"/>
  <c r="G5949" i="1"/>
  <c r="H5949" i="1"/>
  <c r="J5949" i="1"/>
  <c r="K5949" i="1"/>
  <c r="L5949" i="1"/>
  <c r="A5950" i="1"/>
  <c r="B5950" i="1"/>
  <c r="C5950" i="1"/>
  <c r="D5950" i="1"/>
  <c r="Q5950" i="1"/>
  <c r="R5950" i="1"/>
  <c r="E5950" i="1"/>
  <c r="G5950" i="1"/>
  <c r="H5950" i="1"/>
  <c r="J5950" i="1"/>
  <c r="K5950" i="1"/>
  <c r="L5950" i="1"/>
  <c r="A5951" i="1"/>
  <c r="B5951" i="1"/>
  <c r="C5951" i="1"/>
  <c r="D5951" i="1"/>
  <c r="Q5951" i="1"/>
  <c r="R5951" i="1"/>
  <c r="E5951" i="1"/>
  <c r="G5951" i="1"/>
  <c r="H5951" i="1"/>
  <c r="J5951" i="1"/>
  <c r="K5951" i="1"/>
  <c r="L5951" i="1"/>
  <c r="A5952" i="1"/>
  <c r="B5952" i="1"/>
  <c r="C5952" i="1"/>
  <c r="D5952" i="1"/>
  <c r="Q5952" i="1"/>
  <c r="R5952" i="1"/>
  <c r="E5952" i="1"/>
  <c r="G5952" i="1"/>
  <c r="H5952" i="1"/>
  <c r="J5952" i="1"/>
  <c r="K5952" i="1"/>
  <c r="L5952" i="1"/>
  <c r="A5953" i="1"/>
  <c r="B5953" i="1"/>
  <c r="C5953" i="1"/>
  <c r="D5953" i="1"/>
  <c r="Q5953" i="1"/>
  <c r="R5953" i="1"/>
  <c r="E5953" i="1"/>
  <c r="G5953" i="1"/>
  <c r="H5953" i="1"/>
  <c r="J5953" i="1"/>
  <c r="K5953" i="1"/>
  <c r="L5953" i="1"/>
  <c r="A5954" i="1"/>
  <c r="B5954" i="1"/>
  <c r="C5954" i="1"/>
  <c r="D5954" i="1"/>
  <c r="Q5954" i="1"/>
  <c r="R5954" i="1"/>
  <c r="E5954" i="1"/>
  <c r="G5954" i="1"/>
  <c r="H5954" i="1"/>
  <c r="J5954" i="1"/>
  <c r="K5954" i="1"/>
  <c r="L5954" i="1"/>
  <c r="A5955" i="1"/>
  <c r="B5955" i="1"/>
  <c r="C5955" i="1"/>
  <c r="D5955" i="1"/>
  <c r="Q5955" i="1"/>
  <c r="R5955" i="1"/>
  <c r="E5955" i="1"/>
  <c r="G5955" i="1"/>
  <c r="H5955" i="1"/>
  <c r="J5955" i="1"/>
  <c r="K5955" i="1"/>
  <c r="L5955" i="1"/>
  <c r="A5956" i="1"/>
  <c r="B5956" i="1"/>
  <c r="C5956" i="1"/>
  <c r="D5956" i="1"/>
  <c r="Q5956" i="1"/>
  <c r="R5956" i="1"/>
  <c r="E5956" i="1"/>
  <c r="G5956" i="1"/>
  <c r="H5956" i="1"/>
  <c r="J5956" i="1"/>
  <c r="K5956" i="1"/>
  <c r="L5956" i="1"/>
  <c r="A5957" i="1"/>
  <c r="B5957" i="1"/>
  <c r="C5957" i="1"/>
  <c r="D5957" i="1"/>
  <c r="Q5957" i="1"/>
  <c r="R5957" i="1"/>
  <c r="E5957" i="1"/>
  <c r="G5957" i="1"/>
  <c r="H5957" i="1"/>
  <c r="J5957" i="1"/>
  <c r="K5957" i="1"/>
  <c r="L5957" i="1"/>
  <c r="A5958" i="1"/>
  <c r="B5958" i="1"/>
  <c r="C5958" i="1"/>
  <c r="D5958" i="1"/>
  <c r="Q5958" i="1"/>
  <c r="R5958" i="1"/>
  <c r="E5958" i="1"/>
  <c r="G5958" i="1"/>
  <c r="H5958" i="1"/>
  <c r="J5958" i="1"/>
  <c r="K5958" i="1"/>
  <c r="L5958" i="1"/>
  <c r="A5959" i="1"/>
  <c r="B5959" i="1"/>
  <c r="C5959" i="1"/>
  <c r="D5959" i="1"/>
  <c r="Q5959" i="1"/>
  <c r="R5959" i="1"/>
  <c r="E5959" i="1"/>
  <c r="G5959" i="1"/>
  <c r="H5959" i="1"/>
  <c r="J5959" i="1"/>
  <c r="K5959" i="1"/>
  <c r="L5959" i="1"/>
  <c r="A5960" i="1"/>
  <c r="B5960" i="1"/>
  <c r="C5960" i="1"/>
  <c r="D5960" i="1"/>
  <c r="Q5960" i="1"/>
  <c r="R5960" i="1"/>
  <c r="E5960" i="1"/>
  <c r="G5960" i="1"/>
  <c r="H5960" i="1"/>
  <c r="J5960" i="1"/>
  <c r="K5960" i="1"/>
  <c r="L5960" i="1"/>
  <c r="A5961" i="1"/>
  <c r="B5961" i="1"/>
  <c r="C5961" i="1"/>
  <c r="D5961" i="1"/>
  <c r="Q5961" i="1"/>
  <c r="R5961" i="1"/>
  <c r="E5961" i="1"/>
  <c r="G5961" i="1"/>
  <c r="H5961" i="1"/>
  <c r="J5961" i="1"/>
  <c r="K5961" i="1"/>
  <c r="L5961" i="1"/>
  <c r="A5962" i="1"/>
  <c r="B5962" i="1"/>
  <c r="C5962" i="1"/>
  <c r="D5962" i="1"/>
  <c r="Q5962" i="1"/>
  <c r="R5962" i="1"/>
  <c r="E5962" i="1"/>
  <c r="G5962" i="1"/>
  <c r="H5962" i="1"/>
  <c r="J5962" i="1"/>
  <c r="K5962" i="1"/>
  <c r="L5962" i="1"/>
  <c r="A5963" i="1"/>
  <c r="B5963" i="1"/>
  <c r="C5963" i="1"/>
  <c r="D5963" i="1"/>
  <c r="Q5963" i="1"/>
  <c r="R5963" i="1"/>
  <c r="E5963" i="1"/>
  <c r="G5963" i="1"/>
  <c r="H5963" i="1"/>
  <c r="J5963" i="1"/>
  <c r="K5963" i="1"/>
  <c r="L5963" i="1"/>
  <c r="A5964" i="1"/>
  <c r="B5964" i="1"/>
  <c r="C5964" i="1"/>
  <c r="D5964" i="1"/>
  <c r="Q5964" i="1"/>
  <c r="R5964" i="1"/>
  <c r="E5964" i="1"/>
  <c r="G5964" i="1"/>
  <c r="H5964" i="1"/>
  <c r="J5964" i="1"/>
  <c r="K5964" i="1"/>
  <c r="L5964" i="1"/>
  <c r="A5965" i="1"/>
  <c r="B5965" i="1"/>
  <c r="C5965" i="1"/>
  <c r="D5965" i="1"/>
  <c r="Q5965" i="1"/>
  <c r="R5965" i="1"/>
  <c r="E5965" i="1"/>
  <c r="G5965" i="1"/>
  <c r="H5965" i="1"/>
  <c r="J5965" i="1"/>
  <c r="K5965" i="1"/>
  <c r="L5965" i="1"/>
  <c r="A5966" i="1"/>
  <c r="B5966" i="1"/>
  <c r="C5966" i="1"/>
  <c r="D5966" i="1"/>
  <c r="Q5966" i="1"/>
  <c r="R5966" i="1"/>
  <c r="E5966" i="1"/>
  <c r="G5966" i="1"/>
  <c r="H5966" i="1"/>
  <c r="J5966" i="1"/>
  <c r="K5966" i="1"/>
  <c r="L5966" i="1"/>
  <c r="A5967" i="1"/>
  <c r="B5967" i="1"/>
  <c r="C5967" i="1"/>
  <c r="D5967" i="1"/>
  <c r="Q5967" i="1"/>
  <c r="R5967" i="1"/>
  <c r="E5967" i="1"/>
  <c r="G5967" i="1"/>
  <c r="H5967" i="1"/>
  <c r="J5967" i="1"/>
  <c r="K5967" i="1"/>
  <c r="L5967" i="1"/>
  <c r="A5968" i="1"/>
  <c r="B5968" i="1"/>
  <c r="C5968" i="1"/>
  <c r="D5968" i="1"/>
  <c r="Q5968" i="1"/>
  <c r="R5968" i="1"/>
  <c r="E5968" i="1"/>
  <c r="G5968" i="1"/>
  <c r="H5968" i="1"/>
  <c r="J5968" i="1"/>
  <c r="K5968" i="1"/>
  <c r="L5968" i="1"/>
  <c r="A5969" i="1"/>
  <c r="B5969" i="1"/>
  <c r="C5969" i="1"/>
  <c r="D5969" i="1"/>
  <c r="Q5969" i="1"/>
  <c r="R5969" i="1"/>
  <c r="E5969" i="1"/>
  <c r="F5969" i="1"/>
  <c r="G5969" i="1"/>
  <c r="H5969" i="1"/>
  <c r="J5969" i="1"/>
  <c r="K5969" i="1"/>
  <c r="L5969" i="1"/>
  <c r="A5970" i="1"/>
  <c r="B5970" i="1"/>
  <c r="C5970" i="1"/>
  <c r="D5970" i="1"/>
  <c r="Q5970" i="1"/>
  <c r="R5970" i="1"/>
  <c r="E5970" i="1"/>
  <c r="F5970" i="1"/>
  <c r="G5970" i="1"/>
  <c r="H5970" i="1"/>
  <c r="J5970" i="1"/>
  <c r="K5970" i="1"/>
  <c r="L5970" i="1"/>
  <c r="A5971" i="1"/>
  <c r="B5971" i="1"/>
  <c r="C5971" i="1"/>
  <c r="D5971" i="1"/>
  <c r="Q5971" i="1"/>
  <c r="R5971" i="1"/>
  <c r="E5971" i="1"/>
  <c r="F5971" i="1"/>
  <c r="G5971" i="1"/>
  <c r="H5971" i="1"/>
  <c r="J5971" i="1"/>
  <c r="K5971" i="1"/>
  <c r="L5971" i="1"/>
  <c r="A5972" i="1"/>
  <c r="B5972" i="1"/>
  <c r="C5972" i="1"/>
  <c r="D5972" i="1"/>
  <c r="Q5972" i="1"/>
  <c r="R5972" i="1"/>
  <c r="E5972" i="1"/>
  <c r="F5972" i="1"/>
  <c r="G5972" i="1"/>
  <c r="H5972" i="1"/>
  <c r="J5972" i="1"/>
  <c r="K5972" i="1"/>
  <c r="L5972" i="1"/>
  <c r="A5973" i="1"/>
  <c r="B5973" i="1"/>
  <c r="C5973" i="1"/>
  <c r="D5973" i="1"/>
  <c r="Q5973" i="1"/>
  <c r="R5973" i="1"/>
  <c r="E5973" i="1"/>
  <c r="G5973" i="1"/>
  <c r="H5973" i="1"/>
  <c r="J5973" i="1"/>
  <c r="K5973" i="1"/>
  <c r="L5973" i="1"/>
  <c r="A5974" i="1"/>
  <c r="B5974" i="1"/>
  <c r="C5974" i="1"/>
  <c r="D5974" i="1"/>
  <c r="Q5974" i="1"/>
  <c r="R5974" i="1"/>
  <c r="E5974" i="1"/>
  <c r="G5974" i="1"/>
  <c r="H5974" i="1"/>
  <c r="J5974" i="1"/>
  <c r="K5974" i="1"/>
  <c r="L5974" i="1"/>
  <c r="A5975" i="1"/>
  <c r="B5975" i="1"/>
  <c r="C5975" i="1"/>
  <c r="D5975" i="1"/>
  <c r="Q5975" i="1"/>
  <c r="R5975" i="1"/>
  <c r="E5975" i="1"/>
  <c r="G5975" i="1"/>
  <c r="H5975" i="1"/>
  <c r="J5975" i="1"/>
  <c r="K5975" i="1"/>
  <c r="L5975" i="1"/>
  <c r="A5976" i="1"/>
  <c r="B5976" i="1"/>
  <c r="C5976" i="1"/>
  <c r="D5976" i="1"/>
  <c r="Q5976" i="1"/>
  <c r="R5976" i="1"/>
  <c r="E5976" i="1"/>
  <c r="G5976" i="1"/>
  <c r="H5976" i="1"/>
  <c r="J5976" i="1"/>
  <c r="K5976" i="1"/>
  <c r="L5976" i="1"/>
  <c r="A5977" i="1"/>
  <c r="B5977" i="1"/>
  <c r="C5977" i="1"/>
  <c r="D5977" i="1"/>
  <c r="Q5977" i="1"/>
  <c r="R5977" i="1"/>
  <c r="E5977" i="1"/>
  <c r="G5977" i="1"/>
  <c r="H5977" i="1"/>
  <c r="J5977" i="1"/>
  <c r="K5977" i="1"/>
  <c r="L5977" i="1"/>
  <c r="A5978" i="1"/>
  <c r="B5978" i="1"/>
  <c r="C5978" i="1"/>
  <c r="D5978" i="1"/>
  <c r="Q5978" i="1"/>
  <c r="R5978" i="1"/>
  <c r="E5978" i="1"/>
  <c r="G5978" i="1"/>
  <c r="H5978" i="1"/>
  <c r="J5978" i="1"/>
  <c r="K5978" i="1"/>
  <c r="L5978" i="1"/>
  <c r="A5979" i="1"/>
  <c r="B5979" i="1"/>
  <c r="C5979" i="1"/>
  <c r="D5979" i="1"/>
  <c r="Q5979" i="1"/>
  <c r="R5979" i="1"/>
  <c r="E5979" i="1"/>
  <c r="G5979" i="1"/>
  <c r="H5979" i="1"/>
  <c r="J5979" i="1"/>
  <c r="K5979" i="1"/>
  <c r="L5979" i="1"/>
  <c r="A5980" i="1"/>
  <c r="B5980" i="1"/>
  <c r="C5980" i="1"/>
  <c r="D5980" i="1"/>
  <c r="Q5980" i="1"/>
  <c r="R5980" i="1"/>
  <c r="E5980" i="1"/>
  <c r="G5980" i="1"/>
  <c r="H5980" i="1"/>
  <c r="J5980" i="1"/>
  <c r="K5980" i="1"/>
  <c r="L5980" i="1"/>
  <c r="A5981" i="1"/>
  <c r="B5981" i="1"/>
  <c r="C5981" i="1"/>
  <c r="D5981" i="1"/>
  <c r="Q5981" i="1"/>
  <c r="R5981" i="1"/>
  <c r="E5981" i="1"/>
  <c r="G5981" i="1"/>
  <c r="H5981" i="1"/>
  <c r="J5981" i="1"/>
  <c r="K5981" i="1"/>
  <c r="L5981" i="1"/>
  <c r="A5982" i="1"/>
  <c r="B5982" i="1"/>
  <c r="C5982" i="1"/>
  <c r="D5982" i="1"/>
  <c r="Q5982" i="1"/>
  <c r="R5982" i="1"/>
  <c r="E5982" i="1"/>
  <c r="G5982" i="1"/>
  <c r="H5982" i="1"/>
  <c r="J5982" i="1"/>
  <c r="K5982" i="1"/>
  <c r="L5982" i="1"/>
  <c r="A5983" i="1"/>
  <c r="B5983" i="1"/>
  <c r="C5983" i="1"/>
  <c r="D5983" i="1"/>
  <c r="Q5983" i="1"/>
  <c r="R5983" i="1"/>
  <c r="E5983" i="1"/>
  <c r="G5983" i="1"/>
  <c r="H5983" i="1"/>
  <c r="J5983" i="1"/>
  <c r="K5983" i="1"/>
  <c r="L5983" i="1"/>
  <c r="A5984" i="1"/>
  <c r="B5984" i="1"/>
  <c r="C5984" i="1"/>
  <c r="D5984" i="1"/>
  <c r="Q5984" i="1"/>
  <c r="R5984" i="1"/>
  <c r="E5984" i="1"/>
  <c r="G5984" i="1"/>
  <c r="H5984" i="1"/>
  <c r="J5984" i="1"/>
  <c r="K5984" i="1"/>
  <c r="L5984" i="1"/>
  <c r="A5985" i="1"/>
  <c r="B5985" i="1"/>
  <c r="C5985" i="1"/>
  <c r="D5985" i="1"/>
  <c r="Q5985" i="1"/>
  <c r="R5985" i="1"/>
  <c r="E5985" i="1"/>
  <c r="G5985" i="1"/>
  <c r="H5985" i="1"/>
  <c r="J5985" i="1"/>
  <c r="K5985" i="1"/>
  <c r="L5985" i="1"/>
  <c r="A5986" i="1"/>
  <c r="B5986" i="1"/>
  <c r="C5986" i="1"/>
  <c r="D5986" i="1"/>
  <c r="Q5986" i="1"/>
  <c r="R5986" i="1"/>
  <c r="E5986" i="1"/>
  <c r="G5986" i="1"/>
  <c r="H5986" i="1"/>
  <c r="J5986" i="1"/>
  <c r="K5986" i="1"/>
  <c r="L5986" i="1"/>
  <c r="A5987" i="1"/>
  <c r="B5987" i="1"/>
  <c r="C5987" i="1"/>
  <c r="D5987" i="1"/>
  <c r="Q5987" i="1"/>
  <c r="R5987" i="1"/>
  <c r="E5987" i="1"/>
  <c r="G5987" i="1"/>
  <c r="H5987" i="1"/>
  <c r="J5987" i="1"/>
  <c r="K5987" i="1"/>
  <c r="L5987" i="1"/>
  <c r="A5988" i="1"/>
  <c r="B5988" i="1"/>
  <c r="C5988" i="1"/>
  <c r="D5988" i="1"/>
  <c r="Q5988" i="1"/>
  <c r="R5988" i="1"/>
  <c r="E5988" i="1"/>
  <c r="G5988" i="1"/>
  <c r="H5988" i="1"/>
  <c r="J5988" i="1"/>
  <c r="K5988" i="1"/>
  <c r="L5988" i="1"/>
  <c r="A5989" i="1"/>
  <c r="B5989" i="1"/>
  <c r="C5989" i="1"/>
  <c r="D5989" i="1"/>
  <c r="Q5989" i="1"/>
  <c r="R5989" i="1"/>
  <c r="E5989" i="1"/>
  <c r="G5989" i="1"/>
  <c r="H5989" i="1"/>
  <c r="J5989" i="1"/>
  <c r="K5989" i="1"/>
  <c r="L5989" i="1"/>
  <c r="A5990" i="1"/>
  <c r="B5990" i="1"/>
  <c r="C5990" i="1"/>
  <c r="D5990" i="1"/>
  <c r="Q5990" i="1"/>
  <c r="R5990" i="1"/>
  <c r="E5990" i="1"/>
  <c r="G5990" i="1"/>
  <c r="H5990" i="1"/>
  <c r="J5990" i="1"/>
  <c r="K5990" i="1"/>
  <c r="L5990" i="1"/>
  <c r="A5991" i="1"/>
  <c r="B5991" i="1"/>
  <c r="C5991" i="1"/>
  <c r="D5991" i="1"/>
  <c r="Q5991" i="1"/>
  <c r="R5991" i="1"/>
  <c r="E5991" i="1"/>
  <c r="G5991" i="1"/>
  <c r="H5991" i="1"/>
  <c r="J5991" i="1"/>
  <c r="K5991" i="1"/>
  <c r="L5991" i="1"/>
  <c r="A5992" i="1"/>
  <c r="B5992" i="1"/>
  <c r="C5992" i="1"/>
  <c r="D5992" i="1"/>
  <c r="Q5992" i="1"/>
  <c r="R5992" i="1"/>
  <c r="E5992" i="1"/>
  <c r="G5992" i="1"/>
  <c r="H5992" i="1"/>
  <c r="J5992" i="1"/>
  <c r="K5992" i="1"/>
  <c r="L5992" i="1"/>
  <c r="A5993" i="1"/>
  <c r="B5993" i="1"/>
  <c r="C5993" i="1"/>
  <c r="D5993" i="1"/>
  <c r="Q5993" i="1"/>
  <c r="R5993" i="1"/>
  <c r="E5993" i="1"/>
  <c r="G5993" i="1"/>
  <c r="H5993" i="1"/>
  <c r="J5993" i="1"/>
  <c r="K5993" i="1"/>
  <c r="L5993" i="1"/>
  <c r="A5994" i="1"/>
  <c r="B5994" i="1"/>
  <c r="C5994" i="1"/>
  <c r="D5994" i="1"/>
  <c r="Q5994" i="1"/>
  <c r="R5994" i="1"/>
  <c r="E5994" i="1"/>
  <c r="G5994" i="1"/>
  <c r="H5994" i="1"/>
  <c r="J5994" i="1"/>
  <c r="K5994" i="1"/>
  <c r="L5994" i="1"/>
  <c r="A5995" i="1"/>
  <c r="B5995" i="1"/>
  <c r="C5995" i="1"/>
  <c r="D5995" i="1"/>
  <c r="Q5995" i="1"/>
  <c r="R5995" i="1"/>
  <c r="E5995" i="1"/>
  <c r="G5995" i="1"/>
  <c r="H5995" i="1"/>
  <c r="J5995" i="1"/>
  <c r="K5995" i="1"/>
  <c r="L5995" i="1"/>
  <c r="A5996" i="1"/>
  <c r="B5996" i="1"/>
  <c r="C5996" i="1"/>
  <c r="D5996" i="1"/>
  <c r="Q5996" i="1"/>
  <c r="R5996" i="1"/>
  <c r="E5996" i="1"/>
  <c r="G5996" i="1"/>
  <c r="H5996" i="1"/>
  <c r="J5996" i="1"/>
  <c r="K5996" i="1"/>
  <c r="L5996" i="1"/>
  <c r="A5997" i="1"/>
  <c r="B5997" i="1"/>
  <c r="C5997" i="1"/>
  <c r="D5997" i="1"/>
  <c r="Q5997" i="1"/>
  <c r="R5997" i="1"/>
  <c r="E5997" i="1"/>
  <c r="G5997" i="1"/>
  <c r="H5997" i="1"/>
  <c r="J5997" i="1"/>
  <c r="K5997" i="1"/>
  <c r="L5997" i="1"/>
  <c r="A5998" i="1"/>
  <c r="B5998" i="1"/>
  <c r="C5998" i="1"/>
  <c r="D5998" i="1"/>
  <c r="Q5998" i="1"/>
  <c r="R5998" i="1"/>
  <c r="E5998" i="1"/>
  <c r="G5998" i="1"/>
  <c r="H5998" i="1"/>
  <c r="J5998" i="1"/>
  <c r="K5998" i="1"/>
  <c r="L5998" i="1"/>
  <c r="A5999" i="1"/>
  <c r="B5999" i="1"/>
  <c r="C5999" i="1"/>
  <c r="D5999" i="1"/>
  <c r="Q5999" i="1"/>
  <c r="R5999" i="1"/>
  <c r="E5999" i="1"/>
  <c r="G5999" i="1"/>
  <c r="H5999" i="1"/>
  <c r="J5999" i="1"/>
  <c r="K5999" i="1"/>
  <c r="L5999" i="1"/>
  <c r="A6000" i="1"/>
  <c r="B6000" i="1"/>
  <c r="C6000" i="1"/>
  <c r="D6000" i="1"/>
  <c r="Q6000" i="1"/>
  <c r="R6000" i="1"/>
  <c r="E6000" i="1"/>
  <c r="G6000" i="1"/>
  <c r="H6000" i="1"/>
  <c r="J6000" i="1"/>
  <c r="K6000" i="1"/>
  <c r="L6000" i="1"/>
  <c r="A6001" i="1"/>
  <c r="B6001" i="1"/>
  <c r="C6001" i="1"/>
  <c r="D6001" i="1"/>
  <c r="Q6001" i="1"/>
  <c r="R6001" i="1"/>
  <c r="E6001" i="1"/>
  <c r="G6001" i="1"/>
  <c r="H6001" i="1"/>
  <c r="J6001" i="1"/>
  <c r="K6001" i="1"/>
  <c r="L6001" i="1"/>
  <c r="A6002" i="1"/>
  <c r="B6002" i="1"/>
  <c r="C6002" i="1"/>
  <c r="D6002" i="1"/>
  <c r="Q6002" i="1"/>
  <c r="R6002" i="1"/>
  <c r="E6002" i="1"/>
  <c r="G6002" i="1"/>
  <c r="H6002" i="1"/>
  <c r="J6002" i="1"/>
  <c r="K6002" i="1"/>
  <c r="L6002" i="1"/>
  <c r="A6003" i="1"/>
  <c r="B6003" i="1"/>
  <c r="C6003" i="1"/>
  <c r="D6003" i="1"/>
  <c r="Q6003" i="1"/>
  <c r="R6003" i="1"/>
  <c r="E6003" i="1"/>
  <c r="G6003" i="1"/>
  <c r="H6003" i="1"/>
  <c r="J6003" i="1"/>
  <c r="K6003" i="1"/>
  <c r="L6003" i="1"/>
  <c r="A6004" i="1"/>
  <c r="B6004" i="1"/>
  <c r="C6004" i="1"/>
  <c r="D6004" i="1"/>
  <c r="Q6004" i="1"/>
  <c r="R6004" i="1"/>
  <c r="E6004" i="1"/>
  <c r="G6004" i="1"/>
  <c r="H6004" i="1"/>
  <c r="J6004" i="1"/>
  <c r="K6004" i="1"/>
  <c r="L6004" i="1"/>
  <c r="A6005" i="1"/>
  <c r="B6005" i="1"/>
  <c r="C6005" i="1"/>
  <c r="D6005" i="1"/>
  <c r="Q6005" i="1"/>
  <c r="R6005" i="1"/>
  <c r="E6005" i="1"/>
  <c r="G6005" i="1"/>
  <c r="H6005" i="1"/>
  <c r="J6005" i="1"/>
  <c r="K6005" i="1"/>
  <c r="L6005" i="1"/>
  <c r="A6006" i="1"/>
  <c r="B6006" i="1"/>
  <c r="C6006" i="1"/>
  <c r="D6006" i="1"/>
  <c r="Q6006" i="1"/>
  <c r="R6006" i="1"/>
  <c r="E6006" i="1"/>
  <c r="G6006" i="1"/>
  <c r="H6006" i="1"/>
  <c r="J6006" i="1"/>
  <c r="K6006" i="1"/>
  <c r="L6006" i="1"/>
  <c r="A6007" i="1"/>
  <c r="B6007" i="1"/>
  <c r="C6007" i="1"/>
  <c r="D6007" i="1"/>
  <c r="Q6007" i="1"/>
  <c r="R6007" i="1"/>
  <c r="E6007" i="1"/>
  <c r="G6007" i="1"/>
  <c r="H6007" i="1"/>
  <c r="J6007" i="1"/>
  <c r="K6007" i="1"/>
  <c r="L6007" i="1"/>
  <c r="A6008" i="1"/>
  <c r="B6008" i="1"/>
  <c r="C6008" i="1"/>
  <c r="D6008" i="1"/>
  <c r="Q6008" i="1"/>
  <c r="R6008" i="1"/>
  <c r="E6008" i="1"/>
  <c r="G6008" i="1"/>
  <c r="H6008" i="1"/>
  <c r="J6008" i="1"/>
  <c r="K6008" i="1"/>
  <c r="L6008" i="1"/>
  <c r="A6009" i="1"/>
  <c r="B6009" i="1"/>
  <c r="C6009" i="1"/>
  <c r="D6009" i="1"/>
  <c r="Q6009" i="1"/>
  <c r="R6009" i="1"/>
  <c r="E6009" i="1"/>
  <c r="G6009" i="1"/>
  <c r="H6009" i="1"/>
  <c r="J6009" i="1"/>
  <c r="K6009" i="1"/>
  <c r="L6009" i="1"/>
  <c r="A6010" i="1"/>
  <c r="B6010" i="1"/>
  <c r="C6010" i="1"/>
  <c r="D6010" i="1"/>
  <c r="Q6010" i="1"/>
  <c r="R6010" i="1"/>
  <c r="E6010" i="1"/>
  <c r="G6010" i="1"/>
  <c r="H6010" i="1"/>
  <c r="J6010" i="1"/>
  <c r="K6010" i="1"/>
  <c r="L6010" i="1"/>
  <c r="A6011" i="1"/>
  <c r="B6011" i="1"/>
  <c r="C6011" i="1"/>
  <c r="D6011" i="1"/>
  <c r="Q6011" i="1"/>
  <c r="R6011" i="1"/>
  <c r="E6011" i="1"/>
  <c r="G6011" i="1"/>
  <c r="H6011" i="1"/>
  <c r="J6011" i="1"/>
  <c r="K6011" i="1"/>
  <c r="L6011" i="1"/>
  <c r="A6012" i="1"/>
  <c r="B6012" i="1"/>
  <c r="C6012" i="1"/>
  <c r="D6012" i="1"/>
  <c r="Q6012" i="1"/>
  <c r="R6012" i="1"/>
  <c r="E6012" i="1"/>
  <c r="G6012" i="1"/>
  <c r="H6012" i="1"/>
  <c r="J6012" i="1"/>
  <c r="K6012" i="1"/>
  <c r="L6012" i="1"/>
  <c r="A6013" i="1"/>
  <c r="B6013" i="1"/>
  <c r="C6013" i="1"/>
  <c r="D6013" i="1"/>
  <c r="Q6013" i="1"/>
  <c r="R6013" i="1"/>
  <c r="E6013" i="1"/>
  <c r="G6013" i="1"/>
  <c r="H6013" i="1"/>
  <c r="J6013" i="1"/>
  <c r="K6013" i="1"/>
  <c r="L6013" i="1"/>
  <c r="A6014" i="1"/>
  <c r="B6014" i="1"/>
  <c r="C6014" i="1"/>
  <c r="D6014" i="1"/>
  <c r="Q6014" i="1"/>
  <c r="R6014" i="1"/>
  <c r="E6014" i="1"/>
  <c r="G6014" i="1"/>
  <c r="H6014" i="1"/>
  <c r="J6014" i="1"/>
  <c r="K6014" i="1"/>
  <c r="L6014" i="1"/>
  <c r="A6015" i="1"/>
  <c r="B6015" i="1"/>
  <c r="C6015" i="1"/>
  <c r="D6015" i="1"/>
  <c r="Q6015" i="1"/>
  <c r="R6015" i="1"/>
  <c r="E6015" i="1"/>
  <c r="G6015" i="1"/>
  <c r="H6015" i="1"/>
  <c r="J6015" i="1"/>
  <c r="K6015" i="1"/>
  <c r="L6015" i="1"/>
  <c r="A6016" i="1"/>
  <c r="B6016" i="1"/>
  <c r="C6016" i="1"/>
  <c r="D6016" i="1"/>
  <c r="Q6016" i="1"/>
  <c r="R6016" i="1"/>
  <c r="E6016" i="1"/>
  <c r="G6016" i="1"/>
  <c r="H6016" i="1"/>
  <c r="J6016" i="1"/>
  <c r="K6016" i="1"/>
  <c r="L6016" i="1"/>
  <c r="A6017" i="1"/>
  <c r="B6017" i="1"/>
  <c r="C6017" i="1"/>
  <c r="D6017" i="1"/>
  <c r="Q6017" i="1"/>
  <c r="R6017" i="1"/>
  <c r="E6017" i="1"/>
  <c r="G6017" i="1"/>
  <c r="H6017" i="1"/>
  <c r="J6017" i="1"/>
  <c r="K6017" i="1"/>
  <c r="L6017" i="1"/>
  <c r="A6018" i="1"/>
  <c r="B6018" i="1"/>
  <c r="C6018" i="1"/>
  <c r="D6018" i="1"/>
  <c r="Q6018" i="1"/>
  <c r="R6018" i="1"/>
  <c r="E6018" i="1"/>
  <c r="G6018" i="1"/>
  <c r="H6018" i="1"/>
  <c r="J6018" i="1"/>
  <c r="K6018" i="1"/>
  <c r="L6018" i="1"/>
  <c r="A6019" i="1"/>
  <c r="B6019" i="1"/>
  <c r="C6019" i="1"/>
  <c r="D6019" i="1"/>
  <c r="Q6019" i="1"/>
  <c r="R6019" i="1"/>
  <c r="E6019" i="1"/>
  <c r="G6019" i="1"/>
  <c r="H6019" i="1"/>
  <c r="J6019" i="1"/>
  <c r="K6019" i="1"/>
  <c r="L6019" i="1"/>
  <c r="A6020" i="1"/>
  <c r="B6020" i="1"/>
  <c r="C6020" i="1"/>
  <c r="D6020" i="1"/>
  <c r="Q6020" i="1"/>
  <c r="R6020" i="1"/>
  <c r="E6020" i="1"/>
  <c r="G6020" i="1"/>
  <c r="H6020" i="1"/>
  <c r="J6020" i="1"/>
  <c r="K6020" i="1"/>
  <c r="L6020" i="1"/>
  <c r="A6021" i="1"/>
  <c r="B6021" i="1"/>
  <c r="C6021" i="1"/>
  <c r="D6021" i="1"/>
  <c r="Q6021" i="1"/>
  <c r="R6021" i="1"/>
  <c r="E6021" i="1"/>
  <c r="G6021" i="1"/>
  <c r="H6021" i="1"/>
  <c r="J6021" i="1"/>
  <c r="K6021" i="1"/>
  <c r="L6021" i="1"/>
  <c r="A6022" i="1"/>
  <c r="B6022" i="1"/>
  <c r="C6022" i="1"/>
  <c r="D6022" i="1"/>
  <c r="Q6022" i="1"/>
  <c r="R6022" i="1"/>
  <c r="E6022" i="1"/>
  <c r="G6022" i="1"/>
  <c r="H6022" i="1"/>
  <c r="J6022" i="1"/>
  <c r="K6022" i="1"/>
  <c r="L6022" i="1"/>
  <c r="A6023" i="1"/>
  <c r="B6023" i="1"/>
  <c r="C6023" i="1"/>
  <c r="D6023" i="1"/>
  <c r="Q6023" i="1"/>
  <c r="R6023" i="1"/>
  <c r="E6023" i="1"/>
  <c r="G6023" i="1"/>
  <c r="H6023" i="1"/>
  <c r="J6023" i="1"/>
  <c r="K6023" i="1"/>
  <c r="L6023" i="1"/>
  <c r="A6024" i="1"/>
  <c r="B6024" i="1"/>
  <c r="C6024" i="1"/>
  <c r="D6024" i="1"/>
  <c r="Q6024" i="1"/>
  <c r="R6024" i="1"/>
  <c r="E6024" i="1"/>
  <c r="G6024" i="1"/>
  <c r="H6024" i="1"/>
  <c r="J6024" i="1"/>
  <c r="K6024" i="1"/>
  <c r="L6024" i="1"/>
  <c r="A6025" i="1"/>
  <c r="B6025" i="1"/>
  <c r="C6025" i="1"/>
  <c r="D6025" i="1"/>
  <c r="Q6025" i="1"/>
  <c r="R6025" i="1"/>
  <c r="E6025" i="1"/>
  <c r="G6025" i="1"/>
  <c r="H6025" i="1"/>
  <c r="J6025" i="1"/>
  <c r="K6025" i="1"/>
  <c r="L6025" i="1"/>
  <c r="A6026" i="1"/>
  <c r="B6026" i="1"/>
  <c r="C6026" i="1"/>
  <c r="D6026" i="1"/>
  <c r="Q6026" i="1"/>
  <c r="R6026" i="1"/>
  <c r="E6026" i="1"/>
  <c r="G6026" i="1"/>
  <c r="H6026" i="1"/>
  <c r="J6026" i="1"/>
  <c r="K6026" i="1"/>
  <c r="L6026" i="1"/>
  <c r="A6027" i="1"/>
  <c r="B6027" i="1"/>
  <c r="C6027" i="1"/>
  <c r="D6027" i="1"/>
  <c r="Q6027" i="1"/>
  <c r="R6027" i="1"/>
  <c r="E6027" i="1"/>
  <c r="G6027" i="1"/>
  <c r="H6027" i="1"/>
  <c r="J6027" i="1"/>
  <c r="K6027" i="1"/>
  <c r="L6027" i="1"/>
  <c r="A6028" i="1"/>
  <c r="B6028" i="1"/>
  <c r="C6028" i="1"/>
  <c r="D6028" i="1"/>
  <c r="Q6028" i="1"/>
  <c r="R6028" i="1"/>
  <c r="E6028" i="1"/>
  <c r="G6028" i="1"/>
  <c r="H6028" i="1"/>
  <c r="J6028" i="1"/>
  <c r="K6028" i="1"/>
  <c r="L6028" i="1"/>
  <c r="A6029" i="1"/>
  <c r="B6029" i="1"/>
  <c r="C6029" i="1"/>
  <c r="D6029" i="1"/>
  <c r="Q6029" i="1"/>
  <c r="R6029" i="1"/>
  <c r="E6029" i="1"/>
  <c r="G6029" i="1"/>
  <c r="H6029" i="1"/>
  <c r="J6029" i="1"/>
  <c r="K6029" i="1"/>
  <c r="L6029" i="1"/>
  <c r="A6030" i="1"/>
  <c r="B6030" i="1"/>
  <c r="C6030" i="1"/>
  <c r="D6030" i="1"/>
  <c r="Q6030" i="1"/>
  <c r="R6030" i="1"/>
  <c r="E6030" i="1"/>
  <c r="G6030" i="1"/>
  <c r="H6030" i="1"/>
  <c r="J6030" i="1"/>
  <c r="K6030" i="1"/>
  <c r="L6030" i="1"/>
  <c r="A6031" i="1"/>
  <c r="B6031" i="1"/>
  <c r="C6031" i="1"/>
  <c r="D6031" i="1"/>
  <c r="Q6031" i="1"/>
  <c r="R6031" i="1"/>
  <c r="E6031" i="1"/>
  <c r="G6031" i="1"/>
  <c r="H6031" i="1"/>
  <c r="J6031" i="1"/>
  <c r="K6031" i="1"/>
  <c r="L6031" i="1"/>
  <c r="A6032" i="1"/>
  <c r="B6032" i="1"/>
  <c r="C6032" i="1"/>
  <c r="D6032" i="1"/>
  <c r="Q6032" i="1"/>
  <c r="R6032" i="1"/>
  <c r="E6032" i="1"/>
  <c r="G6032" i="1"/>
  <c r="H6032" i="1"/>
  <c r="J6032" i="1"/>
  <c r="K6032" i="1"/>
  <c r="L6032" i="1"/>
  <c r="A6033" i="1"/>
  <c r="B6033" i="1"/>
  <c r="C6033" i="1"/>
  <c r="D6033" i="1"/>
  <c r="Q6033" i="1"/>
  <c r="R6033" i="1"/>
  <c r="E6033" i="1"/>
  <c r="G6033" i="1"/>
  <c r="H6033" i="1"/>
  <c r="J6033" i="1"/>
  <c r="K6033" i="1"/>
  <c r="L6033" i="1"/>
  <c r="A6034" i="1"/>
  <c r="B6034" i="1"/>
  <c r="C6034" i="1"/>
  <c r="D6034" i="1"/>
  <c r="Q6034" i="1"/>
  <c r="R6034" i="1"/>
  <c r="E6034" i="1"/>
  <c r="G6034" i="1"/>
  <c r="H6034" i="1"/>
  <c r="J6034" i="1"/>
  <c r="K6034" i="1"/>
  <c r="L6034" i="1"/>
  <c r="A6035" i="1"/>
  <c r="B6035" i="1"/>
  <c r="C6035" i="1"/>
  <c r="D6035" i="1"/>
  <c r="Q6035" i="1"/>
  <c r="R6035" i="1"/>
  <c r="E6035" i="1"/>
  <c r="G6035" i="1"/>
  <c r="H6035" i="1"/>
  <c r="J6035" i="1"/>
  <c r="K6035" i="1"/>
  <c r="L6035" i="1"/>
  <c r="A6036" i="1"/>
  <c r="B6036" i="1"/>
  <c r="C6036" i="1"/>
  <c r="D6036" i="1"/>
  <c r="Q6036" i="1"/>
  <c r="R6036" i="1"/>
  <c r="E6036" i="1"/>
  <c r="G6036" i="1"/>
  <c r="H6036" i="1"/>
  <c r="J6036" i="1"/>
  <c r="K6036" i="1"/>
  <c r="L6036" i="1"/>
  <c r="A6037" i="1"/>
  <c r="B6037" i="1"/>
  <c r="C6037" i="1"/>
  <c r="D6037" i="1"/>
  <c r="Q6037" i="1"/>
  <c r="R6037" i="1"/>
  <c r="E6037" i="1"/>
  <c r="G6037" i="1"/>
  <c r="H6037" i="1"/>
  <c r="J6037" i="1"/>
  <c r="K6037" i="1"/>
  <c r="L6037" i="1"/>
  <c r="A6038" i="1"/>
  <c r="B6038" i="1"/>
  <c r="C6038" i="1"/>
  <c r="D6038" i="1"/>
  <c r="Q6038" i="1"/>
  <c r="R6038" i="1"/>
  <c r="E6038" i="1"/>
  <c r="G6038" i="1"/>
  <c r="H6038" i="1"/>
  <c r="J6038" i="1"/>
  <c r="K6038" i="1"/>
  <c r="L6038" i="1"/>
  <c r="A6039" i="1"/>
  <c r="B6039" i="1"/>
  <c r="C6039" i="1"/>
  <c r="D6039" i="1"/>
  <c r="Q6039" i="1"/>
  <c r="R6039" i="1"/>
  <c r="E6039" i="1"/>
  <c r="G6039" i="1"/>
  <c r="H6039" i="1"/>
  <c r="J6039" i="1"/>
  <c r="K6039" i="1"/>
  <c r="L6039" i="1"/>
  <c r="A6040" i="1"/>
  <c r="B6040" i="1"/>
  <c r="C6040" i="1"/>
  <c r="D6040" i="1"/>
  <c r="Q6040" i="1"/>
  <c r="R6040" i="1"/>
  <c r="E6040" i="1"/>
  <c r="G6040" i="1"/>
  <c r="H6040" i="1"/>
  <c r="J6040" i="1"/>
  <c r="K6040" i="1"/>
  <c r="L6040" i="1"/>
  <c r="A6041" i="1"/>
  <c r="B6041" i="1"/>
  <c r="C6041" i="1"/>
  <c r="D6041" i="1"/>
  <c r="Q6041" i="1"/>
  <c r="R6041" i="1"/>
  <c r="E6041" i="1"/>
  <c r="G6041" i="1"/>
  <c r="H6041" i="1"/>
  <c r="J6041" i="1"/>
  <c r="K6041" i="1"/>
  <c r="L6041" i="1"/>
  <c r="A6042" i="1"/>
  <c r="B6042" i="1"/>
  <c r="C6042" i="1"/>
  <c r="D6042" i="1"/>
  <c r="Q6042" i="1"/>
  <c r="R6042" i="1"/>
  <c r="E6042" i="1"/>
  <c r="G6042" i="1"/>
  <c r="H6042" i="1"/>
  <c r="J6042" i="1"/>
  <c r="K6042" i="1"/>
  <c r="L6042" i="1"/>
  <c r="A6043" i="1"/>
  <c r="B6043" i="1"/>
  <c r="C6043" i="1"/>
  <c r="D6043" i="1"/>
  <c r="Q6043" i="1"/>
  <c r="R6043" i="1"/>
  <c r="E6043" i="1"/>
  <c r="G6043" i="1"/>
  <c r="H6043" i="1"/>
  <c r="J6043" i="1"/>
  <c r="K6043" i="1"/>
  <c r="L6043" i="1"/>
  <c r="A6044" i="1"/>
  <c r="B6044" i="1"/>
  <c r="C6044" i="1"/>
  <c r="D6044" i="1"/>
  <c r="Q6044" i="1"/>
  <c r="R6044" i="1"/>
  <c r="E6044" i="1"/>
  <c r="G6044" i="1"/>
  <c r="H6044" i="1"/>
  <c r="J6044" i="1"/>
  <c r="K6044" i="1"/>
  <c r="L6044" i="1"/>
  <c r="A6045" i="1"/>
  <c r="B6045" i="1"/>
  <c r="C6045" i="1"/>
  <c r="D6045" i="1"/>
  <c r="Q6045" i="1"/>
  <c r="R6045" i="1"/>
  <c r="E6045" i="1"/>
  <c r="G6045" i="1"/>
  <c r="H6045" i="1"/>
  <c r="J6045" i="1"/>
  <c r="K6045" i="1"/>
  <c r="L6045" i="1"/>
  <c r="A6046" i="1"/>
  <c r="B6046" i="1"/>
  <c r="C6046" i="1"/>
  <c r="D6046" i="1"/>
  <c r="Q6046" i="1"/>
  <c r="R6046" i="1"/>
  <c r="E6046" i="1"/>
  <c r="G6046" i="1"/>
  <c r="H6046" i="1"/>
  <c r="J6046" i="1"/>
  <c r="K6046" i="1"/>
  <c r="L6046" i="1"/>
  <c r="A6047" i="1"/>
  <c r="B6047" i="1"/>
  <c r="C6047" i="1"/>
  <c r="D6047" i="1"/>
  <c r="Q6047" i="1"/>
  <c r="R6047" i="1"/>
  <c r="E6047" i="1"/>
  <c r="G6047" i="1"/>
  <c r="H6047" i="1"/>
  <c r="J6047" i="1"/>
  <c r="K6047" i="1"/>
  <c r="L6047" i="1"/>
  <c r="A6048" i="1"/>
  <c r="B6048" i="1"/>
  <c r="C6048" i="1"/>
  <c r="D6048" i="1"/>
  <c r="Q6048" i="1"/>
  <c r="R6048" i="1"/>
  <c r="E6048" i="1"/>
  <c r="G6048" i="1"/>
  <c r="H6048" i="1"/>
  <c r="J6048" i="1"/>
  <c r="K6048" i="1"/>
  <c r="L6048" i="1"/>
  <c r="A6049" i="1"/>
  <c r="B6049" i="1"/>
  <c r="C6049" i="1"/>
  <c r="D6049" i="1"/>
  <c r="Q6049" i="1"/>
  <c r="R6049" i="1"/>
  <c r="E6049" i="1"/>
  <c r="G6049" i="1"/>
  <c r="H6049" i="1"/>
  <c r="J6049" i="1"/>
  <c r="K6049" i="1"/>
  <c r="L6049" i="1"/>
  <c r="A6050" i="1"/>
  <c r="B6050" i="1"/>
  <c r="C6050" i="1"/>
  <c r="D6050" i="1"/>
  <c r="Q6050" i="1"/>
  <c r="R6050" i="1"/>
  <c r="E6050" i="1"/>
  <c r="G6050" i="1"/>
  <c r="H6050" i="1"/>
  <c r="J6050" i="1"/>
  <c r="K6050" i="1"/>
  <c r="L6050" i="1"/>
  <c r="A6051" i="1"/>
  <c r="B6051" i="1"/>
  <c r="C6051" i="1"/>
  <c r="D6051" i="1"/>
  <c r="Q6051" i="1"/>
  <c r="R6051" i="1"/>
  <c r="E6051" i="1"/>
  <c r="G6051" i="1"/>
  <c r="H6051" i="1"/>
  <c r="J6051" i="1"/>
  <c r="K6051" i="1"/>
  <c r="L6051" i="1"/>
  <c r="A6052" i="1"/>
  <c r="B6052" i="1"/>
  <c r="C6052" i="1"/>
  <c r="D6052" i="1"/>
  <c r="Q6052" i="1"/>
  <c r="R6052" i="1"/>
  <c r="E6052" i="1"/>
  <c r="G6052" i="1"/>
  <c r="H6052" i="1"/>
  <c r="J6052" i="1"/>
  <c r="K6052" i="1"/>
  <c r="L6052" i="1"/>
  <c r="A6053" i="1"/>
  <c r="B6053" i="1"/>
  <c r="C6053" i="1"/>
  <c r="D6053" i="1"/>
  <c r="Q6053" i="1"/>
  <c r="R6053" i="1"/>
  <c r="E6053" i="1"/>
  <c r="G6053" i="1"/>
  <c r="H6053" i="1"/>
  <c r="J6053" i="1"/>
  <c r="K6053" i="1"/>
  <c r="L6053" i="1"/>
  <c r="A6054" i="1"/>
  <c r="B6054" i="1"/>
  <c r="C6054" i="1"/>
  <c r="D6054" i="1"/>
  <c r="Q6054" i="1"/>
  <c r="R6054" i="1"/>
  <c r="E6054" i="1"/>
  <c r="G6054" i="1"/>
  <c r="H6054" i="1"/>
  <c r="J6054" i="1"/>
  <c r="K6054" i="1"/>
  <c r="L6054" i="1"/>
  <c r="A6055" i="1"/>
  <c r="B6055" i="1"/>
  <c r="C6055" i="1"/>
  <c r="D6055" i="1"/>
  <c r="Q6055" i="1"/>
  <c r="R6055" i="1"/>
  <c r="E6055" i="1"/>
  <c r="G6055" i="1"/>
  <c r="H6055" i="1"/>
  <c r="J6055" i="1"/>
  <c r="K6055" i="1"/>
  <c r="L6055" i="1"/>
  <c r="A6056" i="1"/>
  <c r="B6056" i="1"/>
  <c r="C6056" i="1"/>
  <c r="D6056" i="1"/>
  <c r="Q6056" i="1"/>
  <c r="R6056" i="1"/>
  <c r="E6056" i="1"/>
  <c r="G6056" i="1"/>
  <c r="H6056" i="1"/>
  <c r="J6056" i="1"/>
  <c r="K6056" i="1"/>
  <c r="L6056" i="1"/>
  <c r="A6057" i="1"/>
  <c r="B6057" i="1"/>
  <c r="C6057" i="1"/>
  <c r="D6057" i="1"/>
  <c r="Q6057" i="1"/>
  <c r="R6057" i="1"/>
  <c r="E6057" i="1"/>
  <c r="G6057" i="1"/>
  <c r="H6057" i="1"/>
  <c r="J6057" i="1"/>
  <c r="K6057" i="1"/>
  <c r="L6057" i="1"/>
  <c r="A6058" i="1"/>
  <c r="B6058" i="1"/>
  <c r="C6058" i="1"/>
  <c r="D6058" i="1"/>
  <c r="Q6058" i="1"/>
  <c r="R6058" i="1"/>
  <c r="E6058" i="1"/>
  <c r="G6058" i="1"/>
  <c r="H6058" i="1"/>
  <c r="J6058" i="1"/>
  <c r="K6058" i="1"/>
  <c r="L6058" i="1"/>
  <c r="A6059" i="1"/>
  <c r="B6059" i="1"/>
  <c r="C6059" i="1"/>
  <c r="D6059" i="1"/>
  <c r="Q6059" i="1"/>
  <c r="R6059" i="1"/>
  <c r="E6059" i="1"/>
  <c r="G6059" i="1"/>
  <c r="H6059" i="1"/>
  <c r="J6059" i="1"/>
  <c r="K6059" i="1"/>
  <c r="L6059" i="1"/>
  <c r="A6060" i="1"/>
  <c r="B6060" i="1"/>
  <c r="C6060" i="1"/>
  <c r="D6060" i="1"/>
  <c r="Q6060" i="1"/>
  <c r="R6060" i="1"/>
  <c r="E6060" i="1"/>
  <c r="G6060" i="1"/>
  <c r="H6060" i="1"/>
  <c r="J6060" i="1"/>
  <c r="K6060" i="1"/>
  <c r="L6060" i="1"/>
  <c r="A6061" i="1"/>
  <c r="B6061" i="1"/>
  <c r="C6061" i="1"/>
  <c r="D6061" i="1"/>
  <c r="Q6061" i="1"/>
  <c r="R6061" i="1"/>
  <c r="E6061" i="1"/>
  <c r="G6061" i="1"/>
  <c r="H6061" i="1"/>
  <c r="J6061" i="1"/>
  <c r="K6061" i="1"/>
  <c r="L6061" i="1"/>
  <c r="A6062" i="1"/>
  <c r="B6062" i="1"/>
  <c r="C6062" i="1"/>
  <c r="D6062" i="1"/>
  <c r="Q6062" i="1"/>
  <c r="R6062" i="1"/>
  <c r="E6062" i="1"/>
  <c r="G6062" i="1"/>
  <c r="H6062" i="1"/>
  <c r="J6062" i="1"/>
  <c r="K6062" i="1"/>
  <c r="L6062" i="1"/>
  <c r="A6063" i="1"/>
  <c r="B6063" i="1"/>
  <c r="C6063" i="1"/>
  <c r="D6063" i="1"/>
  <c r="Q6063" i="1"/>
  <c r="R6063" i="1"/>
  <c r="E6063" i="1"/>
  <c r="G6063" i="1"/>
  <c r="H6063" i="1"/>
  <c r="J6063" i="1"/>
  <c r="K6063" i="1"/>
  <c r="L6063" i="1"/>
  <c r="A6064" i="1"/>
  <c r="B6064" i="1"/>
  <c r="C6064" i="1"/>
  <c r="D6064" i="1"/>
  <c r="Q6064" i="1"/>
  <c r="R6064" i="1"/>
  <c r="E6064" i="1"/>
  <c r="G6064" i="1"/>
  <c r="H6064" i="1"/>
  <c r="J6064" i="1"/>
  <c r="K6064" i="1"/>
  <c r="L6064" i="1"/>
  <c r="A6065" i="1"/>
  <c r="B6065" i="1"/>
  <c r="C6065" i="1"/>
  <c r="D6065" i="1"/>
  <c r="Q6065" i="1"/>
  <c r="R6065" i="1"/>
  <c r="E6065" i="1"/>
  <c r="G6065" i="1"/>
  <c r="H6065" i="1"/>
  <c r="J6065" i="1"/>
  <c r="K6065" i="1"/>
  <c r="L6065" i="1"/>
  <c r="A6066" i="1"/>
  <c r="B6066" i="1"/>
  <c r="C6066" i="1"/>
  <c r="D6066" i="1"/>
  <c r="Q6066" i="1"/>
  <c r="R6066" i="1"/>
  <c r="E6066" i="1"/>
  <c r="G6066" i="1"/>
  <c r="H6066" i="1"/>
  <c r="J6066" i="1"/>
  <c r="K6066" i="1"/>
  <c r="L6066" i="1"/>
  <c r="A6067" i="1"/>
  <c r="B6067" i="1"/>
  <c r="C6067" i="1"/>
  <c r="D6067" i="1"/>
  <c r="Q6067" i="1"/>
  <c r="R6067" i="1"/>
  <c r="E6067" i="1"/>
  <c r="G6067" i="1"/>
  <c r="H6067" i="1"/>
  <c r="J6067" i="1"/>
  <c r="K6067" i="1"/>
  <c r="L6067" i="1"/>
  <c r="A6068" i="1"/>
  <c r="B6068" i="1"/>
  <c r="C6068" i="1"/>
  <c r="D6068" i="1"/>
  <c r="Q6068" i="1"/>
  <c r="R6068" i="1"/>
  <c r="E6068" i="1"/>
  <c r="G6068" i="1"/>
  <c r="H6068" i="1"/>
  <c r="J6068" i="1"/>
  <c r="K6068" i="1"/>
  <c r="L6068" i="1"/>
  <c r="A6069" i="1"/>
  <c r="B6069" i="1"/>
  <c r="C6069" i="1"/>
  <c r="D6069" i="1"/>
  <c r="Q6069" i="1"/>
  <c r="R6069" i="1"/>
  <c r="E6069" i="1"/>
  <c r="G6069" i="1"/>
  <c r="H6069" i="1"/>
  <c r="J6069" i="1"/>
  <c r="K6069" i="1"/>
  <c r="L6069" i="1"/>
  <c r="A6070" i="1"/>
  <c r="B6070" i="1"/>
  <c r="C6070" i="1"/>
  <c r="D6070" i="1"/>
  <c r="Q6070" i="1"/>
  <c r="R6070" i="1"/>
  <c r="E6070" i="1"/>
  <c r="G6070" i="1"/>
  <c r="H6070" i="1"/>
  <c r="J6070" i="1"/>
  <c r="K6070" i="1"/>
  <c r="L6070" i="1"/>
  <c r="A6071" i="1"/>
  <c r="B6071" i="1"/>
  <c r="C6071" i="1"/>
  <c r="D6071" i="1"/>
  <c r="Q6071" i="1"/>
  <c r="R6071" i="1"/>
  <c r="E6071" i="1"/>
  <c r="G6071" i="1"/>
  <c r="H6071" i="1"/>
  <c r="J6071" i="1"/>
  <c r="K6071" i="1"/>
  <c r="L6071" i="1"/>
  <c r="A6072" i="1"/>
  <c r="B6072" i="1"/>
  <c r="C6072" i="1"/>
  <c r="D6072" i="1"/>
  <c r="Q6072" i="1"/>
  <c r="R6072" i="1"/>
  <c r="E6072" i="1"/>
  <c r="G6072" i="1"/>
  <c r="H6072" i="1"/>
  <c r="J6072" i="1"/>
  <c r="K6072" i="1"/>
  <c r="L6072" i="1"/>
  <c r="A6073" i="1"/>
  <c r="B6073" i="1"/>
  <c r="C6073" i="1"/>
  <c r="D6073" i="1"/>
  <c r="Q6073" i="1"/>
  <c r="R6073" i="1"/>
  <c r="E6073" i="1"/>
  <c r="G6073" i="1"/>
  <c r="H6073" i="1"/>
  <c r="J6073" i="1"/>
  <c r="K6073" i="1"/>
  <c r="L6073" i="1"/>
  <c r="A6074" i="1"/>
  <c r="B6074" i="1"/>
  <c r="C6074" i="1"/>
  <c r="D6074" i="1"/>
  <c r="Q6074" i="1"/>
  <c r="R6074" i="1"/>
  <c r="E6074" i="1"/>
  <c r="G6074" i="1"/>
  <c r="H6074" i="1"/>
  <c r="J6074" i="1"/>
  <c r="K6074" i="1"/>
  <c r="L6074" i="1"/>
  <c r="A6075" i="1"/>
  <c r="B6075" i="1"/>
  <c r="C6075" i="1"/>
  <c r="D6075" i="1"/>
  <c r="Q6075" i="1"/>
  <c r="R6075" i="1"/>
  <c r="E6075" i="1"/>
  <c r="G6075" i="1"/>
  <c r="H6075" i="1"/>
  <c r="J6075" i="1"/>
  <c r="K6075" i="1"/>
  <c r="L6075" i="1"/>
  <c r="A6076" i="1"/>
  <c r="B6076" i="1"/>
  <c r="C6076" i="1"/>
  <c r="D6076" i="1"/>
  <c r="Q6076" i="1"/>
  <c r="R6076" i="1"/>
  <c r="E6076" i="1"/>
  <c r="G6076" i="1"/>
  <c r="H6076" i="1"/>
  <c r="J6076" i="1"/>
  <c r="K6076" i="1"/>
  <c r="L6076" i="1"/>
  <c r="A6077" i="1"/>
  <c r="B6077" i="1"/>
  <c r="C6077" i="1"/>
  <c r="D6077" i="1"/>
  <c r="Q6077" i="1"/>
  <c r="R6077" i="1"/>
  <c r="E6077" i="1"/>
  <c r="G6077" i="1"/>
  <c r="H6077" i="1"/>
  <c r="J6077" i="1"/>
  <c r="K6077" i="1"/>
  <c r="L6077" i="1"/>
  <c r="A6078" i="1"/>
  <c r="B6078" i="1"/>
  <c r="C6078" i="1"/>
  <c r="D6078" i="1"/>
  <c r="Q6078" i="1"/>
  <c r="R6078" i="1"/>
  <c r="E6078" i="1"/>
  <c r="G6078" i="1"/>
  <c r="H6078" i="1"/>
  <c r="J6078" i="1"/>
  <c r="K6078" i="1"/>
  <c r="L6078" i="1"/>
  <c r="A6079" i="1"/>
  <c r="B6079" i="1"/>
  <c r="C6079" i="1"/>
  <c r="D6079" i="1"/>
  <c r="Q6079" i="1"/>
  <c r="R6079" i="1"/>
  <c r="E6079" i="1"/>
  <c r="G6079" i="1"/>
  <c r="H6079" i="1"/>
  <c r="J6079" i="1"/>
  <c r="K6079" i="1"/>
  <c r="L6079" i="1"/>
  <c r="A6080" i="1"/>
  <c r="B6080" i="1"/>
  <c r="C6080" i="1"/>
  <c r="D6080" i="1"/>
  <c r="Q6080" i="1"/>
  <c r="R6080" i="1"/>
  <c r="E6080" i="1"/>
  <c r="G6080" i="1"/>
  <c r="H6080" i="1"/>
  <c r="J6080" i="1"/>
  <c r="K6080" i="1"/>
  <c r="L6080" i="1"/>
  <c r="A6081" i="1"/>
  <c r="B6081" i="1"/>
  <c r="C6081" i="1"/>
  <c r="D6081" i="1"/>
  <c r="Q6081" i="1"/>
  <c r="R6081" i="1"/>
  <c r="E6081" i="1"/>
  <c r="G6081" i="1"/>
  <c r="H6081" i="1"/>
  <c r="J6081" i="1"/>
  <c r="K6081" i="1"/>
  <c r="L6081" i="1"/>
  <c r="A6082" i="1"/>
  <c r="B6082" i="1"/>
  <c r="C6082" i="1"/>
  <c r="D6082" i="1"/>
  <c r="Q6082" i="1"/>
  <c r="R6082" i="1"/>
  <c r="E6082" i="1"/>
  <c r="G6082" i="1"/>
  <c r="H6082" i="1"/>
  <c r="J6082" i="1"/>
  <c r="K6082" i="1"/>
  <c r="L6082" i="1"/>
  <c r="A6083" i="1"/>
  <c r="B6083" i="1"/>
  <c r="C6083" i="1"/>
  <c r="D6083" i="1"/>
  <c r="Q6083" i="1"/>
  <c r="R6083" i="1"/>
  <c r="E6083" i="1"/>
  <c r="G6083" i="1"/>
  <c r="H6083" i="1"/>
  <c r="J6083" i="1"/>
  <c r="K6083" i="1"/>
  <c r="L6083" i="1"/>
  <c r="A6084" i="1"/>
  <c r="B6084" i="1"/>
  <c r="C6084" i="1"/>
  <c r="D6084" i="1"/>
  <c r="Q6084" i="1"/>
  <c r="R6084" i="1"/>
  <c r="E6084" i="1"/>
  <c r="G6084" i="1"/>
  <c r="H6084" i="1"/>
  <c r="J6084" i="1"/>
  <c r="K6084" i="1"/>
  <c r="L6084" i="1"/>
  <c r="A6085" i="1"/>
  <c r="B6085" i="1"/>
  <c r="C6085" i="1"/>
  <c r="D6085" i="1"/>
  <c r="Q6085" i="1"/>
  <c r="R6085" i="1"/>
  <c r="E6085" i="1"/>
  <c r="G6085" i="1"/>
  <c r="H6085" i="1"/>
  <c r="J6085" i="1"/>
  <c r="K6085" i="1"/>
  <c r="L6085" i="1"/>
  <c r="A6086" i="1"/>
  <c r="B6086" i="1"/>
  <c r="C6086" i="1"/>
  <c r="D6086" i="1"/>
  <c r="Q6086" i="1"/>
  <c r="R6086" i="1"/>
  <c r="E6086" i="1"/>
  <c r="G6086" i="1"/>
  <c r="H6086" i="1"/>
  <c r="J6086" i="1"/>
  <c r="K6086" i="1"/>
  <c r="L6086" i="1"/>
  <c r="A6087" i="1"/>
  <c r="B6087" i="1"/>
  <c r="C6087" i="1"/>
  <c r="D6087" i="1"/>
  <c r="Q6087" i="1"/>
  <c r="R6087" i="1"/>
  <c r="E6087" i="1"/>
  <c r="G6087" i="1"/>
  <c r="H6087" i="1"/>
  <c r="J6087" i="1"/>
  <c r="K6087" i="1"/>
  <c r="L6087" i="1"/>
  <c r="A6088" i="1"/>
  <c r="B6088" i="1"/>
  <c r="C6088" i="1"/>
  <c r="D6088" i="1"/>
  <c r="Q6088" i="1"/>
  <c r="R6088" i="1"/>
  <c r="E6088" i="1"/>
  <c r="G6088" i="1"/>
  <c r="H6088" i="1"/>
  <c r="J6088" i="1"/>
  <c r="K6088" i="1"/>
  <c r="L6088" i="1"/>
  <c r="A6089" i="1"/>
  <c r="B6089" i="1"/>
  <c r="C6089" i="1"/>
  <c r="D6089" i="1"/>
  <c r="Q6089" i="1"/>
  <c r="R6089" i="1"/>
  <c r="E6089" i="1"/>
  <c r="G6089" i="1"/>
  <c r="H6089" i="1"/>
  <c r="J6089" i="1"/>
  <c r="K6089" i="1"/>
  <c r="L6089" i="1"/>
  <c r="A6090" i="1"/>
  <c r="B6090" i="1"/>
  <c r="C6090" i="1"/>
  <c r="D6090" i="1"/>
  <c r="Q6090" i="1"/>
  <c r="R6090" i="1"/>
  <c r="E6090" i="1"/>
  <c r="G6090" i="1"/>
  <c r="H6090" i="1"/>
  <c r="J6090" i="1"/>
  <c r="K6090" i="1"/>
  <c r="L6090" i="1"/>
  <c r="A6091" i="1"/>
  <c r="B6091" i="1"/>
  <c r="C6091" i="1"/>
  <c r="D6091" i="1"/>
  <c r="Q6091" i="1"/>
  <c r="R6091" i="1"/>
  <c r="E6091" i="1"/>
  <c r="G6091" i="1"/>
  <c r="H6091" i="1"/>
  <c r="J6091" i="1"/>
  <c r="K6091" i="1"/>
  <c r="L6091" i="1"/>
  <c r="A6092" i="1"/>
  <c r="B6092" i="1"/>
  <c r="C6092" i="1"/>
  <c r="D6092" i="1"/>
  <c r="Q6092" i="1"/>
  <c r="R6092" i="1"/>
  <c r="E6092" i="1"/>
  <c r="G6092" i="1"/>
  <c r="H6092" i="1"/>
  <c r="J6092" i="1"/>
  <c r="K6092" i="1"/>
  <c r="L6092" i="1"/>
  <c r="A6093" i="1"/>
  <c r="B6093" i="1"/>
  <c r="C6093" i="1"/>
  <c r="D6093" i="1"/>
  <c r="Q6093" i="1"/>
  <c r="R6093" i="1"/>
  <c r="E6093" i="1"/>
  <c r="G6093" i="1"/>
  <c r="H6093" i="1"/>
  <c r="J6093" i="1"/>
  <c r="K6093" i="1"/>
  <c r="L6093" i="1"/>
  <c r="A6094" i="1"/>
  <c r="B6094" i="1"/>
  <c r="C6094" i="1"/>
  <c r="D6094" i="1"/>
  <c r="Q6094" i="1"/>
  <c r="R6094" i="1"/>
  <c r="E6094" i="1"/>
  <c r="G6094" i="1"/>
  <c r="H6094" i="1"/>
  <c r="J6094" i="1"/>
  <c r="K6094" i="1"/>
  <c r="L6094" i="1"/>
  <c r="A6095" i="1"/>
  <c r="B6095" i="1"/>
  <c r="C6095" i="1"/>
  <c r="D6095" i="1"/>
  <c r="Q6095" i="1"/>
  <c r="R6095" i="1"/>
  <c r="E6095" i="1"/>
  <c r="G6095" i="1"/>
  <c r="H6095" i="1"/>
  <c r="J6095" i="1"/>
  <c r="K6095" i="1"/>
  <c r="L6095" i="1"/>
  <c r="A6096" i="1"/>
  <c r="B6096" i="1"/>
  <c r="C6096" i="1"/>
  <c r="D6096" i="1"/>
  <c r="Q6096" i="1"/>
  <c r="R6096" i="1"/>
  <c r="E6096" i="1"/>
  <c r="G6096" i="1"/>
  <c r="H6096" i="1"/>
  <c r="J6096" i="1"/>
  <c r="K6096" i="1"/>
  <c r="L6096" i="1"/>
  <c r="A6097" i="1"/>
  <c r="B6097" i="1"/>
  <c r="C6097" i="1"/>
  <c r="D6097" i="1"/>
  <c r="Q6097" i="1"/>
  <c r="R6097" i="1"/>
  <c r="E6097" i="1"/>
  <c r="G6097" i="1"/>
  <c r="H6097" i="1"/>
  <c r="J6097" i="1"/>
  <c r="K6097" i="1"/>
  <c r="L6097" i="1"/>
  <c r="A6098" i="1"/>
  <c r="B6098" i="1"/>
  <c r="C6098" i="1"/>
  <c r="D6098" i="1"/>
  <c r="Q6098" i="1"/>
  <c r="R6098" i="1"/>
  <c r="E6098" i="1"/>
  <c r="G6098" i="1"/>
  <c r="H6098" i="1"/>
  <c r="J6098" i="1"/>
  <c r="K6098" i="1"/>
  <c r="L6098" i="1"/>
  <c r="A6099" i="1"/>
  <c r="B6099" i="1"/>
  <c r="C6099" i="1"/>
  <c r="D6099" i="1"/>
  <c r="Q6099" i="1"/>
  <c r="R6099" i="1"/>
  <c r="E6099" i="1"/>
  <c r="G6099" i="1"/>
  <c r="H6099" i="1"/>
  <c r="J6099" i="1"/>
  <c r="K6099" i="1"/>
  <c r="L6099" i="1"/>
  <c r="A6100" i="1"/>
  <c r="B6100" i="1"/>
  <c r="C6100" i="1"/>
  <c r="D6100" i="1"/>
  <c r="Q6100" i="1"/>
  <c r="R6100" i="1"/>
  <c r="E6100" i="1"/>
  <c r="G6100" i="1"/>
  <c r="H6100" i="1"/>
  <c r="J6100" i="1"/>
  <c r="K6100" i="1"/>
  <c r="L6100" i="1"/>
  <c r="A6101" i="1"/>
  <c r="B6101" i="1"/>
  <c r="C6101" i="1"/>
  <c r="D6101" i="1"/>
  <c r="Q6101" i="1"/>
  <c r="R6101" i="1"/>
  <c r="E6101" i="1"/>
  <c r="G6101" i="1"/>
  <c r="H6101" i="1"/>
  <c r="J6101" i="1"/>
  <c r="K6101" i="1"/>
  <c r="L6101" i="1"/>
  <c r="A6102" i="1"/>
  <c r="B6102" i="1"/>
  <c r="C6102" i="1"/>
  <c r="D6102" i="1"/>
  <c r="Q6102" i="1"/>
  <c r="R6102" i="1"/>
  <c r="E6102" i="1"/>
  <c r="G6102" i="1"/>
  <c r="H6102" i="1"/>
  <c r="J6102" i="1"/>
  <c r="K6102" i="1"/>
  <c r="L6102" i="1"/>
  <c r="A6103" i="1"/>
  <c r="B6103" i="1"/>
  <c r="C6103" i="1"/>
  <c r="D6103" i="1"/>
  <c r="Q6103" i="1"/>
  <c r="R6103" i="1"/>
  <c r="E6103" i="1"/>
  <c r="G6103" i="1"/>
  <c r="H6103" i="1"/>
  <c r="J6103" i="1"/>
  <c r="K6103" i="1"/>
  <c r="L6103" i="1"/>
  <c r="A6104" i="1"/>
  <c r="B6104" i="1"/>
  <c r="C6104" i="1"/>
  <c r="D6104" i="1"/>
  <c r="Q6104" i="1"/>
  <c r="R6104" i="1"/>
  <c r="E6104" i="1"/>
  <c r="G6104" i="1"/>
  <c r="H6104" i="1"/>
  <c r="J6104" i="1"/>
  <c r="K6104" i="1"/>
  <c r="L6104" i="1"/>
  <c r="A6105" i="1"/>
  <c r="B6105" i="1"/>
  <c r="C6105" i="1"/>
  <c r="D6105" i="1"/>
  <c r="Q6105" i="1"/>
  <c r="R6105" i="1"/>
  <c r="E6105" i="1"/>
  <c r="G6105" i="1"/>
  <c r="H6105" i="1"/>
  <c r="J6105" i="1"/>
  <c r="K6105" i="1"/>
  <c r="L6105" i="1"/>
  <c r="A6106" i="1"/>
  <c r="B6106" i="1"/>
  <c r="C6106" i="1"/>
  <c r="D6106" i="1"/>
  <c r="Q6106" i="1"/>
  <c r="R6106" i="1"/>
  <c r="E6106" i="1"/>
  <c r="G6106" i="1"/>
  <c r="H6106" i="1"/>
  <c r="J6106" i="1"/>
  <c r="K6106" i="1"/>
  <c r="L6106" i="1"/>
  <c r="A6107" i="1"/>
  <c r="B6107" i="1"/>
  <c r="C6107" i="1"/>
  <c r="D6107" i="1"/>
  <c r="Q6107" i="1"/>
  <c r="R6107" i="1"/>
  <c r="E6107" i="1"/>
  <c r="G6107" i="1"/>
  <c r="H6107" i="1"/>
  <c r="J6107" i="1"/>
  <c r="K6107" i="1"/>
  <c r="L6107" i="1"/>
  <c r="A6108" i="1"/>
  <c r="B6108" i="1"/>
  <c r="C6108" i="1"/>
  <c r="D6108" i="1"/>
  <c r="Q6108" i="1"/>
  <c r="R6108" i="1"/>
  <c r="E6108" i="1"/>
  <c r="G6108" i="1"/>
  <c r="H6108" i="1"/>
  <c r="J6108" i="1"/>
  <c r="K6108" i="1"/>
  <c r="L6108" i="1"/>
  <c r="A6109" i="1"/>
  <c r="B6109" i="1"/>
  <c r="C6109" i="1"/>
  <c r="D6109" i="1"/>
  <c r="Q6109" i="1"/>
  <c r="R6109" i="1"/>
  <c r="E6109" i="1"/>
  <c r="G6109" i="1"/>
  <c r="H6109" i="1"/>
  <c r="J6109" i="1"/>
  <c r="K6109" i="1"/>
  <c r="L6109" i="1"/>
  <c r="A6110" i="1"/>
  <c r="B6110" i="1"/>
  <c r="C6110" i="1"/>
  <c r="D6110" i="1"/>
  <c r="Q6110" i="1"/>
  <c r="R6110" i="1"/>
  <c r="E6110" i="1"/>
  <c r="G6110" i="1"/>
  <c r="H6110" i="1"/>
  <c r="J6110" i="1"/>
  <c r="K6110" i="1"/>
  <c r="L6110" i="1"/>
  <c r="A6111" i="1"/>
  <c r="B6111" i="1"/>
  <c r="C6111" i="1"/>
  <c r="D6111" i="1"/>
  <c r="Q6111" i="1"/>
  <c r="R6111" i="1"/>
  <c r="E6111" i="1"/>
  <c r="G6111" i="1"/>
  <c r="H6111" i="1"/>
  <c r="J6111" i="1"/>
  <c r="K6111" i="1"/>
  <c r="L6111" i="1"/>
  <c r="A6112" i="1"/>
  <c r="B6112" i="1"/>
  <c r="C6112" i="1"/>
  <c r="D6112" i="1"/>
  <c r="Q6112" i="1"/>
  <c r="R6112" i="1"/>
  <c r="E6112" i="1"/>
  <c r="G6112" i="1"/>
  <c r="H6112" i="1"/>
  <c r="J6112" i="1"/>
  <c r="K6112" i="1"/>
  <c r="L6112" i="1"/>
  <c r="A6113" i="1"/>
  <c r="B6113" i="1"/>
  <c r="C6113" i="1"/>
  <c r="D6113" i="1"/>
  <c r="Q6113" i="1"/>
  <c r="R6113" i="1"/>
  <c r="E6113" i="1"/>
  <c r="G6113" i="1"/>
  <c r="H6113" i="1"/>
  <c r="J6113" i="1"/>
  <c r="K6113" i="1"/>
  <c r="L6113" i="1"/>
  <c r="A6114" i="1"/>
  <c r="B6114" i="1"/>
  <c r="C6114" i="1"/>
  <c r="D6114" i="1"/>
  <c r="Q6114" i="1"/>
  <c r="R6114" i="1"/>
  <c r="E6114" i="1"/>
  <c r="G6114" i="1"/>
  <c r="H6114" i="1"/>
  <c r="J6114" i="1"/>
  <c r="K6114" i="1"/>
  <c r="L6114" i="1"/>
  <c r="A6115" i="1"/>
  <c r="B6115" i="1"/>
  <c r="C6115" i="1"/>
  <c r="D6115" i="1"/>
  <c r="Q6115" i="1"/>
  <c r="R6115" i="1"/>
  <c r="E6115" i="1"/>
  <c r="G6115" i="1"/>
  <c r="H6115" i="1"/>
  <c r="J6115" i="1"/>
  <c r="K6115" i="1"/>
  <c r="L6115" i="1"/>
  <c r="A6116" i="1"/>
  <c r="B6116" i="1"/>
  <c r="C6116" i="1"/>
  <c r="D6116" i="1"/>
  <c r="Q6116" i="1"/>
  <c r="R6116" i="1"/>
  <c r="E6116" i="1"/>
  <c r="G6116" i="1"/>
  <c r="H6116" i="1"/>
  <c r="J6116" i="1"/>
  <c r="K6116" i="1"/>
  <c r="L6116" i="1"/>
  <c r="A6117" i="1"/>
  <c r="B6117" i="1"/>
  <c r="C6117" i="1"/>
  <c r="D6117" i="1"/>
  <c r="Q6117" i="1"/>
  <c r="R6117" i="1"/>
  <c r="E6117" i="1"/>
  <c r="G6117" i="1"/>
  <c r="H6117" i="1"/>
  <c r="J6117" i="1"/>
  <c r="K6117" i="1"/>
  <c r="L6117" i="1"/>
  <c r="A6118" i="1"/>
  <c r="B6118" i="1"/>
  <c r="C6118" i="1"/>
  <c r="D6118" i="1"/>
  <c r="Q6118" i="1"/>
  <c r="R6118" i="1"/>
  <c r="E6118" i="1"/>
  <c r="G6118" i="1"/>
  <c r="H6118" i="1"/>
  <c r="J6118" i="1"/>
  <c r="K6118" i="1"/>
  <c r="L6118" i="1"/>
  <c r="A6119" i="1"/>
  <c r="B6119" i="1"/>
  <c r="C6119" i="1"/>
  <c r="D6119" i="1"/>
  <c r="Q6119" i="1"/>
  <c r="R6119" i="1"/>
  <c r="E6119" i="1"/>
  <c r="G6119" i="1"/>
  <c r="H6119" i="1"/>
  <c r="J6119" i="1"/>
  <c r="K6119" i="1"/>
  <c r="L6119" i="1"/>
  <c r="A6120" i="1"/>
  <c r="B6120" i="1"/>
  <c r="C6120" i="1"/>
  <c r="D6120" i="1"/>
  <c r="Q6120" i="1"/>
  <c r="R6120" i="1"/>
  <c r="E6120" i="1"/>
  <c r="G6120" i="1"/>
  <c r="H6120" i="1"/>
  <c r="J6120" i="1"/>
  <c r="K6120" i="1"/>
  <c r="L6120" i="1"/>
  <c r="A6121" i="1"/>
  <c r="B6121" i="1"/>
  <c r="C6121" i="1"/>
  <c r="D6121" i="1"/>
  <c r="Q6121" i="1"/>
  <c r="R6121" i="1"/>
  <c r="E6121" i="1"/>
  <c r="G6121" i="1"/>
  <c r="H6121" i="1"/>
  <c r="J6121" i="1"/>
  <c r="K6121" i="1"/>
  <c r="L6121" i="1"/>
  <c r="A6122" i="1"/>
  <c r="B6122" i="1"/>
  <c r="C6122" i="1"/>
  <c r="D6122" i="1"/>
  <c r="Q6122" i="1"/>
  <c r="R6122" i="1"/>
  <c r="E6122" i="1"/>
  <c r="G6122" i="1"/>
  <c r="H6122" i="1"/>
  <c r="J6122" i="1"/>
  <c r="K6122" i="1"/>
  <c r="L6122" i="1"/>
  <c r="A6123" i="1"/>
  <c r="B6123" i="1"/>
  <c r="C6123" i="1"/>
  <c r="D6123" i="1"/>
  <c r="Q6123" i="1"/>
  <c r="R6123" i="1"/>
  <c r="E6123" i="1"/>
  <c r="G6123" i="1"/>
  <c r="H6123" i="1"/>
  <c r="J6123" i="1"/>
  <c r="K6123" i="1"/>
  <c r="L6123" i="1"/>
  <c r="A6124" i="1"/>
  <c r="B6124" i="1"/>
  <c r="C6124" i="1"/>
  <c r="D6124" i="1"/>
  <c r="Q6124" i="1"/>
  <c r="R6124" i="1"/>
  <c r="E6124" i="1"/>
  <c r="G6124" i="1"/>
  <c r="H6124" i="1"/>
  <c r="J6124" i="1"/>
  <c r="K6124" i="1"/>
  <c r="L6124" i="1"/>
  <c r="A6125" i="1"/>
  <c r="B6125" i="1"/>
  <c r="C6125" i="1"/>
  <c r="D6125" i="1"/>
  <c r="Q6125" i="1"/>
  <c r="R6125" i="1"/>
  <c r="E6125" i="1"/>
  <c r="G6125" i="1"/>
  <c r="H6125" i="1"/>
  <c r="J6125" i="1"/>
  <c r="K6125" i="1"/>
  <c r="L6125" i="1"/>
  <c r="A6126" i="1"/>
  <c r="B6126" i="1"/>
  <c r="C6126" i="1"/>
  <c r="D6126" i="1"/>
  <c r="Q6126" i="1"/>
  <c r="R6126" i="1"/>
  <c r="E6126" i="1"/>
  <c r="G6126" i="1"/>
  <c r="H6126" i="1"/>
  <c r="J6126" i="1"/>
  <c r="K6126" i="1"/>
  <c r="L6126" i="1"/>
  <c r="A6127" i="1"/>
  <c r="B6127" i="1"/>
  <c r="C6127" i="1"/>
  <c r="D6127" i="1"/>
  <c r="Q6127" i="1"/>
  <c r="R6127" i="1"/>
  <c r="E6127" i="1"/>
  <c r="G6127" i="1"/>
  <c r="H6127" i="1"/>
  <c r="J6127" i="1"/>
  <c r="K6127" i="1"/>
  <c r="L6127" i="1"/>
  <c r="A6128" i="1"/>
  <c r="B6128" i="1"/>
  <c r="C6128" i="1"/>
  <c r="D6128" i="1"/>
  <c r="Q6128" i="1"/>
  <c r="R6128" i="1"/>
  <c r="E6128" i="1"/>
  <c r="G6128" i="1"/>
  <c r="H6128" i="1"/>
  <c r="J6128" i="1"/>
  <c r="K6128" i="1"/>
  <c r="L6128" i="1"/>
  <c r="A6129" i="1"/>
  <c r="B6129" i="1"/>
  <c r="C6129" i="1"/>
  <c r="D6129" i="1"/>
  <c r="Q6129" i="1"/>
  <c r="R6129" i="1"/>
  <c r="E6129" i="1"/>
  <c r="G6129" i="1"/>
  <c r="H6129" i="1"/>
  <c r="J6129" i="1"/>
  <c r="K6129" i="1"/>
  <c r="L6129" i="1"/>
  <c r="A6130" i="1"/>
  <c r="B6130" i="1"/>
  <c r="C6130" i="1"/>
  <c r="D6130" i="1"/>
  <c r="Q6130" i="1"/>
  <c r="R6130" i="1"/>
  <c r="E6130" i="1"/>
  <c r="G6130" i="1"/>
  <c r="H6130" i="1"/>
  <c r="J6130" i="1"/>
  <c r="K6130" i="1"/>
  <c r="L6130" i="1"/>
  <c r="A6131" i="1"/>
  <c r="B6131" i="1"/>
  <c r="C6131" i="1"/>
  <c r="D6131" i="1"/>
  <c r="Q6131" i="1"/>
  <c r="R6131" i="1"/>
  <c r="E6131" i="1"/>
  <c r="G6131" i="1"/>
  <c r="H6131" i="1"/>
  <c r="J6131" i="1"/>
  <c r="K6131" i="1"/>
  <c r="L6131" i="1"/>
  <c r="A6132" i="1"/>
  <c r="B6132" i="1"/>
  <c r="C6132" i="1"/>
  <c r="D6132" i="1"/>
  <c r="Q6132" i="1"/>
  <c r="R6132" i="1"/>
  <c r="E6132" i="1"/>
  <c r="G6132" i="1"/>
  <c r="H6132" i="1"/>
  <c r="J6132" i="1"/>
  <c r="K6132" i="1"/>
  <c r="L6132" i="1"/>
  <c r="A6133" i="1"/>
  <c r="B6133" i="1"/>
  <c r="C6133" i="1"/>
  <c r="D6133" i="1"/>
  <c r="Q6133" i="1"/>
  <c r="R6133" i="1"/>
  <c r="E6133" i="1"/>
  <c r="G6133" i="1"/>
  <c r="H6133" i="1"/>
  <c r="J6133" i="1"/>
  <c r="K6133" i="1"/>
  <c r="L6133" i="1"/>
  <c r="A6134" i="1"/>
  <c r="B6134" i="1"/>
  <c r="C6134" i="1"/>
  <c r="D6134" i="1"/>
  <c r="Q6134" i="1"/>
  <c r="R6134" i="1"/>
  <c r="E6134" i="1"/>
  <c r="G6134" i="1"/>
  <c r="H6134" i="1"/>
  <c r="J6134" i="1"/>
  <c r="K6134" i="1"/>
  <c r="L6134" i="1"/>
  <c r="A6135" i="1"/>
  <c r="B6135" i="1"/>
  <c r="C6135" i="1"/>
  <c r="D6135" i="1"/>
  <c r="Q6135" i="1"/>
  <c r="R6135" i="1"/>
  <c r="E6135" i="1"/>
  <c r="G6135" i="1"/>
  <c r="H6135" i="1"/>
  <c r="J6135" i="1"/>
  <c r="K6135" i="1"/>
  <c r="L6135" i="1"/>
  <c r="A6136" i="1"/>
  <c r="B6136" i="1"/>
  <c r="C6136" i="1"/>
  <c r="D6136" i="1"/>
  <c r="Q6136" i="1"/>
  <c r="R6136" i="1"/>
  <c r="E6136" i="1"/>
  <c r="G6136" i="1"/>
  <c r="H6136" i="1"/>
  <c r="J6136" i="1"/>
  <c r="K6136" i="1"/>
  <c r="L6136" i="1"/>
  <c r="A6137" i="1"/>
  <c r="B6137" i="1"/>
  <c r="C6137" i="1"/>
  <c r="D6137" i="1"/>
  <c r="Q6137" i="1"/>
  <c r="R6137" i="1"/>
  <c r="E6137" i="1"/>
  <c r="G6137" i="1"/>
  <c r="H6137" i="1"/>
  <c r="J6137" i="1"/>
  <c r="K6137" i="1"/>
  <c r="L6137" i="1"/>
  <c r="A6138" i="1"/>
  <c r="B6138" i="1"/>
  <c r="C6138" i="1"/>
  <c r="D6138" i="1"/>
  <c r="Q6138" i="1"/>
  <c r="R6138" i="1"/>
  <c r="E6138" i="1"/>
  <c r="G6138" i="1"/>
  <c r="H6138" i="1"/>
  <c r="J6138" i="1"/>
  <c r="K6138" i="1"/>
  <c r="L6138" i="1"/>
  <c r="A6139" i="1"/>
  <c r="B6139" i="1"/>
  <c r="C6139" i="1"/>
  <c r="D6139" i="1"/>
  <c r="Q6139" i="1"/>
  <c r="R6139" i="1"/>
  <c r="E6139" i="1"/>
  <c r="G6139" i="1"/>
  <c r="H6139" i="1"/>
  <c r="J6139" i="1"/>
  <c r="K6139" i="1"/>
  <c r="L6139" i="1"/>
  <c r="A6140" i="1"/>
  <c r="B6140" i="1"/>
  <c r="C6140" i="1"/>
  <c r="D6140" i="1"/>
  <c r="Q6140" i="1"/>
  <c r="R6140" i="1"/>
  <c r="E6140" i="1"/>
  <c r="G6140" i="1"/>
  <c r="H6140" i="1"/>
  <c r="J6140" i="1"/>
  <c r="K6140" i="1"/>
  <c r="L6140" i="1"/>
  <c r="A6141" i="1"/>
  <c r="B6141" i="1"/>
  <c r="C6141" i="1"/>
  <c r="D6141" i="1"/>
  <c r="Q6141" i="1"/>
  <c r="R6141" i="1"/>
  <c r="E6141" i="1"/>
  <c r="G6141" i="1"/>
  <c r="H6141" i="1"/>
  <c r="J6141" i="1"/>
  <c r="K6141" i="1"/>
  <c r="L6141" i="1"/>
  <c r="A6142" i="1"/>
  <c r="B6142" i="1"/>
  <c r="C6142" i="1"/>
  <c r="D6142" i="1"/>
  <c r="Q6142" i="1"/>
  <c r="R6142" i="1"/>
  <c r="E6142" i="1"/>
  <c r="G6142" i="1"/>
  <c r="H6142" i="1"/>
  <c r="J6142" i="1"/>
  <c r="K6142" i="1"/>
  <c r="L6142" i="1"/>
  <c r="A6143" i="1"/>
  <c r="B6143" i="1"/>
  <c r="C6143" i="1"/>
  <c r="D6143" i="1"/>
  <c r="Q6143" i="1"/>
  <c r="R6143" i="1"/>
  <c r="E6143" i="1"/>
  <c r="G6143" i="1"/>
  <c r="H6143" i="1"/>
  <c r="J6143" i="1"/>
  <c r="K6143" i="1"/>
  <c r="L6143" i="1"/>
  <c r="A6144" i="1"/>
  <c r="B6144" i="1"/>
  <c r="C6144" i="1"/>
  <c r="D6144" i="1"/>
  <c r="Q6144" i="1"/>
  <c r="R6144" i="1"/>
  <c r="E6144" i="1"/>
  <c r="G6144" i="1"/>
  <c r="H6144" i="1"/>
  <c r="J6144" i="1"/>
  <c r="K6144" i="1"/>
  <c r="L6144" i="1"/>
  <c r="A6145" i="1"/>
  <c r="B6145" i="1"/>
  <c r="C6145" i="1"/>
  <c r="D6145" i="1"/>
  <c r="Q6145" i="1"/>
  <c r="R6145" i="1"/>
  <c r="E6145" i="1"/>
  <c r="G6145" i="1"/>
  <c r="H6145" i="1"/>
  <c r="J6145" i="1"/>
  <c r="K6145" i="1"/>
  <c r="L6145" i="1"/>
  <c r="A6146" i="1"/>
  <c r="B6146" i="1"/>
  <c r="C6146" i="1"/>
  <c r="D6146" i="1"/>
  <c r="Q6146" i="1"/>
  <c r="R6146" i="1"/>
  <c r="E6146" i="1"/>
  <c r="G6146" i="1"/>
  <c r="H6146" i="1"/>
  <c r="J6146" i="1"/>
  <c r="K6146" i="1"/>
  <c r="L6146" i="1"/>
  <c r="A6147" i="1"/>
  <c r="B6147" i="1"/>
  <c r="C6147" i="1"/>
  <c r="D6147" i="1"/>
  <c r="Q6147" i="1"/>
  <c r="R6147" i="1"/>
  <c r="E6147" i="1"/>
  <c r="G6147" i="1"/>
  <c r="H6147" i="1"/>
  <c r="J6147" i="1"/>
  <c r="K6147" i="1"/>
  <c r="L6147" i="1"/>
  <c r="A6148" i="1"/>
  <c r="B6148" i="1"/>
  <c r="C6148" i="1"/>
  <c r="D6148" i="1"/>
  <c r="Q6148" i="1"/>
  <c r="R6148" i="1"/>
  <c r="E6148" i="1"/>
  <c r="G6148" i="1"/>
  <c r="H6148" i="1"/>
  <c r="J6148" i="1"/>
  <c r="K6148" i="1"/>
  <c r="L6148" i="1"/>
  <c r="A6149" i="1"/>
  <c r="B6149" i="1"/>
  <c r="C6149" i="1"/>
  <c r="D6149" i="1"/>
  <c r="Q6149" i="1"/>
  <c r="R6149" i="1"/>
  <c r="E6149" i="1"/>
  <c r="G6149" i="1"/>
  <c r="H6149" i="1"/>
  <c r="J6149" i="1"/>
  <c r="K6149" i="1"/>
  <c r="L6149" i="1"/>
  <c r="A6150" i="1"/>
  <c r="B6150" i="1"/>
  <c r="C6150" i="1"/>
  <c r="D6150" i="1"/>
  <c r="Q6150" i="1"/>
  <c r="R6150" i="1"/>
  <c r="E6150" i="1"/>
  <c r="G6150" i="1"/>
  <c r="H6150" i="1"/>
  <c r="J6150" i="1"/>
  <c r="K6150" i="1"/>
  <c r="L6150" i="1"/>
  <c r="A6151" i="1"/>
  <c r="B6151" i="1"/>
  <c r="C6151" i="1"/>
  <c r="D6151" i="1"/>
  <c r="Q6151" i="1"/>
  <c r="R6151" i="1"/>
  <c r="E6151" i="1"/>
  <c r="G6151" i="1"/>
  <c r="H6151" i="1"/>
  <c r="J6151" i="1"/>
  <c r="K6151" i="1"/>
  <c r="L6151" i="1"/>
  <c r="A6152" i="1"/>
  <c r="B6152" i="1"/>
  <c r="C6152" i="1"/>
  <c r="D6152" i="1"/>
  <c r="Q6152" i="1"/>
  <c r="R6152" i="1"/>
  <c r="E6152" i="1"/>
  <c r="G6152" i="1"/>
  <c r="H6152" i="1"/>
  <c r="J6152" i="1"/>
  <c r="K6152" i="1"/>
  <c r="L6152" i="1"/>
  <c r="A6153" i="1"/>
  <c r="B6153" i="1"/>
  <c r="C6153" i="1"/>
  <c r="D6153" i="1"/>
  <c r="Q6153" i="1"/>
  <c r="R6153" i="1"/>
  <c r="E6153" i="1"/>
  <c r="G6153" i="1"/>
  <c r="H6153" i="1"/>
  <c r="J6153" i="1"/>
  <c r="K6153" i="1"/>
  <c r="L6153" i="1"/>
  <c r="A6154" i="1"/>
  <c r="B6154" i="1"/>
  <c r="C6154" i="1"/>
  <c r="D6154" i="1"/>
  <c r="Q6154" i="1"/>
  <c r="R6154" i="1"/>
  <c r="E6154" i="1"/>
  <c r="G6154" i="1"/>
  <c r="H6154" i="1"/>
  <c r="J6154" i="1"/>
  <c r="K6154" i="1"/>
  <c r="L6154" i="1"/>
  <c r="A6155" i="1"/>
  <c r="B6155" i="1"/>
  <c r="C6155" i="1"/>
  <c r="D6155" i="1"/>
  <c r="Q6155" i="1"/>
  <c r="R6155" i="1"/>
  <c r="E6155" i="1"/>
  <c r="G6155" i="1"/>
  <c r="H6155" i="1"/>
  <c r="J6155" i="1"/>
  <c r="K6155" i="1"/>
  <c r="L6155" i="1"/>
  <c r="A6156" i="1"/>
  <c r="B6156" i="1"/>
  <c r="C6156" i="1"/>
  <c r="D6156" i="1"/>
  <c r="Q6156" i="1"/>
  <c r="R6156" i="1"/>
  <c r="E6156" i="1"/>
  <c r="G6156" i="1"/>
  <c r="H6156" i="1"/>
  <c r="J6156" i="1"/>
  <c r="K6156" i="1"/>
  <c r="L6156" i="1"/>
  <c r="A6157" i="1"/>
  <c r="B6157" i="1"/>
  <c r="C6157" i="1"/>
  <c r="D6157" i="1"/>
  <c r="Q6157" i="1"/>
  <c r="R6157" i="1"/>
  <c r="E6157" i="1"/>
  <c r="G6157" i="1"/>
  <c r="H6157" i="1"/>
  <c r="J6157" i="1"/>
  <c r="K6157" i="1"/>
  <c r="L6157" i="1"/>
  <c r="A6158" i="1"/>
  <c r="B6158" i="1"/>
  <c r="C6158" i="1"/>
  <c r="D6158" i="1"/>
  <c r="Q6158" i="1"/>
  <c r="R6158" i="1"/>
  <c r="E6158" i="1"/>
  <c r="G6158" i="1"/>
  <c r="H6158" i="1"/>
  <c r="J6158" i="1"/>
  <c r="K6158" i="1"/>
  <c r="L6158" i="1"/>
  <c r="A6159" i="1"/>
  <c r="B6159" i="1"/>
  <c r="C6159" i="1"/>
  <c r="D6159" i="1"/>
  <c r="Q6159" i="1"/>
  <c r="R6159" i="1"/>
  <c r="E6159" i="1"/>
  <c r="G6159" i="1"/>
  <c r="H6159" i="1"/>
  <c r="J6159" i="1"/>
  <c r="K6159" i="1"/>
  <c r="L6159" i="1"/>
  <c r="A6160" i="1"/>
  <c r="B6160" i="1"/>
  <c r="C6160" i="1"/>
  <c r="D6160" i="1"/>
  <c r="Q6160" i="1"/>
  <c r="R6160" i="1"/>
  <c r="E6160" i="1"/>
  <c r="G6160" i="1"/>
  <c r="H6160" i="1"/>
  <c r="J6160" i="1"/>
  <c r="K6160" i="1"/>
  <c r="L6160" i="1"/>
  <c r="A6161" i="1"/>
  <c r="B6161" i="1"/>
  <c r="C6161" i="1"/>
  <c r="D6161" i="1"/>
  <c r="Q6161" i="1"/>
  <c r="R6161" i="1"/>
  <c r="E6161" i="1"/>
  <c r="G6161" i="1"/>
  <c r="H6161" i="1"/>
  <c r="J6161" i="1"/>
  <c r="K6161" i="1"/>
  <c r="L6161" i="1"/>
  <c r="A6162" i="1"/>
  <c r="B6162" i="1"/>
  <c r="C6162" i="1"/>
  <c r="D6162" i="1"/>
  <c r="Q6162" i="1"/>
  <c r="R6162" i="1"/>
  <c r="E6162" i="1"/>
  <c r="G6162" i="1"/>
  <c r="H6162" i="1"/>
  <c r="J6162" i="1"/>
  <c r="K6162" i="1"/>
  <c r="L6162" i="1"/>
  <c r="A6163" i="1"/>
  <c r="B6163" i="1"/>
  <c r="C6163" i="1"/>
  <c r="D6163" i="1"/>
  <c r="Q6163" i="1"/>
  <c r="R6163" i="1"/>
  <c r="E6163" i="1"/>
  <c r="G6163" i="1"/>
  <c r="H6163" i="1"/>
  <c r="J6163" i="1"/>
  <c r="K6163" i="1"/>
  <c r="L6163" i="1"/>
  <c r="A6164" i="1"/>
  <c r="B6164" i="1"/>
  <c r="C6164" i="1"/>
  <c r="D6164" i="1"/>
  <c r="Q6164" i="1"/>
  <c r="R6164" i="1"/>
  <c r="E6164" i="1"/>
  <c r="G6164" i="1"/>
  <c r="H6164" i="1"/>
  <c r="J6164" i="1"/>
  <c r="K6164" i="1"/>
  <c r="L6164" i="1"/>
  <c r="A6165" i="1"/>
  <c r="B6165" i="1"/>
  <c r="C6165" i="1"/>
  <c r="D6165" i="1"/>
  <c r="Q6165" i="1"/>
  <c r="R6165" i="1"/>
  <c r="E6165" i="1"/>
  <c r="G6165" i="1"/>
  <c r="H6165" i="1"/>
  <c r="J6165" i="1"/>
  <c r="K6165" i="1"/>
  <c r="L6165" i="1"/>
  <c r="A6166" i="1"/>
  <c r="B6166" i="1"/>
  <c r="C6166" i="1"/>
  <c r="D6166" i="1"/>
  <c r="Q6166" i="1"/>
  <c r="R6166" i="1"/>
  <c r="E6166" i="1"/>
  <c r="G6166" i="1"/>
  <c r="H6166" i="1"/>
  <c r="J6166" i="1"/>
  <c r="K6166" i="1"/>
  <c r="L6166" i="1"/>
  <c r="A6167" i="1"/>
  <c r="B6167" i="1"/>
  <c r="C6167" i="1"/>
  <c r="D6167" i="1"/>
  <c r="Q6167" i="1"/>
  <c r="R6167" i="1"/>
  <c r="E6167" i="1"/>
  <c r="G6167" i="1"/>
  <c r="H6167" i="1"/>
  <c r="J6167" i="1"/>
  <c r="K6167" i="1"/>
  <c r="L6167" i="1"/>
  <c r="A6168" i="1"/>
  <c r="B6168" i="1"/>
  <c r="C6168" i="1"/>
  <c r="D6168" i="1"/>
  <c r="Q6168" i="1"/>
  <c r="R6168" i="1"/>
  <c r="E6168" i="1"/>
  <c r="G6168" i="1"/>
  <c r="H6168" i="1"/>
  <c r="J6168" i="1"/>
  <c r="K6168" i="1"/>
  <c r="L6168" i="1"/>
  <c r="A6169" i="1"/>
  <c r="B6169" i="1"/>
  <c r="C6169" i="1"/>
  <c r="D6169" i="1"/>
  <c r="Q6169" i="1"/>
  <c r="R6169" i="1"/>
  <c r="E6169" i="1"/>
  <c r="G6169" i="1"/>
  <c r="H6169" i="1"/>
  <c r="J6169" i="1"/>
  <c r="K6169" i="1"/>
  <c r="L6169" i="1"/>
  <c r="A6170" i="1"/>
  <c r="B6170" i="1"/>
  <c r="C6170" i="1"/>
  <c r="D6170" i="1"/>
  <c r="Q6170" i="1"/>
  <c r="R6170" i="1"/>
  <c r="E6170" i="1"/>
  <c r="G6170" i="1"/>
  <c r="H6170" i="1"/>
  <c r="J6170" i="1"/>
  <c r="K6170" i="1"/>
  <c r="L6170" i="1"/>
  <c r="A6171" i="1"/>
  <c r="B6171" i="1"/>
  <c r="C6171" i="1"/>
  <c r="D6171" i="1"/>
  <c r="Q6171" i="1"/>
  <c r="R6171" i="1"/>
  <c r="E6171" i="1"/>
  <c r="G6171" i="1"/>
  <c r="H6171" i="1"/>
  <c r="J6171" i="1"/>
  <c r="K6171" i="1"/>
  <c r="L6171" i="1"/>
  <c r="A6172" i="1"/>
  <c r="B6172" i="1"/>
  <c r="C6172" i="1"/>
  <c r="D6172" i="1"/>
  <c r="Q6172" i="1"/>
  <c r="R6172" i="1"/>
  <c r="E6172" i="1"/>
  <c r="G6172" i="1"/>
  <c r="H6172" i="1"/>
  <c r="J6172" i="1"/>
  <c r="K6172" i="1"/>
  <c r="L6172" i="1"/>
  <c r="A6173" i="1"/>
  <c r="B6173" i="1"/>
  <c r="C6173" i="1"/>
  <c r="D6173" i="1"/>
  <c r="Q6173" i="1"/>
  <c r="R6173" i="1"/>
  <c r="E6173" i="1"/>
  <c r="G6173" i="1"/>
  <c r="H6173" i="1"/>
  <c r="J6173" i="1"/>
  <c r="K6173" i="1"/>
  <c r="L6173" i="1"/>
  <c r="A6174" i="1"/>
  <c r="B6174" i="1"/>
  <c r="C6174" i="1"/>
  <c r="D6174" i="1"/>
  <c r="Q6174" i="1"/>
  <c r="R6174" i="1"/>
  <c r="E6174" i="1"/>
  <c r="G6174" i="1"/>
  <c r="H6174" i="1"/>
  <c r="J6174" i="1"/>
  <c r="K6174" i="1"/>
  <c r="L6174" i="1"/>
  <c r="A6175" i="1"/>
  <c r="B6175" i="1"/>
  <c r="C6175" i="1"/>
  <c r="D6175" i="1"/>
  <c r="Q6175" i="1"/>
  <c r="R6175" i="1"/>
  <c r="E6175" i="1"/>
  <c r="G6175" i="1"/>
  <c r="H6175" i="1"/>
  <c r="J6175" i="1"/>
  <c r="K6175" i="1"/>
  <c r="L6175" i="1"/>
  <c r="A6176" i="1"/>
  <c r="B6176" i="1"/>
  <c r="C6176" i="1"/>
  <c r="D6176" i="1"/>
  <c r="Q6176" i="1"/>
  <c r="R6176" i="1"/>
  <c r="E6176" i="1"/>
  <c r="G6176" i="1"/>
  <c r="H6176" i="1"/>
  <c r="J6176" i="1"/>
  <c r="K6176" i="1"/>
  <c r="L6176" i="1"/>
  <c r="A6177" i="1"/>
  <c r="B6177" i="1"/>
  <c r="C6177" i="1"/>
  <c r="D6177" i="1"/>
  <c r="Q6177" i="1"/>
  <c r="R6177" i="1"/>
  <c r="E6177" i="1"/>
  <c r="G6177" i="1"/>
  <c r="H6177" i="1"/>
  <c r="J6177" i="1"/>
  <c r="K6177" i="1"/>
  <c r="L6177" i="1"/>
  <c r="A6178" i="1"/>
  <c r="B6178" i="1"/>
  <c r="C6178" i="1"/>
  <c r="D6178" i="1"/>
  <c r="Q6178" i="1"/>
  <c r="R6178" i="1"/>
  <c r="E6178" i="1"/>
  <c r="G6178" i="1"/>
  <c r="H6178" i="1"/>
  <c r="J6178" i="1"/>
  <c r="K6178" i="1"/>
  <c r="L6178" i="1"/>
  <c r="A6179" i="1"/>
  <c r="B6179" i="1"/>
  <c r="C6179" i="1"/>
  <c r="D6179" i="1"/>
  <c r="Q6179" i="1"/>
  <c r="R6179" i="1"/>
  <c r="E6179" i="1"/>
  <c r="G6179" i="1"/>
  <c r="H6179" i="1"/>
  <c r="J6179" i="1"/>
  <c r="K6179" i="1"/>
  <c r="L6179" i="1"/>
  <c r="A6180" i="1"/>
  <c r="B6180" i="1"/>
  <c r="C6180" i="1"/>
  <c r="D6180" i="1"/>
  <c r="Q6180" i="1"/>
  <c r="R6180" i="1"/>
  <c r="E6180" i="1"/>
  <c r="G6180" i="1"/>
  <c r="H6180" i="1"/>
  <c r="J6180" i="1"/>
  <c r="K6180" i="1"/>
  <c r="L6180" i="1"/>
  <c r="A6181" i="1"/>
  <c r="B6181" i="1"/>
  <c r="C6181" i="1"/>
  <c r="D6181" i="1"/>
  <c r="Q6181" i="1"/>
  <c r="R6181" i="1"/>
  <c r="E6181" i="1"/>
  <c r="G6181" i="1"/>
  <c r="H6181" i="1"/>
  <c r="J6181" i="1"/>
  <c r="K6181" i="1"/>
  <c r="L6181" i="1"/>
  <c r="A6182" i="1"/>
  <c r="B6182" i="1"/>
  <c r="C6182" i="1"/>
  <c r="D6182" i="1"/>
  <c r="Q6182" i="1"/>
  <c r="R6182" i="1"/>
  <c r="E6182" i="1"/>
  <c r="G6182" i="1"/>
  <c r="H6182" i="1"/>
  <c r="J6182" i="1"/>
  <c r="K6182" i="1"/>
  <c r="L6182" i="1"/>
  <c r="A6183" i="1"/>
  <c r="B6183" i="1"/>
  <c r="C6183" i="1"/>
  <c r="D6183" i="1"/>
  <c r="Q6183" i="1"/>
  <c r="R6183" i="1"/>
  <c r="E6183" i="1"/>
  <c r="G6183" i="1"/>
  <c r="H6183" i="1"/>
  <c r="J6183" i="1"/>
  <c r="K6183" i="1"/>
  <c r="L6183" i="1"/>
  <c r="A6184" i="1"/>
  <c r="B6184" i="1"/>
  <c r="C6184" i="1"/>
  <c r="D6184" i="1"/>
  <c r="Q6184" i="1"/>
  <c r="R6184" i="1"/>
  <c r="E6184" i="1"/>
  <c r="G6184" i="1"/>
  <c r="H6184" i="1"/>
  <c r="J6184" i="1"/>
  <c r="K6184" i="1"/>
  <c r="L6184" i="1"/>
  <c r="A6185" i="1"/>
  <c r="B6185" i="1"/>
  <c r="C6185" i="1"/>
  <c r="D6185" i="1"/>
  <c r="Q6185" i="1"/>
  <c r="R6185" i="1"/>
  <c r="E6185" i="1"/>
  <c r="G6185" i="1"/>
  <c r="H6185" i="1"/>
  <c r="J6185" i="1"/>
  <c r="K6185" i="1"/>
  <c r="L6185" i="1"/>
  <c r="A6186" i="1"/>
  <c r="B6186" i="1"/>
  <c r="C6186" i="1"/>
  <c r="D6186" i="1"/>
  <c r="Q6186" i="1"/>
  <c r="R6186" i="1"/>
  <c r="E6186" i="1"/>
  <c r="G6186" i="1"/>
  <c r="H6186" i="1"/>
  <c r="J6186" i="1"/>
  <c r="K6186" i="1"/>
  <c r="L6186" i="1"/>
  <c r="A6187" i="1"/>
  <c r="B6187" i="1"/>
  <c r="C6187" i="1"/>
  <c r="D6187" i="1"/>
  <c r="Q6187" i="1"/>
  <c r="R6187" i="1"/>
  <c r="E6187" i="1"/>
  <c r="G6187" i="1"/>
  <c r="H6187" i="1"/>
  <c r="J6187" i="1"/>
  <c r="K6187" i="1"/>
  <c r="L6187" i="1"/>
  <c r="A6188" i="1"/>
  <c r="B6188" i="1"/>
  <c r="C6188" i="1"/>
  <c r="D6188" i="1"/>
  <c r="Q6188" i="1"/>
  <c r="R6188" i="1"/>
  <c r="E6188" i="1"/>
  <c r="G6188" i="1"/>
  <c r="H6188" i="1"/>
  <c r="J6188" i="1"/>
  <c r="K6188" i="1"/>
  <c r="L6188" i="1"/>
  <c r="A6189" i="1"/>
  <c r="B6189" i="1"/>
  <c r="C6189" i="1"/>
  <c r="D6189" i="1"/>
  <c r="Q6189" i="1"/>
  <c r="R6189" i="1"/>
  <c r="E6189" i="1"/>
  <c r="G6189" i="1"/>
  <c r="H6189" i="1"/>
  <c r="J6189" i="1"/>
  <c r="K6189" i="1"/>
  <c r="L6189" i="1"/>
  <c r="A6190" i="1"/>
  <c r="B6190" i="1"/>
  <c r="C6190" i="1"/>
  <c r="D6190" i="1"/>
  <c r="Q6190" i="1"/>
  <c r="R6190" i="1"/>
  <c r="E6190" i="1"/>
  <c r="G6190" i="1"/>
  <c r="H6190" i="1"/>
  <c r="J6190" i="1"/>
  <c r="K6190" i="1"/>
  <c r="L6190" i="1"/>
  <c r="A6191" i="1"/>
  <c r="B6191" i="1"/>
  <c r="C6191" i="1"/>
  <c r="D6191" i="1"/>
  <c r="Q6191" i="1"/>
  <c r="R6191" i="1"/>
  <c r="E6191" i="1"/>
  <c r="G6191" i="1"/>
  <c r="H6191" i="1"/>
  <c r="J6191" i="1"/>
  <c r="K6191" i="1"/>
  <c r="L6191" i="1"/>
  <c r="A6192" i="1"/>
  <c r="B6192" i="1"/>
  <c r="C6192" i="1"/>
  <c r="D6192" i="1"/>
  <c r="Q6192" i="1"/>
  <c r="R6192" i="1"/>
  <c r="E6192" i="1"/>
  <c r="G6192" i="1"/>
  <c r="H6192" i="1"/>
  <c r="J6192" i="1"/>
  <c r="K6192" i="1"/>
  <c r="L6192" i="1"/>
  <c r="A6193" i="1"/>
  <c r="B6193" i="1"/>
  <c r="C6193" i="1"/>
  <c r="D6193" i="1"/>
  <c r="Q6193" i="1"/>
  <c r="R6193" i="1"/>
  <c r="E6193" i="1"/>
  <c r="G6193" i="1"/>
  <c r="H6193" i="1"/>
  <c r="J6193" i="1"/>
  <c r="K6193" i="1"/>
  <c r="L6193" i="1"/>
  <c r="A6194" i="1"/>
  <c r="B6194" i="1"/>
  <c r="C6194" i="1"/>
  <c r="D6194" i="1"/>
  <c r="Q6194" i="1"/>
  <c r="R6194" i="1"/>
  <c r="E6194" i="1"/>
  <c r="G6194" i="1"/>
  <c r="H6194" i="1"/>
  <c r="J6194" i="1"/>
  <c r="K6194" i="1"/>
  <c r="L6194" i="1"/>
  <c r="A6195" i="1"/>
  <c r="B6195" i="1"/>
  <c r="C6195" i="1"/>
  <c r="D6195" i="1"/>
  <c r="Q6195" i="1"/>
  <c r="R6195" i="1"/>
  <c r="E6195" i="1"/>
  <c r="G6195" i="1"/>
  <c r="H6195" i="1"/>
  <c r="J6195" i="1"/>
  <c r="K6195" i="1"/>
  <c r="L6195" i="1"/>
  <c r="A6196" i="1"/>
  <c r="B6196" i="1"/>
  <c r="C6196" i="1"/>
  <c r="D6196" i="1"/>
  <c r="Q6196" i="1"/>
  <c r="R6196" i="1"/>
  <c r="E6196" i="1"/>
  <c r="G6196" i="1"/>
  <c r="H6196" i="1"/>
  <c r="J6196" i="1"/>
  <c r="K6196" i="1"/>
  <c r="L6196" i="1"/>
  <c r="A6197" i="1"/>
  <c r="B6197" i="1"/>
  <c r="C6197" i="1"/>
  <c r="D6197" i="1"/>
  <c r="Q6197" i="1"/>
  <c r="R6197" i="1"/>
  <c r="E6197" i="1"/>
  <c r="G6197" i="1"/>
  <c r="H6197" i="1"/>
  <c r="J6197" i="1"/>
  <c r="K6197" i="1"/>
  <c r="L6197" i="1"/>
  <c r="A6198" i="1"/>
  <c r="B6198" i="1"/>
  <c r="C6198" i="1"/>
  <c r="D6198" i="1"/>
  <c r="Q6198" i="1"/>
  <c r="R6198" i="1"/>
  <c r="E6198" i="1"/>
  <c r="G6198" i="1"/>
  <c r="H6198" i="1"/>
  <c r="J6198" i="1"/>
  <c r="K6198" i="1"/>
  <c r="L6198" i="1"/>
  <c r="A6199" i="1"/>
  <c r="B6199" i="1"/>
  <c r="C6199" i="1"/>
  <c r="D6199" i="1"/>
  <c r="Q6199" i="1"/>
  <c r="R6199" i="1"/>
  <c r="E6199" i="1"/>
  <c r="G6199" i="1"/>
  <c r="H6199" i="1"/>
  <c r="J6199" i="1"/>
  <c r="K6199" i="1"/>
  <c r="L6199" i="1"/>
  <c r="A6200" i="1"/>
  <c r="B6200" i="1"/>
  <c r="C6200" i="1"/>
  <c r="D6200" i="1"/>
  <c r="Q6200" i="1"/>
  <c r="R6200" i="1"/>
  <c r="E6200" i="1"/>
  <c r="G6200" i="1"/>
  <c r="H6200" i="1"/>
  <c r="J6200" i="1"/>
  <c r="K6200" i="1"/>
  <c r="L6200" i="1"/>
  <c r="A6201" i="1"/>
  <c r="B6201" i="1"/>
  <c r="C6201" i="1"/>
  <c r="D6201" i="1"/>
  <c r="Q6201" i="1"/>
  <c r="R6201" i="1"/>
  <c r="E6201" i="1"/>
  <c r="G6201" i="1"/>
  <c r="H6201" i="1"/>
  <c r="J6201" i="1"/>
  <c r="K6201" i="1"/>
  <c r="L6201" i="1"/>
  <c r="A6202" i="1"/>
  <c r="B6202" i="1"/>
  <c r="C6202" i="1"/>
  <c r="D6202" i="1"/>
  <c r="Q6202" i="1"/>
  <c r="R6202" i="1"/>
  <c r="E6202" i="1"/>
  <c r="G6202" i="1"/>
  <c r="H6202" i="1"/>
  <c r="J6202" i="1"/>
  <c r="K6202" i="1"/>
  <c r="L6202" i="1"/>
  <c r="A6203" i="1"/>
  <c r="B6203" i="1"/>
  <c r="C6203" i="1"/>
  <c r="D6203" i="1"/>
  <c r="Q6203" i="1"/>
  <c r="R6203" i="1"/>
  <c r="E6203" i="1"/>
  <c r="G6203" i="1"/>
  <c r="H6203" i="1"/>
  <c r="J6203" i="1"/>
  <c r="K6203" i="1"/>
  <c r="L6203" i="1"/>
  <c r="A6204" i="1"/>
  <c r="B6204" i="1"/>
  <c r="C6204" i="1"/>
  <c r="D6204" i="1"/>
  <c r="Q6204" i="1"/>
  <c r="R6204" i="1"/>
  <c r="E6204" i="1"/>
  <c r="G6204" i="1"/>
  <c r="H6204" i="1"/>
  <c r="J6204" i="1"/>
  <c r="K6204" i="1"/>
  <c r="L6204" i="1"/>
  <c r="A6205" i="1"/>
  <c r="B6205" i="1"/>
  <c r="C6205" i="1"/>
  <c r="D6205" i="1"/>
  <c r="Q6205" i="1"/>
  <c r="R6205" i="1"/>
  <c r="E6205" i="1"/>
  <c r="G6205" i="1"/>
  <c r="H6205" i="1"/>
  <c r="J6205" i="1"/>
  <c r="K6205" i="1"/>
  <c r="L6205" i="1"/>
  <c r="A6206" i="1"/>
  <c r="B6206" i="1"/>
  <c r="C6206" i="1"/>
  <c r="D6206" i="1"/>
  <c r="Q6206" i="1"/>
  <c r="R6206" i="1"/>
  <c r="E6206" i="1"/>
  <c r="G6206" i="1"/>
  <c r="H6206" i="1"/>
  <c r="J6206" i="1"/>
  <c r="K6206" i="1"/>
  <c r="L6206" i="1"/>
  <c r="A6207" i="1"/>
  <c r="B6207" i="1"/>
  <c r="C6207" i="1"/>
  <c r="D6207" i="1"/>
  <c r="Q6207" i="1"/>
  <c r="R6207" i="1"/>
  <c r="E6207" i="1"/>
  <c r="G6207" i="1"/>
  <c r="H6207" i="1"/>
  <c r="J6207" i="1"/>
  <c r="K6207" i="1"/>
  <c r="L6207" i="1"/>
  <c r="A6208" i="1"/>
  <c r="B6208" i="1"/>
  <c r="C6208" i="1"/>
  <c r="D6208" i="1"/>
  <c r="Q6208" i="1"/>
  <c r="R6208" i="1"/>
  <c r="E6208" i="1"/>
  <c r="G6208" i="1"/>
  <c r="H6208" i="1"/>
  <c r="J6208" i="1"/>
  <c r="K6208" i="1"/>
  <c r="L6208" i="1"/>
  <c r="A6209" i="1"/>
  <c r="B6209" i="1"/>
  <c r="C6209" i="1"/>
  <c r="D6209" i="1"/>
  <c r="Q6209" i="1"/>
  <c r="R6209" i="1"/>
  <c r="E6209" i="1"/>
  <c r="G6209" i="1"/>
  <c r="H6209" i="1"/>
  <c r="J6209" i="1"/>
  <c r="K6209" i="1"/>
  <c r="L6209" i="1"/>
  <c r="A6210" i="1"/>
  <c r="B6210" i="1"/>
  <c r="C6210" i="1"/>
  <c r="D6210" i="1"/>
  <c r="Q6210" i="1"/>
  <c r="R6210" i="1"/>
  <c r="E6210" i="1"/>
  <c r="G6210" i="1"/>
  <c r="H6210" i="1"/>
  <c r="J6210" i="1"/>
  <c r="K6210" i="1"/>
  <c r="L6210" i="1"/>
  <c r="A6211" i="1"/>
  <c r="B6211" i="1"/>
  <c r="C6211" i="1"/>
  <c r="D6211" i="1"/>
  <c r="Q6211" i="1"/>
  <c r="R6211" i="1"/>
  <c r="E6211" i="1"/>
  <c r="G6211" i="1"/>
  <c r="H6211" i="1"/>
  <c r="J6211" i="1"/>
  <c r="K6211" i="1"/>
  <c r="L6211" i="1"/>
  <c r="A6212" i="1"/>
  <c r="B6212" i="1"/>
  <c r="C6212" i="1"/>
  <c r="D6212" i="1"/>
  <c r="Q6212" i="1"/>
  <c r="R6212" i="1"/>
  <c r="E6212" i="1"/>
  <c r="G6212" i="1"/>
  <c r="H6212" i="1"/>
  <c r="J6212" i="1"/>
  <c r="K6212" i="1"/>
  <c r="L6212" i="1"/>
  <c r="A6213" i="1"/>
  <c r="B6213" i="1"/>
  <c r="C6213" i="1"/>
  <c r="D6213" i="1"/>
  <c r="Q6213" i="1"/>
  <c r="R6213" i="1"/>
  <c r="E6213" i="1"/>
  <c r="G6213" i="1"/>
  <c r="H6213" i="1"/>
  <c r="J6213" i="1"/>
  <c r="K6213" i="1"/>
  <c r="L6213" i="1"/>
  <c r="A6214" i="1"/>
  <c r="B6214" i="1"/>
  <c r="C6214" i="1"/>
  <c r="D6214" i="1"/>
  <c r="Q6214" i="1"/>
  <c r="R6214" i="1"/>
  <c r="E6214" i="1"/>
  <c r="G6214" i="1"/>
  <c r="H6214" i="1"/>
  <c r="J6214" i="1"/>
  <c r="K6214" i="1"/>
  <c r="L6214" i="1"/>
  <c r="A6215" i="1"/>
  <c r="B6215" i="1"/>
  <c r="C6215" i="1"/>
  <c r="D6215" i="1"/>
  <c r="Q6215" i="1"/>
  <c r="R6215" i="1"/>
  <c r="E6215" i="1"/>
  <c r="G6215" i="1"/>
  <c r="H6215" i="1"/>
  <c r="J6215" i="1"/>
  <c r="K6215" i="1"/>
  <c r="L6215" i="1"/>
  <c r="A6216" i="1"/>
  <c r="B6216" i="1"/>
  <c r="C6216" i="1"/>
  <c r="D6216" i="1"/>
  <c r="Q6216" i="1"/>
  <c r="R6216" i="1"/>
  <c r="E6216" i="1"/>
  <c r="G6216" i="1"/>
  <c r="H6216" i="1"/>
  <c r="J6216" i="1"/>
  <c r="K6216" i="1"/>
  <c r="L6216" i="1"/>
  <c r="A6217" i="1"/>
  <c r="B6217" i="1"/>
  <c r="C6217" i="1"/>
  <c r="D6217" i="1"/>
  <c r="Q6217" i="1"/>
  <c r="R6217" i="1"/>
  <c r="E6217" i="1"/>
  <c r="G6217" i="1"/>
  <c r="H6217" i="1"/>
  <c r="J6217" i="1"/>
  <c r="K6217" i="1"/>
  <c r="L6217" i="1"/>
  <c r="A6218" i="1"/>
  <c r="B6218" i="1"/>
  <c r="C6218" i="1"/>
  <c r="D6218" i="1"/>
  <c r="Q6218" i="1"/>
  <c r="R6218" i="1"/>
  <c r="E6218" i="1"/>
  <c r="G6218" i="1"/>
  <c r="H6218" i="1"/>
  <c r="J6218" i="1"/>
  <c r="K6218" i="1"/>
  <c r="L6218" i="1"/>
  <c r="A6715" i="1"/>
  <c r="B6715" i="1"/>
  <c r="C6715" i="1"/>
  <c r="D6715" i="1"/>
  <c r="Q6715" i="1"/>
  <c r="R6715" i="1"/>
  <c r="E6715" i="1"/>
  <c r="G6715" i="1"/>
  <c r="H6715" i="1"/>
  <c r="J6715" i="1"/>
  <c r="K6715" i="1"/>
  <c r="L6715" i="1"/>
  <c r="A6716" i="1"/>
  <c r="B6716" i="1"/>
  <c r="C6716" i="1"/>
  <c r="D6716" i="1"/>
  <c r="Q6716" i="1"/>
  <c r="R6716" i="1"/>
  <c r="E6716" i="1"/>
  <c r="G6716" i="1"/>
  <c r="H6716" i="1"/>
  <c r="J6716" i="1"/>
  <c r="K6716" i="1"/>
  <c r="L6716" i="1"/>
  <c r="A6717" i="1"/>
  <c r="B6717" i="1"/>
  <c r="C6717" i="1"/>
  <c r="D6717" i="1"/>
  <c r="Q6717" i="1"/>
  <c r="R6717" i="1"/>
  <c r="E6717" i="1"/>
  <c r="G6717" i="1"/>
  <c r="H6717" i="1"/>
  <c r="J6717" i="1"/>
  <c r="K6717" i="1"/>
  <c r="L6717" i="1"/>
  <c r="A6718" i="1"/>
  <c r="B6718" i="1"/>
  <c r="C6718" i="1"/>
  <c r="D6718" i="1"/>
  <c r="Q6718" i="1"/>
  <c r="R6718" i="1"/>
  <c r="E6718" i="1"/>
  <c r="G6718" i="1"/>
  <c r="H6718" i="1"/>
  <c r="J6718" i="1"/>
  <c r="K6718" i="1"/>
  <c r="L6718" i="1"/>
  <c r="A6719" i="1"/>
  <c r="B6719" i="1"/>
  <c r="C6719" i="1"/>
  <c r="D6719" i="1"/>
  <c r="Q6719" i="1"/>
  <c r="R6719" i="1"/>
  <c r="E6719" i="1"/>
  <c r="G6719" i="1"/>
  <c r="H6719" i="1"/>
  <c r="J6719" i="1"/>
  <c r="K6719" i="1"/>
  <c r="L6719" i="1"/>
  <c r="A6720" i="1"/>
  <c r="B6720" i="1"/>
  <c r="C6720" i="1"/>
  <c r="D6720" i="1"/>
  <c r="Q6720" i="1"/>
  <c r="R6720" i="1"/>
  <c r="E6720" i="1"/>
  <c r="G6720" i="1"/>
  <c r="H6720" i="1"/>
  <c r="J6720" i="1"/>
  <c r="K6720" i="1"/>
  <c r="L6720" i="1"/>
  <c r="A6721" i="1"/>
  <c r="B6721" i="1"/>
  <c r="C6721" i="1"/>
  <c r="D6721" i="1"/>
  <c r="Q6721" i="1"/>
  <c r="R6721" i="1"/>
  <c r="E6721" i="1"/>
  <c r="G6721" i="1"/>
  <c r="H6721" i="1"/>
  <c r="J6721" i="1"/>
  <c r="K6721" i="1"/>
  <c r="L6721" i="1"/>
  <c r="A6722" i="1"/>
  <c r="B6722" i="1"/>
  <c r="C6722" i="1"/>
  <c r="D6722" i="1"/>
  <c r="Q6722" i="1"/>
  <c r="R6722" i="1"/>
  <c r="E6722" i="1"/>
  <c r="G6722" i="1"/>
  <c r="H6722" i="1"/>
  <c r="J6722" i="1"/>
  <c r="K6722" i="1"/>
  <c r="L6722" i="1"/>
  <c r="A6219" i="1"/>
  <c r="B6219" i="1"/>
  <c r="C6219" i="1"/>
  <c r="D6219" i="1"/>
  <c r="Q6219" i="1"/>
  <c r="R6219" i="1"/>
  <c r="E6219" i="1"/>
  <c r="G6219" i="1"/>
  <c r="H6219" i="1"/>
  <c r="J6219" i="1"/>
  <c r="K6219" i="1"/>
  <c r="L6219" i="1"/>
  <c r="A6220" i="1"/>
  <c r="B6220" i="1"/>
  <c r="C6220" i="1"/>
  <c r="D6220" i="1"/>
  <c r="Q6220" i="1"/>
  <c r="R6220" i="1"/>
  <c r="E6220" i="1"/>
  <c r="G6220" i="1"/>
  <c r="H6220" i="1"/>
  <c r="J6220" i="1"/>
  <c r="K6220" i="1"/>
  <c r="L6220" i="1"/>
  <c r="A6221" i="1"/>
  <c r="B6221" i="1"/>
  <c r="C6221" i="1"/>
  <c r="D6221" i="1"/>
  <c r="Q6221" i="1"/>
  <c r="R6221" i="1"/>
  <c r="E6221" i="1"/>
  <c r="G6221" i="1"/>
  <c r="H6221" i="1"/>
  <c r="J6221" i="1"/>
  <c r="K6221" i="1"/>
  <c r="L6221" i="1"/>
  <c r="A6222" i="1"/>
  <c r="B6222" i="1"/>
  <c r="C6222" i="1"/>
  <c r="D6222" i="1"/>
  <c r="Q6222" i="1"/>
  <c r="R6222" i="1"/>
  <c r="E6222" i="1"/>
  <c r="G6222" i="1"/>
  <c r="H6222" i="1"/>
  <c r="J6222" i="1"/>
  <c r="K6222" i="1"/>
  <c r="L6222" i="1"/>
  <c r="A6223" i="1"/>
  <c r="B6223" i="1"/>
  <c r="C6223" i="1"/>
  <c r="D6223" i="1"/>
  <c r="Q6223" i="1"/>
  <c r="R6223" i="1"/>
  <c r="E6223" i="1"/>
  <c r="G6223" i="1"/>
  <c r="H6223" i="1"/>
  <c r="J6223" i="1"/>
  <c r="K6223" i="1"/>
  <c r="L6223" i="1"/>
  <c r="A6690" i="1"/>
  <c r="B6690" i="1"/>
  <c r="C6690" i="1"/>
  <c r="D6690" i="1"/>
  <c r="Q6690" i="1"/>
  <c r="R6690" i="1"/>
  <c r="E6690" i="1"/>
  <c r="G6690" i="1"/>
  <c r="H6690" i="1"/>
  <c r="J6690" i="1"/>
  <c r="K6690" i="1"/>
  <c r="L6690" i="1"/>
  <c r="A6691" i="1"/>
  <c r="B6691" i="1"/>
  <c r="C6691" i="1"/>
  <c r="D6691" i="1"/>
  <c r="Q6691" i="1"/>
  <c r="R6691" i="1"/>
  <c r="E6691" i="1"/>
  <c r="G6691" i="1"/>
  <c r="H6691" i="1"/>
  <c r="J6691" i="1"/>
  <c r="K6691" i="1"/>
  <c r="L6691" i="1"/>
  <c r="A6692" i="1"/>
  <c r="B6692" i="1"/>
  <c r="C6692" i="1"/>
  <c r="D6692" i="1"/>
  <c r="Q6692" i="1"/>
  <c r="R6692" i="1"/>
  <c r="E6692" i="1"/>
  <c r="G6692" i="1"/>
  <c r="H6692" i="1"/>
  <c r="J6692" i="1"/>
  <c r="K6692" i="1"/>
  <c r="L6692" i="1"/>
  <c r="A6693" i="1"/>
  <c r="B6693" i="1"/>
  <c r="C6693" i="1"/>
  <c r="D6693" i="1"/>
  <c r="Q6693" i="1"/>
  <c r="R6693" i="1"/>
  <c r="E6693" i="1"/>
  <c r="G6693" i="1"/>
  <c r="H6693" i="1"/>
  <c r="J6693" i="1"/>
  <c r="K6693" i="1"/>
  <c r="L6693" i="1"/>
  <c r="A6694" i="1"/>
  <c r="B6694" i="1"/>
  <c r="C6694" i="1"/>
  <c r="D6694" i="1"/>
  <c r="Q6694" i="1"/>
  <c r="R6694" i="1"/>
  <c r="E6694" i="1"/>
  <c r="G6694" i="1"/>
  <c r="H6694" i="1"/>
  <c r="J6694" i="1"/>
  <c r="K6694" i="1"/>
  <c r="L6694" i="1"/>
  <c r="A6695" i="1"/>
  <c r="B6695" i="1"/>
  <c r="C6695" i="1"/>
  <c r="D6695" i="1"/>
  <c r="Q6695" i="1"/>
  <c r="R6695" i="1"/>
  <c r="E6695" i="1"/>
  <c r="G6695" i="1"/>
  <c r="H6695" i="1"/>
  <c r="J6695" i="1"/>
  <c r="K6695" i="1"/>
  <c r="L6695" i="1"/>
  <c r="A6696" i="1"/>
  <c r="B6696" i="1"/>
  <c r="C6696" i="1"/>
  <c r="D6696" i="1"/>
  <c r="Q6696" i="1"/>
  <c r="R6696" i="1"/>
  <c r="E6696" i="1"/>
  <c r="G6696" i="1"/>
  <c r="H6696" i="1"/>
  <c r="J6696" i="1"/>
  <c r="K6696" i="1"/>
  <c r="L6696" i="1"/>
  <c r="A6697" i="1"/>
  <c r="B6697" i="1"/>
  <c r="C6697" i="1"/>
  <c r="D6697" i="1"/>
  <c r="Q6697" i="1"/>
  <c r="R6697" i="1"/>
  <c r="E6697" i="1"/>
  <c r="G6697" i="1"/>
  <c r="H6697" i="1"/>
  <c r="J6697" i="1"/>
  <c r="K6697" i="1"/>
  <c r="L6697" i="1"/>
  <c r="A6224" i="1"/>
  <c r="B6224" i="1"/>
  <c r="C6224" i="1"/>
  <c r="D6224" i="1"/>
  <c r="Q6224" i="1"/>
  <c r="R6224" i="1"/>
  <c r="E6224" i="1"/>
  <c r="G6224" i="1"/>
  <c r="H6224" i="1"/>
  <c r="J6224" i="1"/>
  <c r="K6224" i="1"/>
  <c r="L6224" i="1"/>
  <c r="A6225" i="1"/>
  <c r="B6225" i="1"/>
  <c r="C6225" i="1"/>
  <c r="D6225" i="1"/>
  <c r="Q6225" i="1"/>
  <c r="R6225" i="1"/>
  <c r="E6225" i="1"/>
  <c r="G6225" i="1"/>
  <c r="H6225" i="1"/>
  <c r="J6225" i="1"/>
  <c r="K6225" i="1"/>
  <c r="L6225" i="1"/>
  <c r="A6728" i="1"/>
  <c r="B6728" i="1"/>
  <c r="C6728" i="1"/>
  <c r="D6728" i="1"/>
  <c r="Q6728" i="1"/>
  <c r="R6728" i="1"/>
  <c r="E6728" i="1"/>
  <c r="F6728" i="1"/>
  <c r="G6728" i="1"/>
  <c r="H6728" i="1"/>
  <c r="J6728" i="1"/>
  <c r="K6728" i="1"/>
  <c r="L6728" i="1"/>
  <c r="A6226" i="1"/>
  <c r="B6226" i="1"/>
  <c r="C6226" i="1"/>
  <c r="D6226" i="1"/>
  <c r="Q6226" i="1"/>
  <c r="R6226" i="1"/>
  <c r="E6226" i="1"/>
  <c r="G6226" i="1"/>
  <c r="H6226" i="1"/>
  <c r="J6226" i="1"/>
  <c r="K6226" i="1"/>
  <c r="L6226" i="1"/>
  <c r="A6227" i="1"/>
  <c r="B6227" i="1"/>
  <c r="C6227" i="1"/>
  <c r="D6227" i="1"/>
  <c r="Q6227" i="1"/>
  <c r="R6227" i="1"/>
  <c r="E6227" i="1"/>
  <c r="G6227" i="1"/>
  <c r="H6227" i="1"/>
  <c r="J6227" i="1"/>
  <c r="K6227" i="1"/>
  <c r="L6227" i="1"/>
  <c r="A6228" i="1"/>
  <c r="B6228" i="1"/>
  <c r="C6228" i="1"/>
  <c r="D6228" i="1"/>
  <c r="Q6228" i="1"/>
  <c r="R6228" i="1"/>
  <c r="E6228" i="1"/>
  <c r="G6228" i="1"/>
  <c r="H6228" i="1"/>
  <c r="J6228" i="1"/>
  <c r="K6228" i="1"/>
  <c r="L6228" i="1"/>
  <c r="A6229" i="1"/>
  <c r="B6229" i="1"/>
  <c r="C6229" i="1"/>
  <c r="D6229" i="1"/>
  <c r="Q6229" i="1"/>
  <c r="R6229" i="1"/>
  <c r="E6229" i="1"/>
  <c r="G6229" i="1"/>
  <c r="H6229" i="1"/>
  <c r="J6229" i="1"/>
  <c r="K6229" i="1"/>
  <c r="L6229" i="1"/>
  <c r="A6230" i="1"/>
  <c r="B6230" i="1"/>
  <c r="C6230" i="1"/>
  <c r="D6230" i="1"/>
  <c r="Q6230" i="1"/>
  <c r="R6230" i="1"/>
  <c r="E6230" i="1"/>
  <c r="G6230" i="1"/>
  <c r="H6230" i="1"/>
  <c r="J6230" i="1"/>
  <c r="K6230" i="1"/>
  <c r="L6230" i="1"/>
  <c r="A6231" i="1"/>
  <c r="B6231" i="1"/>
  <c r="C6231" i="1"/>
  <c r="D6231" i="1"/>
  <c r="Q6231" i="1"/>
  <c r="R6231" i="1"/>
  <c r="E6231" i="1"/>
  <c r="G6231" i="1"/>
  <c r="H6231" i="1"/>
  <c r="J6231" i="1"/>
  <c r="K6231" i="1"/>
  <c r="L6231" i="1"/>
  <c r="A6232" i="1"/>
  <c r="B6232" i="1"/>
  <c r="C6232" i="1"/>
  <c r="D6232" i="1"/>
  <c r="Q6232" i="1"/>
  <c r="R6232" i="1"/>
  <c r="E6232" i="1"/>
  <c r="G6232" i="1"/>
  <c r="H6232" i="1"/>
  <c r="J6232" i="1"/>
  <c r="K6232" i="1"/>
  <c r="L6232" i="1"/>
  <c r="A6233" i="1"/>
  <c r="B6233" i="1"/>
  <c r="C6233" i="1"/>
  <c r="D6233" i="1"/>
  <c r="Q6233" i="1"/>
  <c r="R6233" i="1"/>
  <c r="E6233" i="1"/>
  <c r="G6233" i="1"/>
  <c r="H6233" i="1"/>
  <c r="J6233" i="1"/>
  <c r="K6233" i="1"/>
  <c r="L6233" i="1"/>
  <c r="A6234" i="1"/>
  <c r="B6234" i="1"/>
  <c r="C6234" i="1"/>
  <c r="D6234" i="1"/>
  <c r="Q6234" i="1"/>
  <c r="R6234" i="1"/>
  <c r="E6234" i="1"/>
  <c r="G6234" i="1"/>
  <c r="H6234" i="1"/>
  <c r="J6234" i="1"/>
  <c r="K6234" i="1"/>
  <c r="L6234" i="1"/>
  <c r="A6235" i="1"/>
  <c r="B6235" i="1"/>
  <c r="C6235" i="1"/>
  <c r="D6235" i="1"/>
  <c r="Q6235" i="1"/>
  <c r="R6235" i="1"/>
  <c r="E6235" i="1"/>
  <c r="G6235" i="1"/>
  <c r="H6235" i="1"/>
  <c r="J6235" i="1"/>
  <c r="K6235" i="1"/>
  <c r="L6235" i="1"/>
  <c r="A6236" i="1"/>
  <c r="B6236" i="1"/>
  <c r="C6236" i="1"/>
  <c r="D6236" i="1"/>
  <c r="Q6236" i="1"/>
  <c r="R6236" i="1"/>
  <c r="E6236" i="1"/>
  <c r="G6236" i="1"/>
  <c r="H6236" i="1"/>
  <c r="J6236" i="1"/>
  <c r="K6236" i="1"/>
  <c r="L6236" i="1"/>
  <c r="A6237" i="1"/>
  <c r="B6237" i="1"/>
  <c r="C6237" i="1"/>
  <c r="D6237" i="1"/>
  <c r="Q6237" i="1"/>
  <c r="R6237" i="1"/>
  <c r="E6237" i="1"/>
  <c r="G6237" i="1"/>
  <c r="H6237" i="1"/>
  <c r="J6237" i="1"/>
  <c r="K6237" i="1"/>
  <c r="L6237" i="1"/>
  <c r="A6238" i="1"/>
  <c r="B6238" i="1"/>
  <c r="C6238" i="1"/>
  <c r="D6238" i="1"/>
  <c r="Q6238" i="1"/>
  <c r="R6238" i="1"/>
  <c r="E6238" i="1"/>
  <c r="G6238" i="1"/>
  <c r="H6238" i="1"/>
  <c r="J6238" i="1"/>
  <c r="K6238" i="1"/>
  <c r="L6238" i="1"/>
  <c r="A6239" i="1"/>
  <c r="B6239" i="1"/>
  <c r="C6239" i="1"/>
  <c r="D6239" i="1"/>
  <c r="Q6239" i="1"/>
  <c r="R6239" i="1"/>
  <c r="E6239" i="1"/>
  <c r="G6239" i="1"/>
  <c r="H6239" i="1"/>
  <c r="J6239" i="1"/>
  <c r="K6239" i="1"/>
  <c r="L6239" i="1"/>
  <c r="A6240" i="1"/>
  <c r="B6240" i="1"/>
  <c r="C6240" i="1"/>
  <c r="D6240" i="1"/>
  <c r="Q6240" i="1"/>
  <c r="R6240" i="1"/>
  <c r="E6240" i="1"/>
  <c r="G6240" i="1"/>
  <c r="H6240" i="1"/>
  <c r="J6240" i="1"/>
  <c r="K6240" i="1"/>
  <c r="L6240" i="1"/>
  <c r="A6241" i="1"/>
  <c r="B6241" i="1"/>
  <c r="C6241" i="1"/>
  <c r="D6241" i="1"/>
  <c r="Q6241" i="1"/>
  <c r="R6241" i="1"/>
  <c r="E6241" i="1"/>
  <c r="G6241" i="1"/>
  <c r="H6241" i="1"/>
  <c r="J6241" i="1"/>
  <c r="K6241" i="1"/>
  <c r="L6241" i="1"/>
  <c r="A6242" i="1"/>
  <c r="B6242" i="1"/>
  <c r="C6242" i="1"/>
  <c r="D6242" i="1"/>
  <c r="Q6242" i="1"/>
  <c r="R6242" i="1"/>
  <c r="E6242" i="1"/>
  <c r="G6242" i="1"/>
  <c r="H6242" i="1"/>
  <c r="J6242" i="1"/>
  <c r="K6242" i="1"/>
  <c r="L6242" i="1"/>
  <c r="A6243" i="1"/>
  <c r="B6243" i="1"/>
  <c r="C6243" i="1"/>
  <c r="D6243" i="1"/>
  <c r="Q6243" i="1"/>
  <c r="R6243" i="1"/>
  <c r="E6243" i="1"/>
  <c r="G6243" i="1"/>
  <c r="H6243" i="1"/>
  <c r="J6243" i="1"/>
  <c r="K6243" i="1"/>
  <c r="L6243" i="1"/>
  <c r="A6244" i="1"/>
  <c r="B6244" i="1"/>
  <c r="C6244" i="1"/>
  <c r="D6244" i="1"/>
  <c r="Q6244" i="1"/>
  <c r="R6244" i="1"/>
  <c r="E6244" i="1"/>
  <c r="G6244" i="1"/>
  <c r="H6244" i="1"/>
  <c r="J6244" i="1"/>
  <c r="K6244" i="1"/>
  <c r="L6244" i="1"/>
  <c r="A6245" i="1"/>
  <c r="B6245" i="1"/>
  <c r="C6245" i="1"/>
  <c r="D6245" i="1"/>
  <c r="Q6245" i="1"/>
  <c r="R6245" i="1"/>
  <c r="E6245" i="1"/>
  <c r="G6245" i="1"/>
  <c r="H6245" i="1"/>
  <c r="J6245" i="1"/>
  <c r="K6245" i="1"/>
  <c r="L6245" i="1"/>
  <c r="A6246" i="1"/>
  <c r="B6246" i="1"/>
  <c r="C6246" i="1"/>
  <c r="D6246" i="1"/>
  <c r="Q6246" i="1"/>
  <c r="R6246" i="1"/>
  <c r="E6246" i="1"/>
  <c r="G6246" i="1"/>
  <c r="H6246" i="1"/>
  <c r="J6246" i="1"/>
  <c r="K6246" i="1"/>
  <c r="L6246" i="1"/>
  <c r="A6247" i="1"/>
  <c r="B6247" i="1"/>
  <c r="C6247" i="1"/>
  <c r="D6247" i="1"/>
  <c r="Q6247" i="1"/>
  <c r="R6247" i="1"/>
  <c r="E6247" i="1"/>
  <c r="G6247" i="1"/>
  <c r="H6247" i="1"/>
  <c r="J6247" i="1"/>
  <c r="K6247" i="1"/>
  <c r="L6247" i="1"/>
  <c r="A6248" i="1"/>
  <c r="B6248" i="1"/>
  <c r="C6248" i="1"/>
  <c r="D6248" i="1"/>
  <c r="Q6248" i="1"/>
  <c r="R6248" i="1"/>
  <c r="E6248" i="1"/>
  <c r="G6248" i="1"/>
  <c r="H6248" i="1"/>
  <c r="J6248" i="1"/>
  <c r="K6248" i="1"/>
  <c r="L6248" i="1"/>
  <c r="A6249" i="1"/>
  <c r="B6249" i="1"/>
  <c r="C6249" i="1"/>
  <c r="D6249" i="1"/>
  <c r="Q6249" i="1"/>
  <c r="R6249" i="1"/>
  <c r="E6249" i="1"/>
  <c r="G6249" i="1"/>
  <c r="H6249" i="1"/>
  <c r="J6249" i="1"/>
  <c r="K6249" i="1"/>
  <c r="L6249" i="1"/>
  <c r="A6250" i="1"/>
  <c r="B6250" i="1"/>
  <c r="C6250" i="1"/>
  <c r="D6250" i="1"/>
  <c r="Q6250" i="1"/>
  <c r="R6250" i="1"/>
  <c r="E6250" i="1"/>
  <c r="G6250" i="1"/>
  <c r="H6250" i="1"/>
  <c r="J6250" i="1"/>
  <c r="K6250" i="1"/>
  <c r="L6250" i="1"/>
  <c r="A6251" i="1"/>
  <c r="B6251" i="1"/>
  <c r="C6251" i="1"/>
  <c r="D6251" i="1"/>
  <c r="Q6251" i="1"/>
  <c r="R6251" i="1"/>
  <c r="E6251" i="1"/>
  <c r="G6251" i="1"/>
  <c r="H6251" i="1"/>
  <c r="J6251" i="1"/>
  <c r="K6251" i="1"/>
  <c r="L6251" i="1"/>
  <c r="A6252" i="1"/>
  <c r="B6252" i="1"/>
  <c r="C6252" i="1"/>
  <c r="D6252" i="1"/>
  <c r="Q6252" i="1"/>
  <c r="R6252" i="1"/>
  <c r="E6252" i="1"/>
  <c r="G6252" i="1"/>
  <c r="H6252" i="1"/>
  <c r="J6252" i="1"/>
  <c r="K6252" i="1"/>
  <c r="L6252" i="1"/>
  <c r="A6253" i="1"/>
  <c r="B6253" i="1"/>
  <c r="C6253" i="1"/>
  <c r="D6253" i="1"/>
  <c r="Q6253" i="1"/>
  <c r="R6253" i="1"/>
  <c r="E6253" i="1"/>
  <c r="G6253" i="1"/>
  <c r="H6253" i="1"/>
  <c r="J6253" i="1"/>
  <c r="K6253" i="1"/>
  <c r="L6253" i="1"/>
  <c r="A6254" i="1"/>
  <c r="B6254" i="1"/>
  <c r="C6254" i="1"/>
  <c r="D6254" i="1"/>
  <c r="Q6254" i="1"/>
  <c r="R6254" i="1"/>
  <c r="E6254" i="1"/>
  <c r="G6254" i="1"/>
  <c r="H6254" i="1"/>
  <c r="J6254" i="1"/>
  <c r="K6254" i="1"/>
  <c r="L6254" i="1"/>
  <c r="A6255" i="1"/>
  <c r="B6255" i="1"/>
  <c r="C6255" i="1"/>
  <c r="D6255" i="1"/>
  <c r="Q6255" i="1"/>
  <c r="R6255" i="1"/>
  <c r="E6255" i="1"/>
  <c r="G6255" i="1"/>
  <c r="H6255" i="1"/>
  <c r="J6255" i="1"/>
  <c r="K6255" i="1"/>
  <c r="L6255" i="1"/>
  <c r="A6256" i="1"/>
  <c r="B6256" i="1"/>
  <c r="C6256" i="1"/>
  <c r="D6256" i="1"/>
  <c r="Q6256" i="1"/>
  <c r="R6256" i="1"/>
  <c r="E6256" i="1"/>
  <c r="G6256" i="1"/>
  <c r="H6256" i="1"/>
  <c r="J6256" i="1"/>
  <c r="K6256" i="1"/>
  <c r="L6256" i="1"/>
  <c r="A6257" i="1"/>
  <c r="B6257" i="1"/>
  <c r="C6257" i="1"/>
  <c r="D6257" i="1"/>
  <c r="Q6257" i="1"/>
  <c r="R6257" i="1"/>
  <c r="E6257" i="1"/>
  <c r="G6257" i="1"/>
  <c r="H6257" i="1"/>
  <c r="J6257" i="1"/>
  <c r="K6257" i="1"/>
  <c r="L6257" i="1"/>
  <c r="A6258" i="1"/>
  <c r="B6258" i="1"/>
  <c r="C6258" i="1"/>
  <c r="D6258" i="1"/>
  <c r="Q6258" i="1"/>
  <c r="R6258" i="1"/>
  <c r="E6258" i="1"/>
  <c r="G6258" i="1"/>
  <c r="H6258" i="1"/>
  <c r="J6258" i="1"/>
  <c r="K6258" i="1"/>
  <c r="L6258" i="1"/>
  <c r="A6259" i="1"/>
  <c r="B6259" i="1"/>
  <c r="C6259" i="1"/>
  <c r="D6259" i="1"/>
  <c r="Q6259" i="1"/>
  <c r="R6259" i="1"/>
  <c r="E6259" i="1"/>
  <c r="G6259" i="1"/>
  <c r="H6259" i="1"/>
  <c r="J6259" i="1"/>
  <c r="K6259" i="1"/>
  <c r="L6259" i="1"/>
  <c r="A6260" i="1"/>
  <c r="B6260" i="1"/>
  <c r="C6260" i="1"/>
  <c r="D6260" i="1"/>
  <c r="Q6260" i="1"/>
  <c r="R6260" i="1"/>
  <c r="E6260" i="1"/>
  <c r="G6260" i="1"/>
  <c r="H6260" i="1"/>
  <c r="J6260" i="1"/>
  <c r="K6260" i="1"/>
  <c r="L6260" i="1"/>
  <c r="A6261" i="1"/>
  <c r="B6261" i="1"/>
  <c r="C6261" i="1"/>
  <c r="D6261" i="1"/>
  <c r="Q6261" i="1"/>
  <c r="R6261" i="1"/>
  <c r="E6261" i="1"/>
  <c r="G6261" i="1"/>
  <c r="H6261" i="1"/>
  <c r="J6261" i="1"/>
  <c r="K6261" i="1"/>
  <c r="L6261" i="1"/>
  <c r="A6262" i="1"/>
  <c r="B6262" i="1"/>
  <c r="C6262" i="1"/>
  <c r="D6262" i="1"/>
  <c r="Q6262" i="1"/>
  <c r="R6262" i="1"/>
  <c r="E6262" i="1"/>
  <c r="G6262" i="1"/>
  <c r="H6262" i="1"/>
  <c r="J6262" i="1"/>
  <c r="K6262" i="1"/>
  <c r="L6262" i="1"/>
  <c r="A6263" i="1"/>
  <c r="B6263" i="1"/>
  <c r="C6263" i="1"/>
  <c r="D6263" i="1"/>
  <c r="Q6263" i="1"/>
  <c r="R6263" i="1"/>
  <c r="E6263" i="1"/>
  <c r="G6263" i="1"/>
  <c r="H6263" i="1"/>
  <c r="J6263" i="1"/>
  <c r="K6263" i="1"/>
  <c r="L6263" i="1"/>
  <c r="A6264" i="1"/>
  <c r="B6264" i="1"/>
  <c r="C6264" i="1"/>
  <c r="D6264" i="1"/>
  <c r="Q6264" i="1"/>
  <c r="R6264" i="1"/>
  <c r="E6264" i="1"/>
  <c r="G6264" i="1"/>
  <c r="H6264" i="1"/>
  <c r="J6264" i="1"/>
  <c r="K6264" i="1"/>
  <c r="L6264" i="1"/>
  <c r="A6265" i="1"/>
  <c r="B6265" i="1"/>
  <c r="C6265" i="1"/>
  <c r="D6265" i="1"/>
  <c r="Q6265" i="1"/>
  <c r="R6265" i="1"/>
  <c r="E6265" i="1"/>
  <c r="G6265" i="1"/>
  <c r="H6265" i="1"/>
  <c r="J6265" i="1"/>
  <c r="K6265" i="1"/>
  <c r="L6265" i="1"/>
  <c r="A6266" i="1"/>
  <c r="B6266" i="1"/>
  <c r="C6266" i="1"/>
  <c r="D6266" i="1"/>
  <c r="Q6266" i="1"/>
  <c r="R6266" i="1"/>
  <c r="E6266" i="1"/>
  <c r="G6266" i="1"/>
  <c r="H6266" i="1"/>
  <c r="J6266" i="1"/>
  <c r="K6266" i="1"/>
  <c r="L6266" i="1"/>
  <c r="A6267" i="1"/>
  <c r="B6267" i="1"/>
  <c r="C6267" i="1"/>
  <c r="D6267" i="1"/>
  <c r="Q6267" i="1"/>
  <c r="R6267" i="1"/>
  <c r="E6267" i="1"/>
  <c r="G6267" i="1"/>
  <c r="H6267" i="1"/>
  <c r="J6267" i="1"/>
  <c r="K6267" i="1"/>
  <c r="L6267" i="1"/>
  <c r="A6268" i="1"/>
  <c r="B6268" i="1"/>
  <c r="C6268" i="1"/>
  <c r="D6268" i="1"/>
  <c r="Q6268" i="1"/>
  <c r="R6268" i="1"/>
  <c r="E6268" i="1"/>
  <c r="G6268" i="1"/>
  <c r="H6268" i="1"/>
  <c r="J6268" i="1"/>
  <c r="K6268" i="1"/>
  <c r="L6268" i="1"/>
  <c r="A6269" i="1"/>
  <c r="B6269" i="1"/>
  <c r="C6269" i="1"/>
  <c r="D6269" i="1"/>
  <c r="Q6269" i="1"/>
  <c r="R6269" i="1"/>
  <c r="E6269" i="1"/>
  <c r="G6269" i="1"/>
  <c r="H6269" i="1"/>
  <c r="J6269" i="1"/>
  <c r="K6269" i="1"/>
  <c r="L6269" i="1"/>
  <c r="A6270" i="1"/>
  <c r="B6270" i="1"/>
  <c r="C6270" i="1"/>
  <c r="D6270" i="1"/>
  <c r="Q6270" i="1"/>
  <c r="R6270" i="1"/>
  <c r="E6270" i="1"/>
  <c r="G6270" i="1"/>
  <c r="H6270" i="1"/>
  <c r="J6270" i="1"/>
  <c r="K6270" i="1"/>
  <c r="L6270" i="1"/>
  <c r="A6271" i="1"/>
  <c r="B6271" i="1"/>
  <c r="C6271" i="1"/>
  <c r="D6271" i="1"/>
  <c r="Q6271" i="1"/>
  <c r="R6271" i="1"/>
  <c r="E6271" i="1"/>
  <c r="G6271" i="1"/>
  <c r="H6271" i="1"/>
  <c r="J6271" i="1"/>
  <c r="K6271" i="1"/>
  <c r="L6271" i="1"/>
  <c r="A6272" i="1"/>
  <c r="B6272" i="1"/>
  <c r="C6272" i="1"/>
  <c r="D6272" i="1"/>
  <c r="Q6272" i="1"/>
  <c r="R6272" i="1"/>
  <c r="E6272" i="1"/>
  <c r="G6272" i="1"/>
  <c r="H6272" i="1"/>
  <c r="J6272" i="1"/>
  <c r="K6272" i="1"/>
  <c r="L6272" i="1"/>
  <c r="A6273" i="1"/>
  <c r="B6273" i="1"/>
  <c r="C6273" i="1"/>
  <c r="D6273" i="1"/>
  <c r="Q6273" i="1"/>
  <c r="R6273" i="1"/>
  <c r="E6273" i="1"/>
  <c r="G6273" i="1"/>
  <c r="H6273" i="1"/>
  <c r="J6273" i="1"/>
  <c r="K6273" i="1"/>
  <c r="L6273" i="1"/>
  <c r="A6274" i="1"/>
  <c r="B6274" i="1"/>
  <c r="C6274" i="1"/>
  <c r="D6274" i="1"/>
  <c r="Q6274" i="1"/>
  <c r="R6274" i="1"/>
  <c r="E6274" i="1"/>
  <c r="G6274" i="1"/>
  <c r="H6274" i="1"/>
  <c r="J6274" i="1"/>
  <c r="K6274" i="1"/>
  <c r="L6274" i="1"/>
  <c r="A6275" i="1"/>
  <c r="B6275" i="1"/>
  <c r="C6275" i="1"/>
  <c r="D6275" i="1"/>
  <c r="Q6275" i="1"/>
  <c r="R6275" i="1"/>
  <c r="E6275" i="1"/>
  <c r="G6275" i="1"/>
  <c r="H6275" i="1"/>
  <c r="J6275" i="1"/>
  <c r="K6275" i="1"/>
  <c r="L6275" i="1"/>
  <c r="A6276" i="1"/>
  <c r="B6276" i="1"/>
  <c r="C6276" i="1"/>
  <c r="D6276" i="1"/>
  <c r="Q6276" i="1"/>
  <c r="R6276" i="1"/>
  <c r="E6276" i="1"/>
  <c r="G6276" i="1"/>
  <c r="H6276" i="1"/>
  <c r="J6276" i="1"/>
  <c r="K6276" i="1"/>
  <c r="L6276" i="1"/>
  <c r="A6277" i="1"/>
  <c r="B6277" i="1"/>
  <c r="C6277" i="1"/>
  <c r="D6277" i="1"/>
  <c r="Q6277" i="1"/>
  <c r="R6277" i="1"/>
  <c r="E6277" i="1"/>
  <c r="G6277" i="1"/>
  <c r="H6277" i="1"/>
  <c r="J6277" i="1"/>
  <c r="K6277" i="1"/>
  <c r="L6277" i="1"/>
  <c r="A6278" i="1"/>
  <c r="B6278" i="1"/>
  <c r="C6278" i="1"/>
  <c r="D6278" i="1"/>
  <c r="Q6278" i="1"/>
  <c r="R6278" i="1"/>
  <c r="E6278" i="1"/>
  <c r="G6278" i="1"/>
  <c r="H6278" i="1"/>
  <c r="J6278" i="1"/>
  <c r="K6278" i="1"/>
  <c r="L6278" i="1"/>
  <c r="A6279" i="1"/>
  <c r="B6279" i="1"/>
  <c r="C6279" i="1"/>
  <c r="D6279" i="1"/>
  <c r="Q6279" i="1"/>
  <c r="R6279" i="1"/>
  <c r="E6279" i="1"/>
  <c r="G6279" i="1"/>
  <c r="H6279" i="1"/>
  <c r="J6279" i="1"/>
  <c r="K6279" i="1"/>
  <c r="L6279" i="1"/>
  <c r="A6280" i="1"/>
  <c r="B6280" i="1"/>
  <c r="C6280" i="1"/>
  <c r="D6280" i="1"/>
  <c r="Q6280" i="1"/>
  <c r="R6280" i="1"/>
  <c r="E6280" i="1"/>
  <c r="G6280" i="1"/>
  <c r="H6280" i="1"/>
  <c r="J6280" i="1"/>
  <c r="K6280" i="1"/>
  <c r="L6280" i="1"/>
  <c r="A6281" i="1"/>
  <c r="B6281" i="1"/>
  <c r="C6281" i="1"/>
  <c r="D6281" i="1"/>
  <c r="Q6281" i="1"/>
  <c r="R6281" i="1"/>
  <c r="E6281" i="1"/>
  <c r="G6281" i="1"/>
  <c r="H6281" i="1"/>
  <c r="J6281" i="1"/>
  <c r="K6281" i="1"/>
  <c r="L6281" i="1"/>
  <c r="A6282" i="1"/>
  <c r="B6282" i="1"/>
  <c r="C6282" i="1"/>
  <c r="D6282" i="1"/>
  <c r="Q6282" i="1"/>
  <c r="R6282" i="1"/>
  <c r="E6282" i="1"/>
  <c r="G6282" i="1"/>
  <c r="H6282" i="1"/>
  <c r="J6282" i="1"/>
  <c r="K6282" i="1"/>
  <c r="L6282" i="1"/>
  <c r="A6283" i="1"/>
  <c r="B6283" i="1"/>
  <c r="C6283" i="1"/>
  <c r="D6283" i="1"/>
  <c r="Q6283" i="1"/>
  <c r="R6283" i="1"/>
  <c r="E6283" i="1"/>
  <c r="G6283" i="1"/>
  <c r="H6283" i="1"/>
  <c r="J6283" i="1"/>
  <c r="K6283" i="1"/>
  <c r="L6283" i="1"/>
  <c r="A6284" i="1"/>
  <c r="B6284" i="1"/>
  <c r="C6284" i="1"/>
  <c r="D6284" i="1"/>
  <c r="Q6284" i="1"/>
  <c r="R6284" i="1"/>
  <c r="E6284" i="1"/>
  <c r="G6284" i="1"/>
  <c r="H6284" i="1"/>
  <c r="J6284" i="1"/>
  <c r="K6284" i="1"/>
  <c r="L6284" i="1"/>
  <c r="A6285" i="1"/>
  <c r="B6285" i="1"/>
  <c r="C6285" i="1"/>
  <c r="D6285" i="1"/>
  <c r="Q6285" i="1"/>
  <c r="R6285" i="1"/>
  <c r="E6285" i="1"/>
  <c r="G6285" i="1"/>
  <c r="H6285" i="1"/>
  <c r="J6285" i="1"/>
  <c r="K6285" i="1"/>
  <c r="L6285" i="1"/>
  <c r="A6286" i="1"/>
  <c r="B6286" i="1"/>
  <c r="C6286" i="1"/>
  <c r="D6286" i="1"/>
  <c r="Q6286" i="1"/>
  <c r="R6286" i="1"/>
  <c r="E6286" i="1"/>
  <c r="G6286" i="1"/>
  <c r="H6286" i="1"/>
  <c r="J6286" i="1"/>
  <c r="K6286" i="1"/>
  <c r="L6286" i="1"/>
  <c r="A6287" i="1"/>
  <c r="B6287" i="1"/>
  <c r="C6287" i="1"/>
  <c r="D6287" i="1"/>
  <c r="Q6287" i="1"/>
  <c r="R6287" i="1"/>
  <c r="E6287" i="1"/>
  <c r="G6287" i="1"/>
  <c r="H6287" i="1"/>
  <c r="J6287" i="1"/>
  <c r="K6287" i="1"/>
  <c r="L6287" i="1"/>
  <c r="A6288" i="1"/>
  <c r="B6288" i="1"/>
  <c r="C6288" i="1"/>
  <c r="D6288" i="1"/>
  <c r="Q6288" i="1"/>
  <c r="R6288" i="1"/>
  <c r="E6288" i="1"/>
  <c r="G6288" i="1"/>
  <c r="H6288" i="1"/>
  <c r="J6288" i="1"/>
  <c r="K6288" i="1"/>
  <c r="L6288" i="1"/>
  <c r="A6289" i="1"/>
  <c r="B6289" i="1"/>
  <c r="C6289" i="1"/>
  <c r="D6289" i="1"/>
  <c r="Q6289" i="1"/>
  <c r="R6289" i="1"/>
  <c r="E6289" i="1"/>
  <c r="G6289" i="1"/>
  <c r="H6289" i="1"/>
  <c r="J6289" i="1"/>
  <c r="K6289" i="1"/>
  <c r="L6289" i="1"/>
  <c r="A6290" i="1"/>
  <c r="B6290" i="1"/>
  <c r="C6290" i="1"/>
  <c r="D6290" i="1"/>
  <c r="Q6290" i="1"/>
  <c r="R6290" i="1"/>
  <c r="E6290" i="1"/>
  <c r="G6290" i="1"/>
  <c r="H6290" i="1"/>
  <c r="J6290" i="1"/>
  <c r="K6290" i="1"/>
  <c r="L6290" i="1"/>
  <c r="A6291" i="1"/>
  <c r="B6291" i="1"/>
  <c r="C6291" i="1"/>
  <c r="D6291" i="1"/>
  <c r="Q6291" i="1"/>
  <c r="R6291" i="1"/>
  <c r="E6291" i="1"/>
  <c r="G6291" i="1"/>
  <c r="H6291" i="1"/>
  <c r="J6291" i="1"/>
  <c r="K6291" i="1"/>
  <c r="L6291" i="1"/>
  <c r="A6292" i="1"/>
  <c r="B6292" i="1"/>
  <c r="C6292" i="1"/>
  <c r="D6292" i="1"/>
  <c r="Q6292" i="1"/>
  <c r="R6292" i="1"/>
  <c r="E6292" i="1"/>
  <c r="G6292" i="1"/>
  <c r="H6292" i="1"/>
  <c r="J6292" i="1"/>
  <c r="K6292" i="1"/>
  <c r="L6292" i="1"/>
  <c r="A6293" i="1"/>
  <c r="B6293" i="1"/>
  <c r="C6293" i="1"/>
  <c r="D6293" i="1"/>
  <c r="Q6293" i="1"/>
  <c r="R6293" i="1"/>
  <c r="E6293" i="1"/>
  <c r="G6293" i="1"/>
  <c r="H6293" i="1"/>
  <c r="J6293" i="1"/>
  <c r="K6293" i="1"/>
  <c r="L6293" i="1"/>
  <c r="A6294" i="1"/>
  <c r="B6294" i="1"/>
  <c r="C6294" i="1"/>
  <c r="D6294" i="1"/>
  <c r="Q6294" i="1"/>
  <c r="R6294" i="1"/>
  <c r="E6294" i="1"/>
  <c r="G6294" i="1"/>
  <c r="H6294" i="1"/>
  <c r="J6294" i="1"/>
  <c r="K6294" i="1"/>
  <c r="L6294" i="1"/>
  <c r="A6295" i="1"/>
  <c r="B6295" i="1"/>
  <c r="C6295" i="1"/>
  <c r="D6295" i="1"/>
  <c r="Q6295" i="1"/>
  <c r="R6295" i="1"/>
  <c r="E6295" i="1"/>
  <c r="G6295" i="1"/>
  <c r="H6295" i="1"/>
  <c r="J6295" i="1"/>
  <c r="K6295" i="1"/>
  <c r="L6295" i="1"/>
  <c r="A6296" i="1"/>
  <c r="B6296" i="1"/>
  <c r="C6296" i="1"/>
  <c r="D6296" i="1"/>
  <c r="Q6296" i="1"/>
  <c r="R6296" i="1"/>
  <c r="E6296" i="1"/>
  <c r="G6296" i="1"/>
  <c r="H6296" i="1"/>
  <c r="J6296" i="1"/>
  <c r="K6296" i="1"/>
  <c r="L6296" i="1"/>
  <c r="A6297" i="1"/>
  <c r="B6297" i="1"/>
  <c r="C6297" i="1"/>
  <c r="D6297" i="1"/>
  <c r="Q6297" i="1"/>
  <c r="R6297" i="1"/>
  <c r="E6297" i="1"/>
  <c r="G6297" i="1"/>
  <c r="H6297" i="1"/>
  <c r="J6297" i="1"/>
  <c r="K6297" i="1"/>
  <c r="L6297" i="1"/>
  <c r="A6298" i="1"/>
  <c r="B6298" i="1"/>
  <c r="C6298" i="1"/>
  <c r="D6298" i="1"/>
  <c r="Q6298" i="1"/>
  <c r="R6298" i="1"/>
  <c r="E6298" i="1"/>
  <c r="G6298" i="1"/>
  <c r="H6298" i="1"/>
  <c r="J6298" i="1"/>
  <c r="K6298" i="1"/>
  <c r="L6298" i="1"/>
  <c r="A6299" i="1"/>
  <c r="B6299" i="1"/>
  <c r="C6299" i="1"/>
  <c r="D6299" i="1"/>
  <c r="Q6299" i="1"/>
  <c r="R6299" i="1"/>
  <c r="E6299" i="1"/>
  <c r="G6299" i="1"/>
  <c r="H6299" i="1"/>
  <c r="J6299" i="1"/>
  <c r="K6299" i="1"/>
  <c r="L6299" i="1"/>
  <c r="A6300" i="1"/>
  <c r="B6300" i="1"/>
  <c r="C6300" i="1"/>
  <c r="D6300" i="1"/>
  <c r="Q6300" i="1"/>
  <c r="R6300" i="1"/>
  <c r="E6300" i="1"/>
  <c r="G6300" i="1"/>
  <c r="H6300" i="1"/>
  <c r="J6300" i="1"/>
  <c r="K6300" i="1"/>
  <c r="L6300" i="1"/>
  <c r="A6301" i="1"/>
  <c r="B6301" i="1"/>
  <c r="C6301" i="1"/>
  <c r="D6301" i="1"/>
  <c r="Q6301" i="1"/>
  <c r="R6301" i="1"/>
  <c r="E6301" i="1"/>
  <c r="G6301" i="1"/>
  <c r="H6301" i="1"/>
  <c r="J6301" i="1"/>
  <c r="K6301" i="1"/>
  <c r="L6301" i="1"/>
  <c r="A6302" i="1"/>
  <c r="B6302" i="1"/>
  <c r="C6302" i="1"/>
  <c r="D6302" i="1"/>
  <c r="Q6302" i="1"/>
  <c r="R6302" i="1"/>
  <c r="E6302" i="1"/>
  <c r="G6302" i="1"/>
  <c r="H6302" i="1"/>
  <c r="J6302" i="1"/>
  <c r="K6302" i="1"/>
  <c r="L6302" i="1"/>
  <c r="A6303" i="1"/>
  <c r="B6303" i="1"/>
  <c r="C6303" i="1"/>
  <c r="D6303" i="1"/>
  <c r="Q6303" i="1"/>
  <c r="R6303" i="1"/>
  <c r="E6303" i="1"/>
  <c r="G6303" i="1"/>
  <c r="H6303" i="1"/>
  <c r="J6303" i="1"/>
  <c r="K6303" i="1"/>
  <c r="L6303" i="1"/>
  <c r="A6304" i="1"/>
  <c r="B6304" i="1"/>
  <c r="C6304" i="1"/>
  <c r="D6304" i="1"/>
  <c r="Q6304" i="1"/>
  <c r="R6304" i="1"/>
  <c r="E6304" i="1"/>
  <c r="G6304" i="1"/>
  <c r="H6304" i="1"/>
  <c r="J6304" i="1"/>
  <c r="K6304" i="1"/>
  <c r="L6304" i="1"/>
  <c r="A6305" i="1"/>
  <c r="B6305" i="1"/>
  <c r="C6305" i="1"/>
  <c r="D6305" i="1"/>
  <c r="Q6305" i="1"/>
  <c r="R6305" i="1"/>
  <c r="E6305" i="1"/>
  <c r="G6305" i="1"/>
  <c r="H6305" i="1"/>
  <c r="J6305" i="1"/>
  <c r="K6305" i="1"/>
  <c r="L6305" i="1"/>
  <c r="A6306" i="1"/>
  <c r="B6306" i="1"/>
  <c r="C6306" i="1"/>
  <c r="D6306" i="1"/>
  <c r="Q6306" i="1"/>
  <c r="R6306" i="1"/>
  <c r="E6306" i="1"/>
  <c r="G6306" i="1"/>
  <c r="H6306" i="1"/>
  <c r="J6306" i="1"/>
  <c r="K6306" i="1"/>
  <c r="L6306" i="1"/>
  <c r="A6307" i="1"/>
  <c r="B6307" i="1"/>
  <c r="C6307" i="1"/>
  <c r="D6307" i="1"/>
  <c r="Q6307" i="1"/>
  <c r="R6307" i="1"/>
  <c r="E6307" i="1"/>
  <c r="G6307" i="1"/>
  <c r="H6307" i="1"/>
  <c r="J6307" i="1"/>
  <c r="K6307" i="1"/>
  <c r="L6307" i="1"/>
  <c r="A6308" i="1"/>
  <c r="B6308" i="1"/>
  <c r="C6308" i="1"/>
  <c r="D6308" i="1"/>
  <c r="Q6308" i="1"/>
  <c r="R6308" i="1"/>
  <c r="E6308" i="1"/>
  <c r="G6308" i="1"/>
  <c r="H6308" i="1"/>
  <c r="J6308" i="1"/>
  <c r="K6308" i="1"/>
  <c r="L6308" i="1"/>
  <c r="A6309" i="1"/>
  <c r="B6309" i="1"/>
  <c r="C6309" i="1"/>
  <c r="D6309" i="1"/>
  <c r="Q6309" i="1"/>
  <c r="R6309" i="1"/>
  <c r="E6309" i="1"/>
  <c r="G6309" i="1"/>
  <c r="H6309" i="1"/>
  <c r="J6309" i="1"/>
  <c r="K6309" i="1"/>
  <c r="L6309" i="1"/>
  <c r="A6310" i="1"/>
  <c r="B6310" i="1"/>
  <c r="C6310" i="1"/>
  <c r="D6310" i="1"/>
  <c r="Q6310" i="1"/>
  <c r="R6310" i="1"/>
  <c r="E6310" i="1"/>
  <c r="G6310" i="1"/>
  <c r="H6310" i="1"/>
  <c r="J6310" i="1"/>
  <c r="K6310" i="1"/>
  <c r="L6310" i="1"/>
  <c r="A6311" i="1"/>
  <c r="B6311" i="1"/>
  <c r="C6311" i="1"/>
  <c r="D6311" i="1"/>
  <c r="Q6311" i="1"/>
  <c r="R6311" i="1"/>
  <c r="E6311" i="1"/>
  <c r="G6311" i="1"/>
  <c r="H6311" i="1"/>
  <c r="J6311" i="1"/>
  <c r="K6311" i="1"/>
  <c r="L6311" i="1"/>
  <c r="A6312" i="1"/>
  <c r="B6312" i="1"/>
  <c r="C6312" i="1"/>
  <c r="D6312" i="1"/>
  <c r="Q6312" i="1"/>
  <c r="R6312" i="1"/>
  <c r="E6312" i="1"/>
  <c r="G6312" i="1"/>
  <c r="H6312" i="1"/>
  <c r="J6312" i="1"/>
  <c r="K6312" i="1"/>
  <c r="L6312" i="1"/>
  <c r="A6313" i="1"/>
  <c r="B6313" i="1"/>
  <c r="C6313" i="1"/>
  <c r="D6313" i="1"/>
  <c r="Q6313" i="1"/>
  <c r="R6313" i="1"/>
  <c r="E6313" i="1"/>
  <c r="G6313" i="1"/>
  <c r="H6313" i="1"/>
  <c r="J6313" i="1"/>
  <c r="K6313" i="1"/>
  <c r="L6313" i="1"/>
  <c r="A6314" i="1"/>
  <c r="B6314" i="1"/>
  <c r="C6314" i="1"/>
  <c r="D6314" i="1"/>
  <c r="Q6314" i="1"/>
  <c r="R6314" i="1"/>
  <c r="E6314" i="1"/>
  <c r="G6314" i="1"/>
  <c r="H6314" i="1"/>
  <c r="J6314" i="1"/>
  <c r="K6314" i="1"/>
  <c r="L6314" i="1"/>
  <c r="A6315" i="1"/>
  <c r="B6315" i="1"/>
  <c r="C6315" i="1"/>
  <c r="D6315" i="1"/>
  <c r="Q6315" i="1"/>
  <c r="R6315" i="1"/>
  <c r="E6315" i="1"/>
  <c r="G6315" i="1"/>
  <c r="H6315" i="1"/>
  <c r="J6315" i="1"/>
  <c r="K6315" i="1"/>
  <c r="L6315" i="1"/>
  <c r="A6316" i="1"/>
  <c r="B6316" i="1"/>
  <c r="C6316" i="1"/>
  <c r="D6316" i="1"/>
  <c r="Q6316" i="1"/>
  <c r="R6316" i="1"/>
  <c r="E6316" i="1"/>
  <c r="G6316" i="1"/>
  <c r="H6316" i="1"/>
  <c r="J6316" i="1"/>
  <c r="K6316" i="1"/>
  <c r="L6316" i="1"/>
  <c r="A6317" i="1"/>
  <c r="B6317" i="1"/>
  <c r="C6317" i="1"/>
  <c r="D6317" i="1"/>
  <c r="Q6317" i="1"/>
  <c r="R6317" i="1"/>
  <c r="E6317" i="1"/>
  <c r="G6317" i="1"/>
  <c r="H6317" i="1"/>
  <c r="J6317" i="1"/>
  <c r="K6317" i="1"/>
  <c r="L6317" i="1"/>
  <c r="A6318" i="1"/>
  <c r="B6318" i="1"/>
  <c r="C6318" i="1"/>
  <c r="D6318" i="1"/>
  <c r="Q6318" i="1"/>
  <c r="R6318" i="1"/>
  <c r="E6318" i="1"/>
  <c r="G6318" i="1"/>
  <c r="H6318" i="1"/>
  <c r="J6318" i="1"/>
  <c r="K6318" i="1"/>
  <c r="L6318" i="1"/>
  <c r="A6319" i="1"/>
  <c r="B6319" i="1"/>
  <c r="C6319" i="1"/>
  <c r="D6319" i="1"/>
  <c r="Q6319" i="1"/>
  <c r="R6319" i="1"/>
  <c r="E6319" i="1"/>
  <c r="G6319" i="1"/>
  <c r="H6319" i="1"/>
  <c r="J6319" i="1"/>
  <c r="K6319" i="1"/>
  <c r="L6319" i="1"/>
  <c r="A6320" i="1"/>
  <c r="B6320" i="1"/>
  <c r="C6320" i="1"/>
  <c r="D6320" i="1"/>
  <c r="Q6320" i="1"/>
  <c r="R6320" i="1"/>
  <c r="E6320" i="1"/>
  <c r="G6320" i="1"/>
  <c r="H6320" i="1"/>
  <c r="J6320" i="1"/>
  <c r="K6320" i="1"/>
  <c r="L6320" i="1"/>
  <c r="A6321" i="1"/>
  <c r="B6321" i="1"/>
  <c r="C6321" i="1"/>
  <c r="D6321" i="1"/>
  <c r="Q6321" i="1"/>
  <c r="R6321" i="1"/>
  <c r="E6321" i="1"/>
  <c r="G6321" i="1"/>
  <c r="H6321" i="1"/>
  <c r="J6321" i="1"/>
  <c r="K6321" i="1"/>
  <c r="L6321" i="1"/>
  <c r="A6322" i="1"/>
  <c r="B6322" i="1"/>
  <c r="C6322" i="1"/>
  <c r="D6322" i="1"/>
  <c r="Q6322" i="1"/>
  <c r="R6322" i="1"/>
  <c r="E6322" i="1"/>
  <c r="G6322" i="1"/>
  <c r="H6322" i="1"/>
  <c r="J6322" i="1"/>
  <c r="K6322" i="1"/>
  <c r="L6322" i="1"/>
  <c r="A6323" i="1"/>
  <c r="B6323" i="1"/>
  <c r="C6323" i="1"/>
  <c r="D6323" i="1"/>
  <c r="Q6323" i="1"/>
  <c r="R6323" i="1"/>
  <c r="E6323" i="1"/>
  <c r="G6323" i="1"/>
  <c r="H6323" i="1"/>
  <c r="J6323" i="1"/>
  <c r="K6323" i="1"/>
  <c r="L6323" i="1"/>
  <c r="A6324" i="1"/>
  <c r="B6324" i="1"/>
  <c r="C6324" i="1"/>
  <c r="D6324" i="1"/>
  <c r="Q6324" i="1"/>
  <c r="R6324" i="1"/>
  <c r="E6324" i="1"/>
  <c r="G6324" i="1"/>
  <c r="H6324" i="1"/>
  <c r="J6324" i="1"/>
  <c r="K6324" i="1"/>
  <c r="L6324" i="1"/>
  <c r="A6325" i="1"/>
  <c r="B6325" i="1"/>
  <c r="C6325" i="1"/>
  <c r="D6325" i="1"/>
  <c r="Q6325" i="1"/>
  <c r="R6325" i="1"/>
  <c r="E6325" i="1"/>
  <c r="G6325" i="1"/>
  <c r="H6325" i="1"/>
  <c r="J6325" i="1"/>
  <c r="K6325" i="1"/>
  <c r="L6325" i="1"/>
  <c r="A6326" i="1"/>
  <c r="B6326" i="1"/>
  <c r="C6326" i="1"/>
  <c r="D6326" i="1"/>
  <c r="Q6326" i="1"/>
  <c r="R6326" i="1"/>
  <c r="E6326" i="1"/>
  <c r="G6326" i="1"/>
  <c r="H6326" i="1"/>
  <c r="J6326" i="1"/>
  <c r="K6326" i="1"/>
  <c r="L6326" i="1"/>
  <c r="A6327" i="1"/>
  <c r="B6327" i="1"/>
  <c r="C6327" i="1"/>
  <c r="D6327" i="1"/>
  <c r="Q6327" i="1"/>
  <c r="R6327" i="1"/>
  <c r="E6327" i="1"/>
  <c r="G6327" i="1"/>
  <c r="H6327" i="1"/>
  <c r="J6327" i="1"/>
  <c r="K6327" i="1"/>
  <c r="L6327" i="1"/>
  <c r="A6328" i="1"/>
  <c r="B6328" i="1"/>
  <c r="C6328" i="1"/>
  <c r="D6328" i="1"/>
  <c r="Q6328" i="1"/>
  <c r="R6328" i="1"/>
  <c r="E6328" i="1"/>
  <c r="G6328" i="1"/>
  <c r="H6328" i="1"/>
  <c r="J6328" i="1"/>
  <c r="K6328" i="1"/>
  <c r="L6328" i="1"/>
  <c r="A6329" i="1"/>
  <c r="B6329" i="1"/>
  <c r="C6329" i="1"/>
  <c r="D6329" i="1"/>
  <c r="Q6329" i="1"/>
  <c r="R6329" i="1"/>
  <c r="E6329" i="1"/>
  <c r="G6329" i="1"/>
  <c r="H6329" i="1"/>
  <c r="J6329" i="1"/>
  <c r="K6329" i="1"/>
  <c r="L6329" i="1"/>
  <c r="A6330" i="1"/>
  <c r="B6330" i="1"/>
  <c r="C6330" i="1"/>
  <c r="D6330" i="1"/>
  <c r="Q6330" i="1"/>
  <c r="R6330" i="1"/>
  <c r="E6330" i="1"/>
  <c r="G6330" i="1"/>
  <c r="H6330" i="1"/>
  <c r="J6330" i="1"/>
  <c r="K6330" i="1"/>
  <c r="L6330" i="1"/>
  <c r="A6331" i="1"/>
  <c r="B6331" i="1"/>
  <c r="C6331" i="1"/>
  <c r="D6331" i="1"/>
  <c r="Q6331" i="1"/>
  <c r="R6331" i="1"/>
  <c r="E6331" i="1"/>
  <c r="G6331" i="1"/>
  <c r="H6331" i="1"/>
  <c r="J6331" i="1"/>
  <c r="K6331" i="1"/>
  <c r="L6331" i="1"/>
  <c r="A6332" i="1"/>
  <c r="B6332" i="1"/>
  <c r="C6332" i="1"/>
  <c r="D6332" i="1"/>
  <c r="Q6332" i="1"/>
  <c r="R6332" i="1"/>
  <c r="E6332" i="1"/>
  <c r="G6332" i="1"/>
  <c r="H6332" i="1"/>
  <c r="J6332" i="1"/>
  <c r="K6332" i="1"/>
  <c r="L6332" i="1"/>
  <c r="A6333" i="1"/>
  <c r="B6333" i="1"/>
  <c r="C6333" i="1"/>
  <c r="D6333" i="1"/>
  <c r="Q6333" i="1"/>
  <c r="R6333" i="1"/>
  <c r="E6333" i="1"/>
  <c r="G6333" i="1"/>
  <c r="H6333" i="1"/>
  <c r="J6333" i="1"/>
  <c r="K6333" i="1"/>
  <c r="L6333" i="1"/>
  <c r="A6334" i="1"/>
  <c r="B6334" i="1"/>
  <c r="C6334" i="1"/>
  <c r="D6334" i="1"/>
  <c r="Q6334" i="1"/>
  <c r="R6334" i="1"/>
  <c r="E6334" i="1"/>
  <c r="G6334" i="1"/>
  <c r="H6334" i="1"/>
  <c r="J6334" i="1"/>
  <c r="K6334" i="1"/>
  <c r="L6334" i="1"/>
  <c r="A6335" i="1"/>
  <c r="B6335" i="1"/>
  <c r="C6335" i="1"/>
  <c r="D6335" i="1"/>
  <c r="Q6335" i="1"/>
  <c r="R6335" i="1"/>
  <c r="E6335" i="1"/>
  <c r="G6335" i="1"/>
  <c r="H6335" i="1"/>
  <c r="J6335" i="1"/>
  <c r="K6335" i="1"/>
  <c r="L6335" i="1"/>
  <c r="A6336" i="1"/>
  <c r="B6336" i="1"/>
  <c r="C6336" i="1"/>
  <c r="D6336" i="1"/>
  <c r="Q6336" i="1"/>
  <c r="R6336" i="1"/>
  <c r="E6336" i="1"/>
  <c r="G6336" i="1"/>
  <c r="H6336" i="1"/>
  <c r="J6336" i="1"/>
  <c r="K6336" i="1"/>
  <c r="L6336" i="1"/>
  <c r="A6337" i="1"/>
  <c r="B6337" i="1"/>
  <c r="C6337" i="1"/>
  <c r="D6337" i="1"/>
  <c r="Q6337" i="1"/>
  <c r="R6337" i="1"/>
  <c r="E6337" i="1"/>
  <c r="G6337" i="1"/>
  <c r="H6337" i="1"/>
  <c r="J6337" i="1"/>
  <c r="K6337" i="1"/>
  <c r="L6337" i="1"/>
  <c r="A6338" i="1"/>
  <c r="B6338" i="1"/>
  <c r="C6338" i="1"/>
  <c r="D6338" i="1"/>
  <c r="Q6338" i="1"/>
  <c r="R6338" i="1"/>
  <c r="E6338" i="1"/>
  <c r="G6338" i="1"/>
  <c r="H6338" i="1"/>
  <c r="J6338" i="1"/>
  <c r="K6338" i="1"/>
  <c r="L6338" i="1"/>
  <c r="A6339" i="1"/>
  <c r="B6339" i="1"/>
  <c r="C6339" i="1"/>
  <c r="D6339" i="1"/>
  <c r="Q6339" i="1"/>
  <c r="R6339" i="1"/>
  <c r="E6339" i="1"/>
  <c r="G6339" i="1"/>
  <c r="H6339" i="1"/>
  <c r="J6339" i="1"/>
  <c r="K6339" i="1"/>
  <c r="L6339" i="1"/>
  <c r="A6340" i="1"/>
  <c r="B6340" i="1"/>
  <c r="C6340" i="1"/>
  <c r="D6340" i="1"/>
  <c r="Q6340" i="1"/>
  <c r="R6340" i="1"/>
  <c r="E6340" i="1"/>
  <c r="G6340" i="1"/>
  <c r="H6340" i="1"/>
  <c r="J6340" i="1"/>
  <c r="K6340" i="1"/>
  <c r="L6340" i="1"/>
  <c r="A6341" i="1"/>
  <c r="B6341" i="1"/>
  <c r="C6341" i="1"/>
  <c r="D6341" i="1"/>
  <c r="Q6341" i="1"/>
  <c r="R6341" i="1"/>
  <c r="E6341" i="1"/>
  <c r="G6341" i="1"/>
  <c r="H6341" i="1"/>
  <c r="J6341" i="1"/>
  <c r="K6341" i="1"/>
  <c r="L6341" i="1"/>
  <c r="A6342" i="1"/>
  <c r="B6342" i="1"/>
  <c r="C6342" i="1"/>
  <c r="D6342" i="1"/>
  <c r="Q6342" i="1"/>
  <c r="R6342" i="1"/>
  <c r="E6342" i="1"/>
  <c r="G6342" i="1"/>
  <c r="H6342" i="1"/>
  <c r="J6342" i="1"/>
  <c r="K6342" i="1"/>
  <c r="L6342" i="1"/>
  <c r="A6343" i="1"/>
  <c r="B6343" i="1"/>
  <c r="C6343" i="1"/>
  <c r="D6343" i="1"/>
  <c r="Q6343" i="1"/>
  <c r="R6343" i="1"/>
  <c r="E6343" i="1"/>
  <c r="G6343" i="1"/>
  <c r="H6343" i="1"/>
  <c r="J6343" i="1"/>
  <c r="K6343" i="1"/>
  <c r="L6343" i="1"/>
  <c r="A6344" i="1"/>
  <c r="B6344" i="1"/>
  <c r="C6344" i="1"/>
  <c r="D6344" i="1"/>
  <c r="Q6344" i="1"/>
  <c r="R6344" i="1"/>
  <c r="E6344" i="1"/>
  <c r="G6344" i="1"/>
  <c r="H6344" i="1"/>
  <c r="J6344" i="1"/>
  <c r="K6344" i="1"/>
  <c r="L6344" i="1"/>
  <c r="A6345" i="1"/>
  <c r="B6345" i="1"/>
  <c r="C6345" i="1"/>
  <c r="D6345" i="1"/>
  <c r="Q6345" i="1"/>
  <c r="R6345" i="1"/>
  <c r="E6345" i="1"/>
  <c r="G6345" i="1"/>
  <c r="H6345" i="1"/>
  <c r="J6345" i="1"/>
  <c r="K6345" i="1"/>
  <c r="L6345" i="1"/>
  <c r="A6346" i="1"/>
  <c r="B6346" i="1"/>
  <c r="C6346" i="1"/>
  <c r="D6346" i="1"/>
  <c r="Q6346" i="1"/>
  <c r="R6346" i="1"/>
  <c r="E6346" i="1"/>
  <c r="G6346" i="1"/>
  <c r="H6346" i="1"/>
  <c r="J6346" i="1"/>
  <c r="K6346" i="1"/>
  <c r="L6346" i="1"/>
  <c r="A6347" i="1"/>
  <c r="B6347" i="1"/>
  <c r="C6347" i="1"/>
  <c r="D6347" i="1"/>
  <c r="Q6347" i="1"/>
  <c r="R6347" i="1"/>
  <c r="E6347" i="1"/>
  <c r="G6347" i="1"/>
  <c r="H6347" i="1"/>
  <c r="J6347" i="1"/>
  <c r="K6347" i="1"/>
  <c r="L6347" i="1"/>
  <c r="A6348" i="1"/>
  <c r="B6348" i="1"/>
  <c r="C6348" i="1"/>
  <c r="D6348" i="1"/>
  <c r="Q6348" i="1"/>
  <c r="R6348" i="1"/>
  <c r="E6348" i="1"/>
  <c r="G6348" i="1"/>
  <c r="H6348" i="1"/>
  <c r="J6348" i="1"/>
  <c r="K6348" i="1"/>
  <c r="L6348" i="1"/>
  <c r="A6349" i="1"/>
  <c r="B6349" i="1"/>
  <c r="C6349" i="1"/>
  <c r="D6349" i="1"/>
  <c r="Q6349" i="1"/>
  <c r="R6349" i="1"/>
  <c r="E6349" i="1"/>
  <c r="G6349" i="1"/>
  <c r="H6349" i="1"/>
  <c r="J6349" i="1"/>
  <c r="K6349" i="1"/>
  <c r="L6349" i="1"/>
  <c r="A6350" i="1"/>
  <c r="B6350" i="1"/>
  <c r="C6350" i="1"/>
  <c r="D6350" i="1"/>
  <c r="Q6350" i="1"/>
  <c r="R6350" i="1"/>
  <c r="E6350" i="1"/>
  <c r="G6350" i="1"/>
  <c r="H6350" i="1"/>
  <c r="J6350" i="1"/>
  <c r="K6350" i="1"/>
  <c r="L6350" i="1"/>
  <c r="A6351" i="1"/>
  <c r="B6351" i="1"/>
  <c r="C6351" i="1"/>
  <c r="D6351" i="1"/>
  <c r="Q6351" i="1"/>
  <c r="R6351" i="1"/>
  <c r="E6351" i="1"/>
  <c r="G6351" i="1"/>
  <c r="H6351" i="1"/>
  <c r="J6351" i="1"/>
  <c r="K6351" i="1"/>
  <c r="L6351" i="1"/>
  <c r="A6352" i="1"/>
  <c r="B6352" i="1"/>
  <c r="C6352" i="1"/>
  <c r="D6352" i="1"/>
  <c r="Q6352" i="1"/>
  <c r="R6352" i="1"/>
  <c r="E6352" i="1"/>
  <c r="G6352" i="1"/>
  <c r="H6352" i="1"/>
  <c r="J6352" i="1"/>
  <c r="K6352" i="1"/>
  <c r="L6352" i="1"/>
  <c r="A6353" i="1"/>
  <c r="B6353" i="1"/>
  <c r="C6353" i="1"/>
  <c r="D6353" i="1"/>
  <c r="Q6353" i="1"/>
  <c r="R6353" i="1"/>
  <c r="E6353" i="1"/>
  <c r="G6353" i="1"/>
  <c r="H6353" i="1"/>
  <c r="J6353" i="1"/>
  <c r="K6353" i="1"/>
  <c r="L6353" i="1"/>
  <c r="A6354" i="1"/>
  <c r="B6354" i="1"/>
  <c r="C6354" i="1"/>
  <c r="D6354" i="1"/>
  <c r="Q6354" i="1"/>
  <c r="R6354" i="1"/>
  <c r="E6354" i="1"/>
  <c r="G6354" i="1"/>
  <c r="H6354" i="1"/>
  <c r="J6354" i="1"/>
  <c r="K6354" i="1"/>
  <c r="L6354" i="1"/>
  <c r="A6355" i="1"/>
  <c r="B6355" i="1"/>
  <c r="C6355" i="1"/>
  <c r="D6355" i="1"/>
  <c r="Q6355" i="1"/>
  <c r="R6355" i="1"/>
  <c r="E6355" i="1"/>
  <c r="G6355" i="1"/>
  <c r="H6355" i="1"/>
  <c r="J6355" i="1"/>
  <c r="K6355" i="1"/>
  <c r="L6355" i="1"/>
  <c r="A6356" i="1"/>
  <c r="B6356" i="1"/>
  <c r="C6356" i="1"/>
  <c r="D6356" i="1"/>
  <c r="Q6356" i="1"/>
  <c r="R6356" i="1"/>
  <c r="E6356" i="1"/>
  <c r="G6356" i="1"/>
  <c r="H6356" i="1"/>
  <c r="J6356" i="1"/>
  <c r="K6356" i="1"/>
  <c r="L6356" i="1"/>
  <c r="A6357" i="1"/>
  <c r="B6357" i="1"/>
  <c r="C6357" i="1"/>
  <c r="D6357" i="1"/>
  <c r="Q6357" i="1"/>
  <c r="R6357" i="1"/>
  <c r="E6357" i="1"/>
  <c r="G6357" i="1"/>
  <c r="H6357" i="1"/>
  <c r="J6357" i="1"/>
  <c r="K6357" i="1"/>
  <c r="L6357" i="1"/>
  <c r="A6358" i="1"/>
  <c r="B6358" i="1"/>
  <c r="C6358" i="1"/>
  <c r="D6358" i="1"/>
  <c r="Q6358" i="1"/>
  <c r="R6358" i="1"/>
  <c r="E6358" i="1"/>
  <c r="G6358" i="1"/>
  <c r="H6358" i="1"/>
  <c r="J6358" i="1"/>
  <c r="K6358" i="1"/>
  <c r="L6358" i="1"/>
  <c r="A6359" i="1"/>
  <c r="B6359" i="1"/>
  <c r="C6359" i="1"/>
  <c r="D6359" i="1"/>
  <c r="Q6359" i="1"/>
  <c r="R6359" i="1"/>
  <c r="E6359" i="1"/>
  <c r="G6359" i="1"/>
  <c r="H6359" i="1"/>
  <c r="J6359" i="1"/>
  <c r="K6359" i="1"/>
  <c r="L6359" i="1"/>
  <c r="A6360" i="1"/>
  <c r="B6360" i="1"/>
  <c r="C6360" i="1"/>
  <c r="D6360" i="1"/>
  <c r="Q6360" i="1"/>
  <c r="R6360" i="1"/>
  <c r="E6360" i="1"/>
  <c r="G6360" i="1"/>
  <c r="H6360" i="1"/>
  <c r="J6360" i="1"/>
  <c r="K6360" i="1"/>
  <c r="L6360" i="1"/>
  <c r="A6361" i="1"/>
  <c r="B6361" i="1"/>
  <c r="C6361" i="1"/>
  <c r="D6361" i="1"/>
  <c r="Q6361" i="1"/>
  <c r="R6361" i="1"/>
  <c r="E6361" i="1"/>
  <c r="G6361" i="1"/>
  <c r="H6361" i="1"/>
  <c r="J6361" i="1"/>
  <c r="K6361" i="1"/>
  <c r="L6361" i="1"/>
  <c r="A6362" i="1"/>
  <c r="B6362" i="1"/>
  <c r="C6362" i="1"/>
  <c r="D6362" i="1"/>
  <c r="Q6362" i="1"/>
  <c r="R6362" i="1"/>
  <c r="E6362" i="1"/>
  <c r="G6362" i="1"/>
  <c r="H6362" i="1"/>
  <c r="J6362" i="1"/>
  <c r="K6362" i="1"/>
  <c r="L6362" i="1"/>
  <c r="A6363" i="1"/>
  <c r="B6363" i="1"/>
  <c r="C6363" i="1"/>
  <c r="D6363" i="1"/>
  <c r="Q6363" i="1"/>
  <c r="R6363" i="1"/>
  <c r="E6363" i="1"/>
  <c r="G6363" i="1"/>
  <c r="H6363" i="1"/>
  <c r="J6363" i="1"/>
  <c r="K6363" i="1"/>
  <c r="L6363" i="1"/>
  <c r="A6364" i="1"/>
  <c r="B6364" i="1"/>
  <c r="C6364" i="1"/>
  <c r="D6364" i="1"/>
  <c r="Q6364" i="1"/>
  <c r="R6364" i="1"/>
  <c r="E6364" i="1"/>
  <c r="G6364" i="1"/>
  <c r="H6364" i="1"/>
  <c r="J6364" i="1"/>
  <c r="K6364" i="1"/>
  <c r="L6364" i="1"/>
  <c r="A6365" i="1"/>
  <c r="B6365" i="1"/>
  <c r="C6365" i="1"/>
  <c r="D6365" i="1"/>
  <c r="Q6365" i="1"/>
  <c r="R6365" i="1"/>
  <c r="E6365" i="1"/>
  <c r="G6365" i="1"/>
  <c r="H6365" i="1"/>
  <c r="J6365" i="1"/>
  <c r="K6365" i="1"/>
  <c r="L6365" i="1"/>
  <c r="A6366" i="1"/>
  <c r="B6366" i="1"/>
  <c r="C6366" i="1"/>
  <c r="D6366" i="1"/>
  <c r="Q6366" i="1"/>
  <c r="R6366" i="1"/>
  <c r="E6366" i="1"/>
  <c r="G6366" i="1"/>
  <c r="H6366" i="1"/>
  <c r="J6366" i="1"/>
  <c r="K6366" i="1"/>
  <c r="L6366" i="1"/>
  <c r="A6367" i="1"/>
  <c r="B6367" i="1"/>
  <c r="C6367" i="1"/>
  <c r="D6367" i="1"/>
  <c r="Q6367" i="1"/>
  <c r="R6367" i="1"/>
  <c r="E6367" i="1"/>
  <c r="G6367" i="1"/>
  <c r="H6367" i="1"/>
  <c r="J6367" i="1"/>
  <c r="K6367" i="1"/>
  <c r="L6367" i="1"/>
  <c r="A6368" i="1"/>
  <c r="B6368" i="1"/>
  <c r="C6368" i="1"/>
  <c r="D6368" i="1"/>
  <c r="Q6368" i="1"/>
  <c r="R6368" i="1"/>
  <c r="E6368" i="1"/>
  <c r="G6368" i="1"/>
  <c r="H6368" i="1"/>
  <c r="J6368" i="1"/>
  <c r="K6368" i="1"/>
  <c r="L6368" i="1"/>
  <c r="A6369" i="1"/>
  <c r="B6369" i="1"/>
  <c r="C6369" i="1"/>
  <c r="D6369" i="1"/>
  <c r="Q6369" i="1"/>
  <c r="R6369" i="1"/>
  <c r="E6369" i="1"/>
  <c r="G6369" i="1"/>
  <c r="H6369" i="1"/>
  <c r="J6369" i="1"/>
  <c r="K6369" i="1"/>
  <c r="L6369" i="1"/>
  <c r="A6370" i="1"/>
  <c r="B6370" i="1"/>
  <c r="C6370" i="1"/>
  <c r="D6370" i="1"/>
  <c r="Q6370" i="1"/>
  <c r="R6370" i="1"/>
  <c r="E6370" i="1"/>
  <c r="G6370" i="1"/>
  <c r="H6370" i="1"/>
  <c r="J6370" i="1"/>
  <c r="K6370" i="1"/>
  <c r="L6370" i="1"/>
  <c r="A6371" i="1"/>
  <c r="B6371" i="1"/>
  <c r="C6371" i="1"/>
  <c r="D6371" i="1"/>
  <c r="Q6371" i="1"/>
  <c r="R6371" i="1"/>
  <c r="E6371" i="1"/>
  <c r="G6371" i="1"/>
  <c r="H6371" i="1"/>
  <c r="J6371" i="1"/>
  <c r="K6371" i="1"/>
  <c r="L6371" i="1"/>
  <c r="A6372" i="1"/>
  <c r="B6372" i="1"/>
  <c r="C6372" i="1"/>
  <c r="D6372" i="1"/>
  <c r="Q6372" i="1"/>
  <c r="R6372" i="1"/>
  <c r="E6372" i="1"/>
  <c r="G6372" i="1"/>
  <c r="H6372" i="1"/>
  <c r="J6372" i="1"/>
  <c r="K6372" i="1"/>
  <c r="L6372" i="1"/>
  <c r="A6373" i="1"/>
  <c r="B6373" i="1"/>
  <c r="C6373" i="1"/>
  <c r="D6373" i="1"/>
  <c r="Q6373" i="1"/>
  <c r="R6373" i="1"/>
  <c r="E6373" i="1"/>
  <c r="G6373" i="1"/>
  <c r="H6373" i="1"/>
  <c r="J6373" i="1"/>
  <c r="K6373" i="1"/>
  <c r="L6373" i="1"/>
  <c r="A6374" i="1"/>
  <c r="B6374" i="1"/>
  <c r="C6374" i="1"/>
  <c r="D6374" i="1"/>
  <c r="Q6374" i="1"/>
  <c r="R6374" i="1"/>
  <c r="E6374" i="1"/>
  <c r="G6374" i="1"/>
  <c r="H6374" i="1"/>
  <c r="J6374" i="1"/>
  <c r="K6374" i="1"/>
  <c r="L6374" i="1"/>
  <c r="A6375" i="1"/>
  <c r="B6375" i="1"/>
  <c r="C6375" i="1"/>
  <c r="D6375" i="1"/>
  <c r="Q6375" i="1"/>
  <c r="R6375" i="1"/>
  <c r="E6375" i="1"/>
  <c r="G6375" i="1"/>
  <c r="H6375" i="1"/>
  <c r="J6375" i="1"/>
  <c r="K6375" i="1"/>
  <c r="L6375" i="1"/>
  <c r="A6376" i="1"/>
  <c r="B6376" i="1"/>
  <c r="C6376" i="1"/>
  <c r="D6376" i="1"/>
  <c r="Q6376" i="1"/>
  <c r="R6376" i="1"/>
  <c r="E6376" i="1"/>
  <c r="G6376" i="1"/>
  <c r="H6376" i="1"/>
  <c r="J6376" i="1"/>
  <c r="K6376" i="1"/>
  <c r="L6376" i="1"/>
  <c r="A6377" i="1"/>
  <c r="B6377" i="1"/>
  <c r="C6377" i="1"/>
  <c r="D6377" i="1"/>
  <c r="Q6377" i="1"/>
  <c r="R6377" i="1"/>
  <c r="E6377" i="1"/>
  <c r="G6377" i="1"/>
  <c r="H6377" i="1"/>
  <c r="J6377" i="1"/>
  <c r="K6377" i="1"/>
  <c r="L6377" i="1"/>
  <c r="A6378" i="1"/>
  <c r="B6378" i="1"/>
  <c r="C6378" i="1"/>
  <c r="D6378" i="1"/>
  <c r="Q6378" i="1"/>
  <c r="R6378" i="1"/>
  <c r="E6378" i="1"/>
  <c r="G6378" i="1"/>
  <c r="H6378" i="1"/>
  <c r="J6378" i="1"/>
  <c r="K6378" i="1"/>
  <c r="L6378" i="1"/>
  <c r="A6379" i="1"/>
  <c r="B6379" i="1"/>
  <c r="C6379" i="1"/>
  <c r="D6379" i="1"/>
  <c r="Q6379" i="1"/>
  <c r="R6379" i="1"/>
  <c r="E6379" i="1"/>
  <c r="G6379" i="1"/>
  <c r="H6379" i="1"/>
  <c r="J6379" i="1"/>
  <c r="K6379" i="1"/>
  <c r="L6379" i="1"/>
  <c r="A6380" i="1"/>
  <c r="B6380" i="1"/>
  <c r="C6380" i="1"/>
  <c r="D6380" i="1"/>
  <c r="Q6380" i="1"/>
  <c r="R6380" i="1"/>
  <c r="E6380" i="1"/>
  <c r="G6380" i="1"/>
  <c r="H6380" i="1"/>
  <c r="J6380" i="1"/>
  <c r="K6380" i="1"/>
  <c r="L6380" i="1"/>
  <c r="A6381" i="1"/>
  <c r="B6381" i="1"/>
  <c r="C6381" i="1"/>
  <c r="D6381" i="1"/>
  <c r="Q6381" i="1"/>
  <c r="R6381" i="1"/>
  <c r="E6381" i="1"/>
  <c r="G6381" i="1"/>
  <c r="H6381" i="1"/>
  <c r="J6381" i="1"/>
  <c r="K6381" i="1"/>
  <c r="L6381" i="1"/>
  <c r="A6382" i="1"/>
  <c r="B6382" i="1"/>
  <c r="C6382" i="1"/>
  <c r="D6382" i="1"/>
  <c r="Q6382" i="1"/>
  <c r="R6382" i="1"/>
  <c r="E6382" i="1"/>
  <c r="G6382" i="1"/>
  <c r="H6382" i="1"/>
  <c r="J6382" i="1"/>
  <c r="K6382" i="1"/>
  <c r="L6382" i="1"/>
  <c r="A6383" i="1"/>
  <c r="B6383" i="1"/>
  <c r="C6383" i="1"/>
  <c r="D6383" i="1"/>
  <c r="Q6383" i="1"/>
  <c r="R6383" i="1"/>
  <c r="E6383" i="1"/>
  <c r="G6383" i="1"/>
  <c r="H6383" i="1"/>
  <c r="J6383" i="1"/>
  <c r="K6383" i="1"/>
  <c r="L6383" i="1"/>
  <c r="A6384" i="1"/>
  <c r="B6384" i="1"/>
  <c r="C6384" i="1"/>
  <c r="D6384" i="1"/>
  <c r="Q6384" i="1"/>
  <c r="R6384" i="1"/>
  <c r="E6384" i="1"/>
  <c r="G6384" i="1"/>
  <c r="H6384" i="1"/>
  <c r="J6384" i="1"/>
  <c r="K6384" i="1"/>
  <c r="L6384" i="1"/>
  <c r="A6385" i="1"/>
  <c r="B6385" i="1"/>
  <c r="C6385" i="1"/>
  <c r="D6385" i="1"/>
  <c r="Q6385" i="1"/>
  <c r="R6385" i="1"/>
  <c r="E6385" i="1"/>
  <c r="G6385" i="1"/>
  <c r="H6385" i="1"/>
  <c r="J6385" i="1"/>
  <c r="K6385" i="1"/>
  <c r="L6385" i="1"/>
  <c r="A6386" i="1"/>
  <c r="B6386" i="1"/>
  <c r="C6386" i="1"/>
  <c r="D6386" i="1"/>
  <c r="Q6386" i="1"/>
  <c r="R6386" i="1"/>
  <c r="E6386" i="1"/>
  <c r="G6386" i="1"/>
  <c r="H6386" i="1"/>
  <c r="J6386" i="1"/>
  <c r="K6386" i="1"/>
  <c r="L6386" i="1"/>
  <c r="A6387" i="1"/>
  <c r="B6387" i="1"/>
  <c r="C6387" i="1"/>
  <c r="D6387" i="1"/>
  <c r="Q6387" i="1"/>
  <c r="R6387" i="1"/>
  <c r="E6387" i="1"/>
  <c r="G6387" i="1"/>
  <c r="H6387" i="1"/>
  <c r="J6387" i="1"/>
  <c r="K6387" i="1"/>
  <c r="L6387" i="1"/>
  <c r="A6388" i="1"/>
  <c r="B6388" i="1"/>
  <c r="C6388" i="1"/>
  <c r="D6388" i="1"/>
  <c r="Q6388" i="1"/>
  <c r="R6388" i="1"/>
  <c r="E6388" i="1"/>
  <c r="G6388" i="1"/>
  <c r="H6388" i="1"/>
  <c r="J6388" i="1"/>
  <c r="K6388" i="1"/>
  <c r="L6388" i="1"/>
  <c r="A6389" i="1"/>
  <c r="B6389" i="1"/>
  <c r="C6389" i="1"/>
  <c r="D6389" i="1"/>
  <c r="Q6389" i="1"/>
  <c r="R6389" i="1"/>
  <c r="E6389" i="1"/>
  <c r="G6389" i="1"/>
  <c r="H6389" i="1"/>
  <c r="J6389" i="1"/>
  <c r="K6389" i="1"/>
  <c r="L6389" i="1"/>
  <c r="A6390" i="1"/>
  <c r="B6390" i="1"/>
  <c r="C6390" i="1"/>
  <c r="D6390" i="1"/>
  <c r="Q6390" i="1"/>
  <c r="R6390" i="1"/>
  <c r="E6390" i="1"/>
  <c r="G6390" i="1"/>
  <c r="H6390" i="1"/>
  <c r="J6390" i="1"/>
  <c r="K6390" i="1"/>
  <c r="L6390" i="1"/>
  <c r="A6391" i="1"/>
  <c r="B6391" i="1"/>
  <c r="C6391" i="1"/>
  <c r="D6391" i="1"/>
  <c r="Q6391" i="1"/>
  <c r="R6391" i="1"/>
  <c r="E6391" i="1"/>
  <c r="G6391" i="1"/>
  <c r="H6391" i="1"/>
  <c r="J6391" i="1"/>
  <c r="K6391" i="1"/>
  <c r="L6391" i="1"/>
  <c r="A6392" i="1"/>
  <c r="B6392" i="1"/>
  <c r="C6392" i="1"/>
  <c r="D6392" i="1"/>
  <c r="Q6392" i="1"/>
  <c r="R6392" i="1"/>
  <c r="E6392" i="1"/>
  <c r="G6392" i="1"/>
  <c r="H6392" i="1"/>
  <c r="J6392" i="1"/>
  <c r="K6392" i="1"/>
  <c r="L6392" i="1"/>
  <c r="A6393" i="1"/>
  <c r="B6393" i="1"/>
  <c r="C6393" i="1"/>
  <c r="D6393" i="1"/>
  <c r="Q6393" i="1"/>
  <c r="R6393" i="1"/>
  <c r="E6393" i="1"/>
  <c r="G6393" i="1"/>
  <c r="H6393" i="1"/>
  <c r="J6393" i="1"/>
  <c r="K6393" i="1"/>
  <c r="L6393" i="1"/>
  <c r="A6394" i="1"/>
  <c r="B6394" i="1"/>
  <c r="C6394" i="1"/>
  <c r="D6394" i="1"/>
  <c r="Q6394" i="1"/>
  <c r="R6394" i="1"/>
  <c r="E6394" i="1"/>
  <c r="G6394" i="1"/>
  <c r="H6394" i="1"/>
  <c r="J6394" i="1"/>
  <c r="K6394" i="1"/>
  <c r="L6394" i="1"/>
  <c r="A6395" i="1"/>
  <c r="B6395" i="1"/>
  <c r="C6395" i="1"/>
  <c r="D6395" i="1"/>
  <c r="Q6395" i="1"/>
  <c r="R6395" i="1"/>
  <c r="E6395" i="1"/>
  <c r="G6395" i="1"/>
  <c r="H6395" i="1"/>
  <c r="J6395" i="1"/>
  <c r="K6395" i="1"/>
  <c r="L6395" i="1"/>
  <c r="A6396" i="1"/>
  <c r="B6396" i="1"/>
  <c r="C6396" i="1"/>
  <c r="D6396" i="1"/>
  <c r="Q6396" i="1"/>
  <c r="R6396" i="1"/>
  <c r="E6396" i="1"/>
  <c r="G6396" i="1"/>
  <c r="H6396" i="1"/>
  <c r="J6396" i="1"/>
  <c r="K6396" i="1"/>
  <c r="L6396" i="1"/>
  <c r="A6397" i="1"/>
  <c r="B6397" i="1"/>
  <c r="C6397" i="1"/>
  <c r="D6397" i="1"/>
  <c r="Q6397" i="1"/>
  <c r="R6397" i="1"/>
  <c r="E6397" i="1"/>
  <c r="G6397" i="1"/>
  <c r="H6397" i="1"/>
  <c r="J6397" i="1"/>
  <c r="K6397" i="1"/>
  <c r="L6397" i="1"/>
  <c r="A6398" i="1"/>
  <c r="B6398" i="1"/>
  <c r="C6398" i="1"/>
  <c r="D6398" i="1"/>
  <c r="Q6398" i="1"/>
  <c r="R6398" i="1"/>
  <c r="E6398" i="1"/>
  <c r="G6398" i="1"/>
  <c r="H6398" i="1"/>
  <c r="J6398" i="1"/>
  <c r="K6398" i="1"/>
  <c r="L6398" i="1"/>
  <c r="A6399" i="1"/>
  <c r="B6399" i="1"/>
  <c r="C6399" i="1"/>
  <c r="D6399" i="1"/>
  <c r="Q6399" i="1"/>
  <c r="R6399" i="1"/>
  <c r="E6399" i="1"/>
  <c r="G6399" i="1"/>
  <c r="H6399" i="1"/>
  <c r="J6399" i="1"/>
  <c r="K6399" i="1"/>
  <c r="L6399" i="1"/>
  <c r="A6400" i="1"/>
  <c r="B6400" i="1"/>
  <c r="C6400" i="1"/>
  <c r="D6400" i="1"/>
  <c r="Q6400" i="1"/>
  <c r="R6400" i="1"/>
  <c r="E6400" i="1"/>
  <c r="G6400" i="1"/>
  <c r="H6400" i="1"/>
  <c r="J6400" i="1"/>
  <c r="K6400" i="1"/>
  <c r="L6400" i="1"/>
  <c r="A6401" i="1"/>
  <c r="B6401" i="1"/>
  <c r="C6401" i="1"/>
  <c r="D6401" i="1"/>
  <c r="Q6401" i="1"/>
  <c r="R6401" i="1"/>
  <c r="E6401" i="1"/>
  <c r="G6401" i="1"/>
  <c r="H6401" i="1"/>
  <c r="J6401" i="1"/>
  <c r="K6401" i="1"/>
  <c r="L6401" i="1"/>
  <c r="A6402" i="1"/>
  <c r="B6402" i="1"/>
  <c r="C6402" i="1"/>
  <c r="D6402" i="1"/>
  <c r="Q6402" i="1"/>
  <c r="R6402" i="1"/>
  <c r="E6402" i="1"/>
  <c r="G6402" i="1"/>
  <c r="H6402" i="1"/>
  <c r="J6402" i="1"/>
  <c r="K6402" i="1"/>
  <c r="L6402" i="1"/>
  <c r="A6403" i="1"/>
  <c r="B6403" i="1"/>
  <c r="C6403" i="1"/>
  <c r="D6403" i="1"/>
  <c r="Q6403" i="1"/>
  <c r="R6403" i="1"/>
  <c r="E6403" i="1"/>
  <c r="G6403" i="1"/>
  <c r="H6403" i="1"/>
  <c r="J6403" i="1"/>
  <c r="K6403" i="1"/>
  <c r="L6403" i="1"/>
  <c r="A6404" i="1"/>
  <c r="B6404" i="1"/>
  <c r="C6404" i="1"/>
  <c r="D6404" i="1"/>
  <c r="Q6404" i="1"/>
  <c r="R6404" i="1"/>
  <c r="E6404" i="1"/>
  <c r="G6404" i="1"/>
  <c r="H6404" i="1"/>
  <c r="J6404" i="1"/>
  <c r="K6404" i="1"/>
  <c r="L6404" i="1"/>
  <c r="A6405" i="1"/>
  <c r="B6405" i="1"/>
  <c r="C6405" i="1"/>
  <c r="D6405" i="1"/>
  <c r="Q6405" i="1"/>
  <c r="R6405" i="1"/>
  <c r="E6405" i="1"/>
  <c r="G6405" i="1"/>
  <c r="H6405" i="1"/>
  <c r="J6405" i="1"/>
  <c r="K6405" i="1"/>
  <c r="L6405" i="1"/>
  <c r="A6406" i="1"/>
  <c r="B6406" i="1"/>
  <c r="C6406" i="1"/>
  <c r="D6406" i="1"/>
  <c r="Q6406" i="1"/>
  <c r="R6406" i="1"/>
  <c r="E6406" i="1"/>
  <c r="G6406" i="1"/>
  <c r="H6406" i="1"/>
  <c r="J6406" i="1"/>
  <c r="K6406" i="1"/>
  <c r="L6406" i="1"/>
  <c r="A6407" i="1"/>
  <c r="B6407" i="1"/>
  <c r="C6407" i="1"/>
  <c r="D6407" i="1"/>
  <c r="Q6407" i="1"/>
  <c r="R6407" i="1"/>
  <c r="E6407" i="1"/>
  <c r="G6407" i="1"/>
  <c r="H6407" i="1"/>
  <c r="J6407" i="1"/>
  <c r="K6407" i="1"/>
  <c r="L6407" i="1"/>
  <c r="A6408" i="1"/>
  <c r="B6408" i="1"/>
  <c r="C6408" i="1"/>
  <c r="D6408" i="1"/>
  <c r="Q6408" i="1"/>
  <c r="R6408" i="1"/>
  <c r="E6408" i="1"/>
  <c r="G6408" i="1"/>
  <c r="H6408" i="1"/>
  <c r="J6408" i="1"/>
  <c r="K6408" i="1"/>
  <c r="L6408" i="1"/>
  <c r="A6409" i="1"/>
  <c r="B6409" i="1"/>
  <c r="C6409" i="1"/>
  <c r="D6409" i="1"/>
  <c r="Q6409" i="1"/>
  <c r="R6409" i="1"/>
  <c r="E6409" i="1"/>
  <c r="G6409" i="1"/>
  <c r="H6409" i="1"/>
  <c r="J6409" i="1"/>
  <c r="K6409" i="1"/>
  <c r="L6409" i="1"/>
  <c r="A6410" i="1"/>
  <c r="B6410" i="1"/>
  <c r="C6410" i="1"/>
  <c r="D6410" i="1"/>
  <c r="Q6410" i="1"/>
  <c r="R6410" i="1"/>
  <c r="E6410" i="1"/>
  <c r="G6410" i="1"/>
  <c r="H6410" i="1"/>
  <c r="J6410" i="1"/>
  <c r="K6410" i="1"/>
  <c r="L6410" i="1"/>
  <c r="A6411" i="1"/>
  <c r="B6411" i="1"/>
  <c r="C6411" i="1"/>
  <c r="D6411" i="1"/>
  <c r="Q6411" i="1"/>
  <c r="R6411" i="1"/>
  <c r="E6411" i="1"/>
  <c r="G6411" i="1"/>
  <c r="H6411" i="1"/>
  <c r="J6411" i="1"/>
  <c r="K6411" i="1"/>
  <c r="L6411" i="1"/>
  <c r="A6412" i="1"/>
  <c r="B6412" i="1"/>
  <c r="C6412" i="1"/>
  <c r="D6412" i="1"/>
  <c r="Q6412" i="1"/>
  <c r="R6412" i="1"/>
  <c r="E6412" i="1"/>
  <c r="G6412" i="1"/>
  <c r="H6412" i="1"/>
  <c r="J6412" i="1"/>
  <c r="K6412" i="1"/>
  <c r="L6412" i="1"/>
  <c r="A6413" i="1"/>
  <c r="B6413" i="1"/>
  <c r="C6413" i="1"/>
  <c r="D6413" i="1"/>
  <c r="Q6413" i="1"/>
  <c r="R6413" i="1"/>
  <c r="E6413" i="1"/>
  <c r="G6413" i="1"/>
  <c r="H6413" i="1"/>
  <c r="J6413" i="1"/>
  <c r="K6413" i="1"/>
  <c r="L6413" i="1"/>
  <c r="A6414" i="1"/>
  <c r="B6414" i="1"/>
  <c r="C6414" i="1"/>
  <c r="D6414" i="1"/>
  <c r="Q6414" i="1"/>
  <c r="R6414" i="1"/>
  <c r="E6414" i="1"/>
  <c r="G6414" i="1"/>
  <c r="H6414" i="1"/>
  <c r="J6414" i="1"/>
  <c r="K6414" i="1"/>
  <c r="L6414" i="1"/>
  <c r="A6415" i="1"/>
  <c r="B6415" i="1"/>
  <c r="C6415" i="1"/>
  <c r="D6415" i="1"/>
  <c r="Q6415" i="1"/>
  <c r="R6415" i="1"/>
  <c r="E6415" i="1"/>
  <c r="G6415" i="1"/>
  <c r="H6415" i="1"/>
  <c r="J6415" i="1"/>
  <c r="K6415" i="1"/>
  <c r="L6415" i="1"/>
  <c r="A6416" i="1"/>
  <c r="B6416" i="1"/>
  <c r="C6416" i="1"/>
  <c r="D6416" i="1"/>
  <c r="Q6416" i="1"/>
  <c r="R6416" i="1"/>
  <c r="E6416" i="1"/>
  <c r="G6416" i="1"/>
  <c r="H6416" i="1"/>
  <c r="J6416" i="1"/>
  <c r="K6416" i="1"/>
  <c r="L6416" i="1"/>
  <c r="A6417" i="1"/>
  <c r="B6417" i="1"/>
  <c r="C6417" i="1"/>
  <c r="D6417" i="1"/>
  <c r="Q6417" i="1"/>
  <c r="R6417" i="1"/>
  <c r="E6417" i="1"/>
  <c r="G6417" i="1"/>
  <c r="H6417" i="1"/>
  <c r="J6417" i="1"/>
  <c r="K6417" i="1"/>
  <c r="L6417" i="1"/>
  <c r="A6418" i="1"/>
  <c r="B6418" i="1"/>
  <c r="C6418" i="1"/>
  <c r="D6418" i="1"/>
  <c r="Q6418" i="1"/>
  <c r="R6418" i="1"/>
  <c r="E6418" i="1"/>
  <c r="G6418" i="1"/>
  <c r="H6418" i="1"/>
  <c r="J6418" i="1"/>
  <c r="K6418" i="1"/>
  <c r="L6418" i="1"/>
  <c r="A6419" i="1"/>
  <c r="B6419" i="1"/>
  <c r="C6419" i="1"/>
  <c r="D6419" i="1"/>
  <c r="Q6419" i="1"/>
  <c r="R6419" i="1"/>
  <c r="E6419" i="1"/>
  <c r="G6419" i="1"/>
  <c r="H6419" i="1"/>
  <c r="J6419" i="1"/>
  <c r="K6419" i="1"/>
  <c r="L6419" i="1"/>
  <c r="A6420" i="1"/>
  <c r="B6420" i="1"/>
  <c r="C6420" i="1"/>
  <c r="D6420" i="1"/>
  <c r="Q6420" i="1"/>
  <c r="R6420" i="1"/>
  <c r="E6420" i="1"/>
  <c r="G6420" i="1"/>
  <c r="H6420" i="1"/>
  <c r="J6420" i="1"/>
  <c r="K6420" i="1"/>
  <c r="L6420" i="1"/>
  <c r="A6421" i="1"/>
  <c r="B6421" i="1"/>
  <c r="C6421" i="1"/>
  <c r="D6421" i="1"/>
  <c r="Q6421" i="1"/>
  <c r="R6421" i="1"/>
  <c r="E6421" i="1"/>
  <c r="G6421" i="1"/>
  <c r="H6421" i="1"/>
  <c r="J6421" i="1"/>
  <c r="K6421" i="1"/>
  <c r="L6421" i="1"/>
  <c r="A6422" i="1"/>
  <c r="B6422" i="1"/>
  <c r="C6422" i="1"/>
  <c r="D6422" i="1"/>
  <c r="Q6422" i="1"/>
  <c r="R6422" i="1"/>
  <c r="E6422" i="1"/>
  <c r="G6422" i="1"/>
  <c r="H6422" i="1"/>
  <c r="J6422" i="1"/>
  <c r="K6422" i="1"/>
  <c r="L6422" i="1"/>
  <c r="A6423" i="1"/>
  <c r="B6423" i="1"/>
  <c r="C6423" i="1"/>
  <c r="D6423" i="1"/>
  <c r="Q6423" i="1"/>
  <c r="R6423" i="1"/>
  <c r="E6423" i="1"/>
  <c r="G6423" i="1"/>
  <c r="H6423" i="1"/>
  <c r="J6423" i="1"/>
  <c r="K6423" i="1"/>
  <c r="L6423" i="1"/>
  <c r="A6424" i="1"/>
  <c r="B6424" i="1"/>
  <c r="C6424" i="1"/>
  <c r="D6424" i="1"/>
  <c r="Q6424" i="1"/>
  <c r="R6424" i="1"/>
  <c r="E6424" i="1"/>
  <c r="G6424" i="1"/>
  <c r="H6424" i="1"/>
  <c r="J6424" i="1"/>
  <c r="K6424" i="1"/>
  <c r="L6424" i="1"/>
  <c r="A6425" i="1"/>
  <c r="B6425" i="1"/>
  <c r="C6425" i="1"/>
  <c r="D6425" i="1"/>
  <c r="Q6425" i="1"/>
  <c r="R6425" i="1"/>
  <c r="E6425" i="1"/>
  <c r="G6425" i="1"/>
  <c r="H6425" i="1"/>
  <c r="J6425" i="1"/>
  <c r="K6425" i="1"/>
  <c r="L6425" i="1"/>
  <c r="A6426" i="1"/>
  <c r="B6426" i="1"/>
  <c r="C6426" i="1"/>
  <c r="D6426" i="1"/>
  <c r="Q6426" i="1"/>
  <c r="R6426" i="1"/>
  <c r="E6426" i="1"/>
  <c r="G6426" i="1"/>
  <c r="H6426" i="1"/>
  <c r="J6426" i="1"/>
  <c r="K6426" i="1"/>
  <c r="L6426" i="1"/>
  <c r="A6427" i="1"/>
  <c r="B6427" i="1"/>
  <c r="C6427" i="1"/>
  <c r="D6427" i="1"/>
  <c r="Q6427" i="1"/>
  <c r="R6427" i="1"/>
  <c r="E6427" i="1"/>
  <c r="G6427" i="1"/>
  <c r="H6427" i="1"/>
  <c r="J6427" i="1"/>
  <c r="K6427" i="1"/>
  <c r="L6427" i="1"/>
  <c r="A6428" i="1"/>
  <c r="B6428" i="1"/>
  <c r="C6428" i="1"/>
  <c r="D6428" i="1"/>
  <c r="Q6428" i="1"/>
  <c r="R6428" i="1"/>
  <c r="E6428" i="1"/>
  <c r="G6428" i="1"/>
  <c r="H6428" i="1"/>
  <c r="J6428" i="1"/>
  <c r="K6428" i="1"/>
  <c r="L6428" i="1"/>
  <c r="A6429" i="1"/>
  <c r="B6429" i="1"/>
  <c r="C6429" i="1"/>
  <c r="D6429" i="1"/>
  <c r="Q6429" i="1"/>
  <c r="R6429" i="1"/>
  <c r="E6429" i="1"/>
  <c r="G6429" i="1"/>
  <c r="H6429" i="1"/>
  <c r="J6429" i="1"/>
  <c r="K6429" i="1"/>
  <c r="L6429" i="1"/>
  <c r="A6430" i="1"/>
  <c r="B6430" i="1"/>
  <c r="C6430" i="1"/>
  <c r="D6430" i="1"/>
  <c r="Q6430" i="1"/>
  <c r="R6430" i="1"/>
  <c r="E6430" i="1"/>
  <c r="G6430" i="1"/>
  <c r="H6430" i="1"/>
  <c r="J6430" i="1"/>
  <c r="K6430" i="1"/>
  <c r="L6430" i="1"/>
  <c r="A6431" i="1"/>
  <c r="B6431" i="1"/>
  <c r="C6431" i="1"/>
  <c r="D6431" i="1"/>
  <c r="Q6431" i="1"/>
  <c r="R6431" i="1"/>
  <c r="E6431" i="1"/>
  <c r="G6431" i="1"/>
  <c r="H6431" i="1"/>
  <c r="J6431" i="1"/>
  <c r="K6431" i="1"/>
  <c r="L6431" i="1"/>
  <c r="A6432" i="1"/>
  <c r="B6432" i="1"/>
  <c r="C6432" i="1"/>
  <c r="D6432" i="1"/>
  <c r="Q6432" i="1"/>
  <c r="R6432" i="1"/>
  <c r="E6432" i="1"/>
  <c r="G6432" i="1"/>
  <c r="H6432" i="1"/>
  <c r="J6432" i="1"/>
  <c r="K6432" i="1"/>
  <c r="L6432" i="1"/>
  <c r="A6433" i="1"/>
  <c r="B6433" i="1"/>
  <c r="C6433" i="1"/>
  <c r="D6433" i="1"/>
  <c r="Q6433" i="1"/>
  <c r="R6433" i="1"/>
  <c r="E6433" i="1"/>
  <c r="G6433" i="1"/>
  <c r="H6433" i="1"/>
  <c r="J6433" i="1"/>
  <c r="K6433" i="1"/>
  <c r="L6433" i="1"/>
  <c r="A6434" i="1"/>
  <c r="B6434" i="1"/>
  <c r="C6434" i="1"/>
  <c r="D6434" i="1"/>
  <c r="Q6434" i="1"/>
  <c r="R6434" i="1"/>
  <c r="E6434" i="1"/>
  <c r="G6434" i="1"/>
  <c r="H6434" i="1"/>
  <c r="J6434" i="1"/>
  <c r="K6434" i="1"/>
  <c r="L6434" i="1"/>
  <c r="A6435" i="1"/>
  <c r="B6435" i="1"/>
  <c r="C6435" i="1"/>
  <c r="D6435" i="1"/>
  <c r="Q6435" i="1"/>
  <c r="R6435" i="1"/>
  <c r="E6435" i="1"/>
  <c r="G6435" i="1"/>
  <c r="H6435" i="1"/>
  <c r="J6435" i="1"/>
  <c r="K6435" i="1"/>
  <c r="L6435" i="1"/>
  <c r="A6436" i="1"/>
  <c r="B6436" i="1"/>
  <c r="C6436" i="1"/>
  <c r="D6436" i="1"/>
  <c r="Q6436" i="1"/>
  <c r="R6436" i="1"/>
  <c r="E6436" i="1"/>
  <c r="G6436" i="1"/>
  <c r="H6436" i="1"/>
  <c r="J6436" i="1"/>
  <c r="K6436" i="1"/>
  <c r="L6436" i="1"/>
  <c r="A6437" i="1"/>
  <c r="B6437" i="1"/>
  <c r="C6437" i="1"/>
  <c r="D6437" i="1"/>
  <c r="Q6437" i="1"/>
  <c r="R6437" i="1"/>
  <c r="E6437" i="1"/>
  <c r="G6437" i="1"/>
  <c r="H6437" i="1"/>
  <c r="J6437" i="1"/>
  <c r="K6437" i="1"/>
  <c r="L6437" i="1"/>
  <c r="A6438" i="1"/>
  <c r="B6438" i="1"/>
  <c r="C6438" i="1"/>
  <c r="D6438" i="1"/>
  <c r="Q6438" i="1"/>
  <c r="R6438" i="1"/>
  <c r="E6438" i="1"/>
  <c r="G6438" i="1"/>
  <c r="H6438" i="1"/>
  <c r="J6438" i="1"/>
  <c r="K6438" i="1"/>
  <c r="L6438" i="1"/>
  <c r="A6439" i="1"/>
  <c r="B6439" i="1"/>
  <c r="C6439" i="1"/>
  <c r="D6439" i="1"/>
  <c r="Q6439" i="1"/>
  <c r="R6439" i="1"/>
  <c r="E6439" i="1"/>
  <c r="G6439" i="1"/>
  <c r="H6439" i="1"/>
  <c r="J6439" i="1"/>
  <c r="K6439" i="1"/>
  <c r="L6439" i="1"/>
  <c r="A6440" i="1"/>
  <c r="B6440" i="1"/>
  <c r="C6440" i="1"/>
  <c r="D6440" i="1"/>
  <c r="Q6440" i="1"/>
  <c r="R6440" i="1"/>
  <c r="E6440" i="1"/>
  <c r="G6440" i="1"/>
  <c r="H6440" i="1"/>
  <c r="J6440" i="1"/>
  <c r="K6440" i="1"/>
  <c r="L6440" i="1"/>
  <c r="A6441" i="1"/>
  <c r="B6441" i="1"/>
  <c r="C6441" i="1"/>
  <c r="D6441" i="1"/>
  <c r="Q6441" i="1"/>
  <c r="R6441" i="1"/>
  <c r="E6441" i="1"/>
  <c r="G6441" i="1"/>
  <c r="H6441" i="1"/>
  <c r="J6441" i="1"/>
  <c r="K6441" i="1"/>
  <c r="L6441" i="1"/>
  <c r="A6442" i="1"/>
  <c r="B6442" i="1"/>
  <c r="C6442" i="1"/>
  <c r="D6442" i="1"/>
  <c r="Q6442" i="1"/>
  <c r="R6442" i="1"/>
  <c r="E6442" i="1"/>
  <c r="G6442" i="1"/>
  <c r="H6442" i="1"/>
  <c r="J6442" i="1"/>
  <c r="K6442" i="1"/>
  <c r="L6442" i="1"/>
  <c r="A6443" i="1"/>
  <c r="B6443" i="1"/>
  <c r="C6443" i="1"/>
  <c r="D6443" i="1"/>
  <c r="Q6443" i="1"/>
  <c r="R6443" i="1"/>
  <c r="E6443" i="1"/>
  <c r="G6443" i="1"/>
  <c r="H6443" i="1"/>
  <c r="J6443" i="1"/>
  <c r="K6443" i="1"/>
  <c r="L6443" i="1"/>
  <c r="A6444" i="1"/>
  <c r="B6444" i="1"/>
  <c r="C6444" i="1"/>
  <c r="D6444" i="1"/>
  <c r="Q6444" i="1"/>
  <c r="R6444" i="1"/>
  <c r="E6444" i="1"/>
  <c r="G6444" i="1"/>
  <c r="H6444" i="1"/>
  <c r="J6444" i="1"/>
  <c r="K6444" i="1"/>
  <c r="L6444" i="1"/>
  <c r="A6445" i="1"/>
  <c r="B6445" i="1"/>
  <c r="C6445" i="1"/>
  <c r="D6445" i="1"/>
  <c r="Q6445" i="1"/>
  <c r="R6445" i="1"/>
  <c r="E6445" i="1"/>
  <c r="G6445" i="1"/>
  <c r="H6445" i="1"/>
  <c r="J6445" i="1"/>
  <c r="K6445" i="1"/>
  <c r="L6445" i="1"/>
  <c r="A6446" i="1"/>
  <c r="B6446" i="1"/>
  <c r="C6446" i="1"/>
  <c r="D6446" i="1"/>
  <c r="Q6446" i="1"/>
  <c r="R6446" i="1"/>
  <c r="E6446" i="1"/>
  <c r="G6446" i="1"/>
  <c r="H6446" i="1"/>
  <c r="J6446" i="1"/>
  <c r="K6446" i="1"/>
  <c r="L6446" i="1"/>
  <c r="A6447" i="1"/>
  <c r="B6447" i="1"/>
  <c r="C6447" i="1"/>
  <c r="D6447" i="1"/>
  <c r="Q6447" i="1"/>
  <c r="R6447" i="1"/>
  <c r="E6447" i="1"/>
  <c r="G6447" i="1"/>
  <c r="H6447" i="1"/>
  <c r="J6447" i="1"/>
  <c r="K6447" i="1"/>
  <c r="L6447" i="1"/>
  <c r="A6448" i="1"/>
  <c r="B6448" i="1"/>
  <c r="C6448" i="1"/>
  <c r="D6448" i="1"/>
  <c r="Q6448" i="1"/>
  <c r="R6448" i="1"/>
  <c r="E6448" i="1"/>
  <c r="G6448" i="1"/>
  <c r="H6448" i="1"/>
  <c r="J6448" i="1"/>
  <c r="K6448" i="1"/>
  <c r="L6448" i="1"/>
  <c r="A6449" i="1"/>
  <c r="B6449" i="1"/>
  <c r="C6449" i="1"/>
  <c r="D6449" i="1"/>
  <c r="Q6449" i="1"/>
  <c r="R6449" i="1"/>
  <c r="E6449" i="1"/>
  <c r="G6449" i="1"/>
  <c r="H6449" i="1"/>
  <c r="J6449" i="1"/>
  <c r="K6449" i="1"/>
  <c r="L6449" i="1"/>
  <c r="A6450" i="1"/>
  <c r="B6450" i="1"/>
  <c r="C6450" i="1"/>
  <c r="D6450" i="1"/>
  <c r="Q6450" i="1"/>
  <c r="R6450" i="1"/>
  <c r="E6450" i="1"/>
  <c r="G6450" i="1"/>
  <c r="H6450" i="1"/>
  <c r="J6450" i="1"/>
  <c r="K6450" i="1"/>
  <c r="L6450" i="1"/>
  <c r="A6451" i="1"/>
  <c r="B6451" i="1"/>
  <c r="C6451" i="1"/>
  <c r="D6451" i="1"/>
  <c r="Q6451" i="1"/>
  <c r="R6451" i="1"/>
  <c r="E6451" i="1"/>
  <c r="G6451" i="1"/>
  <c r="H6451" i="1"/>
  <c r="J6451" i="1"/>
  <c r="K6451" i="1"/>
  <c r="L6451" i="1"/>
  <c r="A6452" i="1"/>
  <c r="B6452" i="1"/>
  <c r="C6452" i="1"/>
  <c r="D6452" i="1"/>
  <c r="Q6452" i="1"/>
  <c r="R6452" i="1"/>
  <c r="E6452" i="1"/>
  <c r="G6452" i="1"/>
  <c r="H6452" i="1"/>
  <c r="J6452" i="1"/>
  <c r="K6452" i="1"/>
  <c r="L6452" i="1"/>
  <c r="A6453" i="1"/>
  <c r="B6453" i="1"/>
  <c r="C6453" i="1"/>
  <c r="D6453" i="1"/>
  <c r="Q6453" i="1"/>
  <c r="R6453" i="1"/>
  <c r="E6453" i="1"/>
  <c r="G6453" i="1"/>
  <c r="H6453" i="1"/>
  <c r="J6453" i="1"/>
  <c r="K6453" i="1"/>
  <c r="L6453" i="1"/>
  <c r="A6454" i="1"/>
  <c r="B6454" i="1"/>
  <c r="C6454" i="1"/>
  <c r="D6454" i="1"/>
  <c r="Q6454" i="1"/>
  <c r="R6454" i="1"/>
  <c r="E6454" i="1"/>
  <c r="G6454" i="1"/>
  <c r="H6454" i="1"/>
  <c r="J6454" i="1"/>
  <c r="K6454" i="1"/>
  <c r="L6454" i="1"/>
  <c r="A6455" i="1"/>
  <c r="B6455" i="1"/>
  <c r="C6455" i="1"/>
  <c r="D6455" i="1"/>
  <c r="Q6455" i="1"/>
  <c r="R6455" i="1"/>
  <c r="E6455" i="1"/>
  <c r="G6455" i="1"/>
  <c r="H6455" i="1"/>
  <c r="J6455" i="1"/>
  <c r="K6455" i="1"/>
  <c r="L6455" i="1"/>
  <c r="A6456" i="1"/>
  <c r="B6456" i="1"/>
  <c r="C6456" i="1"/>
  <c r="D6456" i="1"/>
  <c r="Q6456" i="1"/>
  <c r="R6456" i="1"/>
  <c r="E6456" i="1"/>
  <c r="G6456" i="1"/>
  <c r="H6456" i="1"/>
  <c r="J6456" i="1"/>
  <c r="K6456" i="1"/>
  <c r="L6456" i="1"/>
  <c r="A6457" i="1"/>
  <c r="B6457" i="1"/>
  <c r="C6457" i="1"/>
  <c r="D6457" i="1"/>
  <c r="Q6457" i="1"/>
  <c r="R6457" i="1"/>
  <c r="E6457" i="1"/>
  <c r="G6457" i="1"/>
  <c r="H6457" i="1"/>
  <c r="J6457" i="1"/>
  <c r="K6457" i="1"/>
  <c r="L6457" i="1"/>
  <c r="A6458" i="1"/>
  <c r="B6458" i="1"/>
  <c r="C6458" i="1"/>
  <c r="D6458" i="1"/>
  <c r="Q6458" i="1"/>
  <c r="R6458" i="1"/>
  <c r="E6458" i="1"/>
  <c r="G6458" i="1"/>
  <c r="H6458" i="1"/>
  <c r="J6458" i="1"/>
  <c r="K6458" i="1"/>
  <c r="L6458" i="1"/>
  <c r="A6459" i="1"/>
  <c r="B6459" i="1"/>
  <c r="C6459" i="1"/>
  <c r="D6459" i="1"/>
  <c r="Q6459" i="1"/>
  <c r="R6459" i="1"/>
  <c r="E6459" i="1"/>
  <c r="G6459" i="1"/>
  <c r="H6459" i="1"/>
  <c r="J6459" i="1"/>
  <c r="K6459" i="1"/>
  <c r="L6459" i="1"/>
  <c r="A6460" i="1"/>
  <c r="B6460" i="1"/>
  <c r="C6460" i="1"/>
  <c r="D6460" i="1"/>
  <c r="Q6460" i="1"/>
  <c r="R6460" i="1"/>
  <c r="E6460" i="1"/>
  <c r="G6460" i="1"/>
  <c r="H6460" i="1"/>
  <c r="J6460" i="1"/>
  <c r="K6460" i="1"/>
  <c r="L6460" i="1"/>
  <c r="A6461" i="1"/>
  <c r="B6461" i="1"/>
  <c r="C6461" i="1"/>
  <c r="D6461" i="1"/>
  <c r="Q6461" i="1"/>
  <c r="R6461" i="1"/>
  <c r="E6461" i="1"/>
  <c r="G6461" i="1"/>
  <c r="H6461" i="1"/>
  <c r="J6461" i="1"/>
  <c r="K6461" i="1"/>
  <c r="L6461" i="1"/>
  <c r="A6462" i="1"/>
  <c r="B6462" i="1"/>
  <c r="C6462" i="1"/>
  <c r="D6462" i="1"/>
  <c r="Q6462" i="1"/>
  <c r="R6462" i="1"/>
  <c r="E6462" i="1"/>
  <c r="G6462" i="1"/>
  <c r="H6462" i="1"/>
  <c r="J6462" i="1"/>
  <c r="K6462" i="1"/>
  <c r="L6462" i="1"/>
  <c r="A6463" i="1"/>
  <c r="B6463" i="1"/>
  <c r="C6463" i="1"/>
  <c r="D6463" i="1"/>
  <c r="Q6463" i="1"/>
  <c r="R6463" i="1"/>
  <c r="E6463" i="1"/>
  <c r="G6463" i="1"/>
  <c r="H6463" i="1"/>
  <c r="J6463" i="1"/>
  <c r="K6463" i="1"/>
  <c r="L6463" i="1"/>
  <c r="A6464" i="1"/>
  <c r="B6464" i="1"/>
  <c r="C6464" i="1"/>
  <c r="D6464" i="1"/>
  <c r="Q6464" i="1"/>
  <c r="R6464" i="1"/>
  <c r="E6464" i="1"/>
  <c r="G6464" i="1"/>
  <c r="H6464" i="1"/>
  <c r="J6464" i="1"/>
  <c r="K6464" i="1"/>
  <c r="L6464" i="1"/>
  <c r="A6465" i="1"/>
  <c r="B6465" i="1"/>
  <c r="C6465" i="1"/>
  <c r="D6465" i="1"/>
  <c r="Q6465" i="1"/>
  <c r="R6465" i="1"/>
  <c r="E6465" i="1"/>
  <c r="G6465" i="1"/>
  <c r="H6465" i="1"/>
  <c r="J6465" i="1"/>
  <c r="K6465" i="1"/>
  <c r="L6465" i="1"/>
  <c r="A6466" i="1"/>
  <c r="B6466" i="1"/>
  <c r="C6466" i="1"/>
  <c r="D6466" i="1"/>
  <c r="Q6466" i="1"/>
  <c r="R6466" i="1"/>
  <c r="E6466" i="1"/>
  <c r="G6466" i="1"/>
  <c r="H6466" i="1"/>
  <c r="J6466" i="1"/>
  <c r="K6466" i="1"/>
  <c r="L6466" i="1"/>
  <c r="A6467" i="1"/>
  <c r="B6467" i="1"/>
  <c r="C6467" i="1"/>
  <c r="D6467" i="1"/>
  <c r="Q6467" i="1"/>
  <c r="R6467" i="1"/>
  <c r="E6467" i="1"/>
  <c r="G6467" i="1"/>
  <c r="H6467" i="1"/>
  <c r="J6467" i="1"/>
  <c r="K6467" i="1"/>
  <c r="L6467" i="1"/>
  <c r="A6468" i="1"/>
  <c r="B6468" i="1"/>
  <c r="C6468" i="1"/>
  <c r="D6468" i="1"/>
  <c r="Q6468" i="1"/>
  <c r="R6468" i="1"/>
  <c r="E6468" i="1"/>
  <c r="G6468" i="1"/>
  <c r="H6468" i="1"/>
  <c r="J6468" i="1"/>
  <c r="K6468" i="1"/>
  <c r="L6468" i="1"/>
  <c r="A6469" i="1"/>
  <c r="B6469" i="1"/>
  <c r="C6469" i="1"/>
  <c r="D6469" i="1"/>
  <c r="Q6469" i="1"/>
  <c r="R6469" i="1"/>
  <c r="E6469" i="1"/>
  <c r="G6469" i="1"/>
  <c r="H6469" i="1"/>
  <c r="J6469" i="1"/>
  <c r="K6469" i="1"/>
  <c r="L6469" i="1"/>
  <c r="A6470" i="1"/>
  <c r="B6470" i="1"/>
  <c r="C6470" i="1"/>
  <c r="D6470" i="1"/>
  <c r="Q6470" i="1"/>
  <c r="R6470" i="1"/>
  <c r="E6470" i="1"/>
  <c r="G6470" i="1"/>
  <c r="H6470" i="1"/>
  <c r="J6470" i="1"/>
  <c r="K6470" i="1"/>
  <c r="L6470" i="1"/>
  <c r="A6471" i="1"/>
  <c r="B6471" i="1"/>
  <c r="C6471" i="1"/>
  <c r="D6471" i="1"/>
  <c r="Q6471" i="1"/>
  <c r="R6471" i="1"/>
  <c r="E6471" i="1"/>
  <c r="G6471" i="1"/>
  <c r="H6471" i="1"/>
  <c r="J6471" i="1"/>
  <c r="K6471" i="1"/>
  <c r="L6471" i="1"/>
  <c r="A6472" i="1"/>
  <c r="B6472" i="1"/>
  <c r="C6472" i="1"/>
  <c r="D6472" i="1"/>
  <c r="Q6472" i="1"/>
  <c r="R6472" i="1"/>
  <c r="E6472" i="1"/>
  <c r="G6472" i="1"/>
  <c r="H6472" i="1"/>
  <c r="J6472" i="1"/>
  <c r="K6472" i="1"/>
  <c r="L6472" i="1"/>
  <c r="A6473" i="1"/>
  <c r="B6473" i="1"/>
  <c r="C6473" i="1"/>
  <c r="D6473" i="1"/>
  <c r="Q6473" i="1"/>
  <c r="R6473" i="1"/>
  <c r="E6473" i="1"/>
  <c r="G6473" i="1"/>
  <c r="H6473" i="1"/>
  <c r="J6473" i="1"/>
  <c r="K6473" i="1"/>
  <c r="L6473" i="1"/>
  <c r="A6474" i="1"/>
  <c r="B6474" i="1"/>
  <c r="C6474" i="1"/>
  <c r="D6474" i="1"/>
  <c r="Q6474" i="1"/>
  <c r="R6474" i="1"/>
  <c r="E6474" i="1"/>
  <c r="G6474" i="1"/>
  <c r="H6474" i="1"/>
  <c r="J6474" i="1"/>
  <c r="K6474" i="1"/>
  <c r="L6474" i="1"/>
  <c r="A6475" i="1"/>
  <c r="B6475" i="1"/>
  <c r="C6475" i="1"/>
  <c r="D6475" i="1"/>
  <c r="Q6475" i="1"/>
  <c r="R6475" i="1"/>
  <c r="E6475" i="1"/>
  <c r="G6475" i="1"/>
  <c r="H6475" i="1"/>
  <c r="J6475" i="1"/>
  <c r="K6475" i="1"/>
  <c r="L6475" i="1"/>
  <c r="A6476" i="1"/>
  <c r="B6476" i="1"/>
  <c r="C6476" i="1"/>
  <c r="D6476" i="1"/>
  <c r="Q6476" i="1"/>
  <c r="R6476" i="1"/>
  <c r="E6476" i="1"/>
  <c r="G6476" i="1"/>
  <c r="H6476" i="1"/>
  <c r="J6476" i="1"/>
  <c r="K6476" i="1"/>
  <c r="L6476" i="1"/>
  <c r="A6477" i="1"/>
  <c r="B6477" i="1"/>
  <c r="C6477" i="1"/>
  <c r="D6477" i="1"/>
  <c r="Q6477" i="1"/>
  <c r="R6477" i="1"/>
  <c r="E6477" i="1"/>
  <c r="G6477" i="1"/>
  <c r="H6477" i="1"/>
  <c r="J6477" i="1"/>
  <c r="K6477" i="1"/>
  <c r="L6477" i="1"/>
  <c r="A6478" i="1"/>
  <c r="B6478" i="1"/>
  <c r="C6478" i="1"/>
  <c r="D6478" i="1"/>
  <c r="Q6478" i="1"/>
  <c r="R6478" i="1"/>
  <c r="E6478" i="1"/>
  <c r="G6478" i="1"/>
  <c r="H6478" i="1"/>
  <c r="J6478" i="1"/>
  <c r="K6478" i="1"/>
  <c r="L6478" i="1"/>
  <c r="A6479" i="1"/>
  <c r="B6479" i="1"/>
  <c r="C6479" i="1"/>
  <c r="D6479" i="1"/>
  <c r="Q6479" i="1"/>
  <c r="R6479" i="1"/>
  <c r="E6479" i="1"/>
  <c r="G6479" i="1"/>
  <c r="H6479" i="1"/>
  <c r="J6479" i="1"/>
  <c r="K6479" i="1"/>
  <c r="L6479" i="1"/>
  <c r="A6480" i="1"/>
  <c r="B6480" i="1"/>
  <c r="C6480" i="1"/>
  <c r="D6480" i="1"/>
  <c r="Q6480" i="1"/>
  <c r="R6480" i="1"/>
  <c r="E6480" i="1"/>
  <c r="G6480" i="1"/>
  <c r="H6480" i="1"/>
  <c r="J6480" i="1"/>
  <c r="K6480" i="1"/>
  <c r="L6480" i="1"/>
  <c r="A6481" i="1"/>
  <c r="B6481" i="1"/>
  <c r="C6481" i="1"/>
  <c r="D6481" i="1"/>
  <c r="Q6481" i="1"/>
  <c r="R6481" i="1"/>
  <c r="E6481" i="1"/>
  <c r="G6481" i="1"/>
  <c r="H6481" i="1"/>
  <c r="J6481" i="1"/>
  <c r="K6481" i="1"/>
  <c r="L6481" i="1"/>
  <c r="A6482" i="1"/>
  <c r="B6482" i="1"/>
  <c r="C6482" i="1"/>
  <c r="D6482" i="1"/>
  <c r="Q6482" i="1"/>
  <c r="R6482" i="1"/>
  <c r="E6482" i="1"/>
  <c r="G6482" i="1"/>
  <c r="H6482" i="1"/>
  <c r="J6482" i="1"/>
  <c r="K6482" i="1"/>
  <c r="L6482" i="1"/>
  <c r="A6483" i="1"/>
  <c r="B6483" i="1"/>
  <c r="C6483" i="1"/>
  <c r="D6483" i="1"/>
  <c r="Q6483" i="1"/>
  <c r="R6483" i="1"/>
  <c r="E6483" i="1"/>
  <c r="G6483" i="1"/>
  <c r="H6483" i="1"/>
  <c r="J6483" i="1"/>
  <c r="K6483" i="1"/>
  <c r="L6483" i="1"/>
  <c r="A6484" i="1"/>
  <c r="B6484" i="1"/>
  <c r="C6484" i="1"/>
  <c r="D6484" i="1"/>
  <c r="Q6484" i="1"/>
  <c r="R6484" i="1"/>
  <c r="E6484" i="1"/>
  <c r="G6484" i="1"/>
  <c r="H6484" i="1"/>
  <c r="J6484" i="1"/>
  <c r="K6484" i="1"/>
  <c r="L6484" i="1"/>
  <c r="A6485" i="1"/>
  <c r="B6485" i="1"/>
  <c r="C6485" i="1"/>
  <c r="D6485" i="1"/>
  <c r="Q6485" i="1"/>
  <c r="R6485" i="1"/>
  <c r="E6485" i="1"/>
  <c r="G6485" i="1"/>
  <c r="H6485" i="1"/>
  <c r="J6485" i="1"/>
  <c r="K6485" i="1"/>
  <c r="L6485" i="1"/>
  <c r="A6486" i="1"/>
  <c r="B6486" i="1"/>
  <c r="C6486" i="1"/>
  <c r="D6486" i="1"/>
  <c r="Q6486" i="1"/>
  <c r="R6486" i="1"/>
  <c r="E6486" i="1"/>
  <c r="G6486" i="1"/>
  <c r="H6486" i="1"/>
  <c r="J6486" i="1"/>
  <c r="K6486" i="1"/>
  <c r="L6486" i="1"/>
  <c r="A6487" i="1"/>
  <c r="B6487" i="1"/>
  <c r="C6487" i="1"/>
  <c r="D6487" i="1"/>
  <c r="Q6487" i="1"/>
  <c r="R6487" i="1"/>
  <c r="E6487" i="1"/>
  <c r="G6487" i="1"/>
  <c r="H6487" i="1"/>
  <c r="J6487" i="1"/>
  <c r="K6487" i="1"/>
  <c r="L6487" i="1"/>
  <c r="A6488" i="1"/>
  <c r="B6488" i="1"/>
  <c r="C6488" i="1"/>
  <c r="D6488" i="1"/>
  <c r="Q6488" i="1"/>
  <c r="R6488" i="1"/>
  <c r="E6488" i="1"/>
  <c r="G6488" i="1"/>
  <c r="H6488" i="1"/>
  <c r="J6488" i="1"/>
  <c r="K6488" i="1"/>
  <c r="L6488" i="1"/>
  <c r="A6489" i="1"/>
  <c r="B6489" i="1"/>
  <c r="C6489" i="1"/>
  <c r="D6489" i="1"/>
  <c r="Q6489" i="1"/>
  <c r="R6489" i="1"/>
  <c r="E6489" i="1"/>
  <c r="G6489" i="1"/>
  <c r="H6489" i="1"/>
  <c r="J6489" i="1"/>
  <c r="K6489" i="1"/>
  <c r="L6489" i="1"/>
  <c r="A6490" i="1"/>
  <c r="B6490" i="1"/>
  <c r="C6490" i="1"/>
  <c r="D6490" i="1"/>
  <c r="Q6490" i="1"/>
  <c r="R6490" i="1"/>
  <c r="E6490" i="1"/>
  <c r="G6490" i="1"/>
  <c r="H6490" i="1"/>
  <c r="J6490" i="1"/>
  <c r="K6490" i="1"/>
  <c r="L6490" i="1"/>
  <c r="A6491" i="1"/>
  <c r="B6491" i="1"/>
  <c r="C6491" i="1"/>
  <c r="D6491" i="1"/>
  <c r="Q6491" i="1"/>
  <c r="R6491" i="1"/>
  <c r="E6491" i="1"/>
  <c r="G6491" i="1"/>
  <c r="H6491" i="1"/>
  <c r="J6491" i="1"/>
  <c r="K6491" i="1"/>
  <c r="L6491" i="1"/>
  <c r="A6492" i="1"/>
  <c r="B6492" i="1"/>
  <c r="C6492" i="1"/>
  <c r="D6492" i="1"/>
  <c r="Q6492" i="1"/>
  <c r="R6492" i="1"/>
  <c r="E6492" i="1"/>
  <c r="G6492" i="1"/>
  <c r="H6492" i="1"/>
  <c r="J6492" i="1"/>
  <c r="K6492" i="1"/>
  <c r="L6492" i="1"/>
  <c r="A6493" i="1"/>
  <c r="B6493" i="1"/>
  <c r="C6493" i="1"/>
  <c r="D6493" i="1"/>
  <c r="Q6493" i="1"/>
  <c r="R6493" i="1"/>
  <c r="E6493" i="1"/>
  <c r="G6493" i="1"/>
  <c r="H6493" i="1"/>
  <c r="J6493" i="1"/>
  <c r="K6493" i="1"/>
  <c r="L6493" i="1"/>
  <c r="A6494" i="1"/>
  <c r="B6494" i="1"/>
  <c r="C6494" i="1"/>
  <c r="D6494" i="1"/>
  <c r="Q6494" i="1"/>
  <c r="R6494" i="1"/>
  <c r="E6494" i="1"/>
  <c r="G6494" i="1"/>
  <c r="H6494" i="1"/>
  <c r="J6494" i="1"/>
  <c r="K6494" i="1"/>
  <c r="L6494" i="1"/>
  <c r="A6495" i="1"/>
  <c r="B6495" i="1"/>
  <c r="C6495" i="1"/>
  <c r="D6495" i="1"/>
  <c r="Q6495" i="1"/>
  <c r="R6495" i="1"/>
  <c r="E6495" i="1"/>
  <c r="G6495" i="1"/>
  <c r="H6495" i="1"/>
  <c r="J6495" i="1"/>
  <c r="K6495" i="1"/>
  <c r="L6495" i="1"/>
  <c r="A6496" i="1"/>
  <c r="B6496" i="1"/>
  <c r="C6496" i="1"/>
  <c r="D6496" i="1"/>
  <c r="Q6496" i="1"/>
  <c r="R6496" i="1"/>
  <c r="E6496" i="1"/>
  <c r="G6496" i="1"/>
  <c r="H6496" i="1"/>
  <c r="J6496" i="1"/>
  <c r="K6496" i="1"/>
  <c r="L6496" i="1"/>
  <c r="A6497" i="1"/>
  <c r="B6497" i="1"/>
  <c r="C6497" i="1"/>
  <c r="D6497" i="1"/>
  <c r="Q6497" i="1"/>
  <c r="R6497" i="1"/>
  <c r="E6497" i="1"/>
  <c r="G6497" i="1"/>
  <c r="H6497" i="1"/>
  <c r="J6497" i="1"/>
  <c r="K6497" i="1"/>
  <c r="L6497" i="1"/>
  <c r="A6498" i="1"/>
  <c r="B6498" i="1"/>
  <c r="C6498" i="1"/>
  <c r="D6498" i="1"/>
  <c r="Q6498" i="1"/>
  <c r="R6498" i="1"/>
  <c r="E6498" i="1"/>
  <c r="G6498" i="1"/>
  <c r="H6498" i="1"/>
  <c r="J6498" i="1"/>
  <c r="K6498" i="1"/>
  <c r="L6498" i="1"/>
  <c r="A6499" i="1"/>
  <c r="B6499" i="1"/>
  <c r="C6499" i="1"/>
  <c r="D6499" i="1"/>
  <c r="Q6499" i="1"/>
  <c r="R6499" i="1"/>
  <c r="E6499" i="1"/>
  <c r="G6499" i="1"/>
  <c r="H6499" i="1"/>
  <c r="J6499" i="1"/>
  <c r="K6499" i="1"/>
  <c r="L6499" i="1"/>
  <c r="A6500" i="1"/>
  <c r="B6500" i="1"/>
  <c r="C6500" i="1"/>
  <c r="D6500" i="1"/>
  <c r="Q6500" i="1"/>
  <c r="R6500" i="1"/>
  <c r="E6500" i="1"/>
  <c r="G6500" i="1"/>
  <c r="H6500" i="1"/>
  <c r="J6500" i="1"/>
  <c r="K6500" i="1"/>
  <c r="L6500" i="1"/>
  <c r="A6501" i="1"/>
  <c r="B6501" i="1"/>
  <c r="C6501" i="1"/>
  <c r="D6501" i="1"/>
  <c r="Q6501" i="1"/>
  <c r="R6501" i="1"/>
  <c r="E6501" i="1"/>
  <c r="G6501" i="1"/>
  <c r="H6501" i="1"/>
  <c r="J6501" i="1"/>
  <c r="K6501" i="1"/>
  <c r="L6501" i="1"/>
  <c r="A6502" i="1"/>
  <c r="B6502" i="1"/>
  <c r="C6502" i="1"/>
  <c r="D6502" i="1"/>
  <c r="Q6502" i="1"/>
  <c r="R6502" i="1"/>
  <c r="E6502" i="1"/>
  <c r="G6502" i="1"/>
  <c r="H6502" i="1"/>
  <c r="J6502" i="1"/>
  <c r="K6502" i="1"/>
  <c r="L6502" i="1"/>
  <c r="A6503" i="1"/>
  <c r="B6503" i="1"/>
  <c r="C6503" i="1"/>
  <c r="D6503" i="1"/>
  <c r="Q6503" i="1"/>
  <c r="R6503" i="1"/>
  <c r="E6503" i="1"/>
  <c r="G6503" i="1"/>
  <c r="H6503" i="1"/>
  <c r="J6503" i="1"/>
  <c r="K6503" i="1"/>
  <c r="L6503" i="1"/>
  <c r="A6504" i="1"/>
  <c r="B6504" i="1"/>
  <c r="C6504" i="1"/>
  <c r="D6504" i="1"/>
  <c r="Q6504" i="1"/>
  <c r="R6504" i="1"/>
  <c r="E6504" i="1"/>
  <c r="G6504" i="1"/>
  <c r="H6504" i="1"/>
  <c r="J6504" i="1"/>
  <c r="K6504" i="1"/>
  <c r="L6504" i="1"/>
  <c r="A6505" i="1"/>
  <c r="B6505" i="1"/>
  <c r="C6505" i="1"/>
  <c r="D6505" i="1"/>
  <c r="Q6505" i="1"/>
  <c r="R6505" i="1"/>
  <c r="E6505" i="1"/>
  <c r="G6505" i="1"/>
  <c r="H6505" i="1"/>
  <c r="J6505" i="1"/>
  <c r="K6505" i="1"/>
  <c r="L6505" i="1"/>
  <c r="A6506" i="1"/>
  <c r="B6506" i="1"/>
  <c r="C6506" i="1"/>
  <c r="D6506" i="1"/>
  <c r="Q6506" i="1"/>
  <c r="R6506" i="1"/>
  <c r="E6506" i="1"/>
  <c r="G6506" i="1"/>
  <c r="H6506" i="1"/>
  <c r="J6506" i="1"/>
  <c r="K6506" i="1"/>
  <c r="L6506" i="1"/>
  <c r="A6507" i="1"/>
  <c r="B6507" i="1"/>
  <c r="C6507" i="1"/>
  <c r="D6507" i="1"/>
  <c r="Q6507" i="1"/>
  <c r="R6507" i="1"/>
  <c r="E6507" i="1"/>
  <c r="G6507" i="1"/>
  <c r="H6507" i="1"/>
  <c r="J6507" i="1"/>
  <c r="K6507" i="1"/>
  <c r="L6507" i="1"/>
  <c r="A6508" i="1"/>
  <c r="B6508" i="1"/>
  <c r="C6508" i="1"/>
  <c r="D6508" i="1"/>
  <c r="Q6508" i="1"/>
  <c r="R6508" i="1"/>
  <c r="E6508" i="1"/>
  <c r="G6508" i="1"/>
  <c r="H6508" i="1"/>
  <c r="J6508" i="1"/>
  <c r="K6508" i="1"/>
  <c r="L6508" i="1"/>
  <c r="A6509" i="1"/>
  <c r="B6509" i="1"/>
  <c r="C6509" i="1"/>
  <c r="D6509" i="1"/>
  <c r="Q6509" i="1"/>
  <c r="R6509" i="1"/>
  <c r="E6509" i="1"/>
  <c r="G6509" i="1"/>
  <c r="H6509" i="1"/>
  <c r="J6509" i="1"/>
  <c r="K6509" i="1"/>
  <c r="L6509" i="1"/>
  <c r="A6510" i="1"/>
  <c r="B6510" i="1"/>
  <c r="C6510" i="1"/>
  <c r="D6510" i="1"/>
  <c r="Q6510" i="1"/>
  <c r="R6510" i="1"/>
  <c r="E6510" i="1"/>
  <c r="G6510" i="1"/>
  <c r="H6510" i="1"/>
  <c r="J6510" i="1"/>
  <c r="K6510" i="1"/>
  <c r="L6510" i="1"/>
  <c r="A6511" i="1"/>
  <c r="B6511" i="1"/>
  <c r="C6511" i="1"/>
  <c r="D6511" i="1"/>
  <c r="Q6511" i="1"/>
  <c r="R6511" i="1"/>
  <c r="E6511" i="1"/>
  <c r="G6511" i="1"/>
  <c r="H6511" i="1"/>
  <c r="J6511" i="1"/>
  <c r="K6511" i="1"/>
  <c r="L6511" i="1"/>
  <c r="A6512" i="1"/>
  <c r="B6512" i="1"/>
  <c r="C6512" i="1"/>
  <c r="D6512" i="1"/>
  <c r="Q6512" i="1"/>
  <c r="R6512" i="1"/>
  <c r="E6512" i="1"/>
  <c r="G6512" i="1"/>
  <c r="H6512" i="1"/>
  <c r="J6512" i="1"/>
  <c r="K6512" i="1"/>
  <c r="L6512" i="1"/>
  <c r="A6513" i="1"/>
  <c r="B6513" i="1"/>
  <c r="C6513" i="1"/>
  <c r="D6513" i="1"/>
  <c r="Q6513" i="1"/>
  <c r="R6513" i="1"/>
  <c r="E6513" i="1"/>
  <c r="G6513" i="1"/>
  <c r="H6513" i="1"/>
  <c r="J6513" i="1"/>
  <c r="K6513" i="1"/>
  <c r="L6513" i="1"/>
  <c r="A6514" i="1"/>
  <c r="B6514" i="1"/>
  <c r="C6514" i="1"/>
  <c r="D6514" i="1"/>
  <c r="Q6514" i="1"/>
  <c r="R6514" i="1"/>
  <c r="E6514" i="1"/>
  <c r="G6514" i="1"/>
  <c r="H6514" i="1"/>
  <c r="J6514" i="1"/>
  <c r="K6514" i="1"/>
  <c r="L6514" i="1"/>
  <c r="A6515" i="1"/>
  <c r="B6515" i="1"/>
  <c r="C6515" i="1"/>
  <c r="D6515" i="1"/>
  <c r="Q6515" i="1"/>
  <c r="R6515" i="1"/>
  <c r="E6515" i="1"/>
  <c r="G6515" i="1"/>
  <c r="H6515" i="1"/>
  <c r="J6515" i="1"/>
  <c r="K6515" i="1"/>
  <c r="L6515" i="1"/>
  <c r="A6516" i="1"/>
  <c r="B6516" i="1"/>
  <c r="C6516" i="1"/>
  <c r="D6516" i="1"/>
  <c r="Q6516" i="1"/>
  <c r="R6516" i="1"/>
  <c r="E6516" i="1"/>
  <c r="G6516" i="1"/>
  <c r="H6516" i="1"/>
  <c r="J6516" i="1"/>
  <c r="K6516" i="1"/>
  <c r="L6516" i="1"/>
  <c r="A6517" i="1"/>
  <c r="B6517" i="1"/>
  <c r="C6517" i="1"/>
  <c r="D6517" i="1"/>
  <c r="Q6517" i="1"/>
  <c r="R6517" i="1"/>
  <c r="E6517" i="1"/>
  <c r="G6517" i="1"/>
  <c r="H6517" i="1"/>
  <c r="J6517" i="1"/>
  <c r="K6517" i="1"/>
  <c r="L6517" i="1"/>
  <c r="A6518" i="1"/>
  <c r="B6518" i="1"/>
  <c r="C6518" i="1"/>
  <c r="D6518" i="1"/>
  <c r="Q6518" i="1"/>
  <c r="R6518" i="1"/>
  <c r="E6518" i="1"/>
  <c r="G6518" i="1"/>
  <c r="H6518" i="1"/>
  <c r="J6518" i="1"/>
  <c r="K6518" i="1"/>
  <c r="L6518" i="1"/>
  <c r="A6519" i="1"/>
  <c r="B6519" i="1"/>
  <c r="C6519" i="1"/>
  <c r="D6519" i="1"/>
  <c r="Q6519" i="1"/>
  <c r="R6519" i="1"/>
  <c r="E6519" i="1"/>
  <c r="G6519" i="1"/>
  <c r="H6519" i="1"/>
  <c r="J6519" i="1"/>
  <c r="K6519" i="1"/>
  <c r="L6519" i="1"/>
  <c r="A6520" i="1"/>
  <c r="B6520" i="1"/>
  <c r="C6520" i="1"/>
  <c r="D6520" i="1"/>
  <c r="Q6520" i="1"/>
  <c r="R6520" i="1"/>
  <c r="E6520" i="1"/>
  <c r="G6520" i="1"/>
  <c r="H6520" i="1"/>
  <c r="J6520" i="1"/>
  <c r="K6520" i="1"/>
  <c r="L6520" i="1"/>
  <c r="A6521" i="1"/>
  <c r="B6521" i="1"/>
  <c r="C6521" i="1"/>
  <c r="D6521" i="1"/>
  <c r="Q6521" i="1"/>
  <c r="R6521" i="1"/>
  <c r="E6521" i="1"/>
  <c r="G6521" i="1"/>
  <c r="H6521" i="1"/>
  <c r="J6521" i="1"/>
  <c r="K6521" i="1"/>
  <c r="L6521" i="1"/>
  <c r="A6522" i="1"/>
  <c r="B6522" i="1"/>
  <c r="C6522" i="1"/>
  <c r="D6522" i="1"/>
  <c r="Q6522" i="1"/>
  <c r="R6522" i="1"/>
  <c r="E6522" i="1"/>
  <c r="G6522" i="1"/>
  <c r="H6522" i="1"/>
  <c r="J6522" i="1"/>
  <c r="K6522" i="1"/>
  <c r="L6522" i="1"/>
  <c r="A6523" i="1"/>
  <c r="B6523" i="1"/>
  <c r="C6523" i="1"/>
  <c r="D6523" i="1"/>
  <c r="Q6523" i="1"/>
  <c r="R6523" i="1"/>
  <c r="E6523" i="1"/>
  <c r="G6523" i="1"/>
  <c r="H6523" i="1"/>
  <c r="J6523" i="1"/>
  <c r="K6523" i="1"/>
  <c r="L6523" i="1"/>
  <c r="A6524" i="1"/>
  <c r="B6524" i="1"/>
  <c r="C6524" i="1"/>
  <c r="D6524" i="1"/>
  <c r="Q6524" i="1"/>
  <c r="R6524" i="1"/>
  <c r="E6524" i="1"/>
  <c r="G6524" i="1"/>
  <c r="H6524" i="1"/>
  <c r="J6524" i="1"/>
  <c r="K6524" i="1"/>
  <c r="L6524" i="1"/>
  <c r="A6525" i="1"/>
  <c r="B6525" i="1"/>
  <c r="C6525" i="1"/>
  <c r="D6525" i="1"/>
  <c r="Q6525" i="1"/>
  <c r="R6525" i="1"/>
  <c r="E6525" i="1"/>
  <c r="G6525" i="1"/>
  <c r="H6525" i="1"/>
  <c r="J6525" i="1"/>
  <c r="K6525" i="1"/>
  <c r="L6525" i="1"/>
  <c r="A6526" i="1"/>
  <c r="B6526" i="1"/>
  <c r="C6526" i="1"/>
  <c r="D6526" i="1"/>
  <c r="Q6526" i="1"/>
  <c r="R6526" i="1"/>
  <c r="E6526" i="1"/>
  <c r="G6526" i="1"/>
  <c r="H6526" i="1"/>
  <c r="J6526" i="1"/>
  <c r="K6526" i="1"/>
  <c r="L6526" i="1"/>
  <c r="A6527" i="1"/>
  <c r="B6527" i="1"/>
  <c r="C6527" i="1"/>
  <c r="D6527" i="1"/>
  <c r="Q6527" i="1"/>
  <c r="R6527" i="1"/>
  <c r="E6527" i="1"/>
  <c r="G6527" i="1"/>
  <c r="H6527" i="1"/>
  <c r="J6527" i="1"/>
  <c r="K6527" i="1"/>
  <c r="L6527" i="1"/>
  <c r="A6528" i="1"/>
  <c r="B6528" i="1"/>
  <c r="C6528" i="1"/>
  <c r="D6528" i="1"/>
  <c r="Q6528" i="1"/>
  <c r="R6528" i="1"/>
  <c r="E6528" i="1"/>
  <c r="G6528" i="1"/>
  <c r="H6528" i="1"/>
  <c r="J6528" i="1"/>
  <c r="K6528" i="1"/>
  <c r="L6528" i="1"/>
  <c r="A6529" i="1"/>
  <c r="B6529" i="1"/>
  <c r="C6529" i="1"/>
  <c r="D6529" i="1"/>
  <c r="Q6529" i="1"/>
  <c r="R6529" i="1"/>
  <c r="E6529" i="1"/>
  <c r="G6529" i="1"/>
  <c r="H6529" i="1"/>
  <c r="J6529" i="1"/>
  <c r="K6529" i="1"/>
  <c r="L6529" i="1"/>
  <c r="A6530" i="1"/>
  <c r="B6530" i="1"/>
  <c r="C6530" i="1"/>
  <c r="D6530" i="1"/>
  <c r="Q6530" i="1"/>
  <c r="R6530" i="1"/>
  <c r="E6530" i="1"/>
  <c r="G6530" i="1"/>
  <c r="H6530" i="1"/>
  <c r="J6530" i="1"/>
  <c r="K6530" i="1"/>
  <c r="L6530" i="1"/>
  <c r="A6531" i="1"/>
  <c r="B6531" i="1"/>
  <c r="C6531" i="1"/>
  <c r="D6531" i="1"/>
  <c r="Q6531" i="1"/>
  <c r="R6531" i="1"/>
  <c r="E6531" i="1"/>
  <c r="G6531" i="1"/>
  <c r="H6531" i="1"/>
  <c r="J6531" i="1"/>
  <c r="K6531" i="1"/>
  <c r="L6531" i="1"/>
  <c r="A6532" i="1"/>
  <c r="B6532" i="1"/>
  <c r="C6532" i="1"/>
  <c r="D6532" i="1"/>
  <c r="Q6532" i="1"/>
  <c r="R6532" i="1"/>
  <c r="E6532" i="1"/>
  <c r="G6532" i="1"/>
  <c r="H6532" i="1"/>
  <c r="J6532" i="1"/>
  <c r="K6532" i="1"/>
  <c r="L6532" i="1"/>
  <c r="A6533" i="1"/>
  <c r="B6533" i="1"/>
  <c r="C6533" i="1"/>
  <c r="D6533" i="1"/>
  <c r="Q6533" i="1"/>
  <c r="R6533" i="1"/>
  <c r="E6533" i="1"/>
  <c r="G6533" i="1"/>
  <c r="H6533" i="1"/>
  <c r="J6533" i="1"/>
  <c r="K6533" i="1"/>
  <c r="L6533" i="1"/>
  <c r="A6534" i="1"/>
  <c r="B6534" i="1"/>
  <c r="C6534" i="1"/>
  <c r="D6534" i="1"/>
  <c r="Q6534" i="1"/>
  <c r="R6534" i="1"/>
  <c r="E6534" i="1"/>
  <c r="G6534" i="1"/>
  <c r="H6534" i="1"/>
  <c r="J6534" i="1"/>
  <c r="K6534" i="1"/>
  <c r="L6534" i="1"/>
  <c r="A6535" i="1"/>
  <c r="B6535" i="1"/>
  <c r="C6535" i="1"/>
  <c r="D6535" i="1"/>
  <c r="Q6535" i="1"/>
  <c r="R6535" i="1"/>
  <c r="E6535" i="1"/>
  <c r="G6535" i="1"/>
  <c r="H6535" i="1"/>
  <c r="J6535" i="1"/>
  <c r="K6535" i="1"/>
  <c r="L6535" i="1"/>
  <c r="A6536" i="1"/>
  <c r="B6536" i="1"/>
  <c r="C6536" i="1"/>
  <c r="D6536" i="1"/>
  <c r="Q6536" i="1"/>
  <c r="R6536" i="1"/>
  <c r="E6536" i="1"/>
  <c r="G6536" i="1"/>
  <c r="H6536" i="1"/>
  <c r="J6536" i="1"/>
  <c r="K6536" i="1"/>
  <c r="L6536" i="1"/>
  <c r="A6537" i="1"/>
  <c r="B6537" i="1"/>
  <c r="C6537" i="1"/>
  <c r="D6537" i="1"/>
  <c r="Q6537" i="1"/>
  <c r="R6537" i="1"/>
  <c r="E6537" i="1"/>
  <c r="G6537" i="1"/>
  <c r="H6537" i="1"/>
  <c r="J6537" i="1"/>
  <c r="K6537" i="1"/>
  <c r="L6537" i="1"/>
  <c r="A6538" i="1"/>
  <c r="B6538" i="1"/>
  <c r="C6538" i="1"/>
  <c r="D6538" i="1"/>
  <c r="Q6538" i="1"/>
  <c r="R6538" i="1"/>
  <c r="E6538" i="1"/>
  <c r="G6538" i="1"/>
  <c r="H6538" i="1"/>
  <c r="J6538" i="1"/>
  <c r="K6538" i="1"/>
  <c r="L6538" i="1"/>
  <c r="A6539" i="1"/>
  <c r="B6539" i="1"/>
  <c r="C6539" i="1"/>
  <c r="D6539" i="1"/>
  <c r="Q6539" i="1"/>
  <c r="R6539" i="1"/>
  <c r="E6539" i="1"/>
  <c r="G6539" i="1"/>
  <c r="H6539" i="1"/>
  <c r="J6539" i="1"/>
  <c r="K6539" i="1"/>
  <c r="L6539" i="1"/>
  <c r="A6540" i="1"/>
  <c r="B6540" i="1"/>
  <c r="C6540" i="1"/>
  <c r="D6540" i="1"/>
  <c r="Q6540" i="1"/>
  <c r="R6540" i="1"/>
  <c r="E6540" i="1"/>
  <c r="G6540" i="1"/>
  <c r="H6540" i="1"/>
  <c r="J6540" i="1"/>
  <c r="K6540" i="1"/>
  <c r="L6540" i="1"/>
  <c r="A6541" i="1"/>
  <c r="B6541" i="1"/>
  <c r="C6541" i="1"/>
  <c r="D6541" i="1"/>
  <c r="Q6541" i="1"/>
  <c r="R6541" i="1"/>
  <c r="E6541" i="1"/>
  <c r="G6541" i="1"/>
  <c r="H6541" i="1"/>
  <c r="J6541" i="1"/>
  <c r="K6541" i="1"/>
  <c r="L6541" i="1"/>
  <c r="A6542" i="1"/>
  <c r="B6542" i="1"/>
  <c r="C6542" i="1"/>
  <c r="D6542" i="1"/>
  <c r="Q6542" i="1"/>
  <c r="R6542" i="1"/>
  <c r="E6542" i="1"/>
  <c r="G6542" i="1"/>
  <c r="H6542" i="1"/>
  <c r="J6542" i="1"/>
  <c r="K6542" i="1"/>
  <c r="L6542" i="1"/>
  <c r="A6543" i="1"/>
  <c r="B6543" i="1"/>
  <c r="C6543" i="1"/>
  <c r="D6543" i="1"/>
  <c r="Q6543" i="1"/>
  <c r="R6543" i="1"/>
  <c r="E6543" i="1"/>
  <c r="G6543" i="1"/>
  <c r="H6543" i="1"/>
  <c r="J6543" i="1"/>
  <c r="K6543" i="1"/>
  <c r="L6543" i="1"/>
  <c r="A6544" i="1"/>
  <c r="B6544" i="1"/>
  <c r="C6544" i="1"/>
  <c r="D6544" i="1"/>
  <c r="Q6544" i="1"/>
  <c r="R6544" i="1"/>
  <c r="E6544" i="1"/>
  <c r="G6544" i="1"/>
  <c r="H6544" i="1"/>
  <c r="J6544" i="1"/>
  <c r="K6544" i="1"/>
  <c r="L6544" i="1"/>
  <c r="A6545" i="1"/>
  <c r="B6545" i="1"/>
  <c r="C6545" i="1"/>
  <c r="D6545" i="1"/>
  <c r="Q6545" i="1"/>
  <c r="R6545" i="1"/>
  <c r="E6545" i="1"/>
  <c r="G6545" i="1"/>
  <c r="H6545" i="1"/>
  <c r="J6545" i="1"/>
  <c r="K6545" i="1"/>
  <c r="L6545" i="1"/>
  <c r="A6546" i="1"/>
  <c r="B6546" i="1"/>
  <c r="C6546" i="1"/>
  <c r="D6546" i="1"/>
  <c r="Q6546" i="1"/>
  <c r="R6546" i="1"/>
  <c r="E6546" i="1"/>
  <c r="G6546" i="1"/>
  <c r="H6546" i="1"/>
  <c r="J6546" i="1"/>
  <c r="K6546" i="1"/>
  <c r="L6546" i="1"/>
  <c r="A6547" i="1"/>
  <c r="B6547" i="1"/>
  <c r="C6547" i="1"/>
  <c r="D6547" i="1"/>
  <c r="Q6547" i="1"/>
  <c r="R6547" i="1"/>
  <c r="E6547" i="1"/>
  <c r="G6547" i="1"/>
  <c r="H6547" i="1"/>
  <c r="J6547" i="1"/>
  <c r="K6547" i="1"/>
  <c r="L6547" i="1"/>
  <c r="A6548" i="1"/>
  <c r="B6548" i="1"/>
  <c r="C6548" i="1"/>
  <c r="D6548" i="1"/>
  <c r="Q6548" i="1"/>
  <c r="R6548" i="1"/>
  <c r="E6548" i="1"/>
  <c r="G6548" i="1"/>
  <c r="H6548" i="1"/>
  <c r="J6548" i="1"/>
  <c r="K6548" i="1"/>
  <c r="L6548" i="1"/>
  <c r="A6549" i="1"/>
  <c r="B6549" i="1"/>
  <c r="C6549" i="1"/>
  <c r="D6549" i="1"/>
  <c r="Q6549" i="1"/>
  <c r="R6549" i="1"/>
  <c r="E6549" i="1"/>
  <c r="G6549" i="1"/>
  <c r="H6549" i="1"/>
  <c r="J6549" i="1"/>
  <c r="K6549" i="1"/>
  <c r="L6549" i="1"/>
  <c r="A6550" i="1"/>
  <c r="B6550" i="1"/>
  <c r="C6550" i="1"/>
  <c r="D6550" i="1"/>
  <c r="Q6550" i="1"/>
  <c r="R6550" i="1"/>
  <c r="E6550" i="1"/>
  <c r="G6550" i="1"/>
  <c r="H6550" i="1"/>
  <c r="J6550" i="1"/>
  <c r="K6550" i="1"/>
  <c r="L6550" i="1"/>
  <c r="A6551" i="1"/>
  <c r="B6551" i="1"/>
  <c r="C6551" i="1"/>
  <c r="D6551" i="1"/>
  <c r="Q6551" i="1"/>
  <c r="R6551" i="1"/>
  <c r="E6551" i="1"/>
  <c r="G6551" i="1"/>
  <c r="H6551" i="1"/>
  <c r="J6551" i="1"/>
  <c r="K6551" i="1"/>
  <c r="L6551" i="1"/>
  <c r="A6552" i="1"/>
  <c r="B6552" i="1"/>
  <c r="C6552" i="1"/>
  <c r="D6552" i="1"/>
  <c r="Q6552" i="1"/>
  <c r="R6552" i="1"/>
  <c r="E6552" i="1"/>
  <c r="G6552" i="1"/>
  <c r="H6552" i="1"/>
  <c r="J6552" i="1"/>
  <c r="K6552" i="1"/>
  <c r="L6552" i="1"/>
  <c r="A6553" i="1"/>
  <c r="B6553" i="1"/>
  <c r="C6553" i="1"/>
  <c r="D6553" i="1"/>
  <c r="Q6553" i="1"/>
  <c r="R6553" i="1"/>
  <c r="E6553" i="1"/>
  <c r="G6553" i="1"/>
  <c r="H6553" i="1"/>
  <c r="J6553" i="1"/>
  <c r="K6553" i="1"/>
  <c r="L6553" i="1"/>
  <c r="A6554" i="1"/>
  <c r="B6554" i="1"/>
  <c r="C6554" i="1"/>
  <c r="D6554" i="1"/>
  <c r="Q6554" i="1"/>
  <c r="R6554" i="1"/>
  <c r="E6554" i="1"/>
  <c r="G6554" i="1"/>
  <c r="H6554" i="1"/>
  <c r="J6554" i="1"/>
  <c r="K6554" i="1"/>
  <c r="L6554" i="1"/>
  <c r="A6555" i="1"/>
  <c r="B6555" i="1"/>
  <c r="C6555" i="1"/>
  <c r="D6555" i="1"/>
  <c r="Q6555" i="1"/>
  <c r="R6555" i="1"/>
  <c r="E6555" i="1"/>
  <c r="G6555" i="1"/>
  <c r="H6555" i="1"/>
  <c r="J6555" i="1"/>
  <c r="K6555" i="1"/>
  <c r="L6555" i="1"/>
  <c r="A6556" i="1"/>
  <c r="B6556" i="1"/>
  <c r="C6556" i="1"/>
  <c r="D6556" i="1"/>
  <c r="Q6556" i="1"/>
  <c r="R6556" i="1"/>
  <c r="E6556" i="1"/>
  <c r="G6556" i="1"/>
  <c r="H6556" i="1"/>
  <c r="J6556" i="1"/>
  <c r="K6556" i="1"/>
  <c r="L6556" i="1"/>
  <c r="A6557" i="1"/>
  <c r="B6557" i="1"/>
  <c r="C6557" i="1"/>
  <c r="D6557" i="1"/>
  <c r="Q6557" i="1"/>
  <c r="R6557" i="1"/>
  <c r="E6557" i="1"/>
  <c r="G6557" i="1"/>
  <c r="H6557" i="1"/>
  <c r="J6557" i="1"/>
  <c r="K6557" i="1"/>
  <c r="L6557" i="1"/>
  <c r="A6558" i="1"/>
  <c r="B6558" i="1"/>
  <c r="C6558" i="1"/>
  <c r="D6558" i="1"/>
  <c r="Q6558" i="1"/>
  <c r="R6558" i="1"/>
  <c r="E6558" i="1"/>
  <c r="G6558" i="1"/>
  <c r="H6558" i="1"/>
  <c r="J6558" i="1"/>
  <c r="K6558" i="1"/>
  <c r="L6558" i="1"/>
  <c r="A6559" i="1"/>
  <c r="B6559" i="1"/>
  <c r="C6559" i="1"/>
  <c r="D6559" i="1"/>
  <c r="Q6559" i="1"/>
  <c r="R6559" i="1"/>
  <c r="E6559" i="1"/>
  <c r="G6559" i="1"/>
  <c r="H6559" i="1"/>
  <c r="J6559" i="1"/>
  <c r="K6559" i="1"/>
  <c r="L6559" i="1"/>
  <c r="A6560" i="1"/>
  <c r="B6560" i="1"/>
  <c r="C6560" i="1"/>
  <c r="D6560" i="1"/>
  <c r="Q6560" i="1"/>
  <c r="R6560" i="1"/>
  <c r="E6560" i="1"/>
  <c r="G6560" i="1"/>
  <c r="H6560" i="1"/>
  <c r="J6560" i="1"/>
  <c r="K6560" i="1"/>
  <c r="L6560" i="1"/>
  <c r="A7163" i="1"/>
  <c r="B7163" i="1"/>
  <c r="C7163" i="1"/>
  <c r="D7163" i="1"/>
  <c r="Q7163" i="1"/>
  <c r="R7163" i="1"/>
  <c r="E7163" i="1"/>
  <c r="G7163" i="1"/>
  <c r="H7163" i="1"/>
  <c r="J7163" i="1"/>
  <c r="K7163" i="1"/>
  <c r="L7163" i="1"/>
  <c r="A7164" i="1"/>
  <c r="B7164" i="1"/>
  <c r="C7164" i="1"/>
  <c r="D7164" i="1"/>
  <c r="Q7164" i="1"/>
  <c r="R7164" i="1"/>
  <c r="E7164" i="1"/>
  <c r="G7164" i="1"/>
  <c r="H7164" i="1"/>
  <c r="J7164" i="1"/>
  <c r="K7164" i="1"/>
  <c r="L7164" i="1"/>
  <c r="A7165" i="1"/>
  <c r="B7165" i="1"/>
  <c r="C7165" i="1"/>
  <c r="D7165" i="1"/>
  <c r="Q7165" i="1"/>
  <c r="R7165" i="1"/>
  <c r="E7165" i="1"/>
  <c r="G7165" i="1"/>
  <c r="H7165" i="1"/>
  <c r="J7165" i="1"/>
  <c r="K7165" i="1"/>
  <c r="L7165" i="1"/>
  <c r="A7166" i="1"/>
  <c r="B7166" i="1"/>
  <c r="C7166" i="1"/>
  <c r="D7166" i="1"/>
  <c r="Q7166" i="1"/>
  <c r="R7166" i="1"/>
  <c r="E7166" i="1"/>
  <c r="G7166" i="1"/>
  <c r="H7166" i="1"/>
  <c r="J7166" i="1"/>
  <c r="K7166" i="1"/>
  <c r="L7166" i="1"/>
  <c r="A7167" i="1"/>
  <c r="B7167" i="1"/>
  <c r="C7167" i="1"/>
  <c r="D7167" i="1"/>
  <c r="Q7167" i="1"/>
  <c r="R7167" i="1"/>
  <c r="E7167" i="1"/>
  <c r="G7167" i="1"/>
  <c r="H7167" i="1"/>
  <c r="J7167" i="1"/>
  <c r="K7167" i="1"/>
  <c r="L7167" i="1"/>
  <c r="A7168" i="1"/>
  <c r="C7168" i="1"/>
  <c r="D7168" i="1"/>
  <c r="Q7168" i="1"/>
  <c r="R7168" i="1"/>
  <c r="G7168" i="1"/>
  <c r="H7168" i="1"/>
  <c r="J7168" i="1"/>
  <c r="K7168" i="1"/>
  <c r="L7168" i="1"/>
  <c r="A7169" i="1"/>
  <c r="C7169" i="1"/>
  <c r="D7169" i="1"/>
  <c r="Q7169" i="1"/>
  <c r="R7169" i="1"/>
  <c r="G7169" i="1"/>
  <c r="H7169" i="1"/>
  <c r="J7169" i="1"/>
  <c r="K7169" i="1"/>
  <c r="L7169" i="1"/>
  <c r="A7170" i="1"/>
  <c r="B7170" i="1"/>
  <c r="C7170" i="1"/>
  <c r="D7170" i="1"/>
  <c r="Q7170" i="1"/>
  <c r="R7170" i="1"/>
  <c r="E7170" i="1"/>
  <c r="G7170" i="1"/>
  <c r="H7170" i="1"/>
  <c r="J7170" i="1"/>
  <c r="K7170" i="1"/>
  <c r="L7170" i="1"/>
  <c r="A7171" i="1"/>
  <c r="B7171" i="1"/>
  <c r="C7171" i="1"/>
  <c r="D7171" i="1"/>
  <c r="Q7171" i="1"/>
  <c r="R7171" i="1"/>
  <c r="E7171" i="1"/>
  <c r="G7171" i="1"/>
  <c r="H7171" i="1"/>
  <c r="J7171" i="1"/>
  <c r="K7171" i="1"/>
  <c r="L7171" i="1"/>
  <c r="A7172" i="1"/>
  <c r="B7172" i="1"/>
  <c r="C7172" i="1"/>
  <c r="D7172" i="1"/>
  <c r="Q7172" i="1"/>
  <c r="R7172" i="1"/>
  <c r="E7172" i="1"/>
  <c r="G7172" i="1"/>
  <c r="H7172" i="1"/>
  <c r="J7172" i="1"/>
  <c r="K7172" i="1"/>
  <c r="L7172" i="1"/>
  <c r="A8380" i="1"/>
  <c r="B8380" i="1"/>
  <c r="C8380" i="1"/>
  <c r="D8380" i="1"/>
  <c r="Q8380" i="1"/>
  <c r="R8380" i="1"/>
  <c r="E8380" i="1"/>
  <c r="F8380" i="1"/>
  <c r="G8380" i="1"/>
  <c r="H8380" i="1"/>
  <c r="J8380" i="1"/>
  <c r="K8380" i="1"/>
  <c r="L8380" i="1"/>
  <c r="A8381" i="1"/>
  <c r="B8381" i="1"/>
  <c r="C8381" i="1"/>
  <c r="D8381" i="1"/>
  <c r="Q8381" i="1"/>
  <c r="R8381" i="1"/>
  <c r="E8381" i="1"/>
  <c r="F8381" i="1"/>
  <c r="G8381" i="1"/>
  <c r="H8381" i="1"/>
  <c r="J8381" i="1"/>
  <c r="K8381" i="1"/>
  <c r="L8381" i="1"/>
  <c r="A8382" i="1"/>
  <c r="B8382" i="1"/>
  <c r="C8382" i="1"/>
  <c r="D8382" i="1"/>
  <c r="Q8382" i="1"/>
  <c r="R8382" i="1"/>
  <c r="E8382" i="1"/>
  <c r="F8382" i="1"/>
  <c r="G8382" i="1"/>
  <c r="H8382" i="1"/>
  <c r="J8382" i="1"/>
  <c r="K8382" i="1"/>
  <c r="L8382" i="1"/>
  <c r="A8383" i="1"/>
  <c r="B8383" i="1"/>
  <c r="C8383" i="1"/>
  <c r="D8383" i="1"/>
  <c r="Q8383" i="1"/>
  <c r="R8383" i="1"/>
  <c r="E8383" i="1"/>
  <c r="F8383" i="1"/>
  <c r="G8383" i="1"/>
  <c r="H8383" i="1"/>
  <c r="J8383" i="1"/>
  <c r="K8383" i="1"/>
  <c r="L8383" i="1"/>
  <c r="A7173" i="1"/>
  <c r="B7173" i="1"/>
  <c r="C7173" i="1"/>
  <c r="D7173" i="1"/>
  <c r="Q7173" i="1"/>
  <c r="R7173" i="1"/>
  <c r="E7173" i="1"/>
  <c r="G7173" i="1"/>
  <c r="H7173" i="1"/>
  <c r="J7173" i="1"/>
  <c r="K7173" i="1"/>
  <c r="L7173" i="1"/>
  <c r="A7174" i="1"/>
  <c r="B7174" i="1"/>
  <c r="C7174" i="1"/>
  <c r="D7174" i="1"/>
  <c r="Q7174" i="1"/>
  <c r="R7174" i="1"/>
  <c r="E7174" i="1"/>
  <c r="G7174" i="1"/>
  <c r="H7174" i="1"/>
  <c r="J7174" i="1"/>
  <c r="K7174" i="1"/>
  <c r="L7174" i="1"/>
  <c r="A7175" i="1"/>
  <c r="B7175" i="1"/>
  <c r="C7175" i="1"/>
  <c r="D7175" i="1"/>
  <c r="Q7175" i="1"/>
  <c r="R7175" i="1"/>
  <c r="E7175" i="1"/>
  <c r="G7175" i="1"/>
  <c r="H7175" i="1"/>
  <c r="J7175" i="1"/>
  <c r="K7175" i="1"/>
  <c r="L7175" i="1"/>
  <c r="A7176" i="1"/>
  <c r="B7176" i="1"/>
  <c r="C7176" i="1"/>
  <c r="D7176" i="1"/>
  <c r="Q7176" i="1"/>
  <c r="R7176" i="1"/>
  <c r="E7176" i="1"/>
  <c r="G7176" i="1"/>
  <c r="H7176" i="1"/>
  <c r="J7176" i="1"/>
  <c r="K7176" i="1"/>
  <c r="L7176" i="1"/>
  <c r="A7177" i="1"/>
  <c r="B7177" i="1"/>
  <c r="C7177" i="1"/>
  <c r="D7177" i="1"/>
  <c r="Q7177" i="1"/>
  <c r="R7177" i="1"/>
  <c r="E7177" i="1"/>
  <c r="G7177" i="1"/>
  <c r="H7177" i="1"/>
  <c r="J7177" i="1"/>
  <c r="K7177" i="1"/>
  <c r="L7177" i="1"/>
  <c r="A7178" i="1"/>
  <c r="B7178" i="1"/>
  <c r="C7178" i="1"/>
  <c r="D7178" i="1"/>
  <c r="Q7178" i="1"/>
  <c r="R7178" i="1"/>
  <c r="E7178" i="1"/>
  <c r="G7178" i="1"/>
  <c r="H7178" i="1"/>
  <c r="J7178" i="1"/>
  <c r="K7178" i="1"/>
  <c r="L7178" i="1"/>
  <c r="A7179" i="1"/>
  <c r="B7179" i="1"/>
  <c r="C7179" i="1"/>
  <c r="D7179" i="1"/>
  <c r="Q7179" i="1"/>
  <c r="R7179" i="1"/>
  <c r="G7179" i="1"/>
  <c r="H7179" i="1"/>
  <c r="J7179" i="1"/>
  <c r="K7179" i="1"/>
  <c r="L7179" i="1"/>
  <c r="A7180" i="1"/>
  <c r="B7180" i="1"/>
  <c r="C7180" i="1"/>
  <c r="D7180" i="1"/>
  <c r="Q7180" i="1"/>
  <c r="R7180" i="1"/>
  <c r="G7180" i="1"/>
  <c r="H7180" i="1"/>
  <c r="J7180" i="1"/>
  <c r="K7180" i="1"/>
  <c r="L7180" i="1"/>
  <c r="A7181" i="1"/>
  <c r="B7181" i="1"/>
  <c r="C7181" i="1"/>
  <c r="D7181" i="1"/>
  <c r="Q7181" i="1"/>
  <c r="R7181" i="1"/>
  <c r="G7181" i="1"/>
  <c r="H7181" i="1"/>
  <c r="J7181" i="1"/>
  <c r="K7181" i="1"/>
  <c r="L7181" i="1"/>
  <c r="A7182" i="1"/>
  <c r="B7182" i="1"/>
  <c r="C7182" i="1"/>
  <c r="D7182" i="1"/>
  <c r="Q7182" i="1"/>
  <c r="R7182" i="1"/>
  <c r="G7182" i="1"/>
  <c r="H7182" i="1"/>
  <c r="J7182" i="1"/>
  <c r="K7182" i="1"/>
  <c r="L7182" i="1"/>
  <c r="A7183" i="1"/>
  <c r="B7183" i="1"/>
  <c r="C7183" i="1"/>
  <c r="D7183" i="1"/>
  <c r="Q7183" i="1"/>
  <c r="R7183" i="1"/>
  <c r="G7183" i="1"/>
  <c r="H7183" i="1"/>
  <c r="J7183" i="1"/>
  <c r="K7183" i="1"/>
  <c r="L7183" i="1"/>
  <c r="A7184" i="1"/>
  <c r="B7184" i="1"/>
  <c r="C7184" i="1"/>
  <c r="D7184" i="1"/>
  <c r="Q7184" i="1"/>
  <c r="R7184" i="1"/>
  <c r="G7184" i="1"/>
  <c r="H7184" i="1"/>
  <c r="J7184" i="1"/>
  <c r="K7184" i="1"/>
  <c r="L7184" i="1"/>
  <c r="A7185" i="1"/>
  <c r="B7185" i="1"/>
  <c r="C7185" i="1"/>
  <c r="D7185" i="1"/>
  <c r="Q7185" i="1"/>
  <c r="R7185" i="1"/>
  <c r="E7185" i="1"/>
  <c r="G7185" i="1"/>
  <c r="H7185" i="1"/>
  <c r="J7185" i="1"/>
  <c r="K7185" i="1"/>
  <c r="L7185" i="1"/>
  <c r="A7186" i="1"/>
  <c r="B7186" i="1"/>
  <c r="C7186" i="1"/>
  <c r="D7186" i="1"/>
  <c r="Q7186" i="1"/>
  <c r="R7186" i="1"/>
  <c r="E7186" i="1"/>
  <c r="G7186" i="1"/>
  <c r="H7186" i="1"/>
  <c r="J7186" i="1"/>
  <c r="K7186" i="1"/>
  <c r="L7186" i="1"/>
  <c r="A7187" i="1"/>
  <c r="B7187" i="1"/>
  <c r="C7187" i="1"/>
  <c r="D7187" i="1"/>
  <c r="Q7187" i="1"/>
  <c r="R7187" i="1"/>
  <c r="E7187" i="1"/>
  <c r="G7187" i="1"/>
  <c r="H7187" i="1"/>
  <c r="J7187" i="1"/>
  <c r="K7187" i="1"/>
  <c r="L7187" i="1"/>
  <c r="A7188" i="1"/>
  <c r="C7188" i="1"/>
  <c r="D7188" i="1"/>
  <c r="Q7188" i="1"/>
  <c r="R7188" i="1"/>
  <c r="G7188" i="1"/>
  <c r="H7188" i="1"/>
  <c r="J7188" i="1"/>
  <c r="K7188" i="1"/>
  <c r="L7188" i="1"/>
  <c r="A7189" i="1"/>
  <c r="C7189" i="1"/>
  <c r="D7189" i="1"/>
  <c r="Q7189" i="1"/>
  <c r="R7189" i="1"/>
  <c r="G7189" i="1"/>
  <c r="H7189" i="1"/>
  <c r="J7189" i="1"/>
  <c r="K7189" i="1"/>
  <c r="L7189" i="1"/>
  <c r="A7190" i="1"/>
  <c r="C7190" i="1"/>
  <c r="D7190" i="1"/>
  <c r="Q7190" i="1"/>
  <c r="R7190" i="1"/>
  <c r="G7190" i="1"/>
  <c r="H7190" i="1"/>
  <c r="K7190" i="1"/>
  <c r="L7190" i="1"/>
  <c r="A7191" i="1"/>
  <c r="B7191" i="1"/>
  <c r="C7191" i="1"/>
  <c r="D7191" i="1"/>
  <c r="Q7191" i="1"/>
  <c r="R7191" i="1"/>
  <c r="E7191" i="1"/>
  <c r="G7191" i="1"/>
  <c r="H7191" i="1"/>
  <c r="J7191" i="1"/>
  <c r="K7191" i="1"/>
  <c r="L7191" i="1"/>
  <c r="A7192" i="1"/>
  <c r="B7192" i="1"/>
  <c r="C7192" i="1"/>
  <c r="D7192" i="1"/>
  <c r="Q7192" i="1"/>
  <c r="R7192" i="1"/>
  <c r="E7192" i="1"/>
  <c r="G7192" i="1"/>
  <c r="H7192" i="1"/>
  <c r="J7192" i="1"/>
  <c r="K7192" i="1"/>
  <c r="L7192" i="1"/>
  <c r="A7193" i="1"/>
  <c r="B7193" i="1"/>
  <c r="C7193" i="1"/>
  <c r="D7193" i="1"/>
  <c r="Q7193" i="1"/>
  <c r="R7193" i="1"/>
  <c r="E7193" i="1"/>
  <c r="G7193" i="1"/>
  <c r="H7193" i="1"/>
  <c r="J7193" i="1"/>
  <c r="K7193" i="1"/>
  <c r="L7193" i="1"/>
  <c r="A7194" i="1"/>
  <c r="B7194" i="1"/>
  <c r="C7194" i="1"/>
  <c r="D7194" i="1"/>
  <c r="Q7194" i="1"/>
  <c r="R7194" i="1"/>
  <c r="E7194" i="1"/>
  <c r="G7194" i="1"/>
  <c r="H7194" i="1"/>
  <c r="J7194" i="1"/>
  <c r="K7194" i="1"/>
  <c r="L7194" i="1"/>
  <c r="A7195" i="1"/>
  <c r="B7195" i="1"/>
  <c r="C7195" i="1"/>
  <c r="D7195" i="1"/>
  <c r="Q7195" i="1"/>
  <c r="R7195" i="1"/>
  <c r="E7195" i="1"/>
  <c r="G7195" i="1"/>
  <c r="H7195" i="1"/>
  <c r="J7195" i="1"/>
  <c r="K7195" i="1"/>
  <c r="L7195" i="1"/>
  <c r="A7196" i="1"/>
  <c r="B7196" i="1"/>
  <c r="C7196" i="1"/>
  <c r="D7196" i="1"/>
  <c r="Q7196" i="1"/>
  <c r="R7196" i="1"/>
  <c r="E7196" i="1"/>
  <c r="G7196" i="1"/>
  <c r="H7196" i="1"/>
  <c r="J7196" i="1"/>
  <c r="K7196" i="1"/>
  <c r="L7196" i="1"/>
  <c r="A7197" i="1"/>
  <c r="B7197" i="1"/>
  <c r="C7197" i="1"/>
  <c r="D7197" i="1"/>
  <c r="Q7197" i="1"/>
  <c r="R7197" i="1"/>
  <c r="E7197" i="1"/>
  <c r="G7197" i="1"/>
  <c r="H7197" i="1"/>
  <c r="J7197" i="1"/>
  <c r="K7197" i="1"/>
  <c r="L7197" i="1"/>
  <c r="A7198" i="1"/>
  <c r="B7198" i="1"/>
  <c r="C7198" i="1"/>
  <c r="D7198" i="1"/>
  <c r="Q7198" i="1"/>
  <c r="R7198" i="1"/>
  <c r="E7198" i="1"/>
  <c r="G7198" i="1"/>
  <c r="H7198" i="1"/>
  <c r="J7198" i="1"/>
  <c r="K7198" i="1"/>
  <c r="L7198" i="1"/>
  <c r="A7199" i="1"/>
  <c r="B7199" i="1"/>
  <c r="C7199" i="1"/>
  <c r="D7199" i="1"/>
  <c r="Q7199" i="1"/>
  <c r="R7199" i="1"/>
  <c r="E7199" i="1"/>
  <c r="G7199" i="1"/>
  <c r="H7199" i="1"/>
  <c r="J7199" i="1"/>
  <c r="K7199" i="1"/>
  <c r="L7199" i="1"/>
  <c r="A7200" i="1"/>
  <c r="B7200" i="1"/>
  <c r="C7200" i="1"/>
  <c r="D7200" i="1"/>
  <c r="Q7200" i="1"/>
  <c r="R7200" i="1"/>
  <c r="E7200" i="1"/>
  <c r="G7200" i="1"/>
  <c r="H7200" i="1"/>
  <c r="J7200" i="1"/>
  <c r="K7200" i="1"/>
  <c r="L7200" i="1"/>
  <c r="A7201" i="1"/>
  <c r="B7201" i="1"/>
  <c r="C7201" i="1"/>
  <c r="D7201" i="1"/>
  <c r="Q7201" i="1"/>
  <c r="R7201" i="1"/>
  <c r="E7201" i="1"/>
  <c r="G7201" i="1"/>
  <c r="H7201" i="1"/>
  <c r="J7201" i="1"/>
  <c r="K7201" i="1"/>
  <c r="L7201" i="1"/>
  <c r="A7202" i="1"/>
  <c r="B7202" i="1"/>
  <c r="C7202" i="1"/>
  <c r="D7202" i="1"/>
  <c r="Q7202" i="1"/>
  <c r="R7202" i="1"/>
  <c r="E7202" i="1"/>
  <c r="G7202" i="1"/>
  <c r="H7202" i="1"/>
  <c r="J7202" i="1"/>
  <c r="K7202" i="1"/>
  <c r="L7202" i="1"/>
  <c r="A7203" i="1"/>
  <c r="B7203" i="1"/>
  <c r="C7203" i="1"/>
  <c r="D7203" i="1"/>
  <c r="Q7203" i="1"/>
  <c r="R7203" i="1"/>
  <c r="E7203" i="1"/>
  <c r="G7203" i="1"/>
  <c r="H7203" i="1"/>
  <c r="J7203" i="1"/>
  <c r="K7203" i="1"/>
  <c r="L7203" i="1"/>
  <c r="A7204" i="1"/>
  <c r="C7204" i="1"/>
  <c r="D7204" i="1"/>
  <c r="Q7204" i="1"/>
  <c r="R7204" i="1"/>
  <c r="G7204" i="1"/>
  <c r="H7204" i="1"/>
  <c r="J7204" i="1"/>
  <c r="K7204" i="1"/>
  <c r="L7204" i="1"/>
  <c r="A7353" i="1"/>
  <c r="B7353" i="1"/>
  <c r="C7353" i="1"/>
  <c r="D7353" i="1"/>
  <c r="Q7353" i="1"/>
  <c r="R7353" i="1"/>
  <c r="E7353" i="1"/>
  <c r="G7353" i="1"/>
  <c r="H7353" i="1"/>
  <c r="J7353" i="1"/>
  <c r="K7353" i="1"/>
  <c r="L7353" i="1"/>
  <c r="A7205" i="1"/>
  <c r="B7205" i="1"/>
  <c r="C7205" i="1"/>
  <c r="D7205" i="1"/>
  <c r="Q7205" i="1"/>
  <c r="R7205" i="1"/>
  <c r="E7205" i="1"/>
  <c r="G7205" i="1"/>
  <c r="H7205" i="1"/>
  <c r="J7205" i="1"/>
  <c r="K7205" i="1"/>
  <c r="L7205" i="1"/>
  <c r="A7206" i="1"/>
  <c r="B7206" i="1"/>
  <c r="C7206" i="1"/>
  <c r="D7206" i="1"/>
  <c r="Q7206" i="1"/>
  <c r="R7206" i="1"/>
  <c r="E7206" i="1"/>
  <c r="G7206" i="1"/>
  <c r="H7206" i="1"/>
  <c r="J7206" i="1"/>
  <c r="K7206" i="1"/>
  <c r="L7206" i="1"/>
  <c r="A7207" i="1"/>
  <c r="B7207" i="1"/>
  <c r="C7207" i="1"/>
  <c r="D7207" i="1"/>
  <c r="Q7207" i="1"/>
  <c r="R7207" i="1"/>
  <c r="E7207" i="1"/>
  <c r="G7207" i="1"/>
  <c r="H7207" i="1"/>
  <c r="J7207" i="1"/>
  <c r="K7207" i="1"/>
  <c r="L7207" i="1"/>
  <c r="A7208" i="1"/>
  <c r="B7208" i="1"/>
  <c r="C7208" i="1"/>
  <c r="D7208" i="1"/>
  <c r="Q7208" i="1"/>
  <c r="R7208" i="1"/>
  <c r="E7208" i="1"/>
  <c r="G7208" i="1"/>
  <c r="H7208" i="1"/>
  <c r="J7208" i="1"/>
  <c r="K7208" i="1"/>
  <c r="L7208" i="1"/>
  <c r="A7209" i="1"/>
  <c r="B7209" i="1"/>
  <c r="C7209" i="1"/>
  <c r="D7209" i="1"/>
  <c r="Q7209" i="1"/>
  <c r="R7209" i="1"/>
  <c r="E7209" i="1"/>
  <c r="G7209" i="1"/>
  <c r="H7209" i="1"/>
  <c r="J7209" i="1"/>
  <c r="K7209" i="1"/>
  <c r="L7209" i="1"/>
  <c r="A7210" i="1"/>
  <c r="B7210" i="1"/>
  <c r="C7210" i="1"/>
  <c r="D7210" i="1"/>
  <c r="Q7210" i="1"/>
  <c r="R7210" i="1"/>
  <c r="E7210" i="1"/>
  <c r="G7210" i="1"/>
  <c r="H7210" i="1"/>
  <c r="J7210" i="1"/>
  <c r="K7210" i="1"/>
  <c r="L7210" i="1"/>
  <c r="A7211" i="1"/>
  <c r="B7211" i="1"/>
  <c r="C7211" i="1"/>
  <c r="D7211" i="1"/>
  <c r="Q7211" i="1"/>
  <c r="R7211" i="1"/>
  <c r="E7211" i="1"/>
  <c r="G7211" i="1"/>
  <c r="H7211" i="1"/>
  <c r="J7211" i="1"/>
  <c r="K7211" i="1"/>
  <c r="L7211" i="1"/>
  <c r="A7212" i="1"/>
  <c r="B7212" i="1"/>
  <c r="C7212" i="1"/>
  <c r="D7212" i="1"/>
  <c r="Q7212" i="1"/>
  <c r="R7212" i="1"/>
  <c r="E7212" i="1"/>
  <c r="G7212" i="1"/>
  <c r="H7212" i="1"/>
  <c r="J7212" i="1"/>
  <c r="K7212" i="1"/>
  <c r="L7212" i="1"/>
  <c r="A7213" i="1"/>
  <c r="B7213" i="1"/>
  <c r="C7213" i="1"/>
  <c r="D7213" i="1"/>
  <c r="Q7213" i="1"/>
  <c r="R7213" i="1"/>
  <c r="E7213" i="1"/>
  <c r="G7213" i="1"/>
  <c r="H7213" i="1"/>
  <c r="J7213" i="1"/>
  <c r="K7213" i="1"/>
  <c r="L7213" i="1"/>
  <c r="A7214" i="1"/>
  <c r="B7214" i="1"/>
  <c r="C7214" i="1"/>
  <c r="D7214" i="1"/>
  <c r="Q7214" i="1"/>
  <c r="R7214" i="1"/>
  <c r="E7214" i="1"/>
  <c r="G7214" i="1"/>
  <c r="H7214" i="1"/>
  <c r="J7214" i="1"/>
  <c r="K7214" i="1"/>
  <c r="L7214" i="1"/>
  <c r="A7215" i="1"/>
  <c r="B7215" i="1"/>
  <c r="C7215" i="1"/>
  <c r="D7215" i="1"/>
  <c r="Q7215" i="1"/>
  <c r="R7215" i="1"/>
  <c r="E7215" i="1"/>
  <c r="G7215" i="1"/>
  <c r="H7215" i="1"/>
  <c r="J7215" i="1"/>
  <c r="K7215" i="1"/>
  <c r="L7215" i="1"/>
  <c r="A7216" i="1"/>
  <c r="B7216" i="1"/>
  <c r="C7216" i="1"/>
  <c r="D7216" i="1"/>
  <c r="Q7216" i="1"/>
  <c r="R7216" i="1"/>
  <c r="E7216" i="1"/>
  <c r="G7216" i="1"/>
  <c r="H7216" i="1"/>
  <c r="J7216" i="1"/>
  <c r="K7216" i="1"/>
  <c r="L7216" i="1"/>
  <c r="A7217" i="1"/>
  <c r="B7217" i="1"/>
  <c r="C7217" i="1"/>
  <c r="D7217" i="1"/>
  <c r="Q7217" i="1"/>
  <c r="R7217" i="1"/>
  <c r="E7217" i="1"/>
  <c r="G7217" i="1"/>
  <c r="H7217" i="1"/>
  <c r="J7217" i="1"/>
  <c r="K7217" i="1"/>
  <c r="L7217" i="1"/>
  <c r="A7218" i="1"/>
  <c r="B7218" i="1"/>
  <c r="C7218" i="1"/>
  <c r="D7218" i="1"/>
  <c r="Q7218" i="1"/>
  <c r="R7218" i="1"/>
  <c r="E7218" i="1"/>
  <c r="G7218" i="1"/>
  <c r="H7218" i="1"/>
  <c r="J7218" i="1"/>
  <c r="K7218" i="1"/>
  <c r="L7218" i="1"/>
  <c r="A7219" i="1"/>
  <c r="B7219" i="1"/>
  <c r="C7219" i="1"/>
  <c r="D7219" i="1"/>
  <c r="Q7219" i="1"/>
  <c r="R7219" i="1"/>
  <c r="E7219" i="1"/>
  <c r="G7219" i="1"/>
  <c r="H7219" i="1"/>
  <c r="J7219" i="1"/>
  <c r="K7219" i="1"/>
  <c r="L7219" i="1"/>
  <c r="A7220" i="1"/>
  <c r="C7220" i="1"/>
  <c r="D7220" i="1"/>
  <c r="Q7220" i="1"/>
  <c r="R7220" i="1"/>
  <c r="G7220" i="1"/>
  <c r="H7220" i="1"/>
  <c r="K7220" i="1"/>
  <c r="L7220" i="1"/>
  <c r="A7221" i="1"/>
  <c r="C7221" i="1"/>
  <c r="D7221" i="1"/>
  <c r="Q7221" i="1"/>
  <c r="R7221" i="1"/>
  <c r="G7221" i="1"/>
  <c r="H7221" i="1"/>
  <c r="J7221" i="1"/>
  <c r="K7221" i="1"/>
  <c r="L7221" i="1"/>
  <c r="A7222" i="1"/>
  <c r="B7222" i="1"/>
  <c r="C7222" i="1"/>
  <c r="D7222" i="1"/>
  <c r="Q7222" i="1"/>
  <c r="R7222" i="1"/>
  <c r="E7222" i="1"/>
  <c r="G7222" i="1"/>
  <c r="H7222" i="1"/>
  <c r="J7222" i="1"/>
  <c r="K7222" i="1"/>
  <c r="L7222" i="1"/>
  <c r="A7223" i="1"/>
  <c r="B7223" i="1"/>
  <c r="C7223" i="1"/>
  <c r="D7223" i="1"/>
  <c r="Q7223" i="1"/>
  <c r="R7223" i="1"/>
  <c r="E7223" i="1"/>
  <c r="G7223" i="1"/>
  <c r="H7223" i="1"/>
  <c r="J7223" i="1"/>
  <c r="K7223" i="1"/>
  <c r="L7223" i="1"/>
  <c r="A7224" i="1"/>
  <c r="B7224" i="1"/>
  <c r="C7224" i="1"/>
  <c r="D7224" i="1"/>
  <c r="Q7224" i="1"/>
  <c r="R7224" i="1"/>
  <c r="E7224" i="1"/>
  <c r="G7224" i="1"/>
  <c r="H7224" i="1"/>
  <c r="J7224" i="1"/>
  <c r="K7224" i="1"/>
  <c r="L7224" i="1"/>
  <c r="A7225" i="1"/>
  <c r="B7225" i="1"/>
  <c r="C7225" i="1"/>
  <c r="D7225" i="1"/>
  <c r="Q7225" i="1"/>
  <c r="R7225" i="1"/>
  <c r="E7225" i="1"/>
  <c r="G7225" i="1"/>
  <c r="H7225" i="1"/>
  <c r="J7225" i="1"/>
  <c r="K7225" i="1"/>
  <c r="L7225" i="1"/>
  <c r="A7226" i="1"/>
  <c r="B7226" i="1"/>
  <c r="C7226" i="1"/>
  <c r="D7226" i="1"/>
  <c r="Q7226" i="1"/>
  <c r="R7226" i="1"/>
  <c r="E7226" i="1"/>
  <c r="G7226" i="1"/>
  <c r="H7226" i="1"/>
  <c r="J7226" i="1"/>
  <c r="K7226" i="1"/>
  <c r="L7226" i="1"/>
  <c r="A7227" i="1"/>
  <c r="B7227" i="1"/>
  <c r="C7227" i="1"/>
  <c r="D7227" i="1"/>
  <c r="Q7227" i="1"/>
  <c r="R7227" i="1"/>
  <c r="E7227" i="1"/>
  <c r="G7227" i="1"/>
  <c r="H7227" i="1"/>
  <c r="J7227" i="1"/>
  <c r="K7227" i="1"/>
  <c r="L7227" i="1"/>
  <c r="A7228" i="1"/>
  <c r="B7228" i="1"/>
  <c r="C7228" i="1"/>
  <c r="D7228" i="1"/>
  <c r="Q7228" i="1"/>
  <c r="R7228" i="1"/>
  <c r="E7228" i="1"/>
  <c r="G7228" i="1"/>
  <c r="H7228" i="1"/>
  <c r="J7228" i="1"/>
  <c r="K7228" i="1"/>
  <c r="L7228" i="1"/>
  <c r="A7229" i="1"/>
  <c r="B7229" i="1"/>
  <c r="C7229" i="1"/>
  <c r="D7229" i="1"/>
  <c r="Q7229" i="1"/>
  <c r="R7229" i="1"/>
  <c r="E7229" i="1"/>
  <c r="G7229" i="1"/>
  <c r="H7229" i="1"/>
  <c r="J7229" i="1"/>
  <c r="K7229" i="1"/>
  <c r="L7229" i="1"/>
  <c r="A7230" i="1"/>
  <c r="B7230" i="1"/>
  <c r="C7230" i="1"/>
  <c r="D7230" i="1"/>
  <c r="Q7230" i="1"/>
  <c r="R7230" i="1"/>
  <c r="G7230" i="1"/>
  <c r="H7230" i="1"/>
  <c r="J7230" i="1"/>
  <c r="K7230" i="1"/>
  <c r="L7230" i="1"/>
  <c r="A7231" i="1"/>
  <c r="B7231" i="1"/>
  <c r="C7231" i="1"/>
  <c r="D7231" i="1"/>
  <c r="Q7231" i="1"/>
  <c r="R7231" i="1"/>
  <c r="G7231" i="1"/>
  <c r="H7231" i="1"/>
  <c r="J7231" i="1"/>
  <c r="K7231" i="1"/>
  <c r="L7231" i="1"/>
  <c r="A7232" i="1"/>
  <c r="B7232" i="1"/>
  <c r="C7232" i="1"/>
  <c r="D7232" i="1"/>
  <c r="Q7232" i="1"/>
  <c r="R7232" i="1"/>
  <c r="G7232" i="1"/>
  <c r="H7232" i="1"/>
  <c r="J7232" i="1"/>
  <c r="K7232" i="1"/>
  <c r="L7232" i="1"/>
  <c r="A7233" i="1"/>
  <c r="B7233" i="1"/>
  <c r="C7233" i="1"/>
  <c r="D7233" i="1"/>
  <c r="Q7233" i="1"/>
  <c r="R7233" i="1"/>
  <c r="G7233" i="1"/>
  <c r="H7233" i="1"/>
  <c r="J7233" i="1"/>
  <c r="K7233" i="1"/>
  <c r="L7233" i="1"/>
  <c r="A7234" i="1"/>
  <c r="B7234" i="1"/>
  <c r="C7234" i="1"/>
  <c r="D7234" i="1"/>
  <c r="Q7234" i="1"/>
  <c r="R7234" i="1"/>
  <c r="G7234" i="1"/>
  <c r="H7234" i="1"/>
  <c r="J7234" i="1"/>
  <c r="K7234" i="1"/>
  <c r="L7234" i="1"/>
  <c r="A7235" i="1"/>
  <c r="B7235" i="1"/>
  <c r="C7235" i="1"/>
  <c r="D7235" i="1"/>
  <c r="Q7235" i="1"/>
  <c r="R7235" i="1"/>
  <c r="E7235" i="1"/>
  <c r="G7235" i="1"/>
  <c r="H7235" i="1"/>
  <c r="J7235" i="1"/>
  <c r="K7235" i="1"/>
  <c r="L7235" i="1"/>
  <c r="A7236" i="1"/>
  <c r="B7236" i="1"/>
  <c r="C7236" i="1"/>
  <c r="D7236" i="1"/>
  <c r="Q7236" i="1"/>
  <c r="R7236" i="1"/>
  <c r="E7236" i="1"/>
  <c r="G7236" i="1"/>
  <c r="H7236" i="1"/>
  <c r="J7236" i="1"/>
  <c r="K7236" i="1"/>
  <c r="L7236" i="1"/>
  <c r="A7237" i="1"/>
  <c r="B7237" i="1"/>
  <c r="C7237" i="1"/>
  <c r="D7237" i="1"/>
  <c r="Q7237" i="1"/>
  <c r="R7237" i="1"/>
  <c r="E7237" i="1"/>
  <c r="G7237" i="1"/>
  <c r="H7237" i="1"/>
  <c r="J7237" i="1"/>
  <c r="K7237" i="1"/>
  <c r="L7237" i="1"/>
  <c r="A7238" i="1"/>
  <c r="B7238" i="1"/>
  <c r="C7238" i="1"/>
  <c r="D7238" i="1"/>
  <c r="Q7238" i="1"/>
  <c r="R7238" i="1"/>
  <c r="E7238" i="1"/>
  <c r="G7238" i="1"/>
  <c r="H7238" i="1"/>
  <c r="J7238" i="1"/>
  <c r="K7238" i="1"/>
  <c r="L7238" i="1"/>
  <c r="A7239" i="1"/>
  <c r="B7239" i="1"/>
  <c r="C7239" i="1"/>
  <c r="D7239" i="1"/>
  <c r="Q7239" i="1"/>
  <c r="R7239" i="1"/>
  <c r="E7239" i="1"/>
  <c r="G7239" i="1"/>
  <c r="H7239" i="1"/>
  <c r="J7239" i="1"/>
  <c r="K7239" i="1"/>
  <c r="L7239" i="1"/>
  <c r="A7240" i="1"/>
  <c r="B7240" i="1"/>
  <c r="C7240" i="1"/>
  <c r="D7240" i="1"/>
  <c r="Q7240" i="1"/>
  <c r="R7240" i="1"/>
  <c r="E7240" i="1"/>
  <c r="G7240" i="1"/>
  <c r="H7240" i="1"/>
  <c r="J7240" i="1"/>
  <c r="K7240" i="1"/>
  <c r="L7240" i="1"/>
  <c r="A7241" i="1"/>
  <c r="B7241" i="1"/>
  <c r="C7241" i="1"/>
  <c r="D7241" i="1"/>
  <c r="Q7241" i="1"/>
  <c r="R7241" i="1"/>
  <c r="E7241" i="1"/>
  <c r="G7241" i="1"/>
  <c r="H7241" i="1"/>
  <c r="J7241" i="1"/>
  <c r="K7241" i="1"/>
  <c r="L7241" i="1"/>
  <c r="A7242" i="1"/>
  <c r="B7242" i="1"/>
  <c r="C7242" i="1"/>
  <c r="D7242" i="1"/>
  <c r="Q7242" i="1"/>
  <c r="R7242" i="1"/>
  <c r="E7242" i="1"/>
  <c r="G7242" i="1"/>
  <c r="H7242" i="1"/>
  <c r="J7242" i="1"/>
  <c r="K7242" i="1"/>
  <c r="L7242" i="1"/>
  <c r="A7243" i="1"/>
  <c r="B7243" i="1"/>
  <c r="C7243" i="1"/>
  <c r="D7243" i="1"/>
  <c r="Q7243" i="1"/>
  <c r="R7243" i="1"/>
  <c r="E7243" i="1"/>
  <c r="G7243" i="1"/>
  <c r="H7243" i="1"/>
  <c r="J7243" i="1"/>
  <c r="K7243" i="1"/>
  <c r="L7243" i="1"/>
  <c r="A7244" i="1"/>
  <c r="B7244" i="1"/>
  <c r="C7244" i="1"/>
  <c r="D7244" i="1"/>
  <c r="Q7244" i="1"/>
  <c r="R7244" i="1"/>
  <c r="E7244" i="1"/>
  <c r="G7244" i="1"/>
  <c r="H7244" i="1"/>
  <c r="J7244" i="1"/>
  <c r="K7244" i="1"/>
  <c r="L7244" i="1"/>
  <c r="A7245" i="1"/>
  <c r="B7245" i="1"/>
  <c r="C7245" i="1"/>
  <c r="D7245" i="1"/>
  <c r="Q7245" i="1"/>
  <c r="R7245" i="1"/>
  <c r="E7245" i="1"/>
  <c r="G7245" i="1"/>
  <c r="H7245" i="1"/>
  <c r="J7245" i="1"/>
  <c r="K7245" i="1"/>
  <c r="L7245" i="1"/>
  <c r="A7246" i="1"/>
  <c r="B7246" i="1"/>
  <c r="C7246" i="1"/>
  <c r="D7246" i="1"/>
  <c r="Q7246" i="1"/>
  <c r="R7246" i="1"/>
  <c r="E7246" i="1"/>
  <c r="G7246" i="1"/>
  <c r="H7246" i="1"/>
  <c r="J7246" i="1"/>
  <c r="K7246" i="1"/>
  <c r="L7246" i="1"/>
  <c r="A7247" i="1"/>
  <c r="B7247" i="1"/>
  <c r="C7247" i="1"/>
  <c r="D7247" i="1"/>
  <c r="Q7247" i="1"/>
  <c r="R7247" i="1"/>
  <c r="E7247" i="1"/>
  <c r="G7247" i="1"/>
  <c r="H7247" i="1"/>
  <c r="J7247" i="1"/>
  <c r="K7247" i="1"/>
  <c r="L7247" i="1"/>
  <c r="A7248" i="1"/>
  <c r="B7248" i="1"/>
  <c r="C7248" i="1"/>
  <c r="D7248" i="1"/>
  <c r="Q7248" i="1"/>
  <c r="R7248" i="1"/>
  <c r="E7248" i="1"/>
  <c r="G7248" i="1"/>
  <c r="H7248" i="1"/>
  <c r="J7248" i="1"/>
  <c r="K7248" i="1"/>
  <c r="L7248" i="1"/>
  <c r="A7249" i="1"/>
  <c r="B7249" i="1"/>
  <c r="C7249" i="1"/>
  <c r="D7249" i="1"/>
  <c r="Q7249" i="1"/>
  <c r="R7249" i="1"/>
  <c r="E7249" i="1"/>
  <c r="G7249" i="1"/>
  <c r="H7249" i="1"/>
  <c r="J7249" i="1"/>
  <c r="K7249" i="1"/>
  <c r="L7249" i="1"/>
  <c r="A7250" i="1"/>
  <c r="C7250" i="1"/>
  <c r="D7250" i="1"/>
  <c r="Q7250" i="1"/>
  <c r="R7250" i="1"/>
  <c r="G7250" i="1"/>
  <c r="H7250" i="1"/>
  <c r="J7250" i="1"/>
  <c r="K7250" i="1"/>
  <c r="L7250" i="1"/>
  <c r="A7251" i="1"/>
  <c r="C7251" i="1"/>
  <c r="D7251" i="1"/>
  <c r="Q7251" i="1"/>
  <c r="R7251" i="1"/>
  <c r="G7251" i="1"/>
  <c r="H7251" i="1"/>
  <c r="J7251" i="1"/>
  <c r="K7251" i="1"/>
  <c r="L7251" i="1"/>
  <c r="A7252" i="1"/>
  <c r="C7252" i="1"/>
  <c r="D7252" i="1"/>
  <c r="Q7252" i="1"/>
  <c r="R7252" i="1"/>
  <c r="G7252" i="1"/>
  <c r="H7252" i="1"/>
  <c r="K7252" i="1"/>
  <c r="L7252" i="1"/>
  <c r="A7253" i="1"/>
  <c r="C7253" i="1"/>
  <c r="D7253" i="1"/>
  <c r="Q7253" i="1"/>
  <c r="R7253" i="1"/>
  <c r="G7253" i="1"/>
  <c r="H7253" i="1"/>
  <c r="J7253" i="1"/>
  <c r="K7253" i="1"/>
  <c r="L7253" i="1"/>
  <c r="A7254" i="1"/>
  <c r="B7254" i="1"/>
  <c r="C7254" i="1"/>
  <c r="D7254" i="1"/>
  <c r="Q7254" i="1"/>
  <c r="R7254" i="1"/>
  <c r="G7254" i="1"/>
  <c r="H7254" i="1"/>
  <c r="J7254" i="1"/>
  <c r="K7254" i="1"/>
  <c r="L7254" i="1"/>
  <c r="A7255" i="1"/>
  <c r="B7255" i="1"/>
  <c r="C7255" i="1"/>
  <c r="D7255" i="1"/>
  <c r="Q7255" i="1"/>
  <c r="R7255" i="1"/>
  <c r="G7255" i="1"/>
  <c r="H7255" i="1"/>
  <c r="J7255" i="1"/>
  <c r="K7255" i="1"/>
  <c r="L7255" i="1"/>
  <c r="A7256" i="1"/>
  <c r="B7256" i="1"/>
  <c r="C7256" i="1"/>
  <c r="D7256" i="1"/>
  <c r="Q7256" i="1"/>
  <c r="R7256" i="1"/>
  <c r="E7256" i="1"/>
  <c r="G7256" i="1"/>
  <c r="H7256" i="1"/>
  <c r="J7256" i="1"/>
  <c r="K7256" i="1"/>
  <c r="L7256" i="1"/>
  <c r="A7257" i="1"/>
  <c r="B7257" i="1"/>
  <c r="C7257" i="1"/>
  <c r="D7257" i="1"/>
  <c r="Q7257" i="1"/>
  <c r="R7257" i="1"/>
  <c r="E7257" i="1"/>
  <c r="G7257" i="1"/>
  <c r="H7257" i="1"/>
  <c r="J7257" i="1"/>
  <c r="K7257" i="1"/>
  <c r="L7257" i="1"/>
  <c r="A7258" i="1"/>
  <c r="C7258" i="1"/>
  <c r="D7258" i="1"/>
  <c r="Q7258" i="1"/>
  <c r="R7258" i="1"/>
  <c r="G7258" i="1"/>
  <c r="H7258" i="1"/>
  <c r="J7258" i="1"/>
  <c r="K7258" i="1"/>
  <c r="L7258" i="1"/>
  <c r="A7259" i="1"/>
  <c r="C7259" i="1"/>
  <c r="D7259" i="1"/>
  <c r="Q7259" i="1"/>
  <c r="R7259" i="1"/>
  <c r="G7259" i="1"/>
  <c r="H7259" i="1"/>
  <c r="J7259" i="1"/>
  <c r="K7259" i="1"/>
  <c r="L7259" i="1"/>
  <c r="A7260" i="1"/>
  <c r="C7260" i="1"/>
  <c r="D7260" i="1"/>
  <c r="Q7260" i="1"/>
  <c r="R7260" i="1"/>
  <c r="G7260" i="1"/>
  <c r="H7260" i="1"/>
  <c r="J7260" i="1"/>
  <c r="K7260" i="1"/>
  <c r="L7260" i="1"/>
  <c r="A7261" i="1"/>
  <c r="C7261" i="1"/>
  <c r="D7261" i="1"/>
  <c r="Q7261" i="1"/>
  <c r="R7261" i="1"/>
  <c r="G7261" i="1"/>
  <c r="H7261" i="1"/>
  <c r="J7261" i="1"/>
  <c r="K7261" i="1"/>
  <c r="L7261" i="1"/>
  <c r="A7262" i="1"/>
  <c r="C7262" i="1"/>
  <c r="D7262" i="1"/>
  <c r="Q7262" i="1"/>
  <c r="R7262" i="1"/>
  <c r="G7262" i="1"/>
  <c r="H7262" i="1"/>
  <c r="J7262" i="1"/>
  <c r="K7262" i="1"/>
  <c r="L7262" i="1"/>
  <c r="A7263" i="1"/>
  <c r="C7263" i="1"/>
  <c r="D7263" i="1"/>
  <c r="Q7263" i="1"/>
  <c r="R7263" i="1"/>
  <c r="G7263" i="1"/>
  <c r="H7263" i="1"/>
  <c r="J7263" i="1"/>
  <c r="K7263" i="1"/>
  <c r="L7263" i="1"/>
  <c r="A7264" i="1"/>
  <c r="C7264" i="1"/>
  <c r="D7264" i="1"/>
  <c r="Q7264" i="1"/>
  <c r="R7264" i="1"/>
  <c r="G7264" i="1"/>
  <c r="H7264" i="1"/>
  <c r="J7264" i="1"/>
  <c r="K7264" i="1"/>
  <c r="L7264" i="1"/>
  <c r="A7265" i="1"/>
  <c r="C7265" i="1"/>
  <c r="D7265" i="1"/>
  <c r="Q7265" i="1"/>
  <c r="R7265" i="1"/>
  <c r="G7265" i="1"/>
  <c r="H7265" i="1"/>
  <c r="J7265" i="1"/>
  <c r="K7265" i="1"/>
  <c r="L7265" i="1"/>
  <c r="A7266" i="1"/>
  <c r="C7266" i="1"/>
  <c r="D7266" i="1"/>
  <c r="Q7266" i="1"/>
  <c r="R7266" i="1"/>
  <c r="G7266" i="1"/>
  <c r="H7266" i="1"/>
  <c r="J7266" i="1"/>
  <c r="K7266" i="1"/>
  <c r="L7266" i="1"/>
  <c r="A7267" i="1"/>
  <c r="B7267" i="1"/>
  <c r="C7267" i="1"/>
  <c r="D7267" i="1"/>
  <c r="Q7267" i="1"/>
  <c r="R7267" i="1"/>
  <c r="G7267" i="1"/>
  <c r="H7267" i="1"/>
  <c r="J7267" i="1"/>
  <c r="K7267" i="1"/>
  <c r="L7267" i="1"/>
  <c r="A7268" i="1"/>
  <c r="B7268" i="1"/>
  <c r="C7268" i="1"/>
  <c r="D7268" i="1"/>
  <c r="Q7268" i="1"/>
  <c r="R7268" i="1"/>
  <c r="G7268" i="1"/>
  <c r="H7268" i="1"/>
  <c r="J7268" i="1"/>
  <c r="K7268" i="1"/>
  <c r="L7268" i="1"/>
  <c r="A7269" i="1"/>
  <c r="C7269" i="1"/>
  <c r="D7269" i="1"/>
  <c r="Q7269" i="1"/>
  <c r="R7269" i="1"/>
  <c r="G7269" i="1"/>
  <c r="H7269" i="1"/>
  <c r="J7269" i="1"/>
  <c r="K7269" i="1"/>
  <c r="L7269" i="1"/>
  <c r="A7270" i="1"/>
  <c r="C7270" i="1"/>
  <c r="D7270" i="1"/>
  <c r="Q7270" i="1"/>
  <c r="R7270" i="1"/>
  <c r="G7270" i="1"/>
  <c r="H7270" i="1"/>
  <c r="J7270" i="1"/>
  <c r="K7270" i="1"/>
  <c r="L7270" i="1"/>
  <c r="A7271" i="1"/>
  <c r="C7271" i="1"/>
  <c r="D7271" i="1"/>
  <c r="Q7271" i="1"/>
  <c r="R7271" i="1"/>
  <c r="G7271" i="1"/>
  <c r="H7271" i="1"/>
  <c r="J7271" i="1"/>
  <c r="K7271" i="1"/>
  <c r="L7271" i="1"/>
  <c r="A7272" i="1"/>
  <c r="C7272" i="1"/>
  <c r="D7272" i="1"/>
  <c r="Q7272" i="1"/>
  <c r="R7272" i="1"/>
  <c r="G7272" i="1"/>
  <c r="H7272" i="1"/>
  <c r="J7272" i="1"/>
  <c r="K7272" i="1"/>
  <c r="L7272" i="1"/>
  <c r="A7273" i="1"/>
  <c r="C7273" i="1"/>
  <c r="D7273" i="1"/>
  <c r="Q7273" i="1"/>
  <c r="R7273" i="1"/>
  <c r="G7273" i="1"/>
  <c r="H7273" i="1"/>
  <c r="J7273" i="1"/>
  <c r="K7273" i="1"/>
  <c r="L7273" i="1"/>
  <c r="A7274" i="1"/>
  <c r="C7274" i="1"/>
  <c r="D7274" i="1"/>
  <c r="Q7274" i="1"/>
  <c r="R7274" i="1"/>
  <c r="G7274" i="1"/>
  <c r="H7274" i="1"/>
  <c r="J7274" i="1"/>
  <c r="K7274" i="1"/>
  <c r="L7274" i="1"/>
  <c r="A7275" i="1"/>
  <c r="C7275" i="1"/>
  <c r="D7275" i="1"/>
  <c r="Q7275" i="1"/>
  <c r="R7275" i="1"/>
  <c r="G7275" i="1"/>
  <c r="H7275" i="1"/>
  <c r="K7275" i="1"/>
  <c r="L7275" i="1"/>
  <c r="A7276" i="1"/>
  <c r="C7276" i="1"/>
  <c r="D7276" i="1"/>
  <c r="Q7276" i="1"/>
  <c r="R7276" i="1"/>
  <c r="G7276" i="1"/>
  <c r="H7276" i="1"/>
  <c r="J7276" i="1"/>
  <c r="K7276" i="1"/>
  <c r="L7276" i="1"/>
  <c r="A7277" i="1"/>
  <c r="B7277" i="1"/>
  <c r="C7277" i="1"/>
  <c r="D7277" i="1"/>
  <c r="Q7277" i="1"/>
  <c r="R7277" i="1"/>
  <c r="G7277" i="1"/>
  <c r="H7277" i="1"/>
  <c r="J7277" i="1"/>
  <c r="K7277" i="1"/>
  <c r="L7277" i="1"/>
  <c r="A7888" i="1"/>
  <c r="B7888" i="1"/>
  <c r="C7888" i="1"/>
  <c r="D7888" i="1"/>
  <c r="Q7888" i="1"/>
  <c r="R7888" i="1"/>
  <c r="E7888" i="1"/>
  <c r="G7888" i="1"/>
  <c r="H7888" i="1"/>
  <c r="J7888" i="1"/>
  <c r="K7888" i="1"/>
  <c r="L7888" i="1"/>
  <c r="A7889" i="1"/>
  <c r="B7889" i="1"/>
  <c r="C7889" i="1"/>
  <c r="D7889" i="1"/>
  <c r="Q7889" i="1"/>
  <c r="R7889" i="1"/>
  <c r="E7889" i="1"/>
  <c r="G7889" i="1"/>
  <c r="H7889" i="1"/>
  <c r="J7889" i="1"/>
  <c r="K7889" i="1"/>
  <c r="L7889" i="1"/>
  <c r="A7890" i="1"/>
  <c r="B7890" i="1"/>
  <c r="C7890" i="1"/>
  <c r="D7890" i="1"/>
  <c r="Q7890" i="1"/>
  <c r="R7890" i="1"/>
  <c r="E7890" i="1"/>
  <c r="G7890" i="1"/>
  <c r="H7890" i="1"/>
  <c r="J7890" i="1"/>
  <c r="K7890" i="1"/>
  <c r="L7890" i="1"/>
  <c r="A7309" i="1"/>
  <c r="B7309" i="1"/>
  <c r="C7309" i="1"/>
  <c r="D7309" i="1"/>
  <c r="Q7309" i="1"/>
  <c r="R7309" i="1"/>
  <c r="E7309" i="1"/>
  <c r="G7309" i="1"/>
  <c r="H7309" i="1"/>
  <c r="J7309" i="1"/>
  <c r="K7309" i="1"/>
  <c r="L7309" i="1"/>
  <c r="A7278" i="1"/>
  <c r="B7278" i="1"/>
  <c r="C7278" i="1"/>
  <c r="D7278" i="1"/>
  <c r="Q7278" i="1"/>
  <c r="R7278" i="1"/>
  <c r="G7278" i="1"/>
  <c r="H7278" i="1"/>
  <c r="J7278" i="1"/>
  <c r="K7278" i="1"/>
  <c r="L7278" i="1"/>
  <c r="A7279" i="1"/>
  <c r="B7279" i="1"/>
  <c r="C7279" i="1"/>
  <c r="D7279" i="1"/>
  <c r="Q7279" i="1"/>
  <c r="R7279" i="1"/>
  <c r="G7279" i="1"/>
  <c r="H7279" i="1"/>
  <c r="K7279" i="1"/>
  <c r="L7279" i="1"/>
  <c r="A7280" i="1"/>
  <c r="C7280" i="1"/>
  <c r="D7280" i="1"/>
  <c r="Q7280" i="1"/>
  <c r="R7280" i="1"/>
  <c r="G7280" i="1"/>
  <c r="H7280" i="1"/>
  <c r="J7280" i="1"/>
  <c r="K7280" i="1"/>
  <c r="L7280" i="1"/>
  <c r="A7281" i="1"/>
  <c r="C7281" i="1"/>
  <c r="D7281" i="1"/>
  <c r="Q7281" i="1"/>
  <c r="R7281" i="1"/>
  <c r="G7281" i="1"/>
  <c r="H7281" i="1"/>
  <c r="J7281" i="1"/>
  <c r="K7281" i="1"/>
  <c r="L7281" i="1"/>
  <c r="A7282" i="1"/>
  <c r="C7282" i="1"/>
  <c r="D7282" i="1"/>
  <c r="Q7282" i="1"/>
  <c r="R7282" i="1"/>
  <c r="G7282" i="1"/>
  <c r="H7282" i="1"/>
  <c r="J7282" i="1"/>
  <c r="K7282" i="1"/>
  <c r="L7282" i="1"/>
  <c r="A7283" i="1"/>
  <c r="C7283" i="1"/>
  <c r="D7283" i="1"/>
  <c r="Q7283" i="1"/>
  <c r="R7283" i="1"/>
  <c r="G7283" i="1"/>
  <c r="H7283" i="1"/>
  <c r="J7283" i="1"/>
  <c r="K7283" i="1"/>
  <c r="L7283" i="1"/>
  <c r="A7284" i="1"/>
  <c r="C7284" i="1"/>
  <c r="D7284" i="1"/>
  <c r="Q7284" i="1"/>
  <c r="R7284" i="1"/>
  <c r="G7284" i="1"/>
  <c r="H7284" i="1"/>
  <c r="J7284" i="1"/>
  <c r="K7284" i="1"/>
  <c r="L7284" i="1"/>
  <c r="A7285" i="1"/>
  <c r="C7285" i="1"/>
  <c r="D7285" i="1"/>
  <c r="Q7285" i="1"/>
  <c r="R7285" i="1"/>
  <c r="G7285" i="1"/>
  <c r="H7285" i="1"/>
  <c r="K7285" i="1"/>
  <c r="L7285" i="1"/>
  <c r="A7286" i="1"/>
  <c r="B7286" i="1"/>
  <c r="C7286" i="1"/>
  <c r="D7286" i="1"/>
  <c r="Q7286" i="1"/>
  <c r="R7286" i="1"/>
  <c r="E7286" i="1"/>
  <c r="G7286" i="1"/>
  <c r="H7286" i="1"/>
  <c r="J7286" i="1"/>
  <c r="K7286" i="1"/>
  <c r="L7286" i="1"/>
  <c r="A7345" i="1"/>
  <c r="B7345" i="1"/>
  <c r="C7345" i="1"/>
  <c r="D7345" i="1"/>
  <c r="Q7345" i="1"/>
  <c r="R7345" i="1"/>
  <c r="E7345" i="1"/>
  <c r="G7345" i="1"/>
  <c r="H7345" i="1"/>
  <c r="J7345" i="1"/>
  <c r="K7345" i="1"/>
  <c r="L7345" i="1"/>
  <c r="A7346" i="1"/>
  <c r="B7346" i="1"/>
  <c r="C7346" i="1"/>
  <c r="D7346" i="1"/>
  <c r="Q7346" i="1"/>
  <c r="R7346" i="1"/>
  <c r="E7346" i="1"/>
  <c r="G7346" i="1"/>
  <c r="H7346" i="1"/>
  <c r="J7346" i="1"/>
  <c r="K7346" i="1"/>
  <c r="L7346" i="1"/>
  <c r="A7287" i="1"/>
  <c r="B7287" i="1"/>
  <c r="C7287" i="1"/>
  <c r="D7287" i="1"/>
  <c r="Q7287" i="1"/>
  <c r="R7287" i="1"/>
  <c r="E7287" i="1"/>
  <c r="G7287" i="1"/>
  <c r="H7287" i="1"/>
  <c r="J7287" i="1"/>
  <c r="K7287" i="1"/>
  <c r="L7287" i="1"/>
  <c r="A7288" i="1"/>
  <c r="C7288" i="1"/>
  <c r="D7288" i="1"/>
  <c r="Q7288" i="1"/>
  <c r="R7288" i="1"/>
  <c r="G7288" i="1"/>
  <c r="H7288" i="1"/>
  <c r="K7288" i="1"/>
  <c r="L7288" i="1"/>
  <c r="A7289" i="1"/>
  <c r="C7289" i="1"/>
  <c r="D7289" i="1"/>
  <c r="Q7289" i="1"/>
  <c r="R7289" i="1"/>
  <c r="G7289" i="1"/>
  <c r="H7289" i="1"/>
  <c r="K7289" i="1"/>
  <c r="L7289" i="1"/>
  <c r="A7290" i="1"/>
  <c r="C7290" i="1"/>
  <c r="D7290" i="1"/>
  <c r="Q7290" i="1"/>
  <c r="R7290" i="1"/>
  <c r="G7290" i="1"/>
  <c r="H7290" i="1"/>
  <c r="K7290" i="1"/>
  <c r="L7290" i="1"/>
  <c r="A7291" i="1"/>
  <c r="C7291" i="1"/>
  <c r="D7291" i="1"/>
  <c r="Q7291" i="1"/>
  <c r="R7291" i="1"/>
  <c r="G7291" i="1"/>
  <c r="H7291" i="1"/>
  <c r="K7291" i="1"/>
  <c r="L7291" i="1"/>
  <c r="A8392" i="1"/>
  <c r="B8392" i="1"/>
  <c r="C8392" i="1"/>
  <c r="D8392" i="1"/>
  <c r="Q8392" i="1"/>
  <c r="R8392" i="1"/>
  <c r="E8392" i="1"/>
  <c r="F8392" i="1"/>
  <c r="G8392" i="1"/>
  <c r="H8392" i="1"/>
  <c r="J8392" i="1"/>
  <c r="K8392" i="1"/>
  <c r="L8392" i="1"/>
  <c r="A8393" i="1"/>
  <c r="B8393" i="1"/>
  <c r="C8393" i="1"/>
  <c r="D8393" i="1"/>
  <c r="Q8393" i="1"/>
  <c r="R8393" i="1"/>
  <c r="E8393" i="1"/>
  <c r="F8393" i="1"/>
  <c r="G8393" i="1"/>
  <c r="H8393" i="1"/>
  <c r="J8393" i="1"/>
  <c r="K8393" i="1"/>
  <c r="L8393" i="1"/>
  <c r="A8394" i="1"/>
  <c r="B8394" i="1"/>
  <c r="C8394" i="1"/>
  <c r="D8394" i="1"/>
  <c r="Q8394" i="1"/>
  <c r="R8394" i="1"/>
  <c r="E8394" i="1"/>
  <c r="F8394" i="1"/>
  <c r="G8394" i="1"/>
  <c r="H8394" i="1"/>
  <c r="J8394" i="1"/>
  <c r="K8394" i="1"/>
  <c r="L8394" i="1"/>
  <c r="A8395" i="1"/>
  <c r="B8395" i="1"/>
  <c r="C8395" i="1"/>
  <c r="D8395" i="1"/>
  <c r="Q8395" i="1"/>
  <c r="R8395" i="1"/>
  <c r="E8395" i="1"/>
  <c r="F8395" i="1"/>
  <c r="G8395" i="1"/>
  <c r="H8395" i="1"/>
  <c r="J8395" i="1"/>
  <c r="K8395" i="1"/>
  <c r="L8395" i="1"/>
  <c r="A7293" i="1"/>
  <c r="B7293" i="1"/>
  <c r="C7293" i="1"/>
  <c r="D7293" i="1"/>
  <c r="Q7293" i="1"/>
  <c r="R7293" i="1"/>
  <c r="E7293" i="1"/>
  <c r="G7293" i="1"/>
  <c r="H7293" i="1"/>
  <c r="J7293" i="1"/>
  <c r="K7293" i="1"/>
  <c r="L7293" i="1"/>
  <c r="A7294" i="1"/>
  <c r="B7294" i="1"/>
  <c r="C7294" i="1"/>
  <c r="D7294" i="1"/>
  <c r="Q7294" i="1"/>
  <c r="R7294" i="1"/>
  <c r="E7294" i="1"/>
  <c r="G7294" i="1"/>
  <c r="H7294" i="1"/>
  <c r="J7294" i="1"/>
  <c r="K7294" i="1"/>
  <c r="L7294" i="1"/>
  <c r="A7295" i="1"/>
  <c r="B7295" i="1"/>
  <c r="C7295" i="1"/>
  <c r="D7295" i="1"/>
  <c r="Q7295" i="1"/>
  <c r="R7295" i="1"/>
  <c r="E7295" i="1"/>
  <c r="G7295" i="1"/>
  <c r="H7295" i="1"/>
  <c r="J7295" i="1"/>
  <c r="K7295" i="1"/>
  <c r="L7295" i="1"/>
  <c r="A7296" i="1"/>
  <c r="B7296" i="1"/>
  <c r="C7296" i="1"/>
  <c r="D7296" i="1"/>
  <c r="Q7296" i="1"/>
  <c r="R7296" i="1"/>
  <c r="E7296" i="1"/>
  <c r="G7296" i="1"/>
  <c r="H7296" i="1"/>
  <c r="J7296" i="1"/>
  <c r="K7296" i="1"/>
  <c r="L7296" i="1"/>
  <c r="A7297" i="1"/>
  <c r="B7297" i="1"/>
  <c r="C7297" i="1"/>
  <c r="D7297" i="1"/>
  <c r="Q7297" i="1"/>
  <c r="R7297" i="1"/>
  <c r="E7297" i="1"/>
  <c r="G7297" i="1"/>
  <c r="H7297" i="1"/>
  <c r="J7297" i="1"/>
  <c r="K7297" i="1"/>
  <c r="L7297" i="1"/>
  <c r="A7298" i="1"/>
  <c r="B7298" i="1"/>
  <c r="C7298" i="1"/>
  <c r="D7298" i="1"/>
  <c r="Q7298" i="1"/>
  <c r="R7298" i="1"/>
  <c r="E7298" i="1"/>
  <c r="G7298" i="1"/>
  <c r="H7298" i="1"/>
  <c r="J7298" i="1"/>
  <c r="K7298" i="1"/>
  <c r="L7298" i="1"/>
  <c r="A7299" i="1"/>
  <c r="B7299" i="1"/>
  <c r="C7299" i="1"/>
  <c r="D7299" i="1"/>
  <c r="Q7299" i="1"/>
  <c r="R7299" i="1"/>
  <c r="E7299" i="1"/>
  <c r="G7299" i="1"/>
  <c r="H7299" i="1"/>
  <c r="J7299" i="1"/>
  <c r="K7299" i="1"/>
  <c r="L7299" i="1"/>
  <c r="A7300" i="1"/>
  <c r="B7300" i="1"/>
  <c r="C7300" i="1"/>
  <c r="D7300" i="1"/>
  <c r="Q7300" i="1"/>
  <c r="R7300" i="1"/>
  <c r="E7300" i="1"/>
  <c r="G7300" i="1"/>
  <c r="H7300" i="1"/>
  <c r="J7300" i="1"/>
  <c r="K7300" i="1"/>
  <c r="L7300" i="1"/>
  <c r="A7301" i="1"/>
  <c r="B7301" i="1"/>
  <c r="C7301" i="1"/>
  <c r="D7301" i="1"/>
  <c r="Q7301" i="1"/>
  <c r="R7301" i="1"/>
  <c r="E7301" i="1"/>
  <c r="G7301" i="1"/>
  <c r="H7301" i="1"/>
  <c r="J7301" i="1"/>
  <c r="K7301" i="1"/>
  <c r="L7301" i="1"/>
  <c r="A7302" i="1"/>
  <c r="B7302" i="1"/>
  <c r="C7302" i="1"/>
  <c r="D7302" i="1"/>
  <c r="Q7302" i="1"/>
  <c r="R7302" i="1"/>
  <c r="E7302" i="1"/>
  <c r="G7302" i="1"/>
  <c r="H7302" i="1"/>
  <c r="J7302" i="1"/>
  <c r="K7302" i="1"/>
  <c r="L7302" i="1"/>
  <c r="A7303" i="1"/>
  <c r="B7303" i="1"/>
  <c r="C7303" i="1"/>
  <c r="D7303" i="1"/>
  <c r="Q7303" i="1"/>
  <c r="R7303" i="1"/>
  <c r="E7303" i="1"/>
  <c r="G7303" i="1"/>
  <c r="H7303" i="1"/>
  <c r="J7303" i="1"/>
  <c r="K7303" i="1"/>
  <c r="L7303" i="1"/>
  <c r="A7304" i="1"/>
  <c r="B7304" i="1"/>
  <c r="C7304" i="1"/>
  <c r="D7304" i="1"/>
  <c r="Q7304" i="1"/>
  <c r="R7304" i="1"/>
  <c r="E7304" i="1"/>
  <c r="G7304" i="1"/>
  <c r="H7304" i="1"/>
  <c r="J7304" i="1"/>
  <c r="K7304" i="1"/>
  <c r="L7304" i="1"/>
  <c r="A7305" i="1"/>
  <c r="B7305" i="1"/>
  <c r="C7305" i="1"/>
  <c r="D7305" i="1"/>
  <c r="Q7305" i="1"/>
  <c r="R7305" i="1"/>
  <c r="E7305" i="1"/>
  <c r="G7305" i="1"/>
  <c r="H7305" i="1"/>
  <c r="J7305" i="1"/>
  <c r="K7305" i="1"/>
  <c r="L7305" i="1"/>
  <c r="A7306" i="1"/>
  <c r="B7306" i="1"/>
  <c r="C7306" i="1"/>
  <c r="D7306" i="1"/>
  <c r="Q7306" i="1"/>
  <c r="R7306" i="1"/>
  <c r="E7306" i="1"/>
  <c r="G7306" i="1"/>
  <c r="H7306" i="1"/>
  <c r="J7306" i="1"/>
  <c r="K7306" i="1"/>
  <c r="L7306" i="1"/>
  <c r="A7307" i="1"/>
  <c r="B7307" i="1"/>
  <c r="C7307" i="1"/>
  <c r="D7307" i="1"/>
  <c r="Q7307" i="1"/>
  <c r="R7307" i="1"/>
  <c r="E7307" i="1"/>
  <c r="G7307" i="1"/>
  <c r="H7307" i="1"/>
  <c r="J7307" i="1"/>
  <c r="K7307" i="1"/>
  <c r="L7307" i="1"/>
  <c r="A7308" i="1"/>
  <c r="B7308" i="1"/>
  <c r="C7308" i="1"/>
  <c r="D7308" i="1"/>
  <c r="Q7308" i="1"/>
  <c r="R7308" i="1"/>
  <c r="E7308" i="1"/>
  <c r="G7308" i="1"/>
  <c r="H7308" i="1"/>
  <c r="J7308" i="1"/>
  <c r="K7308" i="1"/>
  <c r="L7308" i="1"/>
  <c r="A7310" i="1"/>
  <c r="B7310" i="1"/>
  <c r="C7310" i="1"/>
  <c r="D7310" i="1"/>
  <c r="Q7310" i="1"/>
  <c r="R7310" i="1"/>
  <c r="E7310" i="1"/>
  <c r="G7310" i="1"/>
  <c r="H7310" i="1"/>
  <c r="J7310" i="1"/>
  <c r="K7310" i="1"/>
  <c r="L7310" i="1"/>
  <c r="A7311" i="1"/>
  <c r="B7311" i="1"/>
  <c r="C7311" i="1"/>
  <c r="D7311" i="1"/>
  <c r="Q7311" i="1"/>
  <c r="R7311" i="1"/>
  <c r="E7311" i="1"/>
  <c r="G7311" i="1"/>
  <c r="H7311" i="1"/>
  <c r="J7311" i="1"/>
  <c r="K7311" i="1"/>
  <c r="L7311" i="1"/>
  <c r="A7312" i="1"/>
  <c r="B7312" i="1"/>
  <c r="C7312" i="1"/>
  <c r="D7312" i="1"/>
  <c r="Q7312" i="1"/>
  <c r="R7312" i="1"/>
  <c r="E7312" i="1"/>
  <c r="G7312" i="1"/>
  <c r="H7312" i="1"/>
  <c r="J7312" i="1"/>
  <c r="K7312" i="1"/>
  <c r="L7312" i="1"/>
  <c r="A7313" i="1"/>
  <c r="B7313" i="1"/>
  <c r="C7313" i="1"/>
  <c r="D7313" i="1"/>
  <c r="Q7313" i="1"/>
  <c r="R7313" i="1"/>
  <c r="E7313" i="1"/>
  <c r="G7313" i="1"/>
  <c r="H7313" i="1"/>
  <c r="J7313" i="1"/>
  <c r="K7313" i="1"/>
  <c r="L7313" i="1"/>
  <c r="A7314" i="1"/>
  <c r="B7314" i="1"/>
  <c r="C7314" i="1"/>
  <c r="D7314" i="1"/>
  <c r="Q7314" i="1"/>
  <c r="R7314" i="1"/>
  <c r="E7314" i="1"/>
  <c r="G7314" i="1"/>
  <c r="H7314" i="1"/>
  <c r="J7314" i="1"/>
  <c r="K7314" i="1"/>
  <c r="L7314" i="1"/>
  <c r="A7315" i="1"/>
  <c r="B7315" i="1"/>
  <c r="C7315" i="1"/>
  <c r="D7315" i="1"/>
  <c r="Q7315" i="1"/>
  <c r="R7315" i="1"/>
  <c r="E7315" i="1"/>
  <c r="G7315" i="1"/>
  <c r="H7315" i="1"/>
  <c r="J7315" i="1"/>
  <c r="K7315" i="1"/>
  <c r="L7315" i="1"/>
  <c r="A7316" i="1"/>
  <c r="B7316" i="1"/>
  <c r="C7316" i="1"/>
  <c r="D7316" i="1"/>
  <c r="Q7316" i="1"/>
  <c r="R7316" i="1"/>
  <c r="E7316" i="1"/>
  <c r="G7316" i="1"/>
  <c r="H7316" i="1"/>
  <c r="J7316" i="1"/>
  <c r="K7316" i="1"/>
  <c r="L7316" i="1"/>
  <c r="A7317" i="1"/>
  <c r="B7317" i="1"/>
  <c r="C7317" i="1"/>
  <c r="D7317" i="1"/>
  <c r="Q7317" i="1"/>
  <c r="R7317" i="1"/>
  <c r="E7317" i="1"/>
  <c r="G7317" i="1"/>
  <c r="H7317" i="1"/>
  <c r="J7317" i="1"/>
  <c r="K7317" i="1"/>
  <c r="L7317" i="1"/>
  <c r="A7318" i="1"/>
  <c r="B7318" i="1"/>
  <c r="C7318" i="1"/>
  <c r="D7318" i="1"/>
  <c r="Q7318" i="1"/>
  <c r="R7318" i="1"/>
  <c r="E7318" i="1"/>
  <c r="G7318" i="1"/>
  <c r="H7318" i="1"/>
  <c r="J7318" i="1"/>
  <c r="K7318" i="1"/>
  <c r="L7318" i="1"/>
  <c r="A7319" i="1"/>
  <c r="B7319" i="1"/>
  <c r="C7319" i="1"/>
  <c r="D7319" i="1"/>
  <c r="Q7319" i="1"/>
  <c r="R7319" i="1"/>
  <c r="E7319" i="1"/>
  <c r="G7319" i="1"/>
  <c r="H7319" i="1"/>
  <c r="J7319" i="1"/>
  <c r="K7319" i="1"/>
  <c r="L7319" i="1"/>
  <c r="A7320" i="1"/>
  <c r="B7320" i="1"/>
  <c r="C7320" i="1"/>
  <c r="D7320" i="1"/>
  <c r="Q7320" i="1"/>
  <c r="R7320" i="1"/>
  <c r="E7320" i="1"/>
  <c r="G7320" i="1"/>
  <c r="H7320" i="1"/>
  <c r="J7320" i="1"/>
  <c r="K7320" i="1"/>
  <c r="L7320" i="1"/>
  <c r="A7321" i="1"/>
  <c r="B7321" i="1"/>
  <c r="C7321" i="1"/>
  <c r="D7321" i="1"/>
  <c r="Q7321" i="1"/>
  <c r="R7321" i="1"/>
  <c r="E7321" i="1"/>
  <c r="G7321" i="1"/>
  <c r="H7321" i="1"/>
  <c r="J7321" i="1"/>
  <c r="K7321" i="1"/>
  <c r="L7321" i="1"/>
  <c r="A7322" i="1"/>
  <c r="B7322" i="1"/>
  <c r="C7322" i="1"/>
  <c r="D7322" i="1"/>
  <c r="Q7322" i="1"/>
  <c r="R7322" i="1"/>
  <c r="E7322" i="1"/>
  <c r="G7322" i="1"/>
  <c r="H7322" i="1"/>
  <c r="J7322" i="1"/>
  <c r="K7322" i="1"/>
  <c r="L7322" i="1"/>
  <c r="A7323" i="1"/>
  <c r="B7323" i="1"/>
  <c r="C7323" i="1"/>
  <c r="D7323" i="1"/>
  <c r="Q7323" i="1"/>
  <c r="R7323" i="1"/>
  <c r="E7323" i="1"/>
  <c r="G7323" i="1"/>
  <c r="H7323" i="1"/>
  <c r="J7323" i="1"/>
  <c r="K7323" i="1"/>
  <c r="L7323" i="1"/>
  <c r="A7324" i="1"/>
  <c r="C7324" i="1"/>
  <c r="D7324" i="1"/>
  <c r="Q7324" i="1"/>
  <c r="R7324" i="1"/>
  <c r="G7324" i="1"/>
  <c r="H7324" i="1"/>
  <c r="K7324" i="1"/>
  <c r="L7324" i="1"/>
  <c r="A7325" i="1"/>
  <c r="B7325" i="1"/>
  <c r="C7325" i="1"/>
  <c r="D7325" i="1"/>
  <c r="Q7325" i="1"/>
  <c r="R7325" i="1"/>
  <c r="E7325" i="1"/>
  <c r="G7325" i="1"/>
  <c r="H7325" i="1"/>
  <c r="J7325" i="1"/>
  <c r="K7325" i="1"/>
  <c r="L7325" i="1"/>
  <c r="A7326" i="1"/>
  <c r="B7326" i="1"/>
  <c r="C7326" i="1"/>
  <c r="D7326" i="1"/>
  <c r="Q7326" i="1"/>
  <c r="R7326" i="1"/>
  <c r="E7326" i="1"/>
  <c r="G7326" i="1"/>
  <c r="H7326" i="1"/>
  <c r="J7326" i="1"/>
  <c r="K7326" i="1"/>
  <c r="L7326" i="1"/>
  <c r="A7327" i="1"/>
  <c r="B7327" i="1"/>
  <c r="C7327" i="1"/>
  <c r="D7327" i="1"/>
  <c r="Q7327" i="1"/>
  <c r="R7327" i="1"/>
  <c r="E7327" i="1"/>
  <c r="G7327" i="1"/>
  <c r="H7327" i="1"/>
  <c r="J7327" i="1"/>
  <c r="K7327" i="1"/>
  <c r="L7327" i="1"/>
  <c r="A7328" i="1"/>
  <c r="B7328" i="1"/>
  <c r="C7328" i="1"/>
  <c r="D7328" i="1"/>
  <c r="Q7328" i="1"/>
  <c r="R7328" i="1"/>
  <c r="E7328" i="1"/>
  <c r="G7328" i="1"/>
  <c r="H7328" i="1"/>
  <c r="J7328" i="1"/>
  <c r="K7328" i="1"/>
  <c r="L7328" i="1"/>
  <c r="A7329" i="1"/>
  <c r="B7329" i="1"/>
  <c r="C7329" i="1"/>
  <c r="D7329" i="1"/>
  <c r="Q7329" i="1"/>
  <c r="R7329" i="1"/>
  <c r="E7329" i="1"/>
  <c r="G7329" i="1"/>
  <c r="H7329" i="1"/>
  <c r="J7329" i="1"/>
  <c r="K7329" i="1"/>
  <c r="L7329" i="1"/>
  <c r="A7330" i="1"/>
  <c r="B7330" i="1"/>
  <c r="C7330" i="1"/>
  <c r="D7330" i="1"/>
  <c r="Q7330" i="1"/>
  <c r="R7330" i="1"/>
  <c r="E7330" i="1"/>
  <c r="G7330" i="1"/>
  <c r="H7330" i="1"/>
  <c r="J7330" i="1"/>
  <c r="K7330" i="1"/>
  <c r="L7330" i="1"/>
  <c r="A7331" i="1"/>
  <c r="B7331" i="1"/>
  <c r="C7331" i="1"/>
  <c r="D7331" i="1"/>
  <c r="Q7331" i="1"/>
  <c r="R7331" i="1"/>
  <c r="E7331" i="1"/>
  <c r="G7331" i="1"/>
  <c r="H7331" i="1"/>
  <c r="J7331" i="1"/>
  <c r="K7331" i="1"/>
  <c r="L7331" i="1"/>
  <c r="A7332" i="1"/>
  <c r="B7332" i="1"/>
  <c r="C7332" i="1"/>
  <c r="D7332" i="1"/>
  <c r="Q7332" i="1"/>
  <c r="R7332" i="1"/>
  <c r="E7332" i="1"/>
  <c r="G7332" i="1"/>
  <c r="H7332" i="1"/>
  <c r="J7332" i="1"/>
  <c r="K7332" i="1"/>
  <c r="L7332" i="1"/>
  <c r="A7333" i="1"/>
  <c r="B7333" i="1"/>
  <c r="C7333" i="1"/>
  <c r="D7333" i="1"/>
  <c r="Q7333" i="1"/>
  <c r="R7333" i="1"/>
  <c r="E7333" i="1"/>
  <c r="G7333" i="1"/>
  <c r="H7333" i="1"/>
  <c r="J7333" i="1"/>
  <c r="K7333" i="1"/>
  <c r="L7333" i="1"/>
  <c r="A7334" i="1"/>
  <c r="B7334" i="1"/>
  <c r="C7334" i="1"/>
  <c r="D7334" i="1"/>
  <c r="Q7334" i="1"/>
  <c r="R7334" i="1"/>
  <c r="E7334" i="1"/>
  <c r="G7334" i="1"/>
  <c r="H7334" i="1"/>
  <c r="J7334" i="1"/>
  <c r="K7334" i="1"/>
  <c r="L7334" i="1"/>
  <c r="A7335" i="1"/>
  <c r="B7335" i="1"/>
  <c r="C7335" i="1"/>
  <c r="D7335" i="1"/>
  <c r="Q7335" i="1"/>
  <c r="R7335" i="1"/>
  <c r="E7335" i="1"/>
  <c r="G7335" i="1"/>
  <c r="H7335" i="1"/>
  <c r="J7335" i="1"/>
  <c r="K7335" i="1"/>
  <c r="L7335" i="1"/>
  <c r="A7336" i="1"/>
  <c r="B7336" i="1"/>
  <c r="C7336" i="1"/>
  <c r="D7336" i="1"/>
  <c r="Q7336" i="1"/>
  <c r="R7336" i="1"/>
  <c r="E7336" i="1"/>
  <c r="G7336" i="1"/>
  <c r="H7336" i="1"/>
  <c r="J7336" i="1"/>
  <c r="K7336" i="1"/>
  <c r="L7336" i="1"/>
  <c r="A7337" i="1"/>
  <c r="B7337" i="1"/>
  <c r="C7337" i="1"/>
  <c r="D7337" i="1"/>
  <c r="Q7337" i="1"/>
  <c r="R7337" i="1"/>
  <c r="E7337" i="1"/>
  <c r="G7337" i="1"/>
  <c r="H7337" i="1"/>
  <c r="J7337" i="1"/>
  <c r="K7337" i="1"/>
  <c r="L7337" i="1"/>
  <c r="A7338" i="1"/>
  <c r="B7338" i="1"/>
  <c r="C7338" i="1"/>
  <c r="D7338" i="1"/>
  <c r="Q7338" i="1"/>
  <c r="R7338" i="1"/>
  <c r="E7338" i="1"/>
  <c r="G7338" i="1"/>
  <c r="H7338" i="1"/>
  <c r="J7338" i="1"/>
  <c r="K7338" i="1"/>
  <c r="L7338" i="1"/>
  <c r="A7339" i="1"/>
  <c r="B7339" i="1"/>
  <c r="C7339" i="1"/>
  <c r="D7339" i="1"/>
  <c r="Q7339" i="1"/>
  <c r="R7339" i="1"/>
  <c r="E7339" i="1"/>
  <c r="G7339" i="1"/>
  <c r="H7339" i="1"/>
  <c r="J7339" i="1"/>
  <c r="K7339" i="1"/>
  <c r="L7339" i="1"/>
  <c r="A7340" i="1"/>
  <c r="B7340" i="1"/>
  <c r="C7340" i="1"/>
  <c r="D7340" i="1"/>
  <c r="Q7340" i="1"/>
  <c r="R7340" i="1"/>
  <c r="E7340" i="1"/>
  <c r="G7340" i="1"/>
  <c r="H7340" i="1"/>
  <c r="J7340" i="1"/>
  <c r="K7340" i="1"/>
  <c r="L7340" i="1"/>
  <c r="A7341" i="1"/>
  <c r="B7341" i="1"/>
  <c r="C7341" i="1"/>
  <c r="D7341" i="1"/>
  <c r="Q7341" i="1"/>
  <c r="R7341" i="1"/>
  <c r="E7341" i="1"/>
  <c r="G7341" i="1"/>
  <c r="H7341" i="1"/>
  <c r="J7341" i="1"/>
  <c r="K7341" i="1"/>
  <c r="L7341" i="1"/>
  <c r="A7342" i="1"/>
  <c r="B7342" i="1"/>
  <c r="C7342" i="1"/>
  <c r="D7342" i="1"/>
  <c r="Q7342" i="1"/>
  <c r="R7342" i="1"/>
  <c r="E7342" i="1"/>
  <c r="G7342" i="1"/>
  <c r="H7342" i="1"/>
  <c r="J7342" i="1"/>
  <c r="K7342" i="1"/>
  <c r="L7342" i="1"/>
  <c r="A7343" i="1"/>
  <c r="B7343" i="1"/>
  <c r="C7343" i="1"/>
  <c r="D7343" i="1"/>
  <c r="Q7343" i="1"/>
  <c r="R7343" i="1"/>
  <c r="E7343" i="1"/>
  <c r="G7343" i="1"/>
  <c r="H7343" i="1"/>
  <c r="J7343" i="1"/>
  <c r="K7343" i="1"/>
  <c r="L7343" i="1"/>
  <c r="A7344" i="1"/>
  <c r="B7344" i="1"/>
  <c r="C7344" i="1"/>
  <c r="D7344" i="1"/>
  <c r="Q7344" i="1"/>
  <c r="R7344" i="1"/>
  <c r="E7344" i="1"/>
  <c r="G7344" i="1"/>
  <c r="H7344" i="1"/>
  <c r="J7344" i="1"/>
  <c r="K7344" i="1"/>
  <c r="L7344" i="1"/>
  <c r="A7347" i="1"/>
  <c r="B7347" i="1"/>
  <c r="C7347" i="1"/>
  <c r="D7347" i="1"/>
  <c r="Q7347" i="1"/>
  <c r="R7347" i="1"/>
  <c r="E7347" i="1"/>
  <c r="G7347" i="1"/>
  <c r="H7347" i="1"/>
  <c r="J7347" i="1"/>
  <c r="K7347" i="1"/>
  <c r="L7347" i="1"/>
  <c r="A7348" i="1"/>
  <c r="B7348" i="1"/>
  <c r="C7348" i="1"/>
  <c r="D7348" i="1"/>
  <c r="Q7348" i="1"/>
  <c r="R7348" i="1"/>
  <c r="E7348" i="1"/>
  <c r="G7348" i="1"/>
  <c r="H7348" i="1"/>
  <c r="J7348" i="1"/>
  <c r="K7348" i="1"/>
  <c r="L7348" i="1"/>
  <c r="A7349" i="1"/>
  <c r="B7349" i="1"/>
  <c r="C7349" i="1"/>
  <c r="D7349" i="1"/>
  <c r="Q7349" i="1"/>
  <c r="R7349" i="1"/>
  <c r="E7349" i="1"/>
  <c r="G7349" i="1"/>
  <c r="H7349" i="1"/>
  <c r="J7349" i="1"/>
  <c r="K7349" i="1"/>
  <c r="L7349" i="1"/>
  <c r="A7350" i="1"/>
  <c r="B7350" i="1"/>
  <c r="C7350" i="1"/>
  <c r="D7350" i="1"/>
  <c r="Q7350" i="1"/>
  <c r="R7350" i="1"/>
  <c r="E7350" i="1"/>
  <c r="G7350" i="1"/>
  <c r="H7350" i="1"/>
  <c r="J7350" i="1"/>
  <c r="K7350" i="1"/>
  <c r="L7350" i="1"/>
  <c r="A7351" i="1"/>
  <c r="B7351" i="1"/>
  <c r="C7351" i="1"/>
  <c r="D7351" i="1"/>
  <c r="Q7351" i="1"/>
  <c r="R7351" i="1"/>
  <c r="E7351" i="1"/>
  <c r="G7351" i="1"/>
  <c r="H7351" i="1"/>
  <c r="J7351" i="1"/>
  <c r="K7351" i="1"/>
  <c r="L7351" i="1"/>
  <c r="A7352" i="1"/>
  <c r="B7352" i="1"/>
  <c r="C7352" i="1"/>
  <c r="D7352" i="1"/>
  <c r="Q7352" i="1"/>
  <c r="R7352" i="1"/>
  <c r="E7352" i="1"/>
  <c r="G7352" i="1"/>
  <c r="H7352" i="1"/>
  <c r="J7352" i="1"/>
  <c r="K7352" i="1"/>
  <c r="L7352" i="1"/>
  <c r="A7354" i="1"/>
  <c r="B7354" i="1"/>
  <c r="C7354" i="1"/>
  <c r="D7354" i="1"/>
  <c r="Q7354" i="1"/>
  <c r="R7354" i="1"/>
  <c r="E7354" i="1"/>
  <c r="G7354" i="1"/>
  <c r="H7354" i="1"/>
  <c r="J7354" i="1"/>
  <c r="K7354" i="1"/>
  <c r="L7354" i="1"/>
  <c r="A7355" i="1"/>
  <c r="B7355" i="1"/>
  <c r="C7355" i="1"/>
  <c r="D7355" i="1"/>
  <c r="Q7355" i="1"/>
  <c r="R7355" i="1"/>
  <c r="E7355" i="1"/>
  <c r="G7355" i="1"/>
  <c r="H7355" i="1"/>
  <c r="J7355" i="1"/>
  <c r="K7355" i="1"/>
  <c r="L7355" i="1"/>
  <c r="A7356" i="1"/>
  <c r="B7356" i="1"/>
  <c r="C7356" i="1"/>
  <c r="D7356" i="1"/>
  <c r="Q7356" i="1"/>
  <c r="R7356" i="1"/>
  <c r="E7356" i="1"/>
  <c r="G7356" i="1"/>
  <c r="H7356" i="1"/>
  <c r="J7356" i="1"/>
  <c r="K7356" i="1"/>
  <c r="L7356" i="1"/>
  <c r="A7357" i="1"/>
  <c r="B7357" i="1"/>
  <c r="C7357" i="1"/>
  <c r="D7357" i="1"/>
  <c r="Q7357" i="1"/>
  <c r="R7357" i="1"/>
  <c r="E7357" i="1"/>
  <c r="G7357" i="1"/>
  <c r="H7357" i="1"/>
  <c r="J7357" i="1"/>
  <c r="K7357" i="1"/>
  <c r="L7357" i="1"/>
  <c r="A7358" i="1"/>
  <c r="B7358" i="1"/>
  <c r="C7358" i="1"/>
  <c r="D7358" i="1"/>
  <c r="Q7358" i="1"/>
  <c r="R7358" i="1"/>
  <c r="E7358" i="1"/>
  <c r="G7358" i="1"/>
  <c r="H7358" i="1"/>
  <c r="J7358" i="1"/>
  <c r="K7358" i="1"/>
  <c r="L7358" i="1"/>
  <c r="A7359" i="1"/>
  <c r="B7359" i="1"/>
  <c r="C7359" i="1"/>
  <c r="D7359" i="1"/>
  <c r="Q7359" i="1"/>
  <c r="R7359" i="1"/>
  <c r="E7359" i="1"/>
  <c r="G7359" i="1"/>
  <c r="H7359" i="1"/>
  <c r="J7359" i="1"/>
  <c r="K7359" i="1"/>
  <c r="L7359" i="1"/>
  <c r="A7360" i="1"/>
  <c r="B7360" i="1"/>
  <c r="C7360" i="1"/>
  <c r="D7360" i="1"/>
  <c r="Q7360" i="1"/>
  <c r="R7360" i="1"/>
  <c r="E7360" i="1"/>
  <c r="G7360" i="1"/>
  <c r="H7360" i="1"/>
  <c r="J7360" i="1"/>
  <c r="K7360" i="1"/>
  <c r="L7360" i="1"/>
  <c r="A7361" i="1"/>
  <c r="B7361" i="1"/>
  <c r="C7361" i="1"/>
  <c r="D7361" i="1"/>
  <c r="Q7361" i="1"/>
  <c r="R7361" i="1"/>
  <c r="E7361" i="1"/>
  <c r="G7361" i="1"/>
  <c r="H7361" i="1"/>
  <c r="J7361" i="1"/>
  <c r="K7361" i="1"/>
  <c r="L7361" i="1"/>
  <c r="A7362" i="1"/>
  <c r="B7362" i="1"/>
  <c r="C7362" i="1"/>
  <c r="D7362" i="1"/>
  <c r="Q7362" i="1"/>
  <c r="R7362" i="1"/>
  <c r="E7362" i="1"/>
  <c r="G7362" i="1"/>
  <c r="H7362" i="1"/>
  <c r="J7362" i="1"/>
  <c r="K7362" i="1"/>
  <c r="L7362" i="1"/>
  <c r="A7363" i="1"/>
  <c r="B7363" i="1"/>
  <c r="C7363" i="1"/>
  <c r="D7363" i="1"/>
  <c r="Q7363" i="1"/>
  <c r="R7363" i="1"/>
  <c r="E7363" i="1"/>
  <c r="G7363" i="1"/>
  <c r="H7363" i="1"/>
  <c r="J7363" i="1"/>
  <c r="K7363" i="1"/>
  <c r="L7363" i="1"/>
  <c r="A7364" i="1"/>
  <c r="B7364" i="1"/>
  <c r="C7364" i="1"/>
  <c r="D7364" i="1"/>
  <c r="Q7364" i="1"/>
  <c r="R7364" i="1"/>
  <c r="E7364" i="1"/>
  <c r="G7364" i="1"/>
  <c r="H7364" i="1"/>
  <c r="J7364" i="1"/>
  <c r="K7364" i="1"/>
  <c r="L7364" i="1"/>
  <c r="A7365" i="1"/>
  <c r="B7365" i="1"/>
  <c r="C7365" i="1"/>
  <c r="D7365" i="1"/>
  <c r="Q7365" i="1"/>
  <c r="R7365" i="1"/>
  <c r="E7365" i="1"/>
  <c r="G7365" i="1"/>
  <c r="H7365" i="1"/>
  <c r="J7365" i="1"/>
  <c r="K7365" i="1"/>
  <c r="L7365" i="1"/>
  <c r="A7366" i="1"/>
  <c r="B7366" i="1"/>
  <c r="C7366" i="1"/>
  <c r="D7366" i="1"/>
  <c r="Q7366" i="1"/>
  <c r="R7366" i="1"/>
  <c r="E7366" i="1"/>
  <c r="G7366" i="1"/>
  <c r="H7366" i="1"/>
  <c r="J7366" i="1"/>
  <c r="K7366" i="1"/>
  <c r="L7366" i="1"/>
  <c r="A7367" i="1"/>
  <c r="B7367" i="1"/>
  <c r="C7367" i="1"/>
  <c r="D7367" i="1"/>
  <c r="Q7367" i="1"/>
  <c r="R7367" i="1"/>
  <c r="E7367" i="1"/>
  <c r="G7367" i="1"/>
  <c r="H7367" i="1"/>
  <c r="J7367" i="1"/>
  <c r="K7367" i="1"/>
  <c r="L7367" i="1"/>
  <c r="A7368" i="1"/>
  <c r="B7368" i="1"/>
  <c r="C7368" i="1"/>
  <c r="D7368" i="1"/>
  <c r="Q7368" i="1"/>
  <c r="R7368" i="1"/>
  <c r="E7368" i="1"/>
  <c r="G7368" i="1"/>
  <c r="H7368" i="1"/>
  <c r="J7368" i="1"/>
  <c r="K7368" i="1"/>
  <c r="L7368" i="1"/>
  <c r="A7369" i="1"/>
  <c r="B7369" i="1"/>
  <c r="C7369" i="1"/>
  <c r="D7369" i="1"/>
  <c r="Q7369" i="1"/>
  <c r="R7369" i="1"/>
  <c r="E7369" i="1"/>
  <c r="G7369" i="1"/>
  <c r="H7369" i="1"/>
  <c r="J7369" i="1"/>
  <c r="K7369" i="1"/>
  <c r="L7369" i="1"/>
  <c r="A7370" i="1"/>
  <c r="B7370" i="1"/>
  <c r="C7370" i="1"/>
  <c r="D7370" i="1"/>
  <c r="Q7370" i="1"/>
  <c r="R7370" i="1"/>
  <c r="E7370" i="1"/>
  <c r="G7370" i="1"/>
  <c r="H7370" i="1"/>
  <c r="J7370" i="1"/>
  <c r="K7370" i="1"/>
  <c r="L7370" i="1"/>
  <c r="A7371" i="1"/>
  <c r="B7371" i="1"/>
  <c r="C7371" i="1"/>
  <c r="D7371" i="1"/>
  <c r="Q7371" i="1"/>
  <c r="R7371" i="1"/>
  <c r="E7371" i="1"/>
  <c r="G7371" i="1"/>
  <c r="H7371" i="1"/>
  <c r="J7371" i="1"/>
  <c r="K7371" i="1"/>
  <c r="L7371" i="1"/>
  <c r="A7372" i="1"/>
  <c r="B7372" i="1"/>
  <c r="C7372" i="1"/>
  <c r="D7372" i="1"/>
  <c r="Q7372" i="1"/>
  <c r="R7372" i="1"/>
  <c r="E7372" i="1"/>
  <c r="G7372" i="1"/>
  <c r="H7372" i="1"/>
  <c r="J7372" i="1"/>
  <c r="K7372" i="1"/>
  <c r="L7372" i="1"/>
  <c r="A7373" i="1"/>
  <c r="B7373" i="1"/>
  <c r="C7373" i="1"/>
  <c r="D7373" i="1"/>
  <c r="Q7373" i="1"/>
  <c r="R7373" i="1"/>
  <c r="E7373" i="1"/>
  <c r="G7373" i="1"/>
  <c r="H7373" i="1"/>
  <c r="J7373" i="1"/>
  <c r="K7373" i="1"/>
  <c r="L7373" i="1"/>
  <c r="A7374" i="1"/>
  <c r="B7374" i="1"/>
  <c r="C7374" i="1"/>
  <c r="D7374" i="1"/>
  <c r="Q7374" i="1"/>
  <c r="R7374" i="1"/>
  <c r="E7374" i="1"/>
  <c r="G7374" i="1"/>
  <c r="H7374" i="1"/>
  <c r="J7374" i="1"/>
  <c r="K7374" i="1"/>
  <c r="L7374" i="1"/>
  <c r="A7375" i="1"/>
  <c r="B7375" i="1"/>
  <c r="C7375" i="1"/>
  <c r="D7375" i="1"/>
  <c r="Q7375" i="1"/>
  <c r="R7375" i="1"/>
  <c r="E7375" i="1"/>
  <c r="G7375" i="1"/>
  <c r="H7375" i="1"/>
  <c r="J7375" i="1"/>
  <c r="K7375" i="1"/>
  <c r="L7375" i="1"/>
  <c r="A7376" i="1"/>
  <c r="B7376" i="1"/>
  <c r="C7376" i="1"/>
  <c r="D7376" i="1"/>
  <c r="Q7376" i="1"/>
  <c r="R7376" i="1"/>
  <c r="E7376" i="1"/>
  <c r="G7376" i="1"/>
  <c r="H7376" i="1"/>
  <c r="J7376" i="1"/>
  <c r="K7376" i="1"/>
  <c r="L7376" i="1"/>
  <c r="A7377" i="1"/>
  <c r="B7377" i="1"/>
  <c r="C7377" i="1"/>
  <c r="D7377" i="1"/>
  <c r="Q7377" i="1"/>
  <c r="R7377" i="1"/>
  <c r="E7377" i="1"/>
  <c r="G7377" i="1"/>
  <c r="H7377" i="1"/>
  <c r="J7377" i="1"/>
  <c r="K7377" i="1"/>
  <c r="L7377" i="1"/>
  <c r="A7378" i="1"/>
  <c r="B7378" i="1"/>
  <c r="C7378" i="1"/>
  <c r="D7378" i="1"/>
  <c r="Q7378" i="1"/>
  <c r="R7378" i="1"/>
  <c r="E7378" i="1"/>
  <c r="G7378" i="1"/>
  <c r="H7378" i="1"/>
  <c r="J7378" i="1"/>
  <c r="K7378" i="1"/>
  <c r="L7378" i="1"/>
  <c r="A7379" i="1"/>
  <c r="B7379" i="1"/>
  <c r="C7379" i="1"/>
  <c r="D7379" i="1"/>
  <c r="Q7379" i="1"/>
  <c r="R7379" i="1"/>
  <c r="E7379" i="1"/>
  <c r="G7379" i="1"/>
  <c r="H7379" i="1"/>
  <c r="J7379" i="1"/>
  <c r="K7379" i="1"/>
  <c r="L7379" i="1"/>
  <c r="A7380" i="1"/>
  <c r="B7380" i="1"/>
  <c r="C7380" i="1"/>
  <c r="D7380" i="1"/>
  <c r="Q7380" i="1"/>
  <c r="R7380" i="1"/>
  <c r="E7380" i="1"/>
  <c r="G7380" i="1"/>
  <c r="H7380" i="1"/>
  <c r="J7380" i="1"/>
  <c r="K7380" i="1"/>
  <c r="L7380" i="1"/>
  <c r="A7381" i="1"/>
  <c r="B7381" i="1"/>
  <c r="C7381" i="1"/>
  <c r="D7381" i="1"/>
  <c r="Q7381" i="1"/>
  <c r="R7381" i="1"/>
  <c r="E7381" i="1"/>
  <c r="G7381" i="1"/>
  <c r="H7381" i="1"/>
  <c r="J7381" i="1"/>
  <c r="K7381" i="1"/>
  <c r="L7381" i="1"/>
  <c r="A7382" i="1"/>
  <c r="B7382" i="1"/>
  <c r="C7382" i="1"/>
  <c r="D7382" i="1"/>
  <c r="Q7382" i="1"/>
  <c r="R7382" i="1"/>
  <c r="E7382" i="1"/>
  <c r="G7382" i="1"/>
  <c r="H7382" i="1"/>
  <c r="J7382" i="1"/>
  <c r="K7382" i="1"/>
  <c r="L7382" i="1"/>
  <c r="A7383" i="1"/>
  <c r="B7383" i="1"/>
  <c r="C7383" i="1"/>
  <c r="D7383" i="1"/>
  <c r="Q7383" i="1"/>
  <c r="R7383" i="1"/>
  <c r="E7383" i="1"/>
  <c r="G7383" i="1"/>
  <c r="H7383" i="1"/>
  <c r="J7383" i="1"/>
  <c r="K7383" i="1"/>
  <c r="L7383" i="1"/>
  <c r="A7384" i="1"/>
  <c r="B7384" i="1"/>
  <c r="C7384" i="1"/>
  <c r="D7384" i="1"/>
  <c r="Q7384" i="1"/>
  <c r="R7384" i="1"/>
  <c r="E7384" i="1"/>
  <c r="G7384" i="1"/>
  <c r="H7384" i="1"/>
  <c r="J7384" i="1"/>
  <c r="K7384" i="1"/>
  <c r="L7384" i="1"/>
  <c r="A7385" i="1"/>
  <c r="B7385" i="1"/>
  <c r="C7385" i="1"/>
  <c r="D7385" i="1"/>
  <c r="Q7385" i="1"/>
  <c r="R7385" i="1"/>
  <c r="E7385" i="1"/>
  <c r="G7385" i="1"/>
  <c r="H7385" i="1"/>
  <c r="J7385" i="1"/>
  <c r="K7385" i="1"/>
  <c r="L7385" i="1"/>
  <c r="A7386" i="1"/>
  <c r="B7386" i="1"/>
  <c r="C7386" i="1"/>
  <c r="D7386" i="1"/>
  <c r="Q7386" i="1"/>
  <c r="R7386" i="1"/>
  <c r="E7386" i="1"/>
  <c r="G7386" i="1"/>
  <c r="H7386" i="1"/>
  <c r="J7386" i="1"/>
  <c r="K7386" i="1"/>
  <c r="L7386" i="1"/>
  <c r="A7387" i="1"/>
  <c r="B7387" i="1"/>
  <c r="C7387" i="1"/>
  <c r="D7387" i="1"/>
  <c r="Q7387" i="1"/>
  <c r="R7387" i="1"/>
  <c r="E7387" i="1"/>
  <c r="G7387" i="1"/>
  <c r="H7387" i="1"/>
  <c r="J7387" i="1"/>
  <c r="K7387" i="1"/>
  <c r="L7387" i="1"/>
  <c r="A7388" i="1"/>
  <c r="B7388" i="1"/>
  <c r="C7388" i="1"/>
  <c r="D7388" i="1"/>
  <c r="Q7388" i="1"/>
  <c r="R7388" i="1"/>
  <c r="E7388" i="1"/>
  <c r="G7388" i="1"/>
  <c r="H7388" i="1"/>
  <c r="J7388" i="1"/>
  <c r="K7388" i="1"/>
  <c r="L7388" i="1"/>
  <c r="A7389" i="1"/>
  <c r="B7389" i="1"/>
  <c r="C7389" i="1"/>
  <c r="D7389" i="1"/>
  <c r="Q7389" i="1"/>
  <c r="R7389" i="1"/>
  <c r="E7389" i="1"/>
  <c r="G7389" i="1"/>
  <c r="H7389" i="1"/>
  <c r="J7389" i="1"/>
  <c r="K7389" i="1"/>
  <c r="L7389" i="1"/>
  <c r="A7390" i="1"/>
  <c r="B7390" i="1"/>
  <c r="C7390" i="1"/>
  <c r="D7390" i="1"/>
  <c r="Q7390" i="1"/>
  <c r="R7390" i="1"/>
  <c r="E7390" i="1"/>
  <c r="G7390" i="1"/>
  <c r="H7390" i="1"/>
  <c r="J7390" i="1"/>
  <c r="K7390" i="1"/>
  <c r="L7390" i="1"/>
  <c r="A7391" i="1"/>
  <c r="B7391" i="1"/>
  <c r="C7391" i="1"/>
  <c r="D7391" i="1"/>
  <c r="Q7391" i="1"/>
  <c r="R7391" i="1"/>
  <c r="E7391" i="1"/>
  <c r="G7391" i="1"/>
  <c r="H7391" i="1"/>
  <c r="J7391" i="1"/>
  <c r="K7391" i="1"/>
  <c r="L7391" i="1"/>
  <c r="A7392" i="1"/>
  <c r="B7392" i="1"/>
  <c r="C7392" i="1"/>
  <c r="D7392" i="1"/>
  <c r="Q7392" i="1"/>
  <c r="R7392" i="1"/>
  <c r="E7392" i="1"/>
  <c r="G7392" i="1"/>
  <c r="H7392" i="1"/>
  <c r="J7392" i="1"/>
  <c r="K7392" i="1"/>
  <c r="L7392" i="1"/>
  <c r="A7393" i="1"/>
  <c r="B7393" i="1"/>
  <c r="C7393" i="1"/>
  <c r="D7393" i="1"/>
  <c r="Q7393" i="1"/>
  <c r="R7393" i="1"/>
  <c r="E7393" i="1"/>
  <c r="G7393" i="1"/>
  <c r="H7393" i="1"/>
  <c r="J7393" i="1"/>
  <c r="K7393" i="1"/>
  <c r="L7393" i="1"/>
  <c r="A7394" i="1"/>
  <c r="B7394" i="1"/>
  <c r="C7394" i="1"/>
  <c r="D7394" i="1"/>
  <c r="Q7394" i="1"/>
  <c r="R7394" i="1"/>
  <c r="E7394" i="1"/>
  <c r="G7394" i="1"/>
  <c r="H7394" i="1"/>
  <c r="J7394" i="1"/>
  <c r="K7394" i="1"/>
  <c r="L7394" i="1"/>
  <c r="A7395" i="1"/>
  <c r="B7395" i="1"/>
  <c r="C7395" i="1"/>
  <c r="D7395" i="1"/>
  <c r="Q7395" i="1"/>
  <c r="R7395" i="1"/>
  <c r="E7395" i="1"/>
  <c r="G7395" i="1"/>
  <c r="H7395" i="1"/>
  <c r="J7395" i="1"/>
  <c r="K7395" i="1"/>
  <c r="L7395" i="1"/>
  <c r="A7396" i="1"/>
  <c r="B7396" i="1"/>
  <c r="C7396" i="1"/>
  <c r="D7396" i="1"/>
  <c r="Q7396" i="1"/>
  <c r="R7396" i="1"/>
  <c r="E7396" i="1"/>
  <c r="G7396" i="1"/>
  <c r="H7396" i="1"/>
  <c r="J7396" i="1"/>
  <c r="K7396" i="1"/>
  <c r="L7396" i="1"/>
  <c r="A7397" i="1"/>
  <c r="B7397" i="1"/>
  <c r="C7397" i="1"/>
  <c r="D7397" i="1"/>
  <c r="Q7397" i="1"/>
  <c r="R7397" i="1"/>
  <c r="E7397" i="1"/>
  <c r="G7397" i="1"/>
  <c r="H7397" i="1"/>
  <c r="J7397" i="1"/>
  <c r="K7397" i="1"/>
  <c r="L7397" i="1"/>
  <c r="A7398" i="1"/>
  <c r="B7398" i="1"/>
  <c r="C7398" i="1"/>
  <c r="D7398" i="1"/>
  <c r="Q7398" i="1"/>
  <c r="R7398" i="1"/>
  <c r="E7398" i="1"/>
  <c r="G7398" i="1"/>
  <c r="H7398" i="1"/>
  <c r="J7398" i="1"/>
  <c r="K7398" i="1"/>
  <c r="L7398" i="1"/>
  <c r="A7399" i="1"/>
  <c r="B7399" i="1"/>
  <c r="C7399" i="1"/>
  <c r="D7399" i="1"/>
  <c r="Q7399" i="1"/>
  <c r="R7399" i="1"/>
  <c r="E7399" i="1"/>
  <c r="G7399" i="1"/>
  <c r="H7399" i="1"/>
  <c r="J7399" i="1"/>
  <c r="K7399" i="1"/>
  <c r="L7399" i="1"/>
  <c r="A7400" i="1"/>
  <c r="B7400" i="1"/>
  <c r="C7400" i="1"/>
  <c r="D7400" i="1"/>
  <c r="Q7400" i="1"/>
  <c r="R7400" i="1"/>
  <c r="E7400" i="1"/>
  <c r="G7400" i="1"/>
  <c r="H7400" i="1"/>
  <c r="J7400" i="1"/>
  <c r="K7400" i="1"/>
  <c r="L7400" i="1"/>
  <c r="A7401" i="1"/>
  <c r="B7401" i="1"/>
  <c r="C7401" i="1"/>
  <c r="D7401" i="1"/>
  <c r="Q7401" i="1"/>
  <c r="R7401" i="1"/>
  <c r="E7401" i="1"/>
  <c r="G7401" i="1"/>
  <c r="H7401" i="1"/>
  <c r="J7401" i="1"/>
  <c r="K7401" i="1"/>
  <c r="L7401" i="1"/>
  <c r="A7402" i="1"/>
  <c r="B7402" i="1"/>
  <c r="C7402" i="1"/>
  <c r="D7402" i="1"/>
  <c r="Q7402" i="1"/>
  <c r="R7402" i="1"/>
  <c r="E7402" i="1"/>
  <c r="G7402" i="1"/>
  <c r="H7402" i="1"/>
  <c r="J7402" i="1"/>
  <c r="K7402" i="1"/>
  <c r="L7402" i="1"/>
  <c r="A7403" i="1"/>
  <c r="B7403" i="1"/>
  <c r="C7403" i="1"/>
  <c r="D7403" i="1"/>
  <c r="Q7403" i="1"/>
  <c r="R7403" i="1"/>
  <c r="E7403" i="1"/>
  <c r="G7403" i="1"/>
  <c r="H7403" i="1"/>
  <c r="J7403" i="1"/>
  <c r="K7403" i="1"/>
  <c r="L7403" i="1"/>
  <c r="A7404" i="1"/>
  <c r="B7404" i="1"/>
  <c r="C7404" i="1"/>
  <c r="D7404" i="1"/>
  <c r="Q7404" i="1"/>
  <c r="R7404" i="1"/>
  <c r="E7404" i="1"/>
  <c r="G7404" i="1"/>
  <c r="H7404" i="1"/>
  <c r="J7404" i="1"/>
  <c r="K7404" i="1"/>
  <c r="L7404" i="1"/>
  <c r="A7405" i="1"/>
  <c r="B7405" i="1"/>
  <c r="C7405" i="1"/>
  <c r="D7405" i="1"/>
  <c r="Q7405" i="1"/>
  <c r="R7405" i="1"/>
  <c r="E7405" i="1"/>
  <c r="G7405" i="1"/>
  <c r="H7405" i="1"/>
  <c r="J7405" i="1"/>
  <c r="K7405" i="1"/>
  <c r="L7405" i="1"/>
  <c r="A7406" i="1"/>
  <c r="B7406" i="1"/>
  <c r="C7406" i="1"/>
  <c r="D7406" i="1"/>
  <c r="Q7406" i="1"/>
  <c r="R7406" i="1"/>
  <c r="E7406" i="1"/>
  <c r="G7406" i="1"/>
  <c r="H7406" i="1"/>
  <c r="J7406" i="1"/>
  <c r="K7406" i="1"/>
  <c r="L7406" i="1"/>
  <c r="A7407" i="1"/>
  <c r="B7407" i="1"/>
  <c r="C7407" i="1"/>
  <c r="D7407" i="1"/>
  <c r="Q7407" i="1"/>
  <c r="R7407" i="1"/>
  <c r="E7407" i="1"/>
  <c r="G7407" i="1"/>
  <c r="H7407" i="1"/>
  <c r="J7407" i="1"/>
  <c r="K7407" i="1"/>
  <c r="L7407" i="1"/>
  <c r="A7408" i="1"/>
  <c r="B7408" i="1"/>
  <c r="C7408" i="1"/>
  <c r="D7408" i="1"/>
  <c r="Q7408" i="1"/>
  <c r="R7408" i="1"/>
  <c r="E7408" i="1"/>
  <c r="G7408" i="1"/>
  <c r="H7408" i="1"/>
  <c r="J7408" i="1"/>
  <c r="K7408" i="1"/>
  <c r="L7408" i="1"/>
  <c r="A7409" i="1"/>
  <c r="B7409" i="1"/>
  <c r="C7409" i="1"/>
  <c r="D7409" i="1"/>
  <c r="Q7409" i="1"/>
  <c r="R7409" i="1"/>
  <c r="E7409" i="1"/>
  <c r="G7409" i="1"/>
  <c r="H7409" i="1"/>
  <c r="J7409" i="1"/>
  <c r="K7409" i="1"/>
  <c r="L7409" i="1"/>
  <c r="A7410" i="1"/>
  <c r="B7410" i="1"/>
  <c r="C7410" i="1"/>
  <c r="D7410" i="1"/>
  <c r="Q7410" i="1"/>
  <c r="R7410" i="1"/>
  <c r="E7410" i="1"/>
  <c r="G7410" i="1"/>
  <c r="H7410" i="1"/>
  <c r="J7410" i="1"/>
  <c r="K7410" i="1"/>
  <c r="L7410" i="1"/>
  <c r="A7411" i="1"/>
  <c r="B7411" i="1"/>
  <c r="C7411" i="1"/>
  <c r="D7411" i="1"/>
  <c r="Q7411" i="1"/>
  <c r="R7411" i="1"/>
  <c r="E7411" i="1"/>
  <c r="G7411" i="1"/>
  <c r="H7411" i="1"/>
  <c r="J7411" i="1"/>
  <c r="K7411" i="1"/>
  <c r="L7411" i="1"/>
  <c r="A7412" i="1"/>
  <c r="B7412" i="1"/>
  <c r="C7412" i="1"/>
  <c r="D7412" i="1"/>
  <c r="Q7412" i="1"/>
  <c r="R7412" i="1"/>
  <c r="E7412" i="1"/>
  <c r="G7412" i="1"/>
  <c r="H7412" i="1"/>
  <c r="J7412" i="1"/>
  <c r="K7412" i="1"/>
  <c r="L7412" i="1"/>
  <c r="A7413" i="1"/>
  <c r="B7413" i="1"/>
  <c r="C7413" i="1"/>
  <c r="D7413" i="1"/>
  <c r="Q7413" i="1"/>
  <c r="R7413" i="1"/>
  <c r="E7413" i="1"/>
  <c r="G7413" i="1"/>
  <c r="H7413" i="1"/>
  <c r="J7413" i="1"/>
  <c r="K7413" i="1"/>
  <c r="L7413" i="1"/>
  <c r="A7414" i="1"/>
  <c r="B7414" i="1"/>
  <c r="C7414" i="1"/>
  <c r="D7414" i="1"/>
  <c r="Q7414" i="1"/>
  <c r="R7414" i="1"/>
  <c r="E7414" i="1"/>
  <c r="G7414" i="1"/>
  <c r="H7414" i="1"/>
  <c r="J7414" i="1"/>
  <c r="K7414" i="1"/>
  <c r="L7414" i="1"/>
  <c r="A7415" i="1"/>
  <c r="B7415" i="1"/>
  <c r="C7415" i="1"/>
  <c r="D7415" i="1"/>
  <c r="Q7415" i="1"/>
  <c r="R7415" i="1"/>
  <c r="E7415" i="1"/>
  <c r="G7415" i="1"/>
  <c r="H7415" i="1"/>
  <c r="J7415" i="1"/>
  <c r="K7415" i="1"/>
  <c r="L7415" i="1"/>
  <c r="A7416" i="1"/>
  <c r="B7416" i="1"/>
  <c r="C7416" i="1"/>
  <c r="D7416" i="1"/>
  <c r="Q7416" i="1"/>
  <c r="R7416" i="1"/>
  <c r="E7416" i="1"/>
  <c r="G7416" i="1"/>
  <c r="H7416" i="1"/>
  <c r="J7416" i="1"/>
  <c r="K7416" i="1"/>
  <c r="L7416" i="1"/>
  <c r="A7417" i="1"/>
  <c r="B7417" i="1"/>
  <c r="C7417" i="1"/>
  <c r="D7417" i="1"/>
  <c r="Q7417" i="1"/>
  <c r="R7417" i="1"/>
  <c r="E7417" i="1"/>
  <c r="G7417" i="1"/>
  <c r="H7417" i="1"/>
  <c r="J7417" i="1"/>
  <c r="K7417" i="1"/>
  <c r="L7417" i="1"/>
  <c r="A7418" i="1"/>
  <c r="B7418" i="1"/>
  <c r="C7418" i="1"/>
  <c r="D7418" i="1"/>
  <c r="Q7418" i="1"/>
  <c r="R7418" i="1"/>
  <c r="E7418" i="1"/>
  <c r="G7418" i="1"/>
  <c r="H7418" i="1"/>
  <c r="J7418" i="1"/>
  <c r="K7418" i="1"/>
  <c r="L7418" i="1"/>
  <c r="A7419" i="1"/>
  <c r="B7419" i="1"/>
  <c r="C7419" i="1"/>
  <c r="D7419" i="1"/>
  <c r="Q7419" i="1"/>
  <c r="R7419" i="1"/>
  <c r="E7419" i="1"/>
  <c r="G7419" i="1"/>
  <c r="H7419" i="1"/>
  <c r="J7419" i="1"/>
  <c r="K7419" i="1"/>
  <c r="L7419" i="1"/>
  <c r="A7420" i="1"/>
  <c r="B7420" i="1"/>
  <c r="C7420" i="1"/>
  <c r="D7420" i="1"/>
  <c r="Q7420" i="1"/>
  <c r="R7420" i="1"/>
  <c r="E7420" i="1"/>
  <c r="G7420" i="1"/>
  <c r="H7420" i="1"/>
  <c r="J7420" i="1"/>
  <c r="K7420" i="1"/>
  <c r="L7420" i="1"/>
  <c r="A7421" i="1"/>
  <c r="B7421" i="1"/>
  <c r="C7421" i="1"/>
  <c r="D7421" i="1"/>
  <c r="Q7421" i="1"/>
  <c r="R7421" i="1"/>
  <c r="E7421" i="1"/>
  <c r="G7421" i="1"/>
  <c r="H7421" i="1"/>
  <c r="J7421" i="1"/>
  <c r="K7421" i="1"/>
  <c r="L7421" i="1"/>
  <c r="A7422" i="1"/>
  <c r="B7422" i="1"/>
  <c r="C7422" i="1"/>
  <c r="D7422" i="1"/>
  <c r="Q7422" i="1"/>
  <c r="R7422" i="1"/>
  <c r="E7422" i="1"/>
  <c r="G7422" i="1"/>
  <c r="H7422" i="1"/>
  <c r="J7422" i="1"/>
  <c r="K7422" i="1"/>
  <c r="L7422" i="1"/>
  <c r="A7423" i="1"/>
  <c r="B7423" i="1"/>
  <c r="C7423" i="1"/>
  <c r="D7423" i="1"/>
  <c r="Q7423" i="1"/>
  <c r="R7423" i="1"/>
  <c r="E7423" i="1"/>
  <c r="G7423" i="1"/>
  <c r="H7423" i="1"/>
  <c r="J7423" i="1"/>
  <c r="K7423" i="1"/>
  <c r="L7423" i="1"/>
  <c r="A7424" i="1"/>
  <c r="B7424" i="1"/>
  <c r="C7424" i="1"/>
  <c r="D7424" i="1"/>
  <c r="Q7424" i="1"/>
  <c r="R7424" i="1"/>
  <c r="E7424" i="1"/>
  <c r="G7424" i="1"/>
  <c r="H7424" i="1"/>
  <c r="J7424" i="1"/>
  <c r="K7424" i="1"/>
  <c r="L7424" i="1"/>
  <c r="A7425" i="1"/>
  <c r="B7425" i="1"/>
  <c r="C7425" i="1"/>
  <c r="D7425" i="1"/>
  <c r="Q7425" i="1"/>
  <c r="R7425" i="1"/>
  <c r="E7425" i="1"/>
  <c r="G7425" i="1"/>
  <c r="H7425" i="1"/>
  <c r="J7425" i="1"/>
  <c r="K7425" i="1"/>
  <c r="L7425" i="1"/>
  <c r="A7426" i="1"/>
  <c r="B7426" i="1"/>
  <c r="C7426" i="1"/>
  <c r="D7426" i="1"/>
  <c r="Q7426" i="1"/>
  <c r="R7426" i="1"/>
  <c r="E7426" i="1"/>
  <c r="G7426" i="1"/>
  <c r="H7426" i="1"/>
  <c r="J7426" i="1"/>
  <c r="K7426" i="1"/>
  <c r="L7426" i="1"/>
  <c r="A7427" i="1"/>
  <c r="B7427" i="1"/>
  <c r="C7427" i="1"/>
  <c r="D7427" i="1"/>
  <c r="Q7427" i="1"/>
  <c r="R7427" i="1"/>
  <c r="E7427" i="1"/>
  <c r="G7427" i="1"/>
  <c r="H7427" i="1"/>
  <c r="J7427" i="1"/>
  <c r="K7427" i="1"/>
  <c r="L7427" i="1"/>
  <c r="A7428" i="1"/>
  <c r="B7428" i="1"/>
  <c r="C7428" i="1"/>
  <c r="D7428" i="1"/>
  <c r="Q7428" i="1"/>
  <c r="R7428" i="1"/>
  <c r="E7428" i="1"/>
  <c r="G7428" i="1"/>
  <c r="H7428" i="1"/>
  <c r="J7428" i="1"/>
  <c r="K7428" i="1"/>
  <c r="L7428" i="1"/>
  <c r="A7429" i="1"/>
  <c r="B7429" i="1"/>
  <c r="C7429" i="1"/>
  <c r="D7429" i="1"/>
  <c r="Q7429" i="1"/>
  <c r="R7429" i="1"/>
  <c r="E7429" i="1"/>
  <c r="G7429" i="1"/>
  <c r="H7429" i="1"/>
  <c r="J7429" i="1"/>
  <c r="K7429" i="1"/>
  <c r="L7429" i="1"/>
  <c r="A7430" i="1"/>
  <c r="B7430" i="1"/>
  <c r="C7430" i="1"/>
  <c r="D7430" i="1"/>
  <c r="Q7430" i="1"/>
  <c r="R7430" i="1"/>
  <c r="E7430" i="1"/>
  <c r="G7430" i="1"/>
  <c r="H7430" i="1"/>
  <c r="J7430" i="1"/>
  <c r="K7430" i="1"/>
  <c r="L7430" i="1"/>
  <c r="A7431" i="1"/>
  <c r="B7431" i="1"/>
  <c r="C7431" i="1"/>
  <c r="D7431" i="1"/>
  <c r="Q7431" i="1"/>
  <c r="R7431" i="1"/>
  <c r="E7431" i="1"/>
  <c r="G7431" i="1"/>
  <c r="H7431" i="1"/>
  <c r="J7431" i="1"/>
  <c r="K7431" i="1"/>
  <c r="L7431" i="1"/>
  <c r="A7432" i="1"/>
  <c r="B7432" i="1"/>
  <c r="C7432" i="1"/>
  <c r="D7432" i="1"/>
  <c r="Q7432" i="1"/>
  <c r="R7432" i="1"/>
  <c r="E7432" i="1"/>
  <c r="G7432" i="1"/>
  <c r="H7432" i="1"/>
  <c r="J7432" i="1"/>
  <c r="K7432" i="1"/>
  <c r="L7432" i="1"/>
  <c r="A7433" i="1"/>
  <c r="B7433" i="1"/>
  <c r="C7433" i="1"/>
  <c r="D7433" i="1"/>
  <c r="Q7433" i="1"/>
  <c r="R7433" i="1"/>
  <c r="E7433" i="1"/>
  <c r="G7433" i="1"/>
  <c r="H7433" i="1"/>
  <c r="J7433" i="1"/>
  <c r="K7433" i="1"/>
  <c r="L7433" i="1"/>
  <c r="A7434" i="1"/>
  <c r="B7434" i="1"/>
  <c r="C7434" i="1"/>
  <c r="D7434" i="1"/>
  <c r="Q7434" i="1"/>
  <c r="R7434" i="1"/>
  <c r="E7434" i="1"/>
  <c r="G7434" i="1"/>
  <c r="H7434" i="1"/>
  <c r="J7434" i="1"/>
  <c r="K7434" i="1"/>
  <c r="L7434" i="1"/>
  <c r="A7435" i="1"/>
  <c r="B7435" i="1"/>
  <c r="C7435" i="1"/>
  <c r="D7435" i="1"/>
  <c r="Q7435" i="1"/>
  <c r="R7435" i="1"/>
  <c r="E7435" i="1"/>
  <c r="G7435" i="1"/>
  <c r="H7435" i="1"/>
  <c r="J7435" i="1"/>
  <c r="K7435" i="1"/>
  <c r="L7435" i="1"/>
  <c r="A7436" i="1"/>
  <c r="B7436" i="1"/>
  <c r="C7436" i="1"/>
  <c r="D7436" i="1"/>
  <c r="Q7436" i="1"/>
  <c r="R7436" i="1"/>
  <c r="E7436" i="1"/>
  <c r="G7436" i="1"/>
  <c r="H7436" i="1"/>
  <c r="J7436" i="1"/>
  <c r="K7436" i="1"/>
  <c r="L7436" i="1"/>
  <c r="A7437" i="1"/>
  <c r="B7437" i="1"/>
  <c r="C7437" i="1"/>
  <c r="D7437" i="1"/>
  <c r="Q7437" i="1"/>
  <c r="R7437" i="1"/>
  <c r="E7437" i="1"/>
  <c r="G7437" i="1"/>
  <c r="H7437" i="1"/>
  <c r="J7437" i="1"/>
  <c r="K7437" i="1"/>
  <c r="L7437" i="1"/>
  <c r="A7438" i="1"/>
  <c r="B7438" i="1"/>
  <c r="C7438" i="1"/>
  <c r="D7438" i="1"/>
  <c r="Q7438" i="1"/>
  <c r="R7438" i="1"/>
  <c r="E7438" i="1"/>
  <c r="G7438" i="1"/>
  <c r="H7438" i="1"/>
  <c r="J7438" i="1"/>
  <c r="K7438" i="1"/>
  <c r="L7438" i="1"/>
  <c r="A7439" i="1"/>
  <c r="B7439" i="1"/>
  <c r="C7439" i="1"/>
  <c r="D7439" i="1"/>
  <c r="Q7439" i="1"/>
  <c r="R7439" i="1"/>
  <c r="E7439" i="1"/>
  <c r="G7439" i="1"/>
  <c r="H7439" i="1"/>
  <c r="J7439" i="1"/>
  <c r="K7439" i="1"/>
  <c r="L7439" i="1"/>
  <c r="A7440" i="1"/>
  <c r="B7440" i="1"/>
  <c r="C7440" i="1"/>
  <c r="D7440" i="1"/>
  <c r="Q7440" i="1"/>
  <c r="R7440" i="1"/>
  <c r="E7440" i="1"/>
  <c r="G7440" i="1"/>
  <c r="H7440" i="1"/>
  <c r="J7440" i="1"/>
  <c r="K7440" i="1"/>
  <c r="L7440" i="1"/>
  <c r="A7441" i="1"/>
  <c r="B7441" i="1"/>
  <c r="C7441" i="1"/>
  <c r="D7441" i="1"/>
  <c r="Q7441" i="1"/>
  <c r="R7441" i="1"/>
  <c r="E7441" i="1"/>
  <c r="G7441" i="1"/>
  <c r="H7441" i="1"/>
  <c r="J7441" i="1"/>
  <c r="K7441" i="1"/>
  <c r="L7441" i="1"/>
  <c r="A7442" i="1"/>
  <c r="B7442" i="1"/>
  <c r="C7442" i="1"/>
  <c r="D7442" i="1"/>
  <c r="Q7442" i="1"/>
  <c r="R7442" i="1"/>
  <c r="E7442" i="1"/>
  <c r="G7442" i="1"/>
  <c r="H7442" i="1"/>
  <c r="J7442" i="1"/>
  <c r="K7442" i="1"/>
  <c r="L7442" i="1"/>
  <c r="A7443" i="1"/>
  <c r="B7443" i="1"/>
  <c r="C7443" i="1"/>
  <c r="D7443" i="1"/>
  <c r="Q7443" i="1"/>
  <c r="R7443" i="1"/>
  <c r="E7443" i="1"/>
  <c r="G7443" i="1"/>
  <c r="H7443" i="1"/>
  <c r="J7443" i="1"/>
  <c r="K7443" i="1"/>
  <c r="L7443" i="1"/>
  <c r="A7444" i="1"/>
  <c r="C7444" i="1"/>
  <c r="D7444" i="1"/>
  <c r="Q7444" i="1"/>
  <c r="R7444" i="1"/>
  <c r="G7444" i="1"/>
  <c r="H7444" i="1"/>
  <c r="K7444" i="1"/>
  <c r="L7444" i="1"/>
  <c r="A7445" i="1"/>
  <c r="B7445" i="1"/>
  <c r="C7445" i="1"/>
  <c r="D7445" i="1"/>
  <c r="Q7445" i="1"/>
  <c r="R7445" i="1"/>
  <c r="E7445" i="1"/>
  <c r="G7445" i="1"/>
  <c r="H7445" i="1"/>
  <c r="J7445" i="1"/>
  <c r="K7445" i="1"/>
  <c r="L7445" i="1"/>
  <c r="A7446" i="1"/>
  <c r="B7446" i="1"/>
  <c r="C7446" i="1"/>
  <c r="D7446" i="1"/>
  <c r="Q7446" i="1"/>
  <c r="R7446" i="1"/>
  <c r="E7446" i="1"/>
  <c r="G7446" i="1"/>
  <c r="H7446" i="1"/>
  <c r="J7446" i="1"/>
  <c r="K7446" i="1"/>
  <c r="L7446" i="1"/>
  <c r="A7447" i="1"/>
  <c r="B7447" i="1"/>
  <c r="C7447" i="1"/>
  <c r="D7447" i="1"/>
  <c r="Q7447" i="1"/>
  <c r="R7447" i="1"/>
  <c r="E7447" i="1"/>
  <c r="G7447" i="1"/>
  <c r="H7447" i="1"/>
  <c r="J7447" i="1"/>
  <c r="K7447" i="1"/>
  <c r="L7447" i="1"/>
  <c r="A7448" i="1"/>
  <c r="B7448" i="1"/>
  <c r="C7448" i="1"/>
  <c r="D7448" i="1"/>
  <c r="Q7448" i="1"/>
  <c r="R7448" i="1"/>
  <c r="E7448" i="1"/>
  <c r="G7448" i="1"/>
  <c r="H7448" i="1"/>
  <c r="J7448" i="1"/>
  <c r="K7448" i="1"/>
  <c r="L7448" i="1"/>
  <c r="A7449" i="1"/>
  <c r="B7449" i="1"/>
  <c r="C7449" i="1"/>
  <c r="D7449" i="1"/>
  <c r="Q7449" i="1"/>
  <c r="R7449" i="1"/>
  <c r="E7449" i="1"/>
  <c r="G7449" i="1"/>
  <c r="H7449" i="1"/>
  <c r="J7449" i="1"/>
  <c r="K7449" i="1"/>
  <c r="L7449" i="1"/>
  <c r="A7450" i="1"/>
  <c r="B7450" i="1"/>
  <c r="C7450" i="1"/>
  <c r="D7450" i="1"/>
  <c r="Q7450" i="1"/>
  <c r="R7450" i="1"/>
  <c r="E7450" i="1"/>
  <c r="G7450" i="1"/>
  <c r="H7450" i="1"/>
  <c r="J7450" i="1"/>
  <c r="K7450" i="1"/>
  <c r="L7450" i="1"/>
  <c r="A7451" i="1"/>
  <c r="B7451" i="1"/>
  <c r="C7451" i="1"/>
  <c r="D7451" i="1"/>
  <c r="Q7451" i="1"/>
  <c r="R7451" i="1"/>
  <c r="E7451" i="1"/>
  <c r="G7451" i="1"/>
  <c r="H7451" i="1"/>
  <c r="J7451" i="1"/>
  <c r="K7451" i="1"/>
  <c r="L7451" i="1"/>
  <c r="A7452" i="1"/>
  <c r="B7452" i="1"/>
  <c r="C7452" i="1"/>
  <c r="D7452" i="1"/>
  <c r="Q7452" i="1"/>
  <c r="R7452" i="1"/>
  <c r="E7452" i="1"/>
  <c r="G7452" i="1"/>
  <c r="H7452" i="1"/>
  <c r="J7452" i="1"/>
  <c r="K7452" i="1"/>
  <c r="L7452" i="1"/>
  <c r="A7453" i="1"/>
  <c r="B7453" i="1"/>
  <c r="C7453" i="1"/>
  <c r="D7453" i="1"/>
  <c r="Q7453" i="1"/>
  <c r="R7453" i="1"/>
  <c r="E7453" i="1"/>
  <c r="G7453" i="1"/>
  <c r="H7453" i="1"/>
  <c r="J7453" i="1"/>
  <c r="K7453" i="1"/>
  <c r="L7453" i="1"/>
  <c r="A7454" i="1"/>
  <c r="B7454" i="1"/>
  <c r="C7454" i="1"/>
  <c r="D7454" i="1"/>
  <c r="Q7454" i="1"/>
  <c r="R7454" i="1"/>
  <c r="E7454" i="1"/>
  <c r="G7454" i="1"/>
  <c r="H7454" i="1"/>
  <c r="J7454" i="1"/>
  <c r="K7454" i="1"/>
  <c r="L7454" i="1"/>
  <c r="A7455" i="1"/>
  <c r="B7455" i="1"/>
  <c r="C7455" i="1"/>
  <c r="D7455" i="1"/>
  <c r="Q7455" i="1"/>
  <c r="R7455" i="1"/>
  <c r="E7455" i="1"/>
  <c r="G7455" i="1"/>
  <c r="H7455" i="1"/>
  <c r="J7455" i="1"/>
  <c r="K7455" i="1"/>
  <c r="L7455" i="1"/>
  <c r="A7456" i="1"/>
  <c r="B7456" i="1"/>
  <c r="C7456" i="1"/>
  <c r="D7456" i="1"/>
  <c r="Q7456" i="1"/>
  <c r="R7456" i="1"/>
  <c r="E7456" i="1"/>
  <c r="G7456" i="1"/>
  <c r="H7456" i="1"/>
  <c r="J7456" i="1"/>
  <c r="K7456" i="1"/>
  <c r="L7456" i="1"/>
  <c r="A7457" i="1"/>
  <c r="B7457" i="1"/>
  <c r="C7457" i="1"/>
  <c r="D7457" i="1"/>
  <c r="Q7457" i="1"/>
  <c r="R7457" i="1"/>
  <c r="E7457" i="1"/>
  <c r="G7457" i="1"/>
  <c r="H7457" i="1"/>
  <c r="J7457" i="1"/>
  <c r="K7457" i="1"/>
  <c r="L7457" i="1"/>
  <c r="A7458" i="1"/>
  <c r="B7458" i="1"/>
  <c r="C7458" i="1"/>
  <c r="D7458" i="1"/>
  <c r="Q7458" i="1"/>
  <c r="R7458" i="1"/>
  <c r="E7458" i="1"/>
  <c r="G7458" i="1"/>
  <c r="H7458" i="1"/>
  <c r="J7458" i="1"/>
  <c r="K7458" i="1"/>
  <c r="L7458" i="1"/>
  <c r="A7459" i="1"/>
  <c r="B7459" i="1"/>
  <c r="C7459" i="1"/>
  <c r="D7459" i="1"/>
  <c r="Q7459" i="1"/>
  <c r="R7459" i="1"/>
  <c r="E7459" i="1"/>
  <c r="G7459" i="1"/>
  <c r="H7459" i="1"/>
  <c r="J7459" i="1"/>
  <c r="K7459" i="1"/>
  <c r="L7459" i="1"/>
  <c r="A7460" i="1"/>
  <c r="B7460" i="1"/>
  <c r="C7460" i="1"/>
  <c r="D7460" i="1"/>
  <c r="Q7460" i="1"/>
  <c r="R7460" i="1"/>
  <c r="E7460" i="1"/>
  <c r="G7460" i="1"/>
  <c r="H7460" i="1"/>
  <c r="J7460" i="1"/>
  <c r="K7460" i="1"/>
  <c r="L7460" i="1"/>
  <c r="A7461" i="1"/>
  <c r="B7461" i="1"/>
  <c r="C7461" i="1"/>
  <c r="D7461" i="1"/>
  <c r="Q7461" i="1"/>
  <c r="R7461" i="1"/>
  <c r="E7461" i="1"/>
  <c r="G7461" i="1"/>
  <c r="H7461" i="1"/>
  <c r="J7461" i="1"/>
  <c r="K7461" i="1"/>
  <c r="L7461" i="1"/>
  <c r="A7462" i="1"/>
  <c r="C7462" i="1"/>
  <c r="D7462" i="1"/>
  <c r="Q7462" i="1"/>
  <c r="R7462" i="1"/>
  <c r="G7462" i="1"/>
  <c r="H7462" i="1"/>
  <c r="K7462" i="1"/>
  <c r="L7462" i="1"/>
  <c r="A7463" i="1"/>
  <c r="C7463" i="1"/>
  <c r="D7463" i="1"/>
  <c r="Q7463" i="1"/>
  <c r="R7463" i="1"/>
  <c r="G7463" i="1"/>
  <c r="H7463" i="1"/>
  <c r="J7463" i="1"/>
  <c r="K7463" i="1"/>
  <c r="L7463" i="1"/>
  <c r="A7464" i="1"/>
  <c r="B7464" i="1"/>
  <c r="C7464" i="1"/>
  <c r="D7464" i="1"/>
  <c r="Q7464" i="1"/>
  <c r="R7464" i="1"/>
  <c r="E7464" i="1"/>
  <c r="G7464" i="1"/>
  <c r="H7464" i="1"/>
  <c r="J7464" i="1"/>
  <c r="K7464" i="1"/>
  <c r="L7464" i="1"/>
  <c r="A7465" i="1"/>
  <c r="B7465" i="1"/>
  <c r="C7465" i="1"/>
  <c r="D7465" i="1"/>
  <c r="Q7465" i="1"/>
  <c r="R7465" i="1"/>
  <c r="E7465" i="1"/>
  <c r="G7465" i="1"/>
  <c r="H7465" i="1"/>
  <c r="J7465" i="1"/>
  <c r="K7465" i="1"/>
  <c r="L7465" i="1"/>
  <c r="A7466" i="1"/>
  <c r="B7466" i="1"/>
  <c r="C7466" i="1"/>
  <c r="D7466" i="1"/>
  <c r="Q7466" i="1"/>
  <c r="R7466" i="1"/>
  <c r="E7466" i="1"/>
  <c r="G7466" i="1"/>
  <c r="H7466" i="1"/>
  <c r="J7466" i="1"/>
  <c r="K7466" i="1"/>
  <c r="L7466" i="1"/>
  <c r="A7467" i="1"/>
  <c r="B7467" i="1"/>
  <c r="C7467" i="1"/>
  <c r="D7467" i="1"/>
  <c r="Q7467" i="1"/>
  <c r="R7467" i="1"/>
  <c r="E7467" i="1"/>
  <c r="G7467" i="1"/>
  <c r="H7467" i="1"/>
  <c r="J7467" i="1"/>
  <c r="K7467" i="1"/>
  <c r="L7467" i="1"/>
  <c r="A7468" i="1"/>
  <c r="B7468" i="1"/>
  <c r="C7468" i="1"/>
  <c r="D7468" i="1"/>
  <c r="Q7468" i="1"/>
  <c r="R7468" i="1"/>
  <c r="E7468" i="1"/>
  <c r="G7468" i="1"/>
  <c r="H7468" i="1"/>
  <c r="J7468" i="1"/>
  <c r="K7468" i="1"/>
  <c r="L7468" i="1"/>
  <c r="A7469" i="1"/>
  <c r="B7469" i="1"/>
  <c r="C7469" i="1"/>
  <c r="D7469" i="1"/>
  <c r="Q7469" i="1"/>
  <c r="R7469" i="1"/>
  <c r="E7469" i="1"/>
  <c r="G7469" i="1"/>
  <c r="H7469" i="1"/>
  <c r="J7469" i="1"/>
  <c r="K7469" i="1"/>
  <c r="L7469" i="1"/>
  <c r="A7470" i="1"/>
  <c r="B7470" i="1"/>
  <c r="C7470" i="1"/>
  <c r="D7470" i="1"/>
  <c r="Q7470" i="1"/>
  <c r="R7470" i="1"/>
  <c r="E7470" i="1"/>
  <c r="G7470" i="1"/>
  <c r="H7470" i="1"/>
  <c r="J7470" i="1"/>
  <c r="K7470" i="1"/>
  <c r="L7470" i="1"/>
  <c r="A7471" i="1"/>
  <c r="B7471" i="1"/>
  <c r="C7471" i="1"/>
  <c r="D7471" i="1"/>
  <c r="Q7471" i="1"/>
  <c r="R7471" i="1"/>
  <c r="E7471" i="1"/>
  <c r="G7471" i="1"/>
  <c r="H7471" i="1"/>
  <c r="J7471" i="1"/>
  <c r="K7471" i="1"/>
  <c r="L7471" i="1"/>
  <c r="A7472" i="1"/>
  <c r="B7472" i="1"/>
  <c r="C7472" i="1"/>
  <c r="D7472" i="1"/>
  <c r="Q7472" i="1"/>
  <c r="R7472" i="1"/>
  <c r="E7472" i="1"/>
  <c r="G7472" i="1"/>
  <c r="H7472" i="1"/>
  <c r="J7472" i="1"/>
  <c r="K7472" i="1"/>
  <c r="L7472" i="1"/>
  <c r="A7473" i="1"/>
  <c r="B7473" i="1"/>
  <c r="C7473" i="1"/>
  <c r="D7473" i="1"/>
  <c r="Q7473" i="1"/>
  <c r="R7473" i="1"/>
  <c r="E7473" i="1"/>
  <c r="G7473" i="1"/>
  <c r="H7473" i="1"/>
  <c r="J7473" i="1"/>
  <c r="K7473" i="1"/>
  <c r="L7473" i="1"/>
  <c r="A7474" i="1"/>
  <c r="B7474" i="1"/>
  <c r="C7474" i="1"/>
  <c r="D7474" i="1"/>
  <c r="Q7474" i="1"/>
  <c r="R7474" i="1"/>
  <c r="E7474" i="1"/>
  <c r="G7474" i="1"/>
  <c r="H7474" i="1"/>
  <c r="J7474" i="1"/>
  <c r="K7474" i="1"/>
  <c r="L7474" i="1"/>
  <c r="A7475" i="1"/>
  <c r="B7475" i="1"/>
  <c r="C7475" i="1"/>
  <c r="D7475" i="1"/>
  <c r="Q7475" i="1"/>
  <c r="R7475" i="1"/>
  <c r="E7475" i="1"/>
  <c r="G7475" i="1"/>
  <c r="H7475" i="1"/>
  <c r="J7475" i="1"/>
  <c r="K7475" i="1"/>
  <c r="L7475" i="1"/>
  <c r="A7476" i="1"/>
  <c r="B7476" i="1"/>
  <c r="C7476" i="1"/>
  <c r="D7476" i="1"/>
  <c r="Q7476" i="1"/>
  <c r="R7476" i="1"/>
  <c r="E7476" i="1"/>
  <c r="G7476" i="1"/>
  <c r="H7476" i="1"/>
  <c r="J7476" i="1"/>
  <c r="K7476" i="1"/>
  <c r="L7476" i="1"/>
  <c r="A7477" i="1"/>
  <c r="B7477" i="1"/>
  <c r="C7477" i="1"/>
  <c r="D7477" i="1"/>
  <c r="Q7477" i="1"/>
  <c r="R7477" i="1"/>
  <c r="E7477" i="1"/>
  <c r="G7477" i="1"/>
  <c r="H7477" i="1"/>
  <c r="J7477" i="1"/>
  <c r="K7477" i="1"/>
  <c r="L7477" i="1"/>
  <c r="A7478" i="1"/>
  <c r="B7478" i="1"/>
  <c r="C7478" i="1"/>
  <c r="D7478" i="1"/>
  <c r="Q7478" i="1"/>
  <c r="R7478" i="1"/>
  <c r="E7478" i="1"/>
  <c r="G7478" i="1"/>
  <c r="H7478" i="1"/>
  <c r="J7478" i="1"/>
  <c r="K7478" i="1"/>
  <c r="L7478" i="1"/>
  <c r="A7479" i="1"/>
  <c r="B7479" i="1"/>
  <c r="C7479" i="1"/>
  <c r="D7479" i="1"/>
  <c r="Q7479" i="1"/>
  <c r="R7479" i="1"/>
  <c r="E7479" i="1"/>
  <c r="G7479" i="1"/>
  <c r="H7479" i="1"/>
  <c r="J7479" i="1"/>
  <c r="K7479" i="1"/>
  <c r="L7479" i="1"/>
  <c r="A7480" i="1"/>
  <c r="B7480" i="1"/>
  <c r="C7480" i="1"/>
  <c r="D7480" i="1"/>
  <c r="Q7480" i="1"/>
  <c r="R7480" i="1"/>
  <c r="E7480" i="1"/>
  <c r="G7480" i="1"/>
  <c r="H7480" i="1"/>
  <c r="J7480" i="1"/>
  <c r="K7480" i="1"/>
  <c r="L7480" i="1"/>
  <c r="A7481" i="1"/>
  <c r="B7481" i="1"/>
  <c r="C7481" i="1"/>
  <c r="D7481" i="1"/>
  <c r="Q7481" i="1"/>
  <c r="R7481" i="1"/>
  <c r="E7481" i="1"/>
  <c r="G7481" i="1"/>
  <c r="H7481" i="1"/>
  <c r="J7481" i="1"/>
  <c r="K7481" i="1"/>
  <c r="L7481" i="1"/>
  <c r="A7482" i="1"/>
  <c r="B7482" i="1"/>
  <c r="C7482" i="1"/>
  <c r="D7482" i="1"/>
  <c r="Q7482" i="1"/>
  <c r="R7482" i="1"/>
  <c r="E7482" i="1"/>
  <c r="G7482" i="1"/>
  <c r="H7482" i="1"/>
  <c r="J7482" i="1"/>
  <c r="K7482" i="1"/>
  <c r="L7482" i="1"/>
  <c r="A7483" i="1"/>
  <c r="B7483" i="1"/>
  <c r="C7483" i="1"/>
  <c r="D7483" i="1"/>
  <c r="Q7483" i="1"/>
  <c r="R7483" i="1"/>
  <c r="E7483" i="1"/>
  <c r="G7483" i="1"/>
  <c r="H7483" i="1"/>
  <c r="J7483" i="1"/>
  <c r="K7483" i="1"/>
  <c r="L7483" i="1"/>
  <c r="A7484" i="1"/>
  <c r="B7484" i="1"/>
  <c r="C7484" i="1"/>
  <c r="D7484" i="1"/>
  <c r="Q7484" i="1"/>
  <c r="R7484" i="1"/>
  <c r="E7484" i="1"/>
  <c r="G7484" i="1"/>
  <c r="H7484" i="1"/>
  <c r="J7484" i="1"/>
  <c r="K7484" i="1"/>
  <c r="L7484" i="1"/>
  <c r="A7485" i="1"/>
  <c r="B7485" i="1"/>
  <c r="C7485" i="1"/>
  <c r="D7485" i="1"/>
  <c r="Q7485" i="1"/>
  <c r="R7485" i="1"/>
  <c r="E7485" i="1"/>
  <c r="G7485" i="1"/>
  <c r="H7485" i="1"/>
  <c r="J7485" i="1"/>
  <c r="K7485" i="1"/>
  <c r="L7485" i="1"/>
  <c r="A7486" i="1"/>
  <c r="B7486" i="1"/>
  <c r="C7486" i="1"/>
  <c r="D7486" i="1"/>
  <c r="Q7486" i="1"/>
  <c r="R7486" i="1"/>
  <c r="E7486" i="1"/>
  <c r="G7486" i="1"/>
  <c r="H7486" i="1"/>
  <c r="J7486" i="1"/>
  <c r="K7486" i="1"/>
  <c r="L7486" i="1"/>
  <c r="A7487" i="1"/>
  <c r="B7487" i="1"/>
  <c r="C7487" i="1"/>
  <c r="D7487" i="1"/>
  <c r="Q7487" i="1"/>
  <c r="R7487" i="1"/>
  <c r="E7487" i="1"/>
  <c r="G7487" i="1"/>
  <c r="H7487" i="1"/>
  <c r="J7487" i="1"/>
  <c r="K7487" i="1"/>
  <c r="L7487" i="1"/>
  <c r="A7488" i="1"/>
  <c r="B7488" i="1"/>
  <c r="C7488" i="1"/>
  <c r="D7488" i="1"/>
  <c r="Q7488" i="1"/>
  <c r="R7488" i="1"/>
  <c r="E7488" i="1"/>
  <c r="G7488" i="1"/>
  <c r="H7488" i="1"/>
  <c r="J7488" i="1"/>
  <c r="K7488" i="1"/>
  <c r="L7488" i="1"/>
  <c r="A7489" i="1"/>
  <c r="B7489" i="1"/>
  <c r="C7489" i="1"/>
  <c r="D7489" i="1"/>
  <c r="Q7489" i="1"/>
  <c r="R7489" i="1"/>
  <c r="E7489" i="1"/>
  <c r="G7489" i="1"/>
  <c r="H7489" i="1"/>
  <c r="J7489" i="1"/>
  <c r="K7489" i="1"/>
  <c r="L7489" i="1"/>
  <c r="A7490" i="1"/>
  <c r="B7490" i="1"/>
  <c r="C7490" i="1"/>
  <c r="D7490" i="1"/>
  <c r="Q7490" i="1"/>
  <c r="R7490" i="1"/>
  <c r="E7490" i="1"/>
  <c r="G7490" i="1"/>
  <c r="H7490" i="1"/>
  <c r="J7490" i="1"/>
  <c r="K7490" i="1"/>
  <c r="L7490" i="1"/>
  <c r="A7491" i="1"/>
  <c r="B7491" i="1"/>
  <c r="C7491" i="1"/>
  <c r="D7491" i="1"/>
  <c r="Q7491" i="1"/>
  <c r="R7491" i="1"/>
  <c r="E7491" i="1"/>
  <c r="G7491" i="1"/>
  <c r="H7491" i="1"/>
  <c r="J7491" i="1"/>
  <c r="K7491" i="1"/>
  <c r="L7491" i="1"/>
  <c r="A7492" i="1"/>
  <c r="B7492" i="1"/>
  <c r="C7492" i="1"/>
  <c r="D7492" i="1"/>
  <c r="Q7492" i="1"/>
  <c r="R7492" i="1"/>
  <c r="E7492" i="1"/>
  <c r="G7492" i="1"/>
  <c r="H7492" i="1"/>
  <c r="J7492" i="1"/>
  <c r="K7492" i="1"/>
  <c r="L7492" i="1"/>
  <c r="A7493" i="1"/>
  <c r="B7493" i="1"/>
  <c r="C7493" i="1"/>
  <c r="D7493" i="1"/>
  <c r="Q7493" i="1"/>
  <c r="R7493" i="1"/>
  <c r="E7493" i="1"/>
  <c r="G7493" i="1"/>
  <c r="H7493" i="1"/>
  <c r="J7493" i="1"/>
  <c r="K7493" i="1"/>
  <c r="L7493" i="1"/>
  <c r="A7494" i="1"/>
  <c r="B7494" i="1"/>
  <c r="C7494" i="1"/>
  <c r="D7494" i="1"/>
  <c r="Q7494" i="1"/>
  <c r="R7494" i="1"/>
  <c r="E7494" i="1"/>
  <c r="G7494" i="1"/>
  <c r="H7494" i="1"/>
  <c r="J7494" i="1"/>
  <c r="K7494" i="1"/>
  <c r="L7494" i="1"/>
  <c r="A7495" i="1"/>
  <c r="B7495" i="1"/>
  <c r="C7495" i="1"/>
  <c r="D7495" i="1"/>
  <c r="Q7495" i="1"/>
  <c r="R7495" i="1"/>
  <c r="E7495" i="1"/>
  <c r="G7495" i="1"/>
  <c r="H7495" i="1"/>
  <c r="J7495" i="1"/>
  <c r="K7495" i="1"/>
  <c r="L7495" i="1"/>
  <c r="A7496" i="1"/>
  <c r="B7496" i="1"/>
  <c r="C7496" i="1"/>
  <c r="D7496" i="1"/>
  <c r="Q7496" i="1"/>
  <c r="R7496" i="1"/>
  <c r="E7496" i="1"/>
  <c r="G7496" i="1"/>
  <c r="H7496" i="1"/>
  <c r="J7496" i="1"/>
  <c r="K7496" i="1"/>
  <c r="L7496" i="1"/>
  <c r="A7497" i="1"/>
  <c r="B7497" i="1"/>
  <c r="C7497" i="1"/>
  <c r="D7497" i="1"/>
  <c r="Q7497" i="1"/>
  <c r="R7497" i="1"/>
  <c r="E7497" i="1"/>
  <c r="G7497" i="1"/>
  <c r="H7497" i="1"/>
  <c r="J7497" i="1"/>
  <c r="K7497" i="1"/>
  <c r="L7497" i="1"/>
  <c r="A7498" i="1"/>
  <c r="B7498" i="1"/>
  <c r="C7498" i="1"/>
  <c r="D7498" i="1"/>
  <c r="Q7498" i="1"/>
  <c r="R7498" i="1"/>
  <c r="E7498" i="1"/>
  <c r="G7498" i="1"/>
  <c r="H7498" i="1"/>
  <c r="J7498" i="1"/>
  <c r="K7498" i="1"/>
  <c r="L7498" i="1"/>
  <c r="A7499" i="1"/>
  <c r="B7499" i="1"/>
  <c r="C7499" i="1"/>
  <c r="D7499" i="1"/>
  <c r="Q7499" i="1"/>
  <c r="R7499" i="1"/>
  <c r="E7499" i="1"/>
  <c r="G7499" i="1"/>
  <c r="H7499" i="1"/>
  <c r="J7499" i="1"/>
  <c r="K7499" i="1"/>
  <c r="L7499" i="1"/>
  <c r="A7500" i="1"/>
  <c r="B7500" i="1"/>
  <c r="C7500" i="1"/>
  <c r="D7500" i="1"/>
  <c r="Q7500" i="1"/>
  <c r="R7500" i="1"/>
  <c r="E7500" i="1"/>
  <c r="G7500" i="1"/>
  <c r="H7500" i="1"/>
  <c r="J7500" i="1"/>
  <c r="K7500" i="1"/>
  <c r="L7500" i="1"/>
  <c r="A7501" i="1"/>
  <c r="B7501" i="1"/>
  <c r="C7501" i="1"/>
  <c r="D7501" i="1"/>
  <c r="Q7501" i="1"/>
  <c r="R7501" i="1"/>
  <c r="E7501" i="1"/>
  <c r="G7501" i="1"/>
  <c r="H7501" i="1"/>
  <c r="J7501" i="1"/>
  <c r="K7501" i="1"/>
  <c r="L7501" i="1"/>
  <c r="A7502" i="1"/>
  <c r="B7502" i="1"/>
  <c r="C7502" i="1"/>
  <c r="D7502" i="1"/>
  <c r="Q7502" i="1"/>
  <c r="R7502" i="1"/>
  <c r="E7502" i="1"/>
  <c r="G7502" i="1"/>
  <c r="H7502" i="1"/>
  <c r="J7502" i="1"/>
  <c r="K7502" i="1"/>
  <c r="L7502" i="1"/>
  <c r="A7503" i="1"/>
  <c r="B7503" i="1"/>
  <c r="C7503" i="1"/>
  <c r="D7503" i="1"/>
  <c r="Q7503" i="1"/>
  <c r="R7503" i="1"/>
  <c r="E7503" i="1"/>
  <c r="G7503" i="1"/>
  <c r="H7503" i="1"/>
  <c r="J7503" i="1"/>
  <c r="K7503" i="1"/>
  <c r="L7503" i="1"/>
  <c r="A7504" i="1"/>
  <c r="B7504" i="1"/>
  <c r="C7504" i="1"/>
  <c r="D7504" i="1"/>
  <c r="Q7504" i="1"/>
  <c r="R7504" i="1"/>
  <c r="E7504" i="1"/>
  <c r="G7504" i="1"/>
  <c r="H7504" i="1"/>
  <c r="J7504" i="1"/>
  <c r="K7504" i="1"/>
  <c r="L7504" i="1"/>
  <c r="A7505" i="1"/>
  <c r="B7505" i="1"/>
  <c r="C7505" i="1"/>
  <c r="D7505" i="1"/>
  <c r="Q7505" i="1"/>
  <c r="R7505" i="1"/>
  <c r="E7505" i="1"/>
  <c r="G7505" i="1"/>
  <c r="H7505" i="1"/>
  <c r="J7505" i="1"/>
  <c r="K7505" i="1"/>
  <c r="L7505" i="1"/>
  <c r="A7506" i="1"/>
  <c r="B7506" i="1"/>
  <c r="C7506" i="1"/>
  <c r="D7506" i="1"/>
  <c r="Q7506" i="1"/>
  <c r="R7506" i="1"/>
  <c r="E7506" i="1"/>
  <c r="G7506" i="1"/>
  <c r="H7506" i="1"/>
  <c r="J7506" i="1"/>
  <c r="K7506" i="1"/>
  <c r="L7506" i="1"/>
  <c r="A7507" i="1"/>
  <c r="B7507" i="1"/>
  <c r="C7507" i="1"/>
  <c r="D7507" i="1"/>
  <c r="Q7507" i="1"/>
  <c r="R7507" i="1"/>
  <c r="E7507" i="1"/>
  <c r="G7507" i="1"/>
  <c r="H7507" i="1"/>
  <c r="J7507" i="1"/>
  <c r="K7507" i="1"/>
  <c r="L7507" i="1"/>
  <c r="A7508" i="1"/>
  <c r="B7508" i="1"/>
  <c r="C7508" i="1"/>
  <c r="D7508" i="1"/>
  <c r="Q7508" i="1"/>
  <c r="R7508" i="1"/>
  <c r="E7508" i="1"/>
  <c r="G7508" i="1"/>
  <c r="H7508" i="1"/>
  <c r="J7508" i="1"/>
  <c r="K7508" i="1"/>
  <c r="L7508" i="1"/>
  <c r="A7509" i="1"/>
  <c r="B7509" i="1"/>
  <c r="C7509" i="1"/>
  <c r="D7509" i="1"/>
  <c r="Q7509" i="1"/>
  <c r="R7509" i="1"/>
  <c r="E7509" i="1"/>
  <c r="G7509" i="1"/>
  <c r="H7509" i="1"/>
  <c r="J7509" i="1"/>
  <c r="K7509" i="1"/>
  <c r="L7509" i="1"/>
  <c r="A7510" i="1"/>
  <c r="B7510" i="1"/>
  <c r="C7510" i="1"/>
  <c r="D7510" i="1"/>
  <c r="Q7510" i="1"/>
  <c r="R7510" i="1"/>
  <c r="E7510" i="1"/>
  <c r="G7510" i="1"/>
  <c r="H7510" i="1"/>
  <c r="J7510" i="1"/>
  <c r="K7510" i="1"/>
  <c r="L7510" i="1"/>
  <c r="A7511" i="1"/>
  <c r="B7511" i="1"/>
  <c r="C7511" i="1"/>
  <c r="D7511" i="1"/>
  <c r="Q7511" i="1"/>
  <c r="R7511" i="1"/>
  <c r="E7511" i="1"/>
  <c r="G7511" i="1"/>
  <c r="H7511" i="1"/>
  <c r="J7511" i="1"/>
  <c r="K7511" i="1"/>
  <c r="L7511" i="1"/>
  <c r="A7512" i="1"/>
  <c r="B7512" i="1"/>
  <c r="C7512" i="1"/>
  <c r="D7512" i="1"/>
  <c r="Q7512" i="1"/>
  <c r="R7512" i="1"/>
  <c r="E7512" i="1"/>
  <c r="G7512" i="1"/>
  <c r="H7512" i="1"/>
  <c r="J7512" i="1"/>
  <c r="K7512" i="1"/>
  <c r="L7512" i="1"/>
  <c r="A7513" i="1"/>
  <c r="B7513" i="1"/>
  <c r="C7513" i="1"/>
  <c r="D7513" i="1"/>
  <c r="Q7513" i="1"/>
  <c r="R7513" i="1"/>
  <c r="E7513" i="1"/>
  <c r="G7513" i="1"/>
  <c r="H7513" i="1"/>
  <c r="J7513" i="1"/>
  <c r="K7513" i="1"/>
  <c r="L7513" i="1"/>
  <c r="A7514" i="1"/>
  <c r="B7514" i="1"/>
  <c r="C7514" i="1"/>
  <c r="D7514" i="1"/>
  <c r="Q7514" i="1"/>
  <c r="R7514" i="1"/>
  <c r="E7514" i="1"/>
  <c r="G7514" i="1"/>
  <c r="H7514" i="1"/>
  <c r="J7514" i="1"/>
  <c r="K7514" i="1"/>
  <c r="L7514" i="1"/>
  <c r="A7515" i="1"/>
  <c r="B7515" i="1"/>
  <c r="C7515" i="1"/>
  <c r="D7515" i="1"/>
  <c r="Q7515" i="1"/>
  <c r="R7515" i="1"/>
  <c r="E7515" i="1"/>
  <c r="G7515" i="1"/>
  <c r="H7515" i="1"/>
  <c r="J7515" i="1"/>
  <c r="K7515" i="1"/>
  <c r="L7515" i="1"/>
  <c r="A7516" i="1"/>
  <c r="B7516" i="1"/>
  <c r="C7516" i="1"/>
  <c r="D7516" i="1"/>
  <c r="Q7516" i="1"/>
  <c r="R7516" i="1"/>
  <c r="E7516" i="1"/>
  <c r="G7516" i="1"/>
  <c r="H7516" i="1"/>
  <c r="J7516" i="1"/>
  <c r="K7516" i="1"/>
  <c r="L7516" i="1"/>
  <c r="A7517" i="1"/>
  <c r="B7517" i="1"/>
  <c r="C7517" i="1"/>
  <c r="D7517" i="1"/>
  <c r="Q7517" i="1"/>
  <c r="R7517" i="1"/>
  <c r="E7517" i="1"/>
  <c r="G7517" i="1"/>
  <c r="H7517" i="1"/>
  <c r="J7517" i="1"/>
  <c r="K7517" i="1"/>
  <c r="L7517" i="1"/>
  <c r="A7518" i="1"/>
  <c r="B7518" i="1"/>
  <c r="C7518" i="1"/>
  <c r="D7518" i="1"/>
  <c r="Q7518" i="1"/>
  <c r="R7518" i="1"/>
  <c r="E7518" i="1"/>
  <c r="G7518" i="1"/>
  <c r="H7518" i="1"/>
  <c r="J7518" i="1"/>
  <c r="K7518" i="1"/>
  <c r="L7518" i="1"/>
  <c r="A7519" i="1"/>
  <c r="B7519" i="1"/>
  <c r="C7519" i="1"/>
  <c r="D7519" i="1"/>
  <c r="Q7519" i="1"/>
  <c r="R7519" i="1"/>
  <c r="E7519" i="1"/>
  <c r="G7519" i="1"/>
  <c r="H7519" i="1"/>
  <c r="J7519" i="1"/>
  <c r="K7519" i="1"/>
  <c r="L7519" i="1"/>
  <c r="A7520" i="1"/>
  <c r="B7520" i="1"/>
  <c r="C7520" i="1"/>
  <c r="D7520" i="1"/>
  <c r="Q7520" i="1"/>
  <c r="R7520" i="1"/>
  <c r="E7520" i="1"/>
  <c r="G7520" i="1"/>
  <c r="H7520" i="1"/>
  <c r="J7520" i="1"/>
  <c r="K7520" i="1"/>
  <c r="L7520" i="1"/>
  <c r="A7521" i="1"/>
  <c r="B7521" i="1"/>
  <c r="C7521" i="1"/>
  <c r="D7521" i="1"/>
  <c r="Q7521" i="1"/>
  <c r="R7521" i="1"/>
  <c r="E7521" i="1"/>
  <c r="G7521" i="1"/>
  <c r="H7521" i="1"/>
  <c r="J7521" i="1"/>
  <c r="K7521" i="1"/>
  <c r="L7521" i="1"/>
  <c r="A7522" i="1"/>
  <c r="B7522" i="1"/>
  <c r="C7522" i="1"/>
  <c r="D7522" i="1"/>
  <c r="Q7522" i="1"/>
  <c r="R7522" i="1"/>
  <c r="E7522" i="1"/>
  <c r="G7522" i="1"/>
  <c r="H7522" i="1"/>
  <c r="J7522" i="1"/>
  <c r="K7522" i="1"/>
  <c r="L7522" i="1"/>
  <c r="A7523" i="1"/>
  <c r="B7523" i="1"/>
  <c r="C7523" i="1"/>
  <c r="D7523" i="1"/>
  <c r="Q7523" i="1"/>
  <c r="R7523" i="1"/>
  <c r="E7523" i="1"/>
  <c r="G7523" i="1"/>
  <c r="H7523" i="1"/>
  <c r="J7523" i="1"/>
  <c r="K7523" i="1"/>
  <c r="L7523" i="1"/>
  <c r="A7524" i="1"/>
  <c r="B7524" i="1"/>
  <c r="C7524" i="1"/>
  <c r="D7524" i="1"/>
  <c r="Q7524" i="1"/>
  <c r="R7524" i="1"/>
  <c r="E7524" i="1"/>
  <c r="G7524" i="1"/>
  <c r="H7524" i="1"/>
  <c r="J7524" i="1"/>
  <c r="K7524" i="1"/>
  <c r="L7524" i="1"/>
  <c r="A7525" i="1"/>
  <c r="B7525" i="1"/>
  <c r="C7525" i="1"/>
  <c r="D7525" i="1"/>
  <c r="Q7525" i="1"/>
  <c r="R7525" i="1"/>
  <c r="E7525" i="1"/>
  <c r="G7525" i="1"/>
  <c r="H7525" i="1"/>
  <c r="J7525" i="1"/>
  <c r="K7525" i="1"/>
  <c r="L7525" i="1"/>
  <c r="A7526" i="1"/>
  <c r="B7526" i="1"/>
  <c r="C7526" i="1"/>
  <c r="D7526" i="1"/>
  <c r="Q7526" i="1"/>
  <c r="R7526" i="1"/>
  <c r="E7526" i="1"/>
  <c r="G7526" i="1"/>
  <c r="H7526" i="1"/>
  <c r="J7526" i="1"/>
  <c r="K7526" i="1"/>
  <c r="L7526" i="1"/>
  <c r="A7527" i="1"/>
  <c r="B7527" i="1"/>
  <c r="C7527" i="1"/>
  <c r="D7527" i="1"/>
  <c r="Q7527" i="1"/>
  <c r="R7527" i="1"/>
  <c r="E7527" i="1"/>
  <c r="G7527" i="1"/>
  <c r="H7527" i="1"/>
  <c r="J7527" i="1"/>
  <c r="K7527" i="1"/>
  <c r="L7527" i="1"/>
  <c r="A7528" i="1"/>
  <c r="B7528" i="1"/>
  <c r="C7528" i="1"/>
  <c r="D7528" i="1"/>
  <c r="Q7528" i="1"/>
  <c r="R7528" i="1"/>
  <c r="E7528" i="1"/>
  <c r="G7528" i="1"/>
  <c r="H7528" i="1"/>
  <c r="J7528" i="1"/>
  <c r="K7528" i="1"/>
  <c r="L7528" i="1"/>
  <c r="A7529" i="1"/>
  <c r="B7529" i="1"/>
  <c r="C7529" i="1"/>
  <c r="D7529" i="1"/>
  <c r="Q7529" i="1"/>
  <c r="R7529" i="1"/>
  <c r="E7529" i="1"/>
  <c r="G7529" i="1"/>
  <c r="H7529" i="1"/>
  <c r="J7529" i="1"/>
  <c r="K7529" i="1"/>
  <c r="L7529" i="1"/>
  <c r="A7530" i="1"/>
  <c r="B7530" i="1"/>
  <c r="C7530" i="1"/>
  <c r="D7530" i="1"/>
  <c r="Q7530" i="1"/>
  <c r="R7530" i="1"/>
  <c r="E7530" i="1"/>
  <c r="G7530" i="1"/>
  <c r="H7530" i="1"/>
  <c r="J7530" i="1"/>
  <c r="K7530" i="1"/>
  <c r="L7530" i="1"/>
  <c r="A7531" i="1"/>
  <c r="B7531" i="1"/>
  <c r="C7531" i="1"/>
  <c r="D7531" i="1"/>
  <c r="Q7531" i="1"/>
  <c r="R7531" i="1"/>
  <c r="E7531" i="1"/>
  <c r="G7531" i="1"/>
  <c r="H7531" i="1"/>
  <c r="J7531" i="1"/>
  <c r="K7531" i="1"/>
  <c r="L7531" i="1"/>
  <c r="A7532" i="1"/>
  <c r="B7532" i="1"/>
  <c r="C7532" i="1"/>
  <c r="D7532" i="1"/>
  <c r="Q7532" i="1"/>
  <c r="R7532" i="1"/>
  <c r="E7532" i="1"/>
  <c r="G7532" i="1"/>
  <c r="H7532" i="1"/>
  <c r="J7532" i="1"/>
  <c r="K7532" i="1"/>
  <c r="L7532" i="1"/>
  <c r="A7533" i="1"/>
  <c r="B7533" i="1"/>
  <c r="C7533" i="1"/>
  <c r="D7533" i="1"/>
  <c r="Q7533" i="1"/>
  <c r="R7533" i="1"/>
  <c r="E7533" i="1"/>
  <c r="G7533" i="1"/>
  <c r="H7533" i="1"/>
  <c r="J7533" i="1"/>
  <c r="K7533" i="1"/>
  <c r="L7533" i="1"/>
  <c r="A7534" i="1"/>
  <c r="B7534" i="1"/>
  <c r="C7534" i="1"/>
  <c r="D7534" i="1"/>
  <c r="Q7534" i="1"/>
  <c r="R7534" i="1"/>
  <c r="E7534" i="1"/>
  <c r="G7534" i="1"/>
  <c r="H7534" i="1"/>
  <c r="J7534" i="1"/>
  <c r="K7534" i="1"/>
  <c r="L7534" i="1"/>
  <c r="A7535" i="1"/>
  <c r="B7535" i="1"/>
  <c r="C7535" i="1"/>
  <c r="D7535" i="1"/>
  <c r="Q7535" i="1"/>
  <c r="R7535" i="1"/>
  <c r="E7535" i="1"/>
  <c r="G7535" i="1"/>
  <c r="H7535" i="1"/>
  <c r="J7535" i="1"/>
  <c r="K7535" i="1"/>
  <c r="L7535" i="1"/>
  <c r="A7536" i="1"/>
  <c r="B7536" i="1"/>
  <c r="C7536" i="1"/>
  <c r="D7536" i="1"/>
  <c r="Q7536" i="1"/>
  <c r="R7536" i="1"/>
  <c r="E7536" i="1"/>
  <c r="G7536" i="1"/>
  <c r="H7536" i="1"/>
  <c r="J7536" i="1"/>
  <c r="K7536" i="1"/>
  <c r="L7536" i="1"/>
  <c r="A7537" i="1"/>
  <c r="B7537" i="1"/>
  <c r="C7537" i="1"/>
  <c r="D7537" i="1"/>
  <c r="Q7537" i="1"/>
  <c r="R7537" i="1"/>
  <c r="E7537" i="1"/>
  <c r="G7537" i="1"/>
  <c r="H7537" i="1"/>
  <c r="J7537" i="1"/>
  <c r="K7537" i="1"/>
  <c r="L7537" i="1"/>
  <c r="A7538" i="1"/>
  <c r="B7538" i="1"/>
  <c r="C7538" i="1"/>
  <c r="D7538" i="1"/>
  <c r="Q7538" i="1"/>
  <c r="R7538" i="1"/>
  <c r="E7538" i="1"/>
  <c r="G7538" i="1"/>
  <c r="H7538" i="1"/>
  <c r="J7538" i="1"/>
  <c r="K7538" i="1"/>
  <c r="L7538" i="1"/>
  <c r="A7539" i="1"/>
  <c r="B7539" i="1"/>
  <c r="C7539" i="1"/>
  <c r="D7539" i="1"/>
  <c r="Q7539" i="1"/>
  <c r="R7539" i="1"/>
  <c r="E7539" i="1"/>
  <c r="G7539" i="1"/>
  <c r="H7539" i="1"/>
  <c r="J7539" i="1"/>
  <c r="K7539" i="1"/>
  <c r="L7539" i="1"/>
  <c r="A7540" i="1"/>
  <c r="B7540" i="1"/>
  <c r="C7540" i="1"/>
  <c r="D7540" i="1"/>
  <c r="Q7540" i="1"/>
  <c r="R7540" i="1"/>
  <c r="E7540" i="1"/>
  <c r="G7540" i="1"/>
  <c r="H7540" i="1"/>
  <c r="J7540" i="1"/>
  <c r="K7540" i="1"/>
  <c r="L7540" i="1"/>
  <c r="A7541" i="1"/>
  <c r="B7541" i="1"/>
  <c r="C7541" i="1"/>
  <c r="D7541" i="1"/>
  <c r="Q7541" i="1"/>
  <c r="R7541" i="1"/>
  <c r="E7541" i="1"/>
  <c r="G7541" i="1"/>
  <c r="H7541" i="1"/>
  <c r="J7541" i="1"/>
  <c r="K7541" i="1"/>
  <c r="L7541" i="1"/>
  <c r="A7542" i="1"/>
  <c r="B7542" i="1"/>
  <c r="C7542" i="1"/>
  <c r="D7542" i="1"/>
  <c r="Q7542" i="1"/>
  <c r="R7542" i="1"/>
  <c r="E7542" i="1"/>
  <c r="G7542" i="1"/>
  <c r="H7542" i="1"/>
  <c r="J7542" i="1"/>
  <c r="K7542" i="1"/>
  <c r="L7542" i="1"/>
  <c r="A7543" i="1"/>
  <c r="B7543" i="1"/>
  <c r="C7543" i="1"/>
  <c r="D7543" i="1"/>
  <c r="Q7543" i="1"/>
  <c r="R7543" i="1"/>
  <c r="E7543" i="1"/>
  <c r="G7543" i="1"/>
  <c r="H7543" i="1"/>
  <c r="J7543" i="1"/>
  <c r="K7543" i="1"/>
  <c r="L7543" i="1"/>
  <c r="A7544" i="1"/>
  <c r="B7544" i="1"/>
  <c r="C7544" i="1"/>
  <c r="D7544" i="1"/>
  <c r="Q7544" i="1"/>
  <c r="R7544" i="1"/>
  <c r="E7544" i="1"/>
  <c r="G7544" i="1"/>
  <c r="H7544" i="1"/>
  <c r="J7544" i="1"/>
  <c r="K7544" i="1"/>
  <c r="L7544" i="1"/>
  <c r="A7545" i="1"/>
  <c r="B7545" i="1"/>
  <c r="C7545" i="1"/>
  <c r="D7545" i="1"/>
  <c r="Q7545" i="1"/>
  <c r="R7545" i="1"/>
  <c r="E7545" i="1"/>
  <c r="G7545" i="1"/>
  <c r="H7545" i="1"/>
  <c r="J7545" i="1"/>
  <c r="K7545" i="1"/>
  <c r="L7545" i="1"/>
  <c r="A7546" i="1"/>
  <c r="B7546" i="1"/>
  <c r="C7546" i="1"/>
  <c r="D7546" i="1"/>
  <c r="Q7546" i="1"/>
  <c r="R7546" i="1"/>
  <c r="E7546" i="1"/>
  <c r="G7546" i="1"/>
  <c r="H7546" i="1"/>
  <c r="J7546" i="1"/>
  <c r="K7546" i="1"/>
  <c r="L7546" i="1"/>
  <c r="A7547" i="1"/>
  <c r="B7547" i="1"/>
  <c r="C7547" i="1"/>
  <c r="D7547" i="1"/>
  <c r="Q7547" i="1"/>
  <c r="R7547" i="1"/>
  <c r="E7547" i="1"/>
  <c r="G7547" i="1"/>
  <c r="H7547" i="1"/>
  <c r="J7547" i="1"/>
  <c r="K7547" i="1"/>
  <c r="L7547" i="1"/>
  <c r="A7548" i="1"/>
  <c r="B7548" i="1"/>
  <c r="C7548" i="1"/>
  <c r="D7548" i="1"/>
  <c r="Q7548" i="1"/>
  <c r="R7548" i="1"/>
  <c r="E7548" i="1"/>
  <c r="G7548" i="1"/>
  <c r="H7548" i="1"/>
  <c r="J7548" i="1"/>
  <c r="K7548" i="1"/>
  <c r="L7548" i="1"/>
  <c r="A7549" i="1"/>
  <c r="B7549" i="1"/>
  <c r="C7549" i="1"/>
  <c r="D7549" i="1"/>
  <c r="Q7549" i="1"/>
  <c r="R7549" i="1"/>
  <c r="E7549" i="1"/>
  <c r="G7549" i="1"/>
  <c r="H7549" i="1"/>
  <c r="J7549" i="1"/>
  <c r="K7549" i="1"/>
  <c r="L7549" i="1"/>
  <c r="A7550" i="1"/>
  <c r="B7550" i="1"/>
  <c r="C7550" i="1"/>
  <c r="D7550" i="1"/>
  <c r="Q7550" i="1"/>
  <c r="R7550" i="1"/>
  <c r="E7550" i="1"/>
  <c r="G7550" i="1"/>
  <c r="H7550" i="1"/>
  <c r="J7550" i="1"/>
  <c r="K7550" i="1"/>
  <c r="L7550" i="1"/>
  <c r="A7551" i="1"/>
  <c r="B7551" i="1"/>
  <c r="C7551" i="1"/>
  <c r="D7551" i="1"/>
  <c r="Q7551" i="1"/>
  <c r="R7551" i="1"/>
  <c r="E7551" i="1"/>
  <c r="G7551" i="1"/>
  <c r="H7551" i="1"/>
  <c r="J7551" i="1"/>
  <c r="K7551" i="1"/>
  <c r="L7551" i="1"/>
  <c r="A7552" i="1"/>
  <c r="B7552" i="1"/>
  <c r="C7552" i="1"/>
  <c r="D7552" i="1"/>
  <c r="Q7552" i="1"/>
  <c r="R7552" i="1"/>
  <c r="E7552" i="1"/>
  <c r="G7552" i="1"/>
  <c r="H7552" i="1"/>
  <c r="J7552" i="1"/>
  <c r="K7552" i="1"/>
  <c r="L7552" i="1"/>
  <c r="A7553" i="1"/>
  <c r="B7553" i="1"/>
  <c r="C7553" i="1"/>
  <c r="D7553" i="1"/>
  <c r="Q7553" i="1"/>
  <c r="R7553" i="1"/>
  <c r="E7553" i="1"/>
  <c r="G7553" i="1"/>
  <c r="H7553" i="1"/>
  <c r="J7553" i="1"/>
  <c r="K7553" i="1"/>
  <c r="L7553" i="1"/>
  <c r="A7554" i="1"/>
  <c r="B7554" i="1"/>
  <c r="C7554" i="1"/>
  <c r="D7554" i="1"/>
  <c r="Q7554" i="1"/>
  <c r="R7554" i="1"/>
  <c r="E7554" i="1"/>
  <c r="G7554" i="1"/>
  <c r="H7554" i="1"/>
  <c r="J7554" i="1"/>
  <c r="K7554" i="1"/>
  <c r="L7554" i="1"/>
  <c r="A7555" i="1"/>
  <c r="B7555" i="1"/>
  <c r="C7555" i="1"/>
  <c r="D7555" i="1"/>
  <c r="Q7555" i="1"/>
  <c r="R7555" i="1"/>
  <c r="E7555" i="1"/>
  <c r="G7555" i="1"/>
  <c r="H7555" i="1"/>
  <c r="J7555" i="1"/>
  <c r="K7555" i="1"/>
  <c r="L7555" i="1"/>
  <c r="A7556" i="1"/>
  <c r="B7556" i="1"/>
  <c r="C7556" i="1"/>
  <c r="D7556" i="1"/>
  <c r="Q7556" i="1"/>
  <c r="R7556" i="1"/>
  <c r="E7556" i="1"/>
  <c r="G7556" i="1"/>
  <c r="H7556" i="1"/>
  <c r="J7556" i="1"/>
  <c r="K7556" i="1"/>
  <c r="L7556" i="1"/>
  <c r="A7557" i="1"/>
  <c r="B7557" i="1"/>
  <c r="C7557" i="1"/>
  <c r="D7557" i="1"/>
  <c r="Q7557" i="1"/>
  <c r="R7557" i="1"/>
  <c r="E7557" i="1"/>
  <c r="G7557" i="1"/>
  <c r="H7557" i="1"/>
  <c r="J7557" i="1"/>
  <c r="K7557" i="1"/>
  <c r="L7557" i="1"/>
  <c r="A7558" i="1"/>
  <c r="B7558" i="1"/>
  <c r="C7558" i="1"/>
  <c r="D7558" i="1"/>
  <c r="Q7558" i="1"/>
  <c r="R7558" i="1"/>
  <c r="E7558" i="1"/>
  <c r="G7558" i="1"/>
  <c r="H7558" i="1"/>
  <c r="J7558" i="1"/>
  <c r="K7558" i="1"/>
  <c r="L7558" i="1"/>
  <c r="A7559" i="1"/>
  <c r="B7559" i="1"/>
  <c r="C7559" i="1"/>
  <c r="D7559" i="1"/>
  <c r="Q7559" i="1"/>
  <c r="R7559" i="1"/>
  <c r="E7559" i="1"/>
  <c r="G7559" i="1"/>
  <c r="H7559" i="1"/>
  <c r="J7559" i="1"/>
  <c r="K7559" i="1"/>
  <c r="L7559" i="1"/>
  <c r="A7560" i="1"/>
  <c r="B7560" i="1"/>
  <c r="C7560" i="1"/>
  <c r="D7560" i="1"/>
  <c r="Q7560" i="1"/>
  <c r="R7560" i="1"/>
  <c r="E7560" i="1"/>
  <c r="G7560" i="1"/>
  <c r="H7560" i="1"/>
  <c r="J7560" i="1"/>
  <c r="K7560" i="1"/>
  <c r="L7560" i="1"/>
  <c r="A7561" i="1"/>
  <c r="B7561" i="1"/>
  <c r="C7561" i="1"/>
  <c r="D7561" i="1"/>
  <c r="Q7561" i="1"/>
  <c r="R7561" i="1"/>
  <c r="E7561" i="1"/>
  <c r="G7561" i="1"/>
  <c r="H7561" i="1"/>
  <c r="J7561" i="1"/>
  <c r="K7561" i="1"/>
  <c r="L7561" i="1"/>
  <c r="A7562" i="1"/>
  <c r="B7562" i="1"/>
  <c r="C7562" i="1"/>
  <c r="D7562" i="1"/>
  <c r="Q7562" i="1"/>
  <c r="R7562" i="1"/>
  <c r="E7562" i="1"/>
  <c r="G7562" i="1"/>
  <c r="H7562" i="1"/>
  <c r="J7562" i="1"/>
  <c r="K7562" i="1"/>
  <c r="L7562" i="1"/>
  <c r="A7563" i="1"/>
  <c r="B7563" i="1"/>
  <c r="C7563" i="1"/>
  <c r="D7563" i="1"/>
  <c r="Q7563" i="1"/>
  <c r="R7563" i="1"/>
  <c r="E7563" i="1"/>
  <c r="G7563" i="1"/>
  <c r="H7563" i="1"/>
  <c r="J7563" i="1"/>
  <c r="K7563" i="1"/>
  <c r="L7563" i="1"/>
  <c r="A7564" i="1"/>
  <c r="B7564" i="1"/>
  <c r="C7564" i="1"/>
  <c r="D7564" i="1"/>
  <c r="Q7564" i="1"/>
  <c r="R7564" i="1"/>
  <c r="E7564" i="1"/>
  <c r="G7564" i="1"/>
  <c r="H7564" i="1"/>
  <c r="J7564" i="1"/>
  <c r="K7564" i="1"/>
  <c r="L7564" i="1"/>
  <c r="A7565" i="1"/>
  <c r="B7565" i="1"/>
  <c r="C7565" i="1"/>
  <c r="D7565" i="1"/>
  <c r="Q7565" i="1"/>
  <c r="R7565" i="1"/>
  <c r="E7565" i="1"/>
  <c r="G7565" i="1"/>
  <c r="H7565" i="1"/>
  <c r="J7565" i="1"/>
  <c r="K7565" i="1"/>
  <c r="L7565" i="1"/>
  <c r="A7566" i="1"/>
  <c r="B7566" i="1"/>
  <c r="C7566" i="1"/>
  <c r="D7566" i="1"/>
  <c r="Q7566" i="1"/>
  <c r="R7566" i="1"/>
  <c r="E7566" i="1"/>
  <c r="G7566" i="1"/>
  <c r="H7566" i="1"/>
  <c r="J7566" i="1"/>
  <c r="K7566" i="1"/>
  <c r="L7566" i="1"/>
  <c r="A7567" i="1"/>
  <c r="B7567" i="1"/>
  <c r="C7567" i="1"/>
  <c r="D7567" i="1"/>
  <c r="Q7567" i="1"/>
  <c r="R7567" i="1"/>
  <c r="E7567" i="1"/>
  <c r="G7567" i="1"/>
  <c r="H7567" i="1"/>
  <c r="J7567" i="1"/>
  <c r="K7567" i="1"/>
  <c r="L7567" i="1"/>
  <c r="A7568" i="1"/>
  <c r="B7568" i="1"/>
  <c r="C7568" i="1"/>
  <c r="D7568" i="1"/>
  <c r="Q7568" i="1"/>
  <c r="R7568" i="1"/>
  <c r="E7568" i="1"/>
  <c r="G7568" i="1"/>
  <c r="H7568" i="1"/>
  <c r="J7568" i="1"/>
  <c r="K7568" i="1"/>
  <c r="L7568" i="1"/>
  <c r="A7569" i="1"/>
  <c r="B7569" i="1"/>
  <c r="C7569" i="1"/>
  <c r="D7569" i="1"/>
  <c r="Q7569" i="1"/>
  <c r="R7569" i="1"/>
  <c r="E7569" i="1"/>
  <c r="G7569" i="1"/>
  <c r="H7569" i="1"/>
  <c r="J7569" i="1"/>
  <c r="K7569" i="1"/>
  <c r="L7569" i="1"/>
  <c r="A7570" i="1"/>
  <c r="B7570" i="1"/>
  <c r="C7570" i="1"/>
  <c r="D7570" i="1"/>
  <c r="Q7570" i="1"/>
  <c r="R7570" i="1"/>
  <c r="E7570" i="1"/>
  <c r="G7570" i="1"/>
  <c r="H7570" i="1"/>
  <c r="J7570" i="1"/>
  <c r="K7570" i="1"/>
  <c r="L7570" i="1"/>
  <c r="A7571" i="1"/>
  <c r="B7571" i="1"/>
  <c r="C7571" i="1"/>
  <c r="D7571" i="1"/>
  <c r="Q7571" i="1"/>
  <c r="R7571" i="1"/>
  <c r="E7571" i="1"/>
  <c r="G7571" i="1"/>
  <c r="H7571" i="1"/>
  <c r="J7571" i="1"/>
  <c r="K7571" i="1"/>
  <c r="L7571" i="1"/>
  <c r="A7572" i="1"/>
  <c r="B7572" i="1"/>
  <c r="C7572" i="1"/>
  <c r="D7572" i="1"/>
  <c r="Q7572" i="1"/>
  <c r="R7572" i="1"/>
  <c r="E7572" i="1"/>
  <c r="G7572" i="1"/>
  <c r="H7572" i="1"/>
  <c r="J7572" i="1"/>
  <c r="K7572" i="1"/>
  <c r="L7572" i="1"/>
  <c r="A7573" i="1"/>
  <c r="B7573" i="1"/>
  <c r="C7573" i="1"/>
  <c r="D7573" i="1"/>
  <c r="Q7573" i="1"/>
  <c r="R7573" i="1"/>
  <c r="E7573" i="1"/>
  <c r="G7573" i="1"/>
  <c r="H7573" i="1"/>
  <c r="J7573" i="1"/>
  <c r="K7573" i="1"/>
  <c r="L7573" i="1"/>
  <c r="A7574" i="1"/>
  <c r="B7574" i="1"/>
  <c r="C7574" i="1"/>
  <c r="D7574" i="1"/>
  <c r="Q7574" i="1"/>
  <c r="R7574" i="1"/>
  <c r="E7574" i="1"/>
  <c r="G7574" i="1"/>
  <c r="H7574" i="1"/>
  <c r="J7574" i="1"/>
  <c r="K7574" i="1"/>
  <c r="L7574" i="1"/>
  <c r="A7575" i="1"/>
  <c r="B7575" i="1"/>
  <c r="C7575" i="1"/>
  <c r="D7575" i="1"/>
  <c r="Q7575" i="1"/>
  <c r="R7575" i="1"/>
  <c r="E7575" i="1"/>
  <c r="G7575" i="1"/>
  <c r="H7575" i="1"/>
  <c r="J7575" i="1"/>
  <c r="K7575" i="1"/>
  <c r="L7575" i="1"/>
  <c r="A7576" i="1"/>
  <c r="B7576" i="1"/>
  <c r="C7576" i="1"/>
  <c r="D7576" i="1"/>
  <c r="Q7576" i="1"/>
  <c r="R7576" i="1"/>
  <c r="E7576" i="1"/>
  <c r="G7576" i="1"/>
  <c r="H7576" i="1"/>
  <c r="J7576" i="1"/>
  <c r="K7576" i="1"/>
  <c r="L7576" i="1"/>
  <c r="A7577" i="1"/>
  <c r="B7577" i="1"/>
  <c r="C7577" i="1"/>
  <c r="D7577" i="1"/>
  <c r="Q7577" i="1"/>
  <c r="R7577" i="1"/>
  <c r="E7577" i="1"/>
  <c r="G7577" i="1"/>
  <c r="H7577" i="1"/>
  <c r="J7577" i="1"/>
  <c r="K7577" i="1"/>
  <c r="L7577" i="1"/>
  <c r="A7578" i="1"/>
  <c r="B7578" i="1"/>
  <c r="C7578" i="1"/>
  <c r="D7578" i="1"/>
  <c r="Q7578" i="1"/>
  <c r="R7578" i="1"/>
  <c r="E7578" i="1"/>
  <c r="G7578" i="1"/>
  <c r="H7578" i="1"/>
  <c r="J7578" i="1"/>
  <c r="K7578" i="1"/>
  <c r="L7578" i="1"/>
  <c r="A7579" i="1"/>
  <c r="B7579" i="1"/>
  <c r="C7579" i="1"/>
  <c r="D7579" i="1"/>
  <c r="Q7579" i="1"/>
  <c r="R7579" i="1"/>
  <c r="E7579" i="1"/>
  <c r="G7579" i="1"/>
  <c r="H7579" i="1"/>
  <c r="J7579" i="1"/>
  <c r="K7579" i="1"/>
  <c r="L7579" i="1"/>
  <c r="A7580" i="1"/>
  <c r="B7580" i="1"/>
  <c r="C7580" i="1"/>
  <c r="D7580" i="1"/>
  <c r="Q7580" i="1"/>
  <c r="R7580" i="1"/>
  <c r="E7580" i="1"/>
  <c r="G7580" i="1"/>
  <c r="H7580" i="1"/>
  <c r="J7580" i="1"/>
  <c r="K7580" i="1"/>
  <c r="L7580" i="1"/>
  <c r="A7581" i="1"/>
  <c r="B7581" i="1"/>
  <c r="C7581" i="1"/>
  <c r="D7581" i="1"/>
  <c r="Q7581" i="1"/>
  <c r="R7581" i="1"/>
  <c r="E7581" i="1"/>
  <c r="G7581" i="1"/>
  <c r="H7581" i="1"/>
  <c r="J7581" i="1"/>
  <c r="K7581" i="1"/>
  <c r="L7581" i="1"/>
  <c r="A7582" i="1"/>
  <c r="B7582" i="1"/>
  <c r="C7582" i="1"/>
  <c r="D7582" i="1"/>
  <c r="Q7582" i="1"/>
  <c r="R7582" i="1"/>
  <c r="E7582" i="1"/>
  <c r="G7582" i="1"/>
  <c r="H7582" i="1"/>
  <c r="J7582" i="1"/>
  <c r="K7582" i="1"/>
  <c r="L7582" i="1"/>
  <c r="A7583" i="1"/>
  <c r="B7583" i="1"/>
  <c r="C7583" i="1"/>
  <c r="D7583" i="1"/>
  <c r="Q7583" i="1"/>
  <c r="R7583" i="1"/>
  <c r="E7583" i="1"/>
  <c r="G7583" i="1"/>
  <c r="H7583" i="1"/>
  <c r="J7583" i="1"/>
  <c r="K7583" i="1"/>
  <c r="L7583" i="1"/>
  <c r="A7584" i="1"/>
  <c r="B7584" i="1"/>
  <c r="C7584" i="1"/>
  <c r="D7584" i="1"/>
  <c r="Q7584" i="1"/>
  <c r="R7584" i="1"/>
  <c r="E7584" i="1"/>
  <c r="G7584" i="1"/>
  <c r="H7584" i="1"/>
  <c r="J7584" i="1"/>
  <c r="K7584" i="1"/>
  <c r="L7584" i="1"/>
  <c r="A7585" i="1"/>
  <c r="B7585" i="1"/>
  <c r="C7585" i="1"/>
  <c r="D7585" i="1"/>
  <c r="Q7585" i="1"/>
  <c r="R7585" i="1"/>
  <c r="E7585" i="1"/>
  <c r="G7585" i="1"/>
  <c r="H7585" i="1"/>
  <c r="J7585" i="1"/>
  <c r="K7585" i="1"/>
  <c r="L7585" i="1"/>
  <c r="A7586" i="1"/>
  <c r="B7586" i="1"/>
  <c r="C7586" i="1"/>
  <c r="D7586" i="1"/>
  <c r="Q7586" i="1"/>
  <c r="R7586" i="1"/>
  <c r="E7586" i="1"/>
  <c r="G7586" i="1"/>
  <c r="H7586" i="1"/>
  <c r="J7586" i="1"/>
  <c r="K7586" i="1"/>
  <c r="L7586" i="1"/>
  <c r="A7587" i="1"/>
  <c r="B7587" i="1"/>
  <c r="C7587" i="1"/>
  <c r="D7587" i="1"/>
  <c r="Q7587" i="1"/>
  <c r="R7587" i="1"/>
  <c r="E7587" i="1"/>
  <c r="G7587" i="1"/>
  <c r="H7587" i="1"/>
  <c r="J7587" i="1"/>
  <c r="K7587" i="1"/>
  <c r="L7587" i="1"/>
  <c r="A7588" i="1"/>
  <c r="B7588" i="1"/>
  <c r="C7588" i="1"/>
  <c r="D7588" i="1"/>
  <c r="Q7588" i="1"/>
  <c r="R7588" i="1"/>
  <c r="E7588" i="1"/>
  <c r="G7588" i="1"/>
  <c r="H7588" i="1"/>
  <c r="J7588" i="1"/>
  <c r="K7588" i="1"/>
  <c r="L7588" i="1"/>
  <c r="A7589" i="1"/>
  <c r="B7589" i="1"/>
  <c r="C7589" i="1"/>
  <c r="D7589" i="1"/>
  <c r="Q7589" i="1"/>
  <c r="R7589" i="1"/>
  <c r="E7589" i="1"/>
  <c r="G7589" i="1"/>
  <c r="H7589" i="1"/>
  <c r="J7589" i="1"/>
  <c r="K7589" i="1"/>
  <c r="L7589" i="1"/>
  <c r="A7590" i="1"/>
  <c r="B7590" i="1"/>
  <c r="C7590" i="1"/>
  <c r="D7590" i="1"/>
  <c r="Q7590" i="1"/>
  <c r="R7590" i="1"/>
  <c r="E7590" i="1"/>
  <c r="G7590" i="1"/>
  <c r="H7590" i="1"/>
  <c r="J7590" i="1"/>
  <c r="K7590" i="1"/>
  <c r="L7590" i="1"/>
  <c r="A7591" i="1"/>
  <c r="B7591" i="1"/>
  <c r="C7591" i="1"/>
  <c r="D7591" i="1"/>
  <c r="Q7591" i="1"/>
  <c r="R7591" i="1"/>
  <c r="E7591" i="1"/>
  <c r="G7591" i="1"/>
  <c r="H7591" i="1"/>
  <c r="J7591" i="1"/>
  <c r="K7591" i="1"/>
  <c r="L7591" i="1"/>
  <c r="A7592" i="1"/>
  <c r="B7592" i="1"/>
  <c r="C7592" i="1"/>
  <c r="D7592" i="1"/>
  <c r="Q7592" i="1"/>
  <c r="R7592" i="1"/>
  <c r="E7592" i="1"/>
  <c r="G7592" i="1"/>
  <c r="H7592" i="1"/>
  <c r="J7592" i="1"/>
  <c r="K7592" i="1"/>
  <c r="L7592" i="1"/>
  <c r="A7593" i="1"/>
  <c r="B7593" i="1"/>
  <c r="C7593" i="1"/>
  <c r="D7593" i="1"/>
  <c r="Q7593" i="1"/>
  <c r="R7593" i="1"/>
  <c r="E7593" i="1"/>
  <c r="G7593" i="1"/>
  <c r="H7593" i="1"/>
  <c r="J7593" i="1"/>
  <c r="K7593" i="1"/>
  <c r="L7593" i="1"/>
  <c r="A7594" i="1"/>
  <c r="B7594" i="1"/>
  <c r="C7594" i="1"/>
  <c r="D7594" i="1"/>
  <c r="Q7594" i="1"/>
  <c r="R7594" i="1"/>
  <c r="E7594" i="1"/>
  <c r="G7594" i="1"/>
  <c r="H7594" i="1"/>
  <c r="J7594" i="1"/>
  <c r="K7594" i="1"/>
  <c r="L7594" i="1"/>
  <c r="A7595" i="1"/>
  <c r="B7595" i="1"/>
  <c r="C7595" i="1"/>
  <c r="D7595" i="1"/>
  <c r="Q7595" i="1"/>
  <c r="R7595" i="1"/>
  <c r="E7595" i="1"/>
  <c r="G7595" i="1"/>
  <c r="H7595" i="1"/>
  <c r="J7595" i="1"/>
  <c r="K7595" i="1"/>
  <c r="L7595" i="1"/>
  <c r="A7596" i="1"/>
  <c r="B7596" i="1"/>
  <c r="C7596" i="1"/>
  <c r="D7596" i="1"/>
  <c r="Q7596" i="1"/>
  <c r="R7596" i="1"/>
  <c r="E7596" i="1"/>
  <c r="G7596" i="1"/>
  <c r="H7596" i="1"/>
  <c r="J7596" i="1"/>
  <c r="K7596" i="1"/>
  <c r="L7596" i="1"/>
  <c r="A7597" i="1"/>
  <c r="B7597" i="1"/>
  <c r="C7597" i="1"/>
  <c r="D7597" i="1"/>
  <c r="Q7597" i="1"/>
  <c r="R7597" i="1"/>
  <c r="E7597" i="1"/>
  <c r="G7597" i="1"/>
  <c r="H7597" i="1"/>
  <c r="J7597" i="1"/>
  <c r="K7597" i="1"/>
  <c r="L7597" i="1"/>
  <c r="A7598" i="1"/>
  <c r="B7598" i="1"/>
  <c r="C7598" i="1"/>
  <c r="D7598" i="1"/>
  <c r="Q7598" i="1"/>
  <c r="R7598" i="1"/>
  <c r="E7598" i="1"/>
  <c r="G7598" i="1"/>
  <c r="H7598" i="1"/>
  <c r="J7598" i="1"/>
  <c r="K7598" i="1"/>
  <c r="L7598" i="1"/>
  <c r="A7599" i="1"/>
  <c r="B7599" i="1"/>
  <c r="C7599" i="1"/>
  <c r="D7599" i="1"/>
  <c r="Q7599" i="1"/>
  <c r="R7599" i="1"/>
  <c r="E7599" i="1"/>
  <c r="G7599" i="1"/>
  <c r="H7599" i="1"/>
  <c r="J7599" i="1"/>
  <c r="K7599" i="1"/>
  <c r="L7599" i="1"/>
  <c r="A7600" i="1"/>
  <c r="B7600" i="1"/>
  <c r="C7600" i="1"/>
  <c r="D7600" i="1"/>
  <c r="Q7600" i="1"/>
  <c r="R7600" i="1"/>
  <c r="E7600" i="1"/>
  <c r="G7600" i="1"/>
  <c r="H7600" i="1"/>
  <c r="J7600" i="1"/>
  <c r="K7600" i="1"/>
  <c r="L7600" i="1"/>
  <c r="A7601" i="1"/>
  <c r="B7601" i="1"/>
  <c r="C7601" i="1"/>
  <c r="D7601" i="1"/>
  <c r="Q7601" i="1"/>
  <c r="R7601" i="1"/>
  <c r="E7601" i="1"/>
  <c r="G7601" i="1"/>
  <c r="H7601" i="1"/>
  <c r="J7601" i="1"/>
  <c r="K7601" i="1"/>
  <c r="L7601" i="1"/>
  <c r="A7602" i="1"/>
  <c r="B7602" i="1"/>
  <c r="C7602" i="1"/>
  <c r="D7602" i="1"/>
  <c r="Q7602" i="1"/>
  <c r="R7602" i="1"/>
  <c r="E7602" i="1"/>
  <c r="G7602" i="1"/>
  <c r="H7602" i="1"/>
  <c r="J7602" i="1"/>
  <c r="K7602" i="1"/>
  <c r="L7602" i="1"/>
  <c r="A7603" i="1"/>
  <c r="B7603" i="1"/>
  <c r="C7603" i="1"/>
  <c r="D7603" i="1"/>
  <c r="Q7603" i="1"/>
  <c r="R7603" i="1"/>
  <c r="E7603" i="1"/>
  <c r="G7603" i="1"/>
  <c r="H7603" i="1"/>
  <c r="J7603" i="1"/>
  <c r="K7603" i="1"/>
  <c r="L7603" i="1"/>
  <c r="A7604" i="1"/>
  <c r="B7604" i="1"/>
  <c r="C7604" i="1"/>
  <c r="D7604" i="1"/>
  <c r="Q7604" i="1"/>
  <c r="R7604" i="1"/>
  <c r="E7604" i="1"/>
  <c r="G7604" i="1"/>
  <c r="H7604" i="1"/>
  <c r="J7604" i="1"/>
  <c r="K7604" i="1"/>
  <c r="L7604" i="1"/>
  <c r="A7605" i="1"/>
  <c r="B7605" i="1"/>
  <c r="C7605" i="1"/>
  <c r="D7605" i="1"/>
  <c r="Q7605" i="1"/>
  <c r="R7605" i="1"/>
  <c r="E7605" i="1"/>
  <c r="G7605" i="1"/>
  <c r="H7605" i="1"/>
  <c r="J7605" i="1"/>
  <c r="K7605" i="1"/>
  <c r="L7605" i="1"/>
  <c r="A7606" i="1"/>
  <c r="B7606" i="1"/>
  <c r="C7606" i="1"/>
  <c r="D7606" i="1"/>
  <c r="Q7606" i="1"/>
  <c r="R7606" i="1"/>
  <c r="E7606" i="1"/>
  <c r="G7606" i="1"/>
  <c r="H7606" i="1"/>
  <c r="J7606" i="1"/>
  <c r="K7606" i="1"/>
  <c r="L7606" i="1"/>
  <c r="A7607" i="1"/>
  <c r="C7607" i="1"/>
  <c r="D7607" i="1"/>
  <c r="Q7607" i="1"/>
  <c r="R7607" i="1"/>
  <c r="G7607" i="1"/>
  <c r="H7607" i="1"/>
  <c r="K7607" i="1"/>
  <c r="L7607" i="1"/>
  <c r="A7608" i="1"/>
  <c r="B7608" i="1"/>
  <c r="C7608" i="1"/>
  <c r="D7608" i="1"/>
  <c r="Q7608" i="1"/>
  <c r="R7608" i="1"/>
  <c r="E7608" i="1"/>
  <c r="G7608" i="1"/>
  <c r="H7608" i="1"/>
  <c r="J7608" i="1"/>
  <c r="K7608" i="1"/>
  <c r="L7608" i="1"/>
  <c r="A7609" i="1"/>
  <c r="B7609" i="1"/>
  <c r="C7609" i="1"/>
  <c r="D7609" i="1"/>
  <c r="Q7609" i="1"/>
  <c r="R7609" i="1"/>
  <c r="E7609" i="1"/>
  <c r="G7609" i="1"/>
  <c r="H7609" i="1"/>
  <c r="J7609" i="1"/>
  <c r="K7609" i="1"/>
  <c r="L7609" i="1"/>
  <c r="A7610" i="1"/>
  <c r="B7610" i="1"/>
  <c r="C7610" i="1"/>
  <c r="D7610" i="1"/>
  <c r="Q7610" i="1"/>
  <c r="R7610" i="1"/>
  <c r="E7610" i="1"/>
  <c r="G7610" i="1"/>
  <c r="H7610" i="1"/>
  <c r="J7610" i="1"/>
  <c r="K7610" i="1"/>
  <c r="L7610" i="1"/>
  <c r="A7611" i="1"/>
  <c r="B7611" i="1"/>
  <c r="C7611" i="1"/>
  <c r="D7611" i="1"/>
  <c r="Q7611" i="1"/>
  <c r="R7611" i="1"/>
  <c r="E7611" i="1"/>
  <c r="G7611" i="1"/>
  <c r="H7611" i="1"/>
  <c r="J7611" i="1"/>
  <c r="K7611" i="1"/>
  <c r="L7611" i="1"/>
  <c r="A7612" i="1"/>
  <c r="B7612" i="1"/>
  <c r="C7612" i="1"/>
  <c r="D7612" i="1"/>
  <c r="Q7612" i="1"/>
  <c r="R7612" i="1"/>
  <c r="E7612" i="1"/>
  <c r="G7612" i="1"/>
  <c r="H7612" i="1"/>
  <c r="J7612" i="1"/>
  <c r="K7612" i="1"/>
  <c r="L7612" i="1"/>
  <c r="A7613" i="1"/>
  <c r="B7613" i="1"/>
  <c r="C7613" i="1"/>
  <c r="D7613" i="1"/>
  <c r="Q7613" i="1"/>
  <c r="R7613" i="1"/>
  <c r="E7613" i="1"/>
  <c r="G7613" i="1"/>
  <c r="H7613" i="1"/>
  <c r="J7613" i="1"/>
  <c r="K7613" i="1"/>
  <c r="L7613" i="1"/>
  <c r="A7614" i="1"/>
  <c r="B7614" i="1"/>
  <c r="C7614" i="1"/>
  <c r="D7614" i="1"/>
  <c r="Q7614" i="1"/>
  <c r="R7614" i="1"/>
  <c r="E7614" i="1"/>
  <c r="G7614" i="1"/>
  <c r="H7614" i="1"/>
  <c r="J7614" i="1"/>
  <c r="K7614" i="1"/>
  <c r="L7614" i="1"/>
  <c r="A7615" i="1"/>
  <c r="B7615" i="1"/>
  <c r="C7615" i="1"/>
  <c r="D7615" i="1"/>
  <c r="Q7615" i="1"/>
  <c r="R7615" i="1"/>
  <c r="E7615" i="1"/>
  <c r="G7615" i="1"/>
  <c r="H7615" i="1"/>
  <c r="J7615" i="1"/>
  <c r="K7615" i="1"/>
  <c r="L7615" i="1"/>
  <c r="A7616" i="1"/>
  <c r="B7616" i="1"/>
  <c r="C7616" i="1"/>
  <c r="D7616" i="1"/>
  <c r="Q7616" i="1"/>
  <c r="R7616" i="1"/>
  <c r="E7616" i="1"/>
  <c r="G7616" i="1"/>
  <c r="H7616" i="1"/>
  <c r="J7616" i="1"/>
  <c r="K7616" i="1"/>
  <c r="L7616" i="1"/>
  <c r="A7617" i="1"/>
  <c r="B7617" i="1"/>
  <c r="C7617" i="1"/>
  <c r="D7617" i="1"/>
  <c r="Q7617" i="1"/>
  <c r="R7617" i="1"/>
  <c r="E7617" i="1"/>
  <c r="G7617" i="1"/>
  <c r="H7617" i="1"/>
  <c r="J7617" i="1"/>
  <c r="K7617" i="1"/>
  <c r="L7617" i="1"/>
  <c r="A7618" i="1"/>
  <c r="B7618" i="1"/>
  <c r="C7618" i="1"/>
  <c r="D7618" i="1"/>
  <c r="Q7618" i="1"/>
  <c r="R7618" i="1"/>
  <c r="E7618" i="1"/>
  <c r="G7618" i="1"/>
  <c r="H7618" i="1"/>
  <c r="K7618" i="1"/>
  <c r="L7618" i="1"/>
  <c r="A7619" i="1"/>
  <c r="B7619" i="1"/>
  <c r="C7619" i="1"/>
  <c r="D7619" i="1"/>
  <c r="Q7619" i="1"/>
  <c r="R7619" i="1"/>
  <c r="E7619" i="1"/>
  <c r="G7619" i="1"/>
  <c r="H7619" i="1"/>
  <c r="J7619" i="1"/>
  <c r="K7619" i="1"/>
  <c r="L7619" i="1"/>
  <c r="A7620" i="1"/>
  <c r="B7620" i="1"/>
  <c r="C7620" i="1"/>
  <c r="D7620" i="1"/>
  <c r="Q7620" i="1"/>
  <c r="R7620" i="1"/>
  <c r="E7620" i="1"/>
  <c r="G7620" i="1"/>
  <c r="H7620" i="1"/>
  <c r="J7620" i="1"/>
  <c r="K7620" i="1"/>
  <c r="L7620" i="1"/>
  <c r="A7621" i="1"/>
  <c r="B7621" i="1"/>
  <c r="C7621" i="1"/>
  <c r="D7621" i="1"/>
  <c r="Q7621" i="1"/>
  <c r="R7621" i="1"/>
  <c r="E7621" i="1"/>
  <c r="G7621" i="1"/>
  <c r="H7621" i="1"/>
  <c r="J7621" i="1"/>
  <c r="K7621" i="1"/>
  <c r="L7621" i="1"/>
  <c r="A7622" i="1"/>
  <c r="B7622" i="1"/>
  <c r="C7622" i="1"/>
  <c r="D7622" i="1"/>
  <c r="Q7622" i="1"/>
  <c r="R7622" i="1"/>
  <c r="E7622" i="1"/>
  <c r="G7622" i="1"/>
  <c r="H7622" i="1"/>
  <c r="J7622" i="1"/>
  <c r="K7622" i="1"/>
  <c r="L7622" i="1"/>
  <c r="A7623" i="1"/>
  <c r="B7623" i="1"/>
  <c r="C7623" i="1"/>
  <c r="D7623" i="1"/>
  <c r="Q7623" i="1"/>
  <c r="R7623" i="1"/>
  <c r="E7623" i="1"/>
  <c r="G7623" i="1"/>
  <c r="H7623" i="1"/>
  <c r="J7623" i="1"/>
  <c r="K7623" i="1"/>
  <c r="L7623" i="1"/>
  <c r="A7624" i="1"/>
  <c r="B7624" i="1"/>
  <c r="C7624" i="1"/>
  <c r="D7624" i="1"/>
  <c r="Q7624" i="1"/>
  <c r="R7624" i="1"/>
  <c r="E7624" i="1"/>
  <c r="G7624" i="1"/>
  <c r="H7624" i="1"/>
  <c r="J7624" i="1"/>
  <c r="K7624" i="1"/>
  <c r="L7624" i="1"/>
  <c r="A7625" i="1"/>
  <c r="B7625" i="1"/>
  <c r="C7625" i="1"/>
  <c r="D7625" i="1"/>
  <c r="Q7625" i="1"/>
  <c r="R7625" i="1"/>
  <c r="E7625" i="1"/>
  <c r="G7625" i="1"/>
  <c r="H7625" i="1"/>
  <c r="J7625" i="1"/>
  <c r="K7625" i="1"/>
  <c r="L7625" i="1"/>
  <c r="A7626" i="1"/>
  <c r="B7626" i="1"/>
  <c r="C7626" i="1"/>
  <c r="D7626" i="1"/>
  <c r="Q7626" i="1"/>
  <c r="R7626" i="1"/>
  <c r="E7626" i="1"/>
  <c r="G7626" i="1"/>
  <c r="H7626" i="1"/>
  <c r="J7626" i="1"/>
  <c r="K7626" i="1"/>
  <c r="L7626" i="1"/>
  <c r="A7627" i="1"/>
  <c r="B7627" i="1"/>
  <c r="C7627" i="1"/>
  <c r="D7627" i="1"/>
  <c r="Q7627" i="1"/>
  <c r="R7627" i="1"/>
  <c r="E7627" i="1"/>
  <c r="G7627" i="1"/>
  <c r="H7627" i="1"/>
  <c r="J7627" i="1"/>
  <c r="K7627" i="1"/>
  <c r="L7627" i="1"/>
  <c r="A7628" i="1"/>
  <c r="B7628" i="1"/>
  <c r="C7628" i="1"/>
  <c r="D7628" i="1"/>
  <c r="Q7628" i="1"/>
  <c r="R7628" i="1"/>
  <c r="E7628" i="1"/>
  <c r="G7628" i="1"/>
  <c r="H7628" i="1"/>
  <c r="J7628" i="1"/>
  <c r="K7628" i="1"/>
  <c r="L7628" i="1"/>
  <c r="A7629" i="1"/>
  <c r="B7629" i="1"/>
  <c r="C7629" i="1"/>
  <c r="D7629" i="1"/>
  <c r="Q7629" i="1"/>
  <c r="R7629" i="1"/>
  <c r="E7629" i="1"/>
  <c r="G7629" i="1"/>
  <c r="H7629" i="1"/>
  <c r="J7629" i="1"/>
  <c r="K7629" i="1"/>
  <c r="L7629" i="1"/>
  <c r="A7630" i="1"/>
  <c r="B7630" i="1"/>
  <c r="C7630" i="1"/>
  <c r="D7630" i="1"/>
  <c r="Q7630" i="1"/>
  <c r="R7630" i="1"/>
  <c r="E7630" i="1"/>
  <c r="G7630" i="1"/>
  <c r="H7630" i="1"/>
  <c r="J7630" i="1"/>
  <c r="K7630" i="1"/>
  <c r="L7630" i="1"/>
  <c r="A7631" i="1"/>
  <c r="B7631" i="1"/>
  <c r="C7631" i="1"/>
  <c r="D7631" i="1"/>
  <c r="Q7631" i="1"/>
  <c r="R7631" i="1"/>
  <c r="E7631" i="1"/>
  <c r="G7631" i="1"/>
  <c r="H7631" i="1"/>
  <c r="J7631" i="1"/>
  <c r="K7631" i="1"/>
  <c r="L7631" i="1"/>
  <c r="A7632" i="1"/>
  <c r="B7632" i="1"/>
  <c r="C7632" i="1"/>
  <c r="D7632" i="1"/>
  <c r="Q7632" i="1"/>
  <c r="R7632" i="1"/>
  <c r="E7632" i="1"/>
  <c r="G7632" i="1"/>
  <c r="H7632" i="1"/>
  <c r="J7632" i="1"/>
  <c r="K7632" i="1"/>
  <c r="L7632" i="1"/>
  <c r="A7633" i="1"/>
  <c r="B7633" i="1"/>
  <c r="C7633" i="1"/>
  <c r="D7633" i="1"/>
  <c r="Q7633" i="1"/>
  <c r="R7633" i="1"/>
  <c r="E7633" i="1"/>
  <c r="G7633" i="1"/>
  <c r="H7633" i="1"/>
  <c r="J7633" i="1"/>
  <c r="K7633" i="1"/>
  <c r="L7633" i="1"/>
  <c r="A7634" i="1"/>
  <c r="B7634" i="1"/>
  <c r="C7634" i="1"/>
  <c r="D7634" i="1"/>
  <c r="Q7634" i="1"/>
  <c r="R7634" i="1"/>
  <c r="E7634" i="1"/>
  <c r="G7634" i="1"/>
  <c r="H7634" i="1"/>
  <c r="J7634" i="1"/>
  <c r="K7634" i="1"/>
  <c r="L7634" i="1"/>
  <c r="A7635" i="1"/>
  <c r="B7635" i="1"/>
  <c r="C7635" i="1"/>
  <c r="D7635" i="1"/>
  <c r="Q7635" i="1"/>
  <c r="R7635" i="1"/>
  <c r="E7635" i="1"/>
  <c r="G7635" i="1"/>
  <c r="H7635" i="1"/>
  <c r="J7635" i="1"/>
  <c r="K7635" i="1"/>
  <c r="L7635" i="1"/>
  <c r="A7636" i="1"/>
  <c r="B7636" i="1"/>
  <c r="C7636" i="1"/>
  <c r="D7636" i="1"/>
  <c r="Q7636" i="1"/>
  <c r="R7636" i="1"/>
  <c r="E7636" i="1"/>
  <c r="G7636" i="1"/>
  <c r="H7636" i="1"/>
  <c r="J7636" i="1"/>
  <c r="K7636" i="1"/>
  <c r="L7636" i="1"/>
  <c r="A7637" i="1"/>
  <c r="B7637" i="1"/>
  <c r="C7637" i="1"/>
  <c r="D7637" i="1"/>
  <c r="Q7637" i="1"/>
  <c r="R7637" i="1"/>
  <c r="E7637" i="1"/>
  <c r="G7637" i="1"/>
  <c r="H7637" i="1"/>
  <c r="J7637" i="1"/>
  <c r="K7637" i="1"/>
  <c r="L7637" i="1"/>
  <c r="A7638" i="1"/>
  <c r="B7638" i="1"/>
  <c r="C7638" i="1"/>
  <c r="D7638" i="1"/>
  <c r="Q7638" i="1"/>
  <c r="R7638" i="1"/>
  <c r="E7638" i="1"/>
  <c r="G7638" i="1"/>
  <c r="H7638" i="1"/>
  <c r="J7638" i="1"/>
  <c r="K7638" i="1"/>
  <c r="L7638" i="1"/>
  <c r="A7639" i="1"/>
  <c r="B7639" i="1"/>
  <c r="C7639" i="1"/>
  <c r="D7639" i="1"/>
  <c r="Q7639" i="1"/>
  <c r="R7639" i="1"/>
  <c r="E7639" i="1"/>
  <c r="G7639" i="1"/>
  <c r="H7639" i="1"/>
  <c r="J7639" i="1"/>
  <c r="K7639" i="1"/>
  <c r="L7639" i="1"/>
  <c r="A7640" i="1"/>
  <c r="B7640" i="1"/>
  <c r="C7640" i="1"/>
  <c r="D7640" i="1"/>
  <c r="Q7640" i="1"/>
  <c r="R7640" i="1"/>
  <c r="E7640" i="1"/>
  <c r="G7640" i="1"/>
  <c r="H7640" i="1"/>
  <c r="J7640" i="1"/>
  <c r="K7640" i="1"/>
  <c r="L7640" i="1"/>
  <c r="A7641" i="1"/>
  <c r="B7641" i="1"/>
  <c r="C7641" i="1"/>
  <c r="D7641" i="1"/>
  <c r="Q7641" i="1"/>
  <c r="R7641" i="1"/>
  <c r="E7641" i="1"/>
  <c r="G7641" i="1"/>
  <c r="H7641" i="1"/>
  <c r="J7641" i="1"/>
  <c r="K7641" i="1"/>
  <c r="L7641" i="1"/>
  <c r="A7642" i="1"/>
  <c r="B7642" i="1"/>
  <c r="C7642" i="1"/>
  <c r="D7642" i="1"/>
  <c r="Q7642" i="1"/>
  <c r="R7642" i="1"/>
  <c r="E7642" i="1"/>
  <c r="G7642" i="1"/>
  <c r="H7642" i="1"/>
  <c r="J7642" i="1"/>
  <c r="K7642" i="1"/>
  <c r="L7642" i="1"/>
  <c r="A7643" i="1"/>
  <c r="B7643" i="1"/>
  <c r="C7643" i="1"/>
  <c r="D7643" i="1"/>
  <c r="Q7643" i="1"/>
  <c r="R7643" i="1"/>
  <c r="E7643" i="1"/>
  <c r="G7643" i="1"/>
  <c r="H7643" i="1"/>
  <c r="J7643" i="1"/>
  <c r="K7643" i="1"/>
  <c r="L7643" i="1"/>
  <c r="A7644" i="1"/>
  <c r="B7644" i="1"/>
  <c r="C7644" i="1"/>
  <c r="D7644" i="1"/>
  <c r="Q7644" i="1"/>
  <c r="R7644" i="1"/>
  <c r="E7644" i="1"/>
  <c r="G7644" i="1"/>
  <c r="H7644" i="1"/>
  <c r="J7644" i="1"/>
  <c r="K7644" i="1"/>
  <c r="L7644" i="1"/>
  <c r="A7645" i="1"/>
  <c r="B7645" i="1"/>
  <c r="C7645" i="1"/>
  <c r="D7645" i="1"/>
  <c r="Q7645" i="1"/>
  <c r="R7645" i="1"/>
  <c r="E7645" i="1"/>
  <c r="G7645" i="1"/>
  <c r="H7645" i="1"/>
  <c r="J7645" i="1"/>
  <c r="K7645" i="1"/>
  <c r="L7645" i="1"/>
  <c r="A7646" i="1"/>
  <c r="B7646" i="1"/>
  <c r="C7646" i="1"/>
  <c r="D7646" i="1"/>
  <c r="Q7646" i="1"/>
  <c r="R7646" i="1"/>
  <c r="E7646" i="1"/>
  <c r="G7646" i="1"/>
  <c r="H7646" i="1"/>
  <c r="J7646" i="1"/>
  <c r="K7646" i="1"/>
  <c r="L7646" i="1"/>
  <c r="A7647" i="1"/>
  <c r="B7647" i="1"/>
  <c r="C7647" i="1"/>
  <c r="D7647" i="1"/>
  <c r="Q7647" i="1"/>
  <c r="R7647" i="1"/>
  <c r="E7647" i="1"/>
  <c r="G7647" i="1"/>
  <c r="H7647" i="1"/>
  <c r="J7647" i="1"/>
  <c r="K7647" i="1"/>
  <c r="L7647" i="1"/>
  <c r="A7648" i="1"/>
  <c r="B7648" i="1"/>
  <c r="C7648" i="1"/>
  <c r="D7648" i="1"/>
  <c r="Q7648" i="1"/>
  <c r="R7648" i="1"/>
  <c r="E7648" i="1"/>
  <c r="G7648" i="1"/>
  <c r="H7648" i="1"/>
  <c r="J7648" i="1"/>
  <c r="K7648" i="1"/>
  <c r="L7648" i="1"/>
  <c r="A7649" i="1"/>
  <c r="B7649" i="1"/>
  <c r="C7649" i="1"/>
  <c r="D7649" i="1"/>
  <c r="Q7649" i="1"/>
  <c r="R7649" i="1"/>
  <c r="E7649" i="1"/>
  <c r="G7649" i="1"/>
  <c r="H7649" i="1"/>
  <c r="J7649" i="1"/>
  <c r="K7649" i="1"/>
  <c r="L7649" i="1"/>
  <c r="A7650" i="1"/>
  <c r="B7650" i="1"/>
  <c r="C7650" i="1"/>
  <c r="D7650" i="1"/>
  <c r="Q7650" i="1"/>
  <c r="R7650" i="1"/>
  <c r="E7650" i="1"/>
  <c r="G7650" i="1"/>
  <c r="H7650" i="1"/>
  <c r="J7650" i="1"/>
  <c r="K7650" i="1"/>
  <c r="L7650" i="1"/>
  <c r="A7651" i="1"/>
  <c r="B7651" i="1"/>
  <c r="C7651" i="1"/>
  <c r="D7651" i="1"/>
  <c r="Q7651" i="1"/>
  <c r="R7651" i="1"/>
  <c r="E7651" i="1"/>
  <c r="G7651" i="1"/>
  <c r="H7651" i="1"/>
  <c r="J7651" i="1"/>
  <c r="K7651" i="1"/>
  <c r="L7651" i="1"/>
  <c r="A7652" i="1"/>
  <c r="B7652" i="1"/>
  <c r="C7652" i="1"/>
  <c r="D7652" i="1"/>
  <c r="Q7652" i="1"/>
  <c r="R7652" i="1"/>
  <c r="E7652" i="1"/>
  <c r="G7652" i="1"/>
  <c r="H7652" i="1"/>
  <c r="J7652" i="1"/>
  <c r="K7652" i="1"/>
  <c r="L7652" i="1"/>
  <c r="A7653" i="1"/>
  <c r="B7653" i="1"/>
  <c r="C7653" i="1"/>
  <c r="D7653" i="1"/>
  <c r="Q7653" i="1"/>
  <c r="R7653" i="1"/>
  <c r="E7653" i="1"/>
  <c r="G7653" i="1"/>
  <c r="H7653" i="1"/>
  <c r="J7653" i="1"/>
  <c r="K7653" i="1"/>
  <c r="L7653" i="1"/>
  <c r="A7654" i="1"/>
  <c r="B7654" i="1"/>
  <c r="C7654" i="1"/>
  <c r="D7654" i="1"/>
  <c r="Q7654" i="1"/>
  <c r="R7654" i="1"/>
  <c r="E7654" i="1"/>
  <c r="G7654" i="1"/>
  <c r="H7654" i="1"/>
  <c r="J7654" i="1"/>
  <c r="K7654" i="1"/>
  <c r="L7654" i="1"/>
  <c r="A7655" i="1"/>
  <c r="B7655" i="1"/>
  <c r="C7655" i="1"/>
  <c r="D7655" i="1"/>
  <c r="Q7655" i="1"/>
  <c r="R7655" i="1"/>
  <c r="E7655" i="1"/>
  <c r="G7655" i="1"/>
  <c r="H7655" i="1"/>
  <c r="J7655" i="1"/>
  <c r="K7655" i="1"/>
  <c r="L7655" i="1"/>
  <c r="A7656" i="1"/>
  <c r="B7656" i="1"/>
  <c r="C7656" i="1"/>
  <c r="D7656" i="1"/>
  <c r="Q7656" i="1"/>
  <c r="R7656" i="1"/>
  <c r="E7656" i="1"/>
  <c r="G7656" i="1"/>
  <c r="H7656" i="1"/>
  <c r="J7656" i="1"/>
  <c r="K7656" i="1"/>
  <c r="L7656" i="1"/>
  <c r="A7657" i="1"/>
  <c r="B7657" i="1"/>
  <c r="C7657" i="1"/>
  <c r="D7657" i="1"/>
  <c r="Q7657" i="1"/>
  <c r="R7657" i="1"/>
  <c r="E7657" i="1"/>
  <c r="G7657" i="1"/>
  <c r="H7657" i="1"/>
  <c r="J7657" i="1"/>
  <c r="K7657" i="1"/>
  <c r="L7657" i="1"/>
  <c r="A7658" i="1"/>
  <c r="B7658" i="1"/>
  <c r="C7658" i="1"/>
  <c r="D7658" i="1"/>
  <c r="Q7658" i="1"/>
  <c r="R7658" i="1"/>
  <c r="E7658" i="1"/>
  <c r="G7658" i="1"/>
  <c r="H7658" i="1"/>
  <c r="J7658" i="1"/>
  <c r="K7658" i="1"/>
  <c r="L7658" i="1"/>
  <c r="A7659" i="1"/>
  <c r="B7659" i="1"/>
  <c r="C7659" i="1"/>
  <c r="D7659" i="1"/>
  <c r="Q7659" i="1"/>
  <c r="R7659" i="1"/>
  <c r="E7659" i="1"/>
  <c r="G7659" i="1"/>
  <c r="H7659" i="1"/>
  <c r="J7659" i="1"/>
  <c r="K7659" i="1"/>
  <c r="L7659" i="1"/>
  <c r="A7660" i="1"/>
  <c r="B7660" i="1"/>
  <c r="C7660" i="1"/>
  <c r="D7660" i="1"/>
  <c r="Q7660" i="1"/>
  <c r="R7660" i="1"/>
  <c r="E7660" i="1"/>
  <c r="G7660" i="1"/>
  <c r="H7660" i="1"/>
  <c r="J7660" i="1"/>
  <c r="K7660" i="1"/>
  <c r="L7660" i="1"/>
  <c r="A7661" i="1"/>
  <c r="B7661" i="1"/>
  <c r="C7661" i="1"/>
  <c r="D7661" i="1"/>
  <c r="Q7661" i="1"/>
  <c r="R7661" i="1"/>
  <c r="E7661" i="1"/>
  <c r="G7661" i="1"/>
  <c r="H7661" i="1"/>
  <c r="J7661" i="1"/>
  <c r="K7661" i="1"/>
  <c r="L7661" i="1"/>
  <c r="A7662" i="1"/>
  <c r="B7662" i="1"/>
  <c r="C7662" i="1"/>
  <c r="D7662" i="1"/>
  <c r="Q7662" i="1"/>
  <c r="R7662" i="1"/>
  <c r="E7662" i="1"/>
  <c r="G7662" i="1"/>
  <c r="H7662" i="1"/>
  <c r="J7662" i="1"/>
  <c r="K7662" i="1"/>
  <c r="L7662" i="1"/>
  <c r="A7663" i="1"/>
  <c r="B7663" i="1"/>
  <c r="C7663" i="1"/>
  <c r="D7663" i="1"/>
  <c r="Q7663" i="1"/>
  <c r="R7663" i="1"/>
  <c r="E7663" i="1"/>
  <c r="G7663" i="1"/>
  <c r="H7663" i="1"/>
  <c r="J7663" i="1"/>
  <c r="K7663" i="1"/>
  <c r="L7663" i="1"/>
  <c r="A7664" i="1"/>
  <c r="B7664" i="1"/>
  <c r="C7664" i="1"/>
  <c r="D7664" i="1"/>
  <c r="Q7664" i="1"/>
  <c r="R7664" i="1"/>
  <c r="E7664" i="1"/>
  <c r="G7664" i="1"/>
  <c r="H7664" i="1"/>
  <c r="J7664" i="1"/>
  <c r="K7664" i="1"/>
  <c r="L7664" i="1"/>
  <c r="A7665" i="1"/>
  <c r="B7665" i="1"/>
  <c r="C7665" i="1"/>
  <c r="D7665" i="1"/>
  <c r="Q7665" i="1"/>
  <c r="R7665" i="1"/>
  <c r="E7665" i="1"/>
  <c r="G7665" i="1"/>
  <c r="H7665" i="1"/>
  <c r="J7665" i="1"/>
  <c r="K7665" i="1"/>
  <c r="L7665" i="1"/>
  <c r="A7666" i="1"/>
  <c r="B7666" i="1"/>
  <c r="C7666" i="1"/>
  <c r="D7666" i="1"/>
  <c r="Q7666" i="1"/>
  <c r="R7666" i="1"/>
  <c r="E7666" i="1"/>
  <c r="G7666" i="1"/>
  <c r="H7666" i="1"/>
  <c r="J7666" i="1"/>
  <c r="K7666" i="1"/>
  <c r="L7666" i="1"/>
  <c r="A7667" i="1"/>
  <c r="B7667" i="1"/>
  <c r="C7667" i="1"/>
  <c r="D7667" i="1"/>
  <c r="Q7667" i="1"/>
  <c r="R7667" i="1"/>
  <c r="E7667" i="1"/>
  <c r="G7667" i="1"/>
  <c r="H7667" i="1"/>
  <c r="J7667" i="1"/>
  <c r="K7667" i="1"/>
  <c r="L7667" i="1"/>
  <c r="A7668" i="1"/>
  <c r="B7668" i="1"/>
  <c r="C7668" i="1"/>
  <c r="D7668" i="1"/>
  <c r="Q7668" i="1"/>
  <c r="R7668" i="1"/>
  <c r="E7668" i="1"/>
  <c r="G7668" i="1"/>
  <c r="H7668" i="1"/>
  <c r="J7668" i="1"/>
  <c r="K7668" i="1"/>
  <c r="L7668" i="1"/>
  <c r="A7669" i="1"/>
  <c r="B7669" i="1"/>
  <c r="C7669" i="1"/>
  <c r="D7669" i="1"/>
  <c r="Q7669" i="1"/>
  <c r="R7669" i="1"/>
  <c r="E7669" i="1"/>
  <c r="G7669" i="1"/>
  <c r="H7669" i="1"/>
  <c r="J7669" i="1"/>
  <c r="K7669" i="1"/>
  <c r="L7669" i="1"/>
  <c r="A7670" i="1"/>
  <c r="B7670" i="1"/>
  <c r="C7670" i="1"/>
  <c r="D7670" i="1"/>
  <c r="Q7670" i="1"/>
  <c r="R7670" i="1"/>
  <c r="E7670" i="1"/>
  <c r="G7670" i="1"/>
  <c r="H7670" i="1"/>
  <c r="J7670" i="1"/>
  <c r="K7670" i="1"/>
  <c r="L7670" i="1"/>
  <c r="A7671" i="1"/>
  <c r="B7671" i="1"/>
  <c r="C7671" i="1"/>
  <c r="D7671" i="1"/>
  <c r="Q7671" i="1"/>
  <c r="R7671" i="1"/>
  <c r="E7671" i="1"/>
  <c r="G7671" i="1"/>
  <c r="H7671" i="1"/>
  <c r="J7671" i="1"/>
  <c r="K7671" i="1"/>
  <c r="L7671" i="1"/>
  <c r="A7672" i="1"/>
  <c r="B7672" i="1"/>
  <c r="C7672" i="1"/>
  <c r="D7672" i="1"/>
  <c r="Q7672" i="1"/>
  <c r="R7672" i="1"/>
  <c r="E7672" i="1"/>
  <c r="G7672" i="1"/>
  <c r="H7672" i="1"/>
  <c r="J7672" i="1"/>
  <c r="K7672" i="1"/>
  <c r="L7672" i="1"/>
  <c r="A7673" i="1"/>
  <c r="B7673" i="1"/>
  <c r="C7673" i="1"/>
  <c r="D7673" i="1"/>
  <c r="Q7673" i="1"/>
  <c r="R7673" i="1"/>
  <c r="E7673" i="1"/>
  <c r="G7673" i="1"/>
  <c r="H7673" i="1"/>
  <c r="J7673" i="1"/>
  <c r="K7673" i="1"/>
  <c r="L7673" i="1"/>
  <c r="A7674" i="1"/>
  <c r="B7674" i="1"/>
  <c r="C7674" i="1"/>
  <c r="D7674" i="1"/>
  <c r="Q7674" i="1"/>
  <c r="R7674" i="1"/>
  <c r="E7674" i="1"/>
  <c r="G7674" i="1"/>
  <c r="H7674" i="1"/>
  <c r="J7674" i="1"/>
  <c r="K7674" i="1"/>
  <c r="L7674" i="1"/>
  <c r="A7675" i="1"/>
  <c r="B7675" i="1"/>
  <c r="C7675" i="1"/>
  <c r="D7675" i="1"/>
  <c r="Q7675" i="1"/>
  <c r="R7675" i="1"/>
  <c r="E7675" i="1"/>
  <c r="G7675" i="1"/>
  <c r="H7675" i="1"/>
  <c r="J7675" i="1"/>
  <c r="K7675" i="1"/>
  <c r="L7675" i="1"/>
  <c r="A7676" i="1"/>
  <c r="B7676" i="1"/>
  <c r="C7676" i="1"/>
  <c r="D7676" i="1"/>
  <c r="Q7676" i="1"/>
  <c r="R7676" i="1"/>
  <c r="E7676" i="1"/>
  <c r="G7676" i="1"/>
  <c r="H7676" i="1"/>
  <c r="J7676" i="1"/>
  <c r="K7676" i="1"/>
  <c r="L7676" i="1"/>
  <c r="A7677" i="1"/>
  <c r="B7677" i="1"/>
  <c r="C7677" i="1"/>
  <c r="D7677" i="1"/>
  <c r="Q7677" i="1"/>
  <c r="R7677" i="1"/>
  <c r="E7677" i="1"/>
  <c r="G7677" i="1"/>
  <c r="H7677" i="1"/>
  <c r="J7677" i="1"/>
  <c r="K7677" i="1"/>
  <c r="L7677" i="1"/>
  <c r="A7678" i="1"/>
  <c r="B7678" i="1"/>
  <c r="C7678" i="1"/>
  <c r="D7678" i="1"/>
  <c r="Q7678" i="1"/>
  <c r="R7678" i="1"/>
  <c r="E7678" i="1"/>
  <c r="G7678" i="1"/>
  <c r="H7678" i="1"/>
  <c r="J7678" i="1"/>
  <c r="K7678" i="1"/>
  <c r="L7678" i="1"/>
  <c r="A7679" i="1"/>
  <c r="B7679" i="1"/>
  <c r="C7679" i="1"/>
  <c r="D7679" i="1"/>
  <c r="Q7679" i="1"/>
  <c r="R7679" i="1"/>
  <c r="E7679" i="1"/>
  <c r="G7679" i="1"/>
  <c r="H7679" i="1"/>
  <c r="J7679" i="1"/>
  <c r="K7679" i="1"/>
  <c r="L7679" i="1"/>
  <c r="A7680" i="1"/>
  <c r="B7680" i="1"/>
  <c r="C7680" i="1"/>
  <c r="D7680" i="1"/>
  <c r="Q7680" i="1"/>
  <c r="R7680" i="1"/>
  <c r="E7680" i="1"/>
  <c r="G7680" i="1"/>
  <c r="H7680" i="1"/>
  <c r="J7680" i="1"/>
  <c r="K7680" i="1"/>
  <c r="L7680" i="1"/>
  <c r="A7681" i="1"/>
  <c r="B7681" i="1"/>
  <c r="C7681" i="1"/>
  <c r="D7681" i="1"/>
  <c r="Q7681" i="1"/>
  <c r="R7681" i="1"/>
  <c r="E7681" i="1"/>
  <c r="G7681" i="1"/>
  <c r="H7681" i="1"/>
  <c r="J7681" i="1"/>
  <c r="K7681" i="1"/>
  <c r="L7681" i="1"/>
  <c r="A7682" i="1"/>
  <c r="B7682" i="1"/>
  <c r="C7682" i="1"/>
  <c r="D7682" i="1"/>
  <c r="Q7682" i="1"/>
  <c r="R7682" i="1"/>
  <c r="E7682" i="1"/>
  <c r="G7682" i="1"/>
  <c r="H7682" i="1"/>
  <c r="J7682" i="1"/>
  <c r="K7682" i="1"/>
  <c r="L7682" i="1"/>
  <c r="A7683" i="1"/>
  <c r="B7683" i="1"/>
  <c r="C7683" i="1"/>
  <c r="D7683" i="1"/>
  <c r="Q7683" i="1"/>
  <c r="R7683" i="1"/>
  <c r="E7683" i="1"/>
  <c r="G7683" i="1"/>
  <c r="H7683" i="1"/>
  <c r="J7683" i="1"/>
  <c r="K7683" i="1"/>
  <c r="L7683" i="1"/>
  <c r="A7684" i="1"/>
  <c r="B7684" i="1"/>
  <c r="C7684" i="1"/>
  <c r="D7684" i="1"/>
  <c r="Q7684" i="1"/>
  <c r="R7684" i="1"/>
  <c r="E7684" i="1"/>
  <c r="G7684" i="1"/>
  <c r="H7684" i="1"/>
  <c r="J7684" i="1"/>
  <c r="K7684" i="1"/>
  <c r="L7684" i="1"/>
  <c r="A7685" i="1"/>
  <c r="B7685" i="1"/>
  <c r="C7685" i="1"/>
  <c r="D7685" i="1"/>
  <c r="Q7685" i="1"/>
  <c r="R7685" i="1"/>
  <c r="E7685" i="1"/>
  <c r="G7685" i="1"/>
  <c r="H7685" i="1"/>
  <c r="J7685" i="1"/>
  <c r="K7685" i="1"/>
  <c r="L7685" i="1"/>
  <c r="A7686" i="1"/>
  <c r="B7686" i="1"/>
  <c r="C7686" i="1"/>
  <c r="D7686" i="1"/>
  <c r="Q7686" i="1"/>
  <c r="R7686" i="1"/>
  <c r="E7686" i="1"/>
  <c r="G7686" i="1"/>
  <c r="H7686" i="1"/>
  <c r="J7686" i="1"/>
  <c r="K7686" i="1"/>
  <c r="L7686" i="1"/>
  <c r="A7687" i="1"/>
  <c r="B7687" i="1"/>
  <c r="C7687" i="1"/>
  <c r="D7687" i="1"/>
  <c r="Q7687" i="1"/>
  <c r="R7687" i="1"/>
  <c r="E7687" i="1"/>
  <c r="G7687" i="1"/>
  <c r="H7687" i="1"/>
  <c r="J7687" i="1"/>
  <c r="K7687" i="1"/>
  <c r="L7687" i="1"/>
  <c r="A7688" i="1"/>
  <c r="B7688" i="1"/>
  <c r="C7688" i="1"/>
  <c r="D7688" i="1"/>
  <c r="Q7688" i="1"/>
  <c r="R7688" i="1"/>
  <c r="E7688" i="1"/>
  <c r="G7688" i="1"/>
  <c r="H7688" i="1"/>
  <c r="J7688" i="1"/>
  <c r="K7688" i="1"/>
  <c r="L7688" i="1"/>
  <c r="A7689" i="1"/>
  <c r="B7689" i="1"/>
  <c r="C7689" i="1"/>
  <c r="D7689" i="1"/>
  <c r="Q7689" i="1"/>
  <c r="R7689" i="1"/>
  <c r="E7689" i="1"/>
  <c r="G7689" i="1"/>
  <c r="H7689" i="1"/>
  <c r="J7689" i="1"/>
  <c r="K7689" i="1"/>
  <c r="L7689" i="1"/>
  <c r="A7690" i="1"/>
  <c r="B7690" i="1"/>
  <c r="C7690" i="1"/>
  <c r="D7690" i="1"/>
  <c r="Q7690" i="1"/>
  <c r="R7690" i="1"/>
  <c r="E7690" i="1"/>
  <c r="G7690" i="1"/>
  <c r="H7690" i="1"/>
  <c r="J7690" i="1"/>
  <c r="K7690" i="1"/>
  <c r="L7690" i="1"/>
  <c r="A7691" i="1"/>
  <c r="B7691" i="1"/>
  <c r="C7691" i="1"/>
  <c r="D7691" i="1"/>
  <c r="Q7691" i="1"/>
  <c r="R7691" i="1"/>
  <c r="E7691" i="1"/>
  <c r="G7691" i="1"/>
  <c r="H7691" i="1"/>
  <c r="J7691" i="1"/>
  <c r="K7691" i="1"/>
  <c r="L7691" i="1"/>
  <c r="A7692" i="1"/>
  <c r="B7692" i="1"/>
  <c r="C7692" i="1"/>
  <c r="D7692" i="1"/>
  <c r="Q7692" i="1"/>
  <c r="R7692" i="1"/>
  <c r="E7692" i="1"/>
  <c r="G7692" i="1"/>
  <c r="H7692" i="1"/>
  <c r="J7692" i="1"/>
  <c r="K7692" i="1"/>
  <c r="L7692" i="1"/>
  <c r="A7693" i="1"/>
  <c r="B7693" i="1"/>
  <c r="C7693" i="1"/>
  <c r="D7693" i="1"/>
  <c r="Q7693" i="1"/>
  <c r="R7693" i="1"/>
  <c r="E7693" i="1"/>
  <c r="G7693" i="1"/>
  <c r="H7693" i="1"/>
  <c r="J7693" i="1"/>
  <c r="K7693" i="1"/>
  <c r="L7693" i="1"/>
  <c r="A7694" i="1"/>
  <c r="B7694" i="1"/>
  <c r="C7694" i="1"/>
  <c r="D7694" i="1"/>
  <c r="Q7694" i="1"/>
  <c r="R7694" i="1"/>
  <c r="E7694" i="1"/>
  <c r="G7694" i="1"/>
  <c r="H7694" i="1"/>
  <c r="J7694" i="1"/>
  <c r="K7694" i="1"/>
  <c r="L7694" i="1"/>
  <c r="A7695" i="1"/>
  <c r="B7695" i="1"/>
  <c r="C7695" i="1"/>
  <c r="D7695" i="1"/>
  <c r="Q7695" i="1"/>
  <c r="R7695" i="1"/>
  <c r="E7695" i="1"/>
  <c r="G7695" i="1"/>
  <c r="H7695" i="1"/>
  <c r="J7695" i="1"/>
  <c r="K7695" i="1"/>
  <c r="L7695" i="1"/>
  <c r="A7696" i="1"/>
  <c r="B7696" i="1"/>
  <c r="C7696" i="1"/>
  <c r="D7696" i="1"/>
  <c r="Q7696" i="1"/>
  <c r="R7696" i="1"/>
  <c r="E7696" i="1"/>
  <c r="G7696" i="1"/>
  <c r="H7696" i="1"/>
  <c r="J7696" i="1"/>
  <c r="K7696" i="1"/>
  <c r="L7696" i="1"/>
  <c r="A7697" i="1"/>
  <c r="B7697" i="1"/>
  <c r="C7697" i="1"/>
  <c r="D7697" i="1"/>
  <c r="Q7697" i="1"/>
  <c r="R7697" i="1"/>
  <c r="E7697" i="1"/>
  <c r="G7697" i="1"/>
  <c r="H7697" i="1"/>
  <c r="J7697" i="1"/>
  <c r="K7697" i="1"/>
  <c r="L7697" i="1"/>
  <c r="A7698" i="1"/>
  <c r="B7698" i="1"/>
  <c r="C7698" i="1"/>
  <c r="D7698" i="1"/>
  <c r="Q7698" i="1"/>
  <c r="R7698" i="1"/>
  <c r="E7698" i="1"/>
  <c r="G7698" i="1"/>
  <c r="H7698" i="1"/>
  <c r="J7698" i="1"/>
  <c r="K7698" i="1"/>
  <c r="L7698" i="1"/>
  <c r="A7699" i="1"/>
  <c r="B7699" i="1"/>
  <c r="C7699" i="1"/>
  <c r="D7699" i="1"/>
  <c r="Q7699" i="1"/>
  <c r="R7699" i="1"/>
  <c r="E7699" i="1"/>
  <c r="G7699" i="1"/>
  <c r="H7699" i="1"/>
  <c r="J7699" i="1"/>
  <c r="K7699" i="1"/>
  <c r="L7699" i="1"/>
  <c r="A7700" i="1"/>
  <c r="B7700" i="1"/>
  <c r="C7700" i="1"/>
  <c r="D7700" i="1"/>
  <c r="Q7700" i="1"/>
  <c r="R7700" i="1"/>
  <c r="E7700" i="1"/>
  <c r="G7700" i="1"/>
  <c r="H7700" i="1"/>
  <c r="J7700" i="1"/>
  <c r="K7700" i="1"/>
  <c r="L7700" i="1"/>
  <c r="A7701" i="1"/>
  <c r="B7701" i="1"/>
  <c r="C7701" i="1"/>
  <c r="D7701" i="1"/>
  <c r="Q7701" i="1"/>
  <c r="R7701" i="1"/>
  <c r="E7701" i="1"/>
  <c r="G7701" i="1"/>
  <c r="H7701" i="1"/>
  <c r="J7701" i="1"/>
  <c r="K7701" i="1"/>
  <c r="L7701" i="1"/>
  <c r="A7702" i="1"/>
  <c r="B7702" i="1"/>
  <c r="C7702" i="1"/>
  <c r="D7702" i="1"/>
  <c r="Q7702" i="1"/>
  <c r="R7702" i="1"/>
  <c r="E7702" i="1"/>
  <c r="G7702" i="1"/>
  <c r="H7702" i="1"/>
  <c r="J7702" i="1"/>
  <c r="K7702" i="1"/>
  <c r="L7702" i="1"/>
  <c r="A7703" i="1"/>
  <c r="B7703" i="1"/>
  <c r="C7703" i="1"/>
  <c r="D7703" i="1"/>
  <c r="Q7703" i="1"/>
  <c r="R7703" i="1"/>
  <c r="E7703" i="1"/>
  <c r="G7703" i="1"/>
  <c r="H7703" i="1"/>
  <c r="J7703" i="1"/>
  <c r="K7703" i="1"/>
  <c r="L7703" i="1"/>
  <c r="A7704" i="1"/>
  <c r="B7704" i="1"/>
  <c r="C7704" i="1"/>
  <c r="D7704" i="1"/>
  <c r="Q7704" i="1"/>
  <c r="R7704" i="1"/>
  <c r="E7704" i="1"/>
  <c r="G7704" i="1"/>
  <c r="H7704" i="1"/>
  <c r="J7704" i="1"/>
  <c r="K7704" i="1"/>
  <c r="L7704" i="1"/>
  <c r="A7705" i="1"/>
  <c r="B7705" i="1"/>
  <c r="C7705" i="1"/>
  <c r="D7705" i="1"/>
  <c r="Q7705" i="1"/>
  <c r="R7705" i="1"/>
  <c r="E7705" i="1"/>
  <c r="G7705" i="1"/>
  <c r="H7705" i="1"/>
  <c r="J7705" i="1"/>
  <c r="K7705" i="1"/>
  <c r="L7705" i="1"/>
  <c r="A7706" i="1"/>
  <c r="B7706" i="1"/>
  <c r="C7706" i="1"/>
  <c r="D7706" i="1"/>
  <c r="Q7706" i="1"/>
  <c r="R7706" i="1"/>
  <c r="E7706" i="1"/>
  <c r="G7706" i="1"/>
  <c r="H7706" i="1"/>
  <c r="J7706" i="1"/>
  <c r="K7706" i="1"/>
  <c r="L7706" i="1"/>
  <c r="A7707" i="1"/>
  <c r="B7707" i="1"/>
  <c r="C7707" i="1"/>
  <c r="D7707" i="1"/>
  <c r="Q7707" i="1"/>
  <c r="R7707" i="1"/>
  <c r="E7707" i="1"/>
  <c r="G7707" i="1"/>
  <c r="H7707" i="1"/>
  <c r="J7707" i="1"/>
  <c r="K7707" i="1"/>
  <c r="L7707" i="1"/>
  <c r="A7708" i="1"/>
  <c r="B7708" i="1"/>
  <c r="C7708" i="1"/>
  <c r="D7708" i="1"/>
  <c r="Q7708" i="1"/>
  <c r="R7708" i="1"/>
  <c r="E7708" i="1"/>
  <c r="G7708" i="1"/>
  <c r="H7708" i="1"/>
  <c r="J7708" i="1"/>
  <c r="K7708" i="1"/>
  <c r="L7708" i="1"/>
  <c r="A7709" i="1"/>
  <c r="B7709" i="1"/>
  <c r="C7709" i="1"/>
  <c r="D7709" i="1"/>
  <c r="Q7709" i="1"/>
  <c r="R7709" i="1"/>
  <c r="E7709" i="1"/>
  <c r="G7709" i="1"/>
  <c r="H7709" i="1"/>
  <c r="J7709" i="1"/>
  <c r="K7709" i="1"/>
  <c r="L7709" i="1"/>
  <c r="A7710" i="1"/>
  <c r="B7710" i="1"/>
  <c r="C7710" i="1"/>
  <c r="D7710" i="1"/>
  <c r="Q7710" i="1"/>
  <c r="R7710" i="1"/>
  <c r="E7710" i="1"/>
  <c r="G7710" i="1"/>
  <c r="H7710" i="1"/>
  <c r="J7710" i="1"/>
  <c r="K7710" i="1"/>
  <c r="L7710" i="1"/>
  <c r="A7711" i="1"/>
  <c r="B7711" i="1"/>
  <c r="C7711" i="1"/>
  <c r="D7711" i="1"/>
  <c r="Q7711" i="1"/>
  <c r="R7711" i="1"/>
  <c r="E7711" i="1"/>
  <c r="G7711" i="1"/>
  <c r="H7711" i="1"/>
  <c r="J7711" i="1"/>
  <c r="K7711" i="1"/>
  <c r="L7711" i="1"/>
  <c r="A7712" i="1"/>
  <c r="B7712" i="1"/>
  <c r="C7712" i="1"/>
  <c r="D7712" i="1"/>
  <c r="Q7712" i="1"/>
  <c r="R7712" i="1"/>
  <c r="E7712" i="1"/>
  <c r="G7712" i="1"/>
  <c r="H7712" i="1"/>
  <c r="J7712" i="1"/>
  <c r="K7712" i="1"/>
  <c r="L7712" i="1"/>
  <c r="A7713" i="1"/>
  <c r="B7713" i="1"/>
  <c r="C7713" i="1"/>
  <c r="D7713" i="1"/>
  <c r="Q7713" i="1"/>
  <c r="R7713" i="1"/>
  <c r="E7713" i="1"/>
  <c r="G7713" i="1"/>
  <c r="H7713" i="1"/>
  <c r="J7713" i="1"/>
  <c r="K7713" i="1"/>
  <c r="L7713" i="1"/>
  <c r="A7714" i="1"/>
  <c r="B7714" i="1"/>
  <c r="C7714" i="1"/>
  <c r="D7714" i="1"/>
  <c r="Q7714" i="1"/>
  <c r="R7714" i="1"/>
  <c r="E7714" i="1"/>
  <c r="G7714" i="1"/>
  <c r="H7714" i="1"/>
  <c r="J7714" i="1"/>
  <c r="K7714" i="1"/>
  <c r="L7714" i="1"/>
  <c r="A7715" i="1"/>
  <c r="B7715" i="1"/>
  <c r="C7715" i="1"/>
  <c r="D7715" i="1"/>
  <c r="Q7715" i="1"/>
  <c r="R7715" i="1"/>
  <c r="E7715" i="1"/>
  <c r="G7715" i="1"/>
  <c r="H7715" i="1"/>
  <c r="J7715" i="1"/>
  <c r="K7715" i="1"/>
  <c r="L7715" i="1"/>
  <c r="A7716" i="1"/>
  <c r="B7716" i="1"/>
  <c r="C7716" i="1"/>
  <c r="D7716" i="1"/>
  <c r="Q7716" i="1"/>
  <c r="R7716" i="1"/>
  <c r="E7716" i="1"/>
  <c r="G7716" i="1"/>
  <c r="H7716" i="1"/>
  <c r="J7716" i="1"/>
  <c r="K7716" i="1"/>
  <c r="L7716" i="1"/>
  <c r="A7717" i="1"/>
  <c r="B7717" i="1"/>
  <c r="C7717" i="1"/>
  <c r="D7717" i="1"/>
  <c r="Q7717" i="1"/>
  <c r="R7717" i="1"/>
  <c r="E7717" i="1"/>
  <c r="G7717" i="1"/>
  <c r="H7717" i="1"/>
  <c r="J7717" i="1"/>
  <c r="K7717" i="1"/>
  <c r="L7717" i="1"/>
  <c r="A7718" i="1"/>
  <c r="B7718" i="1"/>
  <c r="C7718" i="1"/>
  <c r="D7718" i="1"/>
  <c r="Q7718" i="1"/>
  <c r="R7718" i="1"/>
  <c r="E7718" i="1"/>
  <c r="G7718" i="1"/>
  <c r="H7718" i="1"/>
  <c r="J7718" i="1"/>
  <c r="K7718" i="1"/>
  <c r="L7718" i="1"/>
  <c r="A7719" i="1"/>
  <c r="B7719" i="1"/>
  <c r="C7719" i="1"/>
  <c r="D7719" i="1"/>
  <c r="Q7719" i="1"/>
  <c r="R7719" i="1"/>
  <c r="E7719" i="1"/>
  <c r="G7719" i="1"/>
  <c r="H7719" i="1"/>
  <c r="J7719" i="1"/>
  <c r="K7719" i="1"/>
  <c r="L7719" i="1"/>
  <c r="A7720" i="1"/>
  <c r="B7720" i="1"/>
  <c r="C7720" i="1"/>
  <c r="D7720" i="1"/>
  <c r="Q7720" i="1"/>
  <c r="R7720" i="1"/>
  <c r="E7720" i="1"/>
  <c r="G7720" i="1"/>
  <c r="H7720" i="1"/>
  <c r="J7720" i="1"/>
  <c r="K7720" i="1"/>
  <c r="L7720" i="1"/>
  <c r="A7721" i="1"/>
  <c r="B7721" i="1"/>
  <c r="C7721" i="1"/>
  <c r="D7721" i="1"/>
  <c r="Q7721" i="1"/>
  <c r="R7721" i="1"/>
  <c r="E7721" i="1"/>
  <c r="G7721" i="1"/>
  <c r="H7721" i="1"/>
  <c r="J7721" i="1"/>
  <c r="K7721" i="1"/>
  <c r="L7721" i="1"/>
  <c r="A7722" i="1"/>
  <c r="B7722" i="1"/>
  <c r="C7722" i="1"/>
  <c r="D7722" i="1"/>
  <c r="Q7722" i="1"/>
  <c r="R7722" i="1"/>
  <c r="E7722" i="1"/>
  <c r="G7722" i="1"/>
  <c r="H7722" i="1"/>
  <c r="J7722" i="1"/>
  <c r="K7722" i="1"/>
  <c r="L7722" i="1"/>
  <c r="A7723" i="1"/>
  <c r="B7723" i="1"/>
  <c r="C7723" i="1"/>
  <c r="D7723" i="1"/>
  <c r="Q7723" i="1"/>
  <c r="R7723" i="1"/>
  <c r="E7723" i="1"/>
  <c r="G7723" i="1"/>
  <c r="H7723" i="1"/>
  <c r="J7723" i="1"/>
  <c r="K7723" i="1"/>
  <c r="L7723" i="1"/>
  <c r="A7724" i="1"/>
  <c r="B7724" i="1"/>
  <c r="C7724" i="1"/>
  <c r="D7724" i="1"/>
  <c r="Q7724" i="1"/>
  <c r="R7724" i="1"/>
  <c r="E7724" i="1"/>
  <c r="G7724" i="1"/>
  <c r="H7724" i="1"/>
  <c r="J7724" i="1"/>
  <c r="K7724" i="1"/>
  <c r="L7724" i="1"/>
  <c r="A7725" i="1"/>
  <c r="B7725" i="1"/>
  <c r="C7725" i="1"/>
  <c r="D7725" i="1"/>
  <c r="Q7725" i="1"/>
  <c r="R7725" i="1"/>
  <c r="E7725" i="1"/>
  <c r="G7725" i="1"/>
  <c r="H7725" i="1"/>
  <c r="J7725" i="1"/>
  <c r="K7725" i="1"/>
  <c r="L7725" i="1"/>
  <c r="A7726" i="1"/>
  <c r="B7726" i="1"/>
  <c r="C7726" i="1"/>
  <c r="D7726" i="1"/>
  <c r="Q7726" i="1"/>
  <c r="R7726" i="1"/>
  <c r="E7726" i="1"/>
  <c r="G7726" i="1"/>
  <c r="H7726" i="1"/>
  <c r="J7726" i="1"/>
  <c r="K7726" i="1"/>
  <c r="L7726" i="1"/>
  <c r="A7727" i="1"/>
  <c r="B7727" i="1"/>
  <c r="C7727" i="1"/>
  <c r="D7727" i="1"/>
  <c r="Q7727" i="1"/>
  <c r="R7727" i="1"/>
  <c r="E7727" i="1"/>
  <c r="G7727" i="1"/>
  <c r="H7727" i="1"/>
  <c r="J7727" i="1"/>
  <c r="K7727" i="1"/>
  <c r="L7727" i="1"/>
  <c r="A7728" i="1"/>
  <c r="B7728" i="1"/>
  <c r="C7728" i="1"/>
  <c r="D7728" i="1"/>
  <c r="Q7728" i="1"/>
  <c r="R7728" i="1"/>
  <c r="E7728" i="1"/>
  <c r="G7728" i="1"/>
  <c r="H7728" i="1"/>
  <c r="J7728" i="1"/>
  <c r="K7728" i="1"/>
  <c r="L7728" i="1"/>
  <c r="A7729" i="1"/>
  <c r="B7729" i="1"/>
  <c r="C7729" i="1"/>
  <c r="D7729" i="1"/>
  <c r="Q7729" i="1"/>
  <c r="R7729" i="1"/>
  <c r="E7729" i="1"/>
  <c r="G7729" i="1"/>
  <c r="H7729" i="1"/>
  <c r="J7729" i="1"/>
  <c r="K7729" i="1"/>
  <c r="L7729" i="1"/>
  <c r="A7730" i="1"/>
  <c r="B7730" i="1"/>
  <c r="C7730" i="1"/>
  <c r="D7730" i="1"/>
  <c r="Q7730" i="1"/>
  <c r="R7730" i="1"/>
  <c r="E7730" i="1"/>
  <c r="G7730" i="1"/>
  <c r="H7730" i="1"/>
  <c r="J7730" i="1"/>
  <c r="K7730" i="1"/>
  <c r="L7730" i="1"/>
  <c r="A7731" i="1"/>
  <c r="B7731" i="1"/>
  <c r="C7731" i="1"/>
  <c r="D7731" i="1"/>
  <c r="Q7731" i="1"/>
  <c r="R7731" i="1"/>
  <c r="E7731" i="1"/>
  <c r="G7731" i="1"/>
  <c r="H7731" i="1"/>
  <c r="J7731" i="1"/>
  <c r="K7731" i="1"/>
  <c r="L7731" i="1"/>
  <c r="A7732" i="1"/>
  <c r="B7732" i="1"/>
  <c r="C7732" i="1"/>
  <c r="D7732" i="1"/>
  <c r="Q7732" i="1"/>
  <c r="R7732" i="1"/>
  <c r="E7732" i="1"/>
  <c r="G7732" i="1"/>
  <c r="H7732" i="1"/>
  <c r="J7732" i="1"/>
  <c r="K7732" i="1"/>
  <c r="L7732" i="1"/>
  <c r="A7733" i="1"/>
  <c r="B7733" i="1"/>
  <c r="C7733" i="1"/>
  <c r="D7733" i="1"/>
  <c r="Q7733" i="1"/>
  <c r="R7733" i="1"/>
  <c r="E7733" i="1"/>
  <c r="G7733" i="1"/>
  <c r="H7733" i="1"/>
  <c r="J7733" i="1"/>
  <c r="K7733" i="1"/>
  <c r="L7733" i="1"/>
  <c r="A7734" i="1"/>
  <c r="B7734" i="1"/>
  <c r="C7734" i="1"/>
  <c r="D7734" i="1"/>
  <c r="Q7734" i="1"/>
  <c r="R7734" i="1"/>
  <c r="E7734" i="1"/>
  <c r="G7734" i="1"/>
  <c r="H7734" i="1"/>
  <c r="J7734" i="1"/>
  <c r="K7734" i="1"/>
  <c r="L7734" i="1"/>
  <c r="A7735" i="1"/>
  <c r="B7735" i="1"/>
  <c r="C7735" i="1"/>
  <c r="D7735" i="1"/>
  <c r="Q7735" i="1"/>
  <c r="R7735" i="1"/>
  <c r="E7735" i="1"/>
  <c r="G7735" i="1"/>
  <c r="H7735" i="1"/>
  <c r="J7735" i="1"/>
  <c r="K7735" i="1"/>
  <c r="L7735" i="1"/>
  <c r="A7736" i="1"/>
  <c r="B7736" i="1"/>
  <c r="C7736" i="1"/>
  <c r="D7736" i="1"/>
  <c r="Q7736" i="1"/>
  <c r="R7736" i="1"/>
  <c r="E7736" i="1"/>
  <c r="G7736" i="1"/>
  <c r="H7736" i="1"/>
  <c r="J7736" i="1"/>
  <c r="K7736" i="1"/>
  <c r="L7736" i="1"/>
  <c r="A7737" i="1"/>
  <c r="B7737" i="1"/>
  <c r="C7737" i="1"/>
  <c r="D7737" i="1"/>
  <c r="Q7737" i="1"/>
  <c r="R7737" i="1"/>
  <c r="E7737" i="1"/>
  <c r="G7737" i="1"/>
  <c r="H7737" i="1"/>
  <c r="J7737" i="1"/>
  <c r="K7737" i="1"/>
  <c r="L7737" i="1"/>
  <c r="A7738" i="1"/>
  <c r="B7738" i="1"/>
  <c r="C7738" i="1"/>
  <c r="D7738" i="1"/>
  <c r="Q7738" i="1"/>
  <c r="R7738" i="1"/>
  <c r="E7738" i="1"/>
  <c r="G7738" i="1"/>
  <c r="H7738" i="1"/>
  <c r="J7738" i="1"/>
  <c r="K7738" i="1"/>
  <c r="L7738" i="1"/>
  <c r="A7739" i="1"/>
  <c r="B7739" i="1"/>
  <c r="C7739" i="1"/>
  <c r="D7739" i="1"/>
  <c r="Q7739" i="1"/>
  <c r="R7739" i="1"/>
  <c r="E7739" i="1"/>
  <c r="G7739" i="1"/>
  <c r="H7739" i="1"/>
  <c r="J7739" i="1"/>
  <c r="K7739" i="1"/>
  <c r="L7739" i="1"/>
  <c r="A7740" i="1"/>
  <c r="B7740" i="1"/>
  <c r="C7740" i="1"/>
  <c r="D7740" i="1"/>
  <c r="Q7740" i="1"/>
  <c r="R7740" i="1"/>
  <c r="E7740" i="1"/>
  <c r="G7740" i="1"/>
  <c r="H7740" i="1"/>
  <c r="J7740" i="1"/>
  <c r="K7740" i="1"/>
  <c r="L7740" i="1"/>
  <c r="A7741" i="1"/>
  <c r="B7741" i="1"/>
  <c r="C7741" i="1"/>
  <c r="D7741" i="1"/>
  <c r="Q7741" i="1"/>
  <c r="R7741" i="1"/>
  <c r="E7741" i="1"/>
  <c r="G7741" i="1"/>
  <c r="H7741" i="1"/>
  <c r="J7741" i="1"/>
  <c r="K7741" i="1"/>
  <c r="L7741" i="1"/>
  <c r="A7742" i="1"/>
  <c r="B7742" i="1"/>
  <c r="C7742" i="1"/>
  <c r="D7742" i="1"/>
  <c r="Q7742" i="1"/>
  <c r="R7742" i="1"/>
  <c r="E7742" i="1"/>
  <c r="G7742" i="1"/>
  <c r="H7742" i="1"/>
  <c r="J7742" i="1"/>
  <c r="K7742" i="1"/>
  <c r="L7742" i="1"/>
  <c r="A7743" i="1"/>
  <c r="B7743" i="1"/>
  <c r="C7743" i="1"/>
  <c r="D7743" i="1"/>
  <c r="Q7743" i="1"/>
  <c r="R7743" i="1"/>
  <c r="E7743" i="1"/>
  <c r="G7743" i="1"/>
  <c r="H7743" i="1"/>
  <c r="J7743" i="1"/>
  <c r="K7743" i="1"/>
  <c r="L7743" i="1"/>
  <c r="A7744" i="1"/>
  <c r="B7744" i="1"/>
  <c r="C7744" i="1"/>
  <c r="D7744" i="1"/>
  <c r="Q7744" i="1"/>
  <c r="R7744" i="1"/>
  <c r="E7744" i="1"/>
  <c r="G7744" i="1"/>
  <c r="H7744" i="1"/>
  <c r="J7744" i="1"/>
  <c r="K7744" i="1"/>
  <c r="L7744" i="1"/>
  <c r="A7745" i="1"/>
  <c r="B7745" i="1"/>
  <c r="C7745" i="1"/>
  <c r="D7745" i="1"/>
  <c r="Q7745" i="1"/>
  <c r="R7745" i="1"/>
  <c r="E7745" i="1"/>
  <c r="G7745" i="1"/>
  <c r="H7745" i="1"/>
  <c r="J7745" i="1"/>
  <c r="K7745" i="1"/>
  <c r="L7745" i="1"/>
  <c r="A7746" i="1"/>
  <c r="B7746" i="1"/>
  <c r="C7746" i="1"/>
  <c r="D7746" i="1"/>
  <c r="Q7746" i="1"/>
  <c r="R7746" i="1"/>
  <c r="E7746" i="1"/>
  <c r="G7746" i="1"/>
  <c r="H7746" i="1"/>
  <c r="J7746" i="1"/>
  <c r="K7746" i="1"/>
  <c r="L7746" i="1"/>
  <c r="A7747" i="1"/>
  <c r="B7747" i="1"/>
  <c r="C7747" i="1"/>
  <c r="D7747" i="1"/>
  <c r="Q7747" i="1"/>
  <c r="R7747" i="1"/>
  <c r="E7747" i="1"/>
  <c r="G7747" i="1"/>
  <c r="H7747" i="1"/>
  <c r="J7747" i="1"/>
  <c r="K7747" i="1"/>
  <c r="L7747" i="1"/>
  <c r="A7748" i="1"/>
  <c r="B7748" i="1"/>
  <c r="C7748" i="1"/>
  <c r="D7748" i="1"/>
  <c r="Q7748" i="1"/>
  <c r="R7748" i="1"/>
  <c r="E7748" i="1"/>
  <c r="G7748" i="1"/>
  <c r="H7748" i="1"/>
  <c r="J7748" i="1"/>
  <c r="K7748" i="1"/>
  <c r="L7748" i="1"/>
  <c r="A7749" i="1"/>
  <c r="B7749" i="1"/>
  <c r="C7749" i="1"/>
  <c r="D7749" i="1"/>
  <c r="Q7749" i="1"/>
  <c r="R7749" i="1"/>
  <c r="E7749" i="1"/>
  <c r="G7749" i="1"/>
  <c r="H7749" i="1"/>
  <c r="J7749" i="1"/>
  <c r="K7749" i="1"/>
  <c r="L7749" i="1"/>
  <c r="A7750" i="1"/>
  <c r="B7750" i="1"/>
  <c r="C7750" i="1"/>
  <c r="D7750" i="1"/>
  <c r="Q7750" i="1"/>
  <c r="R7750" i="1"/>
  <c r="E7750" i="1"/>
  <c r="G7750" i="1"/>
  <c r="H7750" i="1"/>
  <c r="J7750" i="1"/>
  <c r="K7750" i="1"/>
  <c r="L7750" i="1"/>
  <c r="A7751" i="1"/>
  <c r="B7751" i="1"/>
  <c r="C7751" i="1"/>
  <c r="D7751" i="1"/>
  <c r="Q7751" i="1"/>
  <c r="R7751" i="1"/>
  <c r="E7751" i="1"/>
  <c r="G7751" i="1"/>
  <c r="H7751" i="1"/>
  <c r="J7751" i="1"/>
  <c r="K7751" i="1"/>
  <c r="L7751" i="1"/>
  <c r="A7752" i="1"/>
  <c r="B7752" i="1"/>
  <c r="C7752" i="1"/>
  <c r="D7752" i="1"/>
  <c r="Q7752" i="1"/>
  <c r="R7752" i="1"/>
  <c r="E7752" i="1"/>
  <c r="G7752" i="1"/>
  <c r="H7752" i="1"/>
  <c r="J7752" i="1"/>
  <c r="K7752" i="1"/>
  <c r="L7752" i="1"/>
  <c r="A7753" i="1"/>
  <c r="B7753" i="1"/>
  <c r="C7753" i="1"/>
  <c r="D7753" i="1"/>
  <c r="Q7753" i="1"/>
  <c r="R7753" i="1"/>
  <c r="E7753" i="1"/>
  <c r="G7753" i="1"/>
  <c r="H7753" i="1"/>
  <c r="J7753" i="1"/>
  <c r="K7753" i="1"/>
  <c r="L7753" i="1"/>
  <c r="A7754" i="1"/>
  <c r="B7754" i="1"/>
  <c r="C7754" i="1"/>
  <c r="D7754" i="1"/>
  <c r="Q7754" i="1"/>
  <c r="R7754" i="1"/>
  <c r="E7754" i="1"/>
  <c r="G7754" i="1"/>
  <c r="H7754" i="1"/>
  <c r="J7754" i="1"/>
  <c r="K7754" i="1"/>
  <c r="L7754" i="1"/>
  <c r="A7755" i="1"/>
  <c r="B7755" i="1"/>
  <c r="C7755" i="1"/>
  <c r="D7755" i="1"/>
  <c r="Q7755" i="1"/>
  <c r="R7755" i="1"/>
  <c r="E7755" i="1"/>
  <c r="G7755" i="1"/>
  <c r="H7755" i="1"/>
  <c r="J7755" i="1"/>
  <c r="K7755" i="1"/>
  <c r="L7755" i="1"/>
  <c r="A7756" i="1"/>
  <c r="B7756" i="1"/>
  <c r="C7756" i="1"/>
  <c r="D7756" i="1"/>
  <c r="Q7756" i="1"/>
  <c r="R7756" i="1"/>
  <c r="E7756" i="1"/>
  <c r="G7756" i="1"/>
  <c r="H7756" i="1"/>
  <c r="J7756" i="1"/>
  <c r="K7756" i="1"/>
  <c r="L7756" i="1"/>
  <c r="A7757" i="1"/>
  <c r="B7757" i="1"/>
  <c r="C7757" i="1"/>
  <c r="D7757" i="1"/>
  <c r="Q7757" i="1"/>
  <c r="R7757" i="1"/>
  <c r="E7757" i="1"/>
  <c r="G7757" i="1"/>
  <c r="H7757" i="1"/>
  <c r="J7757" i="1"/>
  <c r="K7757" i="1"/>
  <c r="L7757" i="1"/>
  <c r="A7758" i="1"/>
  <c r="B7758" i="1"/>
  <c r="C7758" i="1"/>
  <c r="D7758" i="1"/>
  <c r="Q7758" i="1"/>
  <c r="R7758" i="1"/>
  <c r="E7758" i="1"/>
  <c r="G7758" i="1"/>
  <c r="H7758" i="1"/>
  <c r="J7758" i="1"/>
  <c r="K7758" i="1"/>
  <c r="L7758" i="1"/>
  <c r="A7759" i="1"/>
  <c r="B7759" i="1"/>
  <c r="C7759" i="1"/>
  <c r="D7759" i="1"/>
  <c r="Q7759" i="1"/>
  <c r="R7759" i="1"/>
  <c r="E7759" i="1"/>
  <c r="G7759" i="1"/>
  <c r="H7759" i="1"/>
  <c r="J7759" i="1"/>
  <c r="K7759" i="1"/>
  <c r="L7759" i="1"/>
  <c r="A7760" i="1"/>
  <c r="B7760" i="1"/>
  <c r="C7760" i="1"/>
  <c r="D7760" i="1"/>
  <c r="Q7760" i="1"/>
  <c r="R7760" i="1"/>
  <c r="E7760" i="1"/>
  <c r="G7760" i="1"/>
  <c r="H7760" i="1"/>
  <c r="J7760" i="1"/>
  <c r="K7760" i="1"/>
  <c r="L7760" i="1"/>
  <c r="A7761" i="1"/>
  <c r="B7761" i="1"/>
  <c r="C7761" i="1"/>
  <c r="D7761" i="1"/>
  <c r="Q7761" i="1"/>
  <c r="R7761" i="1"/>
  <c r="E7761" i="1"/>
  <c r="G7761" i="1"/>
  <c r="H7761" i="1"/>
  <c r="J7761" i="1"/>
  <c r="K7761" i="1"/>
  <c r="L7761" i="1"/>
  <c r="A7762" i="1"/>
  <c r="B7762" i="1"/>
  <c r="C7762" i="1"/>
  <c r="D7762" i="1"/>
  <c r="Q7762" i="1"/>
  <c r="R7762" i="1"/>
  <c r="E7762" i="1"/>
  <c r="G7762" i="1"/>
  <c r="H7762" i="1"/>
  <c r="J7762" i="1"/>
  <c r="K7762" i="1"/>
  <c r="L7762" i="1"/>
  <c r="A7763" i="1"/>
  <c r="B7763" i="1"/>
  <c r="C7763" i="1"/>
  <c r="D7763" i="1"/>
  <c r="Q7763" i="1"/>
  <c r="R7763" i="1"/>
  <c r="E7763" i="1"/>
  <c r="G7763" i="1"/>
  <c r="H7763" i="1"/>
  <c r="J7763" i="1"/>
  <c r="K7763" i="1"/>
  <c r="L7763" i="1"/>
  <c r="A7764" i="1"/>
  <c r="B7764" i="1"/>
  <c r="C7764" i="1"/>
  <c r="D7764" i="1"/>
  <c r="Q7764" i="1"/>
  <c r="R7764" i="1"/>
  <c r="E7764" i="1"/>
  <c r="G7764" i="1"/>
  <c r="H7764" i="1"/>
  <c r="J7764" i="1"/>
  <c r="K7764" i="1"/>
  <c r="L7764" i="1"/>
  <c r="A7765" i="1"/>
  <c r="B7765" i="1"/>
  <c r="C7765" i="1"/>
  <c r="D7765" i="1"/>
  <c r="Q7765" i="1"/>
  <c r="R7765" i="1"/>
  <c r="E7765" i="1"/>
  <c r="G7765" i="1"/>
  <c r="H7765" i="1"/>
  <c r="J7765" i="1"/>
  <c r="K7765" i="1"/>
  <c r="L7765" i="1"/>
  <c r="A7766" i="1"/>
  <c r="B7766" i="1"/>
  <c r="C7766" i="1"/>
  <c r="D7766" i="1"/>
  <c r="Q7766" i="1"/>
  <c r="R7766" i="1"/>
  <c r="E7766" i="1"/>
  <c r="G7766" i="1"/>
  <c r="H7766" i="1"/>
  <c r="J7766" i="1"/>
  <c r="K7766" i="1"/>
  <c r="L7766" i="1"/>
  <c r="A7767" i="1"/>
  <c r="B7767" i="1"/>
  <c r="C7767" i="1"/>
  <c r="D7767" i="1"/>
  <c r="Q7767" i="1"/>
  <c r="R7767" i="1"/>
  <c r="E7767" i="1"/>
  <c r="G7767" i="1"/>
  <c r="H7767" i="1"/>
  <c r="J7767" i="1"/>
  <c r="K7767" i="1"/>
  <c r="L7767" i="1"/>
  <c r="A7768" i="1"/>
  <c r="B7768" i="1"/>
  <c r="C7768" i="1"/>
  <c r="D7768" i="1"/>
  <c r="Q7768" i="1"/>
  <c r="R7768" i="1"/>
  <c r="E7768" i="1"/>
  <c r="G7768" i="1"/>
  <c r="H7768" i="1"/>
  <c r="J7768" i="1"/>
  <c r="K7768" i="1"/>
  <c r="L7768" i="1"/>
  <c r="A7769" i="1"/>
  <c r="B7769" i="1"/>
  <c r="C7769" i="1"/>
  <c r="D7769" i="1"/>
  <c r="Q7769" i="1"/>
  <c r="R7769" i="1"/>
  <c r="E7769" i="1"/>
  <c r="G7769" i="1"/>
  <c r="H7769" i="1"/>
  <c r="J7769" i="1"/>
  <c r="K7769" i="1"/>
  <c r="L7769" i="1"/>
  <c r="A7770" i="1"/>
  <c r="B7770" i="1"/>
  <c r="C7770" i="1"/>
  <c r="D7770" i="1"/>
  <c r="Q7770" i="1"/>
  <c r="R7770" i="1"/>
  <c r="E7770" i="1"/>
  <c r="G7770" i="1"/>
  <c r="H7770" i="1"/>
  <c r="J7770" i="1"/>
  <c r="K7770" i="1"/>
  <c r="L7770" i="1"/>
  <c r="A7771" i="1"/>
  <c r="B7771" i="1"/>
  <c r="C7771" i="1"/>
  <c r="D7771" i="1"/>
  <c r="Q7771" i="1"/>
  <c r="R7771" i="1"/>
  <c r="E7771" i="1"/>
  <c r="G7771" i="1"/>
  <c r="H7771" i="1"/>
  <c r="J7771" i="1"/>
  <c r="K7771" i="1"/>
  <c r="L7771" i="1"/>
  <c r="A7772" i="1"/>
  <c r="B7772" i="1"/>
  <c r="C7772" i="1"/>
  <c r="D7772" i="1"/>
  <c r="Q7772" i="1"/>
  <c r="R7772" i="1"/>
  <c r="E7772" i="1"/>
  <c r="G7772" i="1"/>
  <c r="H7772" i="1"/>
  <c r="J7772" i="1"/>
  <c r="K7772" i="1"/>
  <c r="L7772" i="1"/>
  <c r="A7773" i="1"/>
  <c r="B7773" i="1"/>
  <c r="C7773" i="1"/>
  <c r="D7773" i="1"/>
  <c r="Q7773" i="1"/>
  <c r="R7773" i="1"/>
  <c r="E7773" i="1"/>
  <c r="G7773" i="1"/>
  <c r="H7773" i="1"/>
  <c r="J7773" i="1"/>
  <c r="K7773" i="1"/>
  <c r="L7773" i="1"/>
  <c r="A7774" i="1"/>
  <c r="B7774" i="1"/>
  <c r="C7774" i="1"/>
  <c r="D7774" i="1"/>
  <c r="Q7774" i="1"/>
  <c r="R7774" i="1"/>
  <c r="E7774" i="1"/>
  <c r="G7774" i="1"/>
  <c r="H7774" i="1"/>
  <c r="J7774" i="1"/>
  <c r="K7774" i="1"/>
  <c r="L7774" i="1"/>
  <c r="A7775" i="1"/>
  <c r="B7775" i="1"/>
  <c r="C7775" i="1"/>
  <c r="D7775" i="1"/>
  <c r="Q7775" i="1"/>
  <c r="R7775" i="1"/>
  <c r="E7775" i="1"/>
  <c r="G7775" i="1"/>
  <c r="H7775" i="1"/>
  <c r="J7775" i="1"/>
  <c r="K7775" i="1"/>
  <c r="L7775" i="1"/>
  <c r="A7776" i="1"/>
  <c r="B7776" i="1"/>
  <c r="C7776" i="1"/>
  <c r="D7776" i="1"/>
  <c r="Q7776" i="1"/>
  <c r="R7776" i="1"/>
  <c r="E7776" i="1"/>
  <c r="G7776" i="1"/>
  <c r="H7776" i="1"/>
  <c r="J7776" i="1"/>
  <c r="K7776" i="1"/>
  <c r="L7776" i="1"/>
  <c r="A7777" i="1"/>
  <c r="B7777" i="1"/>
  <c r="C7777" i="1"/>
  <c r="D7777" i="1"/>
  <c r="Q7777" i="1"/>
  <c r="R7777" i="1"/>
  <c r="E7777" i="1"/>
  <c r="G7777" i="1"/>
  <c r="H7777" i="1"/>
  <c r="J7777" i="1"/>
  <c r="K7777" i="1"/>
  <c r="L7777" i="1"/>
  <c r="A7778" i="1"/>
  <c r="B7778" i="1"/>
  <c r="C7778" i="1"/>
  <c r="D7778" i="1"/>
  <c r="Q7778" i="1"/>
  <c r="R7778" i="1"/>
  <c r="E7778" i="1"/>
  <c r="G7778" i="1"/>
  <c r="H7778" i="1"/>
  <c r="J7778" i="1"/>
  <c r="K7778" i="1"/>
  <c r="L7778" i="1"/>
  <c r="A7779" i="1"/>
  <c r="B7779" i="1"/>
  <c r="C7779" i="1"/>
  <c r="D7779" i="1"/>
  <c r="Q7779" i="1"/>
  <c r="R7779" i="1"/>
  <c r="E7779" i="1"/>
  <c r="G7779" i="1"/>
  <c r="H7779" i="1"/>
  <c r="J7779" i="1"/>
  <c r="K7779" i="1"/>
  <c r="L7779" i="1"/>
  <c r="A7780" i="1"/>
  <c r="B7780" i="1"/>
  <c r="C7780" i="1"/>
  <c r="D7780" i="1"/>
  <c r="Q7780" i="1"/>
  <c r="R7780" i="1"/>
  <c r="E7780" i="1"/>
  <c r="G7780" i="1"/>
  <c r="H7780" i="1"/>
  <c r="J7780" i="1"/>
  <c r="K7780" i="1"/>
  <c r="L7780" i="1"/>
  <c r="A7781" i="1"/>
  <c r="B7781" i="1"/>
  <c r="C7781" i="1"/>
  <c r="D7781" i="1"/>
  <c r="Q7781" i="1"/>
  <c r="R7781" i="1"/>
  <c r="E7781" i="1"/>
  <c r="G7781" i="1"/>
  <c r="H7781" i="1"/>
  <c r="J7781" i="1"/>
  <c r="K7781" i="1"/>
  <c r="L7781" i="1"/>
  <c r="A7782" i="1"/>
  <c r="B7782" i="1"/>
  <c r="C7782" i="1"/>
  <c r="D7782" i="1"/>
  <c r="Q7782" i="1"/>
  <c r="R7782" i="1"/>
  <c r="E7782" i="1"/>
  <c r="G7782" i="1"/>
  <c r="H7782" i="1"/>
  <c r="J7782" i="1"/>
  <c r="K7782" i="1"/>
  <c r="L7782" i="1"/>
  <c r="A7783" i="1"/>
  <c r="B7783" i="1"/>
  <c r="C7783" i="1"/>
  <c r="D7783" i="1"/>
  <c r="Q7783" i="1"/>
  <c r="R7783" i="1"/>
  <c r="E7783" i="1"/>
  <c r="G7783" i="1"/>
  <c r="H7783" i="1"/>
  <c r="J7783" i="1"/>
  <c r="K7783" i="1"/>
  <c r="L7783" i="1"/>
  <c r="A7784" i="1"/>
  <c r="B7784" i="1"/>
  <c r="C7784" i="1"/>
  <c r="D7784" i="1"/>
  <c r="Q7784" i="1"/>
  <c r="R7784" i="1"/>
  <c r="E7784" i="1"/>
  <c r="G7784" i="1"/>
  <c r="H7784" i="1"/>
  <c r="J7784" i="1"/>
  <c r="K7784" i="1"/>
  <c r="L7784" i="1"/>
  <c r="A7785" i="1"/>
  <c r="B7785" i="1"/>
  <c r="C7785" i="1"/>
  <c r="D7785" i="1"/>
  <c r="Q7785" i="1"/>
  <c r="R7785" i="1"/>
  <c r="E7785" i="1"/>
  <c r="G7785" i="1"/>
  <c r="H7785" i="1"/>
  <c r="J7785" i="1"/>
  <c r="K7785" i="1"/>
  <c r="L7785" i="1"/>
  <c r="A7786" i="1"/>
  <c r="B7786" i="1"/>
  <c r="C7786" i="1"/>
  <c r="D7786" i="1"/>
  <c r="Q7786" i="1"/>
  <c r="R7786" i="1"/>
  <c r="E7786" i="1"/>
  <c r="G7786" i="1"/>
  <c r="H7786" i="1"/>
  <c r="J7786" i="1"/>
  <c r="K7786" i="1"/>
  <c r="L7786" i="1"/>
  <c r="A7787" i="1"/>
  <c r="B7787" i="1"/>
  <c r="C7787" i="1"/>
  <c r="D7787" i="1"/>
  <c r="Q7787" i="1"/>
  <c r="R7787" i="1"/>
  <c r="E7787" i="1"/>
  <c r="G7787" i="1"/>
  <c r="H7787" i="1"/>
  <c r="J7787" i="1"/>
  <c r="K7787" i="1"/>
  <c r="L7787" i="1"/>
  <c r="A7788" i="1"/>
  <c r="B7788" i="1"/>
  <c r="C7788" i="1"/>
  <c r="D7788" i="1"/>
  <c r="Q7788" i="1"/>
  <c r="R7788" i="1"/>
  <c r="E7788" i="1"/>
  <c r="G7788" i="1"/>
  <c r="H7788" i="1"/>
  <c r="J7788" i="1"/>
  <c r="K7788" i="1"/>
  <c r="L7788" i="1"/>
  <c r="A7789" i="1"/>
  <c r="B7789" i="1"/>
  <c r="C7789" i="1"/>
  <c r="D7789" i="1"/>
  <c r="Q7789" i="1"/>
  <c r="R7789" i="1"/>
  <c r="E7789" i="1"/>
  <c r="G7789" i="1"/>
  <c r="H7789" i="1"/>
  <c r="J7789" i="1"/>
  <c r="K7789" i="1"/>
  <c r="L7789" i="1"/>
  <c r="A7790" i="1"/>
  <c r="B7790" i="1"/>
  <c r="C7790" i="1"/>
  <c r="D7790" i="1"/>
  <c r="Q7790" i="1"/>
  <c r="R7790" i="1"/>
  <c r="E7790" i="1"/>
  <c r="G7790" i="1"/>
  <c r="H7790" i="1"/>
  <c r="J7790" i="1"/>
  <c r="K7790" i="1"/>
  <c r="L7790" i="1"/>
  <c r="A7791" i="1"/>
  <c r="B7791" i="1"/>
  <c r="C7791" i="1"/>
  <c r="D7791" i="1"/>
  <c r="Q7791" i="1"/>
  <c r="R7791" i="1"/>
  <c r="E7791" i="1"/>
  <c r="G7791" i="1"/>
  <c r="H7791" i="1"/>
  <c r="J7791" i="1"/>
  <c r="K7791" i="1"/>
  <c r="L7791" i="1"/>
  <c r="A7792" i="1"/>
  <c r="B7792" i="1"/>
  <c r="C7792" i="1"/>
  <c r="D7792" i="1"/>
  <c r="Q7792" i="1"/>
  <c r="R7792" i="1"/>
  <c r="E7792" i="1"/>
  <c r="G7792" i="1"/>
  <c r="H7792" i="1"/>
  <c r="J7792" i="1"/>
  <c r="K7792" i="1"/>
  <c r="L7792" i="1"/>
  <c r="A7793" i="1"/>
  <c r="B7793" i="1"/>
  <c r="C7793" i="1"/>
  <c r="D7793" i="1"/>
  <c r="Q7793" i="1"/>
  <c r="R7793" i="1"/>
  <c r="E7793" i="1"/>
  <c r="G7793" i="1"/>
  <c r="H7793" i="1"/>
  <c r="J7793" i="1"/>
  <c r="K7793" i="1"/>
  <c r="L7793" i="1"/>
  <c r="A7794" i="1"/>
  <c r="B7794" i="1"/>
  <c r="C7794" i="1"/>
  <c r="D7794" i="1"/>
  <c r="Q7794" i="1"/>
  <c r="R7794" i="1"/>
  <c r="E7794" i="1"/>
  <c r="G7794" i="1"/>
  <c r="H7794" i="1"/>
  <c r="J7794" i="1"/>
  <c r="K7794" i="1"/>
  <c r="L7794" i="1"/>
  <c r="A7795" i="1"/>
  <c r="B7795" i="1"/>
  <c r="C7795" i="1"/>
  <c r="D7795" i="1"/>
  <c r="Q7795" i="1"/>
  <c r="R7795" i="1"/>
  <c r="E7795" i="1"/>
  <c r="G7795" i="1"/>
  <c r="H7795" i="1"/>
  <c r="J7795" i="1"/>
  <c r="K7795" i="1"/>
  <c r="L7795" i="1"/>
  <c r="A7796" i="1"/>
  <c r="B7796" i="1"/>
  <c r="C7796" i="1"/>
  <c r="D7796" i="1"/>
  <c r="Q7796" i="1"/>
  <c r="R7796" i="1"/>
  <c r="E7796" i="1"/>
  <c r="G7796" i="1"/>
  <c r="H7796" i="1"/>
  <c r="J7796" i="1"/>
  <c r="K7796" i="1"/>
  <c r="L7796" i="1"/>
  <c r="A7797" i="1"/>
  <c r="B7797" i="1"/>
  <c r="C7797" i="1"/>
  <c r="D7797" i="1"/>
  <c r="Q7797" i="1"/>
  <c r="R7797" i="1"/>
  <c r="E7797" i="1"/>
  <c r="G7797" i="1"/>
  <c r="H7797" i="1"/>
  <c r="J7797" i="1"/>
  <c r="K7797" i="1"/>
  <c r="L7797" i="1"/>
  <c r="A7798" i="1"/>
  <c r="B7798" i="1"/>
  <c r="C7798" i="1"/>
  <c r="D7798" i="1"/>
  <c r="Q7798" i="1"/>
  <c r="R7798" i="1"/>
  <c r="E7798" i="1"/>
  <c r="G7798" i="1"/>
  <c r="H7798" i="1"/>
  <c r="J7798" i="1"/>
  <c r="K7798" i="1"/>
  <c r="L7798" i="1"/>
  <c r="A7799" i="1"/>
  <c r="B7799" i="1"/>
  <c r="C7799" i="1"/>
  <c r="D7799" i="1"/>
  <c r="Q7799" i="1"/>
  <c r="R7799" i="1"/>
  <c r="E7799" i="1"/>
  <c r="G7799" i="1"/>
  <c r="H7799" i="1"/>
  <c r="J7799" i="1"/>
  <c r="K7799" i="1"/>
  <c r="L7799" i="1"/>
  <c r="A7800" i="1"/>
  <c r="B7800" i="1"/>
  <c r="C7800" i="1"/>
  <c r="D7800" i="1"/>
  <c r="Q7800" i="1"/>
  <c r="R7800" i="1"/>
  <c r="E7800" i="1"/>
  <c r="G7800" i="1"/>
  <c r="H7800" i="1"/>
  <c r="J7800" i="1"/>
  <c r="K7800" i="1"/>
  <c r="L7800" i="1"/>
  <c r="A7801" i="1"/>
  <c r="B7801" i="1"/>
  <c r="C7801" i="1"/>
  <c r="D7801" i="1"/>
  <c r="Q7801" i="1"/>
  <c r="R7801" i="1"/>
  <c r="E7801" i="1"/>
  <c r="G7801" i="1"/>
  <c r="H7801" i="1"/>
  <c r="J7801" i="1"/>
  <c r="K7801" i="1"/>
  <c r="L7801" i="1"/>
  <c r="A7802" i="1"/>
  <c r="B7802" i="1"/>
  <c r="C7802" i="1"/>
  <c r="D7802" i="1"/>
  <c r="Q7802" i="1"/>
  <c r="R7802" i="1"/>
  <c r="E7802" i="1"/>
  <c r="G7802" i="1"/>
  <c r="H7802" i="1"/>
  <c r="J7802" i="1"/>
  <c r="K7802" i="1"/>
  <c r="L7802" i="1"/>
  <c r="A7803" i="1"/>
  <c r="B7803" i="1"/>
  <c r="C7803" i="1"/>
  <c r="D7803" i="1"/>
  <c r="Q7803" i="1"/>
  <c r="R7803" i="1"/>
  <c r="E7803" i="1"/>
  <c r="G7803" i="1"/>
  <c r="H7803" i="1"/>
  <c r="J7803" i="1"/>
  <c r="K7803" i="1"/>
  <c r="L7803" i="1"/>
  <c r="A7804" i="1"/>
  <c r="B7804" i="1"/>
  <c r="C7804" i="1"/>
  <c r="D7804" i="1"/>
  <c r="Q7804" i="1"/>
  <c r="R7804" i="1"/>
  <c r="E7804" i="1"/>
  <c r="G7804" i="1"/>
  <c r="H7804" i="1"/>
  <c r="J7804" i="1"/>
  <c r="K7804" i="1"/>
  <c r="L7804" i="1"/>
  <c r="A7805" i="1"/>
  <c r="B7805" i="1"/>
  <c r="C7805" i="1"/>
  <c r="D7805" i="1"/>
  <c r="Q7805" i="1"/>
  <c r="R7805" i="1"/>
  <c r="E7805" i="1"/>
  <c r="G7805" i="1"/>
  <c r="H7805" i="1"/>
  <c r="J7805" i="1"/>
  <c r="K7805" i="1"/>
  <c r="L7805" i="1"/>
  <c r="A7806" i="1"/>
  <c r="B7806" i="1"/>
  <c r="C7806" i="1"/>
  <c r="D7806" i="1"/>
  <c r="Q7806" i="1"/>
  <c r="R7806" i="1"/>
  <c r="E7806" i="1"/>
  <c r="G7806" i="1"/>
  <c r="H7806" i="1"/>
  <c r="J7806" i="1"/>
  <c r="K7806" i="1"/>
  <c r="L7806" i="1"/>
  <c r="A7807" i="1"/>
  <c r="B7807" i="1"/>
  <c r="C7807" i="1"/>
  <c r="D7807" i="1"/>
  <c r="Q7807" i="1"/>
  <c r="R7807" i="1"/>
  <c r="E7807" i="1"/>
  <c r="G7807" i="1"/>
  <c r="H7807" i="1"/>
  <c r="J7807" i="1"/>
  <c r="K7807" i="1"/>
  <c r="L7807" i="1"/>
  <c r="A7808" i="1"/>
  <c r="B7808" i="1"/>
  <c r="C7808" i="1"/>
  <c r="D7808" i="1"/>
  <c r="Q7808" i="1"/>
  <c r="R7808" i="1"/>
  <c r="E7808" i="1"/>
  <c r="G7808" i="1"/>
  <c r="H7808" i="1"/>
  <c r="J7808" i="1"/>
  <c r="K7808" i="1"/>
  <c r="L7808" i="1"/>
  <c r="A7809" i="1"/>
  <c r="B7809" i="1"/>
  <c r="C7809" i="1"/>
  <c r="D7809" i="1"/>
  <c r="Q7809" i="1"/>
  <c r="R7809" i="1"/>
  <c r="E7809" i="1"/>
  <c r="G7809" i="1"/>
  <c r="H7809" i="1"/>
  <c r="J7809" i="1"/>
  <c r="K7809" i="1"/>
  <c r="L7809" i="1"/>
  <c r="A7810" i="1"/>
  <c r="B7810" i="1"/>
  <c r="C7810" i="1"/>
  <c r="D7810" i="1"/>
  <c r="Q7810" i="1"/>
  <c r="R7810" i="1"/>
  <c r="E7810" i="1"/>
  <c r="G7810" i="1"/>
  <c r="H7810" i="1"/>
  <c r="J7810" i="1"/>
  <c r="K7810" i="1"/>
  <c r="L7810" i="1"/>
  <c r="A7811" i="1"/>
  <c r="B7811" i="1"/>
  <c r="C7811" i="1"/>
  <c r="D7811" i="1"/>
  <c r="Q7811" i="1"/>
  <c r="R7811" i="1"/>
  <c r="E7811" i="1"/>
  <c r="G7811" i="1"/>
  <c r="H7811" i="1"/>
  <c r="J7811" i="1"/>
  <c r="K7811" i="1"/>
  <c r="L7811" i="1"/>
  <c r="A7812" i="1"/>
  <c r="B7812" i="1"/>
  <c r="C7812" i="1"/>
  <c r="D7812" i="1"/>
  <c r="Q7812" i="1"/>
  <c r="R7812" i="1"/>
  <c r="E7812" i="1"/>
  <c r="G7812" i="1"/>
  <c r="H7812" i="1"/>
  <c r="J7812" i="1"/>
  <c r="K7812" i="1"/>
  <c r="L7812" i="1"/>
  <c r="A7813" i="1"/>
  <c r="B7813" i="1"/>
  <c r="C7813" i="1"/>
  <c r="D7813" i="1"/>
  <c r="Q7813" i="1"/>
  <c r="R7813" i="1"/>
  <c r="E7813" i="1"/>
  <c r="G7813" i="1"/>
  <c r="H7813" i="1"/>
  <c r="J7813" i="1"/>
  <c r="K7813" i="1"/>
  <c r="L7813" i="1"/>
  <c r="A7814" i="1"/>
  <c r="B7814" i="1"/>
  <c r="C7814" i="1"/>
  <c r="D7814" i="1"/>
  <c r="Q7814" i="1"/>
  <c r="R7814" i="1"/>
  <c r="E7814" i="1"/>
  <c r="G7814" i="1"/>
  <c r="H7814" i="1"/>
  <c r="J7814" i="1"/>
  <c r="K7814" i="1"/>
  <c r="L7814" i="1"/>
  <c r="A7815" i="1"/>
  <c r="B7815" i="1"/>
  <c r="C7815" i="1"/>
  <c r="D7815" i="1"/>
  <c r="Q7815" i="1"/>
  <c r="R7815" i="1"/>
  <c r="E7815" i="1"/>
  <c r="G7815" i="1"/>
  <c r="H7815" i="1"/>
  <c r="J7815" i="1"/>
  <c r="K7815" i="1"/>
  <c r="L7815" i="1"/>
  <c r="A7816" i="1"/>
  <c r="B7816" i="1"/>
  <c r="C7816" i="1"/>
  <c r="D7816" i="1"/>
  <c r="Q7816" i="1"/>
  <c r="R7816" i="1"/>
  <c r="E7816" i="1"/>
  <c r="G7816" i="1"/>
  <c r="H7816" i="1"/>
  <c r="J7816" i="1"/>
  <c r="K7816" i="1"/>
  <c r="L7816" i="1"/>
  <c r="A7817" i="1"/>
  <c r="B7817" i="1"/>
  <c r="C7817" i="1"/>
  <c r="D7817" i="1"/>
  <c r="Q7817" i="1"/>
  <c r="R7817" i="1"/>
  <c r="E7817" i="1"/>
  <c r="G7817" i="1"/>
  <c r="H7817" i="1"/>
  <c r="J7817" i="1"/>
  <c r="K7817" i="1"/>
  <c r="L7817" i="1"/>
  <c r="A7818" i="1"/>
  <c r="B7818" i="1"/>
  <c r="C7818" i="1"/>
  <c r="D7818" i="1"/>
  <c r="Q7818" i="1"/>
  <c r="R7818" i="1"/>
  <c r="E7818" i="1"/>
  <c r="G7818" i="1"/>
  <c r="H7818" i="1"/>
  <c r="J7818" i="1"/>
  <c r="K7818" i="1"/>
  <c r="L7818" i="1"/>
  <c r="A7819" i="1"/>
  <c r="B7819" i="1"/>
  <c r="C7819" i="1"/>
  <c r="D7819" i="1"/>
  <c r="Q7819" i="1"/>
  <c r="R7819" i="1"/>
  <c r="E7819" i="1"/>
  <c r="G7819" i="1"/>
  <c r="H7819" i="1"/>
  <c r="J7819" i="1"/>
  <c r="K7819" i="1"/>
  <c r="L7819" i="1"/>
  <c r="A7820" i="1"/>
  <c r="B7820" i="1"/>
  <c r="C7820" i="1"/>
  <c r="D7820" i="1"/>
  <c r="Q7820" i="1"/>
  <c r="R7820" i="1"/>
  <c r="E7820" i="1"/>
  <c r="G7820" i="1"/>
  <c r="H7820" i="1"/>
  <c r="J7820" i="1"/>
  <c r="K7820" i="1"/>
  <c r="L7820" i="1"/>
  <c r="A7821" i="1"/>
  <c r="B7821" i="1"/>
  <c r="C7821" i="1"/>
  <c r="D7821" i="1"/>
  <c r="Q7821" i="1"/>
  <c r="R7821" i="1"/>
  <c r="E7821" i="1"/>
  <c r="G7821" i="1"/>
  <c r="H7821" i="1"/>
  <c r="J7821" i="1"/>
  <c r="K7821" i="1"/>
  <c r="L7821" i="1"/>
  <c r="A7822" i="1"/>
  <c r="B7822" i="1"/>
  <c r="C7822" i="1"/>
  <c r="D7822" i="1"/>
  <c r="Q7822" i="1"/>
  <c r="R7822" i="1"/>
  <c r="E7822" i="1"/>
  <c r="G7822" i="1"/>
  <c r="H7822" i="1"/>
  <c r="J7822" i="1"/>
  <c r="K7822" i="1"/>
  <c r="L7822" i="1"/>
  <c r="A7823" i="1"/>
  <c r="B7823" i="1"/>
  <c r="C7823" i="1"/>
  <c r="D7823" i="1"/>
  <c r="Q7823" i="1"/>
  <c r="R7823" i="1"/>
  <c r="E7823" i="1"/>
  <c r="G7823" i="1"/>
  <c r="H7823" i="1"/>
  <c r="J7823" i="1"/>
  <c r="K7823" i="1"/>
  <c r="L7823" i="1"/>
  <c r="A7824" i="1"/>
  <c r="B7824" i="1"/>
  <c r="C7824" i="1"/>
  <c r="D7824" i="1"/>
  <c r="Q7824" i="1"/>
  <c r="R7824" i="1"/>
  <c r="E7824" i="1"/>
  <c r="G7824" i="1"/>
  <c r="H7824" i="1"/>
  <c r="J7824" i="1"/>
  <c r="K7824" i="1"/>
  <c r="L7824" i="1"/>
  <c r="A7825" i="1"/>
  <c r="B7825" i="1"/>
  <c r="C7825" i="1"/>
  <c r="D7825" i="1"/>
  <c r="Q7825" i="1"/>
  <c r="R7825" i="1"/>
  <c r="E7825" i="1"/>
  <c r="G7825" i="1"/>
  <c r="H7825" i="1"/>
  <c r="J7825" i="1"/>
  <c r="K7825" i="1"/>
  <c r="L7825" i="1"/>
  <c r="A7826" i="1"/>
  <c r="B7826" i="1"/>
  <c r="C7826" i="1"/>
  <c r="D7826" i="1"/>
  <c r="Q7826" i="1"/>
  <c r="R7826" i="1"/>
  <c r="E7826" i="1"/>
  <c r="G7826" i="1"/>
  <c r="H7826" i="1"/>
  <c r="J7826" i="1"/>
  <c r="K7826" i="1"/>
  <c r="L7826" i="1"/>
  <c r="A7827" i="1"/>
  <c r="B7827" i="1"/>
  <c r="C7827" i="1"/>
  <c r="D7827" i="1"/>
  <c r="Q7827" i="1"/>
  <c r="R7827" i="1"/>
  <c r="E7827" i="1"/>
  <c r="G7827" i="1"/>
  <c r="H7827" i="1"/>
  <c r="J7827" i="1"/>
  <c r="K7827" i="1"/>
  <c r="L7827" i="1"/>
  <c r="A7828" i="1"/>
  <c r="B7828" i="1"/>
  <c r="C7828" i="1"/>
  <c r="D7828" i="1"/>
  <c r="Q7828" i="1"/>
  <c r="R7828" i="1"/>
  <c r="E7828" i="1"/>
  <c r="G7828" i="1"/>
  <c r="H7828" i="1"/>
  <c r="J7828" i="1"/>
  <c r="K7828" i="1"/>
  <c r="L7828" i="1"/>
  <c r="A7829" i="1"/>
  <c r="B7829" i="1"/>
  <c r="C7829" i="1"/>
  <c r="D7829" i="1"/>
  <c r="Q7829" i="1"/>
  <c r="R7829" i="1"/>
  <c r="E7829" i="1"/>
  <c r="G7829" i="1"/>
  <c r="H7829" i="1"/>
  <c r="J7829" i="1"/>
  <c r="K7829" i="1"/>
  <c r="L7829" i="1"/>
  <c r="A7830" i="1"/>
  <c r="B7830" i="1"/>
  <c r="C7830" i="1"/>
  <c r="D7830" i="1"/>
  <c r="Q7830" i="1"/>
  <c r="R7830" i="1"/>
  <c r="E7830" i="1"/>
  <c r="G7830" i="1"/>
  <c r="H7830" i="1"/>
  <c r="J7830" i="1"/>
  <c r="K7830" i="1"/>
  <c r="L7830" i="1"/>
  <c r="A7831" i="1"/>
  <c r="B7831" i="1"/>
  <c r="C7831" i="1"/>
  <c r="D7831" i="1"/>
  <c r="Q7831" i="1"/>
  <c r="R7831" i="1"/>
  <c r="E7831" i="1"/>
  <c r="G7831" i="1"/>
  <c r="H7831" i="1"/>
  <c r="J7831" i="1"/>
  <c r="K7831" i="1"/>
  <c r="L7831" i="1"/>
  <c r="A7832" i="1"/>
  <c r="B7832" i="1"/>
  <c r="C7832" i="1"/>
  <c r="D7832" i="1"/>
  <c r="Q7832" i="1"/>
  <c r="R7832" i="1"/>
  <c r="E7832" i="1"/>
  <c r="G7832" i="1"/>
  <c r="H7832" i="1"/>
  <c r="J7832" i="1"/>
  <c r="K7832" i="1"/>
  <c r="L7832" i="1"/>
  <c r="A7833" i="1"/>
  <c r="B7833" i="1"/>
  <c r="C7833" i="1"/>
  <c r="D7833" i="1"/>
  <c r="Q7833" i="1"/>
  <c r="R7833" i="1"/>
  <c r="E7833" i="1"/>
  <c r="G7833" i="1"/>
  <c r="H7833" i="1"/>
  <c r="J7833" i="1"/>
  <c r="K7833" i="1"/>
  <c r="L7833" i="1"/>
  <c r="A7834" i="1"/>
  <c r="B7834" i="1"/>
  <c r="C7834" i="1"/>
  <c r="D7834" i="1"/>
  <c r="Q7834" i="1"/>
  <c r="R7834" i="1"/>
  <c r="E7834" i="1"/>
  <c r="G7834" i="1"/>
  <c r="H7834" i="1"/>
  <c r="J7834" i="1"/>
  <c r="K7834" i="1"/>
  <c r="L7834" i="1"/>
  <c r="A7835" i="1"/>
  <c r="B7835" i="1"/>
  <c r="C7835" i="1"/>
  <c r="D7835" i="1"/>
  <c r="Q7835" i="1"/>
  <c r="R7835" i="1"/>
  <c r="E7835" i="1"/>
  <c r="G7835" i="1"/>
  <c r="H7835" i="1"/>
  <c r="J7835" i="1"/>
  <c r="K7835" i="1"/>
  <c r="L7835" i="1"/>
  <c r="A7836" i="1"/>
  <c r="B7836" i="1"/>
  <c r="C7836" i="1"/>
  <c r="D7836" i="1"/>
  <c r="Q7836" i="1"/>
  <c r="R7836" i="1"/>
  <c r="E7836" i="1"/>
  <c r="G7836" i="1"/>
  <c r="H7836" i="1"/>
  <c r="J7836" i="1"/>
  <c r="K7836" i="1"/>
  <c r="L7836" i="1"/>
  <c r="A7837" i="1"/>
  <c r="B7837" i="1"/>
  <c r="C7837" i="1"/>
  <c r="D7837" i="1"/>
  <c r="Q7837" i="1"/>
  <c r="R7837" i="1"/>
  <c r="E7837" i="1"/>
  <c r="G7837" i="1"/>
  <c r="H7837" i="1"/>
  <c r="J7837" i="1"/>
  <c r="K7837" i="1"/>
  <c r="L7837" i="1"/>
  <c r="A7838" i="1"/>
  <c r="B7838" i="1"/>
  <c r="C7838" i="1"/>
  <c r="D7838" i="1"/>
  <c r="Q7838" i="1"/>
  <c r="R7838" i="1"/>
  <c r="E7838" i="1"/>
  <c r="G7838" i="1"/>
  <c r="H7838" i="1"/>
  <c r="J7838" i="1"/>
  <c r="K7838" i="1"/>
  <c r="L7838" i="1"/>
  <c r="A7839" i="1"/>
  <c r="B7839" i="1"/>
  <c r="C7839" i="1"/>
  <c r="D7839" i="1"/>
  <c r="Q7839" i="1"/>
  <c r="R7839" i="1"/>
  <c r="E7839" i="1"/>
  <c r="G7839" i="1"/>
  <c r="H7839" i="1"/>
  <c r="J7839" i="1"/>
  <c r="K7839" i="1"/>
  <c r="L7839" i="1"/>
  <c r="A7840" i="1"/>
  <c r="B7840" i="1"/>
  <c r="C7840" i="1"/>
  <c r="D7840" i="1"/>
  <c r="Q7840" i="1"/>
  <c r="R7840" i="1"/>
  <c r="E7840" i="1"/>
  <c r="G7840" i="1"/>
  <c r="H7840" i="1"/>
  <c r="J7840" i="1"/>
  <c r="K7840" i="1"/>
  <c r="L7840" i="1"/>
  <c r="A7841" i="1"/>
  <c r="B7841" i="1"/>
  <c r="C7841" i="1"/>
  <c r="D7841" i="1"/>
  <c r="Q7841" i="1"/>
  <c r="R7841" i="1"/>
  <c r="E7841" i="1"/>
  <c r="G7841" i="1"/>
  <c r="H7841" i="1"/>
  <c r="J7841" i="1"/>
  <c r="K7841" i="1"/>
  <c r="L7841" i="1"/>
  <c r="A7842" i="1"/>
  <c r="B7842" i="1"/>
  <c r="C7842" i="1"/>
  <c r="D7842" i="1"/>
  <c r="Q7842" i="1"/>
  <c r="R7842" i="1"/>
  <c r="E7842" i="1"/>
  <c r="G7842" i="1"/>
  <c r="H7842" i="1"/>
  <c r="J7842" i="1"/>
  <c r="K7842" i="1"/>
  <c r="L7842" i="1"/>
  <c r="A7843" i="1"/>
  <c r="B7843" i="1"/>
  <c r="C7843" i="1"/>
  <c r="D7843" i="1"/>
  <c r="Q7843" i="1"/>
  <c r="R7843" i="1"/>
  <c r="E7843" i="1"/>
  <c r="G7843" i="1"/>
  <c r="H7843" i="1"/>
  <c r="J7843" i="1"/>
  <c r="K7843" i="1"/>
  <c r="L7843" i="1"/>
  <c r="A7844" i="1"/>
  <c r="B7844" i="1"/>
  <c r="C7844" i="1"/>
  <c r="D7844" i="1"/>
  <c r="Q7844" i="1"/>
  <c r="R7844" i="1"/>
  <c r="E7844" i="1"/>
  <c r="G7844" i="1"/>
  <c r="H7844" i="1"/>
  <c r="J7844" i="1"/>
  <c r="K7844" i="1"/>
  <c r="L7844" i="1"/>
  <c r="A7845" i="1"/>
  <c r="B7845" i="1"/>
  <c r="C7845" i="1"/>
  <c r="D7845" i="1"/>
  <c r="Q7845" i="1"/>
  <c r="R7845" i="1"/>
  <c r="E7845" i="1"/>
  <c r="G7845" i="1"/>
  <c r="H7845" i="1"/>
  <c r="J7845" i="1"/>
  <c r="K7845" i="1"/>
  <c r="L7845" i="1"/>
  <c r="A7846" i="1"/>
  <c r="B7846" i="1"/>
  <c r="C7846" i="1"/>
  <c r="D7846" i="1"/>
  <c r="Q7846" i="1"/>
  <c r="R7846" i="1"/>
  <c r="E7846" i="1"/>
  <c r="G7846" i="1"/>
  <c r="H7846" i="1"/>
  <c r="J7846" i="1"/>
  <c r="K7846" i="1"/>
  <c r="L7846" i="1"/>
  <c r="A7847" i="1"/>
  <c r="B7847" i="1"/>
  <c r="C7847" i="1"/>
  <c r="D7847" i="1"/>
  <c r="Q7847" i="1"/>
  <c r="R7847" i="1"/>
  <c r="E7847" i="1"/>
  <c r="G7847" i="1"/>
  <c r="H7847" i="1"/>
  <c r="J7847" i="1"/>
  <c r="K7847" i="1"/>
  <c r="L7847" i="1"/>
  <c r="A7848" i="1"/>
  <c r="B7848" i="1"/>
  <c r="C7848" i="1"/>
  <c r="D7848" i="1"/>
  <c r="Q7848" i="1"/>
  <c r="R7848" i="1"/>
  <c r="E7848" i="1"/>
  <c r="G7848" i="1"/>
  <c r="H7848" i="1"/>
  <c r="J7848" i="1"/>
  <c r="K7848" i="1"/>
  <c r="L7848" i="1"/>
  <c r="A7849" i="1"/>
  <c r="B7849" i="1"/>
  <c r="C7849" i="1"/>
  <c r="D7849" i="1"/>
  <c r="Q7849" i="1"/>
  <c r="R7849" i="1"/>
  <c r="E7849" i="1"/>
  <c r="G7849" i="1"/>
  <c r="H7849" i="1"/>
  <c r="J7849" i="1"/>
  <c r="K7849" i="1"/>
  <c r="L7849" i="1"/>
  <c r="A7850" i="1"/>
  <c r="B7850" i="1"/>
  <c r="C7850" i="1"/>
  <c r="D7850" i="1"/>
  <c r="Q7850" i="1"/>
  <c r="R7850" i="1"/>
  <c r="E7850" i="1"/>
  <c r="G7850" i="1"/>
  <c r="H7850" i="1"/>
  <c r="J7850" i="1"/>
  <c r="K7850" i="1"/>
  <c r="L7850" i="1"/>
  <c r="A7851" i="1"/>
  <c r="B7851" i="1"/>
  <c r="C7851" i="1"/>
  <c r="D7851" i="1"/>
  <c r="Q7851" i="1"/>
  <c r="R7851" i="1"/>
  <c r="E7851" i="1"/>
  <c r="G7851" i="1"/>
  <c r="H7851" i="1"/>
  <c r="J7851" i="1"/>
  <c r="K7851" i="1"/>
  <c r="L7851" i="1"/>
  <c r="A7852" i="1"/>
  <c r="B7852" i="1"/>
  <c r="C7852" i="1"/>
  <c r="D7852" i="1"/>
  <c r="Q7852" i="1"/>
  <c r="R7852" i="1"/>
  <c r="E7852" i="1"/>
  <c r="G7852" i="1"/>
  <c r="H7852" i="1"/>
  <c r="J7852" i="1"/>
  <c r="K7852" i="1"/>
  <c r="L7852" i="1"/>
  <c r="A7853" i="1"/>
  <c r="B7853" i="1"/>
  <c r="C7853" i="1"/>
  <c r="D7853" i="1"/>
  <c r="Q7853" i="1"/>
  <c r="R7853" i="1"/>
  <c r="E7853" i="1"/>
  <c r="G7853" i="1"/>
  <c r="H7853" i="1"/>
  <c r="J7853" i="1"/>
  <c r="K7853" i="1"/>
  <c r="L7853" i="1"/>
  <c r="A7854" i="1"/>
  <c r="B7854" i="1"/>
  <c r="C7854" i="1"/>
  <c r="D7854" i="1"/>
  <c r="Q7854" i="1"/>
  <c r="R7854" i="1"/>
  <c r="E7854" i="1"/>
  <c r="G7854" i="1"/>
  <c r="H7854" i="1"/>
  <c r="J7854" i="1"/>
  <c r="K7854" i="1"/>
  <c r="L7854" i="1"/>
  <c r="A7855" i="1"/>
  <c r="B7855" i="1"/>
  <c r="C7855" i="1"/>
  <c r="D7855" i="1"/>
  <c r="Q7855" i="1"/>
  <c r="R7855" i="1"/>
  <c r="E7855" i="1"/>
  <c r="G7855" i="1"/>
  <c r="H7855" i="1"/>
  <c r="J7855" i="1"/>
  <c r="K7855" i="1"/>
  <c r="L7855" i="1"/>
  <c r="A7856" i="1"/>
  <c r="B7856" i="1"/>
  <c r="C7856" i="1"/>
  <c r="D7856" i="1"/>
  <c r="Q7856" i="1"/>
  <c r="R7856" i="1"/>
  <c r="E7856" i="1"/>
  <c r="G7856" i="1"/>
  <c r="H7856" i="1"/>
  <c r="J7856" i="1"/>
  <c r="K7856" i="1"/>
  <c r="L7856" i="1"/>
  <c r="A7857" i="1"/>
  <c r="B7857" i="1"/>
  <c r="C7857" i="1"/>
  <c r="D7857" i="1"/>
  <c r="Q7857" i="1"/>
  <c r="R7857" i="1"/>
  <c r="E7857" i="1"/>
  <c r="G7857" i="1"/>
  <c r="H7857" i="1"/>
  <c r="J7857" i="1"/>
  <c r="K7857" i="1"/>
  <c r="L7857" i="1"/>
  <c r="A7858" i="1"/>
  <c r="B7858" i="1"/>
  <c r="C7858" i="1"/>
  <c r="D7858" i="1"/>
  <c r="Q7858" i="1"/>
  <c r="R7858" i="1"/>
  <c r="E7858" i="1"/>
  <c r="G7858" i="1"/>
  <c r="H7858" i="1"/>
  <c r="J7858" i="1"/>
  <c r="K7858" i="1"/>
  <c r="L7858" i="1"/>
  <c r="A7859" i="1"/>
  <c r="B7859" i="1"/>
  <c r="C7859" i="1"/>
  <c r="D7859" i="1"/>
  <c r="Q7859" i="1"/>
  <c r="R7859" i="1"/>
  <c r="E7859" i="1"/>
  <c r="G7859" i="1"/>
  <c r="H7859" i="1"/>
  <c r="J7859" i="1"/>
  <c r="K7859" i="1"/>
  <c r="L7859" i="1"/>
  <c r="A7860" i="1"/>
  <c r="B7860" i="1"/>
  <c r="C7860" i="1"/>
  <c r="D7860" i="1"/>
  <c r="Q7860" i="1"/>
  <c r="R7860" i="1"/>
  <c r="E7860" i="1"/>
  <c r="G7860" i="1"/>
  <c r="H7860" i="1"/>
  <c r="J7860" i="1"/>
  <c r="K7860" i="1"/>
  <c r="L7860" i="1"/>
  <c r="A7861" i="1"/>
  <c r="B7861" i="1"/>
  <c r="C7861" i="1"/>
  <c r="D7861" i="1"/>
  <c r="Q7861" i="1"/>
  <c r="R7861" i="1"/>
  <c r="E7861" i="1"/>
  <c r="G7861" i="1"/>
  <c r="H7861" i="1"/>
  <c r="J7861" i="1"/>
  <c r="K7861" i="1"/>
  <c r="L7861" i="1"/>
  <c r="A7862" i="1"/>
  <c r="B7862" i="1"/>
  <c r="C7862" i="1"/>
  <c r="D7862" i="1"/>
  <c r="Q7862" i="1"/>
  <c r="R7862" i="1"/>
  <c r="E7862" i="1"/>
  <c r="G7862" i="1"/>
  <c r="H7862" i="1"/>
  <c r="J7862" i="1"/>
  <c r="K7862" i="1"/>
  <c r="L7862" i="1"/>
  <c r="A7863" i="1"/>
  <c r="B7863" i="1"/>
  <c r="C7863" i="1"/>
  <c r="D7863" i="1"/>
  <c r="Q7863" i="1"/>
  <c r="R7863" i="1"/>
  <c r="E7863" i="1"/>
  <c r="G7863" i="1"/>
  <c r="H7863" i="1"/>
  <c r="J7863" i="1"/>
  <c r="K7863" i="1"/>
  <c r="L7863" i="1"/>
  <c r="A7864" i="1"/>
  <c r="B7864" i="1"/>
  <c r="C7864" i="1"/>
  <c r="D7864" i="1"/>
  <c r="Q7864" i="1"/>
  <c r="R7864" i="1"/>
  <c r="E7864" i="1"/>
  <c r="G7864" i="1"/>
  <c r="H7864" i="1"/>
  <c r="J7864" i="1"/>
  <c r="K7864" i="1"/>
  <c r="L7864" i="1"/>
  <c r="A7865" i="1"/>
  <c r="B7865" i="1"/>
  <c r="C7865" i="1"/>
  <c r="D7865" i="1"/>
  <c r="Q7865" i="1"/>
  <c r="R7865" i="1"/>
  <c r="E7865" i="1"/>
  <c r="G7865" i="1"/>
  <c r="H7865" i="1"/>
  <c r="J7865" i="1"/>
  <c r="K7865" i="1"/>
  <c r="L7865" i="1"/>
  <c r="A7866" i="1"/>
  <c r="B7866" i="1"/>
  <c r="C7866" i="1"/>
  <c r="D7866" i="1"/>
  <c r="Q7866" i="1"/>
  <c r="R7866" i="1"/>
  <c r="E7866" i="1"/>
  <c r="G7866" i="1"/>
  <c r="H7866" i="1"/>
  <c r="J7866" i="1"/>
  <c r="K7866" i="1"/>
  <c r="L7866" i="1"/>
  <c r="A7867" i="1"/>
  <c r="B7867" i="1"/>
  <c r="C7867" i="1"/>
  <c r="D7867" i="1"/>
  <c r="Q7867" i="1"/>
  <c r="R7867" i="1"/>
  <c r="E7867" i="1"/>
  <c r="G7867" i="1"/>
  <c r="H7867" i="1"/>
  <c r="J7867" i="1"/>
  <c r="K7867" i="1"/>
  <c r="L7867" i="1"/>
  <c r="A7868" i="1"/>
  <c r="B7868" i="1"/>
  <c r="C7868" i="1"/>
  <c r="D7868" i="1"/>
  <c r="Q7868" i="1"/>
  <c r="R7868" i="1"/>
  <c r="E7868" i="1"/>
  <c r="G7868" i="1"/>
  <c r="H7868" i="1"/>
  <c r="J7868" i="1"/>
  <c r="K7868" i="1"/>
  <c r="L7868" i="1"/>
  <c r="A7869" i="1"/>
  <c r="B7869" i="1"/>
  <c r="C7869" i="1"/>
  <c r="D7869" i="1"/>
  <c r="Q7869" i="1"/>
  <c r="R7869" i="1"/>
  <c r="E7869" i="1"/>
  <c r="G7869" i="1"/>
  <c r="H7869" i="1"/>
  <c r="J7869" i="1"/>
  <c r="K7869" i="1"/>
  <c r="L7869" i="1"/>
  <c r="A7870" i="1"/>
  <c r="B7870" i="1"/>
  <c r="C7870" i="1"/>
  <c r="D7870" i="1"/>
  <c r="Q7870" i="1"/>
  <c r="R7870" i="1"/>
  <c r="E7870" i="1"/>
  <c r="G7870" i="1"/>
  <c r="H7870" i="1"/>
  <c r="J7870" i="1"/>
  <c r="K7870" i="1"/>
  <c r="L7870" i="1"/>
  <c r="A7871" i="1"/>
  <c r="B7871" i="1"/>
  <c r="C7871" i="1"/>
  <c r="D7871" i="1"/>
  <c r="Q7871" i="1"/>
  <c r="R7871" i="1"/>
  <c r="E7871" i="1"/>
  <c r="G7871" i="1"/>
  <c r="H7871" i="1"/>
  <c r="J7871" i="1"/>
  <c r="K7871" i="1"/>
  <c r="L7871" i="1"/>
  <c r="A7872" i="1"/>
  <c r="B7872" i="1"/>
  <c r="C7872" i="1"/>
  <c r="D7872" i="1"/>
  <c r="Q7872" i="1"/>
  <c r="R7872" i="1"/>
  <c r="E7872" i="1"/>
  <c r="G7872" i="1"/>
  <c r="H7872" i="1"/>
  <c r="J7872" i="1"/>
  <c r="K7872" i="1"/>
  <c r="L7872" i="1"/>
  <c r="A7873" i="1"/>
  <c r="B7873" i="1"/>
  <c r="C7873" i="1"/>
  <c r="D7873" i="1"/>
  <c r="Q7873" i="1"/>
  <c r="R7873" i="1"/>
  <c r="E7873" i="1"/>
  <c r="G7873" i="1"/>
  <c r="H7873" i="1"/>
  <c r="J7873" i="1"/>
  <c r="K7873" i="1"/>
  <c r="L7873" i="1"/>
  <c r="A7874" i="1"/>
  <c r="B7874" i="1"/>
  <c r="C7874" i="1"/>
  <c r="D7874" i="1"/>
  <c r="Q7874" i="1"/>
  <c r="R7874" i="1"/>
  <c r="E7874" i="1"/>
  <c r="G7874" i="1"/>
  <c r="H7874" i="1"/>
  <c r="J7874" i="1"/>
  <c r="K7874" i="1"/>
  <c r="L7874" i="1"/>
  <c r="A7875" i="1"/>
  <c r="B7875" i="1"/>
  <c r="C7875" i="1"/>
  <c r="D7875" i="1"/>
  <c r="Q7875" i="1"/>
  <c r="R7875" i="1"/>
  <c r="E7875" i="1"/>
  <c r="G7875" i="1"/>
  <c r="H7875" i="1"/>
  <c r="J7875" i="1"/>
  <c r="K7875" i="1"/>
  <c r="L7875" i="1"/>
  <c r="A7876" i="1"/>
  <c r="B7876" i="1"/>
  <c r="C7876" i="1"/>
  <c r="D7876" i="1"/>
  <c r="Q7876" i="1"/>
  <c r="R7876" i="1"/>
  <c r="E7876" i="1"/>
  <c r="G7876" i="1"/>
  <c r="H7876" i="1"/>
  <c r="J7876" i="1"/>
  <c r="K7876" i="1"/>
  <c r="L7876" i="1"/>
  <c r="A7877" i="1"/>
  <c r="B7877" i="1"/>
  <c r="C7877" i="1"/>
  <c r="D7877" i="1"/>
  <c r="Q7877" i="1"/>
  <c r="R7877" i="1"/>
  <c r="E7877" i="1"/>
  <c r="G7877" i="1"/>
  <c r="H7877" i="1"/>
  <c r="J7877" i="1"/>
  <c r="K7877" i="1"/>
  <c r="L7877" i="1"/>
  <c r="A7878" i="1"/>
  <c r="B7878" i="1"/>
  <c r="C7878" i="1"/>
  <c r="D7878" i="1"/>
  <c r="Q7878" i="1"/>
  <c r="R7878" i="1"/>
  <c r="E7878" i="1"/>
  <c r="G7878" i="1"/>
  <c r="H7878" i="1"/>
  <c r="J7878" i="1"/>
  <c r="K7878" i="1"/>
  <c r="L7878" i="1"/>
  <c r="A7879" i="1"/>
  <c r="B7879" i="1"/>
  <c r="C7879" i="1"/>
  <c r="D7879" i="1"/>
  <c r="Q7879" i="1"/>
  <c r="R7879" i="1"/>
  <c r="E7879" i="1"/>
  <c r="G7879" i="1"/>
  <c r="H7879" i="1"/>
  <c r="J7879" i="1"/>
  <c r="K7879" i="1"/>
  <c r="L7879" i="1"/>
  <c r="A7880" i="1"/>
  <c r="B7880" i="1"/>
  <c r="C7880" i="1"/>
  <c r="D7880" i="1"/>
  <c r="Q7880" i="1"/>
  <c r="R7880" i="1"/>
  <c r="E7880" i="1"/>
  <c r="G7880" i="1"/>
  <c r="H7880" i="1"/>
  <c r="J7880" i="1"/>
  <c r="K7880" i="1"/>
  <c r="L7880" i="1"/>
  <c r="A7881" i="1"/>
  <c r="B7881" i="1"/>
  <c r="C7881" i="1"/>
  <c r="D7881" i="1"/>
  <c r="Q7881" i="1"/>
  <c r="R7881" i="1"/>
  <c r="E7881" i="1"/>
  <c r="G7881" i="1"/>
  <c r="H7881" i="1"/>
  <c r="J7881" i="1"/>
  <c r="K7881" i="1"/>
  <c r="L7881" i="1"/>
  <c r="A7882" i="1"/>
  <c r="B7882" i="1"/>
  <c r="C7882" i="1"/>
  <c r="D7882" i="1"/>
  <c r="Q7882" i="1"/>
  <c r="R7882" i="1"/>
  <c r="E7882" i="1"/>
  <c r="G7882" i="1"/>
  <c r="H7882" i="1"/>
  <c r="J7882" i="1"/>
  <c r="K7882" i="1"/>
  <c r="L7882" i="1"/>
  <c r="A7883" i="1"/>
  <c r="B7883" i="1"/>
  <c r="C7883" i="1"/>
  <c r="D7883" i="1"/>
  <c r="Q7883" i="1"/>
  <c r="R7883" i="1"/>
  <c r="E7883" i="1"/>
  <c r="G7883" i="1"/>
  <c r="H7883" i="1"/>
  <c r="J7883" i="1"/>
  <c r="K7883" i="1"/>
  <c r="L7883" i="1"/>
  <c r="A7884" i="1"/>
  <c r="B7884" i="1"/>
  <c r="C7884" i="1"/>
  <c r="D7884" i="1"/>
  <c r="Q7884" i="1"/>
  <c r="R7884" i="1"/>
  <c r="E7884" i="1"/>
  <c r="G7884" i="1"/>
  <c r="H7884" i="1"/>
  <c r="J7884" i="1"/>
  <c r="K7884" i="1"/>
  <c r="L7884" i="1"/>
  <c r="A7885" i="1"/>
  <c r="B7885" i="1"/>
  <c r="C7885" i="1"/>
  <c r="D7885" i="1"/>
  <c r="Q7885" i="1"/>
  <c r="R7885" i="1"/>
  <c r="E7885" i="1"/>
  <c r="G7885" i="1"/>
  <c r="H7885" i="1"/>
  <c r="J7885" i="1"/>
  <c r="K7885" i="1"/>
  <c r="L7885" i="1"/>
  <c r="A7886" i="1"/>
  <c r="B7886" i="1"/>
  <c r="C7886" i="1"/>
  <c r="D7886" i="1"/>
  <c r="Q7886" i="1"/>
  <c r="R7886" i="1"/>
  <c r="E7886" i="1"/>
  <c r="G7886" i="1"/>
  <c r="H7886" i="1"/>
  <c r="J7886" i="1"/>
  <c r="K7886" i="1"/>
  <c r="L7886" i="1"/>
  <c r="A7887" i="1"/>
  <c r="B7887" i="1"/>
  <c r="C7887" i="1"/>
  <c r="D7887" i="1"/>
  <c r="Q7887" i="1"/>
  <c r="R7887" i="1"/>
  <c r="E7887" i="1"/>
  <c r="G7887" i="1"/>
  <c r="H7887" i="1"/>
  <c r="J7887" i="1"/>
  <c r="K7887" i="1"/>
  <c r="L7887" i="1"/>
  <c r="A7891" i="1"/>
  <c r="B7891" i="1"/>
  <c r="C7891" i="1"/>
  <c r="D7891" i="1"/>
  <c r="Q7891" i="1"/>
  <c r="R7891" i="1"/>
  <c r="E7891" i="1"/>
  <c r="G7891" i="1"/>
  <c r="H7891" i="1"/>
  <c r="J7891" i="1"/>
  <c r="K7891" i="1"/>
  <c r="L7891" i="1"/>
  <c r="A7892" i="1"/>
  <c r="B7892" i="1"/>
  <c r="C7892" i="1"/>
  <c r="D7892" i="1"/>
  <c r="Q7892" i="1"/>
  <c r="R7892" i="1"/>
  <c r="E7892" i="1"/>
  <c r="G7892" i="1"/>
  <c r="H7892" i="1"/>
  <c r="J7892" i="1"/>
  <c r="K7892" i="1"/>
  <c r="L7892" i="1"/>
  <c r="A7893" i="1"/>
  <c r="B7893" i="1"/>
  <c r="C7893" i="1"/>
  <c r="D7893" i="1"/>
  <c r="Q7893" i="1"/>
  <c r="R7893" i="1"/>
  <c r="E7893" i="1"/>
  <c r="G7893" i="1"/>
  <c r="H7893" i="1"/>
  <c r="J7893" i="1"/>
  <c r="K7893" i="1"/>
  <c r="L7893" i="1"/>
  <c r="A7894" i="1"/>
  <c r="B7894" i="1"/>
  <c r="C7894" i="1"/>
  <c r="D7894" i="1"/>
  <c r="Q7894" i="1"/>
  <c r="R7894" i="1"/>
  <c r="E7894" i="1"/>
  <c r="G7894" i="1"/>
  <c r="H7894" i="1"/>
  <c r="J7894" i="1"/>
  <c r="K7894" i="1"/>
  <c r="L7894" i="1"/>
  <c r="A7895" i="1"/>
  <c r="B7895" i="1"/>
  <c r="C7895" i="1"/>
  <c r="D7895" i="1"/>
  <c r="Q7895" i="1"/>
  <c r="R7895" i="1"/>
  <c r="E7895" i="1"/>
  <c r="G7895" i="1"/>
  <c r="H7895" i="1"/>
  <c r="J7895" i="1"/>
  <c r="K7895" i="1"/>
  <c r="L7895" i="1"/>
  <c r="A7896" i="1"/>
  <c r="B7896" i="1"/>
  <c r="C7896" i="1"/>
  <c r="D7896" i="1"/>
  <c r="Q7896" i="1"/>
  <c r="R7896" i="1"/>
  <c r="E7896" i="1"/>
  <c r="G7896" i="1"/>
  <c r="H7896" i="1"/>
  <c r="J7896" i="1"/>
  <c r="K7896" i="1"/>
  <c r="L7896" i="1"/>
  <c r="A7897" i="1"/>
  <c r="B7897" i="1"/>
  <c r="C7897" i="1"/>
  <c r="D7897" i="1"/>
  <c r="Q7897" i="1"/>
  <c r="R7897" i="1"/>
  <c r="E7897" i="1"/>
  <c r="G7897" i="1"/>
  <c r="H7897" i="1"/>
  <c r="J7897" i="1"/>
  <c r="K7897" i="1"/>
  <c r="L7897" i="1"/>
  <c r="A7898" i="1"/>
  <c r="B7898" i="1"/>
  <c r="C7898" i="1"/>
  <c r="D7898" i="1"/>
  <c r="Q7898" i="1"/>
  <c r="R7898" i="1"/>
  <c r="E7898" i="1"/>
  <c r="G7898" i="1"/>
  <c r="H7898" i="1"/>
  <c r="J7898" i="1"/>
  <c r="K7898" i="1"/>
  <c r="L7898" i="1"/>
  <c r="A7899" i="1"/>
  <c r="B7899" i="1"/>
  <c r="C7899" i="1"/>
  <c r="D7899" i="1"/>
  <c r="Q7899" i="1"/>
  <c r="R7899" i="1"/>
  <c r="E7899" i="1"/>
  <c r="G7899" i="1"/>
  <c r="H7899" i="1"/>
  <c r="J7899" i="1"/>
  <c r="K7899" i="1"/>
  <c r="L7899" i="1"/>
  <c r="A7900" i="1"/>
  <c r="B7900" i="1"/>
  <c r="C7900" i="1"/>
  <c r="D7900" i="1"/>
  <c r="Q7900" i="1"/>
  <c r="R7900" i="1"/>
  <c r="E7900" i="1"/>
  <c r="G7900" i="1"/>
  <c r="H7900" i="1"/>
  <c r="J7900" i="1"/>
  <c r="K7900" i="1"/>
  <c r="L7900" i="1"/>
  <c r="A7901" i="1"/>
  <c r="B7901" i="1"/>
  <c r="C7901" i="1"/>
  <c r="D7901" i="1"/>
  <c r="Q7901" i="1"/>
  <c r="R7901" i="1"/>
  <c r="E7901" i="1"/>
  <c r="G7901" i="1"/>
  <c r="H7901" i="1"/>
  <c r="J7901" i="1"/>
  <c r="K7901" i="1"/>
  <c r="L7901" i="1"/>
  <c r="A7902" i="1"/>
  <c r="B7902" i="1"/>
  <c r="C7902" i="1"/>
  <c r="D7902" i="1"/>
  <c r="Q7902" i="1"/>
  <c r="R7902" i="1"/>
  <c r="E7902" i="1"/>
  <c r="G7902" i="1"/>
  <c r="H7902" i="1"/>
  <c r="J7902" i="1"/>
  <c r="K7902" i="1"/>
  <c r="L7902" i="1"/>
  <c r="A7903" i="1"/>
  <c r="B7903" i="1"/>
  <c r="C7903" i="1"/>
  <c r="D7903" i="1"/>
  <c r="Q7903" i="1"/>
  <c r="R7903" i="1"/>
  <c r="E7903" i="1"/>
  <c r="G7903" i="1"/>
  <c r="H7903" i="1"/>
  <c r="J7903" i="1"/>
  <c r="K7903" i="1"/>
  <c r="L7903" i="1"/>
  <c r="A7904" i="1"/>
  <c r="B7904" i="1"/>
  <c r="C7904" i="1"/>
  <c r="D7904" i="1"/>
  <c r="Q7904" i="1"/>
  <c r="R7904" i="1"/>
  <c r="E7904" i="1"/>
  <c r="G7904" i="1"/>
  <c r="H7904" i="1"/>
  <c r="J7904" i="1"/>
  <c r="K7904" i="1"/>
  <c r="L7904" i="1"/>
  <c r="A7905" i="1"/>
  <c r="B7905" i="1"/>
  <c r="C7905" i="1"/>
  <c r="D7905" i="1"/>
  <c r="Q7905" i="1"/>
  <c r="R7905" i="1"/>
  <c r="E7905" i="1"/>
  <c r="G7905" i="1"/>
  <c r="H7905" i="1"/>
  <c r="J7905" i="1"/>
  <c r="K7905" i="1"/>
  <c r="L7905" i="1"/>
  <c r="A7906" i="1"/>
  <c r="B7906" i="1"/>
  <c r="C7906" i="1"/>
  <c r="D7906" i="1"/>
  <c r="Q7906" i="1"/>
  <c r="R7906" i="1"/>
  <c r="E7906" i="1"/>
  <c r="G7906" i="1"/>
  <c r="H7906" i="1"/>
  <c r="J7906" i="1"/>
  <c r="K7906" i="1"/>
  <c r="L7906" i="1"/>
  <c r="A7907" i="1"/>
  <c r="B7907" i="1"/>
  <c r="C7907" i="1"/>
  <c r="D7907" i="1"/>
  <c r="Q7907" i="1"/>
  <c r="R7907" i="1"/>
  <c r="E7907" i="1"/>
  <c r="G7907" i="1"/>
  <c r="H7907" i="1"/>
  <c r="J7907" i="1"/>
  <c r="K7907" i="1"/>
  <c r="L7907" i="1"/>
  <c r="A7908" i="1"/>
  <c r="B7908" i="1"/>
  <c r="C7908" i="1"/>
  <c r="D7908" i="1"/>
  <c r="Q7908" i="1"/>
  <c r="R7908" i="1"/>
  <c r="E7908" i="1"/>
  <c r="G7908" i="1"/>
  <c r="H7908" i="1"/>
  <c r="J7908" i="1"/>
  <c r="K7908" i="1"/>
  <c r="L7908" i="1"/>
  <c r="A7909" i="1"/>
  <c r="B7909" i="1"/>
  <c r="C7909" i="1"/>
  <c r="D7909" i="1"/>
  <c r="Q7909" i="1"/>
  <c r="R7909" i="1"/>
  <c r="E7909" i="1"/>
  <c r="G7909" i="1"/>
  <c r="H7909" i="1"/>
  <c r="J7909" i="1"/>
  <c r="K7909" i="1"/>
  <c r="L7909" i="1"/>
  <c r="A7910" i="1"/>
  <c r="B7910" i="1"/>
  <c r="C7910" i="1"/>
  <c r="D7910" i="1"/>
  <c r="Q7910" i="1"/>
  <c r="R7910" i="1"/>
  <c r="E7910" i="1"/>
  <c r="G7910" i="1"/>
  <c r="H7910" i="1"/>
  <c r="J7910" i="1"/>
  <c r="K7910" i="1"/>
  <c r="L7910" i="1"/>
  <c r="A7911" i="1"/>
  <c r="B7911" i="1"/>
  <c r="C7911" i="1"/>
  <c r="D7911" i="1"/>
  <c r="Q7911" i="1"/>
  <c r="R7911" i="1"/>
  <c r="E7911" i="1"/>
  <c r="G7911" i="1"/>
  <c r="H7911" i="1"/>
  <c r="J7911" i="1"/>
  <c r="K7911" i="1"/>
  <c r="L7911" i="1"/>
  <c r="A7912" i="1"/>
  <c r="B7912" i="1"/>
  <c r="C7912" i="1"/>
  <c r="D7912" i="1"/>
  <c r="Q7912" i="1"/>
  <c r="R7912" i="1"/>
  <c r="E7912" i="1"/>
  <c r="G7912" i="1"/>
  <c r="H7912" i="1"/>
  <c r="J7912" i="1"/>
  <c r="K7912" i="1"/>
  <c r="L7912" i="1"/>
  <c r="A7913" i="1"/>
  <c r="B7913" i="1"/>
  <c r="C7913" i="1"/>
  <c r="D7913" i="1"/>
  <c r="Q7913" i="1"/>
  <c r="R7913" i="1"/>
  <c r="E7913" i="1"/>
  <c r="G7913" i="1"/>
  <c r="H7913" i="1"/>
  <c r="J7913" i="1"/>
  <c r="K7913" i="1"/>
  <c r="L7913" i="1"/>
  <c r="A7914" i="1"/>
  <c r="B7914" i="1"/>
  <c r="C7914" i="1"/>
  <c r="D7914" i="1"/>
  <c r="Q7914" i="1"/>
  <c r="R7914" i="1"/>
  <c r="E7914" i="1"/>
  <c r="G7914" i="1"/>
  <c r="H7914" i="1"/>
  <c r="J7914" i="1"/>
  <c r="K7914" i="1"/>
  <c r="L7914" i="1"/>
  <c r="A7915" i="1"/>
  <c r="B7915" i="1"/>
  <c r="C7915" i="1"/>
  <c r="D7915" i="1"/>
  <c r="Q7915" i="1"/>
  <c r="R7915" i="1"/>
  <c r="E7915" i="1"/>
  <c r="G7915" i="1"/>
  <c r="H7915" i="1"/>
  <c r="J7915" i="1"/>
  <c r="K7915" i="1"/>
  <c r="L7915" i="1"/>
  <c r="A7916" i="1"/>
  <c r="B7916" i="1"/>
  <c r="C7916" i="1"/>
  <c r="D7916" i="1"/>
  <c r="Q7916" i="1"/>
  <c r="R7916" i="1"/>
  <c r="E7916" i="1"/>
  <c r="G7916" i="1"/>
  <c r="H7916" i="1"/>
  <c r="J7916" i="1"/>
  <c r="K7916" i="1"/>
  <c r="L7916" i="1"/>
  <c r="A7917" i="1"/>
  <c r="B7917" i="1"/>
  <c r="C7917" i="1"/>
  <c r="D7917" i="1"/>
  <c r="Q7917" i="1"/>
  <c r="R7917" i="1"/>
  <c r="E7917" i="1"/>
  <c r="G7917" i="1"/>
  <c r="H7917" i="1"/>
  <c r="J7917" i="1"/>
  <c r="K7917" i="1"/>
  <c r="L7917" i="1"/>
  <c r="A7918" i="1"/>
  <c r="B7918" i="1"/>
  <c r="C7918" i="1"/>
  <c r="D7918" i="1"/>
  <c r="Q7918" i="1"/>
  <c r="R7918" i="1"/>
  <c r="E7918" i="1"/>
  <c r="G7918" i="1"/>
  <c r="H7918" i="1"/>
  <c r="J7918" i="1"/>
  <c r="K7918" i="1"/>
  <c r="L7918" i="1"/>
  <c r="A7919" i="1"/>
  <c r="B7919" i="1"/>
  <c r="C7919" i="1"/>
  <c r="D7919" i="1"/>
  <c r="Q7919" i="1"/>
  <c r="R7919" i="1"/>
  <c r="E7919" i="1"/>
  <c r="G7919" i="1"/>
  <c r="H7919" i="1"/>
  <c r="J7919" i="1"/>
  <c r="K7919" i="1"/>
  <c r="L7919" i="1"/>
  <c r="A7920" i="1"/>
  <c r="B7920" i="1"/>
  <c r="C7920" i="1"/>
  <c r="D7920" i="1"/>
  <c r="Q7920" i="1"/>
  <c r="R7920" i="1"/>
  <c r="E7920" i="1"/>
  <c r="G7920" i="1"/>
  <c r="H7920" i="1"/>
  <c r="J7920" i="1"/>
  <c r="K7920" i="1"/>
  <c r="L7920" i="1"/>
  <c r="A7921" i="1"/>
  <c r="B7921" i="1"/>
  <c r="C7921" i="1"/>
  <c r="D7921" i="1"/>
  <c r="Q7921" i="1"/>
  <c r="R7921" i="1"/>
  <c r="E7921" i="1"/>
  <c r="G7921" i="1"/>
  <c r="H7921" i="1"/>
  <c r="J7921" i="1"/>
  <c r="K7921" i="1"/>
  <c r="L7921" i="1"/>
  <c r="A7922" i="1"/>
  <c r="B7922" i="1"/>
  <c r="C7922" i="1"/>
  <c r="D7922" i="1"/>
  <c r="Q7922" i="1"/>
  <c r="R7922" i="1"/>
  <c r="E7922" i="1"/>
  <c r="G7922" i="1"/>
  <c r="H7922" i="1"/>
  <c r="J7922" i="1"/>
  <c r="K7922" i="1"/>
  <c r="L7922" i="1"/>
  <c r="A7923" i="1"/>
  <c r="B7923" i="1"/>
  <c r="C7923" i="1"/>
  <c r="D7923" i="1"/>
  <c r="Q7923" i="1"/>
  <c r="R7923" i="1"/>
  <c r="E7923" i="1"/>
  <c r="G7923" i="1"/>
  <c r="H7923" i="1"/>
  <c r="J7923" i="1"/>
  <c r="K7923" i="1"/>
  <c r="L7923" i="1"/>
  <c r="A7924" i="1"/>
  <c r="B7924" i="1"/>
  <c r="C7924" i="1"/>
  <c r="D7924" i="1"/>
  <c r="Q7924" i="1"/>
  <c r="R7924" i="1"/>
  <c r="E7924" i="1"/>
  <c r="G7924" i="1"/>
  <c r="H7924" i="1"/>
  <c r="J7924" i="1"/>
  <c r="K7924" i="1"/>
  <c r="L7924" i="1"/>
  <c r="A7925" i="1"/>
  <c r="B7925" i="1"/>
  <c r="C7925" i="1"/>
  <c r="D7925" i="1"/>
  <c r="Q7925" i="1"/>
  <c r="R7925" i="1"/>
  <c r="E7925" i="1"/>
  <c r="G7925" i="1"/>
  <c r="H7925" i="1"/>
  <c r="J7925" i="1"/>
  <c r="K7925" i="1"/>
  <c r="L7925" i="1"/>
  <c r="A7926" i="1"/>
  <c r="B7926" i="1"/>
  <c r="C7926" i="1"/>
  <c r="D7926" i="1"/>
  <c r="Q7926" i="1"/>
  <c r="R7926" i="1"/>
  <c r="E7926" i="1"/>
  <c r="G7926" i="1"/>
  <c r="H7926" i="1"/>
  <c r="J7926" i="1"/>
  <c r="K7926" i="1"/>
  <c r="L7926" i="1"/>
  <c r="A7927" i="1"/>
  <c r="B7927" i="1"/>
  <c r="C7927" i="1"/>
  <c r="D7927" i="1"/>
  <c r="Q7927" i="1"/>
  <c r="R7927" i="1"/>
  <c r="E7927" i="1"/>
  <c r="G7927" i="1"/>
  <c r="H7927" i="1"/>
  <c r="J7927" i="1"/>
  <c r="K7927" i="1"/>
  <c r="L7927" i="1"/>
  <c r="A7928" i="1"/>
  <c r="B7928" i="1"/>
  <c r="C7928" i="1"/>
  <c r="D7928" i="1"/>
  <c r="Q7928" i="1"/>
  <c r="R7928" i="1"/>
  <c r="E7928" i="1"/>
  <c r="G7928" i="1"/>
  <c r="H7928" i="1"/>
  <c r="J7928" i="1"/>
  <c r="K7928" i="1"/>
  <c r="L7928" i="1"/>
  <c r="A7929" i="1"/>
  <c r="B7929" i="1"/>
  <c r="C7929" i="1"/>
  <c r="D7929" i="1"/>
  <c r="Q7929" i="1"/>
  <c r="R7929" i="1"/>
  <c r="E7929" i="1"/>
  <c r="G7929" i="1"/>
  <c r="H7929" i="1"/>
  <c r="J7929" i="1"/>
  <c r="K7929" i="1"/>
  <c r="L7929" i="1"/>
  <c r="A7930" i="1"/>
  <c r="B7930" i="1"/>
  <c r="C7930" i="1"/>
  <c r="D7930" i="1"/>
  <c r="Q7930" i="1"/>
  <c r="R7930" i="1"/>
  <c r="E7930" i="1"/>
  <c r="G7930" i="1"/>
  <c r="H7930" i="1"/>
  <c r="J7930" i="1"/>
  <c r="K7930" i="1"/>
  <c r="L7930" i="1"/>
  <c r="A7931" i="1"/>
  <c r="B7931" i="1"/>
  <c r="C7931" i="1"/>
  <c r="D7931" i="1"/>
  <c r="Q7931" i="1"/>
  <c r="R7931" i="1"/>
  <c r="E7931" i="1"/>
  <c r="G7931" i="1"/>
  <c r="H7931" i="1"/>
  <c r="J7931" i="1"/>
  <c r="K7931" i="1"/>
  <c r="L7931" i="1"/>
  <c r="A7932" i="1"/>
  <c r="B7932" i="1"/>
  <c r="C7932" i="1"/>
  <c r="D7932" i="1"/>
  <c r="Q7932" i="1"/>
  <c r="R7932" i="1"/>
  <c r="E7932" i="1"/>
  <c r="G7932" i="1"/>
  <c r="H7932" i="1"/>
  <c r="J7932" i="1"/>
  <c r="K7932" i="1"/>
  <c r="L7932" i="1"/>
  <c r="A7933" i="1"/>
  <c r="B7933" i="1"/>
  <c r="C7933" i="1"/>
  <c r="D7933" i="1"/>
  <c r="Q7933" i="1"/>
  <c r="R7933" i="1"/>
  <c r="E7933" i="1"/>
  <c r="G7933" i="1"/>
  <c r="H7933" i="1"/>
  <c r="J7933" i="1"/>
  <c r="K7933" i="1"/>
  <c r="L7933" i="1"/>
  <c r="A7934" i="1"/>
  <c r="B7934" i="1"/>
  <c r="C7934" i="1"/>
  <c r="D7934" i="1"/>
  <c r="Q7934" i="1"/>
  <c r="R7934" i="1"/>
  <c r="E7934" i="1"/>
  <c r="G7934" i="1"/>
  <c r="H7934" i="1"/>
  <c r="J7934" i="1"/>
  <c r="K7934" i="1"/>
  <c r="L7934" i="1"/>
  <c r="A7935" i="1"/>
  <c r="B7935" i="1"/>
  <c r="C7935" i="1"/>
  <c r="D7935" i="1"/>
  <c r="Q7935" i="1"/>
  <c r="R7935" i="1"/>
  <c r="E7935" i="1"/>
  <c r="G7935" i="1"/>
  <c r="H7935" i="1"/>
  <c r="J7935" i="1"/>
  <c r="K7935" i="1"/>
  <c r="L7935" i="1"/>
  <c r="A7936" i="1"/>
  <c r="B7936" i="1"/>
  <c r="C7936" i="1"/>
  <c r="D7936" i="1"/>
  <c r="Q7936" i="1"/>
  <c r="R7936" i="1"/>
  <c r="E7936" i="1"/>
  <c r="G7936" i="1"/>
  <c r="H7936" i="1"/>
  <c r="J7936" i="1"/>
  <c r="K7936" i="1"/>
  <c r="L7936" i="1"/>
  <c r="A7937" i="1"/>
  <c r="B7937" i="1"/>
  <c r="C7937" i="1"/>
  <c r="D7937" i="1"/>
  <c r="Q7937" i="1"/>
  <c r="R7937" i="1"/>
  <c r="E7937" i="1"/>
  <c r="G7937" i="1"/>
  <c r="H7937" i="1"/>
  <c r="J7937" i="1"/>
  <c r="K7937" i="1"/>
  <c r="L7937" i="1"/>
  <c r="A7938" i="1"/>
  <c r="B7938" i="1"/>
  <c r="C7938" i="1"/>
  <c r="D7938" i="1"/>
  <c r="Q7938" i="1"/>
  <c r="R7938" i="1"/>
  <c r="E7938" i="1"/>
  <c r="G7938" i="1"/>
  <c r="H7938" i="1"/>
  <c r="J7938" i="1"/>
  <c r="K7938" i="1"/>
  <c r="L7938" i="1"/>
  <c r="A7939" i="1"/>
  <c r="B7939" i="1"/>
  <c r="C7939" i="1"/>
  <c r="D7939" i="1"/>
  <c r="Q7939" i="1"/>
  <c r="R7939" i="1"/>
  <c r="E7939" i="1"/>
  <c r="G7939" i="1"/>
  <c r="H7939" i="1"/>
  <c r="J7939" i="1"/>
  <c r="K7939" i="1"/>
  <c r="L7939" i="1"/>
  <c r="A7940" i="1"/>
  <c r="B7940" i="1"/>
  <c r="C7940" i="1"/>
  <c r="D7940" i="1"/>
  <c r="Q7940" i="1"/>
  <c r="R7940" i="1"/>
  <c r="E7940" i="1"/>
  <c r="G7940" i="1"/>
  <c r="H7940" i="1"/>
  <c r="J7940" i="1"/>
  <c r="K7940" i="1"/>
  <c r="L7940" i="1"/>
  <c r="A7941" i="1"/>
  <c r="B7941" i="1"/>
  <c r="C7941" i="1"/>
  <c r="D7941" i="1"/>
  <c r="Q7941" i="1"/>
  <c r="R7941" i="1"/>
  <c r="E7941" i="1"/>
  <c r="G7941" i="1"/>
  <c r="H7941" i="1"/>
  <c r="J7941" i="1"/>
  <c r="K7941" i="1"/>
  <c r="L7941" i="1"/>
  <c r="A7942" i="1"/>
  <c r="B7942" i="1"/>
  <c r="C7942" i="1"/>
  <c r="D7942" i="1"/>
  <c r="Q7942" i="1"/>
  <c r="R7942" i="1"/>
  <c r="E7942" i="1"/>
  <c r="G7942" i="1"/>
  <c r="H7942" i="1"/>
  <c r="J7942" i="1"/>
  <c r="K7942" i="1"/>
  <c r="L7942" i="1"/>
  <c r="A7943" i="1"/>
  <c r="B7943" i="1"/>
  <c r="C7943" i="1"/>
  <c r="D7943" i="1"/>
  <c r="Q7943" i="1"/>
  <c r="R7943" i="1"/>
  <c r="E7943" i="1"/>
  <c r="G7943" i="1"/>
  <c r="H7943" i="1"/>
  <c r="J7943" i="1"/>
  <c r="K7943" i="1"/>
  <c r="L7943" i="1"/>
  <c r="A7944" i="1"/>
  <c r="B7944" i="1"/>
  <c r="C7944" i="1"/>
  <c r="D7944" i="1"/>
  <c r="Q7944" i="1"/>
  <c r="R7944" i="1"/>
  <c r="E7944" i="1"/>
  <c r="G7944" i="1"/>
  <c r="H7944" i="1"/>
  <c r="J7944" i="1"/>
  <c r="K7944" i="1"/>
  <c r="L7944" i="1"/>
  <c r="A7945" i="1"/>
  <c r="B7945" i="1"/>
  <c r="C7945" i="1"/>
  <c r="D7945" i="1"/>
  <c r="Q7945" i="1"/>
  <c r="R7945" i="1"/>
  <c r="E7945" i="1"/>
  <c r="G7945" i="1"/>
  <c r="H7945" i="1"/>
  <c r="J7945" i="1"/>
  <c r="K7945" i="1"/>
  <c r="L7945" i="1"/>
  <c r="A7946" i="1"/>
  <c r="B7946" i="1"/>
  <c r="C7946" i="1"/>
  <c r="D7946" i="1"/>
  <c r="Q7946" i="1"/>
  <c r="R7946" i="1"/>
  <c r="E7946" i="1"/>
  <c r="G7946" i="1"/>
  <c r="H7946" i="1"/>
  <c r="J7946" i="1"/>
  <c r="K7946" i="1"/>
  <c r="L7946" i="1"/>
  <c r="A7947" i="1"/>
  <c r="B7947" i="1"/>
  <c r="C7947" i="1"/>
  <c r="D7947" i="1"/>
  <c r="Q7947" i="1"/>
  <c r="R7947" i="1"/>
  <c r="E7947" i="1"/>
  <c r="G7947" i="1"/>
  <c r="H7947" i="1"/>
  <c r="J7947" i="1"/>
  <c r="K7947" i="1"/>
  <c r="L7947" i="1"/>
  <c r="A7948" i="1"/>
  <c r="B7948" i="1"/>
  <c r="C7948" i="1"/>
  <c r="D7948" i="1"/>
  <c r="Q7948" i="1"/>
  <c r="R7948" i="1"/>
  <c r="E7948" i="1"/>
  <c r="G7948" i="1"/>
  <c r="H7948" i="1"/>
  <c r="J7948" i="1"/>
  <c r="K7948" i="1"/>
  <c r="L7948" i="1"/>
  <c r="A7949" i="1"/>
  <c r="B7949" i="1"/>
  <c r="C7949" i="1"/>
  <c r="D7949" i="1"/>
  <c r="Q7949" i="1"/>
  <c r="R7949" i="1"/>
  <c r="E7949" i="1"/>
  <c r="G7949" i="1"/>
  <c r="H7949" i="1"/>
  <c r="J7949" i="1"/>
  <c r="K7949" i="1"/>
  <c r="L7949" i="1"/>
  <c r="A7950" i="1"/>
  <c r="B7950" i="1"/>
  <c r="C7950" i="1"/>
  <c r="D7950" i="1"/>
  <c r="Q7950" i="1"/>
  <c r="R7950" i="1"/>
  <c r="E7950" i="1"/>
  <c r="G7950" i="1"/>
  <c r="H7950" i="1"/>
  <c r="J7950" i="1"/>
  <c r="K7950" i="1"/>
  <c r="L7950" i="1"/>
  <c r="A7951" i="1"/>
  <c r="B7951" i="1"/>
  <c r="C7951" i="1"/>
  <c r="D7951" i="1"/>
  <c r="Q7951" i="1"/>
  <c r="R7951" i="1"/>
  <c r="E7951" i="1"/>
  <c r="G7951" i="1"/>
  <c r="H7951" i="1"/>
  <c r="J7951" i="1"/>
  <c r="K7951" i="1"/>
  <c r="L7951" i="1"/>
  <c r="A7952" i="1"/>
  <c r="B7952" i="1"/>
  <c r="C7952" i="1"/>
  <c r="D7952" i="1"/>
  <c r="Q7952" i="1"/>
  <c r="R7952" i="1"/>
  <c r="E7952" i="1"/>
  <c r="G7952" i="1"/>
  <c r="H7952" i="1"/>
  <c r="J7952" i="1"/>
  <c r="K7952" i="1"/>
  <c r="L7952" i="1"/>
  <c r="A7953" i="1"/>
  <c r="B7953" i="1"/>
  <c r="C7953" i="1"/>
  <c r="D7953" i="1"/>
  <c r="Q7953" i="1"/>
  <c r="R7953" i="1"/>
  <c r="E7953" i="1"/>
  <c r="G7953" i="1"/>
  <c r="H7953" i="1"/>
  <c r="J7953" i="1"/>
  <c r="K7953" i="1"/>
  <c r="L7953" i="1"/>
  <c r="A7954" i="1"/>
  <c r="B7954" i="1"/>
  <c r="C7954" i="1"/>
  <c r="D7954" i="1"/>
  <c r="Q7954" i="1"/>
  <c r="R7954" i="1"/>
  <c r="E7954" i="1"/>
  <c r="G7954" i="1"/>
  <c r="H7954" i="1"/>
  <c r="J7954" i="1"/>
  <c r="K7954" i="1"/>
  <c r="L7954" i="1"/>
  <c r="A7955" i="1"/>
  <c r="B7955" i="1"/>
  <c r="C7955" i="1"/>
  <c r="D7955" i="1"/>
  <c r="Q7955" i="1"/>
  <c r="R7955" i="1"/>
  <c r="E7955" i="1"/>
  <c r="G7955" i="1"/>
  <c r="H7955" i="1"/>
  <c r="J7955" i="1"/>
  <c r="K7955" i="1"/>
  <c r="L7955" i="1"/>
  <c r="A7956" i="1"/>
  <c r="B7956" i="1"/>
  <c r="C7956" i="1"/>
  <c r="D7956" i="1"/>
  <c r="Q7956" i="1"/>
  <c r="R7956" i="1"/>
  <c r="E7956" i="1"/>
  <c r="G7956" i="1"/>
  <c r="H7956" i="1"/>
  <c r="J7956" i="1"/>
  <c r="K7956" i="1"/>
  <c r="L7956" i="1"/>
  <c r="A7957" i="1"/>
  <c r="B7957" i="1"/>
  <c r="C7957" i="1"/>
  <c r="D7957" i="1"/>
  <c r="Q7957" i="1"/>
  <c r="R7957" i="1"/>
  <c r="E7957" i="1"/>
  <c r="G7957" i="1"/>
  <c r="H7957" i="1"/>
  <c r="J7957" i="1"/>
  <c r="K7957" i="1"/>
  <c r="L7957" i="1"/>
  <c r="A7958" i="1"/>
  <c r="B7958" i="1"/>
  <c r="C7958" i="1"/>
  <c r="D7958" i="1"/>
  <c r="Q7958" i="1"/>
  <c r="R7958" i="1"/>
  <c r="E7958" i="1"/>
  <c r="G7958" i="1"/>
  <c r="H7958" i="1"/>
  <c r="J7958" i="1"/>
  <c r="K7958" i="1"/>
  <c r="L7958" i="1"/>
  <c r="A7959" i="1"/>
  <c r="B7959" i="1"/>
  <c r="C7959" i="1"/>
  <c r="D7959" i="1"/>
  <c r="Q7959" i="1"/>
  <c r="R7959" i="1"/>
  <c r="E7959" i="1"/>
  <c r="G7959" i="1"/>
  <c r="H7959" i="1"/>
  <c r="J7959" i="1"/>
  <c r="K7959" i="1"/>
  <c r="L7959" i="1"/>
  <c r="A7960" i="1"/>
  <c r="B7960" i="1"/>
  <c r="C7960" i="1"/>
  <c r="D7960" i="1"/>
  <c r="Q7960" i="1"/>
  <c r="R7960" i="1"/>
  <c r="E7960" i="1"/>
  <c r="G7960" i="1"/>
  <c r="H7960" i="1"/>
  <c r="J7960" i="1"/>
  <c r="K7960" i="1"/>
  <c r="L7960" i="1"/>
  <c r="A7961" i="1"/>
  <c r="B7961" i="1"/>
  <c r="C7961" i="1"/>
  <c r="D7961" i="1"/>
  <c r="Q7961" i="1"/>
  <c r="R7961" i="1"/>
  <c r="E7961" i="1"/>
  <c r="G7961" i="1"/>
  <c r="H7961" i="1"/>
  <c r="J7961" i="1"/>
  <c r="K7961" i="1"/>
  <c r="L7961" i="1"/>
  <c r="A7962" i="1"/>
  <c r="B7962" i="1"/>
  <c r="C7962" i="1"/>
  <c r="D7962" i="1"/>
  <c r="Q7962" i="1"/>
  <c r="R7962" i="1"/>
  <c r="E7962" i="1"/>
  <c r="G7962" i="1"/>
  <c r="H7962" i="1"/>
  <c r="J7962" i="1"/>
  <c r="K7962" i="1"/>
  <c r="L7962" i="1"/>
  <c r="A7963" i="1"/>
  <c r="B7963" i="1"/>
  <c r="C7963" i="1"/>
  <c r="D7963" i="1"/>
  <c r="Q7963" i="1"/>
  <c r="R7963" i="1"/>
  <c r="E7963" i="1"/>
  <c r="G7963" i="1"/>
  <c r="H7963" i="1"/>
  <c r="J7963" i="1"/>
  <c r="K7963" i="1"/>
  <c r="L7963" i="1"/>
  <c r="A7964" i="1"/>
  <c r="B7964" i="1"/>
  <c r="C7964" i="1"/>
  <c r="D7964" i="1"/>
  <c r="Q7964" i="1"/>
  <c r="R7964" i="1"/>
  <c r="E7964" i="1"/>
  <c r="G7964" i="1"/>
  <c r="H7964" i="1"/>
  <c r="J7964" i="1"/>
  <c r="K7964" i="1"/>
  <c r="L7964" i="1"/>
  <c r="A7965" i="1"/>
  <c r="B7965" i="1"/>
  <c r="C7965" i="1"/>
  <c r="D7965" i="1"/>
  <c r="Q7965" i="1"/>
  <c r="R7965" i="1"/>
  <c r="E7965" i="1"/>
  <c r="G7965" i="1"/>
  <c r="H7965" i="1"/>
  <c r="J7965" i="1"/>
  <c r="K7965" i="1"/>
  <c r="L7965" i="1"/>
  <c r="A7966" i="1"/>
  <c r="B7966" i="1"/>
  <c r="C7966" i="1"/>
  <c r="D7966" i="1"/>
  <c r="Q7966" i="1"/>
  <c r="R7966" i="1"/>
  <c r="E7966" i="1"/>
  <c r="G7966" i="1"/>
  <c r="H7966" i="1"/>
  <c r="J7966" i="1"/>
  <c r="K7966" i="1"/>
  <c r="L7966" i="1"/>
  <c r="A7967" i="1"/>
  <c r="B7967" i="1"/>
  <c r="C7967" i="1"/>
  <c r="D7967" i="1"/>
  <c r="Q7967" i="1"/>
  <c r="R7967" i="1"/>
  <c r="E7967" i="1"/>
  <c r="G7967" i="1"/>
  <c r="H7967" i="1"/>
  <c r="J7967" i="1"/>
  <c r="K7967" i="1"/>
  <c r="L7967" i="1"/>
  <c r="A7968" i="1"/>
  <c r="B7968" i="1"/>
  <c r="C7968" i="1"/>
  <c r="D7968" i="1"/>
  <c r="Q7968" i="1"/>
  <c r="R7968" i="1"/>
  <c r="E7968" i="1"/>
  <c r="G7968" i="1"/>
  <c r="H7968" i="1"/>
  <c r="J7968" i="1"/>
  <c r="K7968" i="1"/>
  <c r="L7968" i="1"/>
  <c r="A7969" i="1"/>
  <c r="B7969" i="1"/>
  <c r="C7969" i="1"/>
  <c r="D7969" i="1"/>
  <c r="Q7969" i="1"/>
  <c r="R7969" i="1"/>
  <c r="E7969" i="1"/>
  <c r="G7969" i="1"/>
  <c r="H7969" i="1"/>
  <c r="J7969" i="1"/>
  <c r="K7969" i="1"/>
  <c r="L7969" i="1"/>
  <c r="A7970" i="1"/>
  <c r="B7970" i="1"/>
  <c r="C7970" i="1"/>
  <c r="D7970" i="1"/>
  <c r="Q7970" i="1"/>
  <c r="R7970" i="1"/>
  <c r="E7970" i="1"/>
  <c r="G7970" i="1"/>
  <c r="H7970" i="1"/>
  <c r="J7970" i="1"/>
  <c r="K7970" i="1"/>
  <c r="L7970" i="1"/>
  <c r="A7971" i="1"/>
  <c r="B7971" i="1"/>
  <c r="C7971" i="1"/>
  <c r="D7971" i="1"/>
  <c r="Q7971" i="1"/>
  <c r="R7971" i="1"/>
  <c r="E7971" i="1"/>
  <c r="G7971" i="1"/>
  <c r="H7971" i="1"/>
  <c r="J7971" i="1"/>
  <c r="K7971" i="1"/>
  <c r="L7971" i="1"/>
  <c r="A7972" i="1"/>
  <c r="B7972" i="1"/>
  <c r="C7972" i="1"/>
  <c r="D7972" i="1"/>
  <c r="Q7972" i="1"/>
  <c r="R7972" i="1"/>
  <c r="E7972" i="1"/>
  <c r="G7972" i="1"/>
  <c r="H7972" i="1"/>
  <c r="J7972" i="1"/>
  <c r="K7972" i="1"/>
  <c r="L7972" i="1"/>
  <c r="A7973" i="1"/>
  <c r="B7973" i="1"/>
  <c r="C7973" i="1"/>
  <c r="D7973" i="1"/>
  <c r="Q7973" i="1"/>
  <c r="R7973" i="1"/>
  <c r="E7973" i="1"/>
  <c r="G7973" i="1"/>
  <c r="H7973" i="1"/>
  <c r="J7973" i="1"/>
  <c r="K7973" i="1"/>
  <c r="L7973" i="1"/>
  <c r="A7974" i="1"/>
  <c r="B7974" i="1"/>
  <c r="C7974" i="1"/>
  <c r="D7974" i="1"/>
  <c r="Q7974" i="1"/>
  <c r="R7974" i="1"/>
  <c r="E7974" i="1"/>
  <c r="G7974" i="1"/>
  <c r="H7974" i="1"/>
  <c r="J7974" i="1"/>
  <c r="K7974" i="1"/>
  <c r="L7974" i="1"/>
  <c r="A7975" i="1"/>
  <c r="B7975" i="1"/>
  <c r="C7975" i="1"/>
  <c r="D7975" i="1"/>
  <c r="Q7975" i="1"/>
  <c r="R7975" i="1"/>
  <c r="E7975" i="1"/>
  <c r="G7975" i="1"/>
  <c r="H7975" i="1"/>
  <c r="J7975" i="1"/>
  <c r="K7975" i="1"/>
  <c r="L7975" i="1"/>
  <c r="A7976" i="1"/>
  <c r="B7976" i="1"/>
  <c r="C7976" i="1"/>
  <c r="D7976" i="1"/>
  <c r="Q7976" i="1"/>
  <c r="R7976" i="1"/>
  <c r="E7976" i="1"/>
  <c r="G7976" i="1"/>
  <c r="H7976" i="1"/>
  <c r="J7976" i="1"/>
  <c r="K7976" i="1"/>
  <c r="L7976" i="1"/>
  <c r="A7977" i="1"/>
  <c r="B7977" i="1"/>
  <c r="C7977" i="1"/>
  <c r="D7977" i="1"/>
  <c r="Q7977" i="1"/>
  <c r="R7977" i="1"/>
  <c r="E7977" i="1"/>
  <c r="G7977" i="1"/>
  <c r="H7977" i="1"/>
  <c r="J7977" i="1"/>
  <c r="K7977" i="1"/>
  <c r="L7977" i="1"/>
  <c r="A7978" i="1"/>
  <c r="B7978" i="1"/>
  <c r="C7978" i="1"/>
  <c r="D7978" i="1"/>
  <c r="Q7978" i="1"/>
  <c r="R7978" i="1"/>
  <c r="E7978" i="1"/>
  <c r="G7978" i="1"/>
  <c r="H7978" i="1"/>
  <c r="J7978" i="1"/>
  <c r="K7978" i="1"/>
  <c r="L7978" i="1"/>
  <c r="A7979" i="1"/>
  <c r="B7979" i="1"/>
  <c r="C7979" i="1"/>
  <c r="D7979" i="1"/>
  <c r="Q7979" i="1"/>
  <c r="R7979" i="1"/>
  <c r="E7979" i="1"/>
  <c r="G7979" i="1"/>
  <c r="H7979" i="1"/>
  <c r="J7979" i="1"/>
  <c r="K7979" i="1"/>
  <c r="L7979" i="1"/>
  <c r="A7980" i="1"/>
  <c r="B7980" i="1"/>
  <c r="C7980" i="1"/>
  <c r="D7980" i="1"/>
  <c r="Q7980" i="1"/>
  <c r="R7980" i="1"/>
  <c r="E7980" i="1"/>
  <c r="G7980" i="1"/>
  <c r="H7980" i="1"/>
  <c r="J7980" i="1"/>
  <c r="K7980" i="1"/>
  <c r="L7980" i="1"/>
  <c r="A7981" i="1"/>
  <c r="B7981" i="1"/>
  <c r="C7981" i="1"/>
  <c r="D7981" i="1"/>
  <c r="Q7981" i="1"/>
  <c r="R7981" i="1"/>
  <c r="E7981" i="1"/>
  <c r="G7981" i="1"/>
  <c r="H7981" i="1"/>
  <c r="J7981" i="1"/>
  <c r="K7981" i="1"/>
  <c r="L7981" i="1"/>
  <c r="A7982" i="1"/>
  <c r="B7982" i="1"/>
  <c r="C7982" i="1"/>
  <c r="D7982" i="1"/>
  <c r="Q7982" i="1"/>
  <c r="R7982" i="1"/>
  <c r="E7982" i="1"/>
  <c r="G7982" i="1"/>
  <c r="H7982" i="1"/>
  <c r="J7982" i="1"/>
  <c r="K7982" i="1"/>
  <c r="L7982" i="1"/>
  <c r="A7983" i="1"/>
  <c r="B7983" i="1"/>
  <c r="C7983" i="1"/>
  <c r="D7983" i="1"/>
  <c r="Q7983" i="1"/>
  <c r="R7983" i="1"/>
  <c r="E7983" i="1"/>
  <c r="G7983" i="1"/>
  <c r="H7983" i="1"/>
  <c r="J7983" i="1"/>
  <c r="K7983" i="1"/>
  <c r="L7983" i="1"/>
  <c r="A7984" i="1"/>
  <c r="B7984" i="1"/>
  <c r="C7984" i="1"/>
  <c r="D7984" i="1"/>
  <c r="Q7984" i="1"/>
  <c r="R7984" i="1"/>
  <c r="E7984" i="1"/>
  <c r="G7984" i="1"/>
  <c r="H7984" i="1"/>
  <c r="J7984" i="1"/>
  <c r="K7984" i="1"/>
  <c r="L7984" i="1"/>
  <c r="A7985" i="1"/>
  <c r="B7985" i="1"/>
  <c r="C7985" i="1"/>
  <c r="D7985" i="1"/>
  <c r="Q7985" i="1"/>
  <c r="R7985" i="1"/>
  <c r="E7985" i="1"/>
  <c r="G7985" i="1"/>
  <c r="H7985" i="1"/>
  <c r="J7985" i="1"/>
  <c r="K7985" i="1"/>
  <c r="L7985" i="1"/>
  <c r="A7986" i="1"/>
  <c r="B7986" i="1"/>
  <c r="C7986" i="1"/>
  <c r="D7986" i="1"/>
  <c r="Q7986" i="1"/>
  <c r="R7986" i="1"/>
  <c r="E7986" i="1"/>
  <c r="G7986" i="1"/>
  <c r="H7986" i="1"/>
  <c r="J7986" i="1"/>
  <c r="K7986" i="1"/>
  <c r="L7986" i="1"/>
  <c r="A7987" i="1"/>
  <c r="B7987" i="1"/>
  <c r="C7987" i="1"/>
  <c r="D7987" i="1"/>
  <c r="Q7987" i="1"/>
  <c r="R7987" i="1"/>
  <c r="E7987" i="1"/>
  <c r="G7987" i="1"/>
  <c r="H7987" i="1"/>
  <c r="J7987" i="1"/>
  <c r="K7987" i="1"/>
  <c r="L7987" i="1"/>
  <c r="A7988" i="1"/>
  <c r="B7988" i="1"/>
  <c r="C7988" i="1"/>
  <c r="D7988" i="1"/>
  <c r="Q7988" i="1"/>
  <c r="R7988" i="1"/>
  <c r="E7988" i="1"/>
  <c r="G7988" i="1"/>
  <c r="H7988" i="1"/>
  <c r="J7988" i="1"/>
  <c r="K7988" i="1"/>
  <c r="L7988" i="1"/>
  <c r="A7989" i="1"/>
  <c r="B7989" i="1"/>
  <c r="C7989" i="1"/>
  <c r="D7989" i="1"/>
  <c r="Q7989" i="1"/>
  <c r="R7989" i="1"/>
  <c r="E7989" i="1"/>
  <c r="G7989" i="1"/>
  <c r="H7989" i="1"/>
  <c r="J7989" i="1"/>
  <c r="K7989" i="1"/>
  <c r="L7989" i="1"/>
  <c r="A7990" i="1"/>
  <c r="B7990" i="1"/>
  <c r="C7990" i="1"/>
  <c r="D7990" i="1"/>
  <c r="Q7990" i="1"/>
  <c r="R7990" i="1"/>
  <c r="E7990" i="1"/>
  <c r="G7990" i="1"/>
  <c r="H7990" i="1"/>
  <c r="J7990" i="1"/>
  <c r="K7990" i="1"/>
  <c r="L7990" i="1"/>
  <c r="A7991" i="1"/>
  <c r="B7991" i="1"/>
  <c r="C7991" i="1"/>
  <c r="D7991" i="1"/>
  <c r="Q7991" i="1"/>
  <c r="R7991" i="1"/>
  <c r="E7991" i="1"/>
  <c r="G7991" i="1"/>
  <c r="H7991" i="1"/>
  <c r="J7991" i="1"/>
  <c r="K7991" i="1"/>
  <c r="L7991" i="1"/>
  <c r="A7992" i="1"/>
  <c r="B7992" i="1"/>
  <c r="C7992" i="1"/>
  <c r="D7992" i="1"/>
  <c r="Q7992" i="1"/>
  <c r="R7992" i="1"/>
  <c r="E7992" i="1"/>
  <c r="G7992" i="1"/>
  <c r="H7992" i="1"/>
  <c r="J7992" i="1"/>
  <c r="K7992" i="1"/>
  <c r="L7992" i="1"/>
  <c r="A7993" i="1"/>
  <c r="B7993" i="1"/>
  <c r="C7993" i="1"/>
  <c r="D7993" i="1"/>
  <c r="Q7993" i="1"/>
  <c r="R7993" i="1"/>
  <c r="E7993" i="1"/>
  <c r="G7993" i="1"/>
  <c r="H7993" i="1"/>
  <c r="J7993" i="1"/>
  <c r="K7993" i="1"/>
  <c r="L7993" i="1"/>
  <c r="A7994" i="1"/>
  <c r="B7994" i="1"/>
  <c r="C7994" i="1"/>
  <c r="D7994" i="1"/>
  <c r="Q7994" i="1"/>
  <c r="R7994" i="1"/>
  <c r="E7994" i="1"/>
  <c r="G7994" i="1"/>
  <c r="H7994" i="1"/>
  <c r="J7994" i="1"/>
  <c r="K7994" i="1"/>
  <c r="L7994" i="1"/>
  <c r="A7995" i="1"/>
  <c r="B7995" i="1"/>
  <c r="C7995" i="1"/>
  <c r="D7995" i="1"/>
  <c r="Q7995" i="1"/>
  <c r="R7995" i="1"/>
  <c r="E7995" i="1"/>
  <c r="G7995" i="1"/>
  <c r="H7995" i="1"/>
  <c r="J7995" i="1"/>
  <c r="K7995" i="1"/>
  <c r="L7995" i="1"/>
  <c r="A7996" i="1"/>
  <c r="B7996" i="1"/>
  <c r="C7996" i="1"/>
  <c r="D7996" i="1"/>
  <c r="Q7996" i="1"/>
  <c r="R7996" i="1"/>
  <c r="E7996" i="1"/>
  <c r="G7996" i="1"/>
  <c r="H7996" i="1"/>
  <c r="J7996" i="1"/>
  <c r="K7996" i="1"/>
  <c r="L7996" i="1"/>
  <c r="A7997" i="1"/>
  <c r="B7997" i="1"/>
  <c r="C7997" i="1"/>
  <c r="D7997" i="1"/>
  <c r="Q7997" i="1"/>
  <c r="R7997" i="1"/>
  <c r="E7997" i="1"/>
  <c r="G7997" i="1"/>
  <c r="H7997" i="1"/>
  <c r="J7997" i="1"/>
  <c r="K7997" i="1"/>
  <c r="L7997" i="1"/>
  <c r="A7998" i="1"/>
  <c r="B7998" i="1"/>
  <c r="C7998" i="1"/>
  <c r="D7998" i="1"/>
  <c r="Q7998" i="1"/>
  <c r="R7998" i="1"/>
  <c r="E7998" i="1"/>
  <c r="G7998" i="1"/>
  <c r="H7998" i="1"/>
  <c r="J7998" i="1"/>
  <c r="K7998" i="1"/>
  <c r="L7998" i="1"/>
  <c r="A7999" i="1"/>
  <c r="B7999" i="1"/>
  <c r="C7999" i="1"/>
  <c r="D7999" i="1"/>
  <c r="Q7999" i="1"/>
  <c r="R7999" i="1"/>
  <c r="E7999" i="1"/>
  <c r="G7999" i="1"/>
  <c r="H7999" i="1"/>
  <c r="J7999" i="1"/>
  <c r="K7999" i="1"/>
  <c r="L7999" i="1"/>
  <c r="A8000" i="1"/>
  <c r="B8000" i="1"/>
  <c r="C8000" i="1"/>
  <c r="D8000" i="1"/>
  <c r="Q8000" i="1"/>
  <c r="R8000" i="1"/>
  <c r="E8000" i="1"/>
  <c r="G8000" i="1"/>
  <c r="H8000" i="1"/>
  <c r="J8000" i="1"/>
  <c r="K8000" i="1"/>
  <c r="L8000" i="1"/>
  <c r="A8001" i="1"/>
  <c r="B8001" i="1"/>
  <c r="C8001" i="1"/>
  <c r="D8001" i="1"/>
  <c r="Q8001" i="1"/>
  <c r="R8001" i="1"/>
  <c r="E8001" i="1"/>
  <c r="G8001" i="1"/>
  <c r="H8001" i="1"/>
  <c r="J8001" i="1"/>
  <c r="K8001" i="1"/>
  <c r="L8001" i="1"/>
  <c r="A8002" i="1"/>
  <c r="B8002" i="1"/>
  <c r="C8002" i="1"/>
  <c r="D8002" i="1"/>
  <c r="Q8002" i="1"/>
  <c r="R8002" i="1"/>
  <c r="E8002" i="1"/>
  <c r="G8002" i="1"/>
  <c r="H8002" i="1"/>
  <c r="J8002" i="1"/>
  <c r="K8002" i="1"/>
  <c r="L8002" i="1"/>
  <c r="A8003" i="1"/>
  <c r="B8003" i="1"/>
  <c r="C8003" i="1"/>
  <c r="D8003" i="1"/>
  <c r="Q8003" i="1"/>
  <c r="R8003" i="1"/>
  <c r="E8003" i="1"/>
  <c r="G8003" i="1"/>
  <c r="H8003" i="1"/>
  <c r="J8003" i="1"/>
  <c r="K8003" i="1"/>
  <c r="L8003" i="1"/>
  <c r="A8004" i="1"/>
  <c r="B8004" i="1"/>
  <c r="C8004" i="1"/>
  <c r="D8004" i="1"/>
  <c r="Q8004" i="1"/>
  <c r="R8004" i="1"/>
  <c r="E8004" i="1"/>
  <c r="G8004" i="1"/>
  <c r="H8004" i="1"/>
  <c r="J8004" i="1"/>
  <c r="K8004" i="1"/>
  <c r="L8004" i="1"/>
  <c r="A8384" i="1"/>
  <c r="B8384" i="1"/>
  <c r="C8384" i="1"/>
  <c r="D8384" i="1"/>
  <c r="Q8384" i="1"/>
  <c r="R8384" i="1"/>
  <c r="E8384" i="1"/>
  <c r="G8384" i="1"/>
  <c r="H8384" i="1"/>
  <c r="J8384" i="1"/>
  <c r="K8384" i="1"/>
  <c r="L8384" i="1"/>
  <c r="A8005" i="1"/>
  <c r="B8005" i="1"/>
  <c r="C8005" i="1"/>
  <c r="D8005" i="1"/>
  <c r="Q8005" i="1"/>
  <c r="R8005" i="1"/>
  <c r="E8005" i="1"/>
  <c r="G8005" i="1"/>
  <c r="H8005" i="1"/>
  <c r="J8005" i="1"/>
  <c r="K8005" i="1"/>
  <c r="L8005" i="1"/>
  <c r="A8385" i="1"/>
  <c r="B8385" i="1"/>
  <c r="C8385" i="1"/>
  <c r="D8385" i="1"/>
  <c r="Q8385" i="1"/>
  <c r="R8385" i="1"/>
  <c r="E8385" i="1"/>
  <c r="G8385" i="1"/>
  <c r="H8385" i="1"/>
  <c r="J8385" i="1"/>
  <c r="K8385" i="1"/>
  <c r="L8385" i="1"/>
  <c r="A8386" i="1"/>
  <c r="B8386" i="1"/>
  <c r="C8386" i="1"/>
  <c r="D8386" i="1"/>
  <c r="Q8386" i="1"/>
  <c r="R8386" i="1"/>
  <c r="E8386" i="1"/>
  <c r="G8386" i="1"/>
  <c r="H8386" i="1"/>
  <c r="J8386" i="1"/>
  <c r="K8386" i="1"/>
  <c r="L8386" i="1"/>
  <c r="A8006" i="1"/>
  <c r="B8006" i="1"/>
  <c r="C8006" i="1"/>
  <c r="D8006" i="1"/>
  <c r="Q8006" i="1"/>
  <c r="R8006" i="1"/>
  <c r="E8006" i="1"/>
  <c r="G8006" i="1"/>
  <c r="H8006" i="1"/>
  <c r="J8006" i="1"/>
  <c r="K8006" i="1"/>
  <c r="L8006" i="1"/>
  <c r="A8387" i="1"/>
  <c r="B8387" i="1"/>
  <c r="C8387" i="1"/>
  <c r="D8387" i="1"/>
  <c r="Q8387" i="1"/>
  <c r="R8387" i="1"/>
  <c r="E8387" i="1"/>
  <c r="G8387" i="1"/>
  <c r="H8387" i="1"/>
  <c r="J8387" i="1"/>
  <c r="K8387" i="1"/>
  <c r="L8387" i="1"/>
  <c r="A8007" i="1"/>
  <c r="B8007" i="1"/>
  <c r="C8007" i="1"/>
  <c r="D8007" i="1"/>
  <c r="Q8007" i="1"/>
  <c r="R8007" i="1"/>
  <c r="E8007" i="1"/>
  <c r="G8007" i="1"/>
  <c r="H8007" i="1"/>
  <c r="J8007" i="1"/>
  <c r="K8007" i="1"/>
  <c r="L8007" i="1"/>
  <c r="A8388" i="1"/>
  <c r="B8388" i="1"/>
  <c r="C8388" i="1"/>
  <c r="D8388" i="1"/>
  <c r="Q8388" i="1"/>
  <c r="R8388" i="1"/>
  <c r="E8388" i="1"/>
  <c r="G8388" i="1"/>
  <c r="H8388" i="1"/>
  <c r="J8388" i="1"/>
  <c r="K8388" i="1"/>
  <c r="L8388" i="1"/>
  <c r="A8008" i="1"/>
  <c r="B8008" i="1"/>
  <c r="C8008" i="1"/>
  <c r="D8008" i="1"/>
  <c r="Q8008" i="1"/>
  <c r="R8008" i="1"/>
  <c r="E8008" i="1"/>
  <c r="G8008" i="1"/>
  <c r="H8008" i="1"/>
  <c r="J8008" i="1"/>
  <c r="K8008" i="1"/>
  <c r="L8008" i="1"/>
  <c r="A8389" i="1"/>
  <c r="B8389" i="1"/>
  <c r="C8389" i="1"/>
  <c r="D8389" i="1"/>
  <c r="Q8389" i="1"/>
  <c r="R8389" i="1"/>
  <c r="E8389" i="1"/>
  <c r="G8389" i="1"/>
  <c r="H8389" i="1"/>
  <c r="J8389" i="1"/>
  <c r="K8389" i="1"/>
  <c r="L8389" i="1"/>
  <c r="A8390" i="1"/>
  <c r="B8390" i="1"/>
  <c r="C8390" i="1"/>
  <c r="D8390" i="1"/>
  <c r="Q8390" i="1"/>
  <c r="R8390" i="1"/>
  <c r="E8390" i="1"/>
  <c r="G8390" i="1"/>
  <c r="H8390" i="1"/>
  <c r="J8390" i="1"/>
  <c r="K8390" i="1"/>
  <c r="L8390" i="1"/>
  <c r="A8009" i="1"/>
  <c r="B8009" i="1"/>
  <c r="C8009" i="1"/>
  <c r="D8009" i="1"/>
  <c r="Q8009" i="1"/>
  <c r="R8009" i="1"/>
  <c r="E8009" i="1"/>
  <c r="G8009" i="1"/>
  <c r="H8009" i="1"/>
  <c r="J8009" i="1"/>
  <c r="K8009" i="1"/>
  <c r="L8009" i="1"/>
  <c r="A8010" i="1"/>
  <c r="B8010" i="1"/>
  <c r="C8010" i="1"/>
  <c r="D8010" i="1"/>
  <c r="Q8010" i="1"/>
  <c r="R8010" i="1"/>
  <c r="E8010" i="1"/>
  <c r="G8010" i="1"/>
  <c r="H8010" i="1"/>
  <c r="J8010" i="1"/>
  <c r="K8010" i="1"/>
  <c r="L8010" i="1"/>
  <c r="A8011" i="1"/>
  <c r="B8011" i="1"/>
  <c r="C8011" i="1"/>
  <c r="D8011" i="1"/>
  <c r="Q8011" i="1"/>
  <c r="R8011" i="1"/>
  <c r="E8011" i="1"/>
  <c r="G8011" i="1"/>
  <c r="H8011" i="1"/>
  <c r="J8011" i="1"/>
  <c r="K8011" i="1"/>
  <c r="L8011" i="1"/>
  <c r="A8391" i="1"/>
  <c r="B8391" i="1"/>
  <c r="C8391" i="1"/>
  <c r="D8391" i="1"/>
  <c r="Q8391" i="1"/>
  <c r="R8391" i="1"/>
  <c r="E8391" i="1"/>
  <c r="G8391" i="1"/>
  <c r="H8391" i="1"/>
  <c r="J8391" i="1"/>
  <c r="K8391" i="1"/>
  <c r="L8391" i="1"/>
  <c r="A8012" i="1"/>
  <c r="B8012" i="1"/>
  <c r="C8012" i="1"/>
  <c r="D8012" i="1"/>
  <c r="Q8012" i="1"/>
  <c r="R8012" i="1"/>
  <c r="E8012" i="1"/>
  <c r="G8012" i="1"/>
  <c r="H8012" i="1"/>
  <c r="J8012" i="1"/>
  <c r="K8012" i="1"/>
  <c r="L8012" i="1"/>
  <c r="A8013" i="1"/>
  <c r="B8013" i="1"/>
  <c r="C8013" i="1"/>
  <c r="D8013" i="1"/>
  <c r="Q8013" i="1"/>
  <c r="R8013" i="1"/>
  <c r="E8013" i="1"/>
  <c r="G8013" i="1"/>
  <c r="H8013" i="1"/>
  <c r="J8013" i="1"/>
  <c r="K8013" i="1"/>
  <c r="L8013" i="1"/>
  <c r="A8014" i="1"/>
  <c r="B8014" i="1"/>
  <c r="C8014" i="1"/>
  <c r="D8014" i="1"/>
  <c r="Q8014" i="1"/>
  <c r="R8014" i="1"/>
  <c r="E8014" i="1"/>
  <c r="G8014" i="1"/>
  <c r="H8014" i="1"/>
  <c r="J8014" i="1"/>
  <c r="K8014" i="1"/>
  <c r="L8014" i="1"/>
  <c r="A8015" i="1"/>
  <c r="B8015" i="1"/>
  <c r="C8015" i="1"/>
  <c r="D8015" i="1"/>
  <c r="Q8015" i="1"/>
  <c r="R8015" i="1"/>
  <c r="E8015" i="1"/>
  <c r="G8015" i="1"/>
  <c r="H8015" i="1"/>
  <c r="J8015" i="1"/>
  <c r="K8015" i="1"/>
  <c r="L8015" i="1"/>
  <c r="A8016" i="1"/>
  <c r="B8016" i="1"/>
  <c r="C8016" i="1"/>
  <c r="D8016" i="1"/>
  <c r="Q8016" i="1"/>
  <c r="R8016" i="1"/>
  <c r="E8016" i="1"/>
  <c r="G8016" i="1"/>
  <c r="H8016" i="1"/>
  <c r="J8016" i="1"/>
  <c r="K8016" i="1"/>
  <c r="L8016" i="1"/>
  <c r="A8017" i="1"/>
  <c r="B8017" i="1"/>
  <c r="C8017" i="1"/>
  <c r="D8017" i="1"/>
  <c r="Q8017" i="1"/>
  <c r="R8017" i="1"/>
  <c r="E8017" i="1"/>
  <c r="G8017" i="1"/>
  <c r="H8017" i="1"/>
  <c r="J8017" i="1"/>
  <c r="K8017" i="1"/>
  <c r="L8017" i="1"/>
  <c r="A8018" i="1"/>
  <c r="B8018" i="1"/>
  <c r="C8018" i="1"/>
  <c r="D8018" i="1"/>
  <c r="Q8018" i="1"/>
  <c r="R8018" i="1"/>
  <c r="E8018" i="1"/>
  <c r="G8018" i="1"/>
  <c r="H8018" i="1"/>
  <c r="J8018" i="1"/>
  <c r="K8018" i="1"/>
  <c r="L8018" i="1"/>
  <c r="A8019" i="1"/>
  <c r="B8019" i="1"/>
  <c r="C8019" i="1"/>
  <c r="D8019" i="1"/>
  <c r="Q8019" i="1"/>
  <c r="R8019" i="1"/>
  <c r="E8019" i="1"/>
  <c r="G8019" i="1"/>
  <c r="H8019" i="1"/>
  <c r="J8019" i="1"/>
  <c r="K8019" i="1"/>
  <c r="L8019" i="1"/>
  <c r="A8020" i="1"/>
  <c r="B8020" i="1"/>
  <c r="C8020" i="1"/>
  <c r="D8020" i="1"/>
  <c r="Q8020" i="1"/>
  <c r="R8020" i="1"/>
  <c r="E8020" i="1"/>
  <c r="G8020" i="1"/>
  <c r="H8020" i="1"/>
  <c r="J8020" i="1"/>
  <c r="K8020" i="1"/>
  <c r="L8020" i="1"/>
  <c r="A8021" i="1"/>
  <c r="B8021" i="1"/>
  <c r="C8021" i="1"/>
  <c r="D8021" i="1"/>
  <c r="Q8021" i="1"/>
  <c r="R8021" i="1"/>
  <c r="E8021" i="1"/>
  <c r="G8021" i="1"/>
  <c r="H8021" i="1"/>
  <c r="J8021" i="1"/>
  <c r="K8021" i="1"/>
  <c r="L8021" i="1"/>
  <c r="A8022" i="1"/>
  <c r="B8022" i="1"/>
  <c r="C8022" i="1"/>
  <c r="D8022" i="1"/>
  <c r="Q8022" i="1"/>
  <c r="R8022" i="1"/>
  <c r="E8022" i="1"/>
  <c r="G8022" i="1"/>
  <c r="H8022" i="1"/>
  <c r="J8022" i="1"/>
  <c r="K8022" i="1"/>
  <c r="L8022" i="1"/>
  <c r="A8023" i="1"/>
  <c r="B8023" i="1"/>
  <c r="C8023" i="1"/>
  <c r="D8023" i="1"/>
  <c r="Q8023" i="1"/>
  <c r="R8023" i="1"/>
  <c r="E8023" i="1"/>
  <c r="G8023" i="1"/>
  <c r="H8023" i="1"/>
  <c r="J8023" i="1"/>
  <c r="K8023" i="1"/>
  <c r="L8023" i="1"/>
  <c r="A8024" i="1"/>
  <c r="B8024" i="1"/>
  <c r="C8024" i="1"/>
  <c r="D8024" i="1"/>
  <c r="Q8024" i="1"/>
  <c r="R8024" i="1"/>
  <c r="E8024" i="1"/>
  <c r="G8024" i="1"/>
  <c r="H8024" i="1"/>
  <c r="J8024" i="1"/>
  <c r="K8024" i="1"/>
  <c r="L8024" i="1"/>
  <c r="A8025" i="1"/>
  <c r="B8025" i="1"/>
  <c r="C8025" i="1"/>
  <c r="D8025" i="1"/>
  <c r="Q8025" i="1"/>
  <c r="R8025" i="1"/>
  <c r="E8025" i="1"/>
  <c r="G8025" i="1"/>
  <c r="H8025" i="1"/>
  <c r="J8025" i="1"/>
  <c r="K8025" i="1"/>
  <c r="L8025" i="1"/>
  <c r="A8026" i="1"/>
  <c r="B8026" i="1"/>
  <c r="C8026" i="1"/>
  <c r="D8026" i="1"/>
  <c r="Q8026" i="1"/>
  <c r="R8026" i="1"/>
  <c r="E8026" i="1"/>
  <c r="G8026" i="1"/>
  <c r="H8026" i="1"/>
  <c r="J8026" i="1"/>
  <c r="K8026" i="1"/>
  <c r="L8026" i="1"/>
  <c r="A8027" i="1"/>
  <c r="B8027" i="1"/>
  <c r="C8027" i="1"/>
  <c r="D8027" i="1"/>
  <c r="Q8027" i="1"/>
  <c r="R8027" i="1"/>
  <c r="E8027" i="1"/>
  <c r="G8027" i="1"/>
  <c r="H8027" i="1"/>
  <c r="J8027" i="1"/>
  <c r="K8027" i="1"/>
  <c r="L8027" i="1"/>
  <c r="A8028" i="1"/>
  <c r="B8028" i="1"/>
  <c r="C8028" i="1"/>
  <c r="D8028" i="1"/>
  <c r="Q8028" i="1"/>
  <c r="R8028" i="1"/>
  <c r="E8028" i="1"/>
  <c r="G8028" i="1"/>
  <c r="H8028" i="1"/>
  <c r="J8028" i="1"/>
  <c r="K8028" i="1"/>
  <c r="L8028" i="1"/>
  <c r="A8029" i="1"/>
  <c r="B8029" i="1"/>
  <c r="C8029" i="1"/>
  <c r="D8029" i="1"/>
  <c r="Q8029" i="1"/>
  <c r="R8029" i="1"/>
  <c r="E8029" i="1"/>
  <c r="G8029" i="1"/>
  <c r="H8029" i="1"/>
  <c r="J8029" i="1"/>
  <c r="K8029" i="1"/>
  <c r="L8029" i="1"/>
  <c r="A8030" i="1"/>
  <c r="B8030" i="1"/>
  <c r="C8030" i="1"/>
  <c r="D8030" i="1"/>
  <c r="Q8030" i="1"/>
  <c r="R8030" i="1"/>
  <c r="E8030" i="1"/>
  <c r="G8030" i="1"/>
  <c r="H8030" i="1"/>
  <c r="J8030" i="1"/>
  <c r="K8030" i="1"/>
  <c r="L8030" i="1"/>
  <c r="A8031" i="1"/>
  <c r="B8031" i="1"/>
  <c r="C8031" i="1"/>
  <c r="D8031" i="1"/>
  <c r="Q8031" i="1"/>
  <c r="R8031" i="1"/>
  <c r="E8031" i="1"/>
  <c r="G8031" i="1"/>
  <c r="H8031" i="1"/>
  <c r="J8031" i="1"/>
  <c r="K8031" i="1"/>
  <c r="L8031" i="1"/>
  <c r="A8032" i="1"/>
  <c r="B8032" i="1"/>
  <c r="C8032" i="1"/>
  <c r="D8032" i="1"/>
  <c r="Q8032" i="1"/>
  <c r="R8032" i="1"/>
  <c r="E8032" i="1"/>
  <c r="G8032" i="1"/>
  <c r="H8032" i="1"/>
  <c r="J8032" i="1"/>
  <c r="K8032" i="1"/>
  <c r="L8032" i="1"/>
  <c r="A8033" i="1"/>
  <c r="B8033" i="1"/>
  <c r="C8033" i="1"/>
  <c r="D8033" i="1"/>
  <c r="Q8033" i="1"/>
  <c r="R8033" i="1"/>
  <c r="E8033" i="1"/>
  <c r="G8033" i="1"/>
  <c r="H8033" i="1"/>
  <c r="J8033" i="1"/>
  <c r="K8033" i="1"/>
  <c r="L8033" i="1"/>
  <c r="A8034" i="1"/>
  <c r="B8034" i="1"/>
  <c r="C8034" i="1"/>
  <c r="D8034" i="1"/>
  <c r="Q8034" i="1"/>
  <c r="R8034" i="1"/>
  <c r="E8034" i="1"/>
  <c r="G8034" i="1"/>
  <c r="H8034" i="1"/>
  <c r="J8034" i="1"/>
  <c r="K8034" i="1"/>
  <c r="L8034" i="1"/>
  <c r="A8035" i="1"/>
  <c r="B8035" i="1"/>
  <c r="C8035" i="1"/>
  <c r="D8035" i="1"/>
  <c r="Q8035" i="1"/>
  <c r="R8035" i="1"/>
  <c r="E8035" i="1"/>
  <c r="G8035" i="1"/>
  <c r="H8035" i="1"/>
  <c r="J8035" i="1"/>
  <c r="K8035" i="1"/>
  <c r="L8035" i="1"/>
  <c r="A8036" i="1"/>
  <c r="B8036" i="1"/>
  <c r="C8036" i="1"/>
  <c r="D8036" i="1"/>
  <c r="Q8036" i="1"/>
  <c r="R8036" i="1"/>
  <c r="E8036" i="1"/>
  <c r="G8036" i="1"/>
  <c r="H8036" i="1"/>
  <c r="J8036" i="1"/>
  <c r="K8036" i="1"/>
  <c r="L8036" i="1"/>
  <c r="A8037" i="1"/>
  <c r="B8037" i="1"/>
  <c r="C8037" i="1"/>
  <c r="D8037" i="1"/>
  <c r="Q8037" i="1"/>
  <c r="R8037" i="1"/>
  <c r="E8037" i="1"/>
  <c r="G8037" i="1"/>
  <c r="H8037" i="1"/>
  <c r="J8037" i="1"/>
  <c r="K8037" i="1"/>
  <c r="L8037" i="1"/>
  <c r="A8038" i="1"/>
  <c r="B8038" i="1"/>
  <c r="C8038" i="1"/>
  <c r="D8038" i="1"/>
  <c r="Q8038" i="1"/>
  <c r="R8038" i="1"/>
  <c r="E8038" i="1"/>
  <c r="G8038" i="1"/>
  <c r="H8038" i="1"/>
  <c r="J8038" i="1"/>
  <c r="K8038" i="1"/>
  <c r="L8038" i="1"/>
  <c r="A8039" i="1"/>
  <c r="B8039" i="1"/>
  <c r="C8039" i="1"/>
  <c r="D8039" i="1"/>
  <c r="Q8039" i="1"/>
  <c r="R8039" i="1"/>
  <c r="E8039" i="1"/>
  <c r="G8039" i="1"/>
  <c r="H8039" i="1"/>
  <c r="J8039" i="1"/>
  <c r="K8039" i="1"/>
  <c r="L8039" i="1"/>
  <c r="A8040" i="1"/>
  <c r="B8040" i="1"/>
  <c r="C8040" i="1"/>
  <c r="D8040" i="1"/>
  <c r="Q8040" i="1"/>
  <c r="R8040" i="1"/>
  <c r="E8040" i="1"/>
  <c r="G8040" i="1"/>
  <c r="H8040" i="1"/>
  <c r="J8040" i="1"/>
  <c r="K8040" i="1"/>
  <c r="L8040" i="1"/>
  <c r="A8041" i="1"/>
  <c r="B8041" i="1"/>
  <c r="C8041" i="1"/>
  <c r="D8041" i="1"/>
  <c r="Q8041" i="1"/>
  <c r="R8041" i="1"/>
  <c r="E8041" i="1"/>
  <c r="G8041" i="1"/>
  <c r="H8041" i="1"/>
  <c r="J8041" i="1"/>
  <c r="K8041" i="1"/>
  <c r="L8041" i="1"/>
  <c r="A7292" i="1"/>
  <c r="B7292" i="1"/>
  <c r="C7292" i="1"/>
  <c r="D7292" i="1"/>
  <c r="Q7292" i="1"/>
  <c r="R7292" i="1"/>
  <c r="E7292" i="1"/>
  <c r="G7292" i="1"/>
  <c r="H7292" i="1"/>
  <c r="J7292" i="1"/>
  <c r="K7292" i="1"/>
  <c r="L7292" i="1"/>
  <c r="A8042" i="1"/>
  <c r="B8042" i="1"/>
  <c r="C8042" i="1"/>
  <c r="D8042" i="1"/>
  <c r="Q8042" i="1"/>
  <c r="R8042" i="1"/>
  <c r="E8042" i="1"/>
  <c r="G8042" i="1"/>
  <c r="H8042" i="1"/>
  <c r="J8042" i="1"/>
  <c r="K8042" i="1"/>
  <c r="L8042" i="1"/>
  <c r="A8043" i="1"/>
  <c r="B8043" i="1"/>
  <c r="C8043" i="1"/>
  <c r="D8043" i="1"/>
  <c r="Q8043" i="1"/>
  <c r="R8043" i="1"/>
  <c r="E8043" i="1"/>
  <c r="G8043" i="1"/>
  <c r="H8043" i="1"/>
  <c r="J8043" i="1"/>
  <c r="K8043" i="1"/>
  <c r="L8043" i="1"/>
  <c r="A8044" i="1"/>
  <c r="B8044" i="1"/>
  <c r="C8044" i="1"/>
  <c r="D8044" i="1"/>
  <c r="Q8044" i="1"/>
  <c r="R8044" i="1"/>
  <c r="E8044" i="1"/>
  <c r="G8044" i="1"/>
  <c r="H8044" i="1"/>
  <c r="J8044" i="1"/>
  <c r="K8044" i="1"/>
  <c r="L8044" i="1"/>
  <c r="A8045" i="1"/>
  <c r="B8045" i="1"/>
  <c r="C8045" i="1"/>
  <c r="D8045" i="1"/>
  <c r="Q8045" i="1"/>
  <c r="R8045" i="1"/>
  <c r="E8045" i="1"/>
  <c r="G8045" i="1"/>
  <c r="H8045" i="1"/>
  <c r="J8045" i="1"/>
  <c r="K8045" i="1"/>
  <c r="L8045" i="1"/>
  <c r="A8046" i="1"/>
  <c r="B8046" i="1"/>
  <c r="C8046" i="1"/>
  <c r="D8046" i="1"/>
  <c r="Q8046" i="1"/>
  <c r="R8046" i="1"/>
  <c r="E8046" i="1"/>
  <c r="G8046" i="1"/>
  <c r="H8046" i="1"/>
  <c r="J8046" i="1"/>
  <c r="K8046" i="1"/>
  <c r="L8046" i="1"/>
  <c r="A8047" i="1"/>
  <c r="B8047" i="1"/>
  <c r="C8047" i="1"/>
  <c r="D8047" i="1"/>
  <c r="Q8047" i="1"/>
  <c r="R8047" i="1"/>
  <c r="E8047" i="1"/>
  <c r="G8047" i="1"/>
  <c r="H8047" i="1"/>
  <c r="J8047" i="1"/>
  <c r="K8047" i="1"/>
  <c r="L8047" i="1"/>
  <c r="A8048" i="1"/>
  <c r="B8048" i="1"/>
  <c r="C8048" i="1"/>
  <c r="D8048" i="1"/>
  <c r="Q8048" i="1"/>
  <c r="R8048" i="1"/>
  <c r="E8048" i="1"/>
  <c r="G8048" i="1"/>
  <c r="H8048" i="1"/>
  <c r="J8048" i="1"/>
  <c r="K8048" i="1"/>
  <c r="L8048" i="1"/>
  <c r="A8049" i="1"/>
  <c r="B8049" i="1"/>
  <c r="C8049" i="1"/>
  <c r="D8049" i="1"/>
  <c r="Q8049" i="1"/>
  <c r="R8049" i="1"/>
  <c r="E8049" i="1"/>
  <c r="G8049" i="1"/>
  <c r="H8049" i="1"/>
  <c r="J8049" i="1"/>
  <c r="K8049" i="1"/>
  <c r="L8049" i="1"/>
  <c r="A8050" i="1"/>
  <c r="B8050" i="1"/>
  <c r="C8050" i="1"/>
  <c r="D8050" i="1"/>
  <c r="Q8050" i="1"/>
  <c r="R8050" i="1"/>
  <c r="E8050" i="1"/>
  <c r="G8050" i="1"/>
  <c r="H8050" i="1"/>
  <c r="J8050" i="1"/>
  <c r="K8050" i="1"/>
  <c r="L8050" i="1"/>
  <c r="A8051" i="1"/>
  <c r="B8051" i="1"/>
  <c r="C8051" i="1"/>
  <c r="D8051" i="1"/>
  <c r="Q8051" i="1"/>
  <c r="R8051" i="1"/>
  <c r="E8051" i="1"/>
  <c r="G8051" i="1"/>
  <c r="H8051" i="1"/>
  <c r="J8051" i="1"/>
  <c r="K8051" i="1"/>
  <c r="L8051" i="1"/>
  <c r="A8052" i="1"/>
  <c r="B8052" i="1"/>
  <c r="C8052" i="1"/>
  <c r="D8052" i="1"/>
  <c r="Q8052" i="1"/>
  <c r="R8052" i="1"/>
  <c r="E8052" i="1"/>
  <c r="G8052" i="1"/>
  <c r="H8052" i="1"/>
  <c r="J8052" i="1"/>
  <c r="K8052" i="1"/>
  <c r="L8052" i="1"/>
  <c r="A8053" i="1"/>
  <c r="B8053" i="1"/>
  <c r="C8053" i="1"/>
  <c r="D8053" i="1"/>
  <c r="Q8053" i="1"/>
  <c r="R8053" i="1"/>
  <c r="E8053" i="1"/>
  <c r="G8053" i="1"/>
  <c r="H8053" i="1"/>
  <c r="J8053" i="1"/>
  <c r="K8053" i="1"/>
  <c r="L8053" i="1"/>
  <c r="A8054" i="1"/>
  <c r="B8054" i="1"/>
  <c r="C8054" i="1"/>
  <c r="D8054" i="1"/>
  <c r="Q8054" i="1"/>
  <c r="R8054" i="1"/>
  <c r="E8054" i="1"/>
  <c r="G8054" i="1"/>
  <c r="H8054" i="1"/>
  <c r="J8054" i="1"/>
  <c r="K8054" i="1"/>
  <c r="L8054" i="1"/>
  <c r="A8055" i="1"/>
  <c r="B8055" i="1"/>
  <c r="C8055" i="1"/>
  <c r="D8055" i="1"/>
  <c r="Q8055" i="1"/>
  <c r="R8055" i="1"/>
  <c r="E8055" i="1"/>
  <c r="G8055" i="1"/>
  <c r="H8055" i="1"/>
  <c r="J8055" i="1"/>
  <c r="K8055" i="1"/>
  <c r="L8055" i="1"/>
  <c r="A8056" i="1"/>
  <c r="B8056" i="1"/>
  <c r="C8056" i="1"/>
  <c r="D8056" i="1"/>
  <c r="Q8056" i="1"/>
  <c r="R8056" i="1"/>
  <c r="E8056" i="1"/>
  <c r="G8056" i="1"/>
  <c r="H8056" i="1"/>
  <c r="J8056" i="1"/>
  <c r="K8056" i="1"/>
  <c r="L8056" i="1"/>
  <c r="A8057" i="1"/>
  <c r="B8057" i="1"/>
  <c r="C8057" i="1"/>
  <c r="D8057" i="1"/>
  <c r="Q8057" i="1"/>
  <c r="R8057" i="1"/>
  <c r="E8057" i="1"/>
  <c r="G8057" i="1"/>
  <c r="H8057" i="1"/>
  <c r="J8057" i="1"/>
  <c r="K8057" i="1"/>
  <c r="L8057" i="1"/>
  <c r="A8058" i="1"/>
  <c r="B8058" i="1"/>
  <c r="C8058" i="1"/>
  <c r="D8058" i="1"/>
  <c r="Q8058" i="1"/>
  <c r="R8058" i="1"/>
  <c r="E8058" i="1"/>
  <c r="G8058" i="1"/>
  <c r="H8058" i="1"/>
  <c r="J8058" i="1"/>
  <c r="K8058" i="1"/>
  <c r="L8058" i="1"/>
  <c r="A8059" i="1"/>
  <c r="B8059" i="1"/>
  <c r="C8059" i="1"/>
  <c r="D8059" i="1"/>
  <c r="Q8059" i="1"/>
  <c r="R8059" i="1"/>
  <c r="E8059" i="1"/>
  <c r="G8059" i="1"/>
  <c r="H8059" i="1"/>
  <c r="J8059" i="1"/>
  <c r="K8059" i="1"/>
  <c r="L8059" i="1"/>
  <c r="A8060" i="1"/>
  <c r="B8060" i="1"/>
  <c r="C8060" i="1"/>
  <c r="D8060" i="1"/>
  <c r="Q8060" i="1"/>
  <c r="R8060" i="1"/>
  <c r="E8060" i="1"/>
  <c r="G8060" i="1"/>
  <c r="H8060" i="1"/>
  <c r="J8060" i="1"/>
  <c r="K8060" i="1"/>
  <c r="L8060" i="1"/>
  <c r="A8061" i="1"/>
  <c r="B8061" i="1"/>
  <c r="C8061" i="1"/>
  <c r="D8061" i="1"/>
  <c r="Q8061" i="1"/>
  <c r="R8061" i="1"/>
  <c r="E8061" i="1"/>
  <c r="G8061" i="1"/>
  <c r="H8061" i="1"/>
  <c r="J8061" i="1"/>
  <c r="K8061" i="1"/>
  <c r="L8061" i="1"/>
  <c r="A8062" i="1"/>
  <c r="B8062" i="1"/>
  <c r="C8062" i="1"/>
  <c r="D8062" i="1"/>
  <c r="Q8062" i="1"/>
  <c r="R8062" i="1"/>
  <c r="E8062" i="1"/>
  <c r="G8062" i="1"/>
  <c r="H8062" i="1"/>
  <c r="J8062" i="1"/>
  <c r="K8062" i="1"/>
  <c r="L8062" i="1"/>
  <c r="A8063" i="1"/>
  <c r="B8063" i="1"/>
  <c r="C8063" i="1"/>
  <c r="D8063" i="1"/>
  <c r="Q8063" i="1"/>
  <c r="R8063" i="1"/>
  <c r="E8063" i="1"/>
  <c r="G8063" i="1"/>
  <c r="H8063" i="1"/>
  <c r="J8063" i="1"/>
  <c r="K8063" i="1"/>
  <c r="L8063" i="1"/>
  <c r="A8064" i="1"/>
  <c r="B8064" i="1"/>
  <c r="C8064" i="1"/>
  <c r="D8064" i="1"/>
  <c r="Q8064" i="1"/>
  <c r="R8064" i="1"/>
  <c r="E8064" i="1"/>
  <c r="G8064" i="1"/>
  <c r="H8064" i="1"/>
  <c r="J8064" i="1"/>
  <c r="K8064" i="1"/>
  <c r="L8064" i="1"/>
  <c r="A8065" i="1"/>
  <c r="B8065" i="1"/>
  <c r="C8065" i="1"/>
  <c r="D8065" i="1"/>
  <c r="Q8065" i="1"/>
  <c r="R8065" i="1"/>
  <c r="E8065" i="1"/>
  <c r="G8065" i="1"/>
  <c r="H8065" i="1"/>
  <c r="J8065" i="1"/>
  <c r="K8065" i="1"/>
  <c r="L8065" i="1"/>
  <c r="A8066" i="1"/>
  <c r="B8066" i="1"/>
  <c r="C8066" i="1"/>
  <c r="D8066" i="1"/>
  <c r="Q8066" i="1"/>
  <c r="R8066" i="1"/>
  <c r="E8066" i="1"/>
  <c r="G8066" i="1"/>
  <c r="H8066" i="1"/>
  <c r="J8066" i="1"/>
  <c r="K8066" i="1"/>
  <c r="L8066" i="1"/>
  <c r="A8067" i="1"/>
  <c r="B8067" i="1"/>
  <c r="C8067" i="1"/>
  <c r="D8067" i="1"/>
  <c r="Q8067" i="1"/>
  <c r="R8067" i="1"/>
  <c r="E8067" i="1"/>
  <c r="G8067" i="1"/>
  <c r="H8067" i="1"/>
  <c r="J8067" i="1"/>
  <c r="K8067" i="1"/>
  <c r="L8067" i="1"/>
  <c r="A8068" i="1"/>
  <c r="B8068" i="1"/>
  <c r="C8068" i="1"/>
  <c r="D8068" i="1"/>
  <c r="Q8068" i="1"/>
  <c r="R8068" i="1"/>
  <c r="E8068" i="1"/>
  <c r="G8068" i="1"/>
  <c r="H8068" i="1"/>
  <c r="J8068" i="1"/>
  <c r="K8068" i="1"/>
  <c r="L8068" i="1"/>
  <c r="A8069" i="1"/>
  <c r="B8069" i="1"/>
  <c r="C8069" i="1"/>
  <c r="D8069" i="1"/>
  <c r="Q8069" i="1"/>
  <c r="R8069" i="1"/>
  <c r="E8069" i="1"/>
  <c r="G8069" i="1"/>
  <c r="H8069" i="1"/>
  <c r="J8069" i="1"/>
  <c r="K8069" i="1"/>
  <c r="L8069" i="1"/>
  <c r="A8070" i="1"/>
  <c r="B8070" i="1"/>
  <c r="C8070" i="1"/>
  <c r="D8070" i="1"/>
  <c r="Q8070" i="1"/>
  <c r="R8070" i="1"/>
  <c r="E8070" i="1"/>
  <c r="G8070" i="1"/>
  <c r="H8070" i="1"/>
  <c r="J8070" i="1"/>
  <c r="K8070" i="1"/>
  <c r="L8070" i="1"/>
  <c r="A8071" i="1"/>
  <c r="B8071" i="1"/>
  <c r="C8071" i="1"/>
  <c r="D8071" i="1"/>
  <c r="Q8071" i="1"/>
  <c r="R8071" i="1"/>
  <c r="E8071" i="1"/>
  <c r="G8071" i="1"/>
  <c r="H8071" i="1"/>
  <c r="J8071" i="1"/>
  <c r="K8071" i="1"/>
  <c r="L8071" i="1"/>
  <c r="A8072" i="1"/>
  <c r="B8072" i="1"/>
  <c r="C8072" i="1"/>
  <c r="D8072" i="1"/>
  <c r="Q8072" i="1"/>
  <c r="R8072" i="1"/>
  <c r="E8072" i="1"/>
  <c r="G8072" i="1"/>
  <c r="H8072" i="1"/>
  <c r="J8072" i="1"/>
  <c r="K8072" i="1"/>
  <c r="L8072" i="1"/>
  <c r="A8073" i="1"/>
  <c r="B8073" i="1"/>
  <c r="C8073" i="1"/>
  <c r="D8073" i="1"/>
  <c r="Q8073" i="1"/>
  <c r="R8073" i="1"/>
  <c r="E8073" i="1"/>
  <c r="G8073" i="1"/>
  <c r="H8073" i="1"/>
  <c r="J8073" i="1"/>
  <c r="K8073" i="1"/>
  <c r="L8073" i="1"/>
  <c r="A8074" i="1"/>
  <c r="B8074" i="1"/>
  <c r="C8074" i="1"/>
  <c r="D8074" i="1"/>
  <c r="Q8074" i="1"/>
  <c r="R8074" i="1"/>
  <c r="E8074" i="1"/>
  <c r="G8074" i="1"/>
  <c r="H8074" i="1"/>
  <c r="J8074" i="1"/>
  <c r="K8074" i="1"/>
  <c r="L8074" i="1"/>
  <c r="A8075" i="1"/>
  <c r="B8075" i="1"/>
  <c r="C8075" i="1"/>
  <c r="D8075" i="1"/>
  <c r="Q8075" i="1"/>
  <c r="R8075" i="1"/>
  <c r="E8075" i="1"/>
  <c r="G8075" i="1"/>
  <c r="H8075" i="1"/>
  <c r="J8075" i="1"/>
  <c r="K8075" i="1"/>
  <c r="L8075" i="1"/>
  <c r="A8076" i="1"/>
  <c r="B8076" i="1"/>
  <c r="C8076" i="1"/>
  <c r="D8076" i="1"/>
  <c r="Q8076" i="1"/>
  <c r="R8076" i="1"/>
  <c r="E8076" i="1"/>
  <c r="G8076" i="1"/>
  <c r="H8076" i="1"/>
  <c r="J8076" i="1"/>
  <c r="K8076" i="1"/>
  <c r="L8076" i="1"/>
  <c r="A8077" i="1"/>
  <c r="B8077" i="1"/>
  <c r="C8077" i="1"/>
  <c r="D8077" i="1"/>
  <c r="Q8077" i="1"/>
  <c r="R8077" i="1"/>
  <c r="E8077" i="1"/>
  <c r="F8077" i="1"/>
  <c r="G8077" i="1"/>
  <c r="H8077" i="1"/>
  <c r="J8077" i="1"/>
  <c r="K8077" i="1"/>
  <c r="L8077" i="1"/>
  <c r="A8078" i="1"/>
  <c r="B8078" i="1"/>
  <c r="C8078" i="1"/>
  <c r="D8078" i="1"/>
  <c r="Q8078" i="1"/>
  <c r="R8078" i="1"/>
  <c r="E8078" i="1"/>
  <c r="G8078" i="1"/>
  <c r="H8078" i="1"/>
  <c r="J8078" i="1"/>
  <c r="K8078" i="1"/>
  <c r="L8078" i="1"/>
  <c r="A8079" i="1"/>
  <c r="B8079" i="1"/>
  <c r="C8079" i="1"/>
  <c r="D8079" i="1"/>
  <c r="Q8079" i="1"/>
  <c r="R8079" i="1"/>
  <c r="E8079" i="1"/>
  <c r="G8079" i="1"/>
  <c r="H8079" i="1"/>
  <c r="J8079" i="1"/>
  <c r="K8079" i="1"/>
  <c r="L8079" i="1"/>
  <c r="A8080" i="1"/>
  <c r="C8080" i="1"/>
  <c r="D8080" i="1"/>
  <c r="Q8080" i="1"/>
  <c r="R8080" i="1"/>
  <c r="G8080" i="1"/>
  <c r="H8080" i="1"/>
  <c r="K8080" i="1"/>
  <c r="L8080" i="1"/>
  <c r="A8081" i="1"/>
  <c r="B8081" i="1"/>
  <c r="C8081" i="1"/>
  <c r="D8081" i="1"/>
  <c r="Q8081" i="1"/>
  <c r="R8081" i="1"/>
  <c r="E8081" i="1"/>
  <c r="G8081" i="1"/>
  <c r="H8081" i="1"/>
  <c r="J8081" i="1"/>
  <c r="K8081" i="1"/>
  <c r="L8081" i="1"/>
  <c r="A8082" i="1"/>
  <c r="B8082" i="1"/>
  <c r="C8082" i="1"/>
  <c r="D8082" i="1"/>
  <c r="Q8082" i="1"/>
  <c r="R8082" i="1"/>
  <c r="E8082" i="1"/>
  <c r="G8082" i="1"/>
  <c r="H8082" i="1"/>
  <c r="J8082" i="1"/>
  <c r="K8082" i="1"/>
  <c r="L8082" i="1"/>
  <c r="A8083" i="1"/>
  <c r="B8083" i="1"/>
  <c r="C8083" i="1"/>
  <c r="D8083" i="1"/>
  <c r="Q8083" i="1"/>
  <c r="R8083" i="1"/>
  <c r="E8083" i="1"/>
  <c r="G8083" i="1"/>
  <c r="H8083" i="1"/>
  <c r="J8083" i="1"/>
  <c r="K8083" i="1"/>
  <c r="L8083" i="1"/>
  <c r="A8084" i="1"/>
  <c r="B8084" i="1"/>
  <c r="C8084" i="1"/>
  <c r="D8084" i="1"/>
  <c r="Q8084" i="1"/>
  <c r="R8084" i="1"/>
  <c r="E8084" i="1"/>
  <c r="G8084" i="1"/>
  <c r="H8084" i="1"/>
  <c r="J8084" i="1"/>
  <c r="K8084" i="1"/>
  <c r="L8084" i="1"/>
  <c r="A8085" i="1"/>
  <c r="B8085" i="1"/>
  <c r="C8085" i="1"/>
  <c r="D8085" i="1"/>
  <c r="Q8085" i="1"/>
  <c r="R8085" i="1"/>
  <c r="E8085" i="1"/>
  <c r="G8085" i="1"/>
  <c r="H8085" i="1"/>
  <c r="J8085" i="1"/>
  <c r="K8085" i="1"/>
  <c r="L8085" i="1"/>
  <c r="A8086" i="1"/>
  <c r="B8086" i="1"/>
  <c r="C8086" i="1"/>
  <c r="D8086" i="1"/>
  <c r="Q8086" i="1"/>
  <c r="R8086" i="1"/>
  <c r="E8086" i="1"/>
  <c r="G8086" i="1"/>
  <c r="H8086" i="1"/>
  <c r="J8086" i="1"/>
  <c r="K8086" i="1"/>
  <c r="L8086" i="1"/>
  <c r="A8087" i="1"/>
  <c r="B8087" i="1"/>
  <c r="C8087" i="1"/>
  <c r="D8087" i="1"/>
  <c r="Q8087" i="1"/>
  <c r="R8087" i="1"/>
  <c r="E8087" i="1"/>
  <c r="G8087" i="1"/>
  <c r="H8087" i="1"/>
  <c r="J8087" i="1"/>
  <c r="K8087" i="1"/>
  <c r="L8087" i="1"/>
  <c r="A8088" i="1"/>
  <c r="B8088" i="1"/>
  <c r="C8088" i="1"/>
  <c r="D8088" i="1"/>
  <c r="Q8088" i="1"/>
  <c r="R8088" i="1"/>
  <c r="E8088" i="1"/>
  <c r="G8088" i="1"/>
  <c r="H8088" i="1"/>
  <c r="J8088" i="1"/>
  <c r="K8088" i="1"/>
  <c r="L8088" i="1"/>
  <c r="A8089" i="1"/>
  <c r="B8089" i="1"/>
  <c r="C8089" i="1"/>
  <c r="D8089" i="1"/>
  <c r="Q8089" i="1"/>
  <c r="R8089" i="1"/>
  <c r="E8089" i="1"/>
  <c r="G8089" i="1"/>
  <c r="H8089" i="1"/>
  <c r="J8089" i="1"/>
  <c r="K8089" i="1"/>
  <c r="L8089" i="1"/>
  <c r="A8090" i="1"/>
  <c r="B8090" i="1"/>
  <c r="C8090" i="1"/>
  <c r="D8090" i="1"/>
  <c r="Q8090" i="1"/>
  <c r="R8090" i="1"/>
  <c r="E8090" i="1"/>
  <c r="G8090" i="1"/>
  <c r="H8090" i="1"/>
  <c r="J8090" i="1"/>
  <c r="K8090" i="1"/>
  <c r="L8090" i="1"/>
  <c r="A8091" i="1"/>
  <c r="B8091" i="1"/>
  <c r="C8091" i="1"/>
  <c r="D8091" i="1"/>
  <c r="Q8091" i="1"/>
  <c r="R8091" i="1"/>
  <c r="E8091" i="1"/>
  <c r="G8091" i="1"/>
  <c r="H8091" i="1"/>
  <c r="J8091" i="1"/>
  <c r="K8091" i="1"/>
  <c r="L8091" i="1"/>
  <c r="A8092" i="1"/>
  <c r="B8092" i="1"/>
  <c r="C8092" i="1"/>
  <c r="D8092" i="1"/>
  <c r="Q8092" i="1"/>
  <c r="R8092" i="1"/>
  <c r="E8092" i="1"/>
  <c r="G8092" i="1"/>
  <c r="H8092" i="1"/>
  <c r="J8092" i="1"/>
  <c r="K8092" i="1"/>
  <c r="L8092" i="1"/>
  <c r="A8093" i="1"/>
  <c r="B8093" i="1"/>
  <c r="C8093" i="1"/>
  <c r="D8093" i="1"/>
  <c r="Q8093" i="1"/>
  <c r="R8093" i="1"/>
  <c r="E8093" i="1"/>
  <c r="G8093" i="1"/>
  <c r="H8093" i="1"/>
  <c r="J8093" i="1"/>
  <c r="K8093" i="1"/>
  <c r="L8093" i="1"/>
  <c r="A8094" i="1"/>
  <c r="B8094" i="1"/>
  <c r="C8094" i="1"/>
  <c r="D8094" i="1"/>
  <c r="Q8094" i="1"/>
  <c r="R8094" i="1"/>
  <c r="E8094" i="1"/>
  <c r="G8094" i="1"/>
  <c r="H8094" i="1"/>
  <c r="J8094" i="1"/>
  <c r="K8094" i="1"/>
  <c r="L8094" i="1"/>
  <c r="A8095" i="1"/>
  <c r="B8095" i="1"/>
  <c r="C8095" i="1"/>
  <c r="D8095" i="1"/>
  <c r="Q8095" i="1"/>
  <c r="R8095" i="1"/>
  <c r="E8095" i="1"/>
  <c r="G8095" i="1"/>
  <c r="H8095" i="1"/>
  <c r="J8095" i="1"/>
  <c r="K8095" i="1"/>
  <c r="L8095" i="1"/>
  <c r="A8096" i="1"/>
  <c r="B8096" i="1"/>
  <c r="C8096" i="1"/>
  <c r="D8096" i="1"/>
  <c r="Q8096" i="1"/>
  <c r="R8096" i="1"/>
  <c r="E8096" i="1"/>
  <c r="G8096" i="1"/>
  <c r="H8096" i="1"/>
  <c r="J8096" i="1"/>
  <c r="K8096" i="1"/>
  <c r="L8096" i="1"/>
  <c r="A8097" i="1"/>
  <c r="B8097" i="1"/>
  <c r="C8097" i="1"/>
  <c r="D8097" i="1"/>
  <c r="Q8097" i="1"/>
  <c r="R8097" i="1"/>
  <c r="E8097" i="1"/>
  <c r="F8097" i="1"/>
  <c r="G8097" i="1"/>
  <c r="H8097" i="1"/>
  <c r="J8097" i="1"/>
  <c r="K8097" i="1"/>
  <c r="L8097" i="1"/>
  <c r="A8098" i="1"/>
  <c r="B8098" i="1"/>
  <c r="C8098" i="1"/>
  <c r="D8098" i="1"/>
  <c r="Q8098" i="1"/>
  <c r="R8098" i="1"/>
  <c r="E8098" i="1"/>
  <c r="G8098" i="1"/>
  <c r="H8098" i="1"/>
  <c r="J8098" i="1"/>
  <c r="K8098" i="1"/>
  <c r="L8098" i="1"/>
  <c r="A8099" i="1"/>
  <c r="B8099" i="1"/>
  <c r="C8099" i="1"/>
  <c r="D8099" i="1"/>
  <c r="Q8099" i="1"/>
  <c r="R8099" i="1"/>
  <c r="E8099" i="1"/>
  <c r="G8099" i="1"/>
  <c r="H8099" i="1"/>
  <c r="J8099" i="1"/>
  <c r="K8099" i="1"/>
  <c r="L8099" i="1"/>
  <c r="A8100" i="1"/>
  <c r="B8100" i="1"/>
  <c r="C8100" i="1"/>
  <c r="D8100" i="1"/>
  <c r="Q8100" i="1"/>
  <c r="R8100" i="1"/>
  <c r="E8100" i="1"/>
  <c r="G8100" i="1"/>
  <c r="H8100" i="1"/>
  <c r="J8100" i="1"/>
  <c r="K8100" i="1"/>
  <c r="L8100" i="1"/>
  <c r="A8101" i="1"/>
  <c r="B8101" i="1"/>
  <c r="C8101" i="1"/>
  <c r="D8101" i="1"/>
  <c r="Q8101" i="1"/>
  <c r="R8101" i="1"/>
  <c r="E8101" i="1"/>
  <c r="G8101" i="1"/>
  <c r="H8101" i="1"/>
  <c r="J8101" i="1"/>
  <c r="K8101" i="1"/>
  <c r="L8101" i="1"/>
  <c r="A8102" i="1"/>
  <c r="B8102" i="1"/>
  <c r="C8102" i="1"/>
  <c r="D8102" i="1"/>
  <c r="Q8102" i="1"/>
  <c r="R8102" i="1"/>
  <c r="E8102" i="1"/>
  <c r="G8102" i="1"/>
  <c r="H8102" i="1"/>
  <c r="J8102" i="1"/>
  <c r="K8102" i="1"/>
  <c r="L8102" i="1"/>
  <c r="A8103" i="1"/>
  <c r="B8103" i="1"/>
  <c r="C8103" i="1"/>
  <c r="D8103" i="1"/>
  <c r="Q8103" i="1"/>
  <c r="R8103" i="1"/>
  <c r="E8103" i="1"/>
  <c r="G8103" i="1"/>
  <c r="H8103" i="1"/>
  <c r="J8103" i="1"/>
  <c r="K8103" i="1"/>
  <c r="L8103" i="1"/>
  <c r="A8104" i="1"/>
  <c r="B8104" i="1"/>
  <c r="C8104" i="1"/>
  <c r="D8104" i="1"/>
  <c r="Q8104" i="1"/>
  <c r="R8104" i="1"/>
  <c r="E8104" i="1"/>
  <c r="G8104" i="1"/>
  <c r="H8104" i="1"/>
  <c r="J8104" i="1"/>
  <c r="K8104" i="1"/>
  <c r="L8104" i="1"/>
  <c r="A8105" i="1"/>
  <c r="B8105" i="1"/>
  <c r="C8105" i="1"/>
  <c r="D8105" i="1"/>
  <c r="Q8105" i="1"/>
  <c r="R8105" i="1"/>
  <c r="E8105" i="1"/>
  <c r="G8105" i="1"/>
  <c r="H8105" i="1"/>
  <c r="J8105" i="1"/>
  <c r="K8105" i="1"/>
  <c r="L8105" i="1"/>
  <c r="A8106" i="1"/>
  <c r="B8106" i="1"/>
  <c r="C8106" i="1"/>
  <c r="D8106" i="1"/>
  <c r="Q8106" i="1"/>
  <c r="R8106" i="1"/>
  <c r="E8106" i="1"/>
  <c r="G8106" i="1"/>
  <c r="H8106" i="1"/>
  <c r="J8106" i="1"/>
  <c r="K8106" i="1"/>
  <c r="L8106" i="1"/>
  <c r="A8107" i="1"/>
  <c r="B8107" i="1"/>
  <c r="C8107" i="1"/>
  <c r="D8107" i="1"/>
  <c r="Q8107" i="1"/>
  <c r="R8107" i="1"/>
  <c r="E8107" i="1"/>
  <c r="G8107" i="1"/>
  <c r="H8107" i="1"/>
  <c r="J8107" i="1"/>
  <c r="K8107" i="1"/>
  <c r="L8107" i="1"/>
  <c r="A8108" i="1"/>
  <c r="B8108" i="1"/>
  <c r="C8108" i="1"/>
  <c r="D8108" i="1"/>
  <c r="Q8108" i="1"/>
  <c r="R8108" i="1"/>
  <c r="E8108" i="1"/>
  <c r="G8108" i="1"/>
  <c r="H8108" i="1"/>
  <c r="J8108" i="1"/>
  <c r="K8108" i="1"/>
  <c r="L8108" i="1"/>
  <c r="A8109" i="1"/>
  <c r="B8109" i="1"/>
  <c r="C8109" i="1"/>
  <c r="D8109" i="1"/>
  <c r="Q8109" i="1"/>
  <c r="R8109" i="1"/>
  <c r="E8109" i="1"/>
  <c r="G8109" i="1"/>
  <c r="H8109" i="1"/>
  <c r="J8109" i="1"/>
  <c r="K8109" i="1"/>
  <c r="L8109" i="1"/>
  <c r="A8110" i="1"/>
  <c r="B8110" i="1"/>
  <c r="C8110" i="1"/>
  <c r="D8110" i="1"/>
  <c r="Q8110" i="1"/>
  <c r="R8110" i="1"/>
  <c r="E8110" i="1"/>
  <c r="G8110" i="1"/>
  <c r="H8110" i="1"/>
  <c r="J8110" i="1"/>
  <c r="K8110" i="1"/>
  <c r="L8110" i="1"/>
  <c r="A8111" i="1"/>
  <c r="B8111" i="1"/>
  <c r="C8111" i="1"/>
  <c r="D8111" i="1"/>
  <c r="Q8111" i="1"/>
  <c r="R8111" i="1"/>
  <c r="E8111" i="1"/>
  <c r="G8111" i="1"/>
  <c r="H8111" i="1"/>
  <c r="J8111" i="1"/>
  <c r="K8111" i="1"/>
  <c r="L8111" i="1"/>
  <c r="A8112" i="1"/>
  <c r="B8112" i="1"/>
  <c r="C8112" i="1"/>
  <c r="D8112" i="1"/>
  <c r="Q8112" i="1"/>
  <c r="R8112" i="1"/>
  <c r="E8112" i="1"/>
  <c r="G8112" i="1"/>
  <c r="H8112" i="1"/>
  <c r="J8112" i="1"/>
  <c r="K8112" i="1"/>
  <c r="L8112" i="1"/>
  <c r="A8113" i="1"/>
  <c r="B8113" i="1"/>
  <c r="C8113" i="1"/>
  <c r="D8113" i="1"/>
  <c r="Q8113" i="1"/>
  <c r="R8113" i="1"/>
  <c r="E8113" i="1"/>
  <c r="G8113" i="1"/>
  <c r="H8113" i="1"/>
  <c r="J8113" i="1"/>
  <c r="K8113" i="1"/>
  <c r="L8113" i="1"/>
  <c r="A8114" i="1"/>
  <c r="B8114" i="1"/>
  <c r="C8114" i="1"/>
  <c r="D8114" i="1"/>
  <c r="Q8114" i="1"/>
  <c r="R8114" i="1"/>
  <c r="E8114" i="1"/>
  <c r="G8114" i="1"/>
  <c r="H8114" i="1"/>
  <c r="J8114" i="1"/>
  <c r="K8114" i="1"/>
  <c r="L8114" i="1"/>
  <c r="A8115" i="1"/>
  <c r="B8115" i="1"/>
  <c r="C8115" i="1"/>
  <c r="D8115" i="1"/>
  <c r="Q8115" i="1"/>
  <c r="R8115" i="1"/>
  <c r="E8115" i="1"/>
  <c r="G8115" i="1"/>
  <c r="H8115" i="1"/>
  <c r="J8115" i="1"/>
  <c r="K8115" i="1"/>
  <c r="L8115" i="1"/>
  <c r="A8116" i="1"/>
  <c r="B8116" i="1"/>
  <c r="C8116" i="1"/>
  <c r="D8116" i="1"/>
  <c r="Q8116" i="1"/>
  <c r="R8116" i="1"/>
  <c r="E8116" i="1"/>
  <c r="G8116" i="1"/>
  <c r="H8116" i="1"/>
  <c r="J8116" i="1"/>
  <c r="K8116" i="1"/>
  <c r="L8116" i="1"/>
  <c r="A8117" i="1"/>
  <c r="B8117" i="1"/>
  <c r="C8117" i="1"/>
  <c r="D8117" i="1"/>
  <c r="Q8117" i="1"/>
  <c r="R8117" i="1"/>
  <c r="E8117" i="1"/>
  <c r="G8117" i="1"/>
  <c r="H8117" i="1"/>
  <c r="J8117" i="1"/>
  <c r="K8117" i="1"/>
  <c r="L8117" i="1"/>
  <c r="A8118" i="1"/>
  <c r="B8118" i="1"/>
  <c r="C8118" i="1"/>
  <c r="D8118" i="1"/>
  <c r="Q8118" i="1"/>
  <c r="R8118" i="1"/>
  <c r="E8118" i="1"/>
  <c r="G8118" i="1"/>
  <c r="H8118" i="1"/>
  <c r="J8118" i="1"/>
  <c r="K8118" i="1"/>
  <c r="L8118" i="1"/>
  <c r="A8119" i="1"/>
  <c r="B8119" i="1"/>
  <c r="C8119" i="1"/>
  <c r="D8119" i="1"/>
  <c r="Q8119" i="1"/>
  <c r="R8119" i="1"/>
  <c r="E8119" i="1"/>
  <c r="G8119" i="1"/>
  <c r="H8119" i="1"/>
  <c r="J8119" i="1"/>
  <c r="K8119" i="1"/>
  <c r="L8119" i="1"/>
  <c r="A8120" i="1"/>
  <c r="B8120" i="1"/>
  <c r="C8120" i="1"/>
  <c r="D8120" i="1"/>
  <c r="Q8120" i="1"/>
  <c r="R8120" i="1"/>
  <c r="E8120" i="1"/>
  <c r="G8120" i="1"/>
  <c r="H8120" i="1"/>
  <c r="J8120" i="1"/>
  <c r="K8120" i="1"/>
  <c r="L8120" i="1"/>
  <c r="A8121" i="1"/>
  <c r="B8121" i="1"/>
  <c r="C8121" i="1"/>
  <c r="D8121" i="1"/>
  <c r="Q8121" i="1"/>
  <c r="R8121" i="1"/>
  <c r="E8121" i="1"/>
  <c r="G8121" i="1"/>
  <c r="H8121" i="1"/>
  <c r="J8121" i="1"/>
  <c r="K8121" i="1"/>
  <c r="L8121" i="1"/>
  <c r="A8396" i="1"/>
  <c r="B8396" i="1"/>
  <c r="C8396" i="1"/>
  <c r="D8396" i="1"/>
  <c r="Q8396" i="1"/>
  <c r="R8396" i="1"/>
  <c r="E8396" i="1"/>
  <c r="G8396" i="1"/>
  <c r="H8396" i="1"/>
  <c r="J8396" i="1"/>
  <c r="K8396" i="1"/>
  <c r="L8396" i="1"/>
  <c r="A8397" i="1"/>
  <c r="B8397" i="1"/>
  <c r="C8397" i="1"/>
  <c r="D8397" i="1"/>
  <c r="Q8397" i="1"/>
  <c r="R8397" i="1"/>
  <c r="E8397" i="1"/>
  <c r="G8397" i="1"/>
  <c r="H8397" i="1"/>
  <c r="J8397" i="1"/>
  <c r="K8397" i="1"/>
  <c r="L8397" i="1"/>
  <c r="A8398" i="1"/>
  <c r="B8398" i="1"/>
  <c r="C8398" i="1"/>
  <c r="D8398" i="1"/>
  <c r="Q8398" i="1"/>
  <c r="R8398" i="1"/>
  <c r="E8398" i="1"/>
  <c r="G8398" i="1"/>
  <c r="H8398" i="1"/>
  <c r="J8398" i="1"/>
  <c r="K8398" i="1"/>
  <c r="L8398" i="1"/>
  <c r="A8399" i="1"/>
  <c r="B8399" i="1"/>
  <c r="C8399" i="1"/>
  <c r="D8399" i="1"/>
  <c r="Q8399" i="1"/>
  <c r="R8399" i="1"/>
  <c r="E8399" i="1"/>
  <c r="G8399" i="1"/>
  <c r="H8399" i="1"/>
  <c r="J8399" i="1"/>
  <c r="K8399" i="1"/>
  <c r="L8399" i="1"/>
  <c r="A8122" i="1"/>
  <c r="B8122" i="1"/>
  <c r="C8122" i="1"/>
  <c r="D8122" i="1"/>
  <c r="Q8122" i="1"/>
  <c r="R8122" i="1"/>
  <c r="E8122" i="1"/>
  <c r="G8122" i="1"/>
  <c r="H8122" i="1"/>
  <c r="J8122" i="1"/>
  <c r="K8122" i="1"/>
  <c r="L8122" i="1"/>
  <c r="A8123" i="1"/>
  <c r="B8123" i="1"/>
  <c r="C8123" i="1"/>
  <c r="D8123" i="1"/>
  <c r="Q8123" i="1"/>
  <c r="R8123" i="1"/>
  <c r="E8123" i="1"/>
  <c r="G8123" i="1"/>
  <c r="H8123" i="1"/>
  <c r="J8123" i="1"/>
  <c r="K8123" i="1"/>
  <c r="L8123" i="1"/>
  <c r="A8124" i="1"/>
  <c r="B8124" i="1"/>
  <c r="C8124" i="1"/>
  <c r="D8124" i="1"/>
  <c r="Q8124" i="1"/>
  <c r="R8124" i="1"/>
  <c r="E8124" i="1"/>
  <c r="G8124" i="1"/>
  <c r="H8124" i="1"/>
  <c r="J8124" i="1"/>
  <c r="K8124" i="1"/>
  <c r="L8124" i="1"/>
  <c r="A8400" i="1"/>
  <c r="B8400" i="1"/>
  <c r="C8400" i="1"/>
  <c r="D8400" i="1"/>
  <c r="Q8400" i="1"/>
  <c r="R8400" i="1"/>
  <c r="E8400" i="1"/>
  <c r="G8400" i="1"/>
  <c r="H8400" i="1"/>
  <c r="J8400" i="1"/>
  <c r="K8400" i="1"/>
  <c r="L8400" i="1"/>
  <c r="A8401" i="1"/>
  <c r="B8401" i="1"/>
  <c r="C8401" i="1"/>
  <c r="D8401" i="1"/>
  <c r="Q8401" i="1"/>
  <c r="R8401" i="1"/>
  <c r="E8401" i="1"/>
  <c r="G8401" i="1"/>
  <c r="H8401" i="1"/>
  <c r="J8401" i="1"/>
  <c r="K8401" i="1"/>
  <c r="L8401" i="1"/>
  <c r="A8125" i="1"/>
  <c r="B8125" i="1"/>
  <c r="C8125" i="1"/>
  <c r="D8125" i="1"/>
  <c r="Q8125" i="1"/>
  <c r="R8125" i="1"/>
  <c r="E8125" i="1"/>
  <c r="G8125" i="1"/>
  <c r="H8125" i="1"/>
  <c r="J8125" i="1"/>
  <c r="K8125" i="1"/>
  <c r="L8125" i="1"/>
  <c r="A8126" i="1"/>
  <c r="B8126" i="1"/>
  <c r="C8126" i="1"/>
  <c r="D8126" i="1"/>
  <c r="Q8126" i="1"/>
  <c r="R8126" i="1"/>
  <c r="E8126" i="1"/>
  <c r="G8126" i="1"/>
  <c r="H8126" i="1"/>
  <c r="J8126" i="1"/>
  <c r="K8126" i="1"/>
  <c r="L8126" i="1"/>
  <c r="A8402" i="1"/>
  <c r="B8402" i="1"/>
  <c r="C8402" i="1"/>
  <c r="D8402" i="1"/>
  <c r="Q8402" i="1"/>
  <c r="R8402" i="1"/>
  <c r="E8402" i="1"/>
  <c r="G8402" i="1"/>
  <c r="H8402" i="1"/>
  <c r="J8402" i="1"/>
  <c r="K8402" i="1"/>
  <c r="L8402" i="1"/>
  <c r="A8127" i="1"/>
  <c r="B8127" i="1"/>
  <c r="C8127" i="1"/>
  <c r="D8127" i="1"/>
  <c r="Q8127" i="1"/>
  <c r="R8127" i="1"/>
  <c r="E8127" i="1"/>
  <c r="G8127" i="1"/>
  <c r="H8127" i="1"/>
  <c r="J8127" i="1"/>
  <c r="K8127" i="1"/>
  <c r="L8127" i="1"/>
  <c r="A8128" i="1"/>
  <c r="B8128" i="1"/>
  <c r="C8128" i="1"/>
  <c r="D8128" i="1"/>
  <c r="Q8128" i="1"/>
  <c r="R8128" i="1"/>
  <c r="E8128" i="1"/>
  <c r="G8128" i="1"/>
  <c r="H8128" i="1"/>
  <c r="J8128" i="1"/>
  <c r="K8128" i="1"/>
  <c r="L8128" i="1"/>
  <c r="A8129" i="1"/>
  <c r="B8129" i="1"/>
  <c r="C8129" i="1"/>
  <c r="D8129" i="1"/>
  <c r="Q8129" i="1"/>
  <c r="R8129" i="1"/>
  <c r="E8129" i="1"/>
  <c r="G8129" i="1"/>
  <c r="H8129" i="1"/>
  <c r="J8129" i="1"/>
  <c r="K8129" i="1"/>
  <c r="L8129" i="1"/>
  <c r="A8130" i="1"/>
  <c r="B8130" i="1"/>
  <c r="C8130" i="1"/>
  <c r="D8130" i="1"/>
  <c r="Q8130" i="1"/>
  <c r="R8130" i="1"/>
  <c r="E8130" i="1"/>
  <c r="G8130" i="1"/>
  <c r="H8130" i="1"/>
  <c r="J8130" i="1"/>
  <c r="K8130" i="1"/>
  <c r="L8130" i="1"/>
  <c r="A8131" i="1"/>
  <c r="B8131" i="1"/>
  <c r="C8131" i="1"/>
  <c r="D8131" i="1"/>
  <c r="Q8131" i="1"/>
  <c r="R8131" i="1"/>
  <c r="E8131" i="1"/>
  <c r="G8131" i="1"/>
  <c r="H8131" i="1"/>
  <c r="J8131" i="1"/>
  <c r="K8131" i="1"/>
  <c r="L8131" i="1"/>
  <c r="A8132" i="1"/>
  <c r="B8132" i="1"/>
  <c r="C8132" i="1"/>
  <c r="D8132" i="1"/>
  <c r="Q8132" i="1"/>
  <c r="R8132" i="1"/>
  <c r="E8132" i="1"/>
  <c r="G8132" i="1"/>
  <c r="H8132" i="1"/>
  <c r="J8132" i="1"/>
  <c r="K8132" i="1"/>
  <c r="L8132" i="1"/>
  <c r="A8133" i="1"/>
  <c r="B8133" i="1"/>
  <c r="C8133" i="1"/>
  <c r="D8133" i="1"/>
  <c r="Q8133" i="1"/>
  <c r="R8133" i="1"/>
  <c r="E8133" i="1"/>
  <c r="G8133" i="1"/>
  <c r="H8133" i="1"/>
  <c r="J8133" i="1"/>
  <c r="K8133" i="1"/>
  <c r="L8133" i="1"/>
  <c r="A8134" i="1"/>
  <c r="B8134" i="1"/>
  <c r="C8134" i="1"/>
  <c r="D8134" i="1"/>
  <c r="Q8134" i="1"/>
  <c r="R8134" i="1"/>
  <c r="E8134" i="1"/>
  <c r="G8134" i="1"/>
  <c r="H8134" i="1"/>
  <c r="J8134" i="1"/>
  <c r="K8134" i="1"/>
  <c r="L8134" i="1"/>
  <c r="A8135" i="1"/>
  <c r="B8135" i="1"/>
  <c r="C8135" i="1"/>
  <c r="D8135" i="1"/>
  <c r="Q8135" i="1"/>
  <c r="R8135" i="1"/>
  <c r="E8135" i="1"/>
  <c r="G8135" i="1"/>
  <c r="H8135" i="1"/>
  <c r="J8135" i="1"/>
  <c r="K8135" i="1"/>
  <c r="L8135" i="1"/>
  <c r="A8136" i="1"/>
  <c r="B8136" i="1"/>
  <c r="C8136" i="1"/>
  <c r="D8136" i="1"/>
  <c r="Q8136" i="1"/>
  <c r="R8136" i="1"/>
  <c r="E8136" i="1"/>
  <c r="G8136" i="1"/>
  <c r="H8136" i="1"/>
  <c r="J8136" i="1"/>
  <c r="K8136" i="1"/>
  <c r="L8136" i="1"/>
  <c r="A8137" i="1"/>
  <c r="B8137" i="1"/>
  <c r="C8137" i="1"/>
  <c r="D8137" i="1"/>
  <c r="Q8137" i="1"/>
  <c r="R8137" i="1"/>
  <c r="E8137" i="1"/>
  <c r="G8137" i="1"/>
  <c r="H8137" i="1"/>
  <c r="J8137" i="1"/>
  <c r="K8137" i="1"/>
  <c r="L8137" i="1"/>
  <c r="A8138" i="1"/>
  <c r="B8138" i="1"/>
  <c r="C8138" i="1"/>
  <c r="D8138" i="1"/>
  <c r="Q8138" i="1"/>
  <c r="R8138" i="1"/>
  <c r="E8138" i="1"/>
  <c r="G8138" i="1"/>
  <c r="H8138" i="1"/>
  <c r="J8138" i="1"/>
  <c r="K8138" i="1"/>
  <c r="L8138" i="1"/>
  <c r="A8139" i="1"/>
  <c r="B8139" i="1"/>
  <c r="C8139" i="1"/>
  <c r="D8139" i="1"/>
  <c r="Q8139" i="1"/>
  <c r="R8139" i="1"/>
  <c r="E8139" i="1"/>
  <c r="G8139" i="1"/>
  <c r="H8139" i="1"/>
  <c r="J8139" i="1"/>
  <c r="K8139" i="1"/>
  <c r="L8139" i="1"/>
  <c r="A8140" i="1"/>
  <c r="B8140" i="1"/>
  <c r="C8140" i="1"/>
  <c r="D8140" i="1"/>
  <c r="Q8140" i="1"/>
  <c r="R8140" i="1"/>
  <c r="E8140" i="1"/>
  <c r="G8140" i="1"/>
  <c r="H8140" i="1"/>
  <c r="J8140" i="1"/>
  <c r="K8140" i="1"/>
  <c r="L8140" i="1"/>
  <c r="A8141" i="1"/>
  <c r="B8141" i="1"/>
  <c r="C8141" i="1"/>
  <c r="D8141" i="1"/>
  <c r="Q8141" i="1"/>
  <c r="R8141" i="1"/>
  <c r="E8141" i="1"/>
  <c r="G8141" i="1"/>
  <c r="H8141" i="1"/>
  <c r="J8141" i="1"/>
  <c r="K8141" i="1"/>
  <c r="L8141" i="1"/>
  <c r="A8142" i="1"/>
  <c r="B8142" i="1"/>
  <c r="C8142" i="1"/>
  <c r="D8142" i="1"/>
  <c r="Q8142" i="1"/>
  <c r="R8142" i="1"/>
  <c r="E8142" i="1"/>
  <c r="G8142" i="1"/>
  <c r="H8142" i="1"/>
  <c r="J8142" i="1"/>
  <c r="K8142" i="1"/>
  <c r="L8142" i="1"/>
  <c r="A8143" i="1"/>
  <c r="B8143" i="1"/>
  <c r="C8143" i="1"/>
  <c r="D8143" i="1"/>
  <c r="Q8143" i="1"/>
  <c r="R8143" i="1"/>
  <c r="E8143" i="1"/>
  <c r="G8143" i="1"/>
  <c r="H8143" i="1"/>
  <c r="J8143" i="1"/>
  <c r="K8143" i="1"/>
  <c r="L8143" i="1"/>
  <c r="A8144" i="1"/>
  <c r="C8144" i="1"/>
  <c r="D8144" i="1"/>
  <c r="Q8144" i="1"/>
  <c r="R8144" i="1"/>
  <c r="G8144" i="1"/>
  <c r="H8144" i="1"/>
  <c r="K8144" i="1"/>
  <c r="L8144" i="1"/>
  <c r="A8145" i="1"/>
  <c r="B8145" i="1"/>
  <c r="C8145" i="1"/>
  <c r="D8145" i="1"/>
  <c r="Q8145" i="1"/>
  <c r="R8145" i="1"/>
  <c r="E8145" i="1"/>
  <c r="G8145" i="1"/>
  <c r="H8145" i="1"/>
  <c r="J8145" i="1"/>
  <c r="K8145" i="1"/>
  <c r="L8145" i="1"/>
  <c r="A8146" i="1"/>
  <c r="B8146" i="1"/>
  <c r="C8146" i="1"/>
  <c r="D8146" i="1"/>
  <c r="Q8146" i="1"/>
  <c r="R8146" i="1"/>
  <c r="E8146" i="1"/>
  <c r="G8146" i="1"/>
  <c r="H8146" i="1"/>
  <c r="J8146" i="1"/>
  <c r="K8146" i="1"/>
  <c r="L8146" i="1"/>
  <c r="A8147" i="1"/>
  <c r="B8147" i="1"/>
  <c r="C8147" i="1"/>
  <c r="D8147" i="1"/>
  <c r="Q8147" i="1"/>
  <c r="R8147" i="1"/>
  <c r="E8147" i="1"/>
  <c r="G8147" i="1"/>
  <c r="H8147" i="1"/>
  <c r="J8147" i="1"/>
  <c r="K8147" i="1"/>
  <c r="L8147" i="1"/>
  <c r="A8148" i="1"/>
  <c r="B8148" i="1"/>
  <c r="C8148" i="1"/>
  <c r="D8148" i="1"/>
  <c r="Q8148" i="1"/>
  <c r="R8148" i="1"/>
  <c r="E8148" i="1"/>
  <c r="G8148" i="1"/>
  <c r="H8148" i="1"/>
  <c r="J8148" i="1"/>
  <c r="K8148" i="1"/>
  <c r="L8148" i="1"/>
  <c r="A8149" i="1"/>
  <c r="B8149" i="1"/>
  <c r="C8149" i="1"/>
  <c r="D8149" i="1"/>
  <c r="Q8149" i="1"/>
  <c r="R8149" i="1"/>
  <c r="E8149" i="1"/>
  <c r="G8149" i="1"/>
  <c r="H8149" i="1"/>
  <c r="J8149" i="1"/>
  <c r="K8149" i="1"/>
  <c r="L8149" i="1"/>
  <c r="A8150" i="1"/>
  <c r="B8150" i="1"/>
  <c r="C8150" i="1"/>
  <c r="D8150" i="1"/>
  <c r="Q8150" i="1"/>
  <c r="R8150" i="1"/>
  <c r="E8150" i="1"/>
  <c r="G8150" i="1"/>
  <c r="H8150" i="1"/>
  <c r="J8150" i="1"/>
  <c r="K8150" i="1"/>
  <c r="L8150" i="1"/>
  <c r="A8151" i="1"/>
  <c r="B8151" i="1"/>
  <c r="C8151" i="1"/>
  <c r="D8151" i="1"/>
  <c r="Q8151" i="1"/>
  <c r="R8151" i="1"/>
  <c r="E8151" i="1"/>
  <c r="G8151" i="1"/>
  <c r="H8151" i="1"/>
  <c r="J8151" i="1"/>
  <c r="K8151" i="1"/>
  <c r="L8151" i="1"/>
  <c r="A8152" i="1"/>
  <c r="B8152" i="1"/>
  <c r="C8152" i="1"/>
  <c r="D8152" i="1"/>
  <c r="Q8152" i="1"/>
  <c r="R8152" i="1"/>
  <c r="E8152" i="1"/>
  <c r="G8152" i="1"/>
  <c r="H8152" i="1"/>
  <c r="J8152" i="1"/>
  <c r="K8152" i="1"/>
  <c r="L8152" i="1"/>
  <c r="A8153" i="1"/>
  <c r="B8153" i="1"/>
  <c r="C8153" i="1"/>
  <c r="D8153" i="1"/>
  <c r="Q8153" i="1"/>
  <c r="R8153" i="1"/>
  <c r="E8153" i="1"/>
  <c r="G8153" i="1"/>
  <c r="H8153" i="1"/>
  <c r="J8153" i="1"/>
  <c r="K8153" i="1"/>
  <c r="L8153" i="1"/>
  <c r="A8154" i="1"/>
  <c r="B8154" i="1"/>
  <c r="C8154" i="1"/>
  <c r="D8154" i="1"/>
  <c r="Q8154" i="1"/>
  <c r="R8154" i="1"/>
  <c r="E8154" i="1"/>
  <c r="G8154" i="1"/>
  <c r="H8154" i="1"/>
  <c r="J8154" i="1"/>
  <c r="K8154" i="1"/>
  <c r="L8154" i="1"/>
  <c r="A8155" i="1"/>
  <c r="B8155" i="1"/>
  <c r="C8155" i="1"/>
  <c r="D8155" i="1"/>
  <c r="Q8155" i="1"/>
  <c r="R8155" i="1"/>
  <c r="E8155" i="1"/>
  <c r="G8155" i="1"/>
  <c r="H8155" i="1"/>
  <c r="J8155" i="1"/>
  <c r="K8155" i="1"/>
  <c r="L8155" i="1"/>
  <c r="A8156" i="1"/>
  <c r="B8156" i="1"/>
  <c r="C8156" i="1"/>
  <c r="D8156" i="1"/>
  <c r="Q8156" i="1"/>
  <c r="R8156" i="1"/>
  <c r="E8156" i="1"/>
  <c r="G8156" i="1"/>
  <c r="H8156" i="1"/>
  <c r="J8156" i="1"/>
  <c r="K8156" i="1"/>
  <c r="L8156" i="1"/>
  <c r="A8157" i="1"/>
  <c r="B8157" i="1"/>
  <c r="C8157" i="1"/>
  <c r="D8157" i="1"/>
  <c r="Q8157" i="1"/>
  <c r="R8157" i="1"/>
  <c r="E8157" i="1"/>
  <c r="G8157" i="1"/>
  <c r="H8157" i="1"/>
  <c r="J8157" i="1"/>
  <c r="K8157" i="1"/>
  <c r="L8157" i="1"/>
  <c r="A8158" i="1"/>
  <c r="B8158" i="1"/>
  <c r="C8158" i="1"/>
  <c r="D8158" i="1"/>
  <c r="Q8158" i="1"/>
  <c r="R8158" i="1"/>
  <c r="E8158" i="1"/>
  <c r="G8158" i="1"/>
  <c r="H8158" i="1"/>
  <c r="J8158" i="1"/>
  <c r="K8158" i="1"/>
  <c r="L8158" i="1"/>
  <c r="A8159" i="1"/>
  <c r="B8159" i="1"/>
  <c r="C8159" i="1"/>
  <c r="D8159" i="1"/>
  <c r="Q8159" i="1"/>
  <c r="R8159" i="1"/>
  <c r="E8159" i="1"/>
  <c r="G8159" i="1"/>
  <c r="H8159" i="1"/>
  <c r="J8159" i="1"/>
  <c r="K8159" i="1"/>
  <c r="L8159" i="1"/>
  <c r="A8160" i="1"/>
  <c r="B8160" i="1"/>
  <c r="C8160" i="1"/>
  <c r="D8160" i="1"/>
  <c r="Q8160" i="1"/>
  <c r="R8160" i="1"/>
  <c r="E8160" i="1"/>
  <c r="G8160" i="1"/>
  <c r="H8160" i="1"/>
  <c r="J8160" i="1"/>
  <c r="K8160" i="1"/>
  <c r="L8160" i="1"/>
  <c r="A8161" i="1"/>
  <c r="B8161" i="1"/>
  <c r="C8161" i="1"/>
  <c r="D8161" i="1"/>
  <c r="Q8161" i="1"/>
  <c r="R8161" i="1"/>
  <c r="E8161" i="1"/>
  <c r="G8161" i="1"/>
  <c r="H8161" i="1"/>
  <c r="J8161" i="1"/>
  <c r="K8161" i="1"/>
  <c r="L8161" i="1"/>
  <c r="A8162" i="1"/>
  <c r="B8162" i="1"/>
  <c r="C8162" i="1"/>
  <c r="D8162" i="1"/>
  <c r="Q8162" i="1"/>
  <c r="R8162" i="1"/>
  <c r="E8162" i="1"/>
  <c r="G8162" i="1"/>
  <c r="H8162" i="1"/>
  <c r="J8162" i="1"/>
  <c r="K8162" i="1"/>
  <c r="L8162" i="1"/>
  <c r="A8163" i="1"/>
  <c r="B8163" i="1"/>
  <c r="C8163" i="1"/>
  <c r="D8163" i="1"/>
  <c r="Q8163" i="1"/>
  <c r="R8163" i="1"/>
  <c r="E8163" i="1"/>
  <c r="G8163" i="1"/>
  <c r="H8163" i="1"/>
  <c r="J8163" i="1"/>
  <c r="K8163" i="1"/>
  <c r="L8163" i="1"/>
  <c r="A8164" i="1"/>
  <c r="B8164" i="1"/>
  <c r="C8164" i="1"/>
  <c r="D8164" i="1"/>
  <c r="Q8164" i="1"/>
  <c r="R8164" i="1"/>
  <c r="E8164" i="1"/>
  <c r="G8164" i="1"/>
  <c r="H8164" i="1"/>
  <c r="J8164" i="1"/>
  <c r="K8164" i="1"/>
  <c r="L8164" i="1"/>
  <c r="A8165" i="1"/>
  <c r="B8165" i="1"/>
  <c r="C8165" i="1"/>
  <c r="D8165" i="1"/>
  <c r="Q8165" i="1"/>
  <c r="R8165" i="1"/>
  <c r="E8165" i="1"/>
  <c r="G8165" i="1"/>
  <c r="H8165" i="1"/>
  <c r="J8165" i="1"/>
  <c r="K8165" i="1"/>
  <c r="L8165" i="1"/>
  <c r="A8166" i="1"/>
  <c r="B8166" i="1"/>
  <c r="C8166" i="1"/>
  <c r="D8166" i="1"/>
  <c r="Q8166" i="1"/>
  <c r="R8166" i="1"/>
  <c r="E8166" i="1"/>
  <c r="G8166" i="1"/>
  <c r="H8166" i="1"/>
  <c r="J8166" i="1"/>
  <c r="K8166" i="1"/>
  <c r="L8166" i="1"/>
  <c r="A8167" i="1"/>
  <c r="B8167" i="1"/>
  <c r="C8167" i="1"/>
  <c r="D8167" i="1"/>
  <c r="Q8167" i="1"/>
  <c r="R8167" i="1"/>
  <c r="E8167" i="1"/>
  <c r="G8167" i="1"/>
  <c r="H8167" i="1"/>
  <c r="J8167" i="1"/>
  <c r="K8167" i="1"/>
  <c r="L8167" i="1"/>
  <c r="A8168" i="1"/>
  <c r="B8168" i="1"/>
  <c r="C8168" i="1"/>
  <c r="D8168" i="1"/>
  <c r="Q8168" i="1"/>
  <c r="R8168" i="1"/>
  <c r="E8168" i="1"/>
  <c r="G8168" i="1"/>
  <c r="H8168" i="1"/>
  <c r="J8168" i="1"/>
  <c r="K8168" i="1"/>
  <c r="L8168" i="1"/>
  <c r="A8169" i="1"/>
  <c r="B8169" i="1"/>
  <c r="C8169" i="1"/>
  <c r="D8169" i="1"/>
  <c r="Q8169" i="1"/>
  <c r="R8169" i="1"/>
  <c r="E8169" i="1"/>
  <c r="G8169" i="1"/>
  <c r="H8169" i="1"/>
  <c r="J8169" i="1"/>
  <c r="K8169" i="1"/>
  <c r="L8169" i="1"/>
  <c r="A8170" i="1"/>
  <c r="B8170" i="1"/>
  <c r="C8170" i="1"/>
  <c r="D8170" i="1"/>
  <c r="Q8170" i="1"/>
  <c r="R8170" i="1"/>
  <c r="E8170" i="1"/>
  <c r="G8170" i="1"/>
  <c r="H8170" i="1"/>
  <c r="J8170" i="1"/>
  <c r="K8170" i="1"/>
  <c r="L8170" i="1"/>
  <c r="A8171" i="1"/>
  <c r="B8171" i="1"/>
  <c r="C8171" i="1"/>
  <c r="D8171" i="1"/>
  <c r="Q8171" i="1"/>
  <c r="R8171" i="1"/>
  <c r="E8171" i="1"/>
  <c r="G8171" i="1"/>
  <c r="H8171" i="1"/>
  <c r="J8171" i="1"/>
  <c r="K8171" i="1"/>
  <c r="L8171" i="1"/>
  <c r="A8172" i="1"/>
  <c r="B8172" i="1"/>
  <c r="C8172" i="1"/>
  <c r="D8172" i="1"/>
  <c r="Q8172" i="1"/>
  <c r="R8172" i="1"/>
  <c r="E8172" i="1"/>
  <c r="G8172" i="1"/>
  <c r="H8172" i="1"/>
  <c r="J8172" i="1"/>
  <c r="K8172" i="1"/>
  <c r="L8172" i="1"/>
  <c r="A8173" i="1"/>
  <c r="B8173" i="1"/>
  <c r="C8173" i="1"/>
  <c r="D8173" i="1"/>
  <c r="Q8173" i="1"/>
  <c r="R8173" i="1"/>
  <c r="E8173" i="1"/>
  <c r="G8173" i="1"/>
  <c r="H8173" i="1"/>
  <c r="J8173" i="1"/>
  <c r="K8173" i="1"/>
  <c r="L8173" i="1"/>
  <c r="A8174" i="1"/>
  <c r="B8174" i="1"/>
  <c r="C8174" i="1"/>
  <c r="D8174" i="1"/>
  <c r="Q8174" i="1"/>
  <c r="R8174" i="1"/>
  <c r="E8174" i="1"/>
  <c r="G8174" i="1"/>
  <c r="H8174" i="1"/>
  <c r="J8174" i="1"/>
  <c r="K8174" i="1"/>
  <c r="L8174" i="1"/>
  <c r="A8175" i="1"/>
  <c r="B8175" i="1"/>
  <c r="C8175" i="1"/>
  <c r="D8175" i="1"/>
  <c r="Q8175" i="1"/>
  <c r="R8175" i="1"/>
  <c r="E8175" i="1"/>
  <c r="G8175" i="1"/>
  <c r="H8175" i="1"/>
  <c r="J8175" i="1"/>
  <c r="K8175" i="1"/>
  <c r="L8175" i="1"/>
  <c r="A8176" i="1"/>
  <c r="B8176" i="1"/>
  <c r="C8176" i="1"/>
  <c r="D8176" i="1"/>
  <c r="Q8176" i="1"/>
  <c r="R8176" i="1"/>
  <c r="E8176" i="1"/>
  <c r="G8176" i="1"/>
  <c r="H8176" i="1"/>
  <c r="J8176" i="1"/>
  <c r="K8176" i="1"/>
  <c r="L8176" i="1"/>
  <c r="A8177" i="1"/>
  <c r="B8177" i="1"/>
  <c r="C8177" i="1"/>
  <c r="D8177" i="1"/>
  <c r="Q8177" i="1"/>
  <c r="R8177" i="1"/>
  <c r="E8177" i="1"/>
  <c r="G8177" i="1"/>
  <c r="H8177" i="1"/>
  <c r="J8177" i="1"/>
  <c r="K8177" i="1"/>
  <c r="L8177" i="1"/>
  <c r="A8178" i="1"/>
  <c r="B8178" i="1"/>
  <c r="C8178" i="1"/>
  <c r="D8178" i="1"/>
  <c r="Q8178" i="1"/>
  <c r="R8178" i="1"/>
  <c r="E8178" i="1"/>
  <c r="G8178" i="1"/>
  <c r="H8178" i="1"/>
  <c r="J8178" i="1"/>
  <c r="K8178" i="1"/>
  <c r="L8178" i="1"/>
  <c r="A8179" i="1"/>
  <c r="B8179" i="1"/>
  <c r="C8179" i="1"/>
  <c r="D8179" i="1"/>
  <c r="Q8179" i="1"/>
  <c r="R8179" i="1"/>
  <c r="E8179" i="1"/>
  <c r="G8179" i="1"/>
  <c r="H8179" i="1"/>
  <c r="J8179" i="1"/>
  <c r="K8179" i="1"/>
  <c r="L8179" i="1"/>
  <c r="A8180" i="1"/>
  <c r="B8180" i="1"/>
  <c r="C8180" i="1"/>
  <c r="D8180" i="1"/>
  <c r="Q8180" i="1"/>
  <c r="R8180" i="1"/>
  <c r="E8180" i="1"/>
  <c r="G8180" i="1"/>
  <c r="H8180" i="1"/>
  <c r="J8180" i="1"/>
  <c r="K8180" i="1"/>
  <c r="L8180" i="1"/>
  <c r="A8181" i="1"/>
  <c r="B8181" i="1"/>
  <c r="C8181" i="1"/>
  <c r="D8181" i="1"/>
  <c r="Q8181" i="1"/>
  <c r="R8181" i="1"/>
  <c r="E8181" i="1"/>
  <c r="G8181" i="1"/>
  <c r="H8181" i="1"/>
  <c r="J8181" i="1"/>
  <c r="K8181" i="1"/>
  <c r="L8181" i="1"/>
  <c r="A8182" i="1"/>
  <c r="B8182" i="1"/>
  <c r="C8182" i="1"/>
  <c r="D8182" i="1"/>
  <c r="Q8182" i="1"/>
  <c r="R8182" i="1"/>
  <c r="E8182" i="1"/>
  <c r="G8182" i="1"/>
  <c r="H8182" i="1"/>
  <c r="J8182" i="1"/>
  <c r="K8182" i="1"/>
  <c r="L8182" i="1"/>
  <c r="A8183" i="1"/>
  <c r="B8183" i="1"/>
  <c r="C8183" i="1"/>
  <c r="D8183" i="1"/>
  <c r="Q8183" i="1"/>
  <c r="R8183" i="1"/>
  <c r="E8183" i="1"/>
  <c r="G8183" i="1"/>
  <c r="H8183" i="1"/>
  <c r="J8183" i="1"/>
  <c r="K8183" i="1"/>
  <c r="L8183" i="1"/>
  <c r="A8184" i="1"/>
  <c r="B8184" i="1"/>
  <c r="C8184" i="1"/>
  <c r="D8184" i="1"/>
  <c r="Q8184" i="1"/>
  <c r="R8184" i="1"/>
  <c r="E8184" i="1"/>
  <c r="G8184" i="1"/>
  <c r="H8184" i="1"/>
  <c r="J8184" i="1"/>
  <c r="K8184" i="1"/>
  <c r="L8184" i="1"/>
  <c r="A8185" i="1"/>
  <c r="B8185" i="1"/>
  <c r="C8185" i="1"/>
  <c r="D8185" i="1"/>
  <c r="Q8185" i="1"/>
  <c r="R8185" i="1"/>
  <c r="E8185" i="1"/>
  <c r="G8185" i="1"/>
  <c r="H8185" i="1"/>
  <c r="J8185" i="1"/>
  <c r="K8185" i="1"/>
  <c r="L8185" i="1"/>
  <c r="A8186" i="1"/>
  <c r="B8186" i="1"/>
  <c r="C8186" i="1"/>
  <c r="D8186" i="1"/>
  <c r="Q8186" i="1"/>
  <c r="R8186" i="1"/>
  <c r="E8186" i="1"/>
  <c r="G8186" i="1"/>
  <c r="H8186" i="1"/>
  <c r="J8186" i="1"/>
  <c r="K8186" i="1"/>
  <c r="L8186" i="1"/>
  <c r="A8187" i="1"/>
  <c r="B8187" i="1"/>
  <c r="C8187" i="1"/>
  <c r="D8187" i="1"/>
  <c r="Q8187" i="1"/>
  <c r="R8187" i="1"/>
  <c r="E8187" i="1"/>
  <c r="G8187" i="1"/>
  <c r="H8187" i="1"/>
  <c r="J8187" i="1"/>
  <c r="K8187" i="1"/>
  <c r="L8187" i="1"/>
  <c r="A8188" i="1"/>
  <c r="B8188" i="1"/>
  <c r="C8188" i="1"/>
  <c r="D8188" i="1"/>
  <c r="Q8188" i="1"/>
  <c r="R8188" i="1"/>
  <c r="E8188" i="1"/>
  <c r="G8188" i="1"/>
  <c r="H8188" i="1"/>
  <c r="J8188" i="1"/>
  <c r="K8188" i="1"/>
  <c r="L8188" i="1"/>
  <c r="A8189" i="1"/>
  <c r="B8189" i="1"/>
  <c r="C8189" i="1"/>
  <c r="D8189" i="1"/>
  <c r="Q8189" i="1"/>
  <c r="R8189" i="1"/>
  <c r="E8189" i="1"/>
  <c r="G8189" i="1"/>
  <c r="H8189" i="1"/>
  <c r="J8189" i="1"/>
  <c r="K8189" i="1"/>
  <c r="L8189" i="1"/>
  <c r="A8190" i="1"/>
  <c r="B8190" i="1"/>
  <c r="C8190" i="1"/>
  <c r="D8190" i="1"/>
  <c r="Q8190" i="1"/>
  <c r="R8190" i="1"/>
  <c r="E8190" i="1"/>
  <c r="G8190" i="1"/>
  <c r="H8190" i="1"/>
  <c r="J8190" i="1"/>
  <c r="K8190" i="1"/>
  <c r="L8190" i="1"/>
  <c r="A8191" i="1"/>
  <c r="B8191" i="1"/>
  <c r="C8191" i="1"/>
  <c r="D8191" i="1"/>
  <c r="Q8191" i="1"/>
  <c r="R8191" i="1"/>
  <c r="E8191" i="1"/>
  <c r="G8191" i="1"/>
  <c r="H8191" i="1"/>
  <c r="J8191" i="1"/>
  <c r="K8191" i="1"/>
  <c r="L8191" i="1"/>
  <c r="A8192" i="1"/>
  <c r="B8192" i="1"/>
  <c r="C8192" i="1"/>
  <c r="D8192" i="1"/>
  <c r="Q8192" i="1"/>
  <c r="R8192" i="1"/>
  <c r="E8192" i="1"/>
  <c r="G8192" i="1"/>
  <c r="H8192" i="1"/>
  <c r="J8192" i="1"/>
  <c r="K8192" i="1"/>
  <c r="L8192" i="1"/>
  <c r="A8193" i="1"/>
  <c r="B8193" i="1"/>
  <c r="C8193" i="1"/>
  <c r="D8193" i="1"/>
  <c r="Q8193" i="1"/>
  <c r="R8193" i="1"/>
  <c r="E8193" i="1"/>
  <c r="G8193" i="1"/>
  <c r="H8193" i="1"/>
  <c r="J8193" i="1"/>
  <c r="K8193" i="1"/>
  <c r="L8193" i="1"/>
  <c r="A8194" i="1"/>
  <c r="B8194" i="1"/>
  <c r="C8194" i="1"/>
  <c r="D8194" i="1"/>
  <c r="Q8194" i="1"/>
  <c r="R8194" i="1"/>
  <c r="E8194" i="1"/>
  <c r="G8194" i="1"/>
  <c r="H8194" i="1"/>
  <c r="J8194" i="1"/>
  <c r="K8194" i="1"/>
  <c r="L8194" i="1"/>
  <c r="A8195" i="1"/>
  <c r="B8195" i="1"/>
  <c r="C8195" i="1"/>
  <c r="D8195" i="1"/>
  <c r="Q8195" i="1"/>
  <c r="R8195" i="1"/>
  <c r="E8195" i="1"/>
  <c r="G8195" i="1"/>
  <c r="H8195" i="1"/>
  <c r="J8195" i="1"/>
  <c r="K8195" i="1"/>
  <c r="L8195" i="1"/>
  <c r="A8196" i="1"/>
  <c r="B8196" i="1"/>
  <c r="C8196" i="1"/>
  <c r="D8196" i="1"/>
  <c r="Q8196" i="1"/>
  <c r="R8196" i="1"/>
  <c r="E8196" i="1"/>
  <c r="G8196" i="1"/>
  <c r="H8196" i="1"/>
  <c r="J8196" i="1"/>
  <c r="K8196" i="1"/>
  <c r="L8196" i="1"/>
  <c r="A8197" i="1"/>
  <c r="B8197" i="1"/>
  <c r="C8197" i="1"/>
  <c r="D8197" i="1"/>
  <c r="Q8197" i="1"/>
  <c r="R8197" i="1"/>
  <c r="E8197" i="1"/>
  <c r="G8197" i="1"/>
  <c r="H8197" i="1"/>
  <c r="J8197" i="1"/>
  <c r="K8197" i="1"/>
  <c r="L8197" i="1"/>
  <c r="A8198" i="1"/>
  <c r="B8198" i="1"/>
  <c r="C8198" i="1"/>
  <c r="D8198" i="1"/>
  <c r="Q8198" i="1"/>
  <c r="R8198" i="1"/>
  <c r="E8198" i="1"/>
  <c r="G8198" i="1"/>
  <c r="H8198" i="1"/>
  <c r="J8198" i="1"/>
  <c r="K8198" i="1"/>
  <c r="L8198" i="1"/>
  <c r="A8199" i="1"/>
  <c r="B8199" i="1"/>
  <c r="C8199" i="1"/>
  <c r="D8199" i="1"/>
  <c r="Q8199" i="1"/>
  <c r="R8199" i="1"/>
  <c r="E8199" i="1"/>
  <c r="G8199" i="1"/>
  <c r="H8199" i="1"/>
  <c r="J8199" i="1"/>
  <c r="K8199" i="1"/>
  <c r="L8199" i="1"/>
  <c r="A8200" i="1"/>
  <c r="B8200" i="1"/>
  <c r="C8200" i="1"/>
  <c r="D8200" i="1"/>
  <c r="Q8200" i="1"/>
  <c r="R8200" i="1"/>
  <c r="E8200" i="1"/>
  <c r="G8200" i="1"/>
  <c r="H8200" i="1"/>
  <c r="J8200" i="1"/>
  <c r="K8200" i="1"/>
  <c r="L8200" i="1"/>
  <c r="A8201" i="1"/>
  <c r="B8201" i="1"/>
  <c r="C8201" i="1"/>
  <c r="D8201" i="1"/>
  <c r="Q8201" i="1"/>
  <c r="R8201" i="1"/>
  <c r="E8201" i="1"/>
  <c r="G8201" i="1"/>
  <c r="H8201" i="1"/>
  <c r="J8201" i="1"/>
  <c r="K8201" i="1"/>
  <c r="L8201" i="1"/>
  <c r="A8202" i="1"/>
  <c r="B8202" i="1"/>
  <c r="C8202" i="1"/>
  <c r="D8202" i="1"/>
  <c r="Q8202" i="1"/>
  <c r="R8202" i="1"/>
  <c r="E8202" i="1"/>
  <c r="G8202" i="1"/>
  <c r="H8202" i="1"/>
  <c r="J8202" i="1"/>
  <c r="K8202" i="1"/>
  <c r="L8202" i="1"/>
  <c r="A8203" i="1"/>
  <c r="B8203" i="1"/>
  <c r="C8203" i="1"/>
  <c r="D8203" i="1"/>
  <c r="Q8203" i="1"/>
  <c r="R8203" i="1"/>
  <c r="E8203" i="1"/>
  <c r="G8203" i="1"/>
  <c r="H8203" i="1"/>
  <c r="J8203" i="1"/>
  <c r="K8203" i="1"/>
  <c r="L8203" i="1"/>
  <c r="A8204" i="1"/>
  <c r="B8204" i="1"/>
  <c r="C8204" i="1"/>
  <c r="D8204" i="1"/>
  <c r="Q8204" i="1"/>
  <c r="R8204" i="1"/>
  <c r="E8204" i="1"/>
  <c r="G8204" i="1"/>
  <c r="H8204" i="1"/>
  <c r="J8204" i="1"/>
  <c r="K8204" i="1"/>
  <c r="L8204" i="1"/>
  <c r="A8205" i="1"/>
  <c r="B8205" i="1"/>
  <c r="C8205" i="1"/>
  <c r="D8205" i="1"/>
  <c r="Q8205" i="1"/>
  <c r="R8205" i="1"/>
  <c r="E8205" i="1"/>
  <c r="G8205" i="1"/>
  <c r="H8205" i="1"/>
  <c r="J8205" i="1"/>
  <c r="K8205" i="1"/>
  <c r="L8205" i="1"/>
  <c r="A8206" i="1"/>
  <c r="B8206" i="1"/>
  <c r="C8206" i="1"/>
  <c r="D8206" i="1"/>
  <c r="Q8206" i="1"/>
  <c r="R8206" i="1"/>
  <c r="E8206" i="1"/>
  <c r="G8206" i="1"/>
  <c r="H8206" i="1"/>
  <c r="J8206" i="1"/>
  <c r="K8206" i="1"/>
  <c r="L8206" i="1"/>
  <c r="A8207" i="1"/>
  <c r="B8207" i="1"/>
  <c r="C8207" i="1"/>
  <c r="D8207" i="1"/>
  <c r="Q8207" i="1"/>
  <c r="R8207" i="1"/>
  <c r="E8207" i="1"/>
  <c r="G8207" i="1"/>
  <c r="H8207" i="1"/>
  <c r="J8207" i="1"/>
  <c r="K8207" i="1"/>
  <c r="L8207" i="1"/>
  <c r="A8208" i="1"/>
  <c r="B8208" i="1"/>
  <c r="C8208" i="1"/>
  <c r="D8208" i="1"/>
  <c r="Q8208" i="1"/>
  <c r="R8208" i="1"/>
  <c r="E8208" i="1"/>
  <c r="G8208" i="1"/>
  <c r="H8208" i="1"/>
  <c r="J8208" i="1"/>
  <c r="K8208" i="1"/>
  <c r="L8208" i="1"/>
  <c r="A8209" i="1"/>
  <c r="B8209" i="1"/>
  <c r="C8209" i="1"/>
  <c r="D8209" i="1"/>
  <c r="Q8209" i="1"/>
  <c r="R8209" i="1"/>
  <c r="E8209" i="1"/>
  <c r="G8209" i="1"/>
  <c r="H8209" i="1"/>
  <c r="J8209" i="1"/>
  <c r="K8209" i="1"/>
  <c r="L8209" i="1"/>
  <c r="A8210" i="1"/>
  <c r="B8210" i="1"/>
  <c r="C8210" i="1"/>
  <c r="D8210" i="1"/>
  <c r="Q8210" i="1"/>
  <c r="R8210" i="1"/>
  <c r="E8210" i="1"/>
  <c r="G8210" i="1"/>
  <c r="H8210" i="1"/>
  <c r="J8210" i="1"/>
  <c r="K8210" i="1"/>
  <c r="L8210" i="1"/>
  <c r="A8211" i="1"/>
  <c r="B8211" i="1"/>
  <c r="C8211" i="1"/>
  <c r="D8211" i="1"/>
  <c r="Q8211" i="1"/>
  <c r="R8211" i="1"/>
  <c r="E8211" i="1"/>
  <c r="G8211" i="1"/>
  <c r="H8211" i="1"/>
  <c r="J8211" i="1"/>
  <c r="K8211" i="1"/>
  <c r="L8211" i="1"/>
  <c r="A8212" i="1"/>
  <c r="B8212" i="1"/>
  <c r="C8212" i="1"/>
  <c r="D8212" i="1"/>
  <c r="Q8212" i="1"/>
  <c r="R8212" i="1"/>
  <c r="E8212" i="1"/>
  <c r="G8212" i="1"/>
  <c r="H8212" i="1"/>
  <c r="J8212" i="1"/>
  <c r="K8212" i="1"/>
  <c r="L8212" i="1"/>
  <c r="A8213" i="1"/>
  <c r="B8213" i="1"/>
  <c r="C8213" i="1"/>
  <c r="D8213" i="1"/>
  <c r="Q8213" i="1"/>
  <c r="R8213" i="1"/>
  <c r="E8213" i="1"/>
  <c r="G8213" i="1"/>
  <c r="H8213" i="1"/>
  <c r="J8213" i="1"/>
  <c r="K8213" i="1"/>
  <c r="L8213" i="1"/>
  <c r="A8214" i="1"/>
  <c r="B8214" i="1"/>
  <c r="C8214" i="1"/>
  <c r="D8214" i="1"/>
  <c r="Q8214" i="1"/>
  <c r="R8214" i="1"/>
  <c r="E8214" i="1"/>
  <c r="G8214" i="1"/>
  <c r="H8214" i="1"/>
  <c r="J8214" i="1"/>
  <c r="K8214" i="1"/>
  <c r="L8214" i="1"/>
  <c r="A8215" i="1"/>
  <c r="B8215" i="1"/>
  <c r="C8215" i="1"/>
  <c r="D8215" i="1"/>
  <c r="Q8215" i="1"/>
  <c r="R8215" i="1"/>
  <c r="E8215" i="1"/>
  <c r="G8215" i="1"/>
  <c r="H8215" i="1"/>
  <c r="J8215" i="1"/>
  <c r="K8215" i="1"/>
  <c r="L8215" i="1"/>
  <c r="A8216" i="1"/>
  <c r="B8216" i="1"/>
  <c r="C8216" i="1"/>
  <c r="D8216" i="1"/>
  <c r="Q8216" i="1"/>
  <c r="R8216" i="1"/>
  <c r="E8216" i="1"/>
  <c r="G8216" i="1"/>
  <c r="H8216" i="1"/>
  <c r="J8216" i="1"/>
  <c r="K8216" i="1"/>
  <c r="L8216" i="1"/>
  <c r="A8217" i="1"/>
  <c r="B8217" i="1"/>
  <c r="C8217" i="1"/>
  <c r="D8217" i="1"/>
  <c r="Q8217" i="1"/>
  <c r="R8217" i="1"/>
  <c r="E8217" i="1"/>
  <c r="G8217" i="1"/>
  <c r="H8217" i="1"/>
  <c r="J8217" i="1"/>
  <c r="K8217" i="1"/>
  <c r="L8217" i="1"/>
  <c r="A8218" i="1"/>
  <c r="B8218" i="1"/>
  <c r="C8218" i="1"/>
  <c r="D8218" i="1"/>
  <c r="Q8218" i="1"/>
  <c r="R8218" i="1"/>
  <c r="E8218" i="1"/>
  <c r="G8218" i="1"/>
  <c r="H8218" i="1"/>
  <c r="J8218" i="1"/>
  <c r="K8218" i="1"/>
  <c r="L8218" i="1"/>
  <c r="A8219" i="1"/>
  <c r="B8219" i="1"/>
  <c r="C8219" i="1"/>
  <c r="D8219" i="1"/>
  <c r="Q8219" i="1"/>
  <c r="R8219" i="1"/>
  <c r="E8219" i="1"/>
  <c r="G8219" i="1"/>
  <c r="H8219" i="1"/>
  <c r="J8219" i="1"/>
  <c r="K8219" i="1"/>
  <c r="L8219" i="1"/>
  <c r="A8220" i="1"/>
  <c r="B8220" i="1"/>
  <c r="C8220" i="1"/>
  <c r="D8220" i="1"/>
  <c r="Q8220" i="1"/>
  <c r="R8220" i="1"/>
  <c r="E8220" i="1"/>
  <c r="G8220" i="1"/>
  <c r="H8220" i="1"/>
  <c r="J8220" i="1"/>
  <c r="K8220" i="1"/>
  <c r="L8220" i="1"/>
  <c r="A8221" i="1"/>
  <c r="B8221" i="1"/>
  <c r="C8221" i="1"/>
  <c r="D8221" i="1"/>
  <c r="Q8221" i="1"/>
  <c r="R8221" i="1"/>
  <c r="E8221" i="1"/>
  <c r="G8221" i="1"/>
  <c r="H8221" i="1"/>
  <c r="J8221" i="1"/>
  <c r="K8221" i="1"/>
  <c r="L8221" i="1"/>
  <c r="A8222" i="1"/>
  <c r="B8222" i="1"/>
  <c r="C8222" i="1"/>
  <c r="D8222" i="1"/>
  <c r="Q8222" i="1"/>
  <c r="R8222" i="1"/>
  <c r="E8222" i="1"/>
  <c r="G8222" i="1"/>
  <c r="H8222" i="1"/>
  <c r="J8222" i="1"/>
  <c r="K8222" i="1"/>
  <c r="L8222" i="1"/>
  <c r="A8223" i="1"/>
  <c r="B8223" i="1"/>
  <c r="C8223" i="1"/>
  <c r="D8223" i="1"/>
  <c r="Q8223" i="1"/>
  <c r="R8223" i="1"/>
  <c r="E8223" i="1"/>
  <c r="G8223" i="1"/>
  <c r="H8223" i="1"/>
  <c r="J8223" i="1"/>
  <c r="K8223" i="1"/>
  <c r="L8223" i="1"/>
  <c r="A8224" i="1"/>
  <c r="B8224" i="1"/>
  <c r="C8224" i="1"/>
  <c r="D8224" i="1"/>
  <c r="Q8224" i="1"/>
  <c r="R8224" i="1"/>
  <c r="E8224" i="1"/>
  <c r="G8224" i="1"/>
  <c r="H8224" i="1"/>
  <c r="J8224" i="1"/>
  <c r="K8224" i="1"/>
  <c r="L8224" i="1"/>
  <c r="A8225" i="1"/>
  <c r="B8225" i="1"/>
  <c r="C8225" i="1"/>
  <c r="D8225" i="1"/>
  <c r="Q8225" i="1"/>
  <c r="R8225" i="1"/>
  <c r="E8225" i="1"/>
  <c r="G8225" i="1"/>
  <c r="H8225" i="1"/>
  <c r="J8225" i="1"/>
  <c r="K8225" i="1"/>
  <c r="L8225" i="1"/>
  <c r="A8226" i="1"/>
  <c r="B8226" i="1"/>
  <c r="C8226" i="1"/>
  <c r="D8226" i="1"/>
  <c r="Q8226" i="1"/>
  <c r="R8226" i="1"/>
  <c r="E8226" i="1"/>
  <c r="G8226" i="1"/>
  <c r="H8226" i="1"/>
  <c r="J8226" i="1"/>
  <c r="K8226" i="1"/>
  <c r="L8226" i="1"/>
  <c r="A8227" i="1"/>
  <c r="B8227" i="1"/>
  <c r="C8227" i="1"/>
  <c r="D8227" i="1"/>
  <c r="Q8227" i="1"/>
  <c r="R8227" i="1"/>
  <c r="E8227" i="1"/>
  <c r="G8227" i="1"/>
  <c r="H8227" i="1"/>
  <c r="J8227" i="1"/>
  <c r="K8227" i="1"/>
  <c r="L8227" i="1"/>
  <c r="A8228" i="1"/>
  <c r="B8228" i="1"/>
  <c r="C8228" i="1"/>
  <c r="D8228" i="1"/>
  <c r="Q8228" i="1"/>
  <c r="R8228" i="1"/>
  <c r="E8228" i="1"/>
  <c r="G8228" i="1"/>
  <c r="H8228" i="1"/>
  <c r="J8228" i="1"/>
  <c r="K8228" i="1"/>
  <c r="L8228" i="1"/>
  <c r="A8229" i="1"/>
  <c r="B8229" i="1"/>
  <c r="C8229" i="1"/>
  <c r="D8229" i="1"/>
  <c r="Q8229" i="1"/>
  <c r="R8229" i="1"/>
  <c r="E8229" i="1"/>
  <c r="G8229" i="1"/>
  <c r="H8229" i="1"/>
  <c r="J8229" i="1"/>
  <c r="K8229" i="1"/>
  <c r="L8229" i="1"/>
  <c r="A8230" i="1"/>
  <c r="B8230" i="1"/>
  <c r="C8230" i="1"/>
  <c r="D8230" i="1"/>
  <c r="Q8230" i="1"/>
  <c r="R8230" i="1"/>
  <c r="E8230" i="1"/>
  <c r="G8230" i="1"/>
  <c r="H8230" i="1"/>
  <c r="J8230" i="1"/>
  <c r="K8230" i="1"/>
  <c r="L8230" i="1"/>
  <c r="A8231" i="1"/>
  <c r="B8231" i="1"/>
  <c r="C8231" i="1"/>
  <c r="D8231" i="1"/>
  <c r="Q8231" i="1"/>
  <c r="R8231" i="1"/>
  <c r="E8231" i="1"/>
  <c r="G8231" i="1"/>
  <c r="H8231" i="1"/>
  <c r="J8231" i="1"/>
  <c r="K8231" i="1"/>
  <c r="L8231" i="1"/>
  <c r="A8232" i="1"/>
  <c r="B8232" i="1"/>
  <c r="C8232" i="1"/>
  <c r="D8232" i="1"/>
  <c r="Q8232" i="1"/>
  <c r="R8232" i="1"/>
  <c r="E8232" i="1"/>
  <c r="G8232" i="1"/>
  <c r="H8232" i="1"/>
  <c r="J8232" i="1"/>
  <c r="K8232" i="1"/>
  <c r="L8232" i="1"/>
  <c r="A8233" i="1"/>
  <c r="B8233" i="1"/>
  <c r="C8233" i="1"/>
  <c r="D8233" i="1"/>
  <c r="Q8233" i="1"/>
  <c r="R8233" i="1"/>
  <c r="E8233" i="1"/>
  <c r="G8233" i="1"/>
  <c r="H8233" i="1"/>
  <c r="J8233" i="1"/>
  <c r="K8233" i="1"/>
  <c r="L8233" i="1"/>
  <c r="A8234" i="1"/>
  <c r="B8234" i="1"/>
  <c r="C8234" i="1"/>
  <c r="D8234" i="1"/>
  <c r="Q8234" i="1"/>
  <c r="R8234" i="1"/>
  <c r="E8234" i="1"/>
  <c r="G8234" i="1"/>
  <c r="H8234" i="1"/>
  <c r="J8234" i="1"/>
  <c r="K8234" i="1"/>
  <c r="L8234" i="1"/>
  <c r="A8235" i="1"/>
  <c r="B8235" i="1"/>
  <c r="C8235" i="1"/>
  <c r="D8235" i="1"/>
  <c r="Q8235" i="1"/>
  <c r="R8235" i="1"/>
  <c r="E8235" i="1"/>
  <c r="G8235" i="1"/>
  <c r="H8235" i="1"/>
  <c r="J8235" i="1"/>
  <c r="K8235" i="1"/>
  <c r="L8235" i="1"/>
  <c r="A8236" i="1"/>
  <c r="B8236" i="1"/>
  <c r="C8236" i="1"/>
  <c r="D8236" i="1"/>
  <c r="Q8236" i="1"/>
  <c r="R8236" i="1"/>
  <c r="E8236" i="1"/>
  <c r="G8236" i="1"/>
  <c r="H8236" i="1"/>
  <c r="J8236" i="1"/>
  <c r="K8236" i="1"/>
  <c r="L8236" i="1"/>
  <c r="A8237" i="1"/>
  <c r="B8237" i="1"/>
  <c r="C8237" i="1"/>
  <c r="D8237" i="1"/>
  <c r="Q8237" i="1"/>
  <c r="R8237" i="1"/>
  <c r="E8237" i="1"/>
  <c r="G8237" i="1"/>
  <c r="H8237" i="1"/>
  <c r="J8237" i="1"/>
  <c r="K8237" i="1"/>
  <c r="L8237" i="1"/>
  <c r="A8238" i="1"/>
  <c r="B8238" i="1"/>
  <c r="C8238" i="1"/>
  <c r="D8238" i="1"/>
  <c r="Q8238" i="1"/>
  <c r="R8238" i="1"/>
  <c r="E8238" i="1"/>
  <c r="G8238" i="1"/>
  <c r="H8238" i="1"/>
  <c r="J8238" i="1"/>
  <c r="K8238" i="1"/>
  <c r="L8238" i="1"/>
  <c r="A8239" i="1"/>
  <c r="B8239" i="1"/>
  <c r="C8239" i="1"/>
  <c r="D8239" i="1"/>
  <c r="Q8239" i="1"/>
  <c r="R8239" i="1"/>
  <c r="E8239" i="1"/>
  <c r="G8239" i="1"/>
  <c r="H8239" i="1"/>
  <c r="J8239" i="1"/>
  <c r="K8239" i="1"/>
  <c r="L8239" i="1"/>
  <c r="A8240" i="1"/>
  <c r="B8240" i="1"/>
  <c r="C8240" i="1"/>
  <c r="D8240" i="1"/>
  <c r="Q8240" i="1"/>
  <c r="R8240" i="1"/>
  <c r="E8240" i="1"/>
  <c r="G8240" i="1"/>
  <c r="H8240" i="1"/>
  <c r="J8240" i="1"/>
  <c r="K8240" i="1"/>
  <c r="L8240" i="1"/>
  <c r="A8241" i="1"/>
  <c r="B8241" i="1"/>
  <c r="C8241" i="1"/>
  <c r="D8241" i="1"/>
  <c r="Q8241" i="1"/>
  <c r="R8241" i="1"/>
  <c r="E8241" i="1"/>
  <c r="G8241" i="1"/>
  <c r="H8241" i="1"/>
  <c r="J8241" i="1"/>
  <c r="K8241" i="1"/>
  <c r="L8241" i="1"/>
  <c r="A8242" i="1"/>
  <c r="B8242" i="1"/>
  <c r="C8242" i="1"/>
  <c r="D8242" i="1"/>
  <c r="Q8242" i="1"/>
  <c r="R8242" i="1"/>
  <c r="E8242" i="1"/>
  <c r="F8242" i="1"/>
  <c r="G8242" i="1"/>
  <c r="H8242" i="1"/>
  <c r="J8242" i="1"/>
  <c r="K8242" i="1"/>
  <c r="L8242" i="1"/>
  <c r="A8243" i="1"/>
  <c r="B8243" i="1"/>
  <c r="C8243" i="1"/>
  <c r="D8243" i="1"/>
  <c r="Q8243" i="1"/>
  <c r="R8243" i="1"/>
  <c r="E8243" i="1"/>
  <c r="G8243" i="1"/>
  <c r="H8243" i="1"/>
  <c r="J8243" i="1"/>
  <c r="K8243" i="1"/>
  <c r="L8243" i="1"/>
  <c r="A8244" i="1"/>
  <c r="B8244" i="1"/>
  <c r="C8244" i="1"/>
  <c r="D8244" i="1"/>
  <c r="Q8244" i="1"/>
  <c r="R8244" i="1"/>
  <c r="E8244" i="1"/>
  <c r="G8244" i="1"/>
  <c r="H8244" i="1"/>
  <c r="J8244" i="1"/>
  <c r="K8244" i="1"/>
  <c r="L8244" i="1"/>
  <c r="A8245" i="1"/>
  <c r="B8245" i="1"/>
  <c r="C8245" i="1"/>
  <c r="D8245" i="1"/>
  <c r="Q8245" i="1"/>
  <c r="R8245" i="1"/>
  <c r="E8245" i="1"/>
  <c r="G8245" i="1"/>
  <c r="H8245" i="1"/>
  <c r="J8245" i="1"/>
  <c r="K8245" i="1"/>
  <c r="L8245" i="1"/>
  <c r="A8246" i="1"/>
  <c r="B8246" i="1"/>
  <c r="C8246" i="1"/>
  <c r="D8246" i="1"/>
  <c r="Q8246" i="1"/>
  <c r="R8246" i="1"/>
  <c r="E8246" i="1"/>
  <c r="G8246" i="1"/>
  <c r="H8246" i="1"/>
  <c r="J8246" i="1"/>
  <c r="K8246" i="1"/>
  <c r="L8246" i="1"/>
  <c r="A8247" i="1"/>
  <c r="B8247" i="1"/>
  <c r="C8247" i="1"/>
  <c r="D8247" i="1"/>
  <c r="Q8247" i="1"/>
  <c r="R8247" i="1"/>
  <c r="E8247" i="1"/>
  <c r="G8247" i="1"/>
  <c r="H8247" i="1"/>
  <c r="J8247" i="1"/>
  <c r="K8247" i="1"/>
  <c r="L8247" i="1"/>
  <c r="A8248" i="1"/>
  <c r="B8248" i="1"/>
  <c r="C8248" i="1"/>
  <c r="D8248" i="1"/>
  <c r="Q8248" i="1"/>
  <c r="R8248" i="1"/>
  <c r="E8248" i="1"/>
  <c r="G8248" i="1"/>
  <c r="H8248" i="1"/>
  <c r="J8248" i="1"/>
  <c r="K8248" i="1"/>
  <c r="L8248" i="1"/>
  <c r="A8249" i="1"/>
  <c r="B8249" i="1"/>
  <c r="C8249" i="1"/>
  <c r="D8249" i="1"/>
  <c r="Q8249" i="1"/>
  <c r="R8249" i="1"/>
  <c r="E8249" i="1"/>
  <c r="G8249" i="1"/>
  <c r="H8249" i="1"/>
  <c r="J8249" i="1"/>
  <c r="K8249" i="1"/>
  <c r="L8249" i="1"/>
  <c r="A8250" i="1"/>
  <c r="B8250" i="1"/>
  <c r="C8250" i="1"/>
  <c r="D8250" i="1"/>
  <c r="Q8250" i="1"/>
  <c r="R8250" i="1"/>
  <c r="E8250" i="1"/>
  <c r="G8250" i="1"/>
  <c r="H8250" i="1"/>
  <c r="J8250" i="1"/>
  <c r="K8250" i="1"/>
  <c r="L8250" i="1"/>
  <c r="A8251" i="1"/>
  <c r="B8251" i="1"/>
  <c r="C8251" i="1"/>
  <c r="D8251" i="1"/>
  <c r="Q8251" i="1"/>
  <c r="R8251" i="1"/>
  <c r="E8251" i="1"/>
  <c r="G8251" i="1"/>
  <c r="H8251" i="1"/>
  <c r="J8251" i="1"/>
  <c r="K8251" i="1"/>
  <c r="L8251" i="1"/>
  <c r="A8252" i="1"/>
  <c r="B8252" i="1"/>
  <c r="C8252" i="1"/>
  <c r="D8252" i="1"/>
  <c r="Q8252" i="1"/>
  <c r="R8252" i="1"/>
  <c r="E8252" i="1"/>
  <c r="G8252" i="1"/>
  <c r="H8252" i="1"/>
  <c r="J8252" i="1"/>
  <c r="K8252" i="1"/>
  <c r="L8252" i="1"/>
  <c r="A8253" i="1"/>
  <c r="B8253" i="1"/>
  <c r="C8253" i="1"/>
  <c r="D8253" i="1"/>
  <c r="Q8253" i="1"/>
  <c r="R8253" i="1"/>
  <c r="E8253" i="1"/>
  <c r="G8253" i="1"/>
  <c r="H8253" i="1"/>
  <c r="J8253" i="1"/>
  <c r="K8253" i="1"/>
  <c r="L8253" i="1"/>
  <c r="A8254" i="1"/>
  <c r="B8254" i="1"/>
  <c r="C8254" i="1"/>
  <c r="D8254" i="1"/>
  <c r="Q8254" i="1"/>
  <c r="R8254" i="1"/>
  <c r="E8254" i="1"/>
  <c r="G8254" i="1"/>
  <c r="H8254" i="1"/>
  <c r="J8254" i="1"/>
  <c r="K8254" i="1"/>
  <c r="L8254" i="1"/>
  <c r="A8255" i="1"/>
  <c r="B8255" i="1"/>
  <c r="C8255" i="1"/>
  <c r="D8255" i="1"/>
  <c r="Q8255" i="1"/>
  <c r="R8255" i="1"/>
  <c r="E8255" i="1"/>
  <c r="G8255" i="1"/>
  <c r="H8255" i="1"/>
  <c r="J8255" i="1"/>
  <c r="K8255" i="1"/>
  <c r="L8255" i="1"/>
  <c r="A8256" i="1"/>
  <c r="B8256" i="1"/>
  <c r="C8256" i="1"/>
  <c r="D8256" i="1"/>
  <c r="Q8256" i="1"/>
  <c r="R8256" i="1"/>
  <c r="E8256" i="1"/>
  <c r="G8256" i="1"/>
  <c r="H8256" i="1"/>
  <c r="J8256" i="1"/>
  <c r="K8256" i="1"/>
  <c r="L8256" i="1"/>
  <c r="A8257" i="1"/>
  <c r="B8257" i="1"/>
  <c r="C8257" i="1"/>
  <c r="D8257" i="1"/>
  <c r="Q8257" i="1"/>
  <c r="R8257" i="1"/>
  <c r="E8257" i="1"/>
  <c r="G8257" i="1"/>
  <c r="H8257" i="1"/>
  <c r="J8257" i="1"/>
  <c r="K8257" i="1"/>
  <c r="L8257" i="1"/>
  <c r="A8258" i="1"/>
  <c r="B8258" i="1"/>
  <c r="C8258" i="1"/>
  <c r="D8258" i="1"/>
  <c r="Q8258" i="1"/>
  <c r="R8258" i="1"/>
  <c r="E8258" i="1"/>
  <c r="G8258" i="1"/>
  <c r="H8258" i="1"/>
  <c r="J8258" i="1"/>
  <c r="K8258" i="1"/>
  <c r="L8258" i="1"/>
  <c r="A8259" i="1"/>
  <c r="B8259" i="1"/>
  <c r="C8259" i="1"/>
  <c r="D8259" i="1"/>
  <c r="Q8259" i="1"/>
  <c r="R8259" i="1"/>
  <c r="E8259" i="1"/>
  <c r="G8259" i="1"/>
  <c r="H8259" i="1"/>
  <c r="J8259" i="1"/>
  <c r="K8259" i="1"/>
  <c r="L8259" i="1"/>
  <c r="A8260" i="1"/>
  <c r="B8260" i="1"/>
  <c r="C8260" i="1"/>
  <c r="D8260" i="1"/>
  <c r="Q8260" i="1"/>
  <c r="R8260" i="1"/>
  <c r="E8260" i="1"/>
  <c r="G8260" i="1"/>
  <c r="H8260" i="1"/>
  <c r="J8260" i="1"/>
  <c r="K8260" i="1"/>
  <c r="L8260" i="1"/>
  <c r="A8261" i="1"/>
  <c r="B8261" i="1"/>
  <c r="C8261" i="1"/>
  <c r="D8261" i="1"/>
  <c r="Q8261" i="1"/>
  <c r="R8261" i="1"/>
  <c r="E8261" i="1"/>
  <c r="G8261" i="1"/>
  <c r="H8261" i="1"/>
  <c r="J8261" i="1"/>
  <c r="K8261" i="1"/>
  <c r="L8261" i="1"/>
  <c r="A8262" i="1"/>
  <c r="B8262" i="1"/>
  <c r="C8262" i="1"/>
  <c r="D8262" i="1"/>
  <c r="Q8262" i="1"/>
  <c r="R8262" i="1"/>
  <c r="E8262" i="1"/>
  <c r="G8262" i="1"/>
  <c r="H8262" i="1"/>
  <c r="J8262" i="1"/>
  <c r="K8262" i="1"/>
  <c r="L8262" i="1"/>
  <c r="A8263" i="1"/>
  <c r="B8263" i="1"/>
  <c r="C8263" i="1"/>
  <c r="D8263" i="1"/>
  <c r="Q8263" i="1"/>
  <c r="R8263" i="1"/>
  <c r="E8263" i="1"/>
  <c r="G8263" i="1"/>
  <c r="H8263" i="1"/>
  <c r="J8263" i="1"/>
  <c r="K8263" i="1"/>
  <c r="L8263" i="1"/>
  <c r="A8264" i="1"/>
  <c r="B8264" i="1"/>
  <c r="C8264" i="1"/>
  <c r="D8264" i="1"/>
  <c r="Q8264" i="1"/>
  <c r="R8264" i="1"/>
  <c r="E8264" i="1"/>
  <c r="G8264" i="1"/>
  <c r="H8264" i="1"/>
  <c r="J8264" i="1"/>
  <c r="K8264" i="1"/>
  <c r="L8264" i="1"/>
  <c r="A8265" i="1"/>
  <c r="B8265" i="1"/>
  <c r="C8265" i="1"/>
  <c r="D8265" i="1"/>
  <c r="Q8265" i="1"/>
  <c r="R8265" i="1"/>
  <c r="E8265" i="1"/>
  <c r="G8265" i="1"/>
  <c r="H8265" i="1"/>
  <c r="J8265" i="1"/>
  <c r="K8265" i="1"/>
  <c r="L8265" i="1"/>
  <c r="A8266" i="1"/>
  <c r="B8266" i="1"/>
  <c r="C8266" i="1"/>
  <c r="D8266" i="1"/>
  <c r="Q8266" i="1"/>
  <c r="R8266" i="1"/>
  <c r="E8266" i="1"/>
  <c r="G8266" i="1"/>
  <c r="H8266" i="1"/>
  <c r="J8266" i="1"/>
  <c r="K8266" i="1"/>
  <c r="L8266" i="1"/>
  <c r="A8267" i="1"/>
  <c r="B8267" i="1"/>
  <c r="C8267" i="1"/>
  <c r="D8267" i="1"/>
  <c r="Q8267" i="1"/>
  <c r="R8267" i="1"/>
  <c r="E8267" i="1"/>
  <c r="G8267" i="1"/>
  <c r="H8267" i="1"/>
  <c r="J8267" i="1"/>
  <c r="K8267" i="1"/>
  <c r="L8267" i="1"/>
  <c r="A8268" i="1"/>
  <c r="B8268" i="1"/>
  <c r="C8268" i="1"/>
  <c r="D8268" i="1"/>
  <c r="Q8268" i="1"/>
  <c r="R8268" i="1"/>
  <c r="E8268" i="1"/>
  <c r="G8268" i="1"/>
  <c r="H8268" i="1"/>
  <c r="J8268" i="1"/>
  <c r="K8268" i="1"/>
  <c r="L8268" i="1"/>
  <c r="A8269" i="1"/>
  <c r="B8269" i="1"/>
  <c r="C8269" i="1"/>
  <c r="D8269" i="1"/>
  <c r="Q8269" i="1"/>
  <c r="R8269" i="1"/>
  <c r="E8269" i="1"/>
  <c r="G8269" i="1"/>
  <c r="H8269" i="1"/>
  <c r="J8269" i="1"/>
  <c r="K8269" i="1"/>
  <c r="L8269" i="1"/>
  <c r="A8270" i="1"/>
  <c r="B8270" i="1"/>
  <c r="C8270" i="1"/>
  <c r="D8270" i="1"/>
  <c r="Q8270" i="1"/>
  <c r="R8270" i="1"/>
  <c r="E8270" i="1"/>
  <c r="G8270" i="1"/>
  <c r="H8270" i="1"/>
  <c r="J8270" i="1"/>
  <c r="K8270" i="1"/>
  <c r="L8270" i="1"/>
  <c r="A8271" i="1"/>
  <c r="B8271" i="1"/>
  <c r="C8271" i="1"/>
  <c r="D8271" i="1"/>
  <c r="Q8271" i="1"/>
  <c r="R8271" i="1"/>
  <c r="E8271" i="1"/>
  <c r="G8271" i="1"/>
  <c r="H8271" i="1"/>
  <c r="J8271" i="1"/>
  <c r="K8271" i="1"/>
  <c r="L8271" i="1"/>
  <c r="A8272" i="1"/>
  <c r="B8272" i="1"/>
  <c r="C8272" i="1"/>
  <c r="D8272" i="1"/>
  <c r="Q8272" i="1"/>
  <c r="R8272" i="1"/>
  <c r="E8272" i="1"/>
  <c r="G8272" i="1"/>
  <c r="H8272" i="1"/>
  <c r="J8272" i="1"/>
  <c r="K8272" i="1"/>
  <c r="L8272" i="1"/>
  <c r="A8273" i="1"/>
  <c r="B8273" i="1"/>
  <c r="C8273" i="1"/>
  <c r="D8273" i="1"/>
  <c r="Q8273" i="1"/>
  <c r="R8273" i="1"/>
  <c r="E8273" i="1"/>
  <c r="G8273" i="1"/>
  <c r="H8273" i="1"/>
  <c r="J8273" i="1"/>
  <c r="K8273" i="1"/>
  <c r="L8273" i="1"/>
  <c r="A8274" i="1"/>
  <c r="B8274" i="1"/>
  <c r="C8274" i="1"/>
  <c r="D8274" i="1"/>
  <c r="Q8274" i="1"/>
  <c r="R8274" i="1"/>
  <c r="E8274" i="1"/>
  <c r="G8274" i="1"/>
  <c r="H8274" i="1"/>
  <c r="J8274" i="1"/>
  <c r="K8274" i="1"/>
  <c r="L8274" i="1"/>
  <c r="A8275" i="1"/>
  <c r="B8275" i="1"/>
  <c r="C8275" i="1"/>
  <c r="D8275" i="1"/>
  <c r="Q8275" i="1"/>
  <c r="R8275" i="1"/>
  <c r="E8275" i="1"/>
  <c r="G8275" i="1"/>
  <c r="H8275" i="1"/>
  <c r="J8275" i="1"/>
  <c r="K8275" i="1"/>
  <c r="L8275" i="1"/>
  <c r="A8276" i="1"/>
  <c r="B8276" i="1"/>
  <c r="C8276" i="1"/>
  <c r="D8276" i="1"/>
  <c r="Q8276" i="1"/>
  <c r="R8276" i="1"/>
  <c r="E8276" i="1"/>
  <c r="G8276" i="1"/>
  <c r="H8276" i="1"/>
  <c r="J8276" i="1"/>
  <c r="K8276" i="1"/>
  <c r="L8276" i="1"/>
  <c r="A8277" i="1"/>
  <c r="B8277" i="1"/>
  <c r="C8277" i="1"/>
  <c r="D8277" i="1"/>
  <c r="Q8277" i="1"/>
  <c r="R8277" i="1"/>
  <c r="E8277" i="1"/>
  <c r="G8277" i="1"/>
  <c r="H8277" i="1"/>
  <c r="J8277" i="1"/>
  <c r="K8277" i="1"/>
  <c r="L8277" i="1"/>
  <c r="A8278" i="1"/>
  <c r="B8278" i="1"/>
  <c r="C8278" i="1"/>
  <c r="D8278" i="1"/>
  <c r="Q8278" i="1"/>
  <c r="R8278" i="1"/>
  <c r="E8278" i="1"/>
  <c r="G8278" i="1"/>
  <c r="H8278" i="1"/>
  <c r="J8278" i="1"/>
  <c r="K8278" i="1"/>
  <c r="L8278" i="1"/>
  <c r="A8279" i="1"/>
  <c r="B8279" i="1"/>
  <c r="C8279" i="1"/>
  <c r="D8279" i="1"/>
  <c r="Q8279" i="1"/>
  <c r="R8279" i="1"/>
  <c r="E8279" i="1"/>
  <c r="G8279" i="1"/>
  <c r="H8279" i="1"/>
  <c r="J8279" i="1"/>
  <c r="K8279" i="1"/>
  <c r="L8279" i="1"/>
  <c r="A8280" i="1"/>
  <c r="B8280" i="1"/>
  <c r="C8280" i="1"/>
  <c r="D8280" i="1"/>
  <c r="Q8280" i="1"/>
  <c r="R8280" i="1"/>
  <c r="E8280" i="1"/>
  <c r="G8280" i="1"/>
  <c r="H8280" i="1"/>
  <c r="J8280" i="1"/>
  <c r="K8280" i="1"/>
  <c r="L8280" i="1"/>
  <c r="A8281" i="1"/>
  <c r="B8281" i="1"/>
  <c r="C8281" i="1"/>
  <c r="D8281" i="1"/>
  <c r="Q8281" i="1"/>
  <c r="R8281" i="1"/>
  <c r="E8281" i="1"/>
  <c r="G8281" i="1"/>
  <c r="H8281" i="1"/>
  <c r="J8281" i="1"/>
  <c r="K8281" i="1"/>
  <c r="L8281" i="1"/>
  <c r="A8282" i="1"/>
  <c r="B8282" i="1"/>
  <c r="C8282" i="1"/>
  <c r="D8282" i="1"/>
  <c r="Q8282" i="1"/>
  <c r="R8282" i="1"/>
  <c r="E8282" i="1"/>
  <c r="G8282" i="1"/>
  <c r="H8282" i="1"/>
  <c r="J8282" i="1"/>
  <c r="K8282" i="1"/>
  <c r="L8282" i="1"/>
  <c r="A8283" i="1"/>
  <c r="B8283" i="1"/>
  <c r="C8283" i="1"/>
  <c r="D8283" i="1"/>
  <c r="Q8283" i="1"/>
  <c r="R8283" i="1"/>
  <c r="E8283" i="1"/>
  <c r="G8283" i="1"/>
  <c r="H8283" i="1"/>
  <c r="J8283" i="1"/>
  <c r="K8283" i="1"/>
  <c r="L8283" i="1"/>
  <c r="A8284" i="1"/>
  <c r="B8284" i="1"/>
  <c r="C8284" i="1"/>
  <c r="D8284" i="1"/>
  <c r="Q8284" i="1"/>
  <c r="R8284" i="1"/>
  <c r="E8284" i="1"/>
  <c r="G8284" i="1"/>
  <c r="H8284" i="1"/>
  <c r="J8284" i="1"/>
  <c r="K8284" i="1"/>
  <c r="L8284" i="1"/>
  <c r="A8285" i="1"/>
  <c r="B8285" i="1"/>
  <c r="C8285" i="1"/>
  <c r="D8285" i="1"/>
  <c r="Q8285" i="1"/>
  <c r="R8285" i="1"/>
  <c r="E8285" i="1"/>
  <c r="G8285" i="1"/>
  <c r="H8285" i="1"/>
  <c r="J8285" i="1"/>
  <c r="K8285" i="1"/>
  <c r="L8285" i="1"/>
  <c r="A8286" i="1"/>
  <c r="B8286" i="1"/>
  <c r="C8286" i="1"/>
  <c r="D8286" i="1"/>
  <c r="Q8286" i="1"/>
  <c r="R8286" i="1"/>
  <c r="E8286" i="1"/>
  <c r="G8286" i="1"/>
  <c r="H8286" i="1"/>
  <c r="J8286" i="1"/>
  <c r="K8286" i="1"/>
  <c r="L8286" i="1"/>
  <c r="A8287" i="1"/>
  <c r="B8287" i="1"/>
  <c r="C8287" i="1"/>
  <c r="D8287" i="1"/>
  <c r="Q8287" i="1"/>
  <c r="R8287" i="1"/>
  <c r="E8287" i="1"/>
  <c r="G8287" i="1"/>
  <c r="H8287" i="1"/>
  <c r="J8287" i="1"/>
  <c r="K8287" i="1"/>
  <c r="L8287" i="1"/>
  <c r="A8288" i="1"/>
  <c r="B8288" i="1"/>
  <c r="C8288" i="1"/>
  <c r="D8288" i="1"/>
  <c r="Q8288" i="1"/>
  <c r="R8288" i="1"/>
  <c r="E8288" i="1"/>
  <c r="G8288" i="1"/>
  <c r="H8288" i="1"/>
  <c r="J8288" i="1"/>
  <c r="K8288" i="1"/>
  <c r="L8288" i="1"/>
  <c r="A8289" i="1"/>
  <c r="B8289" i="1"/>
  <c r="C8289" i="1"/>
  <c r="D8289" i="1"/>
  <c r="Q8289" i="1"/>
  <c r="R8289" i="1"/>
  <c r="E8289" i="1"/>
  <c r="G8289" i="1"/>
  <c r="H8289" i="1"/>
  <c r="J8289" i="1"/>
  <c r="K8289" i="1"/>
  <c r="L8289" i="1"/>
  <c r="A8290" i="1"/>
  <c r="B8290" i="1"/>
  <c r="C8290" i="1"/>
  <c r="D8290" i="1"/>
  <c r="Q8290" i="1"/>
  <c r="R8290" i="1"/>
  <c r="E8290" i="1"/>
  <c r="G8290" i="1"/>
  <c r="H8290" i="1"/>
  <c r="J8290" i="1"/>
  <c r="K8290" i="1"/>
  <c r="L8290" i="1"/>
  <c r="A8291" i="1"/>
  <c r="B8291" i="1"/>
  <c r="C8291" i="1"/>
  <c r="D8291" i="1"/>
  <c r="Q8291" i="1"/>
  <c r="R8291" i="1"/>
  <c r="E8291" i="1"/>
  <c r="G8291" i="1"/>
  <c r="H8291" i="1"/>
  <c r="J8291" i="1"/>
  <c r="K8291" i="1"/>
  <c r="L8291" i="1"/>
  <c r="A8292" i="1"/>
  <c r="B8292" i="1"/>
  <c r="C8292" i="1"/>
  <c r="D8292" i="1"/>
  <c r="Q8292" i="1"/>
  <c r="R8292" i="1"/>
  <c r="E8292" i="1"/>
  <c r="G8292" i="1"/>
  <c r="H8292" i="1"/>
  <c r="J8292" i="1"/>
  <c r="K8292" i="1"/>
  <c r="L8292" i="1"/>
  <c r="A8293" i="1"/>
  <c r="B8293" i="1"/>
  <c r="C8293" i="1"/>
  <c r="D8293" i="1"/>
  <c r="Q8293" i="1"/>
  <c r="R8293" i="1"/>
  <c r="E8293" i="1"/>
  <c r="G8293" i="1"/>
  <c r="H8293" i="1"/>
  <c r="J8293" i="1"/>
  <c r="K8293" i="1"/>
  <c r="L8293" i="1"/>
  <c r="A8294" i="1"/>
  <c r="B8294" i="1"/>
  <c r="C8294" i="1"/>
  <c r="D8294" i="1"/>
  <c r="Q8294" i="1"/>
  <c r="R8294" i="1"/>
  <c r="E8294" i="1"/>
  <c r="G8294" i="1"/>
  <c r="H8294" i="1"/>
  <c r="J8294" i="1"/>
  <c r="K8294" i="1"/>
  <c r="L8294" i="1"/>
  <c r="A8295" i="1"/>
  <c r="B8295" i="1"/>
  <c r="C8295" i="1"/>
  <c r="D8295" i="1"/>
  <c r="Q8295" i="1"/>
  <c r="R8295" i="1"/>
  <c r="E8295" i="1"/>
  <c r="G8295" i="1"/>
  <c r="H8295" i="1"/>
  <c r="J8295" i="1"/>
  <c r="K8295" i="1"/>
  <c r="L8295" i="1"/>
  <c r="A8296" i="1"/>
  <c r="B8296" i="1"/>
  <c r="C8296" i="1"/>
  <c r="D8296" i="1"/>
  <c r="Q8296" i="1"/>
  <c r="R8296" i="1"/>
  <c r="E8296" i="1"/>
  <c r="G8296" i="1"/>
  <c r="H8296" i="1"/>
  <c r="J8296" i="1"/>
  <c r="K8296" i="1"/>
  <c r="L8296" i="1"/>
  <c r="A8297" i="1"/>
  <c r="B8297" i="1"/>
  <c r="C8297" i="1"/>
  <c r="D8297" i="1"/>
  <c r="Q8297" i="1"/>
  <c r="R8297" i="1"/>
  <c r="E8297" i="1"/>
  <c r="G8297" i="1"/>
  <c r="H8297" i="1"/>
  <c r="J8297" i="1"/>
  <c r="K8297" i="1"/>
  <c r="L8297" i="1"/>
  <c r="A8298" i="1"/>
  <c r="B8298" i="1"/>
  <c r="C8298" i="1"/>
  <c r="D8298" i="1"/>
  <c r="Q8298" i="1"/>
  <c r="R8298" i="1"/>
  <c r="E8298" i="1"/>
  <c r="G8298" i="1"/>
  <c r="H8298" i="1"/>
  <c r="J8298" i="1"/>
  <c r="K8298" i="1"/>
  <c r="L8298" i="1"/>
  <c r="A8299" i="1"/>
  <c r="B8299" i="1"/>
  <c r="C8299" i="1"/>
  <c r="D8299" i="1"/>
  <c r="Q8299" i="1"/>
  <c r="R8299" i="1"/>
  <c r="E8299" i="1"/>
  <c r="G8299" i="1"/>
  <c r="H8299" i="1"/>
  <c r="J8299" i="1"/>
  <c r="K8299" i="1"/>
  <c r="L8299" i="1"/>
  <c r="A8300" i="1"/>
  <c r="B8300" i="1"/>
  <c r="C8300" i="1"/>
  <c r="D8300" i="1"/>
  <c r="Q8300" i="1"/>
  <c r="R8300" i="1"/>
  <c r="E8300" i="1"/>
  <c r="G8300" i="1"/>
  <c r="H8300" i="1"/>
  <c r="J8300" i="1"/>
  <c r="K8300" i="1"/>
  <c r="L8300" i="1"/>
  <c r="A8301" i="1"/>
  <c r="B8301" i="1"/>
  <c r="C8301" i="1"/>
  <c r="D8301" i="1"/>
  <c r="Q8301" i="1"/>
  <c r="R8301" i="1"/>
  <c r="E8301" i="1"/>
  <c r="G8301" i="1"/>
  <c r="H8301" i="1"/>
  <c r="J8301" i="1"/>
  <c r="K8301" i="1"/>
  <c r="L8301" i="1"/>
  <c r="A8302" i="1"/>
  <c r="B8302" i="1"/>
  <c r="C8302" i="1"/>
  <c r="D8302" i="1"/>
  <c r="Q8302" i="1"/>
  <c r="R8302" i="1"/>
  <c r="E8302" i="1"/>
  <c r="G8302" i="1"/>
  <c r="H8302" i="1"/>
  <c r="J8302" i="1"/>
  <c r="K8302" i="1"/>
  <c r="L8302" i="1"/>
  <c r="A8303" i="1"/>
  <c r="B8303" i="1"/>
  <c r="C8303" i="1"/>
  <c r="D8303" i="1"/>
  <c r="Q8303" i="1"/>
  <c r="R8303" i="1"/>
  <c r="E8303" i="1"/>
  <c r="G8303" i="1"/>
  <c r="H8303" i="1"/>
  <c r="J8303" i="1"/>
  <c r="K8303" i="1"/>
  <c r="L8303" i="1"/>
  <c r="A8304" i="1"/>
  <c r="B8304" i="1"/>
  <c r="C8304" i="1"/>
  <c r="D8304" i="1"/>
  <c r="Q8304" i="1"/>
  <c r="R8304" i="1"/>
  <c r="E8304" i="1"/>
  <c r="G8304" i="1"/>
  <c r="H8304" i="1"/>
  <c r="J8304" i="1"/>
  <c r="K8304" i="1"/>
  <c r="L8304" i="1"/>
  <c r="A8305" i="1"/>
  <c r="B8305" i="1"/>
  <c r="C8305" i="1"/>
  <c r="D8305" i="1"/>
  <c r="Q8305" i="1"/>
  <c r="R8305" i="1"/>
  <c r="E8305" i="1"/>
  <c r="G8305" i="1"/>
  <c r="H8305" i="1"/>
  <c r="J8305" i="1"/>
  <c r="K8305" i="1"/>
  <c r="L8305" i="1"/>
  <c r="A8306" i="1"/>
  <c r="B8306" i="1"/>
  <c r="C8306" i="1"/>
  <c r="D8306" i="1"/>
  <c r="Q8306" i="1"/>
  <c r="R8306" i="1"/>
  <c r="E8306" i="1"/>
  <c r="G8306" i="1"/>
  <c r="H8306" i="1"/>
  <c r="J8306" i="1"/>
  <c r="K8306" i="1"/>
  <c r="L8306" i="1"/>
  <c r="A8307" i="1"/>
  <c r="B8307" i="1"/>
  <c r="C8307" i="1"/>
  <c r="D8307" i="1"/>
  <c r="Q8307" i="1"/>
  <c r="R8307" i="1"/>
  <c r="E8307" i="1"/>
  <c r="G8307" i="1"/>
  <c r="H8307" i="1"/>
  <c r="J8307" i="1"/>
  <c r="K8307" i="1"/>
  <c r="L8307" i="1"/>
  <c r="A8308" i="1"/>
  <c r="B8308" i="1"/>
  <c r="C8308" i="1"/>
  <c r="D8308" i="1"/>
  <c r="Q8308" i="1"/>
  <c r="R8308" i="1"/>
  <c r="E8308" i="1"/>
  <c r="G8308" i="1"/>
  <c r="H8308" i="1"/>
  <c r="J8308" i="1"/>
  <c r="K8308" i="1"/>
  <c r="L8308" i="1"/>
  <c r="A8309" i="1"/>
  <c r="B8309" i="1"/>
  <c r="C8309" i="1"/>
  <c r="D8309" i="1"/>
  <c r="Q8309" i="1"/>
  <c r="R8309" i="1"/>
  <c r="E8309" i="1"/>
  <c r="G8309" i="1"/>
  <c r="H8309" i="1"/>
  <c r="J8309" i="1"/>
  <c r="K8309" i="1"/>
  <c r="L8309" i="1"/>
  <c r="A8310" i="1"/>
  <c r="B8310" i="1"/>
  <c r="C8310" i="1"/>
  <c r="D8310" i="1"/>
  <c r="Q8310" i="1"/>
  <c r="R8310" i="1"/>
  <c r="E8310" i="1"/>
  <c r="G8310" i="1"/>
  <c r="H8310" i="1"/>
  <c r="J8310" i="1"/>
  <c r="K8310" i="1"/>
  <c r="L8310" i="1"/>
  <c r="A8311" i="1"/>
  <c r="B8311" i="1"/>
  <c r="C8311" i="1"/>
  <c r="D8311" i="1"/>
  <c r="Q8311" i="1"/>
  <c r="R8311" i="1"/>
  <c r="E8311" i="1"/>
  <c r="G8311" i="1"/>
  <c r="H8311" i="1"/>
  <c r="J8311" i="1"/>
  <c r="K8311" i="1"/>
  <c r="L8311" i="1"/>
  <c r="A8312" i="1"/>
  <c r="B8312" i="1"/>
  <c r="C8312" i="1"/>
  <c r="D8312" i="1"/>
  <c r="Q8312" i="1"/>
  <c r="R8312" i="1"/>
  <c r="E8312" i="1"/>
  <c r="G8312" i="1"/>
  <c r="H8312" i="1"/>
  <c r="J8312" i="1"/>
  <c r="K8312" i="1"/>
  <c r="L8312" i="1"/>
  <c r="A8313" i="1"/>
  <c r="B8313" i="1"/>
  <c r="C8313" i="1"/>
  <c r="D8313" i="1"/>
  <c r="Q8313" i="1"/>
  <c r="R8313" i="1"/>
  <c r="E8313" i="1"/>
  <c r="G8313" i="1"/>
  <c r="H8313" i="1"/>
  <c r="J8313" i="1"/>
  <c r="K8313" i="1"/>
  <c r="L8313" i="1"/>
  <c r="A8314" i="1"/>
  <c r="B8314" i="1"/>
  <c r="C8314" i="1"/>
  <c r="D8314" i="1"/>
  <c r="Q8314" i="1"/>
  <c r="R8314" i="1"/>
  <c r="E8314" i="1"/>
  <c r="G8314" i="1"/>
  <c r="H8314" i="1"/>
  <c r="J8314" i="1"/>
  <c r="K8314" i="1"/>
  <c r="L8314" i="1"/>
  <c r="A8315" i="1"/>
  <c r="B8315" i="1"/>
  <c r="C8315" i="1"/>
  <c r="D8315" i="1"/>
  <c r="Q8315" i="1"/>
  <c r="R8315" i="1"/>
  <c r="E8315" i="1"/>
  <c r="G8315" i="1"/>
  <c r="H8315" i="1"/>
  <c r="J8315" i="1"/>
  <c r="K8315" i="1"/>
  <c r="L8315" i="1"/>
  <c r="A8316" i="1"/>
  <c r="B8316" i="1"/>
  <c r="C8316" i="1"/>
  <c r="D8316" i="1"/>
  <c r="Q8316" i="1"/>
  <c r="R8316" i="1"/>
  <c r="E8316" i="1"/>
  <c r="G8316" i="1"/>
  <c r="H8316" i="1"/>
  <c r="J8316" i="1"/>
  <c r="K8316" i="1"/>
  <c r="L8316" i="1"/>
  <c r="A8317" i="1"/>
  <c r="B8317" i="1"/>
  <c r="C8317" i="1"/>
  <c r="D8317" i="1"/>
  <c r="Q8317" i="1"/>
  <c r="R8317" i="1"/>
  <c r="E8317" i="1"/>
  <c r="G8317" i="1"/>
  <c r="H8317" i="1"/>
  <c r="J8317" i="1"/>
  <c r="K8317" i="1"/>
  <c r="L8317" i="1"/>
  <c r="A8318" i="1"/>
  <c r="B8318" i="1"/>
  <c r="C8318" i="1"/>
  <c r="D8318" i="1"/>
  <c r="Q8318" i="1"/>
  <c r="R8318" i="1"/>
  <c r="E8318" i="1"/>
  <c r="G8318" i="1"/>
  <c r="H8318" i="1"/>
  <c r="J8318" i="1"/>
  <c r="K8318" i="1"/>
  <c r="L8318" i="1"/>
  <c r="A8319" i="1"/>
  <c r="B8319" i="1"/>
  <c r="C8319" i="1"/>
  <c r="D8319" i="1"/>
  <c r="Q8319" i="1"/>
  <c r="R8319" i="1"/>
  <c r="E8319" i="1"/>
  <c r="G8319" i="1"/>
  <c r="H8319" i="1"/>
  <c r="J8319" i="1"/>
  <c r="K8319" i="1"/>
  <c r="L8319" i="1"/>
  <c r="A8320" i="1"/>
  <c r="B8320" i="1"/>
  <c r="C8320" i="1"/>
  <c r="D8320" i="1"/>
  <c r="Q8320" i="1"/>
  <c r="R8320" i="1"/>
  <c r="E8320" i="1"/>
  <c r="G8320" i="1"/>
  <c r="H8320" i="1"/>
  <c r="J8320" i="1"/>
  <c r="K8320" i="1"/>
  <c r="L8320" i="1"/>
  <c r="A8321" i="1"/>
  <c r="B8321" i="1"/>
  <c r="C8321" i="1"/>
  <c r="D8321" i="1"/>
  <c r="Q8321" i="1"/>
  <c r="R8321" i="1"/>
  <c r="E8321" i="1"/>
  <c r="G8321" i="1"/>
  <c r="H8321" i="1"/>
  <c r="J8321" i="1"/>
  <c r="K8321" i="1"/>
  <c r="L8321" i="1"/>
  <c r="A8322" i="1"/>
  <c r="B8322" i="1"/>
  <c r="C8322" i="1"/>
  <c r="D8322" i="1"/>
  <c r="Q8322" i="1"/>
  <c r="R8322" i="1"/>
  <c r="E8322" i="1"/>
  <c r="G8322" i="1"/>
  <c r="H8322" i="1"/>
  <c r="J8322" i="1"/>
  <c r="K8322" i="1"/>
  <c r="L8322" i="1"/>
  <c r="A8323" i="1"/>
  <c r="B8323" i="1"/>
  <c r="C8323" i="1"/>
  <c r="D8323" i="1"/>
  <c r="Q8323" i="1"/>
  <c r="R8323" i="1"/>
  <c r="E8323" i="1"/>
  <c r="G8323" i="1"/>
  <c r="H8323" i="1"/>
  <c r="J8323" i="1"/>
  <c r="K8323" i="1"/>
  <c r="L8323" i="1"/>
  <c r="A8324" i="1"/>
  <c r="B8324" i="1"/>
  <c r="C8324" i="1"/>
  <c r="D8324" i="1"/>
  <c r="Q8324" i="1"/>
  <c r="R8324" i="1"/>
  <c r="E8324" i="1"/>
  <c r="G8324" i="1"/>
  <c r="H8324" i="1"/>
  <c r="J8324" i="1"/>
  <c r="K8324" i="1"/>
  <c r="L8324" i="1"/>
  <c r="A8325" i="1"/>
  <c r="B8325" i="1"/>
  <c r="C8325" i="1"/>
  <c r="D8325" i="1"/>
  <c r="Q8325" i="1"/>
  <c r="R8325" i="1"/>
  <c r="E8325" i="1"/>
  <c r="G8325" i="1"/>
  <c r="H8325" i="1"/>
  <c r="J8325" i="1"/>
  <c r="K8325" i="1"/>
  <c r="L8325" i="1"/>
  <c r="A8326" i="1"/>
  <c r="B8326" i="1"/>
  <c r="C8326" i="1"/>
  <c r="D8326" i="1"/>
  <c r="Q8326" i="1"/>
  <c r="R8326" i="1"/>
  <c r="E8326" i="1"/>
  <c r="G8326" i="1"/>
  <c r="H8326" i="1"/>
  <c r="J8326" i="1"/>
  <c r="K8326" i="1"/>
  <c r="L8326" i="1"/>
  <c r="A8327" i="1"/>
  <c r="B8327" i="1"/>
  <c r="C8327" i="1"/>
  <c r="D8327" i="1"/>
  <c r="Q8327" i="1"/>
  <c r="R8327" i="1"/>
  <c r="E8327" i="1"/>
  <c r="G8327" i="1"/>
  <c r="H8327" i="1"/>
  <c r="J8327" i="1"/>
  <c r="K8327" i="1"/>
  <c r="L8327" i="1"/>
  <c r="A8328" i="1"/>
  <c r="B8328" i="1"/>
  <c r="C8328" i="1"/>
  <c r="D8328" i="1"/>
  <c r="Q8328" i="1"/>
  <c r="R8328" i="1"/>
  <c r="E8328" i="1"/>
  <c r="G8328" i="1"/>
  <c r="H8328" i="1"/>
  <c r="J8328" i="1"/>
  <c r="K8328" i="1"/>
  <c r="L8328" i="1"/>
  <c r="A8329" i="1"/>
  <c r="B8329" i="1"/>
  <c r="C8329" i="1"/>
  <c r="D8329" i="1"/>
  <c r="Q8329" i="1"/>
  <c r="R8329" i="1"/>
  <c r="E8329" i="1"/>
  <c r="G8329" i="1"/>
  <c r="H8329" i="1"/>
  <c r="J8329" i="1"/>
  <c r="K8329" i="1"/>
  <c r="L8329" i="1"/>
  <c r="A8330" i="1"/>
  <c r="B8330" i="1"/>
  <c r="C8330" i="1"/>
  <c r="D8330" i="1"/>
  <c r="Q8330" i="1"/>
  <c r="R8330" i="1"/>
  <c r="E8330" i="1"/>
  <c r="G8330" i="1"/>
  <c r="H8330" i="1"/>
  <c r="J8330" i="1"/>
  <c r="K8330" i="1"/>
  <c r="L8330" i="1"/>
  <c r="A8331" i="1"/>
  <c r="B8331" i="1"/>
  <c r="C8331" i="1"/>
  <c r="D8331" i="1"/>
  <c r="Q8331" i="1"/>
  <c r="R8331" i="1"/>
  <c r="E8331" i="1"/>
  <c r="G8331" i="1"/>
  <c r="H8331" i="1"/>
  <c r="J8331" i="1"/>
  <c r="K8331" i="1"/>
  <c r="L8331" i="1"/>
  <c r="A8332" i="1"/>
  <c r="B8332" i="1"/>
  <c r="C8332" i="1"/>
  <c r="D8332" i="1"/>
  <c r="Q8332" i="1"/>
  <c r="R8332" i="1"/>
  <c r="E8332" i="1"/>
  <c r="G8332" i="1"/>
  <c r="H8332" i="1"/>
  <c r="J8332" i="1"/>
  <c r="K8332" i="1"/>
  <c r="L8332" i="1"/>
  <c r="A8333" i="1"/>
  <c r="B8333" i="1"/>
  <c r="C8333" i="1"/>
  <c r="D8333" i="1"/>
  <c r="Q8333" i="1"/>
  <c r="R8333" i="1"/>
  <c r="E8333" i="1"/>
  <c r="G8333" i="1"/>
  <c r="H8333" i="1"/>
  <c r="J8333" i="1"/>
  <c r="K8333" i="1"/>
  <c r="L8333" i="1"/>
  <c r="A8334" i="1"/>
  <c r="B8334" i="1"/>
  <c r="C8334" i="1"/>
  <c r="D8334" i="1"/>
  <c r="Q8334" i="1"/>
  <c r="R8334" i="1"/>
  <c r="E8334" i="1"/>
  <c r="G8334" i="1"/>
  <c r="H8334" i="1"/>
  <c r="J8334" i="1"/>
  <c r="K8334" i="1"/>
  <c r="L8334" i="1"/>
  <c r="A8335" i="1"/>
  <c r="B8335" i="1"/>
  <c r="C8335" i="1"/>
  <c r="D8335" i="1"/>
  <c r="Q8335" i="1"/>
  <c r="R8335" i="1"/>
  <c r="E8335" i="1"/>
  <c r="G8335" i="1"/>
  <c r="H8335" i="1"/>
  <c r="J8335" i="1"/>
  <c r="K8335" i="1"/>
  <c r="L8335" i="1"/>
  <c r="A8336" i="1"/>
  <c r="B8336" i="1"/>
  <c r="C8336" i="1"/>
  <c r="D8336" i="1"/>
  <c r="Q8336" i="1"/>
  <c r="R8336" i="1"/>
  <c r="E8336" i="1"/>
  <c r="G8336" i="1"/>
  <c r="H8336" i="1"/>
  <c r="J8336" i="1"/>
  <c r="K8336" i="1"/>
  <c r="L8336" i="1"/>
  <c r="A8337" i="1"/>
  <c r="B8337" i="1"/>
  <c r="C8337" i="1"/>
  <c r="D8337" i="1"/>
  <c r="Q8337" i="1"/>
  <c r="R8337" i="1"/>
  <c r="E8337" i="1"/>
  <c r="G8337" i="1"/>
  <c r="H8337" i="1"/>
  <c r="J8337" i="1"/>
  <c r="K8337" i="1"/>
  <c r="L8337" i="1"/>
  <c r="A8338" i="1"/>
  <c r="B8338" i="1"/>
  <c r="C8338" i="1"/>
  <c r="D8338" i="1"/>
  <c r="Q8338" i="1"/>
  <c r="R8338" i="1"/>
  <c r="E8338" i="1"/>
  <c r="G8338" i="1"/>
  <c r="H8338" i="1"/>
  <c r="J8338" i="1"/>
  <c r="K8338" i="1"/>
  <c r="L8338" i="1"/>
  <c r="A8339" i="1"/>
  <c r="B8339" i="1"/>
  <c r="C8339" i="1"/>
  <c r="D8339" i="1"/>
  <c r="Q8339" i="1"/>
  <c r="R8339" i="1"/>
  <c r="E8339" i="1"/>
  <c r="G8339" i="1"/>
  <c r="H8339" i="1"/>
  <c r="J8339" i="1"/>
  <c r="K8339" i="1"/>
  <c r="L8339" i="1"/>
  <c r="A8340" i="1"/>
  <c r="B8340" i="1"/>
  <c r="C8340" i="1"/>
  <c r="D8340" i="1"/>
  <c r="Q8340" i="1"/>
  <c r="R8340" i="1"/>
  <c r="E8340" i="1"/>
  <c r="G8340" i="1"/>
  <c r="H8340" i="1"/>
  <c r="J8340" i="1"/>
  <c r="K8340" i="1"/>
  <c r="L8340" i="1"/>
  <c r="A8341" i="1"/>
  <c r="B8341" i="1"/>
  <c r="C8341" i="1"/>
  <c r="D8341" i="1"/>
  <c r="Q8341" i="1"/>
  <c r="R8341" i="1"/>
  <c r="E8341" i="1"/>
  <c r="G8341" i="1"/>
  <c r="H8341" i="1"/>
  <c r="J8341" i="1"/>
  <c r="K8341" i="1"/>
  <c r="L8341" i="1"/>
  <c r="A8342" i="1"/>
  <c r="B8342" i="1"/>
  <c r="C8342" i="1"/>
  <c r="D8342" i="1"/>
  <c r="Q8342" i="1"/>
  <c r="R8342" i="1"/>
  <c r="E8342" i="1"/>
  <c r="G8342" i="1"/>
  <c r="H8342" i="1"/>
  <c r="J8342" i="1"/>
  <c r="K8342" i="1"/>
  <c r="L8342" i="1"/>
  <c r="A8343" i="1"/>
  <c r="B8343" i="1"/>
  <c r="C8343" i="1"/>
  <c r="D8343" i="1"/>
  <c r="Q8343" i="1"/>
  <c r="R8343" i="1"/>
  <c r="E8343" i="1"/>
  <c r="G8343" i="1"/>
  <c r="H8343" i="1"/>
  <c r="J8343" i="1"/>
  <c r="K8343" i="1"/>
  <c r="L8343" i="1"/>
  <c r="A8344" i="1"/>
  <c r="B8344" i="1"/>
  <c r="C8344" i="1"/>
  <c r="D8344" i="1"/>
  <c r="Q8344" i="1"/>
  <c r="R8344" i="1"/>
  <c r="E8344" i="1"/>
  <c r="G8344" i="1"/>
  <c r="H8344" i="1"/>
  <c r="J8344" i="1"/>
  <c r="K8344" i="1"/>
  <c r="L8344" i="1"/>
  <c r="A8345" i="1"/>
  <c r="B8345" i="1"/>
  <c r="C8345" i="1"/>
  <c r="D8345" i="1"/>
  <c r="Q8345" i="1"/>
  <c r="R8345" i="1"/>
  <c r="E8345" i="1"/>
  <c r="G8345" i="1"/>
  <c r="H8345" i="1"/>
  <c r="J8345" i="1"/>
  <c r="K8345" i="1"/>
  <c r="L8345" i="1"/>
  <c r="A8346" i="1"/>
  <c r="B8346" i="1"/>
  <c r="C8346" i="1"/>
  <c r="D8346" i="1"/>
  <c r="Q8346" i="1"/>
  <c r="R8346" i="1"/>
  <c r="E8346" i="1"/>
  <c r="G8346" i="1"/>
  <c r="H8346" i="1"/>
  <c r="J8346" i="1"/>
  <c r="K8346" i="1"/>
  <c r="L8346" i="1"/>
  <c r="A8347" i="1"/>
  <c r="B8347" i="1"/>
  <c r="C8347" i="1"/>
  <c r="D8347" i="1"/>
  <c r="Q8347" i="1"/>
  <c r="R8347" i="1"/>
  <c r="E8347" i="1"/>
  <c r="G8347" i="1"/>
  <c r="H8347" i="1"/>
  <c r="J8347" i="1"/>
  <c r="K8347" i="1"/>
  <c r="L8347" i="1"/>
  <c r="A8348" i="1"/>
  <c r="B8348" i="1"/>
  <c r="C8348" i="1"/>
  <c r="D8348" i="1"/>
  <c r="Q8348" i="1"/>
  <c r="R8348" i="1"/>
  <c r="E8348" i="1"/>
  <c r="G8348" i="1"/>
  <c r="H8348" i="1"/>
  <c r="J8348" i="1"/>
  <c r="K8348" i="1"/>
  <c r="L8348" i="1"/>
  <c r="A8349" i="1"/>
  <c r="B8349" i="1"/>
  <c r="C8349" i="1"/>
  <c r="D8349" i="1"/>
  <c r="Q8349" i="1"/>
  <c r="R8349" i="1"/>
  <c r="E8349" i="1"/>
  <c r="G8349" i="1"/>
  <c r="H8349" i="1"/>
  <c r="J8349" i="1"/>
  <c r="K8349" i="1"/>
  <c r="L8349" i="1"/>
  <c r="A8350" i="1"/>
  <c r="B8350" i="1"/>
  <c r="C8350" i="1"/>
  <c r="D8350" i="1"/>
  <c r="Q8350" i="1"/>
  <c r="R8350" i="1"/>
  <c r="E8350" i="1"/>
  <c r="G8350" i="1"/>
  <c r="H8350" i="1"/>
  <c r="J8350" i="1"/>
  <c r="K8350" i="1"/>
  <c r="L8350" i="1"/>
  <c r="A8351" i="1"/>
  <c r="B8351" i="1"/>
  <c r="C8351" i="1"/>
  <c r="D8351" i="1"/>
  <c r="Q8351" i="1"/>
  <c r="R8351" i="1"/>
  <c r="E8351" i="1"/>
  <c r="G8351" i="1"/>
  <c r="H8351" i="1"/>
  <c r="J8351" i="1"/>
  <c r="K8351" i="1"/>
  <c r="L8351" i="1"/>
  <c r="A8352" i="1"/>
  <c r="B8352" i="1"/>
  <c r="C8352" i="1"/>
  <c r="D8352" i="1"/>
  <c r="Q8352" i="1"/>
  <c r="R8352" i="1"/>
  <c r="E8352" i="1"/>
  <c r="G8352" i="1"/>
  <c r="H8352" i="1"/>
  <c r="J8352" i="1"/>
  <c r="K8352" i="1"/>
  <c r="L8352" i="1"/>
  <c r="A8353" i="1"/>
  <c r="B8353" i="1"/>
  <c r="C8353" i="1"/>
  <c r="D8353" i="1"/>
  <c r="Q8353" i="1"/>
  <c r="R8353" i="1"/>
  <c r="E8353" i="1"/>
  <c r="G8353" i="1"/>
  <c r="H8353" i="1"/>
  <c r="J8353" i="1"/>
  <c r="K8353" i="1"/>
  <c r="L8353" i="1"/>
  <c r="A8354" i="1"/>
  <c r="B8354" i="1"/>
  <c r="C8354" i="1"/>
  <c r="D8354" i="1"/>
  <c r="Q8354" i="1"/>
  <c r="R8354" i="1"/>
  <c r="E8354" i="1"/>
  <c r="G8354" i="1"/>
  <c r="H8354" i="1"/>
  <c r="J8354" i="1"/>
  <c r="K8354" i="1"/>
  <c r="L8354" i="1"/>
  <c r="A8355" i="1"/>
  <c r="B8355" i="1"/>
  <c r="C8355" i="1"/>
  <c r="D8355" i="1"/>
  <c r="Q8355" i="1"/>
  <c r="R8355" i="1"/>
  <c r="E8355" i="1"/>
  <c r="G8355" i="1"/>
  <c r="H8355" i="1"/>
  <c r="J8355" i="1"/>
  <c r="K8355" i="1"/>
  <c r="L8355" i="1"/>
  <c r="A8356" i="1"/>
  <c r="B8356" i="1"/>
  <c r="C8356" i="1"/>
  <c r="D8356" i="1"/>
  <c r="Q8356" i="1"/>
  <c r="R8356" i="1"/>
  <c r="E8356" i="1"/>
  <c r="G8356" i="1"/>
  <c r="H8356" i="1"/>
  <c r="J8356" i="1"/>
  <c r="K8356" i="1"/>
  <c r="L8356" i="1"/>
  <c r="A8357" i="1"/>
  <c r="B8357" i="1"/>
  <c r="C8357" i="1"/>
  <c r="D8357" i="1"/>
  <c r="Q8357" i="1"/>
  <c r="R8357" i="1"/>
  <c r="E8357" i="1"/>
  <c r="G8357" i="1"/>
  <c r="H8357" i="1"/>
  <c r="J8357" i="1"/>
  <c r="K8357" i="1"/>
  <c r="L8357" i="1"/>
  <c r="A8358" i="1"/>
  <c r="B8358" i="1"/>
  <c r="C8358" i="1"/>
  <c r="D8358" i="1"/>
  <c r="Q8358" i="1"/>
  <c r="R8358" i="1"/>
  <c r="E8358" i="1"/>
  <c r="G8358" i="1"/>
  <c r="H8358" i="1"/>
  <c r="J8358" i="1"/>
  <c r="K8358" i="1"/>
  <c r="L8358" i="1"/>
  <c r="A8359" i="1"/>
  <c r="B8359" i="1"/>
  <c r="C8359" i="1"/>
  <c r="D8359" i="1"/>
  <c r="Q8359" i="1"/>
  <c r="R8359" i="1"/>
  <c r="E8359" i="1"/>
  <c r="G8359" i="1"/>
  <c r="H8359" i="1"/>
  <c r="J8359" i="1"/>
  <c r="K8359" i="1"/>
  <c r="L8359" i="1"/>
  <c r="A8360" i="1"/>
  <c r="B8360" i="1"/>
  <c r="C8360" i="1"/>
  <c r="D8360" i="1"/>
  <c r="Q8360" i="1"/>
  <c r="R8360" i="1"/>
  <c r="E8360" i="1"/>
  <c r="G8360" i="1"/>
  <c r="H8360" i="1"/>
  <c r="J8360" i="1"/>
  <c r="K8360" i="1"/>
  <c r="L8360" i="1"/>
  <c r="A8361" i="1"/>
  <c r="B8361" i="1"/>
  <c r="C8361" i="1"/>
  <c r="D8361" i="1"/>
  <c r="Q8361" i="1"/>
  <c r="R8361" i="1"/>
  <c r="E8361" i="1"/>
  <c r="G8361" i="1"/>
  <c r="H8361" i="1"/>
  <c r="J8361" i="1"/>
  <c r="K8361" i="1"/>
  <c r="L8361" i="1"/>
  <c r="A8362" i="1"/>
  <c r="B8362" i="1"/>
  <c r="C8362" i="1"/>
  <c r="D8362" i="1"/>
  <c r="Q8362" i="1"/>
  <c r="R8362" i="1"/>
  <c r="E8362" i="1"/>
  <c r="G8362" i="1"/>
  <c r="H8362" i="1"/>
  <c r="J8362" i="1"/>
  <c r="K8362" i="1"/>
  <c r="L8362" i="1"/>
  <c r="A8363" i="1"/>
  <c r="B8363" i="1"/>
  <c r="C8363" i="1"/>
  <c r="D8363" i="1"/>
  <c r="Q8363" i="1"/>
  <c r="R8363" i="1"/>
  <c r="E8363" i="1"/>
  <c r="G8363" i="1"/>
  <c r="H8363" i="1"/>
  <c r="J8363" i="1"/>
  <c r="K8363" i="1"/>
  <c r="L8363" i="1"/>
  <c r="A8364" i="1"/>
  <c r="B8364" i="1"/>
  <c r="C8364" i="1"/>
  <c r="D8364" i="1"/>
  <c r="Q8364" i="1"/>
  <c r="R8364" i="1"/>
  <c r="E8364" i="1"/>
  <c r="G8364" i="1"/>
  <c r="H8364" i="1"/>
  <c r="J8364" i="1"/>
  <c r="K8364" i="1"/>
  <c r="L8364" i="1"/>
  <c r="A8365" i="1"/>
  <c r="B8365" i="1"/>
  <c r="C8365" i="1"/>
  <c r="D8365" i="1"/>
  <c r="Q8365" i="1"/>
  <c r="R8365" i="1"/>
  <c r="E8365" i="1"/>
  <c r="G8365" i="1"/>
  <c r="H8365" i="1"/>
  <c r="J8365" i="1"/>
  <c r="K8365" i="1"/>
  <c r="L8365" i="1"/>
  <c r="A8366" i="1"/>
  <c r="B8366" i="1"/>
  <c r="C8366" i="1"/>
  <c r="D8366" i="1"/>
  <c r="Q8366" i="1"/>
  <c r="R8366" i="1"/>
  <c r="E8366" i="1"/>
  <c r="G8366" i="1"/>
  <c r="H8366" i="1"/>
  <c r="J8366" i="1"/>
  <c r="K8366" i="1"/>
  <c r="L8366" i="1"/>
  <c r="A8367" i="1"/>
  <c r="B8367" i="1"/>
  <c r="C8367" i="1"/>
  <c r="D8367" i="1"/>
  <c r="Q8367" i="1"/>
  <c r="R8367" i="1"/>
  <c r="E8367" i="1"/>
  <c r="G8367" i="1"/>
  <c r="H8367" i="1"/>
  <c r="J8367" i="1"/>
  <c r="K8367" i="1"/>
  <c r="L8367" i="1"/>
  <c r="A8368" i="1"/>
  <c r="B8368" i="1"/>
  <c r="C8368" i="1"/>
  <c r="D8368" i="1"/>
  <c r="Q8368" i="1"/>
  <c r="R8368" i="1"/>
  <c r="E8368" i="1"/>
  <c r="G8368" i="1"/>
  <c r="H8368" i="1"/>
  <c r="J8368" i="1"/>
  <c r="K8368" i="1"/>
  <c r="L8368" i="1"/>
  <c r="A8369" i="1"/>
  <c r="B8369" i="1"/>
  <c r="C8369" i="1"/>
  <c r="D8369" i="1"/>
  <c r="Q8369" i="1"/>
  <c r="R8369" i="1"/>
  <c r="E8369" i="1"/>
  <c r="G8369" i="1"/>
  <c r="H8369" i="1"/>
  <c r="J8369" i="1"/>
  <c r="K8369" i="1"/>
  <c r="L8369" i="1"/>
  <c r="A8370" i="1"/>
  <c r="B8370" i="1"/>
  <c r="C8370" i="1"/>
  <c r="D8370" i="1"/>
  <c r="Q8370" i="1"/>
  <c r="R8370" i="1"/>
  <c r="E8370" i="1"/>
  <c r="G8370" i="1"/>
  <c r="H8370" i="1"/>
  <c r="J8370" i="1"/>
  <c r="K8370" i="1"/>
  <c r="L8370" i="1"/>
  <c r="A8371" i="1"/>
  <c r="B8371" i="1"/>
  <c r="C8371" i="1"/>
  <c r="D8371" i="1"/>
  <c r="Q8371" i="1"/>
  <c r="R8371" i="1"/>
  <c r="E8371" i="1"/>
  <c r="G8371" i="1"/>
  <c r="H8371" i="1"/>
  <c r="J8371" i="1"/>
  <c r="K8371" i="1"/>
  <c r="L8371" i="1"/>
  <c r="A8372" i="1"/>
  <c r="B8372" i="1"/>
  <c r="C8372" i="1"/>
  <c r="D8372" i="1"/>
  <c r="Q8372" i="1"/>
  <c r="R8372" i="1"/>
  <c r="E8372" i="1"/>
  <c r="G8372" i="1"/>
  <c r="H8372" i="1"/>
  <c r="J8372" i="1"/>
  <c r="K8372" i="1"/>
  <c r="L8372" i="1"/>
  <c r="A8373" i="1"/>
  <c r="B8373" i="1"/>
  <c r="C8373" i="1"/>
  <c r="D8373" i="1"/>
  <c r="Q8373" i="1"/>
  <c r="R8373" i="1"/>
  <c r="E8373" i="1"/>
  <c r="G8373" i="1"/>
  <c r="H8373" i="1"/>
  <c r="J8373" i="1"/>
  <c r="K8373" i="1"/>
  <c r="L8373" i="1"/>
  <c r="A8374" i="1"/>
  <c r="B8374" i="1"/>
  <c r="C8374" i="1"/>
  <c r="D8374" i="1"/>
  <c r="Q8374" i="1"/>
  <c r="R8374" i="1"/>
  <c r="E8374" i="1"/>
  <c r="G8374" i="1"/>
  <c r="H8374" i="1"/>
  <c r="J8374" i="1"/>
  <c r="K8374" i="1"/>
  <c r="L8374" i="1"/>
  <c r="A8375" i="1"/>
  <c r="B8375" i="1"/>
  <c r="C8375" i="1"/>
  <c r="D8375" i="1"/>
  <c r="Q8375" i="1"/>
  <c r="R8375" i="1"/>
  <c r="E8375" i="1"/>
  <c r="G8375" i="1"/>
  <c r="H8375" i="1"/>
  <c r="J8375" i="1"/>
  <c r="K8375" i="1"/>
  <c r="L8375" i="1"/>
  <c r="A8376" i="1"/>
  <c r="B8376" i="1"/>
  <c r="C8376" i="1"/>
  <c r="D8376" i="1"/>
  <c r="Q8376" i="1"/>
  <c r="R8376" i="1"/>
  <c r="E8376" i="1"/>
  <c r="G8376" i="1"/>
  <c r="H8376" i="1"/>
  <c r="J8376" i="1"/>
  <c r="K8376" i="1"/>
  <c r="L8376" i="1"/>
  <c r="A8377" i="1"/>
  <c r="B8377" i="1"/>
  <c r="C8377" i="1"/>
  <c r="D8377" i="1"/>
  <c r="Q8377" i="1"/>
  <c r="R8377" i="1"/>
  <c r="E8377" i="1"/>
  <c r="G8377" i="1"/>
  <c r="H8377" i="1"/>
  <c r="J8377" i="1"/>
  <c r="K8377" i="1"/>
  <c r="L8377" i="1"/>
  <c r="A8378" i="1"/>
  <c r="B8378" i="1"/>
  <c r="C8378" i="1"/>
  <c r="D8378" i="1"/>
  <c r="Q8378" i="1"/>
  <c r="R8378" i="1"/>
  <c r="E8378" i="1"/>
  <c r="G8378" i="1"/>
  <c r="H8378" i="1"/>
  <c r="J8378" i="1"/>
  <c r="K8378" i="1"/>
  <c r="L8378" i="1"/>
  <c r="A8379" i="1"/>
  <c r="B8379" i="1"/>
  <c r="C8379" i="1"/>
  <c r="D8379" i="1"/>
  <c r="Q8379" i="1"/>
  <c r="R8379" i="1"/>
  <c r="E8379" i="1"/>
  <c r="G8379" i="1"/>
  <c r="H8379" i="1"/>
  <c r="J8379" i="1"/>
  <c r="K8379" i="1"/>
  <c r="L8379" i="1"/>
  <c r="A68" i="1"/>
  <c r="B68" i="1"/>
  <c r="C68" i="1"/>
  <c r="D68" i="1"/>
  <c r="Q68" i="1"/>
  <c r="R68" i="1"/>
  <c r="E68" i="1"/>
  <c r="G68" i="1"/>
  <c r="H68" i="1"/>
  <c r="J68" i="1"/>
  <c r="K68" i="1"/>
  <c r="L68" i="1"/>
  <c r="A69" i="1"/>
  <c r="B69" i="1"/>
  <c r="C69" i="1"/>
  <c r="D69" i="1"/>
  <c r="Q69" i="1"/>
  <c r="R69" i="1"/>
  <c r="E69" i="1"/>
  <c r="G69" i="1"/>
  <c r="H69" i="1"/>
  <c r="J69" i="1"/>
  <c r="K69" i="1"/>
  <c r="L69" i="1"/>
</calcChain>
</file>

<file path=xl/sharedStrings.xml><?xml version="1.0" encoding="utf-8"?>
<sst xmlns="http://schemas.openxmlformats.org/spreadsheetml/2006/main" count="145" uniqueCount="59">
  <si>
    <t>索引番号</t>
  </si>
  <si>
    <t>施設名</t>
  </si>
  <si>
    <t>所属部</t>
  </si>
  <si>
    <t>所属課</t>
  </si>
  <si>
    <t>代表所在地</t>
  </si>
  <si>
    <t>地番</t>
  </si>
  <si>
    <t>棚卸資産</t>
  </si>
  <si>
    <t>財産番号</t>
  </si>
  <si>
    <t>財産名称</t>
  </si>
  <si>
    <t>構造</t>
  </si>
  <si>
    <t>大阪府公有財産（固定資産）台帳一覧【建物】R5.3.31現在</t>
    <rPh sb="0" eb="3">
      <t>オオサカフ</t>
    </rPh>
    <rPh sb="3" eb="5">
      <t>コウユウ</t>
    </rPh>
    <rPh sb="5" eb="7">
      <t>ザイサン</t>
    </rPh>
    <rPh sb="8" eb="10">
      <t>コテイ</t>
    </rPh>
    <rPh sb="10" eb="12">
      <t>シサン</t>
    </rPh>
    <rPh sb="13" eb="15">
      <t>ダイチョウ</t>
    </rPh>
    <rPh sb="15" eb="17">
      <t>イチラン</t>
    </rPh>
    <rPh sb="18" eb="20">
      <t>タテモノ</t>
    </rPh>
    <rPh sb="28" eb="30">
      <t>ゲンザイ</t>
    </rPh>
    <phoneticPr fontId="19"/>
  </si>
  <si>
    <t>財産区分
（分類）</t>
    <phoneticPr fontId="19"/>
  </si>
  <si>
    <t>用途（区分）</t>
    <phoneticPr fontId="19"/>
  </si>
  <si>
    <t>インフラ・
事業用の別</t>
    <phoneticPr fontId="19"/>
  </si>
  <si>
    <t>延床面積
（㎡）</t>
    <phoneticPr fontId="19"/>
  </si>
  <si>
    <t>取得価額（円）</t>
    <phoneticPr fontId="19"/>
  </si>
  <si>
    <t>減価償却累計
額（円）</t>
    <phoneticPr fontId="19"/>
  </si>
  <si>
    <t>減損累計
額（円）</t>
    <phoneticPr fontId="19"/>
  </si>
  <si>
    <t>大阪府警察城東①待機宿舎</t>
    <rPh sb="0" eb="3">
      <t>オオサカフ</t>
    </rPh>
    <rPh sb="3" eb="5">
      <t>ケイサツ</t>
    </rPh>
    <rPh sb="5" eb="7">
      <t>ジョウトウ</t>
    </rPh>
    <rPh sb="8" eb="12">
      <t>タイキシュクシャ</t>
    </rPh>
    <phoneticPr fontId="18"/>
  </si>
  <si>
    <t>大阪府大阪市　城東区</t>
    <rPh sb="0" eb="3">
      <t>オオサカフ</t>
    </rPh>
    <rPh sb="3" eb="6">
      <t>オオサカシ</t>
    </rPh>
    <rPh sb="7" eb="10">
      <t>ジョウトウク</t>
    </rPh>
    <phoneticPr fontId="18"/>
  </si>
  <si>
    <t>大阪府大阪市　旭区</t>
    <rPh sb="0" eb="3">
      <t>オオサカフ</t>
    </rPh>
    <rPh sb="3" eb="6">
      <t>オオサカシ</t>
    </rPh>
    <rPh sb="7" eb="9">
      <t>アサヒク</t>
    </rPh>
    <phoneticPr fontId="18"/>
  </si>
  <si>
    <t>大阪府警察住之江①待機宿舎</t>
    <rPh sb="0" eb="3">
      <t>オオサカフ</t>
    </rPh>
    <rPh sb="3" eb="5">
      <t>ケイサツ</t>
    </rPh>
    <rPh sb="5" eb="8">
      <t>スミノエ</t>
    </rPh>
    <rPh sb="9" eb="11">
      <t>タイキ</t>
    </rPh>
    <rPh sb="11" eb="13">
      <t>シュクシャ</t>
    </rPh>
    <phoneticPr fontId="18"/>
  </si>
  <si>
    <t>大阪府大阪市　住之江区</t>
    <rPh sb="0" eb="3">
      <t>オオサカフ</t>
    </rPh>
    <rPh sb="3" eb="6">
      <t>オオサカシ</t>
    </rPh>
    <rPh sb="7" eb="11">
      <t>スミノエク</t>
    </rPh>
    <phoneticPr fontId="18"/>
  </si>
  <si>
    <t>元公舎</t>
    <rPh sb="0" eb="1">
      <t>モト</t>
    </rPh>
    <rPh sb="1" eb="3">
      <t>コウシャ</t>
    </rPh>
    <phoneticPr fontId="18"/>
  </si>
  <si>
    <t>大阪府泉佐野①単身寮</t>
    <rPh sb="0" eb="3">
      <t>オオサカフ</t>
    </rPh>
    <rPh sb="3" eb="6">
      <t>イズミサノ</t>
    </rPh>
    <rPh sb="7" eb="10">
      <t>タンシンリョウ</t>
    </rPh>
    <phoneticPr fontId="18"/>
  </si>
  <si>
    <t>大阪府泉佐野市</t>
    <rPh sb="0" eb="6">
      <t>オオサカフイズミサノ</t>
    </rPh>
    <rPh sb="6" eb="7">
      <t>シ</t>
    </rPh>
    <phoneticPr fontId="18"/>
  </si>
  <si>
    <t>公舎</t>
    <rPh sb="0" eb="2">
      <t>コウシャ</t>
    </rPh>
    <phoneticPr fontId="18"/>
  </si>
  <si>
    <t>大阪府大阪市　都島区</t>
  </si>
  <si>
    <t>宿舎</t>
    <rPh sb="0" eb="2">
      <t>シュクシャ</t>
    </rPh>
    <phoneticPr fontId="18"/>
  </si>
  <si>
    <t>大阪府寝屋川市</t>
    <rPh sb="0" eb="3">
      <t>オオサカフ</t>
    </rPh>
    <rPh sb="3" eb="7">
      <t>ネヤガワシ</t>
    </rPh>
    <phoneticPr fontId="18"/>
  </si>
  <si>
    <t>大阪府警察城東②待機宿舎</t>
    <rPh sb="0" eb="3">
      <t>オオサカフ</t>
    </rPh>
    <rPh sb="3" eb="5">
      <t>ケイサツ</t>
    </rPh>
    <rPh sb="5" eb="7">
      <t>ジョウトウ</t>
    </rPh>
    <rPh sb="8" eb="12">
      <t>タイキシュクシャ</t>
    </rPh>
    <phoneticPr fontId="18"/>
  </si>
  <si>
    <t>大阪府警察淀川①単身寮</t>
  </si>
  <si>
    <t>大阪府大阪市　淀川区</t>
  </si>
  <si>
    <t>大阪府警察吹田②待機宿舎</t>
    <rPh sb="0" eb="3">
      <t>オオサカフ</t>
    </rPh>
    <rPh sb="3" eb="5">
      <t>ケイサツ</t>
    </rPh>
    <rPh sb="5" eb="7">
      <t>スイタ</t>
    </rPh>
    <rPh sb="8" eb="12">
      <t>タイキシュクシャ</t>
    </rPh>
    <phoneticPr fontId="18"/>
  </si>
  <si>
    <t>大阪府吹田市</t>
    <rPh sb="0" eb="3">
      <t>オオサカフ</t>
    </rPh>
    <rPh sb="3" eb="6">
      <t>スイタシ</t>
    </rPh>
    <phoneticPr fontId="18"/>
  </si>
  <si>
    <t>大阪府警察西①単身寮</t>
    <rPh sb="0" eb="3">
      <t>オオサカフ</t>
    </rPh>
    <rPh sb="3" eb="5">
      <t>ケイサツ</t>
    </rPh>
    <rPh sb="5" eb="6">
      <t>ニシ</t>
    </rPh>
    <rPh sb="7" eb="9">
      <t>タンシン</t>
    </rPh>
    <rPh sb="9" eb="10">
      <t>リョウ</t>
    </rPh>
    <phoneticPr fontId="18"/>
  </si>
  <si>
    <t>大阪府大阪市　西区</t>
    <rPh sb="0" eb="3">
      <t>オオサカフ</t>
    </rPh>
    <rPh sb="3" eb="6">
      <t>オオサカシ</t>
    </rPh>
    <rPh sb="7" eb="9">
      <t>ニシク</t>
    </rPh>
    <phoneticPr fontId="18"/>
  </si>
  <si>
    <t>大阪府大阪市　生野区</t>
    <rPh sb="0" eb="3">
      <t>オオサカフ</t>
    </rPh>
    <rPh sb="3" eb="6">
      <t>オオサカシ</t>
    </rPh>
    <rPh sb="7" eb="10">
      <t>イクノク</t>
    </rPh>
    <phoneticPr fontId="18"/>
  </si>
  <si>
    <t>大阪府警察堺北①待機宿舎</t>
    <rPh sb="0" eb="3">
      <t>オオサカフ</t>
    </rPh>
    <rPh sb="3" eb="5">
      <t>ケイサツ</t>
    </rPh>
    <rPh sb="5" eb="6">
      <t>サカイ</t>
    </rPh>
    <rPh sb="6" eb="7">
      <t>キタ</t>
    </rPh>
    <rPh sb="8" eb="12">
      <t>タイキシュクシャ</t>
    </rPh>
    <phoneticPr fontId="18"/>
  </si>
  <si>
    <t>大阪府堺市　北区</t>
    <rPh sb="0" eb="3">
      <t>オオサカフ</t>
    </rPh>
    <rPh sb="3" eb="4">
      <t>サカイ</t>
    </rPh>
    <rPh sb="4" eb="5">
      <t>シ</t>
    </rPh>
    <rPh sb="6" eb="8">
      <t>キタク</t>
    </rPh>
    <phoneticPr fontId="18"/>
  </si>
  <si>
    <t>大阪府警察中央①単身寮</t>
    <rPh sb="0" eb="3">
      <t>オオサカフ</t>
    </rPh>
    <rPh sb="3" eb="5">
      <t>ケイサツ</t>
    </rPh>
    <rPh sb="5" eb="7">
      <t>チュウオウ</t>
    </rPh>
    <rPh sb="8" eb="10">
      <t>タンシン</t>
    </rPh>
    <rPh sb="10" eb="11">
      <t>リョウ</t>
    </rPh>
    <phoneticPr fontId="18"/>
  </si>
  <si>
    <t>大阪府大阪市　中央区</t>
    <rPh sb="0" eb="3">
      <t>オオサカフ</t>
    </rPh>
    <rPh sb="3" eb="6">
      <t>オオサカシ</t>
    </rPh>
    <rPh sb="7" eb="10">
      <t>チュウオウク</t>
    </rPh>
    <phoneticPr fontId="18"/>
  </si>
  <si>
    <t>大阪府大阪市　大正区</t>
    <rPh sb="0" eb="3">
      <t>オオサカフ</t>
    </rPh>
    <rPh sb="3" eb="6">
      <t>オオサカシ</t>
    </rPh>
    <rPh sb="7" eb="10">
      <t>タイショウク</t>
    </rPh>
    <phoneticPr fontId="18"/>
  </si>
  <si>
    <t>大阪府大阪市　西淀川区</t>
    <rPh sb="0" eb="3">
      <t>オオサカフ</t>
    </rPh>
    <rPh sb="3" eb="6">
      <t>オオサカシ</t>
    </rPh>
    <rPh sb="7" eb="11">
      <t>ニシヨドガワク</t>
    </rPh>
    <phoneticPr fontId="18"/>
  </si>
  <si>
    <t>大阪府大阪市　西成区</t>
    <rPh sb="0" eb="3">
      <t>オオサカフ</t>
    </rPh>
    <rPh sb="3" eb="6">
      <t>オオサカシ</t>
    </rPh>
    <rPh sb="7" eb="10">
      <t>ニシナリク</t>
    </rPh>
    <phoneticPr fontId="18"/>
  </si>
  <si>
    <t>大阪府警察北①単身寮</t>
    <rPh sb="0" eb="3">
      <t>オオサカフ</t>
    </rPh>
    <rPh sb="3" eb="5">
      <t>ケイサツ</t>
    </rPh>
    <rPh sb="5" eb="6">
      <t>キタ</t>
    </rPh>
    <rPh sb="7" eb="9">
      <t>タンシン</t>
    </rPh>
    <rPh sb="9" eb="10">
      <t>リョウ</t>
    </rPh>
    <phoneticPr fontId="18"/>
  </si>
  <si>
    <t>大阪府大阪市　北区</t>
    <rPh sb="0" eb="3">
      <t>オオサカフ</t>
    </rPh>
    <rPh sb="3" eb="6">
      <t>オオサカシ</t>
    </rPh>
    <rPh sb="7" eb="8">
      <t>キタ</t>
    </rPh>
    <rPh sb="8" eb="9">
      <t>ク</t>
    </rPh>
    <phoneticPr fontId="18"/>
  </si>
  <si>
    <t>大阪府警察東淀川①単身寮</t>
    <rPh sb="0" eb="3">
      <t>オオサカフ</t>
    </rPh>
    <rPh sb="3" eb="5">
      <t>ケイサツ</t>
    </rPh>
    <rPh sb="5" eb="8">
      <t>ヒガシヨドガワ</t>
    </rPh>
    <rPh sb="9" eb="11">
      <t>タンシン</t>
    </rPh>
    <rPh sb="11" eb="12">
      <t>リョウ</t>
    </rPh>
    <phoneticPr fontId="18"/>
  </si>
  <si>
    <t>大阪府大阪市　東淀川区</t>
  </si>
  <si>
    <t>大阪府警察堺北①単身寮</t>
    <rPh sb="0" eb="3">
      <t>オオサカフ</t>
    </rPh>
    <rPh sb="3" eb="5">
      <t>ケイサツ</t>
    </rPh>
    <rPh sb="5" eb="6">
      <t>サカイ</t>
    </rPh>
    <rPh sb="6" eb="7">
      <t>キタ</t>
    </rPh>
    <rPh sb="8" eb="10">
      <t>タンシン</t>
    </rPh>
    <rPh sb="10" eb="11">
      <t>リョウ</t>
    </rPh>
    <phoneticPr fontId="18"/>
  </si>
  <si>
    <t>大阪府堺市　北区</t>
    <rPh sb="0" eb="3">
      <t>オオサカフ</t>
    </rPh>
    <rPh sb="3" eb="5">
      <t>サカイシ</t>
    </rPh>
    <rPh sb="6" eb="8">
      <t>キタク</t>
    </rPh>
    <phoneticPr fontId="18"/>
  </si>
  <si>
    <t>大阪府大阪市　城東区</t>
  </si>
  <si>
    <t>大阪府大阪市　福島区</t>
  </si>
  <si>
    <t>大阪府大阪市　港区</t>
  </si>
  <si>
    <t>大阪府大阪市　大正区</t>
  </si>
  <si>
    <t>大阪府大阪市　西成区</t>
  </si>
  <si>
    <t>大阪府堺市　堺区</t>
  </si>
  <si>
    <t>大阪府泉大津市</t>
  </si>
  <si>
    <t>取得年月
日（建築
年月
日）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</si>
</sst>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76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38" fontId="18" fillId="0" borderId="10" xfId="42" applyFont="1" applyFill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30"/>
  <sheetViews>
    <sheetView tabSelected="1" zoomScale="90" zoomScaleNormal="90" workbookViewId="0">
      <selection activeCell="A2" sqref="A2"/>
    </sheetView>
  </sheetViews>
  <sheetFormatPr defaultColWidth="9" defaultRowHeight="13.2" x14ac:dyDescent="0.45"/>
  <cols>
    <col min="1" max="1" width="12.69921875" style="3" customWidth="1"/>
    <col min="2" max="2" width="32.59765625" style="3" customWidth="1"/>
    <col min="3" max="3" width="9.3984375" style="3" customWidth="1"/>
    <col min="4" max="4" width="23.796875" style="3" customWidth="1"/>
    <col min="5" max="5" width="33" style="3" customWidth="1"/>
    <col min="6" max="6" width="12.69921875" style="3" customWidth="1"/>
    <col min="7" max="7" width="12" style="3" customWidth="1"/>
    <col min="8" max="8" width="9.3984375" style="3" customWidth="1"/>
    <col min="9" max="9" width="5.69921875" style="3" customWidth="1"/>
    <col min="10" max="10" width="30.59765625" style="3" customWidth="1"/>
    <col min="11" max="11" width="18" style="3" customWidth="1"/>
    <col min="12" max="12" width="9.59765625" style="3" customWidth="1"/>
    <col min="13" max="13" width="10.5" style="3" customWidth="1"/>
    <col min="14" max="15" width="14.8984375" style="3" customWidth="1"/>
    <col min="16" max="16" width="11.3984375" style="3" customWidth="1"/>
    <col min="17" max="17" width="15.59765625" style="3" customWidth="1"/>
    <col min="18" max="18" width="31.19921875" style="3" customWidth="1"/>
    <col min="19" max="16384" width="9" style="3"/>
  </cols>
  <sheetData>
    <row r="1" spans="1:18" ht="16.2" x14ac:dyDescent="0.45">
      <c r="A1" s="2" t="s">
        <v>10</v>
      </c>
    </row>
    <row r="2" spans="1:18" s="4" customFormat="1" ht="41.25" customHeight="1" x14ac:dyDescent="0.45">
      <c r="A2" s="5" t="s">
        <v>0</v>
      </c>
      <c r="B2" s="5" t="s">
        <v>1</v>
      </c>
      <c r="C2" s="5" t="s">
        <v>11</v>
      </c>
      <c r="D2" s="5" t="s">
        <v>12</v>
      </c>
      <c r="E2" s="5" t="s">
        <v>4</v>
      </c>
      <c r="F2" s="5" t="s">
        <v>5</v>
      </c>
      <c r="G2" s="5" t="s">
        <v>13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58</v>
      </c>
      <c r="M2" s="5" t="s">
        <v>14</v>
      </c>
      <c r="N2" s="6" t="s">
        <v>15</v>
      </c>
      <c r="O2" s="6" t="s">
        <v>16</v>
      </c>
      <c r="P2" s="6" t="s">
        <v>17</v>
      </c>
      <c r="Q2" s="5" t="s">
        <v>2</v>
      </c>
      <c r="R2" s="5" t="s">
        <v>3</v>
      </c>
    </row>
    <row r="3" spans="1:18" s="1" customFormat="1" x14ac:dyDescent="0.45">
      <c r="A3" s="7" t="str">
        <f>"00235000003"</f>
        <v>00235000003</v>
      </c>
      <c r="B3" s="7" t="str">
        <f>"防災行政無線和泉葛城山中継所"</f>
        <v>防災行政無線和泉葛城山中継所</v>
      </c>
      <c r="C3" s="7" t="str">
        <f t="shared" ref="C3:C38" si="0">"行政財産"</f>
        <v>行政財産</v>
      </c>
      <c r="D3" s="7" t="str">
        <f>"その他（行政機関）の施設"</f>
        <v>その他（行政機関）の施設</v>
      </c>
      <c r="E3" s="7" t="str">
        <f>"大阪府貝塚市秬谷"</f>
        <v>大阪府貝塚市秬谷</v>
      </c>
      <c r="F3" s="7"/>
      <c r="G3" s="7" t="str">
        <f t="shared" ref="G3:G66" si="1">"事業用資産"</f>
        <v>事業用資産</v>
      </c>
      <c r="H3" s="7" t="str">
        <f t="shared" ref="H3:H66" si="2">"棚卸以外"</f>
        <v>棚卸以外</v>
      </c>
      <c r="I3" s="7">
        <v>1</v>
      </c>
      <c r="J3" s="7" t="str">
        <f>"防災行政無線和泉葛城山中継所"</f>
        <v>防災行政無線和泉葛城山中継所</v>
      </c>
      <c r="K3" s="7" t="str">
        <f>"鉄筋コンクリート造"</f>
        <v>鉄筋コンクリート造</v>
      </c>
      <c r="L3" s="7" t="str">
        <f>"H09.03.20"</f>
        <v>H09.03.20</v>
      </c>
      <c r="M3" s="7">
        <v>126.56</v>
      </c>
      <c r="N3" s="7">
        <v>283142000</v>
      </c>
      <c r="O3" s="7">
        <v>193728912</v>
      </c>
      <c r="P3" s="7">
        <v>0</v>
      </c>
      <c r="Q3" s="7" t="str">
        <f t="shared" ref="Q3:Q33" si="3">"政策企画部"</f>
        <v>政策企画部</v>
      </c>
      <c r="R3" s="7" t="str">
        <f t="shared" ref="R3:R13" si="4">"危機管理室"</f>
        <v>危機管理室</v>
      </c>
    </row>
    <row r="4" spans="1:18" s="1" customFormat="1" x14ac:dyDescent="0.45">
      <c r="A4" s="7" t="str">
        <f>"00235000006"</f>
        <v>00235000006</v>
      </c>
      <c r="B4" s="7" t="str">
        <f>"防災行政無線五月山中継所"</f>
        <v>防災行政無線五月山中継所</v>
      </c>
      <c r="C4" s="7" t="str">
        <f t="shared" si="0"/>
        <v>行政財産</v>
      </c>
      <c r="D4" s="7" t="str">
        <f>"その他（行政機関）の施設"</f>
        <v>その他（行政機関）の施設</v>
      </c>
      <c r="E4" s="7" t="str">
        <f>"大阪府池田市東山町"</f>
        <v>大阪府池田市東山町</v>
      </c>
      <c r="F4" s="7"/>
      <c r="G4" s="7" t="str">
        <f t="shared" si="1"/>
        <v>事業用資産</v>
      </c>
      <c r="H4" s="7" t="str">
        <f t="shared" si="2"/>
        <v>棚卸以外</v>
      </c>
      <c r="I4" s="7">
        <v>1</v>
      </c>
      <c r="J4" s="7" t="str">
        <f>"五月山中継所"</f>
        <v>五月山中継所</v>
      </c>
      <c r="K4" s="7" t="str">
        <f>"鉄筋コンクリート造"</f>
        <v>鉄筋コンクリート造</v>
      </c>
      <c r="L4" s="7" t="str">
        <f>"S25.01.01"</f>
        <v>S25.01.01</v>
      </c>
      <c r="M4" s="7">
        <v>56.25</v>
      </c>
      <c r="N4" s="7">
        <v>94170877</v>
      </c>
      <c r="O4" s="7">
        <v>73733412</v>
      </c>
      <c r="P4" s="7">
        <v>0</v>
      </c>
      <c r="Q4" s="7" t="str">
        <f t="shared" si="3"/>
        <v>政策企画部</v>
      </c>
      <c r="R4" s="7" t="str">
        <f t="shared" si="4"/>
        <v>危機管理室</v>
      </c>
    </row>
    <row r="5" spans="1:18" s="1" customFormat="1" x14ac:dyDescent="0.45">
      <c r="A5" s="7" t="str">
        <f>"00235000007"</f>
        <v>00235000007</v>
      </c>
      <c r="B5" s="7" t="str">
        <f>"防災行政無線生駒山中継所"</f>
        <v>防災行政無線生駒山中継所</v>
      </c>
      <c r="C5" s="7" t="str">
        <f t="shared" si="0"/>
        <v>行政財産</v>
      </c>
      <c r="D5" s="7" t="str">
        <f>"その他（行政機関）の施設"</f>
        <v>その他（行政機関）の施設</v>
      </c>
      <c r="E5" s="7" t="str">
        <f>"大阪府東大阪市上四条町"</f>
        <v>大阪府東大阪市上四条町</v>
      </c>
      <c r="F5" s="7"/>
      <c r="G5" s="7" t="str">
        <f t="shared" si="1"/>
        <v>事業用資産</v>
      </c>
      <c r="H5" s="7" t="str">
        <f t="shared" si="2"/>
        <v>棚卸以外</v>
      </c>
      <c r="I5" s="7">
        <v>1</v>
      </c>
      <c r="J5" s="7" t="str">
        <f>"生駒山中継所"</f>
        <v>生駒山中継所</v>
      </c>
      <c r="K5" s="7" t="str">
        <f>"鉄筋コンクリート造"</f>
        <v>鉄筋コンクリート造</v>
      </c>
      <c r="L5" s="7" t="str">
        <f>"S25.01.01"</f>
        <v>S25.01.01</v>
      </c>
      <c r="M5" s="7">
        <v>80</v>
      </c>
      <c r="N5" s="7">
        <v>117885484</v>
      </c>
      <c r="O5" s="7">
        <v>94372715</v>
      </c>
      <c r="P5" s="7">
        <v>0</v>
      </c>
      <c r="Q5" s="7" t="str">
        <f t="shared" si="3"/>
        <v>政策企画部</v>
      </c>
      <c r="R5" s="7" t="str">
        <f t="shared" si="4"/>
        <v>危機管理室</v>
      </c>
    </row>
    <row r="6" spans="1:18" s="1" customFormat="1" x14ac:dyDescent="0.45">
      <c r="A6" s="7" t="str">
        <f>"00235000009"</f>
        <v>00235000009</v>
      </c>
      <c r="B6" s="7" t="str">
        <f>"防災行政無線大和葛城山中継所"</f>
        <v>防災行政無線大和葛城山中継所</v>
      </c>
      <c r="C6" s="7" t="str">
        <f t="shared" si="0"/>
        <v>行政財産</v>
      </c>
      <c r="D6" s="7" t="str">
        <f>"その他（行政機関）の施設"</f>
        <v>その他（行政機関）の施設</v>
      </c>
      <c r="E6" s="7" t="str">
        <f>"大阪府南河内郡　千早赤阪村大字水分"</f>
        <v>大阪府南河内郡　千早赤阪村大字水分</v>
      </c>
      <c r="F6" s="7"/>
      <c r="G6" s="7" t="str">
        <f t="shared" si="1"/>
        <v>事業用資産</v>
      </c>
      <c r="H6" s="7" t="str">
        <f t="shared" si="2"/>
        <v>棚卸以外</v>
      </c>
      <c r="I6" s="7">
        <v>1</v>
      </c>
      <c r="J6" s="7" t="str">
        <f>"防災行政無線大和葛城山中継所"</f>
        <v>防災行政無線大和葛城山中継所</v>
      </c>
      <c r="K6" s="7" t="str">
        <f>"鉄筋コンクリート造"</f>
        <v>鉄筋コンクリート造</v>
      </c>
      <c r="L6" s="7" t="str">
        <f>"H10.12.21"</f>
        <v>H10.12.21</v>
      </c>
      <c r="M6" s="7">
        <v>126.56</v>
      </c>
      <c r="N6" s="7">
        <v>87984000</v>
      </c>
      <c r="O6" s="7">
        <v>56533764</v>
      </c>
      <c r="P6" s="7">
        <v>0</v>
      </c>
      <c r="Q6" s="7" t="str">
        <f t="shared" si="3"/>
        <v>政策企画部</v>
      </c>
      <c r="R6" s="7" t="str">
        <f t="shared" si="4"/>
        <v>危機管理室</v>
      </c>
    </row>
    <row r="7" spans="1:18" s="1" customFormat="1" x14ac:dyDescent="0.45">
      <c r="A7" s="7" t="str">
        <f>"00235000011"</f>
        <v>00235000011</v>
      </c>
      <c r="B7" s="7" t="str">
        <f>"大阪府中部広域防災拠点"</f>
        <v>大阪府中部広域防災拠点</v>
      </c>
      <c r="C7" s="7" t="str">
        <f t="shared" si="0"/>
        <v>行政財産</v>
      </c>
      <c r="D7" s="7" t="str">
        <f>"その他（行政機関）の施設"</f>
        <v>その他（行政機関）の施設</v>
      </c>
      <c r="E7" s="7" t="str">
        <f>"大阪府八尾市空港１丁目"</f>
        <v>大阪府八尾市空港１丁目</v>
      </c>
      <c r="F7" s="7"/>
      <c r="G7" s="7" t="str">
        <f t="shared" si="1"/>
        <v>事業用資産</v>
      </c>
      <c r="H7" s="7" t="str">
        <f t="shared" si="2"/>
        <v>棚卸以外</v>
      </c>
      <c r="I7" s="7">
        <v>1</v>
      </c>
      <c r="J7" s="7" t="str">
        <f>"大阪府中部防災拠点"</f>
        <v>大阪府中部防災拠点</v>
      </c>
      <c r="K7" s="7" t="str">
        <f>"鉄骨造"</f>
        <v>鉄骨造</v>
      </c>
      <c r="L7" s="7" t="str">
        <f>"H15.03.31"</f>
        <v>H15.03.31</v>
      </c>
      <c r="M7" s="7">
        <v>10086.84</v>
      </c>
      <c r="N7" s="7">
        <v>1608939629</v>
      </c>
      <c r="O7" s="7">
        <v>1013684735</v>
      </c>
      <c r="P7" s="7">
        <v>0</v>
      </c>
      <c r="Q7" s="7" t="str">
        <f t="shared" si="3"/>
        <v>政策企画部</v>
      </c>
      <c r="R7" s="7" t="str">
        <f t="shared" si="4"/>
        <v>危機管理室</v>
      </c>
    </row>
    <row r="8" spans="1:18" s="1" customFormat="1" x14ac:dyDescent="0.45">
      <c r="A8" s="7" t="str">
        <f>"00235000050"</f>
        <v>00235000050</v>
      </c>
      <c r="B8" s="7" t="str">
        <f>"大阪府熊取オフサイトセンター"</f>
        <v>大阪府熊取オフサイトセンター</v>
      </c>
      <c r="C8" s="7" t="str">
        <f t="shared" si="0"/>
        <v>行政財産</v>
      </c>
      <c r="D8" s="7" t="str">
        <f>"その他（公共用）の施設"</f>
        <v>その他（公共用）の施設</v>
      </c>
      <c r="E8" s="7" t="str">
        <f>"大阪府泉南郡　熊取町朝代西２丁目"</f>
        <v>大阪府泉南郡　熊取町朝代西２丁目</v>
      </c>
      <c r="F8" s="7" t="str">
        <f>"１０１０－１"</f>
        <v>１０１０－１</v>
      </c>
      <c r="G8" s="7" t="str">
        <f t="shared" si="1"/>
        <v>事業用資産</v>
      </c>
      <c r="H8" s="7" t="str">
        <f t="shared" si="2"/>
        <v>棚卸以外</v>
      </c>
      <c r="I8" s="7">
        <v>1</v>
      </c>
      <c r="J8" s="7" t="str">
        <f>"事務所棟"</f>
        <v>事務所棟</v>
      </c>
      <c r="K8" s="7" t="str">
        <f>"鉄筋コンクリート造"</f>
        <v>鉄筋コンクリート造</v>
      </c>
      <c r="L8" s="7" t="str">
        <f>"H14.01.31"</f>
        <v>H14.01.31</v>
      </c>
      <c r="M8" s="7">
        <v>1022.98</v>
      </c>
      <c r="N8" s="7">
        <v>301359000</v>
      </c>
      <c r="O8" s="7">
        <v>127575310</v>
      </c>
      <c r="P8" s="7">
        <v>0</v>
      </c>
      <c r="Q8" s="7" t="str">
        <f t="shared" si="3"/>
        <v>政策企画部</v>
      </c>
      <c r="R8" s="7" t="str">
        <f t="shared" si="4"/>
        <v>危機管理室</v>
      </c>
    </row>
    <row r="9" spans="1:18" s="1" customFormat="1" x14ac:dyDescent="0.45">
      <c r="A9" s="7" t="str">
        <f>"00235000051"</f>
        <v>00235000051</v>
      </c>
      <c r="B9" s="7" t="str">
        <f>"大阪府東大阪オフサイトセンター"</f>
        <v>大阪府東大阪オフサイトセンター</v>
      </c>
      <c r="C9" s="7" t="str">
        <f t="shared" si="0"/>
        <v>行政財産</v>
      </c>
      <c r="D9" s="7" t="str">
        <f>"その他（公共用）の施設"</f>
        <v>その他（公共用）の施設</v>
      </c>
      <c r="E9" s="7" t="str">
        <f>"大阪府東大阪市新上小阪"</f>
        <v>大阪府東大阪市新上小阪</v>
      </c>
      <c r="F9" s="7" t="str">
        <f>"１番３号"</f>
        <v>１番３号</v>
      </c>
      <c r="G9" s="7" t="str">
        <f t="shared" si="1"/>
        <v>事業用資産</v>
      </c>
      <c r="H9" s="7" t="str">
        <f t="shared" si="2"/>
        <v>棚卸以外</v>
      </c>
      <c r="I9" s="7">
        <v>1</v>
      </c>
      <c r="J9" s="7" t="str">
        <f>"事務所棟"</f>
        <v>事務所棟</v>
      </c>
      <c r="K9" s="7" t="str">
        <f>"鉄筋コンクリート造"</f>
        <v>鉄筋コンクリート造</v>
      </c>
      <c r="L9" s="7" t="str">
        <f>"H14.03.29"</f>
        <v>H14.03.29</v>
      </c>
      <c r="M9" s="7">
        <v>829.71</v>
      </c>
      <c r="N9" s="7">
        <v>285820000</v>
      </c>
      <c r="O9" s="7">
        <v>146395620</v>
      </c>
      <c r="P9" s="7">
        <v>0</v>
      </c>
      <c r="Q9" s="7" t="str">
        <f t="shared" si="3"/>
        <v>政策企画部</v>
      </c>
      <c r="R9" s="7" t="str">
        <f t="shared" si="4"/>
        <v>危機管理室</v>
      </c>
    </row>
    <row r="10" spans="1:18" s="1" customFormat="1" x14ac:dyDescent="0.45">
      <c r="A10" s="7" t="str">
        <f>"00235000052"</f>
        <v>00235000052</v>
      </c>
      <c r="B10" s="7" t="str">
        <f>"大阪府北部広域防災拠点"</f>
        <v>大阪府北部広域防災拠点</v>
      </c>
      <c r="C10" s="7" t="str">
        <f t="shared" si="0"/>
        <v>行政財産</v>
      </c>
      <c r="D10" s="7" t="str">
        <f>"その他（公共用）の施設"</f>
        <v>その他（公共用）の施設</v>
      </c>
      <c r="E10" s="7" t="str">
        <f>"大阪府吹田市千里万博公園"</f>
        <v>大阪府吹田市千里万博公園</v>
      </c>
      <c r="F10" s="7" t="str">
        <f>"７８－４の一部"</f>
        <v>７８－４の一部</v>
      </c>
      <c r="G10" s="7" t="str">
        <f t="shared" si="1"/>
        <v>事業用資産</v>
      </c>
      <c r="H10" s="7" t="str">
        <f t="shared" si="2"/>
        <v>棚卸以外</v>
      </c>
      <c r="I10" s="7">
        <v>1</v>
      </c>
      <c r="J10" s="7" t="str">
        <f>"大阪府北部広域防災拠点"</f>
        <v>大阪府北部広域防災拠点</v>
      </c>
      <c r="K10" s="7" t="str">
        <f>"鉄骨造"</f>
        <v>鉄骨造</v>
      </c>
      <c r="L10" s="7" t="str">
        <f>"H16.03.31"</f>
        <v>H16.03.31</v>
      </c>
      <c r="M10" s="7">
        <v>2030.83</v>
      </c>
      <c r="N10" s="7">
        <v>248871000</v>
      </c>
      <c r="O10" s="7">
        <v>151865043</v>
      </c>
      <c r="P10" s="7">
        <v>0</v>
      </c>
      <c r="Q10" s="7" t="str">
        <f t="shared" si="3"/>
        <v>政策企画部</v>
      </c>
      <c r="R10" s="7" t="str">
        <f t="shared" si="4"/>
        <v>危機管理室</v>
      </c>
    </row>
    <row r="11" spans="1:18" s="1" customFormat="1" x14ac:dyDescent="0.45">
      <c r="A11" s="7" t="str">
        <f>"00235001001"</f>
        <v>00235001001</v>
      </c>
      <c r="B11" s="7" t="str">
        <f>"防災行政無線清滝中継所"</f>
        <v>防災行政無線清滝中継所</v>
      </c>
      <c r="C11" s="7" t="str">
        <f t="shared" si="0"/>
        <v>行政財産</v>
      </c>
      <c r="D11" s="7" t="str">
        <f>"その他（行政機関）の施設"</f>
        <v>その他（行政機関）の施設</v>
      </c>
      <c r="E11" s="7" t="str">
        <f>"大阪府四條畷市大字清瀧"</f>
        <v>大阪府四條畷市大字清瀧</v>
      </c>
      <c r="F11" s="7"/>
      <c r="G11" s="7" t="str">
        <f t="shared" si="1"/>
        <v>事業用資産</v>
      </c>
      <c r="H11" s="7" t="str">
        <f t="shared" si="2"/>
        <v>棚卸以外</v>
      </c>
      <c r="I11" s="7">
        <v>1</v>
      </c>
      <c r="J11" s="7" t="str">
        <f>"防災行政無線清滝中継所"</f>
        <v>防災行政無線清滝中継所</v>
      </c>
      <c r="K11" s="7" t="str">
        <f>"鉄筋コンクリート造"</f>
        <v>鉄筋コンクリート造</v>
      </c>
      <c r="L11" s="7" t="str">
        <f>"H11.03.31"</f>
        <v>H11.03.31</v>
      </c>
      <c r="M11" s="7">
        <v>126.56</v>
      </c>
      <c r="N11" s="7">
        <v>94492000</v>
      </c>
      <c r="O11" s="7">
        <v>59679360</v>
      </c>
      <c r="P11" s="7">
        <v>0</v>
      </c>
      <c r="Q11" s="7" t="str">
        <f t="shared" si="3"/>
        <v>政策企画部</v>
      </c>
      <c r="R11" s="7" t="str">
        <f t="shared" si="4"/>
        <v>危機管理室</v>
      </c>
    </row>
    <row r="12" spans="1:18" s="1" customFormat="1" x14ac:dyDescent="0.45">
      <c r="A12" s="7" t="str">
        <f>"00235001002"</f>
        <v>00235001002</v>
      </c>
      <c r="B12" s="7" t="str">
        <f>"南部広域防災拠点"</f>
        <v>南部広域防災拠点</v>
      </c>
      <c r="C12" s="7" t="str">
        <f t="shared" si="0"/>
        <v>行政財産</v>
      </c>
      <c r="D12" s="7" t="str">
        <f>"その他（行政機関）の施設"</f>
        <v>その他（行政機関）の施設</v>
      </c>
      <c r="E12" s="7" t="str">
        <f>"大阪府泉南市りんくう南浜"</f>
        <v>大阪府泉南市りんくう南浜</v>
      </c>
      <c r="F12" s="7"/>
      <c r="G12" s="7" t="str">
        <f t="shared" si="1"/>
        <v>事業用資産</v>
      </c>
      <c r="H12" s="7" t="str">
        <f t="shared" si="2"/>
        <v>棚卸以外</v>
      </c>
      <c r="I12" s="7">
        <v>1</v>
      </c>
      <c r="J12" s="7" t="str">
        <f>"南部広域防災拠点本館"</f>
        <v>南部広域防災拠点本館</v>
      </c>
      <c r="K12" s="7" t="str">
        <f>"鉄骨造"</f>
        <v>鉄骨造</v>
      </c>
      <c r="L12" s="7" t="str">
        <f>"H09.08.15"</f>
        <v>H09.08.15</v>
      </c>
      <c r="M12" s="7">
        <v>3250.03</v>
      </c>
      <c r="N12" s="7">
        <v>621961000</v>
      </c>
      <c r="O12" s="7">
        <v>513285273</v>
      </c>
      <c r="P12" s="7">
        <v>0</v>
      </c>
      <c r="Q12" s="7" t="str">
        <f t="shared" si="3"/>
        <v>政策企画部</v>
      </c>
      <c r="R12" s="7" t="str">
        <f t="shared" si="4"/>
        <v>危機管理室</v>
      </c>
    </row>
    <row r="13" spans="1:18" s="1" customFormat="1" ht="26.4" x14ac:dyDescent="0.45">
      <c r="A13" s="7" t="str">
        <f>"00235003069"</f>
        <v>00235003069</v>
      </c>
      <c r="B13" s="7" t="str">
        <f>"災害用備蓄倉庫（大阪府南河内府民センター敷地内）"</f>
        <v>災害用備蓄倉庫（大阪府南河内府民センター敷地内）</v>
      </c>
      <c r="C13" s="7" t="str">
        <f t="shared" si="0"/>
        <v>行政財産</v>
      </c>
      <c r="D13" s="7" t="str">
        <f>"その他（公共用）の施設"</f>
        <v>その他（公共用）の施設</v>
      </c>
      <c r="E13" s="7" t="str">
        <f>"大阪府富田林市寿町２丁目"</f>
        <v>大阪府富田林市寿町２丁目</v>
      </c>
      <c r="F13" s="7"/>
      <c r="G13" s="7" t="str">
        <f t="shared" si="1"/>
        <v>事業用資産</v>
      </c>
      <c r="H13" s="7" t="str">
        <f t="shared" si="2"/>
        <v>棚卸以外</v>
      </c>
      <c r="I13" s="7">
        <v>1</v>
      </c>
      <c r="J13" s="7" t="str">
        <f>"倉庫建物"</f>
        <v>倉庫建物</v>
      </c>
      <c r="K13" s="7" t="str">
        <f>"鉄骨造"</f>
        <v>鉄骨造</v>
      </c>
      <c r="L13" s="7" t="str">
        <f>"H31.03.22"</f>
        <v>H31.03.22</v>
      </c>
      <c r="M13" s="7">
        <v>46.2</v>
      </c>
      <c r="N13" s="7">
        <v>7055640</v>
      </c>
      <c r="O13" s="7">
        <v>910416</v>
      </c>
      <c r="P13" s="7">
        <v>0</v>
      </c>
      <c r="Q13" s="7" t="str">
        <f t="shared" si="3"/>
        <v>政策企画部</v>
      </c>
      <c r="R13" s="7" t="str">
        <f t="shared" si="4"/>
        <v>危機管理室</v>
      </c>
    </row>
    <row r="14" spans="1:18" s="1" customFormat="1" x14ac:dyDescent="0.45">
      <c r="A14" s="7" t="str">
        <f t="shared" ref="A14:A23" si="5">"00325000008"</f>
        <v>00325000008</v>
      </c>
      <c r="B14" s="7" t="str">
        <f t="shared" ref="B14:B23" si="6">"消防学校"</f>
        <v>消防学校</v>
      </c>
      <c r="C14" s="7" t="str">
        <f t="shared" si="0"/>
        <v>行政財産</v>
      </c>
      <c r="D14" s="7" t="str">
        <f t="shared" ref="D14:D23" si="7">"警察（消防）施設"</f>
        <v>警察（消防）施設</v>
      </c>
      <c r="E14" s="7" t="str">
        <f t="shared" ref="E14:E23" si="8">"大阪府大東市平野屋１丁目"</f>
        <v>大阪府大東市平野屋１丁目</v>
      </c>
      <c r="F14" s="7"/>
      <c r="G14" s="7" t="str">
        <f t="shared" si="1"/>
        <v>事業用資産</v>
      </c>
      <c r="H14" s="7" t="str">
        <f t="shared" si="2"/>
        <v>棚卸以外</v>
      </c>
      <c r="I14" s="7">
        <v>3</v>
      </c>
      <c r="J14" s="7" t="str">
        <f>"補助訓練塔（旧第一主訓練塔）"</f>
        <v>補助訓練塔（旧第一主訓練塔）</v>
      </c>
      <c r="K14" s="7" t="str">
        <f>"鉄筋コンクリート造"</f>
        <v>鉄筋コンクリート造</v>
      </c>
      <c r="L14" s="7" t="str">
        <f>"S39.03.31"</f>
        <v>S39.03.31</v>
      </c>
      <c r="M14" s="7">
        <v>141.76</v>
      </c>
      <c r="N14" s="7">
        <v>24820473</v>
      </c>
      <c r="O14" s="7">
        <v>11508080</v>
      </c>
      <c r="P14" s="7">
        <v>0</v>
      </c>
      <c r="Q14" s="7" t="str">
        <f t="shared" si="3"/>
        <v>政策企画部</v>
      </c>
      <c r="R14" s="7" t="str">
        <f t="shared" ref="R14:R23" si="9">"消防学校"</f>
        <v>消防学校</v>
      </c>
    </row>
    <row r="15" spans="1:18" s="1" customFormat="1" ht="26.4" x14ac:dyDescent="0.45">
      <c r="A15" s="7" t="str">
        <f t="shared" si="5"/>
        <v>00325000008</v>
      </c>
      <c r="B15" s="7" t="str">
        <f t="shared" si="6"/>
        <v>消防学校</v>
      </c>
      <c r="C15" s="7" t="str">
        <f t="shared" si="0"/>
        <v>行政財産</v>
      </c>
      <c r="D15" s="7" t="str">
        <f t="shared" si="7"/>
        <v>警察（消防）施設</v>
      </c>
      <c r="E15" s="7" t="str">
        <f t="shared" si="8"/>
        <v>大阪府大東市平野屋１丁目</v>
      </c>
      <c r="F15" s="7"/>
      <c r="G15" s="7" t="str">
        <f t="shared" si="1"/>
        <v>事業用資産</v>
      </c>
      <c r="H15" s="7" t="str">
        <f t="shared" si="2"/>
        <v>棚卸以外</v>
      </c>
      <c r="I15" s="7">
        <v>13</v>
      </c>
      <c r="J15" s="7" t="str">
        <f>"科学消防訓練棟"</f>
        <v>科学消防訓練棟</v>
      </c>
      <c r="K15" s="7" t="str">
        <f>"鉄骨鉄筋コンクリート造"</f>
        <v>鉄骨鉄筋コンクリート造</v>
      </c>
      <c r="L15" s="7" t="str">
        <f>"S61.12.27"</f>
        <v>S61.12.27</v>
      </c>
      <c r="M15" s="7">
        <v>904.73</v>
      </c>
      <c r="N15" s="7">
        <v>362477100</v>
      </c>
      <c r="O15" s="7">
        <v>277712595</v>
      </c>
      <c r="P15" s="7">
        <v>0</v>
      </c>
      <c r="Q15" s="7" t="str">
        <f t="shared" si="3"/>
        <v>政策企画部</v>
      </c>
      <c r="R15" s="7" t="str">
        <f t="shared" si="9"/>
        <v>消防学校</v>
      </c>
    </row>
    <row r="16" spans="1:18" s="1" customFormat="1" x14ac:dyDescent="0.45">
      <c r="A16" s="7" t="str">
        <f t="shared" si="5"/>
        <v>00325000008</v>
      </c>
      <c r="B16" s="7" t="str">
        <f t="shared" si="6"/>
        <v>消防学校</v>
      </c>
      <c r="C16" s="7" t="str">
        <f t="shared" si="0"/>
        <v>行政財産</v>
      </c>
      <c r="D16" s="7" t="str">
        <f t="shared" si="7"/>
        <v>警察（消防）施設</v>
      </c>
      <c r="E16" s="7" t="str">
        <f t="shared" si="8"/>
        <v>大阪府大東市平野屋１丁目</v>
      </c>
      <c r="F16" s="7"/>
      <c r="G16" s="7" t="str">
        <f t="shared" si="1"/>
        <v>事業用資産</v>
      </c>
      <c r="H16" s="7" t="str">
        <f t="shared" si="2"/>
        <v>棚卸以外</v>
      </c>
      <c r="I16" s="7">
        <v>14</v>
      </c>
      <c r="J16" s="7" t="str">
        <f>"理化学教育棟"</f>
        <v>理化学教育棟</v>
      </c>
      <c r="K16" s="7" t="str">
        <f>"鉄筋コンクリート造"</f>
        <v>鉄筋コンクリート造</v>
      </c>
      <c r="L16" s="7" t="str">
        <f>"S61.12.27"</f>
        <v>S61.12.27</v>
      </c>
      <c r="M16" s="7">
        <v>313.76</v>
      </c>
      <c r="N16" s="7">
        <v>111920767</v>
      </c>
      <c r="O16" s="7">
        <v>55233834</v>
      </c>
      <c r="P16" s="7">
        <v>0</v>
      </c>
      <c r="Q16" s="7" t="str">
        <f t="shared" si="3"/>
        <v>政策企画部</v>
      </c>
      <c r="R16" s="7" t="str">
        <f t="shared" si="9"/>
        <v>消防学校</v>
      </c>
    </row>
    <row r="17" spans="1:18" s="1" customFormat="1" x14ac:dyDescent="0.45">
      <c r="A17" s="7" t="str">
        <f t="shared" si="5"/>
        <v>00325000008</v>
      </c>
      <c r="B17" s="7" t="str">
        <f t="shared" si="6"/>
        <v>消防学校</v>
      </c>
      <c r="C17" s="7" t="str">
        <f t="shared" si="0"/>
        <v>行政財産</v>
      </c>
      <c r="D17" s="7" t="str">
        <f t="shared" si="7"/>
        <v>警察（消防）施設</v>
      </c>
      <c r="E17" s="7" t="str">
        <f t="shared" si="8"/>
        <v>大阪府大東市平野屋１丁目</v>
      </c>
      <c r="F17" s="7"/>
      <c r="G17" s="7" t="str">
        <f t="shared" si="1"/>
        <v>事業用資産</v>
      </c>
      <c r="H17" s="7" t="str">
        <f t="shared" si="2"/>
        <v>棚卸以外</v>
      </c>
      <c r="I17" s="7">
        <v>15</v>
      </c>
      <c r="J17" s="7" t="str">
        <f>"公害防止棟"</f>
        <v>公害防止棟</v>
      </c>
      <c r="K17" s="7" t="str">
        <f>"鉄筋コンクリート造"</f>
        <v>鉄筋コンクリート造</v>
      </c>
      <c r="L17" s="7" t="str">
        <f>"S61.12.27"</f>
        <v>S61.12.27</v>
      </c>
      <c r="M17" s="7">
        <v>191.91</v>
      </c>
      <c r="N17" s="7">
        <v>221813000</v>
      </c>
      <c r="O17" s="7">
        <v>171079410</v>
      </c>
      <c r="P17" s="7">
        <v>0</v>
      </c>
      <c r="Q17" s="7" t="str">
        <f t="shared" si="3"/>
        <v>政策企画部</v>
      </c>
      <c r="R17" s="7" t="str">
        <f t="shared" si="9"/>
        <v>消防学校</v>
      </c>
    </row>
    <row r="18" spans="1:18" s="1" customFormat="1" ht="26.4" x14ac:dyDescent="0.45">
      <c r="A18" s="7" t="str">
        <f t="shared" si="5"/>
        <v>00325000008</v>
      </c>
      <c r="B18" s="7" t="str">
        <f t="shared" si="6"/>
        <v>消防学校</v>
      </c>
      <c r="C18" s="7" t="str">
        <f t="shared" si="0"/>
        <v>行政財産</v>
      </c>
      <c r="D18" s="7" t="str">
        <f t="shared" si="7"/>
        <v>警察（消防）施設</v>
      </c>
      <c r="E18" s="7" t="str">
        <f t="shared" si="8"/>
        <v>大阪府大東市平野屋１丁目</v>
      </c>
      <c r="F18" s="7"/>
      <c r="G18" s="7" t="str">
        <f t="shared" si="1"/>
        <v>事業用資産</v>
      </c>
      <c r="H18" s="7" t="str">
        <f t="shared" si="2"/>
        <v>棚卸以外</v>
      </c>
      <c r="I18" s="7">
        <v>19</v>
      </c>
      <c r="J18" s="7" t="str">
        <f>"本館"</f>
        <v>本館</v>
      </c>
      <c r="K18" s="7" t="str">
        <f>"鉄骨鉄筋コンクリート造"</f>
        <v>鉄骨鉄筋コンクリート造</v>
      </c>
      <c r="L18" s="7" t="str">
        <f t="shared" ref="L18:L23" si="10">"H21.04.01"</f>
        <v>H21.04.01</v>
      </c>
      <c r="M18" s="7">
        <v>11114.63</v>
      </c>
      <c r="N18" s="7">
        <v>2011561360</v>
      </c>
      <c r="O18" s="7">
        <v>595879349</v>
      </c>
      <c r="P18" s="7">
        <v>0</v>
      </c>
      <c r="Q18" s="7" t="str">
        <f t="shared" si="3"/>
        <v>政策企画部</v>
      </c>
      <c r="R18" s="7" t="str">
        <f t="shared" si="9"/>
        <v>消防学校</v>
      </c>
    </row>
    <row r="19" spans="1:18" s="1" customFormat="1" x14ac:dyDescent="0.45">
      <c r="A19" s="7" t="str">
        <f t="shared" si="5"/>
        <v>00325000008</v>
      </c>
      <c r="B19" s="7" t="str">
        <f t="shared" si="6"/>
        <v>消防学校</v>
      </c>
      <c r="C19" s="7" t="str">
        <f t="shared" si="0"/>
        <v>行政財産</v>
      </c>
      <c r="D19" s="7" t="str">
        <f t="shared" si="7"/>
        <v>警察（消防）施設</v>
      </c>
      <c r="E19" s="7" t="str">
        <f t="shared" si="8"/>
        <v>大阪府大東市平野屋１丁目</v>
      </c>
      <c r="F19" s="7"/>
      <c r="G19" s="7" t="str">
        <f t="shared" si="1"/>
        <v>事業用資産</v>
      </c>
      <c r="H19" s="7" t="str">
        <f t="shared" si="2"/>
        <v>棚卸以外</v>
      </c>
      <c r="I19" s="7">
        <v>20</v>
      </c>
      <c r="J19" s="7" t="str">
        <f>"第二主訓練塔"</f>
        <v>第二主訓練塔</v>
      </c>
      <c r="K19" s="7" t="str">
        <f>"鉄筋コンクリート造"</f>
        <v>鉄筋コンクリート造</v>
      </c>
      <c r="L19" s="7" t="str">
        <f t="shared" si="10"/>
        <v>H21.04.01</v>
      </c>
      <c r="M19" s="7">
        <v>832.51</v>
      </c>
      <c r="N19" s="7">
        <v>265745000</v>
      </c>
      <c r="O19" s="7">
        <v>78687060</v>
      </c>
      <c r="P19" s="7">
        <v>0</v>
      </c>
      <c r="Q19" s="7" t="str">
        <f t="shared" si="3"/>
        <v>政策企画部</v>
      </c>
      <c r="R19" s="7" t="str">
        <f t="shared" si="9"/>
        <v>消防学校</v>
      </c>
    </row>
    <row r="20" spans="1:18" s="1" customFormat="1" x14ac:dyDescent="0.45">
      <c r="A20" s="7" t="str">
        <f t="shared" si="5"/>
        <v>00325000008</v>
      </c>
      <c r="B20" s="7" t="str">
        <f t="shared" si="6"/>
        <v>消防学校</v>
      </c>
      <c r="C20" s="7" t="str">
        <f t="shared" si="0"/>
        <v>行政財産</v>
      </c>
      <c r="D20" s="7" t="str">
        <f t="shared" si="7"/>
        <v>警察（消防）施設</v>
      </c>
      <c r="E20" s="7" t="str">
        <f t="shared" si="8"/>
        <v>大阪府大東市平野屋１丁目</v>
      </c>
      <c r="F20" s="7"/>
      <c r="G20" s="7" t="str">
        <f t="shared" si="1"/>
        <v>事業用資産</v>
      </c>
      <c r="H20" s="7" t="str">
        <f t="shared" si="2"/>
        <v>棚卸以外</v>
      </c>
      <c r="I20" s="7">
        <v>21</v>
      </c>
      <c r="J20" s="7" t="str">
        <f>"第二補助訓練塔"</f>
        <v>第二補助訓練塔</v>
      </c>
      <c r="K20" s="7" t="str">
        <f>"鉄骨造"</f>
        <v>鉄骨造</v>
      </c>
      <c r="L20" s="7" t="str">
        <f t="shared" si="10"/>
        <v>H21.04.01</v>
      </c>
      <c r="M20" s="7">
        <v>306.14999999999998</v>
      </c>
      <c r="N20" s="7">
        <v>57751000</v>
      </c>
      <c r="O20" s="7">
        <v>23638349</v>
      </c>
      <c r="P20" s="7">
        <v>0</v>
      </c>
      <c r="Q20" s="7" t="str">
        <f t="shared" si="3"/>
        <v>政策企画部</v>
      </c>
      <c r="R20" s="7" t="str">
        <f t="shared" si="9"/>
        <v>消防学校</v>
      </c>
    </row>
    <row r="21" spans="1:18" s="1" customFormat="1" x14ac:dyDescent="0.45">
      <c r="A21" s="7" t="str">
        <f t="shared" si="5"/>
        <v>00325000008</v>
      </c>
      <c r="B21" s="7" t="str">
        <f t="shared" si="6"/>
        <v>消防学校</v>
      </c>
      <c r="C21" s="7" t="str">
        <f t="shared" si="0"/>
        <v>行政財産</v>
      </c>
      <c r="D21" s="7" t="str">
        <f t="shared" si="7"/>
        <v>警察（消防）施設</v>
      </c>
      <c r="E21" s="7" t="str">
        <f t="shared" si="8"/>
        <v>大阪府大東市平野屋１丁目</v>
      </c>
      <c r="F21" s="7"/>
      <c r="G21" s="7" t="str">
        <f t="shared" si="1"/>
        <v>事業用資産</v>
      </c>
      <c r="H21" s="7" t="str">
        <f t="shared" si="2"/>
        <v>棚卸以外</v>
      </c>
      <c r="I21" s="7">
        <v>22</v>
      </c>
      <c r="J21" s="7" t="str">
        <f>"車庫"</f>
        <v>車庫</v>
      </c>
      <c r="K21" s="7" t="str">
        <f>"コンクリートブロック造"</f>
        <v>コンクリートブロック造</v>
      </c>
      <c r="L21" s="7" t="str">
        <f t="shared" si="10"/>
        <v>H21.04.01</v>
      </c>
      <c r="M21" s="7">
        <v>21.56</v>
      </c>
      <c r="N21" s="7">
        <v>751000</v>
      </c>
      <c r="O21" s="7">
        <v>307447</v>
      </c>
      <c r="P21" s="7">
        <v>0</v>
      </c>
      <c r="Q21" s="7" t="str">
        <f t="shared" si="3"/>
        <v>政策企画部</v>
      </c>
      <c r="R21" s="7" t="str">
        <f t="shared" si="9"/>
        <v>消防学校</v>
      </c>
    </row>
    <row r="22" spans="1:18" s="1" customFormat="1" x14ac:dyDescent="0.45">
      <c r="A22" s="7" t="str">
        <f t="shared" si="5"/>
        <v>00325000008</v>
      </c>
      <c r="B22" s="7" t="str">
        <f t="shared" si="6"/>
        <v>消防学校</v>
      </c>
      <c r="C22" s="7" t="str">
        <f t="shared" si="0"/>
        <v>行政財産</v>
      </c>
      <c r="D22" s="7" t="str">
        <f t="shared" si="7"/>
        <v>警察（消防）施設</v>
      </c>
      <c r="E22" s="7" t="str">
        <f t="shared" si="8"/>
        <v>大阪府大東市平野屋１丁目</v>
      </c>
      <c r="F22" s="7"/>
      <c r="G22" s="7" t="str">
        <f t="shared" si="1"/>
        <v>事業用資産</v>
      </c>
      <c r="H22" s="7" t="str">
        <f t="shared" si="2"/>
        <v>棚卸以外</v>
      </c>
      <c r="I22" s="7">
        <v>23</v>
      </c>
      <c r="J22" s="7" t="str">
        <f>"ゴミ置場"</f>
        <v>ゴミ置場</v>
      </c>
      <c r="K22" s="7" t="str">
        <f>"コンクリートブロック造"</f>
        <v>コンクリートブロック造</v>
      </c>
      <c r="L22" s="7" t="str">
        <f t="shared" si="10"/>
        <v>H21.04.01</v>
      </c>
      <c r="M22" s="7">
        <v>12.5</v>
      </c>
      <c r="N22" s="7">
        <v>1458000</v>
      </c>
      <c r="O22" s="7">
        <v>596858</v>
      </c>
      <c r="P22" s="7">
        <v>0</v>
      </c>
      <c r="Q22" s="7" t="str">
        <f t="shared" si="3"/>
        <v>政策企画部</v>
      </c>
      <c r="R22" s="7" t="str">
        <f t="shared" si="9"/>
        <v>消防学校</v>
      </c>
    </row>
    <row r="23" spans="1:18" s="1" customFormat="1" x14ac:dyDescent="0.45">
      <c r="A23" s="7" t="str">
        <f t="shared" si="5"/>
        <v>00325000008</v>
      </c>
      <c r="B23" s="7" t="str">
        <f t="shared" si="6"/>
        <v>消防学校</v>
      </c>
      <c r="C23" s="7" t="str">
        <f t="shared" si="0"/>
        <v>行政財産</v>
      </c>
      <c r="D23" s="7" t="str">
        <f t="shared" si="7"/>
        <v>警察（消防）施設</v>
      </c>
      <c r="E23" s="7" t="str">
        <f t="shared" si="8"/>
        <v>大阪府大東市平野屋１丁目</v>
      </c>
      <c r="F23" s="7"/>
      <c r="G23" s="7" t="str">
        <f t="shared" si="1"/>
        <v>事業用資産</v>
      </c>
      <c r="H23" s="7" t="str">
        <f t="shared" si="2"/>
        <v>棚卸以外</v>
      </c>
      <c r="I23" s="7">
        <v>24</v>
      </c>
      <c r="J23" s="7" t="str">
        <f>"警備員室"</f>
        <v>警備員室</v>
      </c>
      <c r="K23" s="7" t="str">
        <f>"鉄筋コンクリート造"</f>
        <v>鉄筋コンクリート造</v>
      </c>
      <c r="L23" s="7" t="str">
        <f t="shared" si="10"/>
        <v>H21.04.01</v>
      </c>
      <c r="M23" s="7">
        <v>24</v>
      </c>
      <c r="N23" s="7">
        <v>8480000</v>
      </c>
      <c r="O23" s="7">
        <v>2360378</v>
      </c>
      <c r="P23" s="7">
        <v>0</v>
      </c>
      <c r="Q23" s="7" t="str">
        <f t="shared" si="3"/>
        <v>政策企画部</v>
      </c>
      <c r="R23" s="7" t="str">
        <f t="shared" si="9"/>
        <v>消防学校</v>
      </c>
    </row>
    <row r="24" spans="1:18" s="1" customFormat="1" x14ac:dyDescent="0.45">
      <c r="A24" s="7" t="str">
        <f t="shared" ref="A24:A33" si="11">"00234000002"</f>
        <v>00234000002</v>
      </c>
      <c r="B24" s="7" t="str">
        <f t="shared" ref="B24:B33" si="12">"岬町多奈川地区多目的公園"</f>
        <v>岬町多奈川地区多目的公園</v>
      </c>
      <c r="C24" s="7" t="str">
        <f t="shared" si="0"/>
        <v>行政財産</v>
      </c>
      <c r="D24" s="7" t="str">
        <f t="shared" ref="D24:D33" si="13">"公園"</f>
        <v>公園</v>
      </c>
      <c r="E24" s="7" t="str">
        <f t="shared" ref="E24:E33" si="14">"大阪府泉南郡　岬町多奈川東畑"</f>
        <v>大阪府泉南郡　岬町多奈川東畑</v>
      </c>
      <c r="F24" s="7"/>
      <c r="G24" s="7" t="str">
        <f t="shared" si="1"/>
        <v>事業用資産</v>
      </c>
      <c r="H24" s="7" t="str">
        <f t="shared" si="2"/>
        <v>棚卸以外</v>
      </c>
      <c r="I24" s="7">
        <v>1</v>
      </c>
      <c r="J24" s="7" t="str">
        <f>"ダッグアウト"</f>
        <v>ダッグアウト</v>
      </c>
      <c r="K24" s="7" t="str">
        <f>"鉄骨造"</f>
        <v>鉄骨造</v>
      </c>
      <c r="L24" s="7" t="str">
        <f>"H21.03.31"</f>
        <v>H21.03.31</v>
      </c>
      <c r="M24" s="7">
        <v>10.199999999999999</v>
      </c>
      <c r="N24" s="7">
        <v>1630000</v>
      </c>
      <c r="O24" s="7">
        <v>736176</v>
      </c>
      <c r="P24" s="7">
        <v>0</v>
      </c>
      <c r="Q24" s="7" t="str">
        <f t="shared" si="3"/>
        <v>政策企画部</v>
      </c>
      <c r="R24" s="7" t="str">
        <f t="shared" ref="R24:R33" si="15">"成長戦略局"</f>
        <v>成長戦略局</v>
      </c>
    </row>
    <row r="25" spans="1:18" s="1" customFormat="1" x14ac:dyDescent="0.45">
      <c r="A25" s="7" t="str">
        <f t="shared" si="11"/>
        <v>00234000002</v>
      </c>
      <c r="B25" s="7" t="str">
        <f t="shared" si="12"/>
        <v>岬町多奈川地区多目的公園</v>
      </c>
      <c r="C25" s="7" t="str">
        <f t="shared" si="0"/>
        <v>行政財産</v>
      </c>
      <c r="D25" s="7" t="str">
        <f t="shared" si="13"/>
        <v>公園</v>
      </c>
      <c r="E25" s="7" t="str">
        <f t="shared" si="14"/>
        <v>大阪府泉南郡　岬町多奈川東畑</v>
      </c>
      <c r="F25" s="7"/>
      <c r="G25" s="7" t="str">
        <f t="shared" si="1"/>
        <v>事業用資産</v>
      </c>
      <c r="H25" s="7" t="str">
        <f t="shared" si="2"/>
        <v>棚卸以外</v>
      </c>
      <c r="I25" s="7">
        <v>2</v>
      </c>
      <c r="J25" s="7" t="str">
        <f>"ダッグアウト"</f>
        <v>ダッグアウト</v>
      </c>
      <c r="K25" s="7" t="str">
        <f>"鉄骨造"</f>
        <v>鉄骨造</v>
      </c>
      <c r="L25" s="7" t="str">
        <f>"H21.03.31"</f>
        <v>H21.03.31</v>
      </c>
      <c r="M25" s="7">
        <v>10.199999999999999</v>
      </c>
      <c r="N25" s="7">
        <v>1630000</v>
      </c>
      <c r="O25" s="7">
        <v>736176</v>
      </c>
      <c r="P25" s="7">
        <v>0</v>
      </c>
      <c r="Q25" s="7" t="str">
        <f t="shared" si="3"/>
        <v>政策企画部</v>
      </c>
      <c r="R25" s="7" t="str">
        <f t="shared" si="15"/>
        <v>成長戦略局</v>
      </c>
    </row>
    <row r="26" spans="1:18" s="1" customFormat="1" x14ac:dyDescent="0.45">
      <c r="A26" s="7" t="str">
        <f t="shared" si="11"/>
        <v>00234000002</v>
      </c>
      <c r="B26" s="7" t="str">
        <f t="shared" si="12"/>
        <v>岬町多奈川地区多目的公園</v>
      </c>
      <c r="C26" s="7" t="str">
        <f t="shared" si="0"/>
        <v>行政財産</v>
      </c>
      <c r="D26" s="7" t="str">
        <f t="shared" si="13"/>
        <v>公園</v>
      </c>
      <c r="E26" s="7" t="str">
        <f t="shared" si="14"/>
        <v>大阪府泉南郡　岬町多奈川東畑</v>
      </c>
      <c r="F26" s="7"/>
      <c r="G26" s="7" t="str">
        <f t="shared" si="1"/>
        <v>事業用資産</v>
      </c>
      <c r="H26" s="7" t="str">
        <f t="shared" si="2"/>
        <v>棚卸以外</v>
      </c>
      <c r="I26" s="7">
        <v>3</v>
      </c>
      <c r="J26" s="7" t="str">
        <f>"管理棟"</f>
        <v>管理棟</v>
      </c>
      <c r="K26" s="7" t="str">
        <f>"鉄骨造"</f>
        <v>鉄骨造</v>
      </c>
      <c r="L26" s="7" t="str">
        <f>"H22.03.31"</f>
        <v>H22.03.31</v>
      </c>
      <c r="M26" s="7">
        <v>127.26</v>
      </c>
      <c r="N26" s="7">
        <v>30357000</v>
      </c>
      <c r="O26" s="7">
        <v>10385388</v>
      </c>
      <c r="P26" s="7">
        <v>0</v>
      </c>
      <c r="Q26" s="7" t="str">
        <f t="shared" si="3"/>
        <v>政策企画部</v>
      </c>
      <c r="R26" s="7" t="str">
        <f t="shared" si="15"/>
        <v>成長戦略局</v>
      </c>
    </row>
    <row r="27" spans="1:18" s="1" customFormat="1" x14ac:dyDescent="0.45">
      <c r="A27" s="7" t="str">
        <f t="shared" si="11"/>
        <v>00234000002</v>
      </c>
      <c r="B27" s="7" t="str">
        <f t="shared" si="12"/>
        <v>岬町多奈川地区多目的公園</v>
      </c>
      <c r="C27" s="7" t="str">
        <f t="shared" si="0"/>
        <v>行政財産</v>
      </c>
      <c r="D27" s="7" t="str">
        <f t="shared" si="13"/>
        <v>公園</v>
      </c>
      <c r="E27" s="7" t="str">
        <f t="shared" si="14"/>
        <v>大阪府泉南郡　岬町多奈川東畑</v>
      </c>
      <c r="F27" s="7"/>
      <c r="G27" s="7" t="str">
        <f t="shared" si="1"/>
        <v>事業用資産</v>
      </c>
      <c r="H27" s="7" t="str">
        <f t="shared" si="2"/>
        <v>棚卸以外</v>
      </c>
      <c r="I27" s="7">
        <v>4</v>
      </c>
      <c r="J27" s="7" t="str">
        <f>"公衆便所"</f>
        <v>公衆便所</v>
      </c>
      <c r="K27" s="7" t="str">
        <f>"鉄筋コンクリート造"</f>
        <v>鉄筋コンクリート造</v>
      </c>
      <c r="L27" s="7" t="str">
        <f>"H22.03.31"</f>
        <v>H22.03.31</v>
      </c>
      <c r="M27" s="7">
        <v>13.92</v>
      </c>
      <c r="N27" s="7">
        <v>8291000</v>
      </c>
      <c r="O27" s="7">
        <v>2836548</v>
      </c>
      <c r="P27" s="7">
        <v>0</v>
      </c>
      <c r="Q27" s="7" t="str">
        <f t="shared" si="3"/>
        <v>政策企画部</v>
      </c>
      <c r="R27" s="7" t="str">
        <f t="shared" si="15"/>
        <v>成長戦略局</v>
      </c>
    </row>
    <row r="28" spans="1:18" s="1" customFormat="1" x14ac:dyDescent="0.45">
      <c r="A28" s="7" t="str">
        <f t="shared" si="11"/>
        <v>00234000002</v>
      </c>
      <c r="B28" s="7" t="str">
        <f t="shared" si="12"/>
        <v>岬町多奈川地区多目的公園</v>
      </c>
      <c r="C28" s="7" t="str">
        <f t="shared" si="0"/>
        <v>行政財産</v>
      </c>
      <c r="D28" s="7" t="str">
        <f t="shared" si="13"/>
        <v>公園</v>
      </c>
      <c r="E28" s="7" t="str">
        <f t="shared" si="14"/>
        <v>大阪府泉南郡　岬町多奈川東畑</v>
      </c>
      <c r="F28" s="7"/>
      <c r="G28" s="7" t="str">
        <f t="shared" si="1"/>
        <v>事業用資産</v>
      </c>
      <c r="H28" s="7" t="str">
        <f t="shared" si="2"/>
        <v>棚卸以外</v>
      </c>
      <c r="I28" s="7">
        <v>5</v>
      </c>
      <c r="J28" s="7" t="str">
        <f>"ダッグアウト"</f>
        <v>ダッグアウト</v>
      </c>
      <c r="K28" s="7" t="str">
        <f t="shared" ref="K28:K34" si="16">"鉄骨造"</f>
        <v>鉄骨造</v>
      </c>
      <c r="L28" s="7" t="str">
        <f t="shared" ref="L28:L33" si="17">"H25.03.29"</f>
        <v>H25.03.29</v>
      </c>
      <c r="M28" s="7">
        <v>10.199999999999999</v>
      </c>
      <c r="N28" s="7">
        <v>1435714</v>
      </c>
      <c r="O28" s="7">
        <v>463200</v>
      </c>
      <c r="P28" s="7">
        <v>0</v>
      </c>
      <c r="Q28" s="7" t="str">
        <f t="shared" si="3"/>
        <v>政策企画部</v>
      </c>
      <c r="R28" s="7" t="str">
        <f t="shared" si="15"/>
        <v>成長戦略局</v>
      </c>
    </row>
    <row r="29" spans="1:18" s="1" customFormat="1" x14ac:dyDescent="0.45">
      <c r="A29" s="7" t="str">
        <f t="shared" si="11"/>
        <v>00234000002</v>
      </c>
      <c r="B29" s="7" t="str">
        <f t="shared" si="12"/>
        <v>岬町多奈川地区多目的公園</v>
      </c>
      <c r="C29" s="7" t="str">
        <f t="shared" si="0"/>
        <v>行政財産</v>
      </c>
      <c r="D29" s="7" t="str">
        <f t="shared" si="13"/>
        <v>公園</v>
      </c>
      <c r="E29" s="7" t="str">
        <f t="shared" si="14"/>
        <v>大阪府泉南郡　岬町多奈川東畑</v>
      </c>
      <c r="F29" s="7"/>
      <c r="G29" s="7" t="str">
        <f t="shared" si="1"/>
        <v>事業用資産</v>
      </c>
      <c r="H29" s="7" t="str">
        <f t="shared" si="2"/>
        <v>棚卸以外</v>
      </c>
      <c r="I29" s="7">
        <v>6</v>
      </c>
      <c r="J29" s="7" t="str">
        <f>"ダッグアウト"</f>
        <v>ダッグアウト</v>
      </c>
      <c r="K29" s="7" t="str">
        <f t="shared" si="16"/>
        <v>鉄骨造</v>
      </c>
      <c r="L29" s="7" t="str">
        <f t="shared" si="17"/>
        <v>H25.03.29</v>
      </c>
      <c r="M29" s="7">
        <v>10.199999999999999</v>
      </c>
      <c r="N29" s="7">
        <v>1435714</v>
      </c>
      <c r="O29" s="7">
        <v>463200</v>
      </c>
      <c r="P29" s="7">
        <v>0</v>
      </c>
      <c r="Q29" s="7" t="str">
        <f t="shared" si="3"/>
        <v>政策企画部</v>
      </c>
      <c r="R29" s="7" t="str">
        <f t="shared" si="15"/>
        <v>成長戦略局</v>
      </c>
    </row>
    <row r="30" spans="1:18" s="1" customFormat="1" x14ac:dyDescent="0.45">
      <c r="A30" s="7" t="str">
        <f t="shared" si="11"/>
        <v>00234000002</v>
      </c>
      <c r="B30" s="7" t="str">
        <f t="shared" si="12"/>
        <v>岬町多奈川地区多目的公園</v>
      </c>
      <c r="C30" s="7" t="str">
        <f t="shared" si="0"/>
        <v>行政財産</v>
      </c>
      <c r="D30" s="7" t="str">
        <f t="shared" si="13"/>
        <v>公園</v>
      </c>
      <c r="E30" s="7" t="str">
        <f t="shared" si="14"/>
        <v>大阪府泉南郡　岬町多奈川東畑</v>
      </c>
      <c r="F30" s="7"/>
      <c r="G30" s="7" t="str">
        <f t="shared" si="1"/>
        <v>事業用資産</v>
      </c>
      <c r="H30" s="7" t="str">
        <f t="shared" si="2"/>
        <v>棚卸以外</v>
      </c>
      <c r="I30" s="7">
        <v>7</v>
      </c>
      <c r="J30" s="7" t="str">
        <f>"シェルター"</f>
        <v>シェルター</v>
      </c>
      <c r="K30" s="7" t="str">
        <f t="shared" si="16"/>
        <v>鉄骨造</v>
      </c>
      <c r="L30" s="7" t="str">
        <f t="shared" si="17"/>
        <v>H25.03.29</v>
      </c>
      <c r="M30" s="7">
        <v>12.43</v>
      </c>
      <c r="N30" s="7">
        <v>3144571</v>
      </c>
      <c r="O30" s="7">
        <v>1014480</v>
      </c>
      <c r="P30" s="7">
        <v>0</v>
      </c>
      <c r="Q30" s="7" t="str">
        <f t="shared" si="3"/>
        <v>政策企画部</v>
      </c>
      <c r="R30" s="7" t="str">
        <f t="shared" si="15"/>
        <v>成長戦略局</v>
      </c>
    </row>
    <row r="31" spans="1:18" s="1" customFormat="1" x14ac:dyDescent="0.45">
      <c r="A31" s="7" t="str">
        <f t="shared" si="11"/>
        <v>00234000002</v>
      </c>
      <c r="B31" s="7" t="str">
        <f t="shared" si="12"/>
        <v>岬町多奈川地区多目的公園</v>
      </c>
      <c r="C31" s="7" t="str">
        <f t="shared" si="0"/>
        <v>行政財産</v>
      </c>
      <c r="D31" s="7" t="str">
        <f t="shared" si="13"/>
        <v>公園</v>
      </c>
      <c r="E31" s="7" t="str">
        <f t="shared" si="14"/>
        <v>大阪府泉南郡　岬町多奈川東畑</v>
      </c>
      <c r="F31" s="7"/>
      <c r="G31" s="7" t="str">
        <f t="shared" si="1"/>
        <v>事業用資産</v>
      </c>
      <c r="H31" s="7" t="str">
        <f t="shared" si="2"/>
        <v>棚卸以外</v>
      </c>
      <c r="I31" s="7">
        <v>8</v>
      </c>
      <c r="J31" s="7" t="str">
        <f>"シェルター"</f>
        <v>シェルター</v>
      </c>
      <c r="K31" s="7" t="str">
        <f t="shared" si="16"/>
        <v>鉄骨造</v>
      </c>
      <c r="L31" s="7" t="str">
        <f t="shared" si="17"/>
        <v>H25.03.29</v>
      </c>
      <c r="M31" s="7">
        <v>12.43</v>
      </c>
      <c r="N31" s="7">
        <v>3144571</v>
      </c>
      <c r="O31" s="7">
        <v>1014480</v>
      </c>
      <c r="P31" s="7">
        <v>0</v>
      </c>
      <c r="Q31" s="7" t="str">
        <f t="shared" si="3"/>
        <v>政策企画部</v>
      </c>
      <c r="R31" s="7" t="str">
        <f t="shared" si="15"/>
        <v>成長戦略局</v>
      </c>
    </row>
    <row r="32" spans="1:18" s="1" customFormat="1" x14ac:dyDescent="0.45">
      <c r="A32" s="7" t="str">
        <f t="shared" si="11"/>
        <v>00234000002</v>
      </c>
      <c r="B32" s="7" t="str">
        <f t="shared" si="12"/>
        <v>岬町多奈川地区多目的公園</v>
      </c>
      <c r="C32" s="7" t="str">
        <f t="shared" si="0"/>
        <v>行政財産</v>
      </c>
      <c r="D32" s="7" t="str">
        <f t="shared" si="13"/>
        <v>公園</v>
      </c>
      <c r="E32" s="7" t="str">
        <f t="shared" si="14"/>
        <v>大阪府泉南郡　岬町多奈川東畑</v>
      </c>
      <c r="F32" s="7"/>
      <c r="G32" s="7" t="str">
        <f t="shared" si="1"/>
        <v>事業用資産</v>
      </c>
      <c r="H32" s="7" t="str">
        <f t="shared" si="2"/>
        <v>棚卸以外</v>
      </c>
      <c r="I32" s="7">
        <v>9</v>
      </c>
      <c r="J32" s="7" t="str">
        <f>"シェルター"</f>
        <v>シェルター</v>
      </c>
      <c r="K32" s="7" t="str">
        <f t="shared" si="16"/>
        <v>鉄骨造</v>
      </c>
      <c r="L32" s="7" t="str">
        <f t="shared" si="17"/>
        <v>H25.03.29</v>
      </c>
      <c r="M32" s="7">
        <v>12.43</v>
      </c>
      <c r="N32" s="7">
        <v>3144571</v>
      </c>
      <c r="O32" s="7">
        <v>1014480</v>
      </c>
      <c r="P32" s="7">
        <v>0</v>
      </c>
      <c r="Q32" s="7" t="str">
        <f t="shared" si="3"/>
        <v>政策企画部</v>
      </c>
      <c r="R32" s="7" t="str">
        <f t="shared" si="15"/>
        <v>成長戦略局</v>
      </c>
    </row>
    <row r="33" spans="1:18" s="1" customFormat="1" x14ac:dyDescent="0.45">
      <c r="A33" s="7" t="str">
        <f t="shared" si="11"/>
        <v>00234000002</v>
      </c>
      <c r="B33" s="7" t="str">
        <f t="shared" si="12"/>
        <v>岬町多奈川地区多目的公園</v>
      </c>
      <c r="C33" s="7" t="str">
        <f t="shared" si="0"/>
        <v>行政財産</v>
      </c>
      <c r="D33" s="7" t="str">
        <f t="shared" si="13"/>
        <v>公園</v>
      </c>
      <c r="E33" s="7" t="str">
        <f t="shared" si="14"/>
        <v>大阪府泉南郡　岬町多奈川東畑</v>
      </c>
      <c r="F33" s="7"/>
      <c r="G33" s="7" t="str">
        <f t="shared" si="1"/>
        <v>事業用資産</v>
      </c>
      <c r="H33" s="7" t="str">
        <f t="shared" si="2"/>
        <v>棚卸以外</v>
      </c>
      <c r="I33" s="7">
        <v>10</v>
      </c>
      <c r="J33" s="7" t="str">
        <f>"シェルター"</f>
        <v>シェルター</v>
      </c>
      <c r="K33" s="7" t="str">
        <f t="shared" si="16"/>
        <v>鉄骨造</v>
      </c>
      <c r="L33" s="7" t="str">
        <f t="shared" si="17"/>
        <v>H25.03.29</v>
      </c>
      <c r="M33" s="7">
        <v>12.43</v>
      </c>
      <c r="N33" s="7">
        <v>3144571</v>
      </c>
      <c r="O33" s="7">
        <v>1014480</v>
      </c>
      <c r="P33" s="7">
        <v>0</v>
      </c>
      <c r="Q33" s="7" t="str">
        <f t="shared" si="3"/>
        <v>政策企画部</v>
      </c>
      <c r="R33" s="7" t="str">
        <f t="shared" si="15"/>
        <v>成長戦略局</v>
      </c>
    </row>
    <row r="34" spans="1:18" s="1" customFormat="1" x14ac:dyDescent="0.45">
      <c r="A34" s="7" t="str">
        <f>"01014000001"</f>
        <v>01014000001</v>
      </c>
      <c r="B34" s="7" t="str">
        <f>"新別館北館"</f>
        <v>新別館北館</v>
      </c>
      <c r="C34" s="7" t="str">
        <f t="shared" si="0"/>
        <v>行政財産</v>
      </c>
      <c r="D34" s="7" t="str">
        <f>"本庁舎"</f>
        <v>本庁舎</v>
      </c>
      <c r="E34" s="7" t="str">
        <f>"大阪府大阪市　中央区大手前３丁目"</f>
        <v>大阪府大阪市　中央区大手前３丁目</v>
      </c>
      <c r="F34" s="7"/>
      <c r="G34" s="7" t="str">
        <f t="shared" si="1"/>
        <v>事業用資産</v>
      </c>
      <c r="H34" s="7" t="str">
        <f t="shared" si="2"/>
        <v>棚卸以外</v>
      </c>
      <c r="I34" s="7">
        <v>6</v>
      </c>
      <c r="J34" s="7" t="str">
        <f>"新別館北館"</f>
        <v>新別館北館</v>
      </c>
      <c r="K34" s="7" t="str">
        <f t="shared" si="16"/>
        <v>鉄骨造</v>
      </c>
      <c r="L34" s="7" t="str">
        <f>"H09.07.16"</f>
        <v>H09.07.16</v>
      </c>
      <c r="M34" s="7">
        <v>1096.77</v>
      </c>
      <c r="N34" s="7">
        <v>533684468</v>
      </c>
      <c r="O34" s="7">
        <v>360471188</v>
      </c>
      <c r="P34" s="7">
        <v>0</v>
      </c>
      <c r="Q34" s="7" t="str">
        <f t="shared" ref="Q34:Q69" si="18">"総務部"</f>
        <v>総務部</v>
      </c>
      <c r="R34" s="7" t="str">
        <f>"人事局"</f>
        <v>人事局</v>
      </c>
    </row>
    <row r="35" spans="1:18" s="1" customFormat="1" x14ac:dyDescent="0.45">
      <c r="A35" s="7" t="str">
        <f>"01014001043"</f>
        <v>01014001043</v>
      </c>
      <c r="B35" s="7" t="str">
        <f>"職員会館"</f>
        <v>職員会館</v>
      </c>
      <c r="C35" s="7" t="str">
        <f t="shared" si="0"/>
        <v>行政財産</v>
      </c>
      <c r="D35" s="7" t="str">
        <f>"その他（行政機関）の施設"</f>
        <v>その他（行政機関）の施設</v>
      </c>
      <c r="E35" s="7" t="str">
        <f>"大阪府大阪市　中央区大手前２丁目"</f>
        <v>大阪府大阪市　中央区大手前２丁目</v>
      </c>
      <c r="F35" s="7"/>
      <c r="G35" s="7" t="str">
        <f t="shared" si="1"/>
        <v>事業用資産</v>
      </c>
      <c r="H35" s="7" t="str">
        <f t="shared" si="2"/>
        <v>棚卸以外</v>
      </c>
      <c r="I35" s="7">
        <v>1</v>
      </c>
      <c r="J35" s="7" t="str">
        <f>"職員会館"</f>
        <v>職員会館</v>
      </c>
      <c r="K35" s="7" t="str">
        <f>"鉄筋コンクリート造"</f>
        <v>鉄筋コンクリート造</v>
      </c>
      <c r="L35" s="7" t="str">
        <f>"S25.01.01"</f>
        <v>S25.01.01</v>
      </c>
      <c r="M35" s="7">
        <v>604.20000000000005</v>
      </c>
      <c r="N35" s="7">
        <v>16940837</v>
      </c>
      <c r="O35" s="7">
        <v>16940836</v>
      </c>
      <c r="P35" s="7">
        <v>0</v>
      </c>
      <c r="Q35" s="7" t="str">
        <f t="shared" si="18"/>
        <v>総務部</v>
      </c>
      <c r="R35" s="7" t="str">
        <f>"人事局"</f>
        <v>人事局</v>
      </c>
    </row>
    <row r="36" spans="1:18" s="1" customFormat="1" x14ac:dyDescent="0.45">
      <c r="A36" s="7" t="str">
        <f>"01014003002"</f>
        <v>01014003002</v>
      </c>
      <c r="B36" s="7" t="str">
        <f>"職員会館"</f>
        <v>職員会館</v>
      </c>
      <c r="C36" s="7" t="str">
        <f t="shared" si="0"/>
        <v>行政財産</v>
      </c>
      <c r="D36" s="7" t="str">
        <f>"その他（行政機関）の施設"</f>
        <v>その他（行政機関）の施設</v>
      </c>
      <c r="E36" s="7" t="str">
        <f>"大阪府大阪市　中央区大手前２丁目"</f>
        <v>大阪府大阪市　中央区大手前２丁目</v>
      </c>
      <c r="F36" s="7"/>
      <c r="G36" s="7" t="str">
        <f t="shared" si="1"/>
        <v>事業用資産</v>
      </c>
      <c r="H36" s="7" t="str">
        <f t="shared" si="2"/>
        <v>棚卸以外</v>
      </c>
      <c r="I36" s="7">
        <v>1</v>
      </c>
      <c r="J36" s="7" t="str">
        <f>"職員会館"</f>
        <v>職員会館</v>
      </c>
      <c r="K36" s="7" t="str">
        <f>"鉄筋コンクリート造"</f>
        <v>鉄筋コンクリート造</v>
      </c>
      <c r="L36" s="7" t="str">
        <f>"S25.01.01"</f>
        <v>S25.01.01</v>
      </c>
      <c r="M36" s="7">
        <v>607.66999999999996</v>
      </c>
      <c r="N36" s="7">
        <v>11133576</v>
      </c>
      <c r="O36" s="7">
        <v>11133575</v>
      </c>
      <c r="P36" s="7">
        <v>0</v>
      </c>
      <c r="Q36" s="7" t="str">
        <f t="shared" si="18"/>
        <v>総務部</v>
      </c>
      <c r="R36" s="7" t="str">
        <f>"人事局"</f>
        <v>人事局</v>
      </c>
    </row>
    <row r="37" spans="1:18" s="1" customFormat="1" ht="26.4" x14ac:dyDescent="0.45">
      <c r="A37" s="7" t="str">
        <f>"01025000000"</f>
        <v>01025000000</v>
      </c>
      <c r="B37" s="7" t="str">
        <f>"本庁舎"</f>
        <v>本庁舎</v>
      </c>
      <c r="C37" s="7" t="str">
        <f t="shared" si="0"/>
        <v>行政財産</v>
      </c>
      <c r="D37" s="7" t="str">
        <f>"本庁舎"</f>
        <v>本庁舎</v>
      </c>
      <c r="E37" s="7" t="str">
        <f>"大阪府大阪市　中央区大手前２丁目"</f>
        <v>大阪府大阪市　中央区大手前２丁目</v>
      </c>
      <c r="F37" s="7"/>
      <c r="G37" s="7" t="str">
        <f t="shared" si="1"/>
        <v>事業用資産</v>
      </c>
      <c r="H37" s="7" t="str">
        <f t="shared" si="2"/>
        <v>棚卸以外</v>
      </c>
      <c r="I37" s="7">
        <v>1</v>
      </c>
      <c r="J37" s="7" t="str">
        <f>"庁舎"</f>
        <v>庁舎</v>
      </c>
      <c r="K37" s="7" t="str">
        <f>"鉄骨鉄筋コンクリート造"</f>
        <v>鉄骨鉄筋コンクリート造</v>
      </c>
      <c r="L37" s="7" t="str">
        <f>"T15.10.31"</f>
        <v>T15.10.31</v>
      </c>
      <c r="M37" s="7">
        <v>24829.7</v>
      </c>
      <c r="N37" s="7">
        <v>10006029707</v>
      </c>
      <c r="O37" s="7">
        <v>1926622769</v>
      </c>
      <c r="P37" s="7">
        <v>0</v>
      </c>
      <c r="Q37" s="7" t="str">
        <f t="shared" si="18"/>
        <v>総務部</v>
      </c>
      <c r="R37" s="7" t="str">
        <f t="shared" ref="R37:R69" si="19">"庁舎室"</f>
        <v>庁舎室</v>
      </c>
    </row>
    <row r="38" spans="1:18" s="1" customFormat="1" x14ac:dyDescent="0.45">
      <c r="A38" s="7" t="str">
        <f>"01025000000"</f>
        <v>01025000000</v>
      </c>
      <c r="B38" s="7" t="str">
        <f>"本庁舎"</f>
        <v>本庁舎</v>
      </c>
      <c r="C38" s="7" t="str">
        <f t="shared" si="0"/>
        <v>行政財産</v>
      </c>
      <c r="D38" s="7" t="str">
        <f>"本庁舎"</f>
        <v>本庁舎</v>
      </c>
      <c r="E38" s="7" t="str">
        <f>"大阪府大阪市　中央区大手前２丁目"</f>
        <v>大阪府大阪市　中央区大手前２丁目</v>
      </c>
      <c r="F38" s="7"/>
      <c r="G38" s="7" t="str">
        <f t="shared" si="1"/>
        <v>事業用資産</v>
      </c>
      <c r="H38" s="7" t="str">
        <f t="shared" si="2"/>
        <v>棚卸以外</v>
      </c>
      <c r="I38" s="7">
        <v>5</v>
      </c>
      <c r="J38" s="7" t="str">
        <f>"自転車置場"</f>
        <v>自転車置場</v>
      </c>
      <c r="K38" s="7" t="str">
        <f>"軽量鉄骨造"</f>
        <v>軽量鉄骨造</v>
      </c>
      <c r="L38" s="7" t="str">
        <f>"H31.03.27"</f>
        <v>H31.03.27</v>
      </c>
      <c r="M38" s="7">
        <v>50.32</v>
      </c>
      <c r="N38" s="7">
        <v>2484000</v>
      </c>
      <c r="O38" s="7">
        <v>414000</v>
      </c>
      <c r="P38" s="7">
        <v>0</v>
      </c>
      <c r="Q38" s="7" t="str">
        <f t="shared" si="18"/>
        <v>総務部</v>
      </c>
      <c r="R38" s="7" t="str">
        <f t="shared" si="19"/>
        <v>庁舎室</v>
      </c>
    </row>
    <row r="39" spans="1:18" s="1" customFormat="1" x14ac:dyDescent="0.45">
      <c r="A39" s="7" t="str">
        <f>"01025000100"</f>
        <v>01025000100</v>
      </c>
      <c r="B39" s="7" t="str">
        <f>"大阪府新別館南館"</f>
        <v>大阪府新別館南館</v>
      </c>
      <c r="C39" s="7" t="str">
        <f>"普通財産"</f>
        <v>普通財産</v>
      </c>
      <c r="D39" s="7" t="str">
        <f>"その他"</f>
        <v>その他</v>
      </c>
      <c r="E39" s="7" t="str">
        <f>"大阪府大阪市　中央区大手前３丁目"</f>
        <v>大阪府大阪市　中央区大手前３丁目</v>
      </c>
      <c r="F39" s="7"/>
      <c r="G39" s="7" t="str">
        <f t="shared" si="1"/>
        <v>事業用資産</v>
      </c>
      <c r="H39" s="7" t="str">
        <f t="shared" si="2"/>
        <v>棚卸以外</v>
      </c>
      <c r="I39" s="7">
        <v>1</v>
      </c>
      <c r="J39" s="7" t="str">
        <f>"大阪府新別館南館"</f>
        <v>大阪府新別館南館</v>
      </c>
      <c r="K39" s="7" t="str">
        <f>"鉄骨造"</f>
        <v>鉄骨造</v>
      </c>
      <c r="L39" s="7" t="str">
        <f>"H07.03.31"</f>
        <v>H07.03.31</v>
      </c>
      <c r="M39" s="7">
        <v>3009.83</v>
      </c>
      <c r="N39" s="7">
        <v>2804488000</v>
      </c>
      <c r="O39" s="7">
        <v>2066464848</v>
      </c>
      <c r="P39" s="7">
        <v>0</v>
      </c>
      <c r="Q39" s="7" t="str">
        <f t="shared" si="18"/>
        <v>総務部</v>
      </c>
      <c r="R39" s="7" t="str">
        <f t="shared" si="19"/>
        <v>庁舎室</v>
      </c>
    </row>
    <row r="40" spans="1:18" s="1" customFormat="1" x14ac:dyDescent="0.45">
      <c r="A40" s="7" t="str">
        <f>"01025000146"</f>
        <v>01025000146</v>
      </c>
      <c r="B40" s="7" t="str">
        <f>"旧職員会館の一部（３・４階）"</f>
        <v>旧職員会館の一部（３・４階）</v>
      </c>
      <c r="C40" s="7" t="str">
        <f t="shared" ref="C40:C49" si="20">"行政財産"</f>
        <v>行政財産</v>
      </c>
      <c r="D40" s="7" t="str">
        <f>"本庁舎"</f>
        <v>本庁舎</v>
      </c>
      <c r="E40" s="7" t="str">
        <f>"大阪府大阪市　中央区大手前２丁目"</f>
        <v>大阪府大阪市　中央区大手前２丁目</v>
      </c>
      <c r="F40" s="7"/>
      <c r="G40" s="7" t="str">
        <f t="shared" si="1"/>
        <v>事業用資産</v>
      </c>
      <c r="H40" s="7" t="str">
        <f t="shared" si="2"/>
        <v>棚卸以外</v>
      </c>
      <c r="I40" s="7">
        <v>1</v>
      </c>
      <c r="J40" s="7" t="str">
        <f>"旧職員会館の一部（３・４階）"</f>
        <v>旧職員会館の一部（３・４階）</v>
      </c>
      <c r="K40" s="7" t="str">
        <f>"鉄筋コンクリート造"</f>
        <v>鉄筋コンクリート造</v>
      </c>
      <c r="L40" s="7" t="str">
        <f>"S33.11.30"</f>
        <v>S33.11.30</v>
      </c>
      <c r="M40" s="7">
        <v>1165.08</v>
      </c>
      <c r="N40" s="7">
        <v>32274213</v>
      </c>
      <c r="O40" s="7">
        <v>32274212</v>
      </c>
      <c r="P40" s="7">
        <v>0</v>
      </c>
      <c r="Q40" s="7" t="str">
        <f t="shared" si="18"/>
        <v>総務部</v>
      </c>
      <c r="R40" s="7" t="str">
        <f t="shared" si="19"/>
        <v>庁舎室</v>
      </c>
    </row>
    <row r="41" spans="1:18" s="1" customFormat="1" x14ac:dyDescent="0.45">
      <c r="A41" s="7" t="str">
        <f>"01025000146"</f>
        <v>01025000146</v>
      </c>
      <c r="B41" s="7" t="str">
        <f>"旧職員会館の一部（３・４階）"</f>
        <v>旧職員会館の一部（３・４階）</v>
      </c>
      <c r="C41" s="7" t="str">
        <f t="shared" si="20"/>
        <v>行政財産</v>
      </c>
      <c r="D41" s="7" t="str">
        <f>"本庁舎"</f>
        <v>本庁舎</v>
      </c>
      <c r="E41" s="7" t="str">
        <f>"大阪府大阪市　中央区大手前２丁目"</f>
        <v>大阪府大阪市　中央区大手前２丁目</v>
      </c>
      <c r="F41" s="7"/>
      <c r="G41" s="7" t="str">
        <f t="shared" si="1"/>
        <v>事業用資産</v>
      </c>
      <c r="H41" s="7" t="str">
        <f t="shared" si="2"/>
        <v>棚卸以外</v>
      </c>
      <c r="I41" s="7">
        <v>2</v>
      </c>
      <c r="J41" s="7" t="str">
        <f>"旧職員会館大講堂用機械室"</f>
        <v>旧職員会館大講堂用機械室</v>
      </c>
      <c r="K41" s="7" t="str">
        <f>"鉄筋コンクリート造"</f>
        <v>鉄筋コンクリート造</v>
      </c>
      <c r="L41" s="7" t="str">
        <f>"H10.12.01"</f>
        <v>H10.12.01</v>
      </c>
      <c r="M41" s="7">
        <v>37</v>
      </c>
      <c r="N41" s="7">
        <v>2422700</v>
      </c>
      <c r="O41" s="7">
        <v>2422699</v>
      </c>
      <c r="P41" s="7">
        <v>0</v>
      </c>
      <c r="Q41" s="7" t="str">
        <f t="shared" si="18"/>
        <v>総務部</v>
      </c>
      <c r="R41" s="7" t="str">
        <f t="shared" si="19"/>
        <v>庁舎室</v>
      </c>
    </row>
    <row r="42" spans="1:18" s="1" customFormat="1" x14ac:dyDescent="0.45">
      <c r="A42" s="7" t="str">
        <f>"01025000301"</f>
        <v>01025000301</v>
      </c>
      <c r="B42" s="7" t="str">
        <f>"庁舎管理課分館"</f>
        <v>庁舎管理課分館</v>
      </c>
      <c r="C42" s="7" t="str">
        <f t="shared" si="20"/>
        <v>行政財産</v>
      </c>
      <c r="D42" s="7" t="str">
        <f>"本庁舎"</f>
        <v>本庁舎</v>
      </c>
      <c r="E42" s="7" t="str">
        <f>"大阪府大阪市　中央区大手前２丁目"</f>
        <v>大阪府大阪市　中央区大手前２丁目</v>
      </c>
      <c r="F42" s="7"/>
      <c r="G42" s="7" t="str">
        <f t="shared" si="1"/>
        <v>事業用資産</v>
      </c>
      <c r="H42" s="7" t="str">
        <f t="shared" si="2"/>
        <v>棚卸以外</v>
      </c>
      <c r="I42" s="7">
        <v>1</v>
      </c>
      <c r="J42" s="7" t="str">
        <f>"庁舎周辺整備室分館"</f>
        <v>庁舎周辺整備室分館</v>
      </c>
      <c r="K42" s="7" t="str">
        <f>"鉄骨造"</f>
        <v>鉄骨造</v>
      </c>
      <c r="L42" s="7" t="str">
        <f>"H05.03.31"</f>
        <v>H05.03.31</v>
      </c>
      <c r="M42" s="7">
        <v>3210.3</v>
      </c>
      <c r="N42" s="7">
        <v>593680000</v>
      </c>
      <c r="O42" s="7">
        <v>467392870</v>
      </c>
      <c r="P42" s="7">
        <v>0</v>
      </c>
      <c r="Q42" s="7" t="str">
        <f t="shared" si="18"/>
        <v>総務部</v>
      </c>
      <c r="R42" s="7" t="str">
        <f t="shared" si="19"/>
        <v>庁舎室</v>
      </c>
    </row>
    <row r="43" spans="1:18" s="1" customFormat="1" x14ac:dyDescent="0.45">
      <c r="A43" s="7" t="str">
        <f>"01025000319"</f>
        <v>01025000319</v>
      </c>
      <c r="B43" s="7" t="str">
        <f>"咲洲庁舎"</f>
        <v>咲洲庁舎</v>
      </c>
      <c r="C43" s="7" t="str">
        <f t="shared" si="20"/>
        <v>行政財産</v>
      </c>
      <c r="D43" s="7" t="str">
        <f>"本庁舎"</f>
        <v>本庁舎</v>
      </c>
      <c r="E43" s="7" t="str">
        <f>"大阪府大阪市　住之江区南港北１丁目"</f>
        <v>大阪府大阪市　住之江区南港北１丁目</v>
      </c>
      <c r="F43" s="7" t="str">
        <f>"１４番１６号"</f>
        <v>１４番１６号</v>
      </c>
      <c r="G43" s="7" t="str">
        <f t="shared" si="1"/>
        <v>事業用資産</v>
      </c>
      <c r="H43" s="7" t="str">
        <f t="shared" si="2"/>
        <v>棚卸以外</v>
      </c>
      <c r="I43" s="7">
        <v>1</v>
      </c>
      <c r="J43" s="7" t="str">
        <f>"咲洲庁舎"</f>
        <v>咲洲庁舎</v>
      </c>
      <c r="K43" s="7" t="str">
        <f>"鉄骨コンクリート造"</f>
        <v>鉄骨コンクリート造</v>
      </c>
      <c r="L43" s="7" t="str">
        <f>"H07.02.28"</f>
        <v>H07.02.28</v>
      </c>
      <c r="M43" s="7">
        <v>149323.26999999999</v>
      </c>
      <c r="N43" s="7">
        <v>13953685178</v>
      </c>
      <c r="O43" s="7">
        <v>4730148771</v>
      </c>
      <c r="P43" s="7">
        <v>0</v>
      </c>
      <c r="Q43" s="7" t="str">
        <f t="shared" si="18"/>
        <v>総務部</v>
      </c>
      <c r="R43" s="7" t="str">
        <f t="shared" si="19"/>
        <v>庁舎室</v>
      </c>
    </row>
    <row r="44" spans="1:18" s="1" customFormat="1" x14ac:dyDescent="0.45">
      <c r="A44" s="7" t="str">
        <f>"01025001013"</f>
        <v>01025001013</v>
      </c>
      <c r="B44" s="7" t="str">
        <f>"旧職員会館前プレハブ倉庫"</f>
        <v>旧職員会館前プレハブ倉庫</v>
      </c>
      <c r="C44" s="7" t="str">
        <f t="shared" si="20"/>
        <v>行政財産</v>
      </c>
      <c r="D44" s="7" t="str">
        <f>"その他（行政機関）の施設"</f>
        <v>その他（行政機関）の施設</v>
      </c>
      <c r="E44" s="7" t="str">
        <f t="shared" ref="E44:E49" si="21">"大阪府大阪市　中央区大手前２丁目"</f>
        <v>大阪府大阪市　中央区大手前２丁目</v>
      </c>
      <c r="F44" s="7"/>
      <c r="G44" s="7" t="str">
        <f t="shared" si="1"/>
        <v>事業用資産</v>
      </c>
      <c r="H44" s="7" t="str">
        <f t="shared" si="2"/>
        <v>棚卸以外</v>
      </c>
      <c r="I44" s="7">
        <v>1</v>
      </c>
      <c r="J44" s="7" t="str">
        <f>"旧職員会館前プレハブ倉庫"</f>
        <v>旧職員会館前プレハブ倉庫</v>
      </c>
      <c r="K44" s="7" t="str">
        <f>"プレハブ"</f>
        <v>プレハブ</v>
      </c>
      <c r="L44" s="7" t="str">
        <f>"H01.05.03"</f>
        <v>H01.05.03</v>
      </c>
      <c r="M44" s="7">
        <v>518.4</v>
      </c>
      <c r="N44" s="7">
        <v>5214000</v>
      </c>
      <c r="O44" s="7">
        <v>5213999</v>
      </c>
      <c r="P44" s="7">
        <v>0</v>
      </c>
      <c r="Q44" s="7" t="str">
        <f t="shared" si="18"/>
        <v>総務部</v>
      </c>
      <c r="R44" s="7" t="str">
        <f t="shared" si="19"/>
        <v>庁舎室</v>
      </c>
    </row>
    <row r="45" spans="1:18" s="1" customFormat="1" x14ac:dyDescent="0.45">
      <c r="A45" s="7" t="str">
        <f>"01025001014"</f>
        <v>01025001014</v>
      </c>
      <c r="B45" s="7" t="str">
        <f>"大阪府公館"</f>
        <v>大阪府公館</v>
      </c>
      <c r="C45" s="7" t="str">
        <f t="shared" si="20"/>
        <v>行政財産</v>
      </c>
      <c r="D45" s="7" t="str">
        <f>"その他（行政機関）の施設"</f>
        <v>その他（行政機関）の施設</v>
      </c>
      <c r="E45" s="7" t="str">
        <f t="shared" si="21"/>
        <v>大阪府大阪市　中央区大手前２丁目</v>
      </c>
      <c r="F45" s="7"/>
      <c r="G45" s="7" t="str">
        <f t="shared" si="1"/>
        <v>事業用資産</v>
      </c>
      <c r="H45" s="7" t="str">
        <f t="shared" si="2"/>
        <v>棚卸以外</v>
      </c>
      <c r="I45" s="7">
        <v>1</v>
      </c>
      <c r="J45" s="7" t="str">
        <f>"附属屋"</f>
        <v>附属屋</v>
      </c>
      <c r="K45" s="7" t="str">
        <f>"木造"</f>
        <v>木造</v>
      </c>
      <c r="L45" s="7" t="str">
        <f>"S39.04.01"</f>
        <v>S39.04.01</v>
      </c>
      <c r="M45" s="7">
        <v>39.659999999999997</v>
      </c>
      <c r="N45" s="7">
        <v>208106</v>
      </c>
      <c r="O45" s="7">
        <v>208105</v>
      </c>
      <c r="P45" s="7">
        <v>0</v>
      </c>
      <c r="Q45" s="7" t="str">
        <f t="shared" si="18"/>
        <v>総務部</v>
      </c>
      <c r="R45" s="7" t="str">
        <f t="shared" si="19"/>
        <v>庁舎室</v>
      </c>
    </row>
    <row r="46" spans="1:18" s="1" customFormat="1" x14ac:dyDescent="0.45">
      <c r="A46" s="7" t="str">
        <f>"01025001014"</f>
        <v>01025001014</v>
      </c>
      <c r="B46" s="7" t="str">
        <f>"大阪府公館"</f>
        <v>大阪府公館</v>
      </c>
      <c r="C46" s="7" t="str">
        <f t="shared" si="20"/>
        <v>行政財産</v>
      </c>
      <c r="D46" s="7" t="str">
        <f>"その他（行政機関）の施設"</f>
        <v>その他（行政機関）の施設</v>
      </c>
      <c r="E46" s="7" t="str">
        <f t="shared" si="21"/>
        <v>大阪府大阪市　中央区大手前２丁目</v>
      </c>
      <c r="F46" s="7"/>
      <c r="G46" s="7" t="str">
        <f t="shared" si="1"/>
        <v>事業用資産</v>
      </c>
      <c r="H46" s="7" t="str">
        <f t="shared" si="2"/>
        <v>棚卸以外</v>
      </c>
      <c r="I46" s="7">
        <v>2</v>
      </c>
      <c r="J46" s="7" t="str">
        <f>"公館"</f>
        <v>公館</v>
      </c>
      <c r="K46" s="7" t="str">
        <f>"鉄筋コンクリート造"</f>
        <v>鉄筋コンクリート造</v>
      </c>
      <c r="L46" s="7" t="str">
        <f>"S39.04.01"</f>
        <v>S39.04.01</v>
      </c>
      <c r="M46" s="7">
        <v>652.17999999999995</v>
      </c>
      <c r="N46" s="7">
        <v>8823870</v>
      </c>
      <c r="O46" s="7">
        <v>5941559</v>
      </c>
      <c r="P46" s="7">
        <v>0</v>
      </c>
      <c r="Q46" s="7" t="str">
        <f t="shared" si="18"/>
        <v>総務部</v>
      </c>
      <c r="R46" s="7" t="str">
        <f t="shared" si="19"/>
        <v>庁舎室</v>
      </c>
    </row>
    <row r="47" spans="1:18" s="1" customFormat="1" x14ac:dyDescent="0.45">
      <c r="A47" s="7" t="str">
        <f>"01025001014"</f>
        <v>01025001014</v>
      </c>
      <c r="B47" s="7" t="str">
        <f>"大阪府公館"</f>
        <v>大阪府公館</v>
      </c>
      <c r="C47" s="7" t="str">
        <f t="shared" si="20"/>
        <v>行政財産</v>
      </c>
      <c r="D47" s="7" t="str">
        <f>"その他（行政機関）の施設"</f>
        <v>その他（行政機関）の施設</v>
      </c>
      <c r="E47" s="7" t="str">
        <f t="shared" si="21"/>
        <v>大阪府大阪市　中央区大手前２丁目</v>
      </c>
      <c r="F47" s="7"/>
      <c r="G47" s="7" t="str">
        <f t="shared" si="1"/>
        <v>事業用資産</v>
      </c>
      <c r="H47" s="7" t="str">
        <f t="shared" si="2"/>
        <v>棚卸以外</v>
      </c>
      <c r="I47" s="7">
        <v>3</v>
      </c>
      <c r="J47" s="7" t="str">
        <f>"門衛所"</f>
        <v>門衛所</v>
      </c>
      <c r="K47" s="7" t="str">
        <f>"木造"</f>
        <v>木造</v>
      </c>
      <c r="L47" s="7" t="str">
        <f>"S39.04.01"</f>
        <v>S39.04.01</v>
      </c>
      <c r="M47" s="7">
        <v>16.52</v>
      </c>
      <c r="N47" s="7">
        <v>120000</v>
      </c>
      <c r="O47" s="7">
        <v>119999</v>
      </c>
      <c r="P47" s="7">
        <v>0</v>
      </c>
      <c r="Q47" s="7" t="str">
        <f t="shared" si="18"/>
        <v>総務部</v>
      </c>
      <c r="R47" s="7" t="str">
        <f t="shared" si="19"/>
        <v>庁舎室</v>
      </c>
    </row>
    <row r="48" spans="1:18" s="1" customFormat="1" x14ac:dyDescent="0.45">
      <c r="A48" s="7" t="str">
        <f>"01025001037"</f>
        <v>01025001037</v>
      </c>
      <c r="B48" s="7" t="str">
        <f>"旧職員診療所"</f>
        <v>旧職員診療所</v>
      </c>
      <c r="C48" s="7" t="str">
        <f t="shared" si="20"/>
        <v>行政財産</v>
      </c>
      <c r="D48" s="7" t="str">
        <f>"本庁舎"</f>
        <v>本庁舎</v>
      </c>
      <c r="E48" s="7" t="str">
        <f t="shared" si="21"/>
        <v>大阪府大阪市　中央区大手前２丁目</v>
      </c>
      <c r="F48" s="7"/>
      <c r="G48" s="7" t="str">
        <f t="shared" si="1"/>
        <v>事業用資産</v>
      </c>
      <c r="H48" s="7" t="str">
        <f t="shared" si="2"/>
        <v>棚卸以外</v>
      </c>
      <c r="I48" s="7">
        <v>1</v>
      </c>
      <c r="J48" s="7" t="str">
        <f>"本館"</f>
        <v>本館</v>
      </c>
      <c r="K48" s="7" t="str">
        <f>"鉄筋コンクリート造"</f>
        <v>鉄筋コンクリート造</v>
      </c>
      <c r="L48" s="7" t="str">
        <f>"S33.11.14"</f>
        <v>S33.11.14</v>
      </c>
      <c r="M48" s="7">
        <v>1310.1400000000001</v>
      </c>
      <c r="N48" s="7">
        <v>41226530</v>
      </c>
      <c r="O48" s="7">
        <v>41226529</v>
      </c>
      <c r="P48" s="7">
        <v>0</v>
      </c>
      <c r="Q48" s="7" t="str">
        <f t="shared" si="18"/>
        <v>総務部</v>
      </c>
      <c r="R48" s="7" t="str">
        <f t="shared" si="19"/>
        <v>庁舎室</v>
      </c>
    </row>
    <row r="49" spans="1:18" s="1" customFormat="1" x14ac:dyDescent="0.45">
      <c r="A49" s="7" t="str">
        <f>"01025001037"</f>
        <v>01025001037</v>
      </c>
      <c r="B49" s="7" t="str">
        <f>"旧職員診療所"</f>
        <v>旧職員診療所</v>
      </c>
      <c r="C49" s="7" t="str">
        <f t="shared" si="20"/>
        <v>行政財産</v>
      </c>
      <c r="D49" s="7" t="str">
        <f>"本庁舎"</f>
        <v>本庁舎</v>
      </c>
      <c r="E49" s="7" t="str">
        <f t="shared" si="21"/>
        <v>大阪府大阪市　中央区大手前２丁目</v>
      </c>
      <c r="F49" s="7"/>
      <c r="G49" s="7" t="str">
        <f t="shared" si="1"/>
        <v>事業用資産</v>
      </c>
      <c r="H49" s="7" t="str">
        <f t="shared" si="2"/>
        <v>棚卸以外</v>
      </c>
      <c r="I49" s="7">
        <v>2</v>
      </c>
      <c r="J49" s="7" t="str">
        <f>"渡廊下"</f>
        <v>渡廊下</v>
      </c>
      <c r="K49" s="7" t="str">
        <f>"軽量鉄骨造"</f>
        <v>軽量鉄骨造</v>
      </c>
      <c r="L49" s="7" t="str">
        <f>"H10.03.31"</f>
        <v>H10.03.31</v>
      </c>
      <c r="M49" s="7">
        <v>4.79</v>
      </c>
      <c r="N49" s="7">
        <v>396535</v>
      </c>
      <c r="O49" s="7">
        <v>396534</v>
      </c>
      <c r="P49" s="7">
        <v>0</v>
      </c>
      <c r="Q49" s="7" t="str">
        <f t="shared" si="18"/>
        <v>総務部</v>
      </c>
      <c r="R49" s="7" t="str">
        <f t="shared" si="19"/>
        <v>庁舎室</v>
      </c>
    </row>
    <row r="50" spans="1:18" s="1" customFormat="1" x14ac:dyDescent="0.45">
      <c r="A50" s="7" t="str">
        <f>"01025001040"</f>
        <v>01025001040</v>
      </c>
      <c r="B50" s="7" t="str">
        <f>"新別館北館"</f>
        <v>新別館北館</v>
      </c>
      <c r="C50" s="7" t="str">
        <f>"普通財産"</f>
        <v>普通財産</v>
      </c>
      <c r="D50" s="7" t="str">
        <f>"その他"</f>
        <v>その他</v>
      </c>
      <c r="E50" s="7" t="str">
        <f t="shared" ref="E50:E63" si="22">"大阪府大阪市　中央区大手前３丁目"</f>
        <v>大阪府大阪市　中央区大手前３丁目</v>
      </c>
      <c r="F50" s="7"/>
      <c r="G50" s="7" t="str">
        <f t="shared" si="1"/>
        <v>事業用資産</v>
      </c>
      <c r="H50" s="7" t="str">
        <f t="shared" si="2"/>
        <v>棚卸以外</v>
      </c>
      <c r="I50" s="7">
        <v>2</v>
      </c>
      <c r="J50" s="7" t="str">
        <f>"新別館北館"</f>
        <v>新別館北館</v>
      </c>
      <c r="K50" s="7" t="str">
        <f>"鉄骨造"</f>
        <v>鉄骨造</v>
      </c>
      <c r="L50" s="7" t="str">
        <f>"H09.07.16"</f>
        <v>H09.07.16</v>
      </c>
      <c r="M50" s="7">
        <v>2234.7399999999998</v>
      </c>
      <c r="N50" s="7">
        <v>942977692</v>
      </c>
      <c r="O50" s="7">
        <v>626926256</v>
      </c>
      <c r="P50" s="7">
        <v>0</v>
      </c>
      <c r="Q50" s="7" t="str">
        <f t="shared" si="18"/>
        <v>総務部</v>
      </c>
      <c r="R50" s="7" t="str">
        <f t="shared" si="19"/>
        <v>庁舎室</v>
      </c>
    </row>
    <row r="51" spans="1:18" s="1" customFormat="1" ht="26.4" x14ac:dyDescent="0.45">
      <c r="A51" s="7" t="str">
        <f t="shared" ref="A51:A59" si="23">"01025003004"</f>
        <v>01025003004</v>
      </c>
      <c r="B51" s="7" t="str">
        <f t="shared" ref="B51:B59" si="24">"大阪府別館"</f>
        <v>大阪府別館</v>
      </c>
      <c r="C51" s="7" t="str">
        <f t="shared" ref="C51:C82" si="25">"行政財産"</f>
        <v>行政財産</v>
      </c>
      <c r="D51" s="7" t="str">
        <f t="shared" ref="D51:D67" si="26">"本庁舎"</f>
        <v>本庁舎</v>
      </c>
      <c r="E51" s="7" t="str">
        <f t="shared" si="22"/>
        <v>大阪府大阪市　中央区大手前３丁目</v>
      </c>
      <c r="F51" s="7" t="str">
        <f t="shared" ref="F51:F59" si="27">"３－１"</f>
        <v>３－１</v>
      </c>
      <c r="G51" s="7" t="str">
        <f t="shared" si="1"/>
        <v>事業用資産</v>
      </c>
      <c r="H51" s="7" t="str">
        <f t="shared" si="2"/>
        <v>棚卸以外</v>
      </c>
      <c r="I51" s="7">
        <v>1</v>
      </c>
      <c r="J51" s="7" t="str">
        <f>"庁舎"</f>
        <v>庁舎</v>
      </c>
      <c r="K51" s="7" t="str">
        <f>"鉄骨鉄筋コンクリート造"</f>
        <v>鉄骨鉄筋コンクリート造</v>
      </c>
      <c r="L51" s="7" t="str">
        <f>"S39.07.31"</f>
        <v>S39.07.31</v>
      </c>
      <c r="M51" s="7">
        <v>29499.1</v>
      </c>
      <c r="N51" s="7">
        <v>3896634470</v>
      </c>
      <c r="O51" s="7">
        <v>1855494279</v>
      </c>
      <c r="P51" s="7">
        <v>0</v>
      </c>
      <c r="Q51" s="7" t="str">
        <f t="shared" si="18"/>
        <v>総務部</v>
      </c>
      <c r="R51" s="7" t="str">
        <f t="shared" si="19"/>
        <v>庁舎室</v>
      </c>
    </row>
    <row r="52" spans="1:18" s="1" customFormat="1" x14ac:dyDescent="0.45">
      <c r="A52" s="7" t="str">
        <f t="shared" si="23"/>
        <v>01025003004</v>
      </c>
      <c r="B52" s="7" t="str">
        <f t="shared" si="24"/>
        <v>大阪府別館</v>
      </c>
      <c r="C52" s="7" t="str">
        <f t="shared" si="25"/>
        <v>行政財産</v>
      </c>
      <c r="D52" s="7" t="str">
        <f t="shared" si="26"/>
        <v>本庁舎</v>
      </c>
      <c r="E52" s="7" t="str">
        <f t="shared" si="22"/>
        <v>大阪府大阪市　中央区大手前３丁目</v>
      </c>
      <c r="F52" s="7" t="str">
        <f t="shared" si="27"/>
        <v>３－１</v>
      </c>
      <c r="G52" s="7" t="str">
        <f t="shared" si="1"/>
        <v>事業用資産</v>
      </c>
      <c r="H52" s="7" t="str">
        <f t="shared" si="2"/>
        <v>棚卸以外</v>
      </c>
      <c r="I52" s="7">
        <v>2</v>
      </c>
      <c r="J52" s="7" t="str">
        <f>"車庫"</f>
        <v>車庫</v>
      </c>
      <c r="K52" s="7" t="str">
        <f>"鉄筋コンクリート造"</f>
        <v>鉄筋コンクリート造</v>
      </c>
      <c r="L52" s="7" t="str">
        <f>"S39.07.31"</f>
        <v>S39.07.31</v>
      </c>
      <c r="M52" s="7">
        <v>628.09</v>
      </c>
      <c r="N52" s="7">
        <v>23795924</v>
      </c>
      <c r="O52" s="7">
        <v>23074355</v>
      </c>
      <c r="P52" s="7">
        <v>0</v>
      </c>
      <c r="Q52" s="7" t="str">
        <f t="shared" si="18"/>
        <v>総務部</v>
      </c>
      <c r="R52" s="7" t="str">
        <f t="shared" si="19"/>
        <v>庁舎室</v>
      </c>
    </row>
    <row r="53" spans="1:18" s="1" customFormat="1" x14ac:dyDescent="0.45">
      <c r="A53" s="7" t="str">
        <f t="shared" si="23"/>
        <v>01025003004</v>
      </c>
      <c r="B53" s="7" t="str">
        <f t="shared" si="24"/>
        <v>大阪府別館</v>
      </c>
      <c r="C53" s="7" t="str">
        <f t="shared" si="25"/>
        <v>行政財産</v>
      </c>
      <c r="D53" s="7" t="str">
        <f t="shared" si="26"/>
        <v>本庁舎</v>
      </c>
      <c r="E53" s="7" t="str">
        <f t="shared" si="22"/>
        <v>大阪府大阪市　中央区大手前３丁目</v>
      </c>
      <c r="F53" s="7" t="str">
        <f t="shared" si="27"/>
        <v>３－１</v>
      </c>
      <c r="G53" s="7" t="str">
        <f t="shared" si="1"/>
        <v>事業用資産</v>
      </c>
      <c r="H53" s="7" t="str">
        <f t="shared" si="2"/>
        <v>棚卸以外</v>
      </c>
      <c r="I53" s="7">
        <v>3</v>
      </c>
      <c r="J53" s="7" t="str">
        <f>"分館７号館"</f>
        <v>分館７号館</v>
      </c>
      <c r="K53" s="7" t="str">
        <f>"鉄骨造"</f>
        <v>鉄骨造</v>
      </c>
      <c r="L53" s="7" t="str">
        <f>"H03.07.31"</f>
        <v>H03.07.31</v>
      </c>
      <c r="M53" s="7">
        <v>324</v>
      </c>
      <c r="N53" s="7">
        <v>62176000</v>
      </c>
      <c r="O53" s="7">
        <v>50722572</v>
      </c>
      <c r="P53" s="7">
        <v>0</v>
      </c>
      <c r="Q53" s="7" t="str">
        <f t="shared" si="18"/>
        <v>総務部</v>
      </c>
      <c r="R53" s="7" t="str">
        <f t="shared" si="19"/>
        <v>庁舎室</v>
      </c>
    </row>
    <row r="54" spans="1:18" s="1" customFormat="1" x14ac:dyDescent="0.45">
      <c r="A54" s="7" t="str">
        <f t="shared" si="23"/>
        <v>01025003004</v>
      </c>
      <c r="B54" s="7" t="str">
        <f t="shared" si="24"/>
        <v>大阪府別館</v>
      </c>
      <c r="C54" s="7" t="str">
        <f t="shared" si="25"/>
        <v>行政財産</v>
      </c>
      <c r="D54" s="7" t="str">
        <f t="shared" si="26"/>
        <v>本庁舎</v>
      </c>
      <c r="E54" s="7" t="str">
        <f t="shared" si="22"/>
        <v>大阪府大阪市　中央区大手前３丁目</v>
      </c>
      <c r="F54" s="7" t="str">
        <f t="shared" si="27"/>
        <v>３－１</v>
      </c>
      <c r="G54" s="7" t="str">
        <f t="shared" si="1"/>
        <v>事業用資産</v>
      </c>
      <c r="H54" s="7" t="str">
        <f t="shared" si="2"/>
        <v>棚卸以外</v>
      </c>
      <c r="I54" s="7">
        <v>4</v>
      </c>
      <c r="J54" s="7" t="str">
        <f>"分館７号館別棟"</f>
        <v>分館７号館別棟</v>
      </c>
      <c r="K54" s="7" t="str">
        <f>"鉄骨造"</f>
        <v>鉄骨造</v>
      </c>
      <c r="L54" s="7" t="str">
        <f>"H03.07.31"</f>
        <v>H03.07.31</v>
      </c>
      <c r="M54" s="7">
        <v>85.05</v>
      </c>
      <c r="N54" s="7">
        <v>5981000</v>
      </c>
      <c r="O54" s="7">
        <v>5980999</v>
      </c>
      <c r="P54" s="7">
        <v>0</v>
      </c>
      <c r="Q54" s="7" t="str">
        <f t="shared" si="18"/>
        <v>総務部</v>
      </c>
      <c r="R54" s="7" t="str">
        <f t="shared" si="19"/>
        <v>庁舎室</v>
      </c>
    </row>
    <row r="55" spans="1:18" s="1" customFormat="1" x14ac:dyDescent="0.45">
      <c r="A55" s="7" t="str">
        <f t="shared" si="23"/>
        <v>01025003004</v>
      </c>
      <c r="B55" s="7" t="str">
        <f t="shared" si="24"/>
        <v>大阪府別館</v>
      </c>
      <c r="C55" s="7" t="str">
        <f t="shared" si="25"/>
        <v>行政財産</v>
      </c>
      <c r="D55" s="7" t="str">
        <f t="shared" si="26"/>
        <v>本庁舎</v>
      </c>
      <c r="E55" s="7" t="str">
        <f t="shared" si="22"/>
        <v>大阪府大阪市　中央区大手前３丁目</v>
      </c>
      <c r="F55" s="7" t="str">
        <f t="shared" si="27"/>
        <v>３－１</v>
      </c>
      <c r="G55" s="7" t="str">
        <f t="shared" si="1"/>
        <v>事業用資産</v>
      </c>
      <c r="H55" s="7" t="str">
        <f t="shared" si="2"/>
        <v>棚卸以外</v>
      </c>
      <c r="I55" s="7">
        <v>5</v>
      </c>
      <c r="J55" s="7" t="str">
        <f>"本館（旧府営印刷所）"</f>
        <v>本館（旧府営印刷所）</v>
      </c>
      <c r="K55" s="7" t="str">
        <f>"鉄筋コンクリート造"</f>
        <v>鉄筋コンクリート造</v>
      </c>
      <c r="L55" s="7" t="str">
        <f>"S25.01.01"</f>
        <v>S25.01.01</v>
      </c>
      <c r="M55" s="7">
        <v>633.04999999999995</v>
      </c>
      <c r="N55" s="7">
        <v>31136860</v>
      </c>
      <c r="O55" s="7">
        <v>25847161</v>
      </c>
      <c r="P55" s="7">
        <v>0</v>
      </c>
      <c r="Q55" s="7" t="str">
        <f t="shared" si="18"/>
        <v>総務部</v>
      </c>
      <c r="R55" s="7" t="str">
        <f t="shared" si="19"/>
        <v>庁舎室</v>
      </c>
    </row>
    <row r="56" spans="1:18" s="1" customFormat="1" x14ac:dyDescent="0.45">
      <c r="A56" s="7" t="str">
        <f t="shared" si="23"/>
        <v>01025003004</v>
      </c>
      <c r="B56" s="7" t="str">
        <f t="shared" si="24"/>
        <v>大阪府別館</v>
      </c>
      <c r="C56" s="7" t="str">
        <f t="shared" si="25"/>
        <v>行政財産</v>
      </c>
      <c r="D56" s="7" t="str">
        <f t="shared" si="26"/>
        <v>本庁舎</v>
      </c>
      <c r="E56" s="7" t="str">
        <f t="shared" si="22"/>
        <v>大阪府大阪市　中央区大手前３丁目</v>
      </c>
      <c r="F56" s="7" t="str">
        <f t="shared" si="27"/>
        <v>３－１</v>
      </c>
      <c r="G56" s="7" t="str">
        <f t="shared" si="1"/>
        <v>事業用資産</v>
      </c>
      <c r="H56" s="7" t="str">
        <f t="shared" si="2"/>
        <v>棚卸以外</v>
      </c>
      <c r="I56" s="7">
        <v>6</v>
      </c>
      <c r="J56" s="7" t="str">
        <f>"倉庫（旧府営印刷所）"</f>
        <v>倉庫（旧府営印刷所）</v>
      </c>
      <c r="K56" s="7" t="str">
        <f>"木造"</f>
        <v>木造</v>
      </c>
      <c r="L56" s="7" t="str">
        <f>"S25.01.01"</f>
        <v>S25.01.01</v>
      </c>
      <c r="M56" s="7">
        <v>15</v>
      </c>
      <c r="N56" s="7">
        <v>217830</v>
      </c>
      <c r="O56" s="7">
        <v>217829</v>
      </c>
      <c r="P56" s="7">
        <v>0</v>
      </c>
      <c r="Q56" s="7" t="str">
        <f t="shared" si="18"/>
        <v>総務部</v>
      </c>
      <c r="R56" s="7" t="str">
        <f t="shared" si="19"/>
        <v>庁舎室</v>
      </c>
    </row>
    <row r="57" spans="1:18" s="1" customFormat="1" x14ac:dyDescent="0.45">
      <c r="A57" s="7" t="str">
        <f t="shared" si="23"/>
        <v>01025003004</v>
      </c>
      <c r="B57" s="7" t="str">
        <f t="shared" si="24"/>
        <v>大阪府別館</v>
      </c>
      <c r="C57" s="7" t="str">
        <f t="shared" si="25"/>
        <v>行政財産</v>
      </c>
      <c r="D57" s="7" t="str">
        <f t="shared" si="26"/>
        <v>本庁舎</v>
      </c>
      <c r="E57" s="7" t="str">
        <f t="shared" si="22"/>
        <v>大阪府大阪市　中央区大手前３丁目</v>
      </c>
      <c r="F57" s="7" t="str">
        <f t="shared" si="27"/>
        <v>３－１</v>
      </c>
      <c r="G57" s="7" t="str">
        <f t="shared" si="1"/>
        <v>事業用資産</v>
      </c>
      <c r="H57" s="7" t="str">
        <f t="shared" si="2"/>
        <v>棚卸以外</v>
      </c>
      <c r="I57" s="7">
        <v>7</v>
      </c>
      <c r="J57" s="7" t="str">
        <f>"材料倉庫（旧府営印刷所）"</f>
        <v>材料倉庫（旧府営印刷所）</v>
      </c>
      <c r="K57" s="7" t="str">
        <f>"木造"</f>
        <v>木造</v>
      </c>
      <c r="L57" s="7" t="str">
        <f>"S25.01.01"</f>
        <v>S25.01.01</v>
      </c>
      <c r="M57" s="7">
        <v>4.5</v>
      </c>
      <c r="N57" s="7">
        <v>91000</v>
      </c>
      <c r="O57" s="7">
        <v>90999</v>
      </c>
      <c r="P57" s="7">
        <v>0</v>
      </c>
      <c r="Q57" s="7" t="str">
        <f t="shared" si="18"/>
        <v>総務部</v>
      </c>
      <c r="R57" s="7" t="str">
        <f t="shared" si="19"/>
        <v>庁舎室</v>
      </c>
    </row>
    <row r="58" spans="1:18" s="1" customFormat="1" x14ac:dyDescent="0.45">
      <c r="A58" s="7" t="str">
        <f t="shared" si="23"/>
        <v>01025003004</v>
      </c>
      <c r="B58" s="7" t="str">
        <f t="shared" si="24"/>
        <v>大阪府別館</v>
      </c>
      <c r="C58" s="7" t="str">
        <f t="shared" si="25"/>
        <v>行政財産</v>
      </c>
      <c r="D58" s="7" t="str">
        <f t="shared" si="26"/>
        <v>本庁舎</v>
      </c>
      <c r="E58" s="7" t="str">
        <f t="shared" si="22"/>
        <v>大阪府大阪市　中央区大手前３丁目</v>
      </c>
      <c r="F58" s="7" t="str">
        <f t="shared" si="27"/>
        <v>３－１</v>
      </c>
      <c r="G58" s="7" t="str">
        <f t="shared" si="1"/>
        <v>事業用資産</v>
      </c>
      <c r="H58" s="7" t="str">
        <f t="shared" si="2"/>
        <v>棚卸以外</v>
      </c>
      <c r="I58" s="7">
        <v>8</v>
      </c>
      <c r="J58" s="7" t="str">
        <f>"物品倉庫（旧府営印刷所）"</f>
        <v>物品倉庫（旧府営印刷所）</v>
      </c>
      <c r="K58" s="7" t="str">
        <f>"コンクリートブロック造"</f>
        <v>コンクリートブロック造</v>
      </c>
      <c r="L58" s="7" t="str">
        <f>"S25.01.01"</f>
        <v>S25.01.01</v>
      </c>
      <c r="M58" s="7">
        <v>4.5199999999999996</v>
      </c>
      <c r="N58" s="7">
        <v>57000</v>
      </c>
      <c r="O58" s="7">
        <v>56999</v>
      </c>
      <c r="P58" s="7">
        <v>0</v>
      </c>
      <c r="Q58" s="7" t="str">
        <f t="shared" si="18"/>
        <v>総務部</v>
      </c>
      <c r="R58" s="7" t="str">
        <f t="shared" si="19"/>
        <v>庁舎室</v>
      </c>
    </row>
    <row r="59" spans="1:18" s="1" customFormat="1" x14ac:dyDescent="0.45">
      <c r="A59" s="7" t="str">
        <f t="shared" si="23"/>
        <v>01025003004</v>
      </c>
      <c r="B59" s="7" t="str">
        <f t="shared" si="24"/>
        <v>大阪府別館</v>
      </c>
      <c r="C59" s="7" t="str">
        <f t="shared" si="25"/>
        <v>行政財産</v>
      </c>
      <c r="D59" s="7" t="str">
        <f t="shared" si="26"/>
        <v>本庁舎</v>
      </c>
      <c r="E59" s="7" t="str">
        <f t="shared" si="22"/>
        <v>大阪府大阪市　中央区大手前３丁目</v>
      </c>
      <c r="F59" s="7" t="str">
        <f t="shared" si="27"/>
        <v>３－１</v>
      </c>
      <c r="G59" s="7" t="str">
        <f t="shared" si="1"/>
        <v>事業用資産</v>
      </c>
      <c r="H59" s="7" t="str">
        <f t="shared" si="2"/>
        <v>棚卸以外</v>
      </c>
      <c r="I59" s="7">
        <v>9</v>
      </c>
      <c r="J59" s="7" t="str">
        <f>"詰所（旧本庁舎）"</f>
        <v>詰所（旧本庁舎）</v>
      </c>
      <c r="K59" s="7" t="str">
        <f>"軽量鉄骨造"</f>
        <v>軽量鉄骨造</v>
      </c>
      <c r="L59" s="7" t="str">
        <f>"H15.06.30"</f>
        <v>H15.06.30</v>
      </c>
      <c r="M59" s="7">
        <v>5.22</v>
      </c>
      <c r="N59" s="7">
        <v>919470</v>
      </c>
      <c r="O59" s="7">
        <v>605535</v>
      </c>
      <c r="P59" s="7">
        <v>0</v>
      </c>
      <c r="Q59" s="7" t="str">
        <f t="shared" si="18"/>
        <v>総務部</v>
      </c>
      <c r="R59" s="7" t="str">
        <f t="shared" si="19"/>
        <v>庁舎室</v>
      </c>
    </row>
    <row r="60" spans="1:18" s="1" customFormat="1" x14ac:dyDescent="0.45">
      <c r="A60" s="7" t="str">
        <f>"01025003005"</f>
        <v>01025003005</v>
      </c>
      <c r="B60" s="7" t="str">
        <f>"大手前立体駐車場敷地"</f>
        <v>大手前立体駐車場敷地</v>
      </c>
      <c r="C60" s="7" t="str">
        <f t="shared" si="25"/>
        <v>行政財産</v>
      </c>
      <c r="D60" s="7" t="str">
        <f t="shared" si="26"/>
        <v>本庁舎</v>
      </c>
      <c r="E60" s="7" t="str">
        <f t="shared" si="22"/>
        <v>大阪府大阪市　中央区大手前３丁目</v>
      </c>
      <c r="F60" s="7" t="str">
        <f>"３－３"</f>
        <v>３－３</v>
      </c>
      <c r="G60" s="7" t="str">
        <f t="shared" si="1"/>
        <v>事業用資産</v>
      </c>
      <c r="H60" s="7" t="str">
        <f t="shared" si="2"/>
        <v>棚卸以外</v>
      </c>
      <c r="I60" s="7">
        <v>1</v>
      </c>
      <c r="J60" s="7" t="str">
        <f>"大手前立体駐車場衛星車車庫"</f>
        <v>大手前立体駐車場衛星車車庫</v>
      </c>
      <c r="K60" s="7" t="str">
        <f>"鉄骨造"</f>
        <v>鉄骨造</v>
      </c>
      <c r="L60" s="7" t="str">
        <f>"H28.02.29"</f>
        <v>H28.02.29</v>
      </c>
      <c r="M60" s="7">
        <v>45.6</v>
      </c>
      <c r="N60" s="7">
        <v>17196288</v>
      </c>
      <c r="O60" s="7">
        <v>3929295</v>
      </c>
      <c r="P60" s="7">
        <v>0</v>
      </c>
      <c r="Q60" s="7" t="str">
        <f t="shared" si="18"/>
        <v>総務部</v>
      </c>
      <c r="R60" s="7" t="str">
        <f t="shared" si="19"/>
        <v>庁舎室</v>
      </c>
    </row>
    <row r="61" spans="1:18" s="1" customFormat="1" x14ac:dyDescent="0.45">
      <c r="A61" s="7" t="str">
        <f>"01025003006"</f>
        <v>01025003006</v>
      </c>
      <c r="B61" s="7" t="str">
        <f>"大阪府新別館"</f>
        <v>大阪府新別館</v>
      </c>
      <c r="C61" s="7" t="str">
        <f t="shared" si="25"/>
        <v>行政財産</v>
      </c>
      <c r="D61" s="7" t="str">
        <f t="shared" si="26"/>
        <v>本庁舎</v>
      </c>
      <c r="E61" s="7" t="str">
        <f t="shared" si="22"/>
        <v>大阪府大阪市　中央区大手前３丁目</v>
      </c>
      <c r="F61" s="7" t="str">
        <f>"３－４"</f>
        <v>３－４</v>
      </c>
      <c r="G61" s="7" t="str">
        <f t="shared" si="1"/>
        <v>事業用資産</v>
      </c>
      <c r="H61" s="7" t="str">
        <f t="shared" si="2"/>
        <v>棚卸以外</v>
      </c>
      <c r="I61" s="7">
        <v>1</v>
      </c>
      <c r="J61" s="7" t="str">
        <f>"大阪府新別館南館（行政財産）"</f>
        <v>大阪府新別館南館（行政財産）</v>
      </c>
      <c r="K61" s="7" t="str">
        <f>"鉄骨造"</f>
        <v>鉄骨造</v>
      </c>
      <c r="L61" s="7" t="str">
        <f>"H07.03.31"</f>
        <v>H07.03.31</v>
      </c>
      <c r="M61" s="7">
        <v>14812.71</v>
      </c>
      <c r="N61" s="7">
        <v>6889523370</v>
      </c>
      <c r="O61" s="7">
        <v>5009056185</v>
      </c>
      <c r="P61" s="7">
        <v>0</v>
      </c>
      <c r="Q61" s="7" t="str">
        <f t="shared" si="18"/>
        <v>総務部</v>
      </c>
      <c r="R61" s="7" t="str">
        <f t="shared" si="19"/>
        <v>庁舎室</v>
      </c>
    </row>
    <row r="62" spans="1:18" s="1" customFormat="1" x14ac:dyDescent="0.45">
      <c r="A62" s="7" t="str">
        <f>"01025003006"</f>
        <v>01025003006</v>
      </c>
      <c r="B62" s="7" t="str">
        <f>"大阪府新別館"</f>
        <v>大阪府新別館</v>
      </c>
      <c r="C62" s="7" t="str">
        <f t="shared" si="25"/>
        <v>行政財産</v>
      </c>
      <c r="D62" s="7" t="str">
        <f t="shared" si="26"/>
        <v>本庁舎</v>
      </c>
      <c r="E62" s="7" t="str">
        <f t="shared" si="22"/>
        <v>大阪府大阪市　中央区大手前３丁目</v>
      </c>
      <c r="F62" s="7" t="str">
        <f>"３－４"</f>
        <v>３－４</v>
      </c>
      <c r="G62" s="7" t="str">
        <f t="shared" si="1"/>
        <v>事業用資産</v>
      </c>
      <c r="H62" s="7" t="str">
        <f t="shared" si="2"/>
        <v>棚卸以外</v>
      </c>
      <c r="I62" s="7">
        <v>2</v>
      </c>
      <c r="J62" s="7" t="str">
        <f>"新別館北館"</f>
        <v>新別館北館</v>
      </c>
      <c r="K62" s="7" t="str">
        <f>"鉄骨造"</f>
        <v>鉄骨造</v>
      </c>
      <c r="L62" s="7" t="str">
        <f>"H09.07.16"</f>
        <v>H09.07.16</v>
      </c>
      <c r="M62" s="7">
        <v>13903.58</v>
      </c>
      <c r="N62" s="7">
        <v>8012630619</v>
      </c>
      <c r="O62" s="7">
        <v>4410604509</v>
      </c>
      <c r="P62" s="7">
        <v>0</v>
      </c>
      <c r="Q62" s="7" t="str">
        <f t="shared" si="18"/>
        <v>総務部</v>
      </c>
      <c r="R62" s="7" t="str">
        <f t="shared" si="19"/>
        <v>庁舎室</v>
      </c>
    </row>
    <row r="63" spans="1:18" s="1" customFormat="1" x14ac:dyDescent="0.45">
      <c r="A63" s="7" t="str">
        <f>"01025003006"</f>
        <v>01025003006</v>
      </c>
      <c r="B63" s="7" t="str">
        <f>"大阪府新別館"</f>
        <v>大阪府新別館</v>
      </c>
      <c r="C63" s="7" t="str">
        <f t="shared" si="25"/>
        <v>行政財産</v>
      </c>
      <c r="D63" s="7" t="str">
        <f t="shared" si="26"/>
        <v>本庁舎</v>
      </c>
      <c r="E63" s="7" t="str">
        <f t="shared" si="22"/>
        <v>大阪府大阪市　中央区大手前３丁目</v>
      </c>
      <c r="F63" s="7" t="str">
        <f>"３－４"</f>
        <v>３－４</v>
      </c>
      <c r="G63" s="7" t="str">
        <f t="shared" si="1"/>
        <v>事業用資産</v>
      </c>
      <c r="H63" s="7" t="str">
        <f t="shared" si="2"/>
        <v>棚卸以外</v>
      </c>
      <c r="I63" s="7">
        <v>3</v>
      </c>
      <c r="J63" s="7" t="str">
        <f>"地下鉄谷町４丁目駅地下連絡通路"</f>
        <v>地下鉄谷町４丁目駅地下連絡通路</v>
      </c>
      <c r="K63" s="7" t="str">
        <f t="shared" ref="K63:K68" si="28">"鉄筋コンクリート造"</f>
        <v>鉄筋コンクリート造</v>
      </c>
      <c r="L63" s="7" t="str">
        <f>"H08.01.08"</f>
        <v>H08.01.08</v>
      </c>
      <c r="M63" s="7">
        <v>719.9</v>
      </c>
      <c r="N63" s="7">
        <v>697100000</v>
      </c>
      <c r="O63" s="7">
        <v>446422061</v>
      </c>
      <c r="P63" s="7">
        <v>0</v>
      </c>
      <c r="Q63" s="7" t="str">
        <f t="shared" si="18"/>
        <v>総務部</v>
      </c>
      <c r="R63" s="7" t="str">
        <f t="shared" si="19"/>
        <v>庁舎室</v>
      </c>
    </row>
    <row r="64" spans="1:18" s="1" customFormat="1" x14ac:dyDescent="0.45">
      <c r="A64" s="7" t="str">
        <f>"01025003012"</f>
        <v>01025003012</v>
      </c>
      <c r="B64" s="7" t="str">
        <f>"旧職員会館の一部（食堂・厨房等）"</f>
        <v>旧職員会館の一部（食堂・厨房等）</v>
      </c>
      <c r="C64" s="7" t="str">
        <f t="shared" si="25"/>
        <v>行政財産</v>
      </c>
      <c r="D64" s="7" t="str">
        <f t="shared" si="26"/>
        <v>本庁舎</v>
      </c>
      <c r="E64" s="7" t="str">
        <f>"大阪府大阪市　中央区大手前２丁目"</f>
        <v>大阪府大阪市　中央区大手前２丁目</v>
      </c>
      <c r="F64" s="7"/>
      <c r="G64" s="7" t="str">
        <f t="shared" si="1"/>
        <v>事業用資産</v>
      </c>
      <c r="H64" s="7" t="str">
        <f t="shared" si="2"/>
        <v>棚卸以外</v>
      </c>
      <c r="I64" s="7">
        <v>1</v>
      </c>
      <c r="J64" s="7" t="str">
        <f>"職員会館"</f>
        <v>職員会館</v>
      </c>
      <c r="K64" s="7" t="str">
        <f t="shared" si="28"/>
        <v>鉄筋コンクリート造</v>
      </c>
      <c r="L64" s="7" t="str">
        <f>"S25.01.01"</f>
        <v>S25.01.01</v>
      </c>
      <c r="M64" s="7">
        <v>160.76</v>
      </c>
      <c r="N64" s="7">
        <v>10412017</v>
      </c>
      <c r="O64" s="7">
        <v>10412016</v>
      </c>
      <c r="P64" s="7">
        <v>0</v>
      </c>
      <c r="Q64" s="7" t="str">
        <f t="shared" si="18"/>
        <v>総務部</v>
      </c>
      <c r="R64" s="7" t="str">
        <f t="shared" si="19"/>
        <v>庁舎室</v>
      </c>
    </row>
    <row r="65" spans="1:18" s="1" customFormat="1" x14ac:dyDescent="0.45">
      <c r="A65" s="7" t="str">
        <f>"01025003014"</f>
        <v>01025003014</v>
      </c>
      <c r="B65" s="7" t="str">
        <f>"分館６号館"</f>
        <v>分館６号館</v>
      </c>
      <c r="C65" s="7" t="str">
        <f t="shared" si="25"/>
        <v>行政財産</v>
      </c>
      <c r="D65" s="7" t="str">
        <f t="shared" si="26"/>
        <v>本庁舎</v>
      </c>
      <c r="E65" s="7" t="str">
        <f>"大阪府大阪市　中央区大手前３丁目"</f>
        <v>大阪府大阪市　中央区大手前３丁目</v>
      </c>
      <c r="F65" s="7" t="str">
        <f>"３番７"</f>
        <v>３番７</v>
      </c>
      <c r="G65" s="7" t="str">
        <f t="shared" si="1"/>
        <v>事業用資産</v>
      </c>
      <c r="H65" s="7" t="str">
        <f t="shared" si="2"/>
        <v>棚卸以外</v>
      </c>
      <c r="I65" s="7">
        <v>1</v>
      </c>
      <c r="J65" s="7" t="str">
        <f>"大阪府分館６号館"</f>
        <v>大阪府分館６号館</v>
      </c>
      <c r="K65" s="7" t="str">
        <f t="shared" si="28"/>
        <v>鉄筋コンクリート造</v>
      </c>
      <c r="L65" s="7" t="str">
        <f>"S54.03.31"</f>
        <v>S54.03.31</v>
      </c>
      <c r="M65" s="7">
        <v>1249.1500000000001</v>
      </c>
      <c r="N65" s="7">
        <v>205279661</v>
      </c>
      <c r="O65" s="7">
        <v>105384695</v>
      </c>
      <c r="P65" s="7">
        <v>0</v>
      </c>
      <c r="Q65" s="7" t="str">
        <f t="shared" si="18"/>
        <v>総務部</v>
      </c>
      <c r="R65" s="7" t="str">
        <f t="shared" si="19"/>
        <v>庁舎室</v>
      </c>
    </row>
    <row r="66" spans="1:18" s="1" customFormat="1" x14ac:dyDescent="0.45">
      <c r="A66" s="7" t="str">
        <f>"01025003014"</f>
        <v>01025003014</v>
      </c>
      <c r="B66" s="7" t="str">
        <f>"分館６号館"</f>
        <v>分館６号館</v>
      </c>
      <c r="C66" s="7" t="str">
        <f t="shared" si="25"/>
        <v>行政財産</v>
      </c>
      <c r="D66" s="7" t="str">
        <f t="shared" si="26"/>
        <v>本庁舎</v>
      </c>
      <c r="E66" s="7" t="str">
        <f>"大阪府大阪市　中央区大手前３丁目"</f>
        <v>大阪府大阪市　中央区大手前３丁目</v>
      </c>
      <c r="F66" s="7" t="str">
        <f>"３番７"</f>
        <v>３番７</v>
      </c>
      <c r="G66" s="7" t="str">
        <f t="shared" si="1"/>
        <v>事業用資産</v>
      </c>
      <c r="H66" s="7" t="str">
        <f t="shared" si="2"/>
        <v>棚卸以外</v>
      </c>
      <c r="I66" s="7">
        <v>2</v>
      </c>
      <c r="J66" s="7" t="str">
        <f>"会議室"</f>
        <v>会議室</v>
      </c>
      <c r="K66" s="7" t="str">
        <f t="shared" si="28"/>
        <v>鉄筋コンクリート造</v>
      </c>
      <c r="L66" s="7" t="str">
        <f>"S54.03.31"</f>
        <v>S54.03.31</v>
      </c>
      <c r="M66" s="7">
        <v>109.2</v>
      </c>
      <c r="N66" s="7">
        <v>1514000</v>
      </c>
      <c r="O66" s="7">
        <v>1332672</v>
      </c>
      <c r="P66" s="7">
        <v>0</v>
      </c>
      <c r="Q66" s="7" t="str">
        <f t="shared" si="18"/>
        <v>総務部</v>
      </c>
      <c r="R66" s="7" t="str">
        <f t="shared" si="19"/>
        <v>庁舎室</v>
      </c>
    </row>
    <row r="67" spans="1:18" s="1" customFormat="1" x14ac:dyDescent="0.45">
      <c r="A67" s="7" t="str">
        <f>"01025003014"</f>
        <v>01025003014</v>
      </c>
      <c r="B67" s="7" t="str">
        <f>"分館６号館"</f>
        <v>分館６号館</v>
      </c>
      <c r="C67" s="7" t="str">
        <f t="shared" si="25"/>
        <v>行政財産</v>
      </c>
      <c r="D67" s="7" t="str">
        <f t="shared" si="26"/>
        <v>本庁舎</v>
      </c>
      <c r="E67" s="7" t="str">
        <f>"大阪府大阪市　中央区大手前３丁目"</f>
        <v>大阪府大阪市　中央区大手前３丁目</v>
      </c>
      <c r="F67" s="7" t="str">
        <f>"３番７"</f>
        <v>３番７</v>
      </c>
      <c r="G67" s="7" t="str">
        <f t="shared" ref="G67:G130" si="29">"事業用資産"</f>
        <v>事業用資産</v>
      </c>
      <c r="H67" s="7" t="str">
        <f t="shared" ref="H67:H130" si="30">"棚卸以外"</f>
        <v>棚卸以外</v>
      </c>
      <c r="I67" s="7">
        <v>3</v>
      </c>
      <c r="J67" s="7" t="str">
        <f>"倉庫"</f>
        <v>倉庫</v>
      </c>
      <c r="K67" s="7" t="str">
        <f t="shared" si="28"/>
        <v>鉄筋コンクリート造</v>
      </c>
      <c r="L67" s="7" t="str">
        <f>"S54.03.31"</f>
        <v>S54.03.31</v>
      </c>
      <c r="M67" s="7">
        <v>51.96</v>
      </c>
      <c r="N67" s="7">
        <v>3275000</v>
      </c>
      <c r="O67" s="7">
        <v>3274999</v>
      </c>
      <c r="P67" s="7">
        <v>0</v>
      </c>
      <c r="Q67" s="7" t="str">
        <f t="shared" si="18"/>
        <v>総務部</v>
      </c>
      <c r="R67" s="7" t="str">
        <f t="shared" si="19"/>
        <v>庁舎室</v>
      </c>
    </row>
    <row r="68" spans="1:18" s="1" customFormat="1" x14ac:dyDescent="0.45">
      <c r="A68" s="7" t="str">
        <f>"12256001001"</f>
        <v>12256001001</v>
      </c>
      <c r="B68" s="7" t="str">
        <f>"議会会館"</f>
        <v>議会会館</v>
      </c>
      <c r="C68" s="7" t="str">
        <f t="shared" si="25"/>
        <v>行政財産</v>
      </c>
      <c r="D68" s="7" t="str">
        <f>"その他（行政機関）の施設"</f>
        <v>その他（行政機関）の施設</v>
      </c>
      <c r="E68" s="7" t="str">
        <f>"大阪府大阪市　中央区谷町２丁目"</f>
        <v>大阪府大阪市　中央区谷町２丁目</v>
      </c>
      <c r="F68" s="7"/>
      <c r="G68" s="7" t="str">
        <f t="shared" si="29"/>
        <v>事業用資産</v>
      </c>
      <c r="H68" s="7" t="str">
        <f t="shared" si="30"/>
        <v>棚卸以外</v>
      </c>
      <c r="I68" s="7">
        <v>1</v>
      </c>
      <c r="J68" s="7" t="str">
        <f>"会館"</f>
        <v>会館</v>
      </c>
      <c r="K68" s="7" t="str">
        <f t="shared" si="28"/>
        <v>鉄筋コンクリート造</v>
      </c>
      <c r="L68" s="7" t="str">
        <f>"S37.04.30"</f>
        <v>S37.04.30</v>
      </c>
      <c r="M68" s="7">
        <v>957.81</v>
      </c>
      <c r="N68" s="7">
        <v>66839220</v>
      </c>
      <c r="O68" s="7">
        <v>54764554</v>
      </c>
      <c r="P68" s="7">
        <v>0</v>
      </c>
      <c r="Q68" s="7" t="str">
        <f t="shared" si="18"/>
        <v>総務部</v>
      </c>
      <c r="R68" s="7" t="str">
        <f t="shared" si="19"/>
        <v>庁舎室</v>
      </c>
    </row>
    <row r="69" spans="1:18" s="1" customFormat="1" x14ac:dyDescent="0.45">
      <c r="A69" s="7" t="str">
        <f>"12256001001"</f>
        <v>12256001001</v>
      </c>
      <c r="B69" s="7" t="str">
        <f>"議会会館"</f>
        <v>議会会館</v>
      </c>
      <c r="C69" s="7" t="str">
        <f t="shared" si="25"/>
        <v>行政財産</v>
      </c>
      <c r="D69" s="7" t="str">
        <f>"その他（行政機関）の施設"</f>
        <v>その他（行政機関）の施設</v>
      </c>
      <c r="E69" s="7" t="str">
        <f>"大阪府大阪市　中央区谷町２丁目"</f>
        <v>大阪府大阪市　中央区谷町２丁目</v>
      </c>
      <c r="F69" s="7"/>
      <c r="G69" s="7" t="str">
        <f t="shared" si="29"/>
        <v>事業用資産</v>
      </c>
      <c r="H69" s="7" t="str">
        <f t="shared" si="30"/>
        <v>棚卸以外</v>
      </c>
      <c r="I69" s="7">
        <v>2</v>
      </c>
      <c r="J69" s="7" t="str">
        <f>"倉庫"</f>
        <v>倉庫</v>
      </c>
      <c r="K69" s="7" t="str">
        <f>"コンクリートブロック造"</f>
        <v>コンクリートブロック造</v>
      </c>
      <c r="L69" s="7" t="str">
        <f>"S47.03.31"</f>
        <v>S47.03.31</v>
      </c>
      <c r="M69" s="7">
        <v>3.04</v>
      </c>
      <c r="N69" s="7">
        <v>195000</v>
      </c>
      <c r="O69" s="7">
        <v>194999</v>
      </c>
      <c r="P69" s="7">
        <v>0</v>
      </c>
      <c r="Q69" s="7" t="str">
        <f t="shared" si="18"/>
        <v>総務部</v>
      </c>
      <c r="R69" s="7" t="str">
        <f t="shared" si="19"/>
        <v>庁舎室</v>
      </c>
    </row>
    <row r="70" spans="1:18" s="1" customFormat="1" ht="26.4" x14ac:dyDescent="0.45">
      <c r="A70" s="7" t="str">
        <f>"02061001001"</f>
        <v>02061001001</v>
      </c>
      <c r="B70" s="7" t="str">
        <f>"大阪府立男女共同参画・青少年センター"</f>
        <v>大阪府立男女共同参画・青少年センター</v>
      </c>
      <c r="C70" s="7" t="str">
        <f t="shared" si="25"/>
        <v>行政財産</v>
      </c>
      <c r="D70" s="7" t="str">
        <f t="shared" ref="D70:D75" si="31">"その他（公共用）の施設"</f>
        <v>その他（公共用）の施設</v>
      </c>
      <c r="E70" s="7" t="str">
        <f>"大阪府大阪市　中央区大手前１丁目"</f>
        <v>大阪府大阪市　中央区大手前１丁目</v>
      </c>
      <c r="F70" s="7"/>
      <c r="G70" s="7" t="str">
        <f t="shared" si="29"/>
        <v>事業用資産</v>
      </c>
      <c r="H70" s="7" t="str">
        <f t="shared" si="30"/>
        <v>棚卸以外</v>
      </c>
      <c r="I70" s="7">
        <v>2</v>
      </c>
      <c r="J70" s="7" t="str">
        <f>"大阪府立男女共同参画・青少年センター"</f>
        <v>大阪府立男女共同参画・青少年センター</v>
      </c>
      <c r="K70" s="7" t="str">
        <f>"鉄骨鉄筋コンクリート造"</f>
        <v>鉄骨鉄筋コンクリート造</v>
      </c>
      <c r="L70" s="7" t="str">
        <f>"H06.07.29"</f>
        <v>H06.07.29</v>
      </c>
      <c r="M70" s="7">
        <v>14173.24</v>
      </c>
      <c r="N70" s="7">
        <v>9058350640</v>
      </c>
      <c r="O70" s="7">
        <v>5177947690</v>
      </c>
      <c r="P70" s="7">
        <v>0</v>
      </c>
      <c r="Q70" s="7" t="str">
        <f t="shared" ref="Q70:Q101" si="32">"府民文化部"</f>
        <v>府民文化部</v>
      </c>
      <c r="R70" s="7" t="str">
        <f>"男女参画・府民協働課"</f>
        <v>男女参画・府民協働課</v>
      </c>
    </row>
    <row r="71" spans="1:18" s="1" customFormat="1" ht="26.4" x14ac:dyDescent="0.45">
      <c r="A71" s="7" t="str">
        <f>"02939001004"</f>
        <v>02939001004</v>
      </c>
      <c r="B71" s="7" t="str">
        <f>"大阪府立国際会議場"</f>
        <v>大阪府立国際会議場</v>
      </c>
      <c r="C71" s="7" t="str">
        <f t="shared" si="25"/>
        <v>行政財産</v>
      </c>
      <c r="D71" s="7" t="str">
        <f t="shared" si="31"/>
        <v>その他（公共用）の施設</v>
      </c>
      <c r="E71" s="7" t="str">
        <f>"大阪府大阪市　北区中之島５丁目"</f>
        <v>大阪府大阪市　北区中之島５丁目</v>
      </c>
      <c r="F71" s="7"/>
      <c r="G71" s="7" t="str">
        <f t="shared" si="29"/>
        <v>事業用資産</v>
      </c>
      <c r="H71" s="7" t="str">
        <f t="shared" si="30"/>
        <v>棚卸以外</v>
      </c>
      <c r="I71" s="7">
        <v>1</v>
      </c>
      <c r="J71" s="7" t="str">
        <f>"大阪府立国際会議場"</f>
        <v>大阪府立国際会議場</v>
      </c>
      <c r="K71" s="7" t="str">
        <f>"鉄骨鉄筋コンクリート造"</f>
        <v>鉄骨鉄筋コンクリート造</v>
      </c>
      <c r="L71" s="7" t="str">
        <f>"H11.12.24"</f>
        <v>H11.12.24</v>
      </c>
      <c r="M71" s="7">
        <v>67545.539999999994</v>
      </c>
      <c r="N71" s="7">
        <v>57737653244</v>
      </c>
      <c r="O71" s="7">
        <v>26705175530</v>
      </c>
      <c r="P71" s="7">
        <v>0</v>
      </c>
      <c r="Q71" s="7" t="str">
        <f t="shared" si="32"/>
        <v>府民文化部</v>
      </c>
      <c r="R71" s="7" t="str">
        <f>"都市魅力創造局"</f>
        <v>都市魅力創造局</v>
      </c>
    </row>
    <row r="72" spans="1:18" s="1" customFormat="1" x14ac:dyDescent="0.45">
      <c r="A72" s="7" t="str">
        <f>"02373000007"</f>
        <v>02373000007</v>
      </c>
      <c r="B72" s="7" t="str">
        <f>"旧大阪府立国際児童文学館"</f>
        <v>旧大阪府立国際児童文学館</v>
      </c>
      <c r="C72" s="7" t="str">
        <f t="shared" si="25"/>
        <v>行政財産</v>
      </c>
      <c r="D72" s="7" t="str">
        <f t="shared" si="31"/>
        <v>その他（公共用）の施設</v>
      </c>
      <c r="E72" s="7" t="str">
        <f>"大阪府吹田市千里万博公園"</f>
        <v>大阪府吹田市千里万博公園</v>
      </c>
      <c r="F72" s="7"/>
      <c r="G72" s="7" t="str">
        <f t="shared" si="29"/>
        <v>事業用資産</v>
      </c>
      <c r="H72" s="7" t="str">
        <f t="shared" si="30"/>
        <v>棚卸以外</v>
      </c>
      <c r="I72" s="7">
        <v>1</v>
      </c>
      <c r="J72" s="7" t="str">
        <f>"国際児童文学館"</f>
        <v>国際児童文学館</v>
      </c>
      <c r="K72" s="7" t="str">
        <f>"鉄筋コンクリート造"</f>
        <v>鉄筋コンクリート造</v>
      </c>
      <c r="L72" s="7" t="str">
        <f>"S59.03.31"</f>
        <v>S59.03.31</v>
      </c>
      <c r="M72" s="7">
        <v>3100.64</v>
      </c>
      <c r="N72" s="7">
        <v>1174375000</v>
      </c>
      <c r="O72" s="7">
        <v>914513331</v>
      </c>
      <c r="P72" s="7">
        <v>0</v>
      </c>
      <c r="Q72" s="7" t="str">
        <f t="shared" si="32"/>
        <v>府民文化部</v>
      </c>
      <c r="R72" s="7" t="str">
        <f>"府政情報室"</f>
        <v>府政情報室</v>
      </c>
    </row>
    <row r="73" spans="1:18" s="1" customFormat="1" x14ac:dyDescent="0.45">
      <c r="A73" s="7" t="str">
        <f>"02373000007"</f>
        <v>02373000007</v>
      </c>
      <c r="B73" s="7" t="str">
        <f>"旧大阪府立国際児童文学館"</f>
        <v>旧大阪府立国際児童文学館</v>
      </c>
      <c r="C73" s="7" t="str">
        <f t="shared" si="25"/>
        <v>行政財産</v>
      </c>
      <c r="D73" s="7" t="str">
        <f t="shared" si="31"/>
        <v>その他（公共用）の施設</v>
      </c>
      <c r="E73" s="7" t="str">
        <f>"大阪府吹田市千里万博公園"</f>
        <v>大阪府吹田市千里万博公園</v>
      </c>
      <c r="F73" s="7"/>
      <c r="G73" s="7" t="str">
        <f t="shared" si="29"/>
        <v>事業用資産</v>
      </c>
      <c r="H73" s="7" t="str">
        <f t="shared" si="30"/>
        <v>棚卸以外</v>
      </c>
      <c r="I73" s="7">
        <v>2</v>
      </c>
      <c r="J73" s="7" t="str">
        <f>"車庫"</f>
        <v>車庫</v>
      </c>
      <c r="K73" s="7" t="str">
        <f>"無筋コンクリート造"</f>
        <v>無筋コンクリート造</v>
      </c>
      <c r="L73" s="7" t="str">
        <f>"S59.03.31"</f>
        <v>S59.03.31</v>
      </c>
      <c r="M73" s="7">
        <v>30.59</v>
      </c>
      <c r="N73" s="7">
        <v>10500000</v>
      </c>
      <c r="O73" s="7">
        <v>10499999</v>
      </c>
      <c r="P73" s="7">
        <v>0</v>
      </c>
      <c r="Q73" s="7" t="str">
        <f t="shared" si="32"/>
        <v>府民文化部</v>
      </c>
      <c r="R73" s="7" t="str">
        <f>"府政情報室"</f>
        <v>府政情報室</v>
      </c>
    </row>
    <row r="74" spans="1:18" s="1" customFormat="1" x14ac:dyDescent="0.45">
      <c r="A74" s="7" t="str">
        <f>"02509000009"</f>
        <v>02509000009</v>
      </c>
      <c r="B74" s="7" t="str">
        <f>"元芦原高等職業技術専門校"</f>
        <v>元芦原高等職業技術専門校</v>
      </c>
      <c r="C74" s="7" t="str">
        <f t="shared" si="25"/>
        <v>行政財産</v>
      </c>
      <c r="D74" s="7" t="str">
        <f t="shared" si="31"/>
        <v>その他（公共用）の施設</v>
      </c>
      <c r="E74" s="7" t="str">
        <f>"大阪府大阪市　浪速区木津川２丁目"</f>
        <v>大阪府大阪市　浪速区木津川２丁目</v>
      </c>
      <c r="F74" s="7"/>
      <c r="G74" s="7" t="str">
        <f t="shared" si="29"/>
        <v>事業用資産</v>
      </c>
      <c r="H74" s="7" t="str">
        <f t="shared" si="30"/>
        <v>棚卸以外</v>
      </c>
      <c r="I74" s="7">
        <v>1</v>
      </c>
      <c r="J74" s="7" t="str">
        <f>"校舎"</f>
        <v>校舎</v>
      </c>
      <c r="K74" s="7" t="str">
        <f>"鉄筋コンクリート造"</f>
        <v>鉄筋コンクリート造</v>
      </c>
      <c r="L74" s="7" t="str">
        <f>"H03.03.30"</f>
        <v>H03.03.30</v>
      </c>
      <c r="M74" s="7">
        <v>4774.4399999999996</v>
      </c>
      <c r="N74" s="7">
        <v>1281713500</v>
      </c>
      <c r="O74" s="7">
        <v>870804803</v>
      </c>
      <c r="P74" s="7">
        <v>0</v>
      </c>
      <c r="Q74" s="7" t="str">
        <f t="shared" si="32"/>
        <v>府民文化部</v>
      </c>
      <c r="R74" s="7" t="str">
        <f>"府政情報室"</f>
        <v>府政情報室</v>
      </c>
    </row>
    <row r="75" spans="1:18" s="1" customFormat="1" x14ac:dyDescent="0.45">
      <c r="A75" s="7" t="str">
        <f>"02509000009"</f>
        <v>02509000009</v>
      </c>
      <c r="B75" s="7" t="str">
        <f>"元芦原高等職業技術専門校"</f>
        <v>元芦原高等職業技術専門校</v>
      </c>
      <c r="C75" s="7" t="str">
        <f t="shared" si="25"/>
        <v>行政財産</v>
      </c>
      <c r="D75" s="7" t="str">
        <f t="shared" si="31"/>
        <v>その他（公共用）の施設</v>
      </c>
      <c r="E75" s="7" t="str">
        <f>"大阪府大阪市　浪速区木津川２丁目"</f>
        <v>大阪府大阪市　浪速区木津川２丁目</v>
      </c>
      <c r="F75" s="7"/>
      <c r="G75" s="7" t="str">
        <f t="shared" si="29"/>
        <v>事業用資産</v>
      </c>
      <c r="H75" s="7" t="str">
        <f t="shared" si="30"/>
        <v>棚卸以外</v>
      </c>
      <c r="I75" s="7">
        <v>2</v>
      </c>
      <c r="J75" s="7" t="str">
        <f>"倉庫"</f>
        <v>倉庫</v>
      </c>
      <c r="K75" s="7" t="str">
        <f>"コンクリートブロック造"</f>
        <v>コンクリートブロック造</v>
      </c>
      <c r="L75" s="7" t="str">
        <f>"H04.03.31"</f>
        <v>H04.03.31</v>
      </c>
      <c r="M75" s="7">
        <v>9.16</v>
      </c>
      <c r="N75" s="7">
        <v>979000</v>
      </c>
      <c r="O75" s="7">
        <v>892702</v>
      </c>
      <c r="P75" s="7">
        <v>0</v>
      </c>
      <c r="Q75" s="7" t="str">
        <f t="shared" si="32"/>
        <v>府民文化部</v>
      </c>
      <c r="R75" s="7" t="str">
        <f>"府政情報室"</f>
        <v>府政情報室</v>
      </c>
    </row>
    <row r="76" spans="1:18" s="1" customFormat="1" x14ac:dyDescent="0.45">
      <c r="A76" s="7" t="str">
        <f t="shared" ref="A76:A107" si="33">"02517000000"</f>
        <v>02517000000</v>
      </c>
      <c r="B76" s="7" t="str">
        <f t="shared" ref="B76:B107" si="34">"日本万国博覧会記念公園"</f>
        <v>日本万国博覧会記念公園</v>
      </c>
      <c r="C76" s="7" t="str">
        <f t="shared" si="25"/>
        <v>行政財産</v>
      </c>
      <c r="D76" s="7" t="str">
        <f t="shared" ref="D76:D107" si="35">"公園"</f>
        <v>公園</v>
      </c>
      <c r="E76" s="7" t="str">
        <f t="shared" ref="E76:E107" si="36">"大阪府吹田市千里万博公園"</f>
        <v>大阪府吹田市千里万博公園</v>
      </c>
      <c r="F76" s="7"/>
      <c r="G76" s="7" t="str">
        <f t="shared" si="29"/>
        <v>事業用資産</v>
      </c>
      <c r="H76" s="7" t="str">
        <f t="shared" si="30"/>
        <v>棚卸以外</v>
      </c>
      <c r="I76" s="7">
        <v>2</v>
      </c>
      <c r="J76" s="7" t="str">
        <f>"日本庭園（1号棟）"</f>
        <v>日本庭園（1号棟）</v>
      </c>
      <c r="K76" s="7" t="str">
        <f>"木造"</f>
        <v>木造</v>
      </c>
      <c r="L76" s="7" t="str">
        <f t="shared" ref="L76:L81" si="37">"S45.09.01"</f>
        <v>S45.09.01</v>
      </c>
      <c r="M76" s="7">
        <v>77.760000000000005</v>
      </c>
      <c r="N76" s="7">
        <v>20902</v>
      </c>
      <c r="O76" s="7">
        <v>8560</v>
      </c>
      <c r="P76" s="7">
        <v>0</v>
      </c>
      <c r="Q76" s="7" t="str">
        <f t="shared" si="32"/>
        <v>府民文化部</v>
      </c>
      <c r="R76" s="7" t="str">
        <f t="shared" ref="R76:R107" si="38">"日本万国博覧会記念公園事務所"</f>
        <v>日本万国博覧会記念公園事務所</v>
      </c>
    </row>
    <row r="77" spans="1:18" s="1" customFormat="1" x14ac:dyDescent="0.45">
      <c r="A77" s="7" t="str">
        <f t="shared" si="33"/>
        <v>02517000000</v>
      </c>
      <c r="B77" s="7" t="str">
        <f t="shared" si="34"/>
        <v>日本万国博覧会記念公園</v>
      </c>
      <c r="C77" s="7" t="str">
        <f t="shared" si="25"/>
        <v>行政財産</v>
      </c>
      <c r="D77" s="7" t="str">
        <f t="shared" si="35"/>
        <v>公園</v>
      </c>
      <c r="E77" s="7" t="str">
        <f t="shared" si="36"/>
        <v>大阪府吹田市千里万博公園</v>
      </c>
      <c r="F77" s="7"/>
      <c r="G77" s="7" t="str">
        <f t="shared" si="29"/>
        <v>事業用資産</v>
      </c>
      <c r="H77" s="7" t="str">
        <f t="shared" si="30"/>
        <v>棚卸以外</v>
      </c>
      <c r="I77" s="7">
        <v>3</v>
      </c>
      <c r="J77" s="7" t="str">
        <f>"日本庭園（2号棟・千里庵）"</f>
        <v>日本庭園（2号棟・千里庵）</v>
      </c>
      <c r="K77" s="7" t="str">
        <f>"鉄骨造"</f>
        <v>鉄骨造</v>
      </c>
      <c r="L77" s="7" t="str">
        <f t="shared" si="37"/>
        <v>S45.09.01</v>
      </c>
      <c r="M77" s="7">
        <v>342.53</v>
      </c>
      <c r="N77" s="7">
        <v>14250699</v>
      </c>
      <c r="O77" s="7">
        <v>3737403</v>
      </c>
      <c r="P77" s="7">
        <v>0</v>
      </c>
      <c r="Q77" s="7" t="str">
        <f t="shared" si="32"/>
        <v>府民文化部</v>
      </c>
      <c r="R77" s="7" t="str">
        <f t="shared" si="38"/>
        <v>日本万国博覧会記念公園事務所</v>
      </c>
    </row>
    <row r="78" spans="1:18" s="1" customFormat="1" x14ac:dyDescent="0.45">
      <c r="A78" s="7" t="str">
        <f t="shared" si="33"/>
        <v>02517000000</v>
      </c>
      <c r="B78" s="7" t="str">
        <f t="shared" si="34"/>
        <v>日本万国博覧会記念公園</v>
      </c>
      <c r="C78" s="7" t="str">
        <f t="shared" si="25"/>
        <v>行政財産</v>
      </c>
      <c r="D78" s="7" t="str">
        <f t="shared" si="35"/>
        <v>公園</v>
      </c>
      <c r="E78" s="7" t="str">
        <f t="shared" si="36"/>
        <v>大阪府吹田市千里万博公園</v>
      </c>
      <c r="F78" s="7"/>
      <c r="G78" s="7" t="str">
        <f t="shared" si="29"/>
        <v>事業用資産</v>
      </c>
      <c r="H78" s="7" t="str">
        <f t="shared" si="30"/>
        <v>棚卸以外</v>
      </c>
      <c r="I78" s="7">
        <v>4</v>
      </c>
      <c r="J78" s="7" t="str">
        <f>"日本庭園（3号棟・休憩所、Bポンプ室）"</f>
        <v>日本庭園（3号棟・休憩所、Bポンプ室）</v>
      </c>
      <c r="K78" s="7" t="str">
        <f>"鉄骨造"</f>
        <v>鉄骨造</v>
      </c>
      <c r="L78" s="7" t="str">
        <f t="shared" si="37"/>
        <v>S45.09.01</v>
      </c>
      <c r="M78" s="7">
        <v>1412.64</v>
      </c>
      <c r="N78" s="7">
        <v>8981395</v>
      </c>
      <c r="O78" s="7">
        <v>2355498</v>
      </c>
      <c r="P78" s="7">
        <v>0</v>
      </c>
      <c r="Q78" s="7" t="str">
        <f t="shared" si="32"/>
        <v>府民文化部</v>
      </c>
      <c r="R78" s="7" t="str">
        <f t="shared" si="38"/>
        <v>日本万国博覧会記念公園事務所</v>
      </c>
    </row>
    <row r="79" spans="1:18" s="1" customFormat="1" x14ac:dyDescent="0.45">
      <c r="A79" s="7" t="str">
        <f t="shared" si="33"/>
        <v>02517000000</v>
      </c>
      <c r="B79" s="7" t="str">
        <f t="shared" si="34"/>
        <v>日本万国博覧会記念公園</v>
      </c>
      <c r="C79" s="7" t="str">
        <f t="shared" si="25"/>
        <v>行政財産</v>
      </c>
      <c r="D79" s="7" t="str">
        <f t="shared" si="35"/>
        <v>公園</v>
      </c>
      <c r="E79" s="7" t="str">
        <f t="shared" si="36"/>
        <v>大阪府吹田市千里万博公園</v>
      </c>
      <c r="F79" s="7"/>
      <c r="G79" s="7" t="str">
        <f t="shared" si="29"/>
        <v>事業用資産</v>
      </c>
      <c r="H79" s="7" t="str">
        <f t="shared" si="30"/>
        <v>棚卸以外</v>
      </c>
      <c r="I79" s="7">
        <v>5</v>
      </c>
      <c r="J79" s="7" t="str">
        <f>"日本庭園（4号棟・管理棟）"</f>
        <v>日本庭園（4号棟・管理棟）</v>
      </c>
      <c r="K79" s="7" t="str">
        <f>"鉄骨造"</f>
        <v>鉄骨造</v>
      </c>
      <c r="L79" s="7" t="str">
        <f t="shared" si="37"/>
        <v>S45.09.01</v>
      </c>
      <c r="M79" s="7">
        <v>414.72</v>
      </c>
      <c r="N79" s="7">
        <v>27674768</v>
      </c>
      <c r="O79" s="7">
        <v>1997239</v>
      </c>
      <c r="P79" s="7">
        <v>0</v>
      </c>
      <c r="Q79" s="7" t="str">
        <f t="shared" si="32"/>
        <v>府民文化部</v>
      </c>
      <c r="R79" s="7" t="str">
        <f t="shared" si="38"/>
        <v>日本万国博覧会記念公園事務所</v>
      </c>
    </row>
    <row r="80" spans="1:18" s="1" customFormat="1" ht="26.4" x14ac:dyDescent="0.45">
      <c r="A80" s="7" t="str">
        <f t="shared" si="33"/>
        <v>02517000000</v>
      </c>
      <c r="B80" s="7" t="str">
        <f t="shared" si="34"/>
        <v>日本万国博覧会記念公園</v>
      </c>
      <c r="C80" s="7" t="str">
        <f t="shared" si="25"/>
        <v>行政財産</v>
      </c>
      <c r="D80" s="7" t="str">
        <f t="shared" si="35"/>
        <v>公園</v>
      </c>
      <c r="E80" s="7" t="str">
        <f t="shared" si="36"/>
        <v>大阪府吹田市千里万博公園</v>
      </c>
      <c r="F80" s="7"/>
      <c r="G80" s="7" t="str">
        <f t="shared" si="29"/>
        <v>事業用資産</v>
      </c>
      <c r="H80" s="7" t="str">
        <f t="shared" si="30"/>
        <v>棚卸以外</v>
      </c>
      <c r="I80" s="7">
        <v>6</v>
      </c>
      <c r="J80" s="7" t="str">
        <f>"日本庭園（5号棟・鯉池休憩所、Cポンプ室）"</f>
        <v>日本庭園（5号棟・鯉池休憩所、Cポンプ室）</v>
      </c>
      <c r="K80" s="7" t="str">
        <f>"鉄骨造"</f>
        <v>鉄骨造</v>
      </c>
      <c r="L80" s="7" t="str">
        <f t="shared" si="37"/>
        <v>S45.09.01</v>
      </c>
      <c r="M80" s="7">
        <v>540.97</v>
      </c>
      <c r="N80" s="7">
        <v>27905729</v>
      </c>
      <c r="O80" s="7">
        <v>3483837</v>
      </c>
      <c r="P80" s="7">
        <v>0</v>
      </c>
      <c r="Q80" s="7" t="str">
        <f t="shared" si="32"/>
        <v>府民文化部</v>
      </c>
      <c r="R80" s="7" t="str">
        <f t="shared" si="38"/>
        <v>日本万国博覧会記念公園事務所</v>
      </c>
    </row>
    <row r="81" spans="1:18" s="1" customFormat="1" x14ac:dyDescent="0.45">
      <c r="A81" s="7" t="str">
        <f t="shared" si="33"/>
        <v>02517000000</v>
      </c>
      <c r="B81" s="7" t="str">
        <f t="shared" si="34"/>
        <v>日本万国博覧会記念公園</v>
      </c>
      <c r="C81" s="7" t="str">
        <f t="shared" si="25"/>
        <v>行政財産</v>
      </c>
      <c r="D81" s="7" t="str">
        <f t="shared" si="35"/>
        <v>公園</v>
      </c>
      <c r="E81" s="7" t="str">
        <f t="shared" si="36"/>
        <v>大阪府吹田市千里万博公園</v>
      </c>
      <c r="F81" s="7"/>
      <c r="G81" s="7" t="str">
        <f t="shared" si="29"/>
        <v>事業用資産</v>
      </c>
      <c r="H81" s="7" t="str">
        <f t="shared" si="30"/>
        <v>棚卸以外</v>
      </c>
      <c r="I81" s="7">
        <v>7</v>
      </c>
      <c r="J81" s="7" t="str">
        <f>"日本庭園（6号棟・蓮池休憩所）"</f>
        <v>日本庭園（6号棟・蓮池休憩所）</v>
      </c>
      <c r="K81" s="7" t="str">
        <f>"鉄骨造"</f>
        <v>鉄骨造</v>
      </c>
      <c r="L81" s="7" t="str">
        <f t="shared" si="37"/>
        <v>S45.09.01</v>
      </c>
      <c r="M81" s="7">
        <v>70.56</v>
      </c>
      <c r="N81" s="7">
        <v>15623510</v>
      </c>
      <c r="O81" s="7">
        <v>4097351</v>
      </c>
      <c r="P81" s="7">
        <v>0</v>
      </c>
      <c r="Q81" s="7" t="str">
        <f t="shared" si="32"/>
        <v>府民文化部</v>
      </c>
      <c r="R81" s="7" t="str">
        <f t="shared" si="38"/>
        <v>日本万国博覧会記念公園事務所</v>
      </c>
    </row>
    <row r="82" spans="1:18" s="1" customFormat="1" x14ac:dyDescent="0.45">
      <c r="A82" s="7" t="str">
        <f t="shared" si="33"/>
        <v>02517000000</v>
      </c>
      <c r="B82" s="7" t="str">
        <f t="shared" si="34"/>
        <v>日本万国博覧会記念公園</v>
      </c>
      <c r="C82" s="7" t="str">
        <f t="shared" si="25"/>
        <v>行政財産</v>
      </c>
      <c r="D82" s="7" t="str">
        <f t="shared" si="35"/>
        <v>公園</v>
      </c>
      <c r="E82" s="7" t="str">
        <f t="shared" si="36"/>
        <v>大阪府吹田市千里万博公園</v>
      </c>
      <c r="F82" s="7"/>
      <c r="G82" s="7" t="str">
        <f t="shared" si="29"/>
        <v>事業用資産</v>
      </c>
      <c r="H82" s="7" t="str">
        <f t="shared" si="30"/>
        <v>棚卸以外</v>
      </c>
      <c r="I82" s="7">
        <v>9</v>
      </c>
      <c r="J82" s="7" t="str">
        <f>"日本庭園茶室（汎庵）"</f>
        <v>日本庭園茶室（汎庵）</v>
      </c>
      <c r="K82" s="7" t="str">
        <f>"木造"</f>
        <v>木造</v>
      </c>
      <c r="L82" s="7" t="str">
        <f>"S44.09.01"</f>
        <v>S44.09.01</v>
      </c>
      <c r="M82" s="7">
        <v>216</v>
      </c>
      <c r="N82" s="7">
        <v>34960793</v>
      </c>
      <c r="O82" s="7">
        <v>14169796</v>
      </c>
      <c r="P82" s="7">
        <v>0</v>
      </c>
      <c r="Q82" s="7" t="str">
        <f t="shared" si="32"/>
        <v>府民文化部</v>
      </c>
      <c r="R82" s="7" t="str">
        <f t="shared" si="38"/>
        <v>日本万国博覧会記念公園事務所</v>
      </c>
    </row>
    <row r="83" spans="1:18" s="1" customFormat="1" x14ac:dyDescent="0.45">
      <c r="A83" s="7" t="str">
        <f t="shared" si="33"/>
        <v>02517000000</v>
      </c>
      <c r="B83" s="7" t="str">
        <f t="shared" si="34"/>
        <v>日本万国博覧会記念公園</v>
      </c>
      <c r="C83" s="7" t="str">
        <f t="shared" ref="C83:C114" si="39">"行政財産"</f>
        <v>行政財産</v>
      </c>
      <c r="D83" s="7" t="str">
        <f t="shared" si="35"/>
        <v>公園</v>
      </c>
      <c r="E83" s="7" t="str">
        <f t="shared" si="36"/>
        <v>大阪府吹田市千里万博公園</v>
      </c>
      <c r="F83" s="7"/>
      <c r="G83" s="7" t="str">
        <f t="shared" si="29"/>
        <v>事業用資産</v>
      </c>
      <c r="H83" s="7" t="str">
        <f t="shared" si="30"/>
        <v>棚卸以外</v>
      </c>
      <c r="I83" s="7">
        <v>10</v>
      </c>
      <c r="J83" s="7" t="str">
        <f>"日本庭園（西門守衛室）"</f>
        <v>日本庭園（西門守衛室）</v>
      </c>
      <c r="K83" s="7" t="str">
        <f>"木造"</f>
        <v>木造</v>
      </c>
      <c r="L83" s="7" t="str">
        <f>"S45.09.01"</f>
        <v>S45.09.01</v>
      </c>
      <c r="M83" s="7">
        <v>23.04</v>
      </c>
      <c r="N83" s="7">
        <v>4047</v>
      </c>
      <c r="O83" s="7">
        <v>1605</v>
      </c>
      <c r="P83" s="7">
        <v>0</v>
      </c>
      <c r="Q83" s="7" t="str">
        <f t="shared" si="32"/>
        <v>府民文化部</v>
      </c>
      <c r="R83" s="7" t="str">
        <f t="shared" si="38"/>
        <v>日本万国博覧会記念公園事務所</v>
      </c>
    </row>
    <row r="84" spans="1:18" s="1" customFormat="1" x14ac:dyDescent="0.45">
      <c r="A84" s="7" t="str">
        <f t="shared" si="33"/>
        <v>02517000000</v>
      </c>
      <c r="B84" s="7" t="str">
        <f t="shared" si="34"/>
        <v>日本万国博覧会記念公園</v>
      </c>
      <c r="C84" s="7" t="str">
        <f t="shared" si="39"/>
        <v>行政財産</v>
      </c>
      <c r="D84" s="7" t="str">
        <f t="shared" si="35"/>
        <v>公園</v>
      </c>
      <c r="E84" s="7" t="str">
        <f t="shared" si="36"/>
        <v>大阪府吹田市千里万博公園</v>
      </c>
      <c r="F84" s="7"/>
      <c r="G84" s="7" t="str">
        <f t="shared" si="29"/>
        <v>事業用資産</v>
      </c>
      <c r="H84" s="7" t="str">
        <f t="shared" si="30"/>
        <v>棚卸以外</v>
      </c>
      <c r="I84" s="7">
        <v>11</v>
      </c>
      <c r="J84" s="7" t="str">
        <f>"日本庭園（C-1号棟・便所）"</f>
        <v>日本庭園（C-1号棟・便所）</v>
      </c>
      <c r="K84" s="7" t="str">
        <f>"鉄筋コンクリート造"</f>
        <v>鉄筋コンクリート造</v>
      </c>
      <c r="L84" s="7" t="str">
        <f>"S45.09.01"</f>
        <v>S45.09.01</v>
      </c>
      <c r="M84" s="7">
        <v>62.08</v>
      </c>
      <c r="N84" s="7">
        <v>20274968</v>
      </c>
      <c r="O84" s="7">
        <v>1713912</v>
      </c>
      <c r="P84" s="7">
        <v>0</v>
      </c>
      <c r="Q84" s="7" t="str">
        <f t="shared" si="32"/>
        <v>府民文化部</v>
      </c>
      <c r="R84" s="7" t="str">
        <f t="shared" si="38"/>
        <v>日本万国博覧会記念公園事務所</v>
      </c>
    </row>
    <row r="85" spans="1:18" s="1" customFormat="1" x14ac:dyDescent="0.45">
      <c r="A85" s="7" t="str">
        <f t="shared" si="33"/>
        <v>02517000000</v>
      </c>
      <c r="B85" s="7" t="str">
        <f t="shared" si="34"/>
        <v>日本万国博覧会記念公園</v>
      </c>
      <c r="C85" s="7" t="str">
        <f t="shared" si="39"/>
        <v>行政財産</v>
      </c>
      <c r="D85" s="7" t="str">
        <f t="shared" si="35"/>
        <v>公園</v>
      </c>
      <c r="E85" s="7" t="str">
        <f t="shared" si="36"/>
        <v>大阪府吹田市千里万博公園</v>
      </c>
      <c r="F85" s="7"/>
      <c r="G85" s="7" t="str">
        <f t="shared" si="29"/>
        <v>事業用資産</v>
      </c>
      <c r="H85" s="7" t="str">
        <f t="shared" si="30"/>
        <v>棚卸以外</v>
      </c>
      <c r="I85" s="7">
        <v>12</v>
      </c>
      <c r="J85" s="7" t="str">
        <f>"日本庭園（C-3号棟・便所）"</f>
        <v>日本庭園（C-3号棟・便所）</v>
      </c>
      <c r="K85" s="7" t="str">
        <f>"鉄筋コンクリート造"</f>
        <v>鉄筋コンクリート造</v>
      </c>
      <c r="L85" s="7" t="str">
        <f>"S45.09.01"</f>
        <v>S45.09.01</v>
      </c>
      <c r="M85" s="7">
        <v>62.08</v>
      </c>
      <c r="N85" s="7">
        <v>19768924</v>
      </c>
      <c r="O85" s="7">
        <v>1633508</v>
      </c>
      <c r="P85" s="7">
        <v>0</v>
      </c>
      <c r="Q85" s="7" t="str">
        <f t="shared" si="32"/>
        <v>府民文化部</v>
      </c>
      <c r="R85" s="7" t="str">
        <f t="shared" si="38"/>
        <v>日本万国博覧会記念公園事務所</v>
      </c>
    </row>
    <row r="86" spans="1:18" s="1" customFormat="1" x14ac:dyDescent="0.45">
      <c r="A86" s="7" t="str">
        <f t="shared" si="33"/>
        <v>02517000000</v>
      </c>
      <c r="B86" s="7" t="str">
        <f t="shared" si="34"/>
        <v>日本万国博覧会記念公園</v>
      </c>
      <c r="C86" s="7" t="str">
        <f t="shared" si="39"/>
        <v>行政財産</v>
      </c>
      <c r="D86" s="7" t="str">
        <f t="shared" si="35"/>
        <v>公園</v>
      </c>
      <c r="E86" s="7" t="str">
        <f t="shared" si="36"/>
        <v>大阪府吹田市千里万博公園</v>
      </c>
      <c r="F86" s="7"/>
      <c r="G86" s="7" t="str">
        <f t="shared" si="29"/>
        <v>事業用資産</v>
      </c>
      <c r="H86" s="7" t="str">
        <f t="shared" si="30"/>
        <v>棚卸以外</v>
      </c>
      <c r="I86" s="7">
        <v>13</v>
      </c>
      <c r="J86" s="7" t="str">
        <f>"日本庭園（滝ポンプ室）"</f>
        <v>日本庭園（滝ポンプ室）</v>
      </c>
      <c r="K86" s="7" t="str">
        <f>"鉄筋コンクリート造"</f>
        <v>鉄筋コンクリート造</v>
      </c>
      <c r="L86" s="7" t="str">
        <f>"S45.09.01"</f>
        <v>S45.09.01</v>
      </c>
      <c r="M86" s="7">
        <v>28.9</v>
      </c>
      <c r="N86" s="7">
        <v>3761758</v>
      </c>
      <c r="O86" s="7">
        <v>386815</v>
      </c>
      <c r="P86" s="7">
        <v>0</v>
      </c>
      <c r="Q86" s="7" t="str">
        <f t="shared" si="32"/>
        <v>府民文化部</v>
      </c>
      <c r="R86" s="7" t="str">
        <f t="shared" si="38"/>
        <v>日本万国博覧会記念公園事務所</v>
      </c>
    </row>
    <row r="87" spans="1:18" s="1" customFormat="1" x14ac:dyDescent="0.45">
      <c r="A87" s="7" t="str">
        <f t="shared" si="33"/>
        <v>02517000000</v>
      </c>
      <c r="B87" s="7" t="str">
        <f t="shared" si="34"/>
        <v>日本万国博覧会記念公園</v>
      </c>
      <c r="C87" s="7" t="str">
        <f t="shared" si="39"/>
        <v>行政財産</v>
      </c>
      <c r="D87" s="7" t="str">
        <f t="shared" si="35"/>
        <v>公園</v>
      </c>
      <c r="E87" s="7" t="str">
        <f t="shared" si="36"/>
        <v>大阪府吹田市千里万博公園</v>
      </c>
      <c r="F87" s="7"/>
      <c r="G87" s="7" t="str">
        <f t="shared" si="29"/>
        <v>事業用資産</v>
      </c>
      <c r="H87" s="7" t="str">
        <f t="shared" si="30"/>
        <v>棚卸以外</v>
      </c>
      <c r="I87" s="7">
        <v>14</v>
      </c>
      <c r="J87" s="7" t="str">
        <f>"日本庭園（Aポンプ室）"</f>
        <v>日本庭園（Aポンプ室）</v>
      </c>
      <c r="K87" s="7" t="str">
        <f>"鉄筋コンクリート造"</f>
        <v>鉄筋コンクリート造</v>
      </c>
      <c r="L87" s="7" t="str">
        <f>"S45.09.01"</f>
        <v>S45.09.01</v>
      </c>
      <c r="M87" s="7">
        <v>145.38</v>
      </c>
      <c r="N87" s="7">
        <v>2880134</v>
      </c>
      <c r="O87" s="7">
        <v>675919</v>
      </c>
      <c r="P87" s="7">
        <v>0</v>
      </c>
      <c r="Q87" s="7" t="str">
        <f t="shared" si="32"/>
        <v>府民文化部</v>
      </c>
      <c r="R87" s="7" t="str">
        <f t="shared" si="38"/>
        <v>日本万国博覧会記念公園事務所</v>
      </c>
    </row>
    <row r="88" spans="1:18" s="1" customFormat="1" x14ac:dyDescent="0.45">
      <c r="A88" s="7" t="str">
        <f t="shared" si="33"/>
        <v>02517000000</v>
      </c>
      <c r="B88" s="7" t="str">
        <f t="shared" si="34"/>
        <v>日本万国博覧会記念公園</v>
      </c>
      <c r="C88" s="7" t="str">
        <f t="shared" si="39"/>
        <v>行政財産</v>
      </c>
      <c r="D88" s="7" t="str">
        <f t="shared" si="35"/>
        <v>公園</v>
      </c>
      <c r="E88" s="7" t="str">
        <f t="shared" si="36"/>
        <v>大阪府吹田市千里万博公園</v>
      </c>
      <c r="F88" s="7"/>
      <c r="G88" s="7" t="str">
        <f t="shared" si="29"/>
        <v>事業用資産</v>
      </c>
      <c r="H88" s="7" t="str">
        <f t="shared" si="30"/>
        <v>棚卸以外</v>
      </c>
      <c r="I88" s="7">
        <v>15</v>
      </c>
      <c r="J88" s="7" t="str">
        <f>"日本庭園（園芸植物展示場）"</f>
        <v>日本庭園（園芸植物展示場）</v>
      </c>
      <c r="K88" s="7" t="str">
        <f>"木造"</f>
        <v>木造</v>
      </c>
      <c r="L88" s="7" t="str">
        <f>"H04.03.01"</f>
        <v>H04.03.01</v>
      </c>
      <c r="M88" s="7">
        <v>99.52</v>
      </c>
      <c r="N88" s="7">
        <v>14318312</v>
      </c>
      <c r="O88" s="7">
        <v>5319719</v>
      </c>
      <c r="P88" s="7">
        <v>0</v>
      </c>
      <c r="Q88" s="7" t="str">
        <f t="shared" si="32"/>
        <v>府民文化部</v>
      </c>
      <c r="R88" s="7" t="str">
        <f t="shared" si="38"/>
        <v>日本万国博覧会記念公園事務所</v>
      </c>
    </row>
    <row r="89" spans="1:18" s="1" customFormat="1" x14ac:dyDescent="0.45">
      <c r="A89" s="7" t="str">
        <f t="shared" si="33"/>
        <v>02517000000</v>
      </c>
      <c r="B89" s="7" t="str">
        <f t="shared" si="34"/>
        <v>日本万国博覧会記念公園</v>
      </c>
      <c r="C89" s="7" t="str">
        <f t="shared" si="39"/>
        <v>行政財産</v>
      </c>
      <c r="D89" s="7" t="str">
        <f t="shared" si="35"/>
        <v>公園</v>
      </c>
      <c r="E89" s="7" t="str">
        <f t="shared" si="36"/>
        <v>大阪府吹田市千里万博公園</v>
      </c>
      <c r="F89" s="7"/>
      <c r="G89" s="7" t="str">
        <f t="shared" si="29"/>
        <v>事業用資産</v>
      </c>
      <c r="H89" s="7" t="str">
        <f t="shared" si="30"/>
        <v>棚卸以外</v>
      </c>
      <c r="I89" s="7">
        <v>16</v>
      </c>
      <c r="J89" s="7" t="str">
        <f>"日本庭園（7号棟・便所）"</f>
        <v>日本庭園（7号棟・便所）</v>
      </c>
      <c r="K89" s="7" t="str">
        <f>"鉄筋コンクリート造"</f>
        <v>鉄筋コンクリート造</v>
      </c>
      <c r="L89" s="7" t="str">
        <f>"S45.09.01"</f>
        <v>S45.09.01</v>
      </c>
      <c r="M89" s="7">
        <v>308.01</v>
      </c>
      <c r="N89" s="7">
        <v>219491</v>
      </c>
      <c r="O89" s="7">
        <v>51574</v>
      </c>
      <c r="P89" s="7">
        <v>0</v>
      </c>
      <c r="Q89" s="7" t="str">
        <f t="shared" si="32"/>
        <v>府民文化部</v>
      </c>
      <c r="R89" s="7" t="str">
        <f t="shared" si="38"/>
        <v>日本万国博覧会記念公園事務所</v>
      </c>
    </row>
    <row r="90" spans="1:18" s="1" customFormat="1" x14ac:dyDescent="0.45">
      <c r="A90" s="7" t="str">
        <f t="shared" si="33"/>
        <v>02517000000</v>
      </c>
      <c r="B90" s="7" t="str">
        <f t="shared" si="34"/>
        <v>日本万国博覧会記念公園</v>
      </c>
      <c r="C90" s="7" t="str">
        <f t="shared" si="39"/>
        <v>行政財産</v>
      </c>
      <c r="D90" s="7" t="str">
        <f t="shared" si="35"/>
        <v>公園</v>
      </c>
      <c r="E90" s="7" t="str">
        <f t="shared" si="36"/>
        <v>大阪府吹田市千里万博公園</v>
      </c>
      <c r="F90" s="7"/>
      <c r="G90" s="7" t="str">
        <f t="shared" si="29"/>
        <v>事業用資産</v>
      </c>
      <c r="H90" s="7" t="str">
        <f t="shared" si="30"/>
        <v>棚卸以外</v>
      </c>
      <c r="I90" s="7">
        <v>17</v>
      </c>
      <c r="J90" s="7" t="str">
        <f>"日本庭園（つつじが丘休憩所）"</f>
        <v>日本庭園（つつじが丘休憩所）</v>
      </c>
      <c r="K90" s="7" t="str">
        <f>"鉄骨造"</f>
        <v>鉄骨造</v>
      </c>
      <c r="L90" s="7" t="str">
        <f>"H04.03.01"</f>
        <v>H04.03.01</v>
      </c>
      <c r="M90" s="7">
        <v>68.52</v>
      </c>
      <c r="N90" s="7">
        <v>26157107</v>
      </c>
      <c r="O90" s="7">
        <v>6859877</v>
      </c>
      <c r="P90" s="7">
        <v>0</v>
      </c>
      <c r="Q90" s="7" t="str">
        <f t="shared" si="32"/>
        <v>府民文化部</v>
      </c>
      <c r="R90" s="7" t="str">
        <f t="shared" si="38"/>
        <v>日本万国博覧会記念公園事務所</v>
      </c>
    </row>
    <row r="91" spans="1:18" s="1" customFormat="1" ht="26.4" x14ac:dyDescent="0.45">
      <c r="A91" s="7" t="str">
        <f t="shared" si="33"/>
        <v>02517000000</v>
      </c>
      <c r="B91" s="7" t="str">
        <f t="shared" si="34"/>
        <v>日本万国博覧会記念公園</v>
      </c>
      <c r="C91" s="7" t="str">
        <f t="shared" si="39"/>
        <v>行政財産</v>
      </c>
      <c r="D91" s="7" t="str">
        <f t="shared" si="35"/>
        <v>公園</v>
      </c>
      <c r="E91" s="7" t="str">
        <f t="shared" si="36"/>
        <v>大阪府吹田市千里万博公園</v>
      </c>
      <c r="F91" s="7"/>
      <c r="G91" s="7" t="str">
        <f t="shared" si="29"/>
        <v>事業用資産</v>
      </c>
      <c r="H91" s="7" t="str">
        <f t="shared" si="30"/>
        <v>棚卸以外</v>
      </c>
      <c r="I91" s="7">
        <v>20</v>
      </c>
      <c r="J91" s="7" t="str">
        <f>"自然文化園（第1工区サービス施設・水車茶屋）"</f>
        <v>自然文化園（第1工区サービス施設・水車茶屋）</v>
      </c>
      <c r="K91" s="7" t="str">
        <f>"鉄骨造"</f>
        <v>鉄骨造</v>
      </c>
      <c r="L91" s="7" t="str">
        <f>"S48.10.01"</f>
        <v>S48.10.01</v>
      </c>
      <c r="M91" s="7">
        <v>160</v>
      </c>
      <c r="N91" s="7">
        <v>865724</v>
      </c>
      <c r="O91" s="7">
        <v>227054</v>
      </c>
      <c r="P91" s="7">
        <v>0</v>
      </c>
      <c r="Q91" s="7" t="str">
        <f t="shared" si="32"/>
        <v>府民文化部</v>
      </c>
      <c r="R91" s="7" t="str">
        <f t="shared" si="38"/>
        <v>日本万国博覧会記念公園事務所</v>
      </c>
    </row>
    <row r="92" spans="1:18" s="1" customFormat="1" ht="26.4" x14ac:dyDescent="0.45">
      <c r="A92" s="7" t="str">
        <f t="shared" si="33"/>
        <v>02517000000</v>
      </c>
      <c r="B92" s="7" t="str">
        <f t="shared" si="34"/>
        <v>日本万国博覧会記念公園</v>
      </c>
      <c r="C92" s="7" t="str">
        <f t="shared" si="39"/>
        <v>行政財産</v>
      </c>
      <c r="D92" s="7" t="str">
        <f t="shared" si="35"/>
        <v>公園</v>
      </c>
      <c r="E92" s="7" t="str">
        <f t="shared" si="36"/>
        <v>大阪府吹田市千里万博公園</v>
      </c>
      <c r="F92" s="7"/>
      <c r="G92" s="7" t="str">
        <f t="shared" si="29"/>
        <v>事業用資産</v>
      </c>
      <c r="H92" s="7" t="str">
        <f t="shared" si="30"/>
        <v>棚卸以外</v>
      </c>
      <c r="I92" s="7">
        <v>21</v>
      </c>
      <c r="J92" s="7" t="str">
        <f>"民博口管理棟（第１工区・旧ホール前ゲート）"</f>
        <v>民博口管理棟（第１工区・旧ホール前ゲート）</v>
      </c>
      <c r="K92" s="7" t="str">
        <f t="shared" ref="K92:K97" si="40">"鉄筋コンクリート造"</f>
        <v>鉄筋コンクリート造</v>
      </c>
      <c r="L92" s="7" t="str">
        <f>"S54.04.01"</f>
        <v>S54.04.01</v>
      </c>
      <c r="M92" s="7">
        <v>34.950000000000003</v>
      </c>
      <c r="N92" s="7">
        <v>2550372</v>
      </c>
      <c r="O92" s="7">
        <v>454857</v>
      </c>
      <c r="P92" s="7">
        <v>0</v>
      </c>
      <c r="Q92" s="7" t="str">
        <f t="shared" si="32"/>
        <v>府民文化部</v>
      </c>
      <c r="R92" s="7" t="str">
        <f t="shared" si="38"/>
        <v>日本万国博覧会記念公園事務所</v>
      </c>
    </row>
    <row r="93" spans="1:18" s="1" customFormat="1" ht="26.4" x14ac:dyDescent="0.45">
      <c r="A93" s="7" t="str">
        <f t="shared" si="33"/>
        <v>02517000000</v>
      </c>
      <c r="B93" s="7" t="str">
        <f t="shared" si="34"/>
        <v>日本万国博覧会記念公園</v>
      </c>
      <c r="C93" s="7" t="str">
        <f t="shared" si="39"/>
        <v>行政財産</v>
      </c>
      <c r="D93" s="7" t="str">
        <f t="shared" si="35"/>
        <v>公園</v>
      </c>
      <c r="E93" s="7" t="str">
        <f t="shared" si="36"/>
        <v>大阪府吹田市千里万博公園</v>
      </c>
      <c r="F93" s="7"/>
      <c r="G93" s="7" t="str">
        <f t="shared" si="29"/>
        <v>事業用資産</v>
      </c>
      <c r="H93" s="7" t="str">
        <f t="shared" si="30"/>
        <v>棚卸以外</v>
      </c>
      <c r="I93" s="7">
        <v>22</v>
      </c>
      <c r="J93" s="7" t="str">
        <f>"自然文化園（第1工区便所・水車茶屋女子）"</f>
        <v>自然文化園（第1工区便所・水車茶屋女子）</v>
      </c>
      <c r="K93" s="7" t="str">
        <f t="shared" si="40"/>
        <v>鉄筋コンクリート造</v>
      </c>
      <c r="L93" s="7" t="str">
        <f>"S48.10.01"</f>
        <v>S48.10.01</v>
      </c>
      <c r="M93" s="7">
        <v>20.25</v>
      </c>
      <c r="N93" s="7">
        <v>158108</v>
      </c>
      <c r="O93" s="7">
        <v>37129</v>
      </c>
      <c r="P93" s="7">
        <v>0</v>
      </c>
      <c r="Q93" s="7" t="str">
        <f t="shared" si="32"/>
        <v>府民文化部</v>
      </c>
      <c r="R93" s="7" t="str">
        <f t="shared" si="38"/>
        <v>日本万国博覧会記念公園事務所</v>
      </c>
    </row>
    <row r="94" spans="1:18" s="1" customFormat="1" ht="26.4" x14ac:dyDescent="0.45">
      <c r="A94" s="7" t="str">
        <f t="shared" si="33"/>
        <v>02517000000</v>
      </c>
      <c r="B94" s="7" t="str">
        <f t="shared" si="34"/>
        <v>日本万国博覧会記念公園</v>
      </c>
      <c r="C94" s="7" t="str">
        <f t="shared" si="39"/>
        <v>行政財産</v>
      </c>
      <c r="D94" s="7" t="str">
        <f t="shared" si="35"/>
        <v>公園</v>
      </c>
      <c r="E94" s="7" t="str">
        <f t="shared" si="36"/>
        <v>大阪府吹田市千里万博公園</v>
      </c>
      <c r="F94" s="7"/>
      <c r="G94" s="7" t="str">
        <f t="shared" si="29"/>
        <v>事業用資産</v>
      </c>
      <c r="H94" s="7" t="str">
        <f t="shared" si="30"/>
        <v>棚卸以外</v>
      </c>
      <c r="I94" s="7">
        <v>23</v>
      </c>
      <c r="J94" s="7" t="str">
        <f>"自然文化園（第1工区便所・水車茶屋男子、身障者用）"</f>
        <v>自然文化園（第1工区便所・水車茶屋男子、身障者用）</v>
      </c>
      <c r="K94" s="7" t="str">
        <f t="shared" si="40"/>
        <v>鉄筋コンクリート造</v>
      </c>
      <c r="L94" s="7" t="str">
        <f>"S48.10.01"</f>
        <v>S48.10.01</v>
      </c>
      <c r="M94" s="7">
        <v>21.18</v>
      </c>
      <c r="N94" s="7">
        <v>6171353</v>
      </c>
      <c r="O94" s="7">
        <v>1448138</v>
      </c>
      <c r="P94" s="7">
        <v>0</v>
      </c>
      <c r="Q94" s="7" t="str">
        <f t="shared" si="32"/>
        <v>府民文化部</v>
      </c>
      <c r="R94" s="7" t="str">
        <f t="shared" si="38"/>
        <v>日本万国博覧会記念公園事務所</v>
      </c>
    </row>
    <row r="95" spans="1:18" s="1" customFormat="1" ht="26.4" x14ac:dyDescent="0.45">
      <c r="A95" s="7" t="str">
        <f t="shared" si="33"/>
        <v>02517000000</v>
      </c>
      <c r="B95" s="7" t="str">
        <f t="shared" si="34"/>
        <v>日本万国博覧会記念公園</v>
      </c>
      <c r="C95" s="7" t="str">
        <f t="shared" si="39"/>
        <v>行政財産</v>
      </c>
      <c r="D95" s="7" t="str">
        <f t="shared" si="35"/>
        <v>公園</v>
      </c>
      <c r="E95" s="7" t="str">
        <f t="shared" si="36"/>
        <v>大阪府吹田市千里万博公園</v>
      </c>
      <c r="F95" s="7"/>
      <c r="G95" s="7" t="str">
        <f t="shared" si="29"/>
        <v>事業用資産</v>
      </c>
      <c r="H95" s="7" t="str">
        <f t="shared" si="30"/>
        <v>棚卸以外</v>
      </c>
      <c r="I95" s="7">
        <v>24</v>
      </c>
      <c r="J95" s="7" t="str">
        <f>"自然文化園（第1工区サービス施設・パークカフェ）"</f>
        <v>自然文化園（第1工区サービス施設・パークカフェ）</v>
      </c>
      <c r="K95" s="7" t="str">
        <f t="shared" si="40"/>
        <v>鉄筋コンクリート造</v>
      </c>
      <c r="L95" s="7" t="str">
        <f>"S48.10.01"</f>
        <v>S48.10.01</v>
      </c>
      <c r="M95" s="7">
        <v>308.89999999999998</v>
      </c>
      <c r="N95" s="7">
        <v>20126121</v>
      </c>
      <c r="O95" s="7">
        <v>3293163</v>
      </c>
      <c r="P95" s="7">
        <v>0</v>
      </c>
      <c r="Q95" s="7" t="str">
        <f t="shared" si="32"/>
        <v>府民文化部</v>
      </c>
      <c r="R95" s="7" t="str">
        <f t="shared" si="38"/>
        <v>日本万国博覧会記念公園事務所</v>
      </c>
    </row>
    <row r="96" spans="1:18" s="1" customFormat="1" ht="26.4" x14ac:dyDescent="0.45">
      <c r="A96" s="7" t="str">
        <f t="shared" si="33"/>
        <v>02517000000</v>
      </c>
      <c r="B96" s="7" t="str">
        <f t="shared" si="34"/>
        <v>日本万国博覧会記念公園</v>
      </c>
      <c r="C96" s="7" t="str">
        <f t="shared" si="39"/>
        <v>行政財産</v>
      </c>
      <c r="D96" s="7" t="str">
        <f t="shared" si="35"/>
        <v>公園</v>
      </c>
      <c r="E96" s="7" t="str">
        <f t="shared" si="36"/>
        <v>大阪府吹田市千里万博公園</v>
      </c>
      <c r="F96" s="7"/>
      <c r="G96" s="7" t="str">
        <f t="shared" si="29"/>
        <v>事業用資産</v>
      </c>
      <c r="H96" s="7" t="str">
        <f t="shared" si="30"/>
        <v>棚卸以外</v>
      </c>
      <c r="I96" s="7">
        <v>25</v>
      </c>
      <c r="J96" s="7" t="str">
        <f>"自然文化園（第1工区・パークカフェ便所）"</f>
        <v>自然文化園（第1工区・パークカフェ便所）</v>
      </c>
      <c r="K96" s="7" t="str">
        <f t="shared" si="40"/>
        <v>鉄筋コンクリート造</v>
      </c>
      <c r="L96" s="7" t="str">
        <f>"S48.10.01"</f>
        <v>S48.10.01</v>
      </c>
      <c r="M96" s="7">
        <v>38.340000000000003</v>
      </c>
      <c r="N96" s="7">
        <v>4866625</v>
      </c>
      <c r="O96" s="7">
        <v>1142011</v>
      </c>
      <c r="P96" s="7">
        <v>0</v>
      </c>
      <c r="Q96" s="7" t="str">
        <f t="shared" si="32"/>
        <v>府民文化部</v>
      </c>
      <c r="R96" s="7" t="str">
        <f t="shared" si="38"/>
        <v>日本万国博覧会記念公園事務所</v>
      </c>
    </row>
    <row r="97" spans="1:18" s="1" customFormat="1" x14ac:dyDescent="0.45">
      <c r="A97" s="7" t="str">
        <f t="shared" si="33"/>
        <v>02517000000</v>
      </c>
      <c r="B97" s="7" t="str">
        <f t="shared" si="34"/>
        <v>日本万国博覧会記念公園</v>
      </c>
      <c r="C97" s="7" t="str">
        <f t="shared" si="39"/>
        <v>行政財産</v>
      </c>
      <c r="D97" s="7" t="str">
        <f t="shared" si="35"/>
        <v>公園</v>
      </c>
      <c r="E97" s="7" t="str">
        <f t="shared" si="36"/>
        <v>大阪府吹田市千里万博公園</v>
      </c>
      <c r="F97" s="7"/>
      <c r="G97" s="7" t="str">
        <f t="shared" si="29"/>
        <v>事業用資産</v>
      </c>
      <c r="H97" s="7" t="str">
        <f t="shared" si="30"/>
        <v>棚卸以外</v>
      </c>
      <c r="I97" s="7">
        <v>26</v>
      </c>
      <c r="J97" s="7" t="str">
        <f>"自然文化園（第1工区便所・にれの池）"</f>
        <v>自然文化園（第1工区便所・にれの池）</v>
      </c>
      <c r="K97" s="7" t="str">
        <f t="shared" si="40"/>
        <v>鉄筋コンクリート造</v>
      </c>
      <c r="L97" s="7" t="str">
        <f>"S48.10.01"</f>
        <v>S48.10.01</v>
      </c>
      <c r="M97" s="7">
        <v>19.25</v>
      </c>
      <c r="N97" s="7">
        <v>158108</v>
      </c>
      <c r="O97" s="7">
        <v>37129</v>
      </c>
      <c r="P97" s="7">
        <v>0</v>
      </c>
      <c r="Q97" s="7" t="str">
        <f t="shared" si="32"/>
        <v>府民文化部</v>
      </c>
      <c r="R97" s="7" t="str">
        <f t="shared" si="38"/>
        <v>日本万国博覧会記念公園事務所</v>
      </c>
    </row>
    <row r="98" spans="1:18" s="1" customFormat="1" x14ac:dyDescent="0.45">
      <c r="A98" s="7" t="str">
        <f t="shared" si="33"/>
        <v>02517000000</v>
      </c>
      <c r="B98" s="7" t="str">
        <f t="shared" si="34"/>
        <v>日本万国博覧会記念公園</v>
      </c>
      <c r="C98" s="7" t="str">
        <f t="shared" si="39"/>
        <v>行政財産</v>
      </c>
      <c r="D98" s="7" t="str">
        <f t="shared" si="35"/>
        <v>公園</v>
      </c>
      <c r="E98" s="7" t="str">
        <f t="shared" si="36"/>
        <v>大阪府吹田市千里万博公園</v>
      </c>
      <c r="F98" s="7"/>
      <c r="G98" s="7" t="str">
        <f t="shared" si="29"/>
        <v>事業用資産</v>
      </c>
      <c r="H98" s="7" t="str">
        <f t="shared" si="30"/>
        <v>棚卸以外</v>
      </c>
      <c r="I98" s="7">
        <v>27</v>
      </c>
      <c r="J98" s="7" t="str">
        <f>"自然文化園（第1工区・中央通り売店）"</f>
        <v>自然文化園（第1工区・中央通り売店）</v>
      </c>
      <c r="K98" s="7" t="str">
        <f>"鉄骨造"</f>
        <v>鉄骨造</v>
      </c>
      <c r="L98" s="7" t="str">
        <f>"H12.03.01"</f>
        <v>H12.03.01</v>
      </c>
      <c r="M98" s="7">
        <v>30</v>
      </c>
      <c r="N98" s="7">
        <v>2782498</v>
      </c>
      <c r="O98" s="7">
        <v>800360</v>
      </c>
      <c r="P98" s="7">
        <v>0</v>
      </c>
      <c r="Q98" s="7" t="str">
        <f t="shared" si="32"/>
        <v>府民文化部</v>
      </c>
      <c r="R98" s="7" t="str">
        <f t="shared" si="38"/>
        <v>日本万国博覧会記念公園事務所</v>
      </c>
    </row>
    <row r="99" spans="1:18" s="1" customFormat="1" ht="26.4" x14ac:dyDescent="0.45">
      <c r="A99" s="7" t="str">
        <f t="shared" si="33"/>
        <v>02517000000</v>
      </c>
      <c r="B99" s="7" t="str">
        <f t="shared" si="34"/>
        <v>日本万国博覧会記念公園</v>
      </c>
      <c r="C99" s="7" t="str">
        <f t="shared" si="39"/>
        <v>行政財産</v>
      </c>
      <c r="D99" s="7" t="str">
        <f t="shared" si="35"/>
        <v>公園</v>
      </c>
      <c r="E99" s="7" t="str">
        <f t="shared" si="36"/>
        <v>大阪府吹田市千里万博公園</v>
      </c>
      <c r="F99" s="7"/>
      <c r="G99" s="7" t="str">
        <f t="shared" si="29"/>
        <v>事業用資産</v>
      </c>
      <c r="H99" s="7" t="str">
        <f t="shared" si="30"/>
        <v>棚卸以外</v>
      </c>
      <c r="I99" s="7">
        <v>28</v>
      </c>
      <c r="J99" s="7" t="str">
        <f>"自然文化園（第1工区便所・太陽の塔西側）"</f>
        <v>自然文化園（第1工区便所・太陽の塔西側）</v>
      </c>
      <c r="K99" s="7" t="str">
        <f t="shared" ref="K99:K106" si="41">"鉄筋コンクリート造"</f>
        <v>鉄筋コンクリート造</v>
      </c>
      <c r="L99" s="7" t="str">
        <f>"S48.10.01"</f>
        <v>S48.10.01</v>
      </c>
      <c r="M99" s="7">
        <v>19.25</v>
      </c>
      <c r="N99" s="7">
        <v>2828996</v>
      </c>
      <c r="O99" s="7">
        <v>663828</v>
      </c>
      <c r="P99" s="7">
        <v>0</v>
      </c>
      <c r="Q99" s="7" t="str">
        <f t="shared" si="32"/>
        <v>府民文化部</v>
      </c>
      <c r="R99" s="7" t="str">
        <f t="shared" si="38"/>
        <v>日本万国博覧会記念公園事務所</v>
      </c>
    </row>
    <row r="100" spans="1:18" s="1" customFormat="1" ht="26.4" x14ac:dyDescent="0.45">
      <c r="A100" s="7" t="str">
        <f t="shared" si="33"/>
        <v>02517000000</v>
      </c>
      <c r="B100" s="7" t="str">
        <f t="shared" si="34"/>
        <v>日本万国博覧会記念公園</v>
      </c>
      <c r="C100" s="7" t="str">
        <f t="shared" si="39"/>
        <v>行政財産</v>
      </c>
      <c r="D100" s="7" t="str">
        <f t="shared" si="35"/>
        <v>公園</v>
      </c>
      <c r="E100" s="7" t="str">
        <f t="shared" si="36"/>
        <v>大阪府吹田市千里万博公園</v>
      </c>
      <c r="F100" s="7"/>
      <c r="G100" s="7" t="str">
        <f t="shared" si="29"/>
        <v>事業用資産</v>
      </c>
      <c r="H100" s="7" t="str">
        <f t="shared" si="30"/>
        <v>棚卸以外</v>
      </c>
      <c r="I100" s="7">
        <v>29</v>
      </c>
      <c r="J100" s="7" t="str">
        <f>"自然文化園（第2工区便所・春の泉付近）"</f>
        <v>自然文化園（第2工区便所・春の泉付近）</v>
      </c>
      <c r="K100" s="7" t="str">
        <f t="shared" si="41"/>
        <v>鉄筋コンクリート造</v>
      </c>
      <c r="L100" s="7" t="str">
        <f>"S49.07.01"</f>
        <v>S49.07.01</v>
      </c>
      <c r="M100" s="7">
        <v>18.97</v>
      </c>
      <c r="N100" s="7">
        <v>4950783</v>
      </c>
      <c r="O100" s="7">
        <v>1161699</v>
      </c>
      <c r="P100" s="7">
        <v>0</v>
      </c>
      <c r="Q100" s="7" t="str">
        <f t="shared" si="32"/>
        <v>府民文化部</v>
      </c>
      <c r="R100" s="7" t="str">
        <f t="shared" si="38"/>
        <v>日本万国博覧会記念公園事務所</v>
      </c>
    </row>
    <row r="101" spans="1:18" s="1" customFormat="1" ht="26.4" x14ac:dyDescent="0.45">
      <c r="A101" s="7" t="str">
        <f t="shared" si="33"/>
        <v>02517000000</v>
      </c>
      <c r="B101" s="7" t="str">
        <f t="shared" si="34"/>
        <v>日本万国博覧会記念公園</v>
      </c>
      <c r="C101" s="7" t="str">
        <f t="shared" si="39"/>
        <v>行政財産</v>
      </c>
      <c r="D101" s="7" t="str">
        <f t="shared" si="35"/>
        <v>公園</v>
      </c>
      <c r="E101" s="7" t="str">
        <f t="shared" si="36"/>
        <v>大阪府吹田市千里万博公園</v>
      </c>
      <c r="F101" s="7"/>
      <c r="G101" s="7" t="str">
        <f t="shared" si="29"/>
        <v>事業用資産</v>
      </c>
      <c r="H101" s="7" t="str">
        <f t="shared" si="30"/>
        <v>棚卸以外</v>
      </c>
      <c r="I101" s="7">
        <v>30</v>
      </c>
      <c r="J101" s="7" t="str">
        <f>"自然文化園（第2工区便所・森の舞台付近）"</f>
        <v>自然文化園（第2工区便所・森の舞台付近）</v>
      </c>
      <c r="K101" s="7" t="str">
        <f t="shared" si="41"/>
        <v>鉄筋コンクリート造</v>
      </c>
      <c r="L101" s="7" t="str">
        <f>"S49.07.01"</f>
        <v>S49.07.01</v>
      </c>
      <c r="M101" s="7">
        <v>18.97</v>
      </c>
      <c r="N101" s="7">
        <v>12269786</v>
      </c>
      <c r="O101" s="7">
        <v>2083221</v>
      </c>
      <c r="P101" s="7">
        <v>0</v>
      </c>
      <c r="Q101" s="7" t="str">
        <f t="shared" si="32"/>
        <v>府民文化部</v>
      </c>
      <c r="R101" s="7" t="str">
        <f t="shared" si="38"/>
        <v>日本万国博覧会記念公園事務所</v>
      </c>
    </row>
    <row r="102" spans="1:18" s="1" customFormat="1" ht="26.4" x14ac:dyDescent="0.45">
      <c r="A102" s="7" t="str">
        <f t="shared" si="33"/>
        <v>02517000000</v>
      </c>
      <c r="B102" s="7" t="str">
        <f t="shared" si="34"/>
        <v>日本万国博覧会記念公園</v>
      </c>
      <c r="C102" s="7" t="str">
        <f t="shared" si="39"/>
        <v>行政財産</v>
      </c>
      <c r="D102" s="7" t="str">
        <f t="shared" si="35"/>
        <v>公園</v>
      </c>
      <c r="E102" s="7" t="str">
        <f t="shared" si="36"/>
        <v>大阪府吹田市千里万博公園</v>
      </c>
      <c r="F102" s="7"/>
      <c r="G102" s="7" t="str">
        <f t="shared" si="29"/>
        <v>事業用資産</v>
      </c>
      <c r="H102" s="7" t="str">
        <f t="shared" si="30"/>
        <v>棚卸以外</v>
      </c>
      <c r="I102" s="7">
        <v>31</v>
      </c>
      <c r="J102" s="7" t="str">
        <f>"自然文化園（第2工区便所・桜の流れ下流付近民博西）"</f>
        <v>自然文化園（第2工区便所・桜の流れ下流付近民博西）</v>
      </c>
      <c r="K102" s="7" t="str">
        <f t="shared" si="41"/>
        <v>鉄筋コンクリート造</v>
      </c>
      <c r="L102" s="7" t="str">
        <f>"S49.07.01"</f>
        <v>S49.07.01</v>
      </c>
      <c r="M102" s="7">
        <v>18.97</v>
      </c>
      <c r="N102" s="7">
        <v>261800</v>
      </c>
      <c r="O102" s="7">
        <v>61525</v>
      </c>
      <c r="P102" s="7">
        <v>0</v>
      </c>
      <c r="Q102" s="7" t="str">
        <f t="shared" ref="Q102:Q133" si="42">"府民文化部"</f>
        <v>府民文化部</v>
      </c>
      <c r="R102" s="7" t="str">
        <f t="shared" si="38"/>
        <v>日本万国博覧会記念公園事務所</v>
      </c>
    </row>
    <row r="103" spans="1:18" s="1" customFormat="1" ht="26.4" x14ac:dyDescent="0.45">
      <c r="A103" s="7" t="str">
        <f t="shared" si="33"/>
        <v>02517000000</v>
      </c>
      <c r="B103" s="7" t="str">
        <f t="shared" si="34"/>
        <v>日本万国博覧会記念公園</v>
      </c>
      <c r="C103" s="7" t="str">
        <f t="shared" si="39"/>
        <v>行政財産</v>
      </c>
      <c r="D103" s="7" t="str">
        <f t="shared" si="35"/>
        <v>公園</v>
      </c>
      <c r="E103" s="7" t="str">
        <f t="shared" si="36"/>
        <v>大阪府吹田市千里万博公園</v>
      </c>
      <c r="F103" s="7"/>
      <c r="G103" s="7" t="str">
        <f t="shared" si="29"/>
        <v>事業用資産</v>
      </c>
      <c r="H103" s="7" t="str">
        <f t="shared" si="30"/>
        <v>棚卸以外</v>
      </c>
      <c r="I103" s="7">
        <v>32</v>
      </c>
      <c r="J103" s="7" t="str">
        <f>"自然文化園（第2工区売店付便所・せせらぎ広場）"</f>
        <v>自然文化園（第2工区売店付便所・せせらぎ広場）</v>
      </c>
      <c r="K103" s="7" t="str">
        <f t="shared" si="41"/>
        <v>鉄筋コンクリート造</v>
      </c>
      <c r="L103" s="7" t="str">
        <f>"S49.07.01"</f>
        <v>S49.07.01</v>
      </c>
      <c r="M103" s="7">
        <v>41.06</v>
      </c>
      <c r="N103" s="7">
        <v>6375766</v>
      </c>
      <c r="O103" s="7">
        <v>1496074</v>
      </c>
      <c r="P103" s="7">
        <v>0</v>
      </c>
      <c r="Q103" s="7" t="str">
        <f t="shared" si="42"/>
        <v>府民文化部</v>
      </c>
      <c r="R103" s="7" t="str">
        <f t="shared" si="38"/>
        <v>日本万国博覧会記念公園事務所</v>
      </c>
    </row>
    <row r="104" spans="1:18" s="1" customFormat="1" ht="26.4" x14ac:dyDescent="0.45">
      <c r="A104" s="7" t="str">
        <f t="shared" si="33"/>
        <v>02517000000</v>
      </c>
      <c r="B104" s="7" t="str">
        <f t="shared" si="34"/>
        <v>日本万国博覧会記念公園</v>
      </c>
      <c r="C104" s="7" t="str">
        <f t="shared" si="39"/>
        <v>行政財産</v>
      </c>
      <c r="D104" s="7" t="str">
        <f t="shared" si="35"/>
        <v>公園</v>
      </c>
      <c r="E104" s="7" t="str">
        <f t="shared" si="36"/>
        <v>大阪府吹田市千里万博公園</v>
      </c>
      <c r="F104" s="7"/>
      <c r="G104" s="7" t="str">
        <f t="shared" si="29"/>
        <v>事業用資産</v>
      </c>
      <c r="H104" s="7" t="str">
        <f t="shared" si="30"/>
        <v>棚卸以外</v>
      </c>
      <c r="I104" s="7">
        <v>33</v>
      </c>
      <c r="J104" s="7" t="str">
        <f>"自然文化園（第2工区便所・つばきの森付近）"</f>
        <v>自然文化園（第2工区便所・つばきの森付近）</v>
      </c>
      <c r="K104" s="7" t="str">
        <f t="shared" si="41"/>
        <v>鉄筋コンクリート造</v>
      </c>
      <c r="L104" s="7" t="str">
        <f>"S49.07.01"</f>
        <v>S49.07.01</v>
      </c>
      <c r="M104" s="7">
        <v>18.97</v>
      </c>
      <c r="N104" s="7">
        <v>261800</v>
      </c>
      <c r="O104" s="7">
        <v>61525</v>
      </c>
      <c r="P104" s="7">
        <v>0</v>
      </c>
      <c r="Q104" s="7" t="str">
        <f t="shared" si="42"/>
        <v>府民文化部</v>
      </c>
      <c r="R104" s="7" t="str">
        <f t="shared" si="38"/>
        <v>日本万国博覧会記念公園事務所</v>
      </c>
    </row>
    <row r="105" spans="1:18" s="1" customFormat="1" ht="26.4" x14ac:dyDescent="0.45">
      <c r="A105" s="7" t="str">
        <f t="shared" si="33"/>
        <v>02517000000</v>
      </c>
      <c r="B105" s="7" t="str">
        <f t="shared" si="34"/>
        <v>日本万国博覧会記念公園</v>
      </c>
      <c r="C105" s="7" t="str">
        <f t="shared" si="39"/>
        <v>行政財産</v>
      </c>
      <c r="D105" s="7" t="str">
        <f t="shared" si="35"/>
        <v>公園</v>
      </c>
      <c r="E105" s="7" t="str">
        <f t="shared" si="36"/>
        <v>大阪府吹田市千里万博公園</v>
      </c>
      <c r="F105" s="7"/>
      <c r="G105" s="7" t="str">
        <f t="shared" si="29"/>
        <v>事業用資産</v>
      </c>
      <c r="H105" s="7" t="str">
        <f t="shared" si="30"/>
        <v>棚卸以外</v>
      </c>
      <c r="I105" s="7">
        <v>34</v>
      </c>
      <c r="J105" s="7" t="str">
        <f>"自然文化園（第3工区・自然観察学習館）"</f>
        <v>自然文化園（第3工区・自然観察学習館）</v>
      </c>
      <c r="K105" s="7" t="str">
        <f t="shared" si="41"/>
        <v>鉄筋コンクリート造</v>
      </c>
      <c r="L105" s="7" t="str">
        <f>"S51.10.01"</f>
        <v>S51.10.01</v>
      </c>
      <c r="M105" s="7">
        <v>322</v>
      </c>
      <c r="N105" s="7">
        <v>71387407</v>
      </c>
      <c r="O105" s="7">
        <v>6182162</v>
      </c>
      <c r="P105" s="7">
        <v>0</v>
      </c>
      <c r="Q105" s="7" t="str">
        <f t="shared" si="42"/>
        <v>府民文化部</v>
      </c>
      <c r="R105" s="7" t="str">
        <f t="shared" si="38"/>
        <v>日本万国博覧会記念公園事務所</v>
      </c>
    </row>
    <row r="106" spans="1:18" s="1" customFormat="1" ht="26.4" x14ac:dyDescent="0.45">
      <c r="A106" s="7" t="str">
        <f t="shared" si="33"/>
        <v>02517000000</v>
      </c>
      <c r="B106" s="7" t="str">
        <f t="shared" si="34"/>
        <v>日本万国博覧会記念公園</v>
      </c>
      <c r="C106" s="7" t="str">
        <f t="shared" si="39"/>
        <v>行政財産</v>
      </c>
      <c r="D106" s="7" t="str">
        <f t="shared" si="35"/>
        <v>公園</v>
      </c>
      <c r="E106" s="7" t="str">
        <f t="shared" si="36"/>
        <v>大阪府吹田市千里万博公園</v>
      </c>
      <c r="F106" s="7"/>
      <c r="G106" s="7" t="str">
        <f t="shared" si="29"/>
        <v>事業用資産</v>
      </c>
      <c r="H106" s="7" t="str">
        <f t="shared" si="30"/>
        <v>棚卸以外</v>
      </c>
      <c r="I106" s="7">
        <v>35</v>
      </c>
      <c r="J106" s="7" t="str">
        <f>"自然文化園（第3工区西地区休憩所・自然観察学習館新館）"</f>
        <v>自然文化園（第3工区西地区休憩所・自然観察学習館新館）</v>
      </c>
      <c r="K106" s="7" t="str">
        <f t="shared" si="41"/>
        <v>鉄筋コンクリート造</v>
      </c>
      <c r="L106" s="7" t="str">
        <f>"H09.03.01"</f>
        <v>H09.03.01</v>
      </c>
      <c r="M106" s="7">
        <v>300.51</v>
      </c>
      <c r="N106" s="7">
        <v>66777782</v>
      </c>
      <c r="O106" s="7">
        <v>7372106</v>
      </c>
      <c r="P106" s="7">
        <v>0</v>
      </c>
      <c r="Q106" s="7" t="str">
        <f t="shared" si="42"/>
        <v>府民文化部</v>
      </c>
      <c r="R106" s="7" t="str">
        <f t="shared" si="38"/>
        <v>日本万国博覧会記念公園事務所</v>
      </c>
    </row>
    <row r="107" spans="1:18" s="1" customFormat="1" x14ac:dyDescent="0.45">
      <c r="A107" s="7" t="str">
        <f t="shared" si="33"/>
        <v>02517000000</v>
      </c>
      <c r="B107" s="7" t="str">
        <f t="shared" si="34"/>
        <v>日本万国博覧会記念公園</v>
      </c>
      <c r="C107" s="7" t="str">
        <f t="shared" si="39"/>
        <v>行政財産</v>
      </c>
      <c r="D107" s="7" t="str">
        <f t="shared" si="35"/>
        <v>公園</v>
      </c>
      <c r="E107" s="7" t="str">
        <f t="shared" si="36"/>
        <v>大阪府吹田市千里万博公園</v>
      </c>
      <c r="F107" s="7"/>
      <c r="G107" s="7" t="str">
        <f t="shared" si="29"/>
        <v>事業用資産</v>
      </c>
      <c r="H107" s="7" t="str">
        <f t="shared" si="30"/>
        <v>棚卸以外</v>
      </c>
      <c r="I107" s="7">
        <v>36</v>
      </c>
      <c r="J107" s="7" t="str">
        <f>"自然文化園（第3工区・学習館倉庫）"</f>
        <v>自然文化園（第3工区・学習館倉庫）</v>
      </c>
      <c r="K107" s="7" t="str">
        <f>"木造"</f>
        <v>木造</v>
      </c>
      <c r="L107" s="7" t="str">
        <f>"H14.03.01"</f>
        <v>H14.03.01</v>
      </c>
      <c r="M107" s="7">
        <v>7.7</v>
      </c>
      <c r="N107" s="7">
        <v>445824</v>
      </c>
      <c r="O107" s="7">
        <v>265039</v>
      </c>
      <c r="P107" s="7">
        <v>0</v>
      </c>
      <c r="Q107" s="7" t="str">
        <f t="shared" si="42"/>
        <v>府民文化部</v>
      </c>
      <c r="R107" s="7" t="str">
        <f t="shared" si="38"/>
        <v>日本万国博覧会記念公園事務所</v>
      </c>
    </row>
    <row r="108" spans="1:18" s="1" customFormat="1" ht="26.4" x14ac:dyDescent="0.45">
      <c r="A108" s="7" t="str">
        <f t="shared" ref="A108:A139" si="43">"02517000000"</f>
        <v>02517000000</v>
      </c>
      <c r="B108" s="7" t="str">
        <f t="shared" ref="B108:B139" si="44">"日本万国博覧会記念公園"</f>
        <v>日本万国博覧会記念公園</v>
      </c>
      <c r="C108" s="7" t="str">
        <f t="shared" si="39"/>
        <v>行政財産</v>
      </c>
      <c r="D108" s="7" t="str">
        <f t="shared" ref="D108:D139" si="45">"公園"</f>
        <v>公園</v>
      </c>
      <c r="E108" s="7" t="str">
        <f t="shared" ref="E108:E139" si="46">"大阪府吹田市千里万博公園"</f>
        <v>大阪府吹田市千里万博公園</v>
      </c>
      <c r="F108" s="7"/>
      <c r="G108" s="7" t="str">
        <f t="shared" si="29"/>
        <v>事業用資産</v>
      </c>
      <c r="H108" s="7" t="str">
        <f t="shared" si="30"/>
        <v>棚卸以外</v>
      </c>
      <c r="I108" s="7">
        <v>38</v>
      </c>
      <c r="J108" s="7" t="str">
        <f>"自然文化園（第3工区・清掃作業員詰所（事務所））"</f>
        <v>自然文化園（第3工区・清掃作業員詰所（事務所））</v>
      </c>
      <c r="K108" s="7" t="str">
        <f>"鉄骨造"</f>
        <v>鉄骨造</v>
      </c>
      <c r="L108" s="7" t="str">
        <f>"H07.03.01"</f>
        <v>H07.03.01</v>
      </c>
      <c r="M108" s="7">
        <v>64.989999999999995</v>
      </c>
      <c r="N108" s="7">
        <v>5022730</v>
      </c>
      <c r="O108" s="7">
        <v>1178605</v>
      </c>
      <c r="P108" s="7">
        <v>0</v>
      </c>
      <c r="Q108" s="7" t="str">
        <f t="shared" si="42"/>
        <v>府民文化部</v>
      </c>
      <c r="R108" s="7" t="str">
        <f t="shared" ref="R108:R139" si="47">"日本万国博覧会記念公園事務所"</f>
        <v>日本万国博覧会記念公園事務所</v>
      </c>
    </row>
    <row r="109" spans="1:18" s="1" customFormat="1" x14ac:dyDescent="0.45">
      <c r="A109" s="7" t="str">
        <f t="shared" si="43"/>
        <v>02517000000</v>
      </c>
      <c r="B109" s="7" t="str">
        <f t="shared" si="44"/>
        <v>日本万国博覧会記念公園</v>
      </c>
      <c r="C109" s="7" t="str">
        <f t="shared" si="39"/>
        <v>行政財産</v>
      </c>
      <c r="D109" s="7" t="str">
        <f t="shared" si="45"/>
        <v>公園</v>
      </c>
      <c r="E109" s="7" t="str">
        <f t="shared" si="46"/>
        <v>大阪府吹田市千里万博公園</v>
      </c>
      <c r="F109" s="7"/>
      <c r="G109" s="7" t="str">
        <f t="shared" si="29"/>
        <v>事業用資産</v>
      </c>
      <c r="H109" s="7" t="str">
        <f t="shared" si="30"/>
        <v>棚卸以外</v>
      </c>
      <c r="I109" s="7">
        <v>39</v>
      </c>
      <c r="J109" s="7" t="str">
        <f>"自然文化園（第3工区・ＮＰＯ事務所）"</f>
        <v>自然文化園（第3工区・ＮＰＯ事務所）</v>
      </c>
      <c r="K109" s="7" t="str">
        <f>"土蔵造(簡易建物)"</f>
        <v>土蔵造(簡易建物)</v>
      </c>
      <c r="L109" s="7" t="str">
        <f>"H21.03.01"</f>
        <v>H21.03.01</v>
      </c>
      <c r="M109" s="7">
        <v>52.38</v>
      </c>
      <c r="N109" s="7">
        <v>2692898</v>
      </c>
      <c r="O109" s="7">
        <v>800467</v>
      </c>
      <c r="P109" s="7">
        <v>0</v>
      </c>
      <c r="Q109" s="7" t="str">
        <f t="shared" si="42"/>
        <v>府民文化部</v>
      </c>
      <c r="R109" s="7" t="str">
        <f t="shared" si="47"/>
        <v>日本万国博覧会記念公園事務所</v>
      </c>
    </row>
    <row r="110" spans="1:18" s="1" customFormat="1" ht="26.4" x14ac:dyDescent="0.45">
      <c r="A110" s="7" t="str">
        <f t="shared" si="43"/>
        <v>02517000000</v>
      </c>
      <c r="B110" s="7" t="str">
        <f t="shared" si="44"/>
        <v>日本万国博覧会記念公園</v>
      </c>
      <c r="C110" s="7" t="str">
        <f t="shared" si="39"/>
        <v>行政財産</v>
      </c>
      <c r="D110" s="7" t="str">
        <f t="shared" si="45"/>
        <v>公園</v>
      </c>
      <c r="E110" s="7" t="str">
        <f t="shared" si="46"/>
        <v>大阪府吹田市千里万博公園</v>
      </c>
      <c r="F110" s="7"/>
      <c r="G110" s="7" t="str">
        <f t="shared" si="29"/>
        <v>事業用資産</v>
      </c>
      <c r="H110" s="7" t="str">
        <f t="shared" si="30"/>
        <v>棚卸以外</v>
      </c>
      <c r="I110" s="7">
        <v>40</v>
      </c>
      <c r="J110" s="7" t="str">
        <f>"自然文化園（第3工区・砂の広場休憩所便所込）"</f>
        <v>自然文化園（第3工区・砂の広場休憩所便所込）</v>
      </c>
      <c r="K110" s="7" t="str">
        <f>"鉄筋コンクリート造"</f>
        <v>鉄筋コンクリート造</v>
      </c>
      <c r="L110" s="7" t="str">
        <f>"H06.03.01"</f>
        <v>H06.03.01</v>
      </c>
      <c r="M110" s="7">
        <v>283.07</v>
      </c>
      <c r="N110" s="7">
        <v>44716814</v>
      </c>
      <c r="O110" s="7">
        <v>8483602</v>
      </c>
      <c r="P110" s="7">
        <v>0</v>
      </c>
      <c r="Q110" s="7" t="str">
        <f t="shared" si="42"/>
        <v>府民文化部</v>
      </c>
      <c r="R110" s="7" t="str">
        <f t="shared" si="47"/>
        <v>日本万国博覧会記念公園事務所</v>
      </c>
    </row>
    <row r="111" spans="1:18" s="1" customFormat="1" ht="26.4" x14ac:dyDescent="0.45">
      <c r="A111" s="7" t="str">
        <f t="shared" si="43"/>
        <v>02517000000</v>
      </c>
      <c r="B111" s="7" t="str">
        <f t="shared" si="44"/>
        <v>日本万国博覧会記念公園</v>
      </c>
      <c r="C111" s="7" t="str">
        <f t="shared" si="39"/>
        <v>行政財産</v>
      </c>
      <c r="D111" s="7" t="str">
        <f t="shared" si="45"/>
        <v>公園</v>
      </c>
      <c r="E111" s="7" t="str">
        <f t="shared" si="46"/>
        <v>大阪府吹田市千里万博公園</v>
      </c>
      <c r="F111" s="7"/>
      <c r="G111" s="7" t="str">
        <f t="shared" si="29"/>
        <v>事業用資産</v>
      </c>
      <c r="H111" s="7" t="str">
        <f t="shared" si="30"/>
        <v>棚卸以外</v>
      </c>
      <c r="I111" s="7">
        <v>41</v>
      </c>
      <c r="J111" s="7" t="str">
        <f>"自然文化園（第3工区売店付便所・けやきの丘）"</f>
        <v>自然文化園（第3工区売店付便所・けやきの丘）</v>
      </c>
      <c r="K111" s="7" t="str">
        <f>"鉄筋コンクリート造"</f>
        <v>鉄筋コンクリート造</v>
      </c>
      <c r="L111" s="7" t="str">
        <f>"S51.10.01"</f>
        <v>S51.10.01</v>
      </c>
      <c r="M111" s="7">
        <v>66</v>
      </c>
      <c r="N111" s="7">
        <v>9329412</v>
      </c>
      <c r="O111" s="7">
        <v>2189220</v>
      </c>
      <c r="P111" s="7">
        <v>0</v>
      </c>
      <c r="Q111" s="7" t="str">
        <f t="shared" si="42"/>
        <v>府民文化部</v>
      </c>
      <c r="R111" s="7" t="str">
        <f t="shared" si="47"/>
        <v>日本万国博覧会記念公園事務所</v>
      </c>
    </row>
    <row r="112" spans="1:18" s="1" customFormat="1" x14ac:dyDescent="0.45">
      <c r="A112" s="7" t="str">
        <f t="shared" si="43"/>
        <v>02517000000</v>
      </c>
      <c r="B112" s="7" t="str">
        <f t="shared" si="44"/>
        <v>日本万国博覧会記念公園</v>
      </c>
      <c r="C112" s="7" t="str">
        <f t="shared" si="39"/>
        <v>行政財産</v>
      </c>
      <c r="D112" s="7" t="str">
        <f t="shared" si="45"/>
        <v>公園</v>
      </c>
      <c r="E112" s="7" t="str">
        <f t="shared" si="46"/>
        <v>大阪府吹田市千里万博公園</v>
      </c>
      <c r="F112" s="7"/>
      <c r="G112" s="7" t="str">
        <f t="shared" si="29"/>
        <v>事業用資産</v>
      </c>
      <c r="H112" s="7" t="str">
        <f t="shared" si="30"/>
        <v>棚卸以外</v>
      </c>
      <c r="I112" s="7">
        <v>42</v>
      </c>
      <c r="J112" s="7" t="str">
        <f>"自然文化園（第3工区便所・上津道）"</f>
        <v>自然文化園（第3工区便所・上津道）</v>
      </c>
      <c r="K112" s="7" t="str">
        <f>"鉄筋コンクリート造"</f>
        <v>鉄筋コンクリート造</v>
      </c>
      <c r="L112" s="7" t="str">
        <f>"S51.10.01"</f>
        <v>S51.10.01</v>
      </c>
      <c r="M112" s="7">
        <v>20.02</v>
      </c>
      <c r="N112" s="7">
        <v>12801849</v>
      </c>
      <c r="O112" s="7">
        <v>2173787</v>
      </c>
      <c r="P112" s="7">
        <v>0</v>
      </c>
      <c r="Q112" s="7" t="str">
        <f t="shared" si="42"/>
        <v>府民文化部</v>
      </c>
      <c r="R112" s="7" t="str">
        <f t="shared" si="47"/>
        <v>日本万国博覧会記念公園事務所</v>
      </c>
    </row>
    <row r="113" spans="1:18" s="1" customFormat="1" x14ac:dyDescent="0.45">
      <c r="A113" s="7" t="str">
        <f t="shared" si="43"/>
        <v>02517000000</v>
      </c>
      <c r="B113" s="7" t="str">
        <f t="shared" si="44"/>
        <v>日本万国博覧会記念公園</v>
      </c>
      <c r="C113" s="7" t="str">
        <f t="shared" si="39"/>
        <v>行政財産</v>
      </c>
      <c r="D113" s="7" t="str">
        <f t="shared" si="45"/>
        <v>公園</v>
      </c>
      <c r="E113" s="7" t="str">
        <f t="shared" si="46"/>
        <v>大阪府吹田市千里万博公園</v>
      </c>
      <c r="F113" s="7"/>
      <c r="G113" s="7" t="str">
        <f t="shared" si="29"/>
        <v>事業用資産</v>
      </c>
      <c r="H113" s="7" t="str">
        <f t="shared" si="30"/>
        <v>棚卸以外</v>
      </c>
      <c r="I113" s="7">
        <v>43</v>
      </c>
      <c r="J113" s="7" t="str">
        <f>"自然文化園（第3工区便所・遠見の丘）"</f>
        <v>自然文化園（第3工区便所・遠見の丘）</v>
      </c>
      <c r="K113" s="7" t="str">
        <f>"鉄筋コンクリート造"</f>
        <v>鉄筋コンクリート造</v>
      </c>
      <c r="L113" s="7" t="str">
        <f>"S51.10.01"</f>
        <v>S51.10.01</v>
      </c>
      <c r="M113" s="7">
        <v>53.54</v>
      </c>
      <c r="N113" s="7">
        <v>5543350</v>
      </c>
      <c r="O113" s="7">
        <v>1300799</v>
      </c>
      <c r="P113" s="7">
        <v>0</v>
      </c>
      <c r="Q113" s="7" t="str">
        <f t="shared" si="42"/>
        <v>府民文化部</v>
      </c>
      <c r="R113" s="7" t="str">
        <f t="shared" si="47"/>
        <v>日本万国博覧会記念公園事務所</v>
      </c>
    </row>
    <row r="114" spans="1:18" s="1" customFormat="1" x14ac:dyDescent="0.45">
      <c r="A114" s="7" t="str">
        <f t="shared" si="43"/>
        <v>02517000000</v>
      </c>
      <c r="B114" s="7" t="str">
        <f t="shared" si="44"/>
        <v>日本万国博覧会記念公園</v>
      </c>
      <c r="C114" s="7" t="str">
        <f t="shared" si="39"/>
        <v>行政財産</v>
      </c>
      <c r="D114" s="7" t="str">
        <f t="shared" si="45"/>
        <v>公園</v>
      </c>
      <c r="E114" s="7" t="str">
        <f t="shared" si="46"/>
        <v>大阪府吹田市千里万博公園</v>
      </c>
      <c r="F114" s="7"/>
      <c r="G114" s="7" t="str">
        <f t="shared" si="29"/>
        <v>事業用資産</v>
      </c>
      <c r="H114" s="7" t="str">
        <f t="shared" si="30"/>
        <v>棚卸以外</v>
      </c>
      <c r="I114" s="7">
        <v>44</v>
      </c>
      <c r="J114" s="7" t="str">
        <f>"自然文化園（第3工区・残材ヤード）"</f>
        <v>自然文化園（第3工区・残材ヤード）</v>
      </c>
      <c r="K114" s="7" t="str">
        <f>"鉄骨造"</f>
        <v>鉄骨造</v>
      </c>
      <c r="L114" s="7" t="str">
        <f>"H24.03.01"</f>
        <v>H24.03.01</v>
      </c>
      <c r="M114" s="7">
        <v>324</v>
      </c>
      <c r="N114" s="7">
        <v>12297007</v>
      </c>
      <c r="O114" s="7">
        <v>3537099</v>
      </c>
      <c r="P114" s="7">
        <v>0</v>
      </c>
      <c r="Q114" s="7" t="str">
        <f t="shared" si="42"/>
        <v>府民文化部</v>
      </c>
      <c r="R114" s="7" t="str">
        <f t="shared" si="47"/>
        <v>日本万国博覧会記念公園事務所</v>
      </c>
    </row>
    <row r="115" spans="1:18" s="1" customFormat="1" ht="26.4" x14ac:dyDescent="0.45">
      <c r="A115" s="7" t="str">
        <f t="shared" si="43"/>
        <v>02517000000</v>
      </c>
      <c r="B115" s="7" t="str">
        <f t="shared" si="44"/>
        <v>日本万国博覧会記念公園</v>
      </c>
      <c r="C115" s="7" t="str">
        <f t="shared" ref="C115:C146" si="48">"行政財産"</f>
        <v>行政財産</v>
      </c>
      <c r="D115" s="7" t="str">
        <f t="shared" si="45"/>
        <v>公園</v>
      </c>
      <c r="E115" s="7" t="str">
        <f t="shared" si="46"/>
        <v>大阪府吹田市千里万博公園</v>
      </c>
      <c r="F115" s="7"/>
      <c r="G115" s="7" t="str">
        <f t="shared" si="29"/>
        <v>事業用資産</v>
      </c>
      <c r="H115" s="7" t="str">
        <f t="shared" si="30"/>
        <v>棚卸以外</v>
      </c>
      <c r="I115" s="7">
        <v>45</v>
      </c>
      <c r="J115" s="7" t="str">
        <f>"自然文化園（第4工区・中央休憩所（カレーとコーヒーの店））"</f>
        <v>自然文化園（第4工区・中央休憩所（カレーとコーヒーの店））</v>
      </c>
      <c r="K115" s="7" t="str">
        <f t="shared" ref="K115:K120" si="49">"鉄筋コンクリート造"</f>
        <v>鉄筋コンクリート造</v>
      </c>
      <c r="L115" s="7" t="str">
        <f>"S52.10.01"</f>
        <v>S52.10.01</v>
      </c>
      <c r="M115" s="7">
        <v>1197.3399999999999</v>
      </c>
      <c r="N115" s="7">
        <v>41136120</v>
      </c>
      <c r="O115" s="7">
        <v>6914255</v>
      </c>
      <c r="P115" s="7">
        <v>0</v>
      </c>
      <c r="Q115" s="7" t="str">
        <f t="shared" si="42"/>
        <v>府民文化部</v>
      </c>
      <c r="R115" s="7" t="str">
        <f t="shared" si="47"/>
        <v>日本万国博覧会記念公園事務所</v>
      </c>
    </row>
    <row r="116" spans="1:18" s="1" customFormat="1" ht="26.4" x14ac:dyDescent="0.45">
      <c r="A116" s="7" t="str">
        <f t="shared" si="43"/>
        <v>02517000000</v>
      </c>
      <c r="B116" s="7" t="str">
        <f t="shared" si="44"/>
        <v>日本万国博覧会記念公園</v>
      </c>
      <c r="C116" s="7" t="str">
        <f t="shared" si="48"/>
        <v>行政財産</v>
      </c>
      <c r="D116" s="7" t="str">
        <f t="shared" si="45"/>
        <v>公園</v>
      </c>
      <c r="E116" s="7" t="str">
        <f t="shared" si="46"/>
        <v>大阪府吹田市千里万博公園</v>
      </c>
      <c r="F116" s="7"/>
      <c r="G116" s="7" t="str">
        <f t="shared" si="29"/>
        <v>事業用資産</v>
      </c>
      <c r="H116" s="7" t="str">
        <f t="shared" si="30"/>
        <v>棚卸以外</v>
      </c>
      <c r="I116" s="7">
        <v>46</v>
      </c>
      <c r="J116" s="7" t="str">
        <f>"自然文化園（第4工区・下の広場休憩所）"</f>
        <v>自然文化園（第4工区・下の広場休憩所）</v>
      </c>
      <c r="K116" s="7" t="str">
        <f t="shared" si="49"/>
        <v>鉄筋コンクリート造</v>
      </c>
      <c r="L116" s="7" t="str">
        <f>"S52.10.01"</f>
        <v>S52.10.01</v>
      </c>
      <c r="M116" s="7">
        <v>200</v>
      </c>
      <c r="N116" s="7">
        <v>33424802</v>
      </c>
      <c r="O116" s="7">
        <v>1883521</v>
      </c>
      <c r="P116" s="7">
        <v>0</v>
      </c>
      <c r="Q116" s="7" t="str">
        <f t="shared" si="42"/>
        <v>府民文化部</v>
      </c>
      <c r="R116" s="7" t="str">
        <f t="shared" si="47"/>
        <v>日本万国博覧会記念公園事務所</v>
      </c>
    </row>
    <row r="117" spans="1:18" s="1" customFormat="1" ht="26.4" x14ac:dyDescent="0.45">
      <c r="A117" s="7" t="str">
        <f t="shared" si="43"/>
        <v>02517000000</v>
      </c>
      <c r="B117" s="7" t="str">
        <f t="shared" si="44"/>
        <v>日本万国博覧会記念公園</v>
      </c>
      <c r="C117" s="7" t="str">
        <f t="shared" si="48"/>
        <v>行政財産</v>
      </c>
      <c r="D117" s="7" t="str">
        <f t="shared" si="45"/>
        <v>公園</v>
      </c>
      <c r="E117" s="7" t="str">
        <f t="shared" si="46"/>
        <v>大阪府吹田市千里万博公園</v>
      </c>
      <c r="F117" s="7"/>
      <c r="G117" s="7" t="str">
        <f t="shared" si="29"/>
        <v>事業用資産</v>
      </c>
      <c r="H117" s="7" t="str">
        <f t="shared" si="30"/>
        <v>棚卸以外</v>
      </c>
      <c r="I117" s="7">
        <v>47</v>
      </c>
      <c r="J117" s="7" t="str">
        <f>"自然文化園（第4工区・Expo70パビリオン鉄鋼館）"</f>
        <v>自然文化園（第4工区・Expo70パビリオン鉄鋼館）</v>
      </c>
      <c r="K117" s="7" t="str">
        <f t="shared" si="49"/>
        <v>鉄筋コンクリート造</v>
      </c>
      <c r="L117" s="7" t="str">
        <f>"S44.09.01"</f>
        <v>S44.09.01</v>
      </c>
      <c r="M117" s="7">
        <v>8210.74</v>
      </c>
      <c r="N117" s="7">
        <v>393989445</v>
      </c>
      <c r="O117" s="7">
        <v>60733004</v>
      </c>
      <c r="P117" s="7">
        <v>0</v>
      </c>
      <c r="Q117" s="7" t="str">
        <f t="shared" si="42"/>
        <v>府民文化部</v>
      </c>
      <c r="R117" s="7" t="str">
        <f t="shared" si="47"/>
        <v>日本万国博覧会記念公園事務所</v>
      </c>
    </row>
    <row r="118" spans="1:18" s="1" customFormat="1" x14ac:dyDescent="0.45">
      <c r="A118" s="7" t="str">
        <f t="shared" si="43"/>
        <v>02517000000</v>
      </c>
      <c r="B118" s="7" t="str">
        <f t="shared" si="44"/>
        <v>日本万国博覧会記念公園</v>
      </c>
      <c r="C118" s="7" t="str">
        <f t="shared" si="48"/>
        <v>行政財産</v>
      </c>
      <c r="D118" s="7" t="str">
        <f t="shared" si="45"/>
        <v>公園</v>
      </c>
      <c r="E118" s="7" t="str">
        <f t="shared" si="46"/>
        <v>大阪府吹田市千里万博公園</v>
      </c>
      <c r="F118" s="7"/>
      <c r="G118" s="7" t="str">
        <f t="shared" si="29"/>
        <v>事業用資産</v>
      </c>
      <c r="H118" s="7" t="str">
        <f t="shared" si="30"/>
        <v>棚卸以外</v>
      </c>
      <c r="I118" s="7">
        <v>49</v>
      </c>
      <c r="J118" s="7" t="str">
        <f>"自然文化園（第4工区・東口ゲート)"</f>
        <v>自然文化園（第4工区・東口ゲート)</v>
      </c>
      <c r="K118" s="7" t="str">
        <f t="shared" si="49"/>
        <v>鉄筋コンクリート造</v>
      </c>
      <c r="L118" s="7" t="str">
        <f>"H10.12.01"</f>
        <v>H10.12.01</v>
      </c>
      <c r="M118" s="7">
        <v>36.799999999999997</v>
      </c>
      <c r="N118" s="7">
        <v>28161759</v>
      </c>
      <c r="O118" s="7">
        <v>5444168</v>
      </c>
      <c r="P118" s="7">
        <v>0</v>
      </c>
      <c r="Q118" s="7" t="str">
        <f t="shared" si="42"/>
        <v>府民文化部</v>
      </c>
      <c r="R118" s="7" t="str">
        <f t="shared" si="47"/>
        <v>日本万国博覧会記念公園事務所</v>
      </c>
    </row>
    <row r="119" spans="1:18" s="1" customFormat="1" ht="26.4" x14ac:dyDescent="0.45">
      <c r="A119" s="7" t="str">
        <f t="shared" si="43"/>
        <v>02517000000</v>
      </c>
      <c r="B119" s="7" t="str">
        <f t="shared" si="44"/>
        <v>日本万国博覧会記念公園</v>
      </c>
      <c r="C119" s="7" t="str">
        <f t="shared" si="48"/>
        <v>行政財産</v>
      </c>
      <c r="D119" s="7" t="str">
        <f t="shared" si="45"/>
        <v>公園</v>
      </c>
      <c r="E119" s="7" t="str">
        <f t="shared" si="46"/>
        <v>大阪府吹田市千里万博公園</v>
      </c>
      <c r="F119" s="7"/>
      <c r="G119" s="7" t="str">
        <f t="shared" si="29"/>
        <v>事業用資産</v>
      </c>
      <c r="H119" s="7" t="str">
        <f t="shared" si="30"/>
        <v>棚卸以外</v>
      </c>
      <c r="I119" s="7">
        <v>51</v>
      </c>
      <c r="J119" s="7" t="str">
        <f>"自然文化園（第4工区便所・東口ゲート付近）"</f>
        <v>自然文化園（第4工区便所・東口ゲート付近）</v>
      </c>
      <c r="K119" s="7" t="str">
        <f t="shared" si="49"/>
        <v>鉄筋コンクリート造</v>
      </c>
      <c r="L119" s="7" t="str">
        <f>"S54.04.01"</f>
        <v>S54.04.01</v>
      </c>
      <c r="M119" s="7">
        <v>50</v>
      </c>
      <c r="N119" s="7">
        <v>9854575</v>
      </c>
      <c r="O119" s="7">
        <v>2312377</v>
      </c>
      <c r="P119" s="7">
        <v>0</v>
      </c>
      <c r="Q119" s="7" t="str">
        <f t="shared" si="42"/>
        <v>府民文化部</v>
      </c>
      <c r="R119" s="7" t="str">
        <f t="shared" si="47"/>
        <v>日本万国博覧会記念公園事務所</v>
      </c>
    </row>
    <row r="120" spans="1:18" s="1" customFormat="1" ht="26.4" x14ac:dyDescent="0.45">
      <c r="A120" s="7" t="str">
        <f t="shared" si="43"/>
        <v>02517000000</v>
      </c>
      <c r="B120" s="7" t="str">
        <f t="shared" si="44"/>
        <v>日本万国博覧会記念公園</v>
      </c>
      <c r="C120" s="7" t="str">
        <f t="shared" si="48"/>
        <v>行政財産</v>
      </c>
      <c r="D120" s="7" t="str">
        <f t="shared" si="45"/>
        <v>公園</v>
      </c>
      <c r="E120" s="7" t="str">
        <f t="shared" si="46"/>
        <v>大阪府吹田市千里万博公園</v>
      </c>
      <c r="F120" s="7"/>
      <c r="G120" s="7" t="str">
        <f t="shared" si="29"/>
        <v>事業用資産</v>
      </c>
      <c r="H120" s="7" t="str">
        <f t="shared" si="30"/>
        <v>棚卸以外</v>
      </c>
      <c r="I120" s="7">
        <v>52</v>
      </c>
      <c r="J120" s="7" t="str">
        <f>"自然文化園（第4工区便所・世界の森付近）"</f>
        <v>自然文化園（第4工区便所・世界の森付近）</v>
      </c>
      <c r="K120" s="7" t="str">
        <f t="shared" si="49"/>
        <v>鉄筋コンクリート造</v>
      </c>
      <c r="L120" s="7" t="str">
        <f>"S52.10.01"</f>
        <v>S52.10.01</v>
      </c>
      <c r="M120" s="7">
        <v>50</v>
      </c>
      <c r="N120" s="7">
        <v>5995618</v>
      </c>
      <c r="O120" s="7">
        <v>1406943</v>
      </c>
      <c r="P120" s="7">
        <v>0</v>
      </c>
      <c r="Q120" s="7" t="str">
        <f t="shared" si="42"/>
        <v>府民文化部</v>
      </c>
      <c r="R120" s="7" t="str">
        <f t="shared" si="47"/>
        <v>日本万国博覧会記念公園事務所</v>
      </c>
    </row>
    <row r="121" spans="1:18" s="1" customFormat="1" ht="26.4" x14ac:dyDescent="0.45">
      <c r="A121" s="7" t="str">
        <f t="shared" si="43"/>
        <v>02517000000</v>
      </c>
      <c r="B121" s="7" t="str">
        <f t="shared" si="44"/>
        <v>日本万国博覧会記念公園</v>
      </c>
      <c r="C121" s="7" t="str">
        <f t="shared" si="48"/>
        <v>行政財産</v>
      </c>
      <c r="D121" s="7" t="str">
        <f t="shared" si="45"/>
        <v>公園</v>
      </c>
      <c r="E121" s="7" t="str">
        <f t="shared" si="46"/>
        <v>大阪府吹田市千里万博公園</v>
      </c>
      <c r="F121" s="7"/>
      <c r="G121" s="7" t="str">
        <f t="shared" si="29"/>
        <v>事業用資産</v>
      </c>
      <c r="H121" s="7" t="str">
        <f t="shared" si="30"/>
        <v>棚卸以外</v>
      </c>
      <c r="I121" s="7">
        <v>53</v>
      </c>
      <c r="J121" s="7" t="str">
        <f>"自然文化園（第4工区・園内管理車両車庫）"</f>
        <v>自然文化園（第4工区・園内管理車両車庫）</v>
      </c>
      <c r="K121" s="7" t="str">
        <f>"土蔵造(簡易建物)"</f>
        <v>土蔵造(簡易建物)</v>
      </c>
      <c r="L121" s="7" t="str">
        <f>"H24.03.01"</f>
        <v>H24.03.01</v>
      </c>
      <c r="M121" s="7">
        <v>47.77</v>
      </c>
      <c r="N121" s="7">
        <v>2204186</v>
      </c>
      <c r="O121" s="7">
        <v>818978</v>
      </c>
      <c r="P121" s="7">
        <v>0</v>
      </c>
      <c r="Q121" s="7" t="str">
        <f t="shared" si="42"/>
        <v>府民文化部</v>
      </c>
      <c r="R121" s="7" t="str">
        <f t="shared" si="47"/>
        <v>日本万国博覧会記念公園事務所</v>
      </c>
    </row>
    <row r="122" spans="1:18" s="1" customFormat="1" x14ac:dyDescent="0.45">
      <c r="A122" s="7" t="str">
        <f t="shared" si="43"/>
        <v>02517000000</v>
      </c>
      <c r="B122" s="7" t="str">
        <f t="shared" si="44"/>
        <v>日本万国博覧会記念公園</v>
      </c>
      <c r="C122" s="7" t="str">
        <f t="shared" si="48"/>
        <v>行政財産</v>
      </c>
      <c r="D122" s="7" t="str">
        <f t="shared" si="45"/>
        <v>公園</v>
      </c>
      <c r="E122" s="7" t="str">
        <f t="shared" si="46"/>
        <v>大阪府吹田市千里万博公園</v>
      </c>
      <c r="F122" s="7"/>
      <c r="G122" s="7" t="str">
        <f t="shared" si="29"/>
        <v>事業用資産</v>
      </c>
      <c r="H122" s="7" t="str">
        <f t="shared" si="30"/>
        <v>棚卸以外</v>
      </c>
      <c r="I122" s="7">
        <v>54</v>
      </c>
      <c r="J122" s="7" t="str">
        <f>"自然文化園（第4工区便所・東の広場）"</f>
        <v>自然文化園（第4工区便所・東の広場）</v>
      </c>
      <c r="K122" s="7" t="str">
        <f>"鉄筋コンクリート造"</f>
        <v>鉄筋コンクリート造</v>
      </c>
      <c r="L122" s="7" t="str">
        <f>"H25.08.01"</f>
        <v>H25.08.01</v>
      </c>
      <c r="M122" s="7">
        <v>75.7</v>
      </c>
      <c r="N122" s="7">
        <v>36013031</v>
      </c>
      <c r="O122" s="7">
        <v>8160676</v>
      </c>
      <c r="P122" s="7">
        <v>0</v>
      </c>
      <c r="Q122" s="7" t="str">
        <f t="shared" si="42"/>
        <v>府民文化部</v>
      </c>
      <c r="R122" s="7" t="str">
        <f t="shared" si="47"/>
        <v>日本万国博覧会記念公園事務所</v>
      </c>
    </row>
    <row r="123" spans="1:18" s="1" customFormat="1" x14ac:dyDescent="0.45">
      <c r="A123" s="7" t="str">
        <f t="shared" si="43"/>
        <v>02517000000</v>
      </c>
      <c r="B123" s="7" t="str">
        <f t="shared" si="44"/>
        <v>日本万国博覧会記念公園</v>
      </c>
      <c r="C123" s="7" t="str">
        <f t="shared" si="48"/>
        <v>行政財産</v>
      </c>
      <c r="D123" s="7" t="str">
        <f t="shared" si="45"/>
        <v>公園</v>
      </c>
      <c r="E123" s="7" t="str">
        <f t="shared" si="46"/>
        <v>大阪府吹田市千里万博公園</v>
      </c>
      <c r="F123" s="7"/>
      <c r="G123" s="7" t="str">
        <f t="shared" si="29"/>
        <v>事業用資産</v>
      </c>
      <c r="H123" s="7" t="str">
        <f t="shared" si="30"/>
        <v>棚卸以外</v>
      </c>
      <c r="I123" s="7">
        <v>55</v>
      </c>
      <c r="J123" s="7" t="str">
        <f>"自然文化園（第4工区・一括変電所）"</f>
        <v>自然文化園（第4工区・一括変電所）</v>
      </c>
      <c r="K123" s="7" t="str">
        <f>"鉄筋コンクリート造"</f>
        <v>鉄筋コンクリート造</v>
      </c>
      <c r="L123" s="7" t="str">
        <f>"S53.03.01"</f>
        <v>S53.03.01</v>
      </c>
      <c r="M123" s="7">
        <v>352.16</v>
      </c>
      <c r="N123" s="7">
        <v>270646526</v>
      </c>
      <c r="O123" s="7">
        <v>75315372</v>
      </c>
      <c r="P123" s="7">
        <v>0</v>
      </c>
      <c r="Q123" s="7" t="str">
        <f t="shared" si="42"/>
        <v>府民文化部</v>
      </c>
      <c r="R123" s="7" t="str">
        <f t="shared" si="47"/>
        <v>日本万国博覧会記念公園事務所</v>
      </c>
    </row>
    <row r="124" spans="1:18" s="1" customFormat="1" ht="26.4" x14ac:dyDescent="0.45">
      <c r="A124" s="7" t="str">
        <f t="shared" si="43"/>
        <v>02517000000</v>
      </c>
      <c r="B124" s="7" t="str">
        <f t="shared" si="44"/>
        <v>日本万国博覧会記念公園</v>
      </c>
      <c r="C124" s="7" t="str">
        <f t="shared" si="48"/>
        <v>行政財産</v>
      </c>
      <c r="D124" s="7" t="str">
        <f t="shared" si="45"/>
        <v>公園</v>
      </c>
      <c r="E124" s="7" t="str">
        <f t="shared" si="46"/>
        <v>大阪府吹田市千里万博公園</v>
      </c>
      <c r="F124" s="7"/>
      <c r="G124" s="7" t="str">
        <f t="shared" si="29"/>
        <v>事業用資産</v>
      </c>
      <c r="H124" s="7" t="str">
        <f t="shared" si="30"/>
        <v>棚卸以外</v>
      </c>
      <c r="I124" s="7">
        <v>56</v>
      </c>
      <c r="J124" s="7" t="str">
        <f>"自然文化園（第5工区・フェスティバルスタンド）"</f>
        <v>自然文化園（第5工区・フェスティバルスタンド）</v>
      </c>
      <c r="K124" s="7" t="str">
        <f>"鉄筋コンクリート造"</f>
        <v>鉄筋コンクリート造</v>
      </c>
      <c r="L124" s="7" t="str">
        <f>"S54.04.01"</f>
        <v>S54.04.01</v>
      </c>
      <c r="M124" s="7">
        <v>681.03</v>
      </c>
      <c r="N124" s="7">
        <v>134274106</v>
      </c>
      <c r="O124" s="7">
        <v>13674356</v>
      </c>
      <c r="P124" s="7">
        <v>0</v>
      </c>
      <c r="Q124" s="7" t="str">
        <f t="shared" si="42"/>
        <v>府民文化部</v>
      </c>
      <c r="R124" s="7" t="str">
        <f t="shared" si="47"/>
        <v>日本万国博覧会記念公園事務所</v>
      </c>
    </row>
    <row r="125" spans="1:18" s="1" customFormat="1" ht="26.4" x14ac:dyDescent="0.45">
      <c r="A125" s="7" t="str">
        <f t="shared" si="43"/>
        <v>02517000000</v>
      </c>
      <c r="B125" s="7" t="str">
        <f t="shared" si="44"/>
        <v>日本万国博覧会記念公園</v>
      </c>
      <c r="C125" s="7" t="str">
        <f t="shared" si="48"/>
        <v>行政財産</v>
      </c>
      <c r="D125" s="7" t="str">
        <f t="shared" si="45"/>
        <v>公園</v>
      </c>
      <c r="E125" s="7" t="str">
        <f t="shared" si="46"/>
        <v>大阪府吹田市千里万博公園</v>
      </c>
      <c r="F125" s="7"/>
      <c r="G125" s="7" t="str">
        <f t="shared" si="29"/>
        <v>事業用資産</v>
      </c>
      <c r="H125" s="7" t="str">
        <f t="shared" si="30"/>
        <v>棚卸以外</v>
      </c>
      <c r="I125" s="7">
        <v>57</v>
      </c>
      <c r="J125" s="7" t="str">
        <f>"自然文化園（第5工区・中央橋北詰売店）"</f>
        <v>自然文化園（第5工区・中央橋北詰売店）</v>
      </c>
      <c r="K125" s="7" t="str">
        <f>"鉄骨造"</f>
        <v>鉄骨造</v>
      </c>
      <c r="L125" s="7" t="str">
        <f>"H10.02.01"</f>
        <v>H10.02.01</v>
      </c>
      <c r="M125" s="7">
        <v>40.159999999999997</v>
      </c>
      <c r="N125" s="7">
        <v>5446615</v>
      </c>
      <c r="O125" s="7">
        <v>1566694</v>
      </c>
      <c r="P125" s="7">
        <v>0</v>
      </c>
      <c r="Q125" s="7" t="str">
        <f t="shared" si="42"/>
        <v>府民文化部</v>
      </c>
      <c r="R125" s="7" t="str">
        <f t="shared" si="47"/>
        <v>日本万国博覧会記念公園事務所</v>
      </c>
    </row>
    <row r="126" spans="1:18" s="1" customFormat="1" x14ac:dyDescent="0.45">
      <c r="A126" s="7" t="str">
        <f t="shared" si="43"/>
        <v>02517000000</v>
      </c>
      <c r="B126" s="7" t="str">
        <f t="shared" si="44"/>
        <v>日本万国博覧会記念公園</v>
      </c>
      <c r="C126" s="7" t="str">
        <f t="shared" si="48"/>
        <v>行政財産</v>
      </c>
      <c r="D126" s="7" t="str">
        <f t="shared" si="45"/>
        <v>公園</v>
      </c>
      <c r="E126" s="7" t="str">
        <f t="shared" si="46"/>
        <v>大阪府吹田市千里万博公園</v>
      </c>
      <c r="F126" s="7"/>
      <c r="G126" s="7" t="str">
        <f t="shared" si="29"/>
        <v>事業用資産</v>
      </c>
      <c r="H126" s="7" t="str">
        <f t="shared" si="30"/>
        <v>棚卸以外</v>
      </c>
      <c r="I126" s="7">
        <v>59</v>
      </c>
      <c r="J126" s="7" t="str">
        <f>"自然文化園（第5工区・中央口売店）"</f>
        <v>自然文化園（第5工区・中央口売店）</v>
      </c>
      <c r="K126" s="7" t="str">
        <f>"鉄骨造"</f>
        <v>鉄骨造</v>
      </c>
      <c r="L126" s="7" t="str">
        <f>"H09.03.01"</f>
        <v>H09.03.01</v>
      </c>
      <c r="M126" s="7">
        <v>49.51</v>
      </c>
      <c r="N126" s="7">
        <v>6030379</v>
      </c>
      <c r="O126" s="7">
        <v>1734577</v>
      </c>
      <c r="P126" s="7">
        <v>0</v>
      </c>
      <c r="Q126" s="7" t="str">
        <f t="shared" si="42"/>
        <v>府民文化部</v>
      </c>
      <c r="R126" s="7" t="str">
        <f t="shared" si="47"/>
        <v>日本万国博覧会記念公園事務所</v>
      </c>
    </row>
    <row r="127" spans="1:18" s="1" customFormat="1" ht="26.4" x14ac:dyDescent="0.45">
      <c r="A127" s="7" t="str">
        <f t="shared" si="43"/>
        <v>02517000000</v>
      </c>
      <c r="B127" s="7" t="str">
        <f t="shared" si="44"/>
        <v>日本万国博覧会記念公園</v>
      </c>
      <c r="C127" s="7" t="str">
        <f t="shared" si="48"/>
        <v>行政財産</v>
      </c>
      <c r="D127" s="7" t="str">
        <f t="shared" si="45"/>
        <v>公園</v>
      </c>
      <c r="E127" s="7" t="str">
        <f t="shared" si="46"/>
        <v>大阪府吹田市千里万博公園</v>
      </c>
      <c r="F127" s="7"/>
      <c r="G127" s="7" t="str">
        <f t="shared" si="29"/>
        <v>事業用資産</v>
      </c>
      <c r="H127" s="7" t="str">
        <f t="shared" si="30"/>
        <v>棚卸以外</v>
      </c>
      <c r="I127" s="7">
        <v>60</v>
      </c>
      <c r="J127" s="7" t="str">
        <f>"自然文化園（第6工区・バラ園売店階段付便所）"</f>
        <v>自然文化園（第6工区・バラ園売店階段付便所）</v>
      </c>
      <c r="K127" s="7" t="str">
        <f t="shared" ref="K127:K132" si="50">"鉄筋コンクリート造"</f>
        <v>鉄筋コンクリート造</v>
      </c>
      <c r="L127" s="7" t="str">
        <f>"S53.03.01"</f>
        <v>S53.03.01</v>
      </c>
      <c r="M127" s="7">
        <v>232.75</v>
      </c>
      <c r="N127" s="7">
        <v>33734735</v>
      </c>
      <c r="O127" s="7">
        <v>5842901</v>
      </c>
      <c r="P127" s="7">
        <v>0</v>
      </c>
      <c r="Q127" s="7" t="str">
        <f t="shared" si="42"/>
        <v>府民文化部</v>
      </c>
      <c r="R127" s="7" t="str">
        <f t="shared" si="47"/>
        <v>日本万国博覧会記念公園事務所</v>
      </c>
    </row>
    <row r="128" spans="1:18" s="1" customFormat="1" x14ac:dyDescent="0.45">
      <c r="A128" s="7" t="str">
        <f t="shared" si="43"/>
        <v>02517000000</v>
      </c>
      <c r="B128" s="7" t="str">
        <f t="shared" si="44"/>
        <v>日本万国博覧会記念公園</v>
      </c>
      <c r="C128" s="7" t="str">
        <f t="shared" si="48"/>
        <v>行政財産</v>
      </c>
      <c r="D128" s="7" t="str">
        <f t="shared" si="45"/>
        <v>公園</v>
      </c>
      <c r="E128" s="7" t="str">
        <f t="shared" si="46"/>
        <v>大阪府吹田市千里万博公園</v>
      </c>
      <c r="F128" s="7"/>
      <c r="G128" s="7" t="str">
        <f t="shared" si="29"/>
        <v>事業用資産</v>
      </c>
      <c r="H128" s="7" t="str">
        <f t="shared" si="30"/>
        <v>棚卸以外</v>
      </c>
      <c r="I128" s="7">
        <v>61</v>
      </c>
      <c r="J128" s="7" t="str">
        <f>"自然文化園（第6工区・日本民芸館）"</f>
        <v>自然文化園（第6工区・日本民芸館）</v>
      </c>
      <c r="K128" s="7" t="str">
        <f t="shared" si="50"/>
        <v>鉄筋コンクリート造</v>
      </c>
      <c r="L128" s="7" t="str">
        <f>"S44.09.01"</f>
        <v>S44.09.01</v>
      </c>
      <c r="M128" s="7">
        <v>2206.1999999999998</v>
      </c>
      <c r="N128" s="7">
        <v>33617796</v>
      </c>
      <c r="O128" s="7">
        <v>10285467</v>
      </c>
      <c r="P128" s="7">
        <v>0</v>
      </c>
      <c r="Q128" s="7" t="str">
        <f t="shared" si="42"/>
        <v>府民文化部</v>
      </c>
      <c r="R128" s="7" t="str">
        <f t="shared" si="47"/>
        <v>日本万国博覧会記念公園事務所</v>
      </c>
    </row>
    <row r="129" spans="1:18" s="1" customFormat="1" ht="26.4" x14ac:dyDescent="0.45">
      <c r="A129" s="7" t="str">
        <f t="shared" si="43"/>
        <v>02517000000</v>
      </c>
      <c r="B129" s="7" t="str">
        <f t="shared" si="44"/>
        <v>日本万国博覧会記念公園</v>
      </c>
      <c r="C129" s="7" t="str">
        <f t="shared" si="48"/>
        <v>行政財産</v>
      </c>
      <c r="D129" s="7" t="str">
        <f t="shared" si="45"/>
        <v>公園</v>
      </c>
      <c r="E129" s="7" t="str">
        <f t="shared" si="46"/>
        <v>大阪府吹田市千里万博公園</v>
      </c>
      <c r="F129" s="7"/>
      <c r="G129" s="7" t="str">
        <f t="shared" si="29"/>
        <v>事業用資産</v>
      </c>
      <c r="H129" s="7" t="str">
        <f t="shared" si="30"/>
        <v>棚卸以外</v>
      </c>
      <c r="I129" s="7">
        <v>62</v>
      </c>
      <c r="J129" s="7" t="str">
        <f>"自然文化園（第6工区・日本庭園前ゲート）"</f>
        <v>自然文化園（第6工区・日本庭園前ゲート）</v>
      </c>
      <c r="K129" s="7" t="str">
        <f t="shared" si="50"/>
        <v>鉄筋コンクリート造</v>
      </c>
      <c r="L129" s="7" t="str">
        <f>"H17.10.01"</f>
        <v>H17.10.01</v>
      </c>
      <c r="M129" s="7">
        <v>178.23</v>
      </c>
      <c r="N129" s="7">
        <v>110772788</v>
      </c>
      <c r="O129" s="7">
        <v>18473260</v>
      </c>
      <c r="P129" s="7">
        <v>0</v>
      </c>
      <c r="Q129" s="7" t="str">
        <f t="shared" si="42"/>
        <v>府民文化部</v>
      </c>
      <c r="R129" s="7" t="str">
        <f t="shared" si="47"/>
        <v>日本万国博覧会記念公園事務所</v>
      </c>
    </row>
    <row r="130" spans="1:18" s="1" customFormat="1" x14ac:dyDescent="0.45">
      <c r="A130" s="7" t="str">
        <f t="shared" si="43"/>
        <v>02517000000</v>
      </c>
      <c r="B130" s="7" t="str">
        <f t="shared" si="44"/>
        <v>日本万国博覧会記念公園</v>
      </c>
      <c r="C130" s="7" t="str">
        <f t="shared" si="48"/>
        <v>行政財産</v>
      </c>
      <c r="D130" s="7" t="str">
        <f t="shared" si="45"/>
        <v>公園</v>
      </c>
      <c r="E130" s="7" t="str">
        <f t="shared" si="46"/>
        <v>大阪府吹田市千里万博公園</v>
      </c>
      <c r="F130" s="7"/>
      <c r="G130" s="7" t="str">
        <f t="shared" si="29"/>
        <v>事業用資産</v>
      </c>
      <c r="H130" s="7" t="str">
        <f t="shared" si="30"/>
        <v>棚卸以外</v>
      </c>
      <c r="I130" s="7">
        <v>63</v>
      </c>
      <c r="J130" s="7" t="str">
        <f>"運動施設西地区（西口管理棟）"</f>
        <v>運動施設西地区（西口管理棟）</v>
      </c>
      <c r="K130" s="7" t="str">
        <f t="shared" si="50"/>
        <v>鉄筋コンクリート造</v>
      </c>
      <c r="L130" s="7" t="str">
        <f>"S54.04.01"</f>
        <v>S54.04.01</v>
      </c>
      <c r="M130" s="7">
        <v>49.12</v>
      </c>
      <c r="N130" s="7">
        <v>5649051</v>
      </c>
      <c r="O130" s="7">
        <v>1007512</v>
      </c>
      <c r="P130" s="7">
        <v>0</v>
      </c>
      <c r="Q130" s="7" t="str">
        <f t="shared" si="42"/>
        <v>府民文化部</v>
      </c>
      <c r="R130" s="7" t="str">
        <f t="shared" si="47"/>
        <v>日本万国博覧会記念公園事務所</v>
      </c>
    </row>
    <row r="131" spans="1:18" s="1" customFormat="1" x14ac:dyDescent="0.45">
      <c r="A131" s="7" t="str">
        <f t="shared" si="43"/>
        <v>02517000000</v>
      </c>
      <c r="B131" s="7" t="str">
        <f t="shared" si="44"/>
        <v>日本万国博覧会記念公園</v>
      </c>
      <c r="C131" s="7" t="str">
        <f t="shared" si="48"/>
        <v>行政財産</v>
      </c>
      <c r="D131" s="7" t="str">
        <f t="shared" si="45"/>
        <v>公園</v>
      </c>
      <c r="E131" s="7" t="str">
        <f t="shared" si="46"/>
        <v>大阪府吹田市千里万博公園</v>
      </c>
      <c r="F131" s="7"/>
      <c r="G131" s="7" t="str">
        <f t="shared" ref="G131:G194" si="51">"事業用資産"</f>
        <v>事業用資産</v>
      </c>
      <c r="H131" s="7" t="str">
        <f t="shared" ref="H131:H194" si="52">"棚卸以外"</f>
        <v>棚卸以外</v>
      </c>
      <c r="I131" s="7">
        <v>64</v>
      </c>
      <c r="J131" s="7" t="str">
        <f>"運動施設西地区（北口管理棟）"</f>
        <v>運動施設西地区（北口管理棟）</v>
      </c>
      <c r="K131" s="7" t="str">
        <f t="shared" si="50"/>
        <v>鉄筋コンクリート造</v>
      </c>
      <c r="L131" s="7" t="str">
        <f>"S54.04.01"</f>
        <v>S54.04.01</v>
      </c>
      <c r="M131" s="7">
        <v>34.64</v>
      </c>
      <c r="N131" s="7">
        <v>3904641</v>
      </c>
      <c r="O131" s="7">
        <v>696356</v>
      </c>
      <c r="P131" s="7">
        <v>0</v>
      </c>
      <c r="Q131" s="7" t="str">
        <f t="shared" si="42"/>
        <v>府民文化部</v>
      </c>
      <c r="R131" s="7" t="str">
        <f t="shared" si="47"/>
        <v>日本万国博覧会記念公園事務所</v>
      </c>
    </row>
    <row r="132" spans="1:18" s="1" customFormat="1" x14ac:dyDescent="0.45">
      <c r="A132" s="7" t="str">
        <f t="shared" si="43"/>
        <v>02517000000</v>
      </c>
      <c r="B132" s="7" t="str">
        <f t="shared" si="44"/>
        <v>日本万国博覧会記念公園</v>
      </c>
      <c r="C132" s="7" t="str">
        <f t="shared" si="48"/>
        <v>行政財産</v>
      </c>
      <c r="D132" s="7" t="str">
        <f t="shared" si="45"/>
        <v>公園</v>
      </c>
      <c r="E132" s="7" t="str">
        <f t="shared" si="46"/>
        <v>大阪府吹田市千里万博公園</v>
      </c>
      <c r="F132" s="7"/>
      <c r="G132" s="7" t="str">
        <f t="shared" si="51"/>
        <v>事業用資産</v>
      </c>
      <c r="H132" s="7" t="str">
        <f t="shared" si="52"/>
        <v>棚卸以外</v>
      </c>
      <c r="I132" s="7">
        <v>65</v>
      </c>
      <c r="J132" s="7" t="str">
        <f>"運動施設西地区（西第2駐車場内便所）"</f>
        <v>運動施設西地区（西第2駐車場内便所）</v>
      </c>
      <c r="K132" s="7" t="str">
        <f t="shared" si="50"/>
        <v>鉄筋コンクリート造</v>
      </c>
      <c r="L132" s="7" t="str">
        <f>"S55.04.01"</f>
        <v>S55.04.01</v>
      </c>
      <c r="M132" s="7">
        <v>27</v>
      </c>
      <c r="N132" s="7">
        <v>4086652</v>
      </c>
      <c r="O132" s="7">
        <v>958934</v>
      </c>
      <c r="P132" s="7">
        <v>0</v>
      </c>
      <c r="Q132" s="7" t="str">
        <f t="shared" si="42"/>
        <v>府民文化部</v>
      </c>
      <c r="R132" s="7" t="str">
        <f t="shared" si="47"/>
        <v>日本万国博覧会記念公園事務所</v>
      </c>
    </row>
    <row r="133" spans="1:18" s="1" customFormat="1" x14ac:dyDescent="0.45">
      <c r="A133" s="7" t="str">
        <f t="shared" si="43"/>
        <v>02517000000</v>
      </c>
      <c r="B133" s="7" t="str">
        <f t="shared" si="44"/>
        <v>日本万国博覧会記念公園</v>
      </c>
      <c r="C133" s="7" t="str">
        <f t="shared" si="48"/>
        <v>行政財産</v>
      </c>
      <c r="D133" s="7" t="str">
        <f t="shared" si="45"/>
        <v>公園</v>
      </c>
      <c r="E133" s="7" t="str">
        <f t="shared" si="46"/>
        <v>大阪府吹田市千里万博公園</v>
      </c>
      <c r="F133" s="7"/>
      <c r="G133" s="7" t="str">
        <f t="shared" si="51"/>
        <v>事業用資産</v>
      </c>
      <c r="H133" s="7" t="str">
        <f t="shared" si="52"/>
        <v>棚卸以外</v>
      </c>
      <c r="I133" s="7">
        <v>66</v>
      </c>
      <c r="J133" s="7" t="str">
        <f>"運動施設西地区（スポーツハウス）"</f>
        <v>運動施設西地区（スポーツハウス）</v>
      </c>
      <c r="K133" s="7" t="str">
        <f>"鉄骨造"</f>
        <v>鉄骨造</v>
      </c>
      <c r="L133" s="7" t="str">
        <f>"H03.07.01"</f>
        <v>H03.07.01</v>
      </c>
      <c r="M133" s="7">
        <v>730.98</v>
      </c>
      <c r="N133" s="7">
        <v>93502541</v>
      </c>
      <c r="O133" s="7">
        <v>21940350</v>
      </c>
      <c r="P133" s="7">
        <v>0</v>
      </c>
      <c r="Q133" s="7" t="str">
        <f t="shared" si="42"/>
        <v>府民文化部</v>
      </c>
      <c r="R133" s="7" t="str">
        <f t="shared" si="47"/>
        <v>日本万国博覧会記念公園事務所</v>
      </c>
    </row>
    <row r="134" spans="1:18" s="1" customFormat="1" ht="26.4" x14ac:dyDescent="0.45">
      <c r="A134" s="7" t="str">
        <f t="shared" si="43"/>
        <v>02517000000</v>
      </c>
      <c r="B134" s="7" t="str">
        <f t="shared" si="44"/>
        <v>日本万国博覧会記念公園</v>
      </c>
      <c r="C134" s="7" t="str">
        <f t="shared" si="48"/>
        <v>行政財産</v>
      </c>
      <c r="D134" s="7" t="str">
        <f t="shared" si="45"/>
        <v>公園</v>
      </c>
      <c r="E134" s="7" t="str">
        <f t="shared" si="46"/>
        <v>大阪府吹田市千里万博公園</v>
      </c>
      <c r="F134" s="7"/>
      <c r="G134" s="7" t="str">
        <f t="shared" si="51"/>
        <v>事業用資産</v>
      </c>
      <c r="H134" s="7" t="str">
        <f t="shared" si="52"/>
        <v>棚卸以外</v>
      </c>
      <c r="I134" s="7">
        <v>67</v>
      </c>
      <c r="J134" s="7" t="str">
        <f>"運動施設西地区（旧管理棟　キーパー詰所）"</f>
        <v>運動施設西地区（旧管理棟　キーパー詰所）</v>
      </c>
      <c r="K134" s="7" t="str">
        <f>"鉄筋コンクリート造"</f>
        <v>鉄筋コンクリート造</v>
      </c>
      <c r="L134" s="7" t="str">
        <f>"S53.03.01"</f>
        <v>S53.03.01</v>
      </c>
      <c r="M134" s="7">
        <v>271.63</v>
      </c>
      <c r="N134" s="7">
        <v>5486995</v>
      </c>
      <c r="O134" s="7">
        <v>978515</v>
      </c>
      <c r="P134" s="7">
        <v>0</v>
      </c>
      <c r="Q134" s="7" t="str">
        <f t="shared" ref="Q134:Q165" si="53">"府民文化部"</f>
        <v>府民文化部</v>
      </c>
      <c r="R134" s="7" t="str">
        <f t="shared" si="47"/>
        <v>日本万国博覧会記念公園事務所</v>
      </c>
    </row>
    <row r="135" spans="1:18" s="1" customFormat="1" ht="26.4" x14ac:dyDescent="0.45">
      <c r="A135" s="7" t="str">
        <f t="shared" si="43"/>
        <v>02517000000</v>
      </c>
      <c r="B135" s="7" t="str">
        <f t="shared" si="44"/>
        <v>日本万国博覧会記念公園</v>
      </c>
      <c r="C135" s="7" t="str">
        <f t="shared" si="48"/>
        <v>行政財産</v>
      </c>
      <c r="D135" s="7" t="str">
        <f t="shared" si="45"/>
        <v>公園</v>
      </c>
      <c r="E135" s="7" t="str">
        <f t="shared" si="46"/>
        <v>大阪府吹田市千里万博公園</v>
      </c>
      <c r="F135" s="7"/>
      <c r="G135" s="7" t="str">
        <f t="shared" si="51"/>
        <v>事業用資産</v>
      </c>
      <c r="H135" s="7" t="str">
        <f t="shared" si="52"/>
        <v>棚卸以外</v>
      </c>
      <c r="I135" s="7">
        <v>68</v>
      </c>
      <c r="J135" s="7" t="str">
        <f>"運動施設西地区（旧旧管理棟　フットサル事務所）"</f>
        <v>運動施設西地区（旧旧管理棟　フットサル事務所）</v>
      </c>
      <c r="K135" s="7" t="str">
        <f>"鉄筋コンクリート造"</f>
        <v>鉄筋コンクリート造</v>
      </c>
      <c r="L135" s="7" t="str">
        <f>"S48.10.01"</f>
        <v>S48.10.01</v>
      </c>
      <c r="M135" s="7">
        <v>299.5</v>
      </c>
      <c r="N135" s="7">
        <v>26070758</v>
      </c>
      <c r="O135" s="7">
        <v>4649364</v>
      </c>
      <c r="P135" s="7">
        <v>0</v>
      </c>
      <c r="Q135" s="7" t="str">
        <f t="shared" si="53"/>
        <v>府民文化部</v>
      </c>
      <c r="R135" s="7" t="str">
        <f t="shared" si="47"/>
        <v>日本万国博覧会記念公園事務所</v>
      </c>
    </row>
    <row r="136" spans="1:18" s="1" customFormat="1" ht="26.4" x14ac:dyDescent="0.45">
      <c r="A136" s="7" t="str">
        <f t="shared" si="43"/>
        <v>02517000000</v>
      </c>
      <c r="B136" s="7" t="str">
        <f t="shared" si="44"/>
        <v>日本万国博覧会記念公園</v>
      </c>
      <c r="C136" s="7" t="str">
        <f t="shared" si="48"/>
        <v>行政財産</v>
      </c>
      <c r="D136" s="7" t="str">
        <f t="shared" si="45"/>
        <v>公園</v>
      </c>
      <c r="E136" s="7" t="str">
        <f t="shared" si="46"/>
        <v>大阪府吹田市千里万博公園</v>
      </c>
      <c r="F136" s="7"/>
      <c r="G136" s="7" t="str">
        <f t="shared" si="51"/>
        <v>事業用資産</v>
      </c>
      <c r="H136" s="7" t="str">
        <f t="shared" si="52"/>
        <v>棚卸以外</v>
      </c>
      <c r="I136" s="7">
        <v>69</v>
      </c>
      <c r="J136" s="7" t="str">
        <f>"運動施設西地区（テニスコート内トイレ№1）"</f>
        <v>運動施設西地区（テニスコート内トイレ№1）</v>
      </c>
      <c r="K136" s="7" t="str">
        <f>"鉄筋コンクリート造"</f>
        <v>鉄筋コンクリート造</v>
      </c>
      <c r="L136" s="7" t="str">
        <f>"S53.03.01"</f>
        <v>S53.03.01</v>
      </c>
      <c r="M136" s="7">
        <v>50</v>
      </c>
      <c r="N136" s="7">
        <v>1852317</v>
      </c>
      <c r="O136" s="7">
        <v>434741</v>
      </c>
      <c r="P136" s="7">
        <v>0</v>
      </c>
      <c r="Q136" s="7" t="str">
        <f t="shared" si="53"/>
        <v>府民文化部</v>
      </c>
      <c r="R136" s="7" t="str">
        <f t="shared" si="47"/>
        <v>日本万国博覧会記念公園事務所</v>
      </c>
    </row>
    <row r="137" spans="1:18" s="1" customFormat="1" x14ac:dyDescent="0.45">
      <c r="A137" s="7" t="str">
        <f t="shared" si="43"/>
        <v>02517000000</v>
      </c>
      <c r="B137" s="7" t="str">
        <f t="shared" si="44"/>
        <v>日本万国博覧会記念公園</v>
      </c>
      <c r="C137" s="7" t="str">
        <f t="shared" si="48"/>
        <v>行政財産</v>
      </c>
      <c r="D137" s="7" t="str">
        <f t="shared" si="45"/>
        <v>公園</v>
      </c>
      <c r="E137" s="7" t="str">
        <f t="shared" si="46"/>
        <v>大阪府吹田市千里万博公園</v>
      </c>
      <c r="F137" s="7"/>
      <c r="G137" s="7" t="str">
        <f t="shared" si="51"/>
        <v>事業用資産</v>
      </c>
      <c r="H137" s="7" t="str">
        <f t="shared" si="52"/>
        <v>棚卸以外</v>
      </c>
      <c r="I137" s="7">
        <v>70</v>
      </c>
      <c r="J137" s="7" t="str">
        <f>"運動施設西地区（インドアテニスコート）"</f>
        <v>運動施設西地区（インドアテニスコート）</v>
      </c>
      <c r="K137" s="7" t="str">
        <f>"鉄骨造"</f>
        <v>鉄骨造</v>
      </c>
      <c r="L137" s="7" t="str">
        <f>"H09.10.01"</f>
        <v>H09.10.01</v>
      </c>
      <c r="M137" s="7">
        <v>2790</v>
      </c>
      <c r="N137" s="7">
        <v>211477872</v>
      </c>
      <c r="O137" s="7">
        <v>55461203</v>
      </c>
      <c r="P137" s="7">
        <v>0</v>
      </c>
      <c r="Q137" s="7" t="str">
        <f t="shared" si="53"/>
        <v>府民文化部</v>
      </c>
      <c r="R137" s="7" t="str">
        <f t="shared" si="47"/>
        <v>日本万国博覧会記念公園事務所</v>
      </c>
    </row>
    <row r="138" spans="1:18" s="1" customFormat="1" ht="26.4" x14ac:dyDescent="0.45">
      <c r="A138" s="7" t="str">
        <f t="shared" si="43"/>
        <v>02517000000</v>
      </c>
      <c r="B138" s="7" t="str">
        <f t="shared" si="44"/>
        <v>日本万国博覧会記念公園</v>
      </c>
      <c r="C138" s="7" t="str">
        <f t="shared" si="48"/>
        <v>行政財産</v>
      </c>
      <c r="D138" s="7" t="str">
        <f t="shared" si="45"/>
        <v>公園</v>
      </c>
      <c r="E138" s="7" t="str">
        <f t="shared" si="46"/>
        <v>大阪府吹田市千里万博公園</v>
      </c>
      <c r="F138" s="7"/>
      <c r="G138" s="7" t="str">
        <f t="shared" si="51"/>
        <v>事業用資産</v>
      </c>
      <c r="H138" s="7" t="str">
        <f t="shared" si="52"/>
        <v>棚卸以外</v>
      </c>
      <c r="I138" s="7">
        <v>71</v>
      </c>
      <c r="J138" s="7" t="str">
        <f>"運動施設西地区（インドアテニスコート管理棟）"</f>
        <v>運動施設西地区（インドアテニスコート管理棟）</v>
      </c>
      <c r="K138" s="7" t="str">
        <f>"鉄骨造"</f>
        <v>鉄骨造</v>
      </c>
      <c r="L138" s="7" t="str">
        <f>"H09.10.01"</f>
        <v>H09.10.01</v>
      </c>
      <c r="M138" s="7">
        <v>26.74</v>
      </c>
      <c r="N138" s="7">
        <v>3545758</v>
      </c>
      <c r="O138" s="7">
        <v>832032</v>
      </c>
      <c r="P138" s="7">
        <v>0</v>
      </c>
      <c r="Q138" s="7" t="str">
        <f t="shared" si="53"/>
        <v>府民文化部</v>
      </c>
      <c r="R138" s="7" t="str">
        <f t="shared" si="47"/>
        <v>日本万国博覧会記念公園事務所</v>
      </c>
    </row>
    <row r="139" spans="1:18" s="1" customFormat="1" x14ac:dyDescent="0.45">
      <c r="A139" s="7" t="str">
        <f t="shared" si="43"/>
        <v>02517000000</v>
      </c>
      <c r="B139" s="7" t="str">
        <f t="shared" si="44"/>
        <v>日本万国博覧会記念公園</v>
      </c>
      <c r="C139" s="7" t="str">
        <f t="shared" si="48"/>
        <v>行政財産</v>
      </c>
      <c r="D139" s="7" t="str">
        <f t="shared" si="45"/>
        <v>公園</v>
      </c>
      <c r="E139" s="7" t="str">
        <f t="shared" si="46"/>
        <v>大阪府吹田市千里万博公園</v>
      </c>
      <c r="F139" s="7"/>
      <c r="G139" s="7" t="str">
        <f t="shared" si="51"/>
        <v>事業用資産</v>
      </c>
      <c r="H139" s="7" t="str">
        <f t="shared" si="52"/>
        <v>棚卸以外</v>
      </c>
      <c r="I139" s="7">
        <v>72</v>
      </c>
      <c r="J139" s="7" t="str">
        <f>"運動施設西地区（テニス大会本部棟）"</f>
        <v>運動施設西地区（テニス大会本部棟）</v>
      </c>
      <c r="K139" s="7" t="str">
        <f>"鉄骨造"</f>
        <v>鉄骨造</v>
      </c>
      <c r="L139" s="7" t="str">
        <f>"H15.03.01"</f>
        <v>H15.03.01</v>
      </c>
      <c r="M139" s="7">
        <v>70.17</v>
      </c>
      <c r="N139" s="7">
        <v>22099372</v>
      </c>
      <c r="O139" s="7">
        <v>5185648</v>
      </c>
      <c r="P139" s="7">
        <v>0</v>
      </c>
      <c r="Q139" s="7" t="str">
        <f t="shared" si="53"/>
        <v>府民文化部</v>
      </c>
      <c r="R139" s="7" t="str">
        <f t="shared" si="47"/>
        <v>日本万国博覧会記念公園事務所</v>
      </c>
    </row>
    <row r="140" spans="1:18" s="1" customFormat="1" ht="26.4" x14ac:dyDescent="0.45">
      <c r="A140" s="7" t="str">
        <f t="shared" ref="A140:A171" si="54">"02517000000"</f>
        <v>02517000000</v>
      </c>
      <c r="B140" s="7" t="str">
        <f t="shared" ref="B140:B171" si="55">"日本万国博覧会記念公園"</f>
        <v>日本万国博覧会記念公園</v>
      </c>
      <c r="C140" s="7" t="str">
        <f t="shared" si="48"/>
        <v>行政財産</v>
      </c>
      <c r="D140" s="7" t="str">
        <f t="shared" ref="D140:D171" si="56">"公園"</f>
        <v>公園</v>
      </c>
      <c r="E140" s="7" t="str">
        <f t="shared" ref="E140:E171" si="57">"大阪府吹田市千里万博公園"</f>
        <v>大阪府吹田市千里万博公園</v>
      </c>
      <c r="F140" s="7"/>
      <c r="G140" s="7" t="str">
        <f t="shared" si="51"/>
        <v>事業用資産</v>
      </c>
      <c r="H140" s="7" t="str">
        <f t="shared" si="52"/>
        <v>棚卸以外</v>
      </c>
      <c r="I140" s="7">
        <v>73</v>
      </c>
      <c r="J140" s="7" t="str">
        <f>"運動施設西地区（テニスコート夜間照明設備管理棟）"</f>
        <v>運動施設西地区（テニスコート夜間照明設備管理棟）</v>
      </c>
      <c r="K140" s="7" t="str">
        <f>"土蔵造(簡易建物)"</f>
        <v>土蔵造(簡易建物)</v>
      </c>
      <c r="L140" s="7" t="str">
        <f>"S59.07.01"</f>
        <v>S59.07.01</v>
      </c>
      <c r="M140" s="7">
        <v>10.5</v>
      </c>
      <c r="N140" s="7">
        <v>6842</v>
      </c>
      <c r="O140" s="7">
        <v>2568</v>
      </c>
      <c r="P140" s="7">
        <v>0</v>
      </c>
      <c r="Q140" s="7" t="str">
        <f t="shared" si="53"/>
        <v>府民文化部</v>
      </c>
      <c r="R140" s="7" t="str">
        <f t="shared" ref="R140:R171" si="58">"日本万国博覧会記念公園事務所"</f>
        <v>日本万国博覧会記念公園事務所</v>
      </c>
    </row>
    <row r="141" spans="1:18" s="1" customFormat="1" ht="26.4" x14ac:dyDescent="0.45">
      <c r="A141" s="7" t="str">
        <f t="shared" si="54"/>
        <v>02517000000</v>
      </c>
      <c r="B141" s="7" t="str">
        <f t="shared" si="55"/>
        <v>日本万国博覧会記念公園</v>
      </c>
      <c r="C141" s="7" t="str">
        <f t="shared" si="48"/>
        <v>行政財産</v>
      </c>
      <c r="D141" s="7" t="str">
        <f t="shared" si="56"/>
        <v>公園</v>
      </c>
      <c r="E141" s="7" t="str">
        <f t="shared" si="57"/>
        <v>大阪府吹田市千里万博公園</v>
      </c>
      <c r="F141" s="7"/>
      <c r="G141" s="7" t="str">
        <f t="shared" si="51"/>
        <v>事業用資産</v>
      </c>
      <c r="H141" s="7" t="str">
        <f t="shared" si="52"/>
        <v>棚卸以外</v>
      </c>
      <c r="I141" s="7">
        <v>74</v>
      </c>
      <c r="J141" s="7" t="str">
        <f>"運動施設西地区（テニスコート整備車両用車庫）"</f>
        <v>運動施設西地区（テニスコート整備車両用車庫）</v>
      </c>
      <c r="K141" s="7" t="str">
        <f>"土蔵造(簡易建物)"</f>
        <v>土蔵造(簡易建物)</v>
      </c>
      <c r="L141" s="7" t="str">
        <f>"H13.03.01"</f>
        <v>H13.03.01</v>
      </c>
      <c r="M141" s="7">
        <v>27.4</v>
      </c>
      <c r="N141" s="7">
        <v>15942</v>
      </c>
      <c r="O141" s="7">
        <v>5992</v>
      </c>
      <c r="P141" s="7">
        <v>0</v>
      </c>
      <c r="Q141" s="7" t="str">
        <f t="shared" si="53"/>
        <v>府民文化部</v>
      </c>
      <c r="R141" s="7" t="str">
        <f t="shared" si="58"/>
        <v>日本万国博覧会記念公園事務所</v>
      </c>
    </row>
    <row r="142" spans="1:18" s="1" customFormat="1" ht="26.4" x14ac:dyDescent="0.45">
      <c r="A142" s="7" t="str">
        <f t="shared" si="54"/>
        <v>02517000000</v>
      </c>
      <c r="B142" s="7" t="str">
        <f t="shared" si="55"/>
        <v>日本万国博覧会記念公園</v>
      </c>
      <c r="C142" s="7" t="str">
        <f t="shared" si="48"/>
        <v>行政財産</v>
      </c>
      <c r="D142" s="7" t="str">
        <f t="shared" si="56"/>
        <v>公園</v>
      </c>
      <c r="E142" s="7" t="str">
        <f t="shared" si="57"/>
        <v>大阪府吹田市千里万博公園</v>
      </c>
      <c r="F142" s="7"/>
      <c r="G142" s="7" t="str">
        <f t="shared" si="51"/>
        <v>事業用資産</v>
      </c>
      <c r="H142" s="7" t="str">
        <f t="shared" si="52"/>
        <v>棚卸以外</v>
      </c>
      <c r="I142" s="7">
        <v>75</v>
      </c>
      <c r="J142" s="7" t="str">
        <f>"運動施設西地区（テニスコート備品用収納庫3連棟）"</f>
        <v>運動施設西地区（テニスコート備品用収納庫3連棟）</v>
      </c>
      <c r="K142" s="7" t="str">
        <f>"土蔵造(簡易建物)"</f>
        <v>土蔵造(簡易建物)</v>
      </c>
      <c r="L142" s="7" t="str">
        <f>"H18.03.01"</f>
        <v>H18.03.01</v>
      </c>
      <c r="M142" s="7">
        <v>43.5</v>
      </c>
      <c r="N142" s="7">
        <v>562479</v>
      </c>
      <c r="O142" s="7">
        <v>209078</v>
      </c>
      <c r="P142" s="7">
        <v>0</v>
      </c>
      <c r="Q142" s="7" t="str">
        <f t="shared" si="53"/>
        <v>府民文化部</v>
      </c>
      <c r="R142" s="7" t="str">
        <f t="shared" si="58"/>
        <v>日本万国博覧会記念公園事務所</v>
      </c>
    </row>
    <row r="143" spans="1:18" s="1" customFormat="1" ht="26.4" x14ac:dyDescent="0.45">
      <c r="A143" s="7" t="str">
        <f t="shared" si="54"/>
        <v>02517000000</v>
      </c>
      <c r="B143" s="7" t="str">
        <f t="shared" si="55"/>
        <v>日本万国博覧会記念公園</v>
      </c>
      <c r="C143" s="7" t="str">
        <f t="shared" si="48"/>
        <v>行政財産</v>
      </c>
      <c r="D143" s="7" t="str">
        <f t="shared" si="56"/>
        <v>公園</v>
      </c>
      <c r="E143" s="7" t="str">
        <f t="shared" si="57"/>
        <v>大阪府吹田市千里万博公園</v>
      </c>
      <c r="F143" s="7"/>
      <c r="G143" s="7" t="str">
        <f t="shared" si="51"/>
        <v>事業用資産</v>
      </c>
      <c r="H143" s="7" t="str">
        <f t="shared" si="52"/>
        <v>棚卸以外</v>
      </c>
      <c r="I143" s="7">
        <v>76</v>
      </c>
      <c r="J143" s="7" t="str">
        <f>"運動施設西地区（テニスコート備品用収納庫2連棟）"</f>
        <v>運動施設西地区（テニスコート備品用収納庫2連棟）</v>
      </c>
      <c r="K143" s="7" t="str">
        <f>"土蔵造(簡易建物)"</f>
        <v>土蔵造(簡易建物)</v>
      </c>
      <c r="L143" s="7" t="str">
        <f>"H18.03.01"</f>
        <v>H18.03.01</v>
      </c>
      <c r="M143" s="7">
        <v>13.5</v>
      </c>
      <c r="N143" s="7">
        <v>423159</v>
      </c>
      <c r="O143" s="7">
        <v>157290</v>
      </c>
      <c r="P143" s="7">
        <v>0</v>
      </c>
      <c r="Q143" s="7" t="str">
        <f t="shared" si="53"/>
        <v>府民文化部</v>
      </c>
      <c r="R143" s="7" t="str">
        <f t="shared" si="58"/>
        <v>日本万国博覧会記念公園事務所</v>
      </c>
    </row>
    <row r="144" spans="1:18" s="1" customFormat="1" x14ac:dyDescent="0.45">
      <c r="A144" s="7" t="str">
        <f t="shared" si="54"/>
        <v>02517000000</v>
      </c>
      <c r="B144" s="7" t="str">
        <f t="shared" si="55"/>
        <v>日本万国博覧会記念公園</v>
      </c>
      <c r="C144" s="7" t="str">
        <f t="shared" si="48"/>
        <v>行政財産</v>
      </c>
      <c r="D144" s="7" t="str">
        <f t="shared" si="56"/>
        <v>公園</v>
      </c>
      <c r="E144" s="7" t="str">
        <f t="shared" si="57"/>
        <v>大阪府吹田市千里万博公園</v>
      </c>
      <c r="F144" s="7"/>
      <c r="G144" s="7" t="str">
        <f t="shared" si="51"/>
        <v>事業用資産</v>
      </c>
      <c r="H144" s="7" t="str">
        <f t="shared" si="52"/>
        <v>棚卸以外</v>
      </c>
      <c r="I144" s="7">
        <v>77</v>
      </c>
      <c r="J144" s="7" t="str">
        <f>"運動施設東地区（東駐車場内トイレ）"</f>
        <v>運動施設東地区（東駐車場内トイレ）</v>
      </c>
      <c r="K144" s="7" t="str">
        <f>"鉄筋コンクリート造"</f>
        <v>鉄筋コンクリート造</v>
      </c>
      <c r="L144" s="7" t="str">
        <f>"S55.04.01"</f>
        <v>S55.04.01</v>
      </c>
      <c r="M144" s="7">
        <v>44.4</v>
      </c>
      <c r="N144" s="7">
        <v>2566759</v>
      </c>
      <c r="O144" s="7">
        <v>602303</v>
      </c>
      <c r="P144" s="7">
        <v>0</v>
      </c>
      <c r="Q144" s="7" t="str">
        <f t="shared" si="53"/>
        <v>府民文化部</v>
      </c>
      <c r="R144" s="7" t="str">
        <f t="shared" si="58"/>
        <v>日本万国博覧会記念公園事務所</v>
      </c>
    </row>
    <row r="145" spans="1:18" s="1" customFormat="1" ht="26.4" x14ac:dyDescent="0.45">
      <c r="A145" s="7" t="str">
        <f t="shared" si="54"/>
        <v>02517000000</v>
      </c>
      <c r="B145" s="7" t="str">
        <f t="shared" si="55"/>
        <v>日本万国博覧会記念公園</v>
      </c>
      <c r="C145" s="7" t="str">
        <f t="shared" si="48"/>
        <v>行政財産</v>
      </c>
      <c r="D145" s="7" t="str">
        <f t="shared" si="56"/>
        <v>公園</v>
      </c>
      <c r="E145" s="7" t="str">
        <f t="shared" si="57"/>
        <v>大阪府吹田市千里万博公園</v>
      </c>
      <c r="F145" s="7"/>
      <c r="G145" s="7" t="str">
        <f t="shared" si="51"/>
        <v>事業用資産</v>
      </c>
      <c r="H145" s="7" t="str">
        <f t="shared" si="52"/>
        <v>棚卸以外</v>
      </c>
      <c r="I145" s="7">
        <v>78</v>
      </c>
      <c r="J145" s="7" t="str">
        <f>"運動施設東地区（東駐車場料金ボックス）"</f>
        <v>運動施設東地区（東駐車場料金ボックス）</v>
      </c>
      <c r="K145" s="7" t="str">
        <f>"土蔵造(簡易建物)"</f>
        <v>土蔵造(簡易建物)</v>
      </c>
      <c r="L145" s="7" t="str">
        <f>"H03.10.01"</f>
        <v>H03.10.01</v>
      </c>
      <c r="M145" s="7">
        <v>14.1</v>
      </c>
      <c r="N145" s="7">
        <v>76057</v>
      </c>
      <c r="O145" s="7">
        <v>22684</v>
      </c>
      <c r="P145" s="7">
        <v>0</v>
      </c>
      <c r="Q145" s="7" t="str">
        <f t="shared" si="53"/>
        <v>府民文化部</v>
      </c>
      <c r="R145" s="7" t="str">
        <f t="shared" si="58"/>
        <v>日本万国博覧会記念公園事務所</v>
      </c>
    </row>
    <row r="146" spans="1:18" s="1" customFormat="1" x14ac:dyDescent="0.45">
      <c r="A146" s="7" t="str">
        <f t="shared" si="54"/>
        <v>02517000000</v>
      </c>
      <c r="B146" s="7" t="str">
        <f t="shared" si="55"/>
        <v>日本万国博覧会記念公園</v>
      </c>
      <c r="C146" s="7" t="str">
        <f t="shared" si="48"/>
        <v>行政財産</v>
      </c>
      <c r="D146" s="7" t="str">
        <f t="shared" si="56"/>
        <v>公園</v>
      </c>
      <c r="E146" s="7" t="str">
        <f t="shared" si="57"/>
        <v>大阪府吹田市千里万博公園</v>
      </c>
      <c r="F146" s="7"/>
      <c r="G146" s="7" t="str">
        <f t="shared" si="51"/>
        <v>事業用資産</v>
      </c>
      <c r="H146" s="7" t="str">
        <f t="shared" si="52"/>
        <v>棚卸以外</v>
      </c>
      <c r="I146" s="7">
        <v>79</v>
      </c>
      <c r="J146" s="7" t="str">
        <f>"運動施設東地区（少年球技場管理棟）"</f>
        <v>運動施設東地区（少年球技場管理棟）</v>
      </c>
      <c r="K146" s="7" t="str">
        <f>"鉄筋コンクリート造"</f>
        <v>鉄筋コンクリート造</v>
      </c>
      <c r="L146" s="7" t="str">
        <f>"S49.07.01"</f>
        <v>S49.07.01</v>
      </c>
      <c r="M146" s="7">
        <v>56.25</v>
      </c>
      <c r="N146" s="7">
        <v>11989110</v>
      </c>
      <c r="O146" s="7">
        <v>1907439</v>
      </c>
      <c r="P146" s="7">
        <v>0</v>
      </c>
      <c r="Q146" s="7" t="str">
        <f t="shared" si="53"/>
        <v>府民文化部</v>
      </c>
      <c r="R146" s="7" t="str">
        <f t="shared" si="58"/>
        <v>日本万国博覧会記念公園事務所</v>
      </c>
    </row>
    <row r="147" spans="1:18" s="1" customFormat="1" x14ac:dyDescent="0.45">
      <c r="A147" s="7" t="str">
        <f t="shared" si="54"/>
        <v>02517000000</v>
      </c>
      <c r="B147" s="7" t="str">
        <f t="shared" si="55"/>
        <v>日本万国博覧会記念公園</v>
      </c>
      <c r="C147" s="7" t="str">
        <f t="shared" ref="C147:C178" si="59">"行政財産"</f>
        <v>行政財産</v>
      </c>
      <c r="D147" s="7" t="str">
        <f t="shared" si="56"/>
        <v>公園</v>
      </c>
      <c r="E147" s="7" t="str">
        <f t="shared" si="57"/>
        <v>大阪府吹田市千里万博公園</v>
      </c>
      <c r="F147" s="7"/>
      <c r="G147" s="7" t="str">
        <f t="shared" si="51"/>
        <v>事業用資産</v>
      </c>
      <c r="H147" s="7" t="str">
        <f t="shared" si="52"/>
        <v>棚卸以外</v>
      </c>
      <c r="I147" s="7">
        <v>80</v>
      </c>
      <c r="J147" s="7" t="str">
        <f>"運動施設東地区（弓道場）"</f>
        <v>運動施設東地区（弓道場）</v>
      </c>
      <c r="K147" s="7" t="str">
        <f>"鉄筋コンクリート造"</f>
        <v>鉄筋コンクリート造</v>
      </c>
      <c r="L147" s="7" t="str">
        <f>"S51.05.01"</f>
        <v>S51.05.01</v>
      </c>
      <c r="M147" s="7">
        <v>582.53</v>
      </c>
      <c r="N147" s="7">
        <v>36859410</v>
      </c>
      <c r="O147" s="7">
        <v>4735792</v>
      </c>
      <c r="P147" s="7">
        <v>0</v>
      </c>
      <c r="Q147" s="7" t="str">
        <f t="shared" si="53"/>
        <v>府民文化部</v>
      </c>
      <c r="R147" s="7" t="str">
        <f t="shared" si="58"/>
        <v>日本万国博覧会記念公園事務所</v>
      </c>
    </row>
    <row r="148" spans="1:18" s="1" customFormat="1" ht="26.4" x14ac:dyDescent="0.45">
      <c r="A148" s="7" t="str">
        <f t="shared" si="54"/>
        <v>02517000000</v>
      </c>
      <c r="B148" s="7" t="str">
        <f t="shared" si="55"/>
        <v>日本万国博覧会記念公園</v>
      </c>
      <c r="C148" s="7" t="str">
        <f t="shared" si="59"/>
        <v>行政財産</v>
      </c>
      <c r="D148" s="7" t="str">
        <f t="shared" si="56"/>
        <v>公園</v>
      </c>
      <c r="E148" s="7" t="str">
        <f t="shared" si="57"/>
        <v>大阪府吹田市千里万博公園</v>
      </c>
      <c r="F148" s="7"/>
      <c r="G148" s="7" t="str">
        <f t="shared" si="51"/>
        <v>事業用資産</v>
      </c>
      <c r="H148" s="7" t="str">
        <f t="shared" si="52"/>
        <v>棚卸以外</v>
      </c>
      <c r="I148" s="7">
        <v>81</v>
      </c>
      <c r="J148" s="7" t="str">
        <f>"運動施設東地区（少年野球場スタンド管理棟）"</f>
        <v>運動施設東地区（少年野球場スタンド管理棟）</v>
      </c>
      <c r="K148" s="7" t="str">
        <f>"コンクリートブロック造"</f>
        <v>コンクリートブロック造</v>
      </c>
      <c r="L148" s="7" t="str">
        <f>"S48.03.01"</f>
        <v>S48.03.01</v>
      </c>
      <c r="M148" s="7">
        <v>29.43</v>
      </c>
      <c r="N148" s="7">
        <v>1802583</v>
      </c>
      <c r="O148" s="7">
        <v>392048</v>
      </c>
      <c r="P148" s="7">
        <v>0</v>
      </c>
      <c r="Q148" s="7" t="str">
        <f t="shared" si="53"/>
        <v>府民文化部</v>
      </c>
      <c r="R148" s="7" t="str">
        <f t="shared" si="58"/>
        <v>日本万国博覧会記念公園事務所</v>
      </c>
    </row>
    <row r="149" spans="1:18" s="1" customFormat="1" x14ac:dyDescent="0.45">
      <c r="A149" s="7" t="str">
        <f t="shared" si="54"/>
        <v>02517000000</v>
      </c>
      <c r="B149" s="7" t="str">
        <f t="shared" si="55"/>
        <v>日本万国博覧会記念公園</v>
      </c>
      <c r="C149" s="7" t="str">
        <f t="shared" si="59"/>
        <v>行政財産</v>
      </c>
      <c r="D149" s="7" t="str">
        <f t="shared" si="56"/>
        <v>公園</v>
      </c>
      <c r="E149" s="7" t="str">
        <f t="shared" si="57"/>
        <v>大阪府吹田市千里万博公園</v>
      </c>
      <c r="F149" s="7"/>
      <c r="G149" s="7" t="str">
        <f t="shared" si="51"/>
        <v>事業用資産</v>
      </c>
      <c r="H149" s="7" t="str">
        <f t="shared" si="52"/>
        <v>棚卸以外</v>
      </c>
      <c r="I149" s="7">
        <v>82</v>
      </c>
      <c r="J149" s="7" t="str">
        <f>"運動施設東地区（少年野球場便所№1）"</f>
        <v>運動施設東地区（少年野球場便所№1）</v>
      </c>
      <c r="K149" s="7" t="str">
        <f>"コンクリートブロック造"</f>
        <v>コンクリートブロック造</v>
      </c>
      <c r="L149" s="7" t="str">
        <f>"S48.03.01"</f>
        <v>S48.03.01</v>
      </c>
      <c r="M149" s="7">
        <v>17.5</v>
      </c>
      <c r="N149" s="7">
        <v>583321</v>
      </c>
      <c r="O149" s="7">
        <v>153010</v>
      </c>
      <c r="P149" s="7">
        <v>0</v>
      </c>
      <c r="Q149" s="7" t="str">
        <f t="shared" si="53"/>
        <v>府民文化部</v>
      </c>
      <c r="R149" s="7" t="str">
        <f t="shared" si="58"/>
        <v>日本万国博覧会記念公園事務所</v>
      </c>
    </row>
    <row r="150" spans="1:18" s="1" customFormat="1" x14ac:dyDescent="0.45">
      <c r="A150" s="7" t="str">
        <f t="shared" si="54"/>
        <v>02517000000</v>
      </c>
      <c r="B150" s="7" t="str">
        <f t="shared" si="55"/>
        <v>日本万国博覧会記念公園</v>
      </c>
      <c r="C150" s="7" t="str">
        <f t="shared" si="59"/>
        <v>行政財産</v>
      </c>
      <c r="D150" s="7" t="str">
        <f t="shared" si="56"/>
        <v>公園</v>
      </c>
      <c r="E150" s="7" t="str">
        <f t="shared" si="57"/>
        <v>大阪府吹田市千里万博公園</v>
      </c>
      <c r="F150" s="7"/>
      <c r="G150" s="7" t="str">
        <f t="shared" si="51"/>
        <v>事業用資産</v>
      </c>
      <c r="H150" s="7" t="str">
        <f t="shared" si="52"/>
        <v>棚卸以外</v>
      </c>
      <c r="I150" s="7">
        <v>83</v>
      </c>
      <c r="J150" s="7" t="str">
        <f>"運動施設東地区（運動場プレハブ倉庫）"</f>
        <v>運動施設東地区（運動場プレハブ倉庫）</v>
      </c>
      <c r="K150" s="7" t="str">
        <f>"土蔵造(簡易建物)"</f>
        <v>土蔵造(簡易建物)</v>
      </c>
      <c r="L150" s="7" t="str">
        <f>"H07.03.01"</f>
        <v>H07.03.01</v>
      </c>
      <c r="M150" s="7">
        <v>55.2</v>
      </c>
      <c r="N150" s="7">
        <v>7081</v>
      </c>
      <c r="O150" s="7">
        <v>2675</v>
      </c>
      <c r="P150" s="7">
        <v>0</v>
      </c>
      <c r="Q150" s="7" t="str">
        <f t="shared" si="53"/>
        <v>府民文化部</v>
      </c>
      <c r="R150" s="7" t="str">
        <f t="shared" si="58"/>
        <v>日本万国博覧会記念公園事務所</v>
      </c>
    </row>
    <row r="151" spans="1:18" s="1" customFormat="1" x14ac:dyDescent="0.45">
      <c r="A151" s="7" t="str">
        <f t="shared" si="54"/>
        <v>02517000000</v>
      </c>
      <c r="B151" s="7" t="str">
        <f t="shared" si="55"/>
        <v>日本万国博覧会記念公園</v>
      </c>
      <c r="C151" s="7" t="str">
        <f t="shared" si="59"/>
        <v>行政財産</v>
      </c>
      <c r="D151" s="7" t="str">
        <f t="shared" si="56"/>
        <v>公園</v>
      </c>
      <c r="E151" s="7" t="str">
        <f t="shared" si="57"/>
        <v>大阪府吹田市千里万博公園</v>
      </c>
      <c r="F151" s="7"/>
      <c r="G151" s="7" t="str">
        <f t="shared" si="51"/>
        <v>事業用資産</v>
      </c>
      <c r="H151" s="7" t="str">
        <f t="shared" si="52"/>
        <v>棚卸以外</v>
      </c>
      <c r="I151" s="7">
        <v>84</v>
      </c>
      <c r="J151" s="7" t="str">
        <f>"運動施設東地区（万博記念競技場）"</f>
        <v>運動施設東地区（万博記念競技場）</v>
      </c>
      <c r="K151" s="7" t="str">
        <f>"鉄筋コンクリート造"</f>
        <v>鉄筋コンクリート造</v>
      </c>
      <c r="L151" s="7" t="str">
        <f>"S62.03.01"</f>
        <v>S62.03.01</v>
      </c>
      <c r="M151" s="7">
        <v>13194.41</v>
      </c>
      <c r="N151" s="7">
        <v>740884965</v>
      </c>
      <c r="O151" s="7">
        <v>129794816</v>
      </c>
      <c r="P151" s="7">
        <v>0</v>
      </c>
      <c r="Q151" s="7" t="str">
        <f t="shared" si="53"/>
        <v>府民文化部</v>
      </c>
      <c r="R151" s="7" t="str">
        <f t="shared" si="58"/>
        <v>日本万国博覧会記念公園事務所</v>
      </c>
    </row>
    <row r="152" spans="1:18" s="1" customFormat="1" ht="26.4" x14ac:dyDescent="0.45">
      <c r="A152" s="7" t="str">
        <f t="shared" si="54"/>
        <v>02517000000</v>
      </c>
      <c r="B152" s="7" t="str">
        <f t="shared" si="55"/>
        <v>日本万国博覧会記念公園</v>
      </c>
      <c r="C152" s="7" t="str">
        <f t="shared" si="59"/>
        <v>行政財産</v>
      </c>
      <c r="D152" s="7" t="str">
        <f t="shared" si="56"/>
        <v>公園</v>
      </c>
      <c r="E152" s="7" t="str">
        <f t="shared" si="57"/>
        <v>大阪府吹田市千里万博公園</v>
      </c>
      <c r="F152" s="7"/>
      <c r="G152" s="7" t="str">
        <f t="shared" si="51"/>
        <v>事業用資産</v>
      </c>
      <c r="H152" s="7" t="str">
        <f t="shared" si="52"/>
        <v>棚卸以外</v>
      </c>
      <c r="I152" s="7">
        <v>85</v>
      </c>
      <c r="J152" s="7" t="str">
        <f>"運動施設東地区（万博記念競技場・サイドスタンド北）"</f>
        <v>運動施設東地区（万博記念競技場・サイドスタンド北）</v>
      </c>
      <c r="K152" s="7" t="str">
        <f>"鉄筋コンクリート造"</f>
        <v>鉄筋コンクリート造</v>
      </c>
      <c r="L152" s="7" t="str">
        <f>"S62.03.01"</f>
        <v>S62.03.01</v>
      </c>
      <c r="M152" s="7">
        <v>1015.34</v>
      </c>
      <c r="N152" s="7">
        <v>79587471</v>
      </c>
      <c r="O152" s="7">
        <v>14193122</v>
      </c>
      <c r="P152" s="7">
        <v>0</v>
      </c>
      <c r="Q152" s="7" t="str">
        <f t="shared" si="53"/>
        <v>府民文化部</v>
      </c>
      <c r="R152" s="7" t="str">
        <f t="shared" si="58"/>
        <v>日本万国博覧会記念公園事務所</v>
      </c>
    </row>
    <row r="153" spans="1:18" s="1" customFormat="1" ht="26.4" x14ac:dyDescent="0.45">
      <c r="A153" s="7" t="str">
        <f t="shared" si="54"/>
        <v>02517000000</v>
      </c>
      <c r="B153" s="7" t="str">
        <f t="shared" si="55"/>
        <v>日本万国博覧会記念公園</v>
      </c>
      <c r="C153" s="7" t="str">
        <f t="shared" si="59"/>
        <v>行政財産</v>
      </c>
      <c r="D153" s="7" t="str">
        <f t="shared" si="56"/>
        <v>公園</v>
      </c>
      <c r="E153" s="7" t="str">
        <f t="shared" si="57"/>
        <v>大阪府吹田市千里万博公園</v>
      </c>
      <c r="F153" s="7"/>
      <c r="G153" s="7" t="str">
        <f t="shared" si="51"/>
        <v>事業用資産</v>
      </c>
      <c r="H153" s="7" t="str">
        <f t="shared" si="52"/>
        <v>棚卸以外</v>
      </c>
      <c r="I153" s="7">
        <v>86</v>
      </c>
      <c r="J153" s="7" t="str">
        <f>"運動施設東地区（東口駅前広場内トイレ）"</f>
        <v>運動施設東地区（東口駅前広場内トイレ）</v>
      </c>
      <c r="K153" s="7" t="str">
        <f>"鉄骨造"</f>
        <v>鉄骨造</v>
      </c>
      <c r="L153" s="7" t="str">
        <f>"H10.09.01"</f>
        <v>H10.09.01</v>
      </c>
      <c r="M153" s="7">
        <v>70.86</v>
      </c>
      <c r="N153" s="7">
        <v>13090458</v>
      </c>
      <c r="O153" s="7">
        <v>3765330</v>
      </c>
      <c r="P153" s="7">
        <v>0</v>
      </c>
      <c r="Q153" s="7" t="str">
        <f t="shared" si="53"/>
        <v>府民文化部</v>
      </c>
      <c r="R153" s="7" t="str">
        <f t="shared" si="58"/>
        <v>日本万国博覧会記念公園事務所</v>
      </c>
    </row>
    <row r="154" spans="1:18" s="1" customFormat="1" ht="26.4" x14ac:dyDescent="0.45">
      <c r="A154" s="7" t="str">
        <f t="shared" si="54"/>
        <v>02517000000</v>
      </c>
      <c r="B154" s="7" t="str">
        <f t="shared" si="55"/>
        <v>日本万国博覧会記念公園</v>
      </c>
      <c r="C154" s="7" t="str">
        <f t="shared" si="59"/>
        <v>行政財産</v>
      </c>
      <c r="D154" s="7" t="str">
        <f t="shared" si="56"/>
        <v>公園</v>
      </c>
      <c r="E154" s="7" t="str">
        <f t="shared" si="57"/>
        <v>大阪府吹田市千里万博公園</v>
      </c>
      <c r="F154" s="7"/>
      <c r="G154" s="7" t="str">
        <f t="shared" si="51"/>
        <v>事業用資産</v>
      </c>
      <c r="H154" s="7" t="str">
        <f t="shared" si="52"/>
        <v>棚卸以外</v>
      </c>
      <c r="I154" s="7">
        <v>87</v>
      </c>
      <c r="J154" s="7" t="str">
        <f>"運動施設東地区（東口駅前広場内売店）"</f>
        <v>運動施設東地区（東口駅前広場内売店）</v>
      </c>
      <c r="K154" s="7" t="str">
        <f>"鉄骨造"</f>
        <v>鉄骨造</v>
      </c>
      <c r="L154" s="7" t="str">
        <f>"H10.09.01"</f>
        <v>H10.09.01</v>
      </c>
      <c r="M154" s="7">
        <v>56.23</v>
      </c>
      <c r="N154" s="7">
        <v>4006663</v>
      </c>
      <c r="O154" s="7">
        <v>1152497</v>
      </c>
      <c r="P154" s="7">
        <v>0</v>
      </c>
      <c r="Q154" s="7" t="str">
        <f t="shared" si="53"/>
        <v>府民文化部</v>
      </c>
      <c r="R154" s="7" t="str">
        <f t="shared" si="58"/>
        <v>日本万国博覧会記念公園事務所</v>
      </c>
    </row>
    <row r="155" spans="1:18" s="1" customFormat="1" ht="26.4" x14ac:dyDescent="0.45">
      <c r="A155" s="7" t="str">
        <f t="shared" si="54"/>
        <v>02517000000</v>
      </c>
      <c r="B155" s="7" t="str">
        <f t="shared" si="55"/>
        <v>日本万国博覧会記念公園</v>
      </c>
      <c r="C155" s="7" t="str">
        <f t="shared" si="59"/>
        <v>行政財産</v>
      </c>
      <c r="D155" s="7" t="str">
        <f t="shared" si="56"/>
        <v>公園</v>
      </c>
      <c r="E155" s="7" t="str">
        <f t="shared" si="57"/>
        <v>大阪府吹田市千里万博公園</v>
      </c>
      <c r="F155" s="7"/>
      <c r="G155" s="7" t="str">
        <f t="shared" si="51"/>
        <v>事業用資産</v>
      </c>
      <c r="H155" s="7" t="str">
        <f t="shared" si="52"/>
        <v>棚卸以外</v>
      </c>
      <c r="I155" s="7">
        <v>88</v>
      </c>
      <c r="J155" s="7" t="str">
        <f>"運動施設東地区（万博記念競技場屋外便所・南側）"</f>
        <v>運動施設東地区（万博記念競技場屋外便所・南側）</v>
      </c>
      <c r="K155" s="7" t="str">
        <f>"鉄筋コンクリート造"</f>
        <v>鉄筋コンクリート造</v>
      </c>
      <c r="L155" s="7" t="str">
        <f>"S62.03.01"</f>
        <v>S62.03.01</v>
      </c>
      <c r="M155" s="7">
        <v>82.36</v>
      </c>
      <c r="N155" s="7">
        <v>9945167</v>
      </c>
      <c r="O155" s="7">
        <v>2333670</v>
      </c>
      <c r="P155" s="7">
        <v>0</v>
      </c>
      <c r="Q155" s="7" t="str">
        <f t="shared" si="53"/>
        <v>府民文化部</v>
      </c>
      <c r="R155" s="7" t="str">
        <f t="shared" si="58"/>
        <v>日本万国博覧会記念公園事務所</v>
      </c>
    </row>
    <row r="156" spans="1:18" s="1" customFormat="1" ht="26.4" x14ac:dyDescent="0.45">
      <c r="A156" s="7" t="str">
        <f t="shared" si="54"/>
        <v>02517000000</v>
      </c>
      <c r="B156" s="7" t="str">
        <f t="shared" si="55"/>
        <v>日本万国博覧会記念公園</v>
      </c>
      <c r="C156" s="7" t="str">
        <f t="shared" si="59"/>
        <v>行政財産</v>
      </c>
      <c r="D156" s="7" t="str">
        <f t="shared" si="56"/>
        <v>公園</v>
      </c>
      <c r="E156" s="7" t="str">
        <f t="shared" si="57"/>
        <v>大阪府吹田市千里万博公園</v>
      </c>
      <c r="F156" s="7"/>
      <c r="G156" s="7" t="str">
        <f t="shared" si="51"/>
        <v>事業用資産</v>
      </c>
      <c r="H156" s="7" t="str">
        <f t="shared" si="52"/>
        <v>棚卸以外</v>
      </c>
      <c r="I156" s="7">
        <v>89</v>
      </c>
      <c r="J156" s="7" t="str">
        <f>"運動施設東地区（万博記念競技場屋外便所・北側）"</f>
        <v>運動施設東地区（万博記念競技場屋外便所・北側）</v>
      </c>
      <c r="K156" s="7" t="str">
        <f>"鉄筋コンクリート造"</f>
        <v>鉄筋コンクリート造</v>
      </c>
      <c r="L156" s="7" t="str">
        <f>"S62.03.01"</f>
        <v>S62.03.01</v>
      </c>
      <c r="M156" s="7">
        <v>82.36</v>
      </c>
      <c r="N156" s="7">
        <v>10554307</v>
      </c>
      <c r="O156" s="7">
        <v>2476622</v>
      </c>
      <c r="P156" s="7">
        <v>0</v>
      </c>
      <c r="Q156" s="7" t="str">
        <f t="shared" si="53"/>
        <v>府民文化部</v>
      </c>
      <c r="R156" s="7" t="str">
        <f t="shared" si="58"/>
        <v>日本万国博覧会記念公園事務所</v>
      </c>
    </row>
    <row r="157" spans="1:18" s="1" customFormat="1" x14ac:dyDescent="0.45">
      <c r="A157" s="7" t="str">
        <f t="shared" si="54"/>
        <v>02517000000</v>
      </c>
      <c r="B157" s="7" t="str">
        <f t="shared" si="55"/>
        <v>日本万国博覧会記念公園</v>
      </c>
      <c r="C157" s="7" t="str">
        <f t="shared" si="59"/>
        <v>行政財産</v>
      </c>
      <c r="D157" s="7" t="str">
        <f t="shared" si="56"/>
        <v>公園</v>
      </c>
      <c r="E157" s="7" t="str">
        <f t="shared" si="57"/>
        <v>大阪府吹田市千里万博公園</v>
      </c>
      <c r="F157" s="7"/>
      <c r="G157" s="7" t="str">
        <f t="shared" si="51"/>
        <v>事業用資産</v>
      </c>
      <c r="H157" s="7" t="str">
        <f t="shared" si="52"/>
        <v>棚卸以外</v>
      </c>
      <c r="I157" s="7">
        <v>90</v>
      </c>
      <c r="J157" s="7" t="str">
        <f>"運動施設東地区（少年球技場倉庫）"</f>
        <v>運動施設東地区（少年球技場倉庫）</v>
      </c>
      <c r="K157" s="7" t="str">
        <f>"土蔵造(簡易建物)"</f>
        <v>土蔵造(簡易建物)</v>
      </c>
      <c r="L157" s="7" t="str">
        <f>"H26.03.01"</f>
        <v>H26.03.01</v>
      </c>
      <c r="M157" s="7">
        <v>22.68</v>
      </c>
      <c r="N157" s="7">
        <v>2233125</v>
      </c>
      <c r="O157" s="7">
        <v>829678</v>
      </c>
      <c r="P157" s="7">
        <v>0</v>
      </c>
      <c r="Q157" s="7" t="str">
        <f t="shared" si="53"/>
        <v>府民文化部</v>
      </c>
      <c r="R157" s="7" t="str">
        <f t="shared" si="58"/>
        <v>日本万国博覧会記念公園事務所</v>
      </c>
    </row>
    <row r="158" spans="1:18" s="1" customFormat="1" x14ac:dyDescent="0.45">
      <c r="A158" s="7" t="str">
        <f t="shared" si="54"/>
        <v>02517000000</v>
      </c>
      <c r="B158" s="7" t="str">
        <f t="shared" si="55"/>
        <v>日本万国博覧会記念公園</v>
      </c>
      <c r="C158" s="7" t="str">
        <f t="shared" si="59"/>
        <v>行政財産</v>
      </c>
      <c r="D158" s="7" t="str">
        <f t="shared" si="56"/>
        <v>公園</v>
      </c>
      <c r="E158" s="7" t="str">
        <f t="shared" si="57"/>
        <v>大阪府吹田市千里万博公園</v>
      </c>
      <c r="F158" s="7"/>
      <c r="G158" s="7" t="str">
        <f t="shared" si="51"/>
        <v>事業用資産</v>
      </c>
      <c r="H158" s="7" t="str">
        <f t="shared" si="52"/>
        <v>棚卸以外</v>
      </c>
      <c r="I158" s="7">
        <v>91</v>
      </c>
      <c r="J158" s="7" t="str">
        <f>"運動施設南地区（南駐車場内トイレ）"</f>
        <v>運動施設南地区（南駐車場内トイレ）</v>
      </c>
      <c r="K158" s="7" t="str">
        <f>"鉄筋コンクリート造"</f>
        <v>鉄筋コンクリート造</v>
      </c>
      <c r="L158" s="7" t="str">
        <f>"S55.04.01"</f>
        <v>S55.04.01</v>
      </c>
      <c r="M158" s="7">
        <v>27</v>
      </c>
      <c r="N158" s="7">
        <v>1203002</v>
      </c>
      <c r="O158" s="7">
        <v>282373</v>
      </c>
      <c r="P158" s="7">
        <v>0</v>
      </c>
      <c r="Q158" s="7" t="str">
        <f t="shared" si="53"/>
        <v>府民文化部</v>
      </c>
      <c r="R158" s="7" t="str">
        <f t="shared" si="58"/>
        <v>日本万国博覧会記念公園事務所</v>
      </c>
    </row>
    <row r="159" spans="1:18" s="1" customFormat="1" x14ac:dyDescent="0.45">
      <c r="A159" s="7" t="str">
        <f t="shared" si="54"/>
        <v>02517000000</v>
      </c>
      <c r="B159" s="7" t="str">
        <f t="shared" si="55"/>
        <v>日本万国博覧会記念公園</v>
      </c>
      <c r="C159" s="7" t="str">
        <f t="shared" si="59"/>
        <v>行政財産</v>
      </c>
      <c r="D159" s="7" t="str">
        <f t="shared" si="56"/>
        <v>公園</v>
      </c>
      <c r="E159" s="7" t="str">
        <f t="shared" si="57"/>
        <v>大阪府吹田市千里万博公園</v>
      </c>
      <c r="F159" s="7"/>
      <c r="G159" s="7" t="str">
        <f t="shared" si="51"/>
        <v>事業用資産</v>
      </c>
      <c r="H159" s="7" t="str">
        <f t="shared" si="52"/>
        <v>棚卸以外</v>
      </c>
      <c r="I159" s="7">
        <v>92</v>
      </c>
      <c r="J159" s="7" t="str">
        <f>"運動施設南地区（野球場スタンド）"</f>
        <v>運動施設南地区（野球場スタンド）</v>
      </c>
      <c r="K159" s="7" t="str">
        <f>"鉄筋コンクリート造"</f>
        <v>鉄筋コンクリート造</v>
      </c>
      <c r="L159" s="7" t="str">
        <f>"S49.07.01"</f>
        <v>S49.07.01</v>
      </c>
      <c r="M159" s="7">
        <v>542.88</v>
      </c>
      <c r="N159" s="7">
        <v>21843049</v>
      </c>
      <c r="O159" s="7">
        <v>2931927</v>
      </c>
      <c r="P159" s="7">
        <v>0</v>
      </c>
      <c r="Q159" s="7" t="str">
        <f t="shared" si="53"/>
        <v>府民文化部</v>
      </c>
      <c r="R159" s="7" t="str">
        <f t="shared" si="58"/>
        <v>日本万国博覧会記念公園事務所</v>
      </c>
    </row>
    <row r="160" spans="1:18" s="1" customFormat="1" ht="26.4" x14ac:dyDescent="0.45">
      <c r="A160" s="7" t="str">
        <f t="shared" si="54"/>
        <v>02517000000</v>
      </c>
      <c r="B160" s="7" t="str">
        <f t="shared" si="55"/>
        <v>日本万国博覧会記念公園</v>
      </c>
      <c r="C160" s="7" t="str">
        <f t="shared" si="59"/>
        <v>行政財産</v>
      </c>
      <c r="D160" s="7" t="str">
        <f t="shared" si="56"/>
        <v>公園</v>
      </c>
      <c r="E160" s="7" t="str">
        <f t="shared" si="57"/>
        <v>大阪府吹田市千里万博公園</v>
      </c>
      <c r="F160" s="7"/>
      <c r="G160" s="7" t="str">
        <f t="shared" si="51"/>
        <v>事業用資産</v>
      </c>
      <c r="H160" s="7" t="str">
        <f t="shared" si="52"/>
        <v>棚卸以外</v>
      </c>
      <c r="I160" s="7">
        <v>93</v>
      </c>
      <c r="J160" s="7" t="str">
        <f>"運動施設南地区（野球場内屋外便所№1）"</f>
        <v>運動施設南地区（野球場内屋外便所№1）</v>
      </c>
      <c r="K160" s="7" t="str">
        <f>"鉄骨造"</f>
        <v>鉄骨造</v>
      </c>
      <c r="L160" s="7" t="str">
        <f>"S49.07.01"</f>
        <v>S49.07.01</v>
      </c>
      <c r="M160" s="7">
        <v>20.98</v>
      </c>
      <c r="N160" s="7">
        <v>4915527</v>
      </c>
      <c r="O160" s="7">
        <v>1075913</v>
      </c>
      <c r="P160" s="7">
        <v>0</v>
      </c>
      <c r="Q160" s="7" t="str">
        <f t="shared" si="53"/>
        <v>府民文化部</v>
      </c>
      <c r="R160" s="7" t="str">
        <f t="shared" si="58"/>
        <v>日本万国博覧会記念公園事務所</v>
      </c>
    </row>
    <row r="161" spans="1:18" s="1" customFormat="1" x14ac:dyDescent="0.45">
      <c r="A161" s="7" t="str">
        <f t="shared" si="54"/>
        <v>02517000000</v>
      </c>
      <c r="B161" s="7" t="str">
        <f t="shared" si="55"/>
        <v>日本万国博覧会記念公園</v>
      </c>
      <c r="C161" s="7" t="str">
        <f t="shared" si="59"/>
        <v>行政財産</v>
      </c>
      <c r="D161" s="7" t="str">
        <f t="shared" si="56"/>
        <v>公園</v>
      </c>
      <c r="E161" s="7" t="str">
        <f t="shared" si="57"/>
        <v>大阪府吹田市千里万博公園</v>
      </c>
      <c r="F161" s="7"/>
      <c r="G161" s="7" t="str">
        <f t="shared" si="51"/>
        <v>事業用資産</v>
      </c>
      <c r="H161" s="7" t="str">
        <f t="shared" si="52"/>
        <v>棚卸以外</v>
      </c>
      <c r="I161" s="7">
        <v>94</v>
      </c>
      <c r="J161" s="7" t="str">
        <f>"運動施設南地区（野球場前トイレ）"</f>
        <v>運動施設南地区（野球場前トイレ）</v>
      </c>
      <c r="K161" s="7" t="str">
        <f>"鉄筋コンクリート造"</f>
        <v>鉄筋コンクリート造</v>
      </c>
      <c r="L161" s="7" t="str">
        <f>"S57.03.01"</f>
        <v>S57.03.01</v>
      </c>
      <c r="M161" s="7">
        <v>20.98</v>
      </c>
      <c r="N161" s="7">
        <v>3233761</v>
      </c>
      <c r="O161" s="7">
        <v>652970</v>
      </c>
      <c r="P161" s="7">
        <v>0</v>
      </c>
      <c r="Q161" s="7" t="str">
        <f t="shared" si="53"/>
        <v>府民文化部</v>
      </c>
      <c r="R161" s="7" t="str">
        <f t="shared" si="58"/>
        <v>日本万国博覧会記念公園事務所</v>
      </c>
    </row>
    <row r="162" spans="1:18" s="1" customFormat="1" ht="26.4" x14ac:dyDescent="0.45">
      <c r="A162" s="7" t="str">
        <f t="shared" si="54"/>
        <v>02517000000</v>
      </c>
      <c r="B162" s="7" t="str">
        <f t="shared" si="55"/>
        <v>日本万国博覧会記念公園</v>
      </c>
      <c r="C162" s="7" t="str">
        <f t="shared" si="59"/>
        <v>行政財産</v>
      </c>
      <c r="D162" s="7" t="str">
        <f t="shared" si="56"/>
        <v>公園</v>
      </c>
      <c r="E162" s="7" t="str">
        <f t="shared" si="57"/>
        <v>大阪府吹田市千里万博公園</v>
      </c>
      <c r="F162" s="7"/>
      <c r="G162" s="7" t="str">
        <f t="shared" si="51"/>
        <v>事業用資産</v>
      </c>
      <c r="H162" s="7" t="str">
        <f t="shared" si="52"/>
        <v>棚卸以外</v>
      </c>
      <c r="I162" s="7">
        <v>95</v>
      </c>
      <c r="J162" s="7" t="str">
        <f>"運動施設南地区（運動施設中央管理事務所）"</f>
        <v>運動施設南地区（運動施設中央管理事務所）</v>
      </c>
      <c r="K162" s="7" t="str">
        <f>"鉄骨造"</f>
        <v>鉄骨造</v>
      </c>
      <c r="L162" s="7" t="str">
        <f>"H25.12.01"</f>
        <v>H25.12.01</v>
      </c>
      <c r="M162" s="7">
        <v>299.93</v>
      </c>
      <c r="N162" s="7">
        <v>90210372</v>
      </c>
      <c r="O162" s="7">
        <v>21167810</v>
      </c>
      <c r="P162" s="7">
        <v>0</v>
      </c>
      <c r="Q162" s="7" t="str">
        <f t="shared" si="53"/>
        <v>府民文化部</v>
      </c>
      <c r="R162" s="7" t="str">
        <f t="shared" si="58"/>
        <v>日本万国博覧会記念公園事務所</v>
      </c>
    </row>
    <row r="163" spans="1:18" s="1" customFormat="1" ht="26.4" x14ac:dyDescent="0.45">
      <c r="A163" s="7" t="str">
        <f t="shared" si="54"/>
        <v>02517000000</v>
      </c>
      <c r="B163" s="7" t="str">
        <f t="shared" si="55"/>
        <v>日本万国博覧会記念公園</v>
      </c>
      <c r="C163" s="7" t="str">
        <f t="shared" si="59"/>
        <v>行政財産</v>
      </c>
      <c r="D163" s="7" t="str">
        <f t="shared" si="56"/>
        <v>公園</v>
      </c>
      <c r="E163" s="7" t="str">
        <f t="shared" si="57"/>
        <v>大阪府吹田市千里万博公園</v>
      </c>
      <c r="F163" s="7"/>
      <c r="G163" s="7" t="str">
        <f t="shared" si="51"/>
        <v>事業用資産</v>
      </c>
      <c r="H163" s="7" t="str">
        <f t="shared" si="52"/>
        <v>棚卸以外</v>
      </c>
      <c r="I163" s="7">
        <v>96</v>
      </c>
      <c r="J163" s="7" t="str">
        <f>"運動施設南地区（運動施設中央管理事務所車庫）"</f>
        <v>運動施設南地区（運動施設中央管理事務所車庫）</v>
      </c>
      <c r="K163" s="7" t="str">
        <f>"鉄骨造"</f>
        <v>鉄骨造</v>
      </c>
      <c r="L163" s="7" t="str">
        <f>"H25.12.01"</f>
        <v>H25.12.01</v>
      </c>
      <c r="M163" s="7">
        <v>46.2</v>
      </c>
      <c r="N163" s="7">
        <v>4357080</v>
      </c>
      <c r="O163" s="7">
        <v>1253291</v>
      </c>
      <c r="P163" s="7">
        <v>0</v>
      </c>
      <c r="Q163" s="7" t="str">
        <f t="shared" si="53"/>
        <v>府民文化部</v>
      </c>
      <c r="R163" s="7" t="str">
        <f t="shared" si="58"/>
        <v>日本万国博覧会記念公園事務所</v>
      </c>
    </row>
    <row r="164" spans="1:18" s="1" customFormat="1" ht="26.4" x14ac:dyDescent="0.45">
      <c r="A164" s="7" t="str">
        <f t="shared" si="54"/>
        <v>02517000000</v>
      </c>
      <c r="B164" s="7" t="str">
        <f t="shared" si="55"/>
        <v>日本万国博覧会記念公園</v>
      </c>
      <c r="C164" s="7" t="str">
        <f t="shared" si="59"/>
        <v>行政財産</v>
      </c>
      <c r="D164" s="7" t="str">
        <f t="shared" si="56"/>
        <v>公園</v>
      </c>
      <c r="E164" s="7" t="str">
        <f t="shared" si="57"/>
        <v>大阪府吹田市千里万博公園</v>
      </c>
      <c r="F164" s="7"/>
      <c r="G164" s="7" t="str">
        <f t="shared" si="51"/>
        <v>事業用資産</v>
      </c>
      <c r="H164" s="7" t="str">
        <f t="shared" si="52"/>
        <v>棚卸以外</v>
      </c>
      <c r="I164" s="7">
        <v>97</v>
      </c>
      <c r="J164" s="7" t="str">
        <f>"運動施設南地区（南駐車場料金ボックス）"</f>
        <v>運動施設南地区（南駐車場料金ボックス）</v>
      </c>
      <c r="K164" s="7" t="str">
        <f>"土蔵造(簡易建物)"</f>
        <v>土蔵造(簡易建物)</v>
      </c>
      <c r="L164" s="7" t="str">
        <f>"H03.03.01"</f>
        <v>H03.03.01</v>
      </c>
      <c r="M164" s="7">
        <v>17.86</v>
      </c>
      <c r="N164" s="7">
        <v>69655</v>
      </c>
      <c r="O164" s="7">
        <v>20758</v>
      </c>
      <c r="P164" s="7">
        <v>0</v>
      </c>
      <c r="Q164" s="7" t="str">
        <f t="shared" si="53"/>
        <v>府民文化部</v>
      </c>
      <c r="R164" s="7" t="str">
        <f t="shared" si="58"/>
        <v>日本万国博覧会記念公園事務所</v>
      </c>
    </row>
    <row r="165" spans="1:18" s="1" customFormat="1" ht="26.4" x14ac:dyDescent="0.45">
      <c r="A165" s="7" t="str">
        <f t="shared" si="54"/>
        <v>02517000000</v>
      </c>
      <c r="B165" s="7" t="str">
        <f t="shared" si="55"/>
        <v>日本万国博覧会記念公園</v>
      </c>
      <c r="C165" s="7" t="str">
        <f t="shared" si="59"/>
        <v>行政財産</v>
      </c>
      <c r="D165" s="7" t="str">
        <f t="shared" si="56"/>
        <v>公園</v>
      </c>
      <c r="E165" s="7" t="str">
        <f t="shared" si="57"/>
        <v>大阪府吹田市千里万博公園</v>
      </c>
      <c r="F165" s="7"/>
      <c r="G165" s="7" t="str">
        <f t="shared" si="51"/>
        <v>事業用資産</v>
      </c>
      <c r="H165" s="7" t="str">
        <f t="shared" si="52"/>
        <v>棚卸以外</v>
      </c>
      <c r="I165" s="7">
        <v>98</v>
      </c>
      <c r="J165" s="7" t="str">
        <f>"運動施設南地区（スポーツ広場管理棟）"</f>
        <v>運動施設南地区（スポーツ広場管理棟）</v>
      </c>
      <c r="K165" s="7" t="str">
        <f>"鉄骨造"</f>
        <v>鉄骨造</v>
      </c>
      <c r="L165" s="7" t="str">
        <f>"S46.12.01"</f>
        <v>S46.12.01</v>
      </c>
      <c r="M165" s="7">
        <v>205.39</v>
      </c>
      <c r="N165" s="7">
        <v>3671656</v>
      </c>
      <c r="O165" s="7">
        <v>861564</v>
      </c>
      <c r="P165" s="7">
        <v>0</v>
      </c>
      <c r="Q165" s="7" t="str">
        <f t="shared" si="53"/>
        <v>府民文化部</v>
      </c>
      <c r="R165" s="7" t="str">
        <f t="shared" si="58"/>
        <v>日本万国博覧会記念公園事務所</v>
      </c>
    </row>
    <row r="166" spans="1:18" s="1" customFormat="1" ht="26.4" x14ac:dyDescent="0.45">
      <c r="A166" s="7" t="str">
        <f t="shared" si="54"/>
        <v>02517000000</v>
      </c>
      <c r="B166" s="7" t="str">
        <f t="shared" si="55"/>
        <v>日本万国博覧会記念公園</v>
      </c>
      <c r="C166" s="7" t="str">
        <f t="shared" si="59"/>
        <v>行政財産</v>
      </c>
      <c r="D166" s="7" t="str">
        <f t="shared" si="56"/>
        <v>公園</v>
      </c>
      <c r="E166" s="7" t="str">
        <f t="shared" si="57"/>
        <v>大阪府吹田市千里万博公園</v>
      </c>
      <c r="F166" s="7"/>
      <c r="G166" s="7" t="str">
        <f t="shared" si="51"/>
        <v>事業用資産</v>
      </c>
      <c r="H166" s="7" t="str">
        <f t="shared" si="52"/>
        <v>棚卸以外</v>
      </c>
      <c r="I166" s="7">
        <v>99</v>
      </c>
      <c r="J166" s="7" t="str">
        <f>"運動施設南地区（南口ちびっこ広場トイレ）"</f>
        <v>運動施設南地区（南口ちびっこ広場トイレ）</v>
      </c>
      <c r="K166" s="7" t="str">
        <f>"鉄筋コンクリート造"</f>
        <v>鉄筋コンクリート造</v>
      </c>
      <c r="L166" s="7" t="str">
        <f>"S55.04.01"</f>
        <v>S55.04.01</v>
      </c>
      <c r="M166" s="7">
        <v>45</v>
      </c>
      <c r="N166" s="7">
        <v>1822225</v>
      </c>
      <c r="O166" s="7">
        <v>427679</v>
      </c>
      <c r="P166" s="7">
        <v>0</v>
      </c>
      <c r="Q166" s="7" t="str">
        <f t="shared" ref="Q166:Q197" si="60">"府民文化部"</f>
        <v>府民文化部</v>
      </c>
      <c r="R166" s="7" t="str">
        <f t="shared" si="58"/>
        <v>日本万国博覧会記念公園事務所</v>
      </c>
    </row>
    <row r="167" spans="1:18" s="1" customFormat="1" x14ac:dyDescent="0.45">
      <c r="A167" s="7" t="str">
        <f t="shared" si="54"/>
        <v>02517000000</v>
      </c>
      <c r="B167" s="7" t="str">
        <f t="shared" si="55"/>
        <v>日本万国博覧会記念公園</v>
      </c>
      <c r="C167" s="7" t="str">
        <f t="shared" si="59"/>
        <v>行政財産</v>
      </c>
      <c r="D167" s="7" t="str">
        <f t="shared" si="56"/>
        <v>公園</v>
      </c>
      <c r="E167" s="7" t="str">
        <f t="shared" si="57"/>
        <v>大阪府吹田市千里万博公園</v>
      </c>
      <c r="F167" s="7"/>
      <c r="G167" s="7" t="str">
        <f t="shared" si="51"/>
        <v>事業用資産</v>
      </c>
      <c r="H167" s="7" t="str">
        <f t="shared" si="52"/>
        <v>棚卸以外</v>
      </c>
      <c r="I167" s="7">
        <v>100</v>
      </c>
      <c r="J167" s="7" t="str">
        <f>"運動施設南地区（野球場倉庫）"</f>
        <v>運動施設南地区（野球場倉庫）</v>
      </c>
      <c r="K167" s="7" t="str">
        <f>"鉄骨造"</f>
        <v>鉄骨造</v>
      </c>
      <c r="L167" s="7" t="str">
        <f>"H14.03.01"</f>
        <v>H14.03.01</v>
      </c>
      <c r="M167" s="7">
        <v>20.72</v>
      </c>
      <c r="N167" s="7">
        <v>245482</v>
      </c>
      <c r="O167" s="7">
        <v>70620</v>
      </c>
      <c r="P167" s="7">
        <v>0</v>
      </c>
      <c r="Q167" s="7" t="str">
        <f t="shared" si="60"/>
        <v>府民文化部</v>
      </c>
      <c r="R167" s="7" t="str">
        <f t="shared" si="58"/>
        <v>日本万国博覧会記念公園事務所</v>
      </c>
    </row>
    <row r="168" spans="1:18" s="1" customFormat="1" ht="26.4" x14ac:dyDescent="0.45">
      <c r="A168" s="7" t="str">
        <f t="shared" si="54"/>
        <v>02517000000</v>
      </c>
      <c r="B168" s="7" t="str">
        <f t="shared" si="55"/>
        <v>日本万国博覧会記念公園</v>
      </c>
      <c r="C168" s="7" t="str">
        <f t="shared" si="59"/>
        <v>行政財産</v>
      </c>
      <c r="D168" s="7" t="str">
        <f t="shared" si="56"/>
        <v>公園</v>
      </c>
      <c r="E168" s="7" t="str">
        <f t="shared" si="57"/>
        <v>大阪府吹田市千里万博公園</v>
      </c>
      <c r="F168" s="7"/>
      <c r="G168" s="7" t="str">
        <f t="shared" si="51"/>
        <v>事業用資産</v>
      </c>
      <c r="H168" s="7" t="str">
        <f t="shared" si="52"/>
        <v>棚卸以外</v>
      </c>
      <c r="I168" s="7">
        <v>101</v>
      </c>
      <c r="J168" s="7" t="str">
        <f>"運動施設南地区（総合スポーツ広場便所）"</f>
        <v>運動施設南地区（総合スポーツ広場便所）</v>
      </c>
      <c r="K168" s="7" t="str">
        <f>"鉄筋コンクリート造"</f>
        <v>鉄筋コンクリート造</v>
      </c>
      <c r="L168" s="7" t="str">
        <f>"H21.03.01"</f>
        <v>H21.03.01</v>
      </c>
      <c r="M168" s="7">
        <v>41.58</v>
      </c>
      <c r="N168" s="7">
        <v>20974977</v>
      </c>
      <c r="O168" s="7">
        <v>4921786</v>
      </c>
      <c r="P168" s="7">
        <v>0</v>
      </c>
      <c r="Q168" s="7" t="str">
        <f t="shared" si="60"/>
        <v>府民文化部</v>
      </c>
      <c r="R168" s="7" t="str">
        <f t="shared" si="58"/>
        <v>日本万国博覧会記念公園事務所</v>
      </c>
    </row>
    <row r="169" spans="1:18" s="1" customFormat="1" x14ac:dyDescent="0.45">
      <c r="A169" s="7" t="str">
        <f t="shared" si="54"/>
        <v>02517000000</v>
      </c>
      <c r="B169" s="7" t="str">
        <f t="shared" si="55"/>
        <v>日本万国博覧会記念公園</v>
      </c>
      <c r="C169" s="7" t="str">
        <f t="shared" si="59"/>
        <v>行政財産</v>
      </c>
      <c r="D169" s="7" t="str">
        <f t="shared" si="56"/>
        <v>公園</v>
      </c>
      <c r="E169" s="7" t="str">
        <f t="shared" si="57"/>
        <v>大阪府吹田市千里万博公園</v>
      </c>
      <c r="F169" s="7"/>
      <c r="G169" s="7" t="str">
        <f t="shared" si="51"/>
        <v>事業用資産</v>
      </c>
      <c r="H169" s="7" t="str">
        <f t="shared" si="52"/>
        <v>棚卸以外</v>
      </c>
      <c r="I169" s="7">
        <v>103</v>
      </c>
      <c r="J169" s="7" t="str">
        <f>"運動施設南地区（アメフト場横売店）"</f>
        <v>運動施設南地区（アメフト場横売店）</v>
      </c>
      <c r="K169" s="7" t="str">
        <f>"鉄骨造"</f>
        <v>鉄骨造</v>
      </c>
      <c r="L169" s="7" t="str">
        <f>"H26.02.01"</f>
        <v>H26.02.01</v>
      </c>
      <c r="M169" s="7">
        <v>12.95</v>
      </c>
      <c r="N169" s="7">
        <v>3675039</v>
      </c>
      <c r="O169" s="7">
        <v>1057160</v>
      </c>
      <c r="P169" s="7">
        <v>0</v>
      </c>
      <c r="Q169" s="7" t="str">
        <f t="shared" si="60"/>
        <v>府民文化部</v>
      </c>
      <c r="R169" s="7" t="str">
        <f t="shared" si="58"/>
        <v>日本万国博覧会記念公園事務所</v>
      </c>
    </row>
    <row r="170" spans="1:18" s="1" customFormat="1" x14ac:dyDescent="0.45">
      <c r="A170" s="7" t="str">
        <f t="shared" si="54"/>
        <v>02517000000</v>
      </c>
      <c r="B170" s="7" t="str">
        <f t="shared" si="55"/>
        <v>日本万国博覧会記念公園</v>
      </c>
      <c r="C170" s="7" t="str">
        <f t="shared" si="59"/>
        <v>行政財産</v>
      </c>
      <c r="D170" s="7" t="str">
        <f t="shared" si="56"/>
        <v>公園</v>
      </c>
      <c r="E170" s="7" t="str">
        <f t="shared" si="57"/>
        <v>大阪府吹田市千里万博公園</v>
      </c>
      <c r="F170" s="7"/>
      <c r="G170" s="7" t="str">
        <f t="shared" si="51"/>
        <v>事業用資産</v>
      </c>
      <c r="H170" s="7" t="str">
        <f t="shared" si="52"/>
        <v>棚卸以外</v>
      </c>
      <c r="I170" s="7">
        <v>104</v>
      </c>
      <c r="J170" s="7" t="str">
        <f>"管理サービス地区（万博記念ビル）"</f>
        <v>管理サービス地区（万博記念ビル）</v>
      </c>
      <c r="K170" s="7" t="str">
        <f>"鉄筋コンクリート造"</f>
        <v>鉄筋コンクリート造</v>
      </c>
      <c r="L170" s="7" t="str">
        <f>"S44.09.01"</f>
        <v>S44.09.01</v>
      </c>
      <c r="M170" s="7">
        <v>11503.21</v>
      </c>
      <c r="N170" s="7">
        <v>199931783</v>
      </c>
      <c r="O170" s="7">
        <v>36339055</v>
      </c>
      <c r="P170" s="7">
        <v>0</v>
      </c>
      <c r="Q170" s="7" t="str">
        <f t="shared" si="60"/>
        <v>府民文化部</v>
      </c>
      <c r="R170" s="7" t="str">
        <f t="shared" si="58"/>
        <v>日本万国博覧会記念公園事務所</v>
      </c>
    </row>
    <row r="171" spans="1:18" s="1" customFormat="1" x14ac:dyDescent="0.45">
      <c r="A171" s="7" t="str">
        <f t="shared" si="54"/>
        <v>02517000000</v>
      </c>
      <c r="B171" s="7" t="str">
        <f t="shared" si="55"/>
        <v>日本万国博覧会記念公園</v>
      </c>
      <c r="C171" s="7" t="str">
        <f t="shared" si="59"/>
        <v>行政財産</v>
      </c>
      <c r="D171" s="7" t="str">
        <f t="shared" si="56"/>
        <v>公園</v>
      </c>
      <c r="E171" s="7" t="str">
        <f t="shared" si="57"/>
        <v>大阪府吹田市千里万博公園</v>
      </c>
      <c r="F171" s="7"/>
      <c r="G171" s="7" t="str">
        <f t="shared" si="51"/>
        <v>事業用資産</v>
      </c>
      <c r="H171" s="7" t="str">
        <f t="shared" si="52"/>
        <v>棚卸以外</v>
      </c>
      <c r="I171" s="7">
        <v>105</v>
      </c>
      <c r="J171" s="7" t="str">
        <f>"管理サービス地区（万博記念ビル車庫）"</f>
        <v>管理サービス地区（万博記念ビル車庫）</v>
      </c>
      <c r="K171" s="7" t="str">
        <f>"鉄骨造"</f>
        <v>鉄骨造</v>
      </c>
      <c r="L171" s="7" t="str">
        <f>"S62.11.01"</f>
        <v>S62.11.01</v>
      </c>
      <c r="M171" s="7">
        <v>294.05</v>
      </c>
      <c r="N171" s="7">
        <v>7705003</v>
      </c>
      <c r="O171" s="7">
        <v>2216291</v>
      </c>
      <c r="P171" s="7">
        <v>0</v>
      </c>
      <c r="Q171" s="7" t="str">
        <f t="shared" si="60"/>
        <v>府民文化部</v>
      </c>
      <c r="R171" s="7" t="str">
        <f t="shared" si="58"/>
        <v>日本万国博覧会記念公園事務所</v>
      </c>
    </row>
    <row r="172" spans="1:18" s="1" customFormat="1" x14ac:dyDescent="0.45">
      <c r="A172" s="7" t="str">
        <f t="shared" ref="A172:A203" si="61">"02517000000"</f>
        <v>02517000000</v>
      </c>
      <c r="B172" s="7" t="str">
        <f t="shared" ref="B172:B203" si="62">"日本万国博覧会記念公園"</f>
        <v>日本万国博覧会記念公園</v>
      </c>
      <c r="C172" s="7" t="str">
        <f t="shared" si="59"/>
        <v>行政財産</v>
      </c>
      <c r="D172" s="7" t="str">
        <f t="shared" ref="D172:D203" si="63">"公園"</f>
        <v>公園</v>
      </c>
      <c r="E172" s="7" t="str">
        <f t="shared" ref="E172:E203" si="64">"大阪府吹田市千里万博公園"</f>
        <v>大阪府吹田市千里万博公園</v>
      </c>
      <c r="F172" s="7"/>
      <c r="G172" s="7" t="str">
        <f t="shared" si="51"/>
        <v>事業用資産</v>
      </c>
      <c r="H172" s="7" t="str">
        <f t="shared" si="52"/>
        <v>棚卸以外</v>
      </c>
      <c r="I172" s="7">
        <v>107</v>
      </c>
      <c r="J172" s="7" t="str">
        <f>"管理サービス地区（総合案内所）"</f>
        <v>管理サービス地区（総合案内所）</v>
      </c>
      <c r="K172" s="7" t="str">
        <f>"鉄筋コンクリート造"</f>
        <v>鉄筋コンクリート造</v>
      </c>
      <c r="L172" s="7" t="str">
        <f>"H02.03.01"</f>
        <v>H02.03.01</v>
      </c>
      <c r="M172" s="7">
        <v>271.43</v>
      </c>
      <c r="N172" s="7">
        <v>50954038</v>
      </c>
      <c r="O172" s="7">
        <v>9325832</v>
      </c>
      <c r="P172" s="7">
        <v>0</v>
      </c>
      <c r="Q172" s="7" t="str">
        <f t="shared" si="60"/>
        <v>府民文化部</v>
      </c>
      <c r="R172" s="7" t="str">
        <f t="shared" ref="R172:R203" si="65">"日本万国博覧会記念公園事務所"</f>
        <v>日本万国博覧会記念公園事務所</v>
      </c>
    </row>
    <row r="173" spans="1:18" s="1" customFormat="1" x14ac:dyDescent="0.45">
      <c r="A173" s="7" t="str">
        <f t="shared" si="61"/>
        <v>02517000000</v>
      </c>
      <c r="B173" s="7" t="str">
        <f t="shared" si="62"/>
        <v>日本万国博覧会記念公園</v>
      </c>
      <c r="C173" s="7" t="str">
        <f t="shared" si="59"/>
        <v>行政財産</v>
      </c>
      <c r="D173" s="7" t="str">
        <f t="shared" si="63"/>
        <v>公園</v>
      </c>
      <c r="E173" s="7" t="str">
        <f t="shared" si="64"/>
        <v>大阪府吹田市千里万博公園</v>
      </c>
      <c r="F173" s="7"/>
      <c r="G173" s="7" t="str">
        <f t="shared" si="51"/>
        <v>事業用資産</v>
      </c>
      <c r="H173" s="7" t="str">
        <f t="shared" si="52"/>
        <v>棚卸以外</v>
      </c>
      <c r="I173" s="7">
        <v>108</v>
      </c>
      <c r="J173" s="7" t="str">
        <f>"管理サービス地区（駅前広場前売店A)"</f>
        <v>管理サービス地区（駅前広場前売店A)</v>
      </c>
      <c r="K173" s="7" t="str">
        <f>"鉄骨造"</f>
        <v>鉄骨造</v>
      </c>
      <c r="L173" s="7" t="str">
        <f>"H02.03.01"</f>
        <v>H02.03.01</v>
      </c>
      <c r="M173" s="7">
        <v>102</v>
      </c>
      <c r="N173" s="7">
        <v>3779421</v>
      </c>
      <c r="O173" s="7">
        <v>1087120</v>
      </c>
      <c r="P173" s="7">
        <v>0</v>
      </c>
      <c r="Q173" s="7" t="str">
        <f t="shared" si="60"/>
        <v>府民文化部</v>
      </c>
      <c r="R173" s="7" t="str">
        <f t="shared" si="65"/>
        <v>日本万国博覧会記念公園事務所</v>
      </c>
    </row>
    <row r="174" spans="1:18" s="1" customFormat="1" x14ac:dyDescent="0.45">
      <c r="A174" s="7" t="str">
        <f t="shared" si="61"/>
        <v>02517000000</v>
      </c>
      <c r="B174" s="7" t="str">
        <f t="shared" si="62"/>
        <v>日本万国博覧会記念公園</v>
      </c>
      <c r="C174" s="7" t="str">
        <f t="shared" si="59"/>
        <v>行政財産</v>
      </c>
      <c r="D174" s="7" t="str">
        <f t="shared" si="63"/>
        <v>公園</v>
      </c>
      <c r="E174" s="7" t="str">
        <f t="shared" si="64"/>
        <v>大阪府吹田市千里万博公園</v>
      </c>
      <c r="F174" s="7"/>
      <c r="G174" s="7" t="str">
        <f t="shared" si="51"/>
        <v>事業用資産</v>
      </c>
      <c r="H174" s="7" t="str">
        <f t="shared" si="52"/>
        <v>棚卸以外</v>
      </c>
      <c r="I174" s="7">
        <v>109</v>
      </c>
      <c r="J174" s="7" t="str">
        <f>"管理サービス地区（駅前広場前売店B)"</f>
        <v>管理サービス地区（駅前広場前売店B)</v>
      </c>
      <c r="K174" s="7" t="str">
        <f>"鉄骨造"</f>
        <v>鉄骨造</v>
      </c>
      <c r="L174" s="7" t="str">
        <f>"H02.03.01"</f>
        <v>H02.03.01</v>
      </c>
      <c r="M174" s="7">
        <v>57.6</v>
      </c>
      <c r="N174" s="7">
        <v>3047923</v>
      </c>
      <c r="O174" s="7">
        <v>876758</v>
      </c>
      <c r="P174" s="7">
        <v>0</v>
      </c>
      <c r="Q174" s="7" t="str">
        <f t="shared" si="60"/>
        <v>府民文化部</v>
      </c>
      <c r="R174" s="7" t="str">
        <f t="shared" si="65"/>
        <v>日本万国博覧会記念公園事務所</v>
      </c>
    </row>
    <row r="175" spans="1:18" s="1" customFormat="1" ht="26.4" x14ac:dyDescent="0.45">
      <c r="A175" s="7" t="str">
        <f t="shared" si="61"/>
        <v>02517000000</v>
      </c>
      <c r="B175" s="7" t="str">
        <f t="shared" si="62"/>
        <v>日本万国博覧会記念公園</v>
      </c>
      <c r="C175" s="7" t="str">
        <f t="shared" si="59"/>
        <v>行政財産</v>
      </c>
      <c r="D175" s="7" t="str">
        <f t="shared" si="63"/>
        <v>公園</v>
      </c>
      <c r="E175" s="7" t="str">
        <f t="shared" si="64"/>
        <v>大阪府吹田市千里万博公園</v>
      </c>
      <c r="F175" s="7"/>
      <c r="G175" s="7" t="str">
        <f t="shared" si="51"/>
        <v>事業用資産</v>
      </c>
      <c r="H175" s="7" t="str">
        <f t="shared" si="52"/>
        <v>棚卸以外</v>
      </c>
      <c r="I175" s="7">
        <v>110</v>
      </c>
      <c r="J175" s="7" t="str">
        <f>"管理サービス地区（中央駐車場内トイレ）"</f>
        <v>管理サービス地区（中央駐車場内トイレ）</v>
      </c>
      <c r="K175" s="7" t="str">
        <f>"鉄骨造"</f>
        <v>鉄骨造</v>
      </c>
      <c r="L175" s="7" t="str">
        <f>"S63.03.01"</f>
        <v>S63.03.01</v>
      </c>
      <c r="M175" s="7">
        <v>160.56</v>
      </c>
      <c r="N175" s="7">
        <v>44541046</v>
      </c>
      <c r="O175" s="7">
        <v>9219595</v>
      </c>
      <c r="P175" s="7">
        <v>0</v>
      </c>
      <c r="Q175" s="7" t="str">
        <f t="shared" si="60"/>
        <v>府民文化部</v>
      </c>
      <c r="R175" s="7" t="str">
        <f t="shared" si="65"/>
        <v>日本万国博覧会記念公園事務所</v>
      </c>
    </row>
    <row r="176" spans="1:18" s="1" customFormat="1" x14ac:dyDescent="0.45">
      <c r="A176" s="7" t="str">
        <f t="shared" si="61"/>
        <v>02517000000</v>
      </c>
      <c r="B176" s="7" t="str">
        <f t="shared" si="62"/>
        <v>日本万国博覧会記念公園</v>
      </c>
      <c r="C176" s="7" t="str">
        <f t="shared" si="59"/>
        <v>行政財産</v>
      </c>
      <c r="D176" s="7" t="str">
        <f t="shared" si="63"/>
        <v>公園</v>
      </c>
      <c r="E176" s="7" t="str">
        <f t="shared" si="64"/>
        <v>大阪府吹田市千里万博公園</v>
      </c>
      <c r="F176" s="7"/>
      <c r="G176" s="7" t="str">
        <f t="shared" si="51"/>
        <v>事業用資産</v>
      </c>
      <c r="H176" s="7" t="str">
        <f t="shared" si="52"/>
        <v>棚卸以外</v>
      </c>
      <c r="I176" s="7">
        <v>111</v>
      </c>
      <c r="J176" s="7" t="str">
        <f>"管理サービス地区（中央駐車場詰所）"</f>
        <v>管理サービス地区（中央駐車場詰所）</v>
      </c>
      <c r="K176" s="7" t="str">
        <f>"土蔵造(簡易建物)"</f>
        <v>土蔵造(簡易建物)</v>
      </c>
      <c r="L176" s="7" t="str">
        <f>"H03.03.01"</f>
        <v>H03.03.01</v>
      </c>
      <c r="M176" s="7">
        <v>12.4</v>
      </c>
      <c r="N176" s="7">
        <v>90594</v>
      </c>
      <c r="O176" s="7">
        <v>26964</v>
      </c>
      <c r="P176" s="7">
        <v>0</v>
      </c>
      <c r="Q176" s="7" t="str">
        <f t="shared" si="60"/>
        <v>府民文化部</v>
      </c>
      <c r="R176" s="7" t="str">
        <f t="shared" si="65"/>
        <v>日本万国博覧会記念公園事務所</v>
      </c>
    </row>
    <row r="177" spans="1:18" s="1" customFormat="1" ht="26.4" x14ac:dyDescent="0.45">
      <c r="A177" s="7" t="str">
        <f t="shared" si="61"/>
        <v>02517000000</v>
      </c>
      <c r="B177" s="7" t="str">
        <f t="shared" si="62"/>
        <v>日本万国博覧会記念公園</v>
      </c>
      <c r="C177" s="7" t="str">
        <f t="shared" si="59"/>
        <v>行政財産</v>
      </c>
      <c r="D177" s="7" t="str">
        <f t="shared" si="63"/>
        <v>公園</v>
      </c>
      <c r="E177" s="7" t="str">
        <f t="shared" si="64"/>
        <v>大阪府吹田市千里万博公園</v>
      </c>
      <c r="F177" s="7"/>
      <c r="G177" s="7" t="str">
        <f t="shared" si="51"/>
        <v>事業用資産</v>
      </c>
      <c r="H177" s="7" t="str">
        <f t="shared" si="52"/>
        <v>棚卸以外</v>
      </c>
      <c r="I177" s="7">
        <v>112</v>
      </c>
      <c r="J177" s="7" t="str">
        <f>"管理サービス地区（中央駐車場料金ボックス上屋）"</f>
        <v>管理サービス地区（中央駐車場料金ボックス上屋）</v>
      </c>
      <c r="K177" s="7" t="str">
        <f>"鉄骨造"</f>
        <v>鉄骨造</v>
      </c>
      <c r="L177" s="7" t="str">
        <f>"H08.03.01"</f>
        <v>H08.03.01</v>
      </c>
      <c r="M177" s="7">
        <v>55.8</v>
      </c>
      <c r="N177" s="7">
        <v>10027</v>
      </c>
      <c r="O177" s="7">
        <v>2354</v>
      </c>
      <c r="P177" s="7">
        <v>0</v>
      </c>
      <c r="Q177" s="7" t="str">
        <f t="shared" si="60"/>
        <v>府民文化部</v>
      </c>
      <c r="R177" s="7" t="str">
        <f t="shared" si="65"/>
        <v>日本万国博覧会記念公園事務所</v>
      </c>
    </row>
    <row r="178" spans="1:18" s="1" customFormat="1" x14ac:dyDescent="0.45">
      <c r="A178" s="7" t="str">
        <f t="shared" si="61"/>
        <v>02517000000</v>
      </c>
      <c r="B178" s="7" t="str">
        <f t="shared" si="62"/>
        <v>日本万国博覧会記念公園</v>
      </c>
      <c r="C178" s="7" t="str">
        <f t="shared" si="59"/>
        <v>行政財産</v>
      </c>
      <c r="D178" s="7" t="str">
        <f t="shared" si="63"/>
        <v>公園</v>
      </c>
      <c r="E178" s="7" t="str">
        <f t="shared" si="64"/>
        <v>大阪府吹田市千里万博公園</v>
      </c>
      <c r="F178" s="7"/>
      <c r="G178" s="7" t="str">
        <f t="shared" si="51"/>
        <v>事業用資産</v>
      </c>
      <c r="H178" s="7" t="str">
        <f t="shared" si="52"/>
        <v>棚卸以外</v>
      </c>
      <c r="I178" s="7">
        <v>114</v>
      </c>
      <c r="J178" s="7" t="str">
        <f>"第3苗圃建屋"</f>
        <v>第3苗圃建屋</v>
      </c>
      <c r="K178" s="7" t="str">
        <f>"鉄骨造"</f>
        <v>鉄骨造</v>
      </c>
      <c r="L178" s="7" t="str">
        <f>"S63.12.01"</f>
        <v>S63.12.01</v>
      </c>
      <c r="M178" s="7">
        <v>50</v>
      </c>
      <c r="N178" s="7">
        <v>52751</v>
      </c>
      <c r="O178" s="7">
        <v>15194</v>
      </c>
      <c r="P178" s="7">
        <v>0</v>
      </c>
      <c r="Q178" s="7" t="str">
        <f t="shared" si="60"/>
        <v>府民文化部</v>
      </c>
      <c r="R178" s="7" t="str">
        <f t="shared" si="65"/>
        <v>日本万国博覧会記念公園事務所</v>
      </c>
    </row>
    <row r="179" spans="1:18" s="1" customFormat="1" ht="26.4" x14ac:dyDescent="0.45">
      <c r="A179" s="7" t="str">
        <f t="shared" si="61"/>
        <v>02517000000</v>
      </c>
      <c r="B179" s="7" t="str">
        <f t="shared" si="62"/>
        <v>日本万国博覧会記念公園</v>
      </c>
      <c r="C179" s="7" t="str">
        <f t="shared" ref="C179:C210" si="66">"行政財産"</f>
        <v>行政財産</v>
      </c>
      <c r="D179" s="7" t="str">
        <f t="shared" si="63"/>
        <v>公園</v>
      </c>
      <c r="E179" s="7" t="str">
        <f t="shared" si="64"/>
        <v>大阪府吹田市千里万博公園</v>
      </c>
      <c r="F179" s="7"/>
      <c r="G179" s="7" t="str">
        <f t="shared" si="51"/>
        <v>事業用資産</v>
      </c>
      <c r="H179" s="7" t="str">
        <f t="shared" si="52"/>
        <v>棚卸以外</v>
      </c>
      <c r="I179" s="7">
        <v>115</v>
      </c>
      <c r="J179" s="7" t="str">
        <f>"自然文化園（第3工区売店付便所・万葉の里付近）"</f>
        <v>自然文化園（第3工区売店付便所・万葉の里付近）</v>
      </c>
      <c r="K179" s="7" t="str">
        <f>"鉄筋コンクリート造"</f>
        <v>鉄筋コンクリート造</v>
      </c>
      <c r="L179" s="7" t="str">
        <f>"S51.10.01"</f>
        <v>S51.10.01</v>
      </c>
      <c r="M179" s="7">
        <v>50.6</v>
      </c>
      <c r="N179" s="7">
        <v>18140780</v>
      </c>
      <c r="O179" s="7">
        <v>1278222</v>
      </c>
      <c r="P179" s="7">
        <v>0</v>
      </c>
      <c r="Q179" s="7" t="str">
        <f t="shared" si="60"/>
        <v>府民文化部</v>
      </c>
      <c r="R179" s="7" t="str">
        <f t="shared" si="65"/>
        <v>日本万国博覧会記念公園事務所</v>
      </c>
    </row>
    <row r="180" spans="1:18" s="1" customFormat="1" x14ac:dyDescent="0.45">
      <c r="A180" s="7" t="str">
        <f t="shared" si="61"/>
        <v>02517000000</v>
      </c>
      <c r="B180" s="7" t="str">
        <f t="shared" si="62"/>
        <v>日本万国博覧会記念公園</v>
      </c>
      <c r="C180" s="7" t="str">
        <f t="shared" si="66"/>
        <v>行政財産</v>
      </c>
      <c r="D180" s="7" t="str">
        <f t="shared" si="63"/>
        <v>公園</v>
      </c>
      <c r="E180" s="7" t="str">
        <f t="shared" si="64"/>
        <v>大阪府吹田市千里万博公園</v>
      </c>
      <c r="F180" s="7"/>
      <c r="G180" s="7" t="str">
        <f t="shared" si="51"/>
        <v>事業用資産</v>
      </c>
      <c r="H180" s="7" t="str">
        <f t="shared" si="52"/>
        <v>棚卸以外</v>
      </c>
      <c r="I180" s="7">
        <v>116</v>
      </c>
      <c r="J180" s="7" t="str">
        <f>"自然文化園（第5工区・中央口ゲート）"</f>
        <v>自然文化園（第5工区・中央口ゲート）</v>
      </c>
      <c r="K180" s="7" t="str">
        <f>"鉄筋コンクリート造"</f>
        <v>鉄筋コンクリート造</v>
      </c>
      <c r="L180" s="7" t="str">
        <f>"S54.04.01"</f>
        <v>S54.04.01</v>
      </c>
      <c r="M180" s="7">
        <v>310.39999999999998</v>
      </c>
      <c r="N180" s="7">
        <v>121783714</v>
      </c>
      <c r="O180" s="7">
        <v>13750943</v>
      </c>
      <c r="P180" s="7">
        <v>0</v>
      </c>
      <c r="Q180" s="7" t="str">
        <f t="shared" si="60"/>
        <v>府民文化部</v>
      </c>
      <c r="R180" s="7" t="str">
        <f t="shared" si="65"/>
        <v>日本万国博覧会記念公園事務所</v>
      </c>
    </row>
    <row r="181" spans="1:18" s="1" customFormat="1" ht="26.4" x14ac:dyDescent="0.45">
      <c r="A181" s="7" t="str">
        <f t="shared" si="61"/>
        <v>02517000000</v>
      </c>
      <c r="B181" s="7" t="str">
        <f t="shared" si="62"/>
        <v>日本万国博覧会記念公園</v>
      </c>
      <c r="C181" s="7" t="str">
        <f t="shared" si="66"/>
        <v>行政財産</v>
      </c>
      <c r="D181" s="7" t="str">
        <f t="shared" si="63"/>
        <v>公園</v>
      </c>
      <c r="E181" s="7" t="str">
        <f t="shared" si="64"/>
        <v>大阪府吹田市千里万博公園</v>
      </c>
      <c r="F181" s="7"/>
      <c r="G181" s="7" t="str">
        <f t="shared" si="51"/>
        <v>事業用資産</v>
      </c>
      <c r="H181" s="7" t="str">
        <f t="shared" si="52"/>
        <v>棚卸以外</v>
      </c>
      <c r="I181" s="7">
        <v>119</v>
      </c>
      <c r="J181" s="7" t="str">
        <f>"自然文化園（第3工区・清掃作業員詰所（車庫等））"</f>
        <v>自然文化園（第3工区・清掃作業員詰所（車庫等））</v>
      </c>
      <c r="K181" s="7" t="str">
        <f>"鉄骨造"</f>
        <v>鉄骨造</v>
      </c>
      <c r="L181" s="7" t="str">
        <f>"H07.03.01"</f>
        <v>H07.03.01</v>
      </c>
      <c r="M181" s="7">
        <v>45.74</v>
      </c>
      <c r="N181" s="7">
        <v>3535000</v>
      </c>
      <c r="O181" s="7">
        <v>1016821</v>
      </c>
      <c r="P181" s="7">
        <v>0</v>
      </c>
      <c r="Q181" s="7" t="str">
        <f t="shared" si="60"/>
        <v>府民文化部</v>
      </c>
      <c r="R181" s="7" t="str">
        <f t="shared" si="65"/>
        <v>日本万国博覧会記念公園事務所</v>
      </c>
    </row>
    <row r="182" spans="1:18" s="1" customFormat="1" ht="26.4" x14ac:dyDescent="0.45">
      <c r="A182" s="7" t="str">
        <f t="shared" si="61"/>
        <v>02517000000</v>
      </c>
      <c r="B182" s="7" t="str">
        <f t="shared" si="62"/>
        <v>日本万国博覧会記念公園</v>
      </c>
      <c r="C182" s="7" t="str">
        <f t="shared" si="66"/>
        <v>行政財産</v>
      </c>
      <c r="D182" s="7" t="str">
        <f t="shared" si="63"/>
        <v>公園</v>
      </c>
      <c r="E182" s="7" t="str">
        <f t="shared" si="64"/>
        <v>大阪府吹田市千里万博公園</v>
      </c>
      <c r="F182" s="7"/>
      <c r="G182" s="7" t="str">
        <f t="shared" si="51"/>
        <v>事業用資産</v>
      </c>
      <c r="H182" s="7" t="str">
        <f t="shared" si="52"/>
        <v>棚卸以外</v>
      </c>
      <c r="I182" s="7">
        <v>120</v>
      </c>
      <c r="J182" s="7" t="str">
        <f>"自然文化園（第3工区・清掃作業員詰所（倉庫））"</f>
        <v>自然文化園（第3工区・清掃作業員詰所（倉庫））</v>
      </c>
      <c r="K182" s="7" t="str">
        <f>"鉄骨造"</f>
        <v>鉄骨造</v>
      </c>
      <c r="L182" s="7" t="str">
        <f>"H07.03.01"</f>
        <v>H07.03.01</v>
      </c>
      <c r="M182" s="7">
        <v>6.1</v>
      </c>
      <c r="N182" s="7">
        <v>471436</v>
      </c>
      <c r="O182" s="7">
        <v>135676</v>
      </c>
      <c r="P182" s="7">
        <v>0</v>
      </c>
      <c r="Q182" s="7" t="str">
        <f t="shared" si="60"/>
        <v>府民文化部</v>
      </c>
      <c r="R182" s="7" t="str">
        <f t="shared" si="65"/>
        <v>日本万国博覧会記念公園事務所</v>
      </c>
    </row>
    <row r="183" spans="1:18" s="1" customFormat="1" ht="26.4" x14ac:dyDescent="0.45">
      <c r="A183" s="7" t="str">
        <f t="shared" si="61"/>
        <v>02517000000</v>
      </c>
      <c r="B183" s="7" t="str">
        <f t="shared" si="62"/>
        <v>日本万国博覧会記念公園</v>
      </c>
      <c r="C183" s="7" t="str">
        <f t="shared" si="66"/>
        <v>行政財産</v>
      </c>
      <c r="D183" s="7" t="str">
        <f t="shared" si="63"/>
        <v>公園</v>
      </c>
      <c r="E183" s="7" t="str">
        <f t="shared" si="64"/>
        <v>大阪府吹田市千里万博公園</v>
      </c>
      <c r="F183" s="7"/>
      <c r="G183" s="7" t="str">
        <f t="shared" si="51"/>
        <v>事業用資産</v>
      </c>
      <c r="H183" s="7" t="str">
        <f t="shared" si="52"/>
        <v>棚卸以外</v>
      </c>
      <c r="I183" s="7">
        <v>121</v>
      </c>
      <c r="J183" s="7" t="str">
        <f>"運動施設西地区（テニスコート内トイレ№2）"</f>
        <v>運動施設西地区（テニスコート内トイレ№2）</v>
      </c>
      <c r="K183" s="7" t="str">
        <f>"鉄筋コンクリート造"</f>
        <v>鉄筋コンクリート造</v>
      </c>
      <c r="L183" s="7" t="str">
        <f>"S53.03.01"</f>
        <v>S53.03.01</v>
      </c>
      <c r="M183" s="7">
        <v>50</v>
      </c>
      <c r="N183" s="7">
        <v>1852317</v>
      </c>
      <c r="O183" s="7">
        <v>434741</v>
      </c>
      <c r="P183" s="7">
        <v>0</v>
      </c>
      <c r="Q183" s="7" t="str">
        <f t="shared" si="60"/>
        <v>府民文化部</v>
      </c>
      <c r="R183" s="7" t="str">
        <f t="shared" si="65"/>
        <v>日本万国博覧会記念公園事務所</v>
      </c>
    </row>
    <row r="184" spans="1:18" s="1" customFormat="1" x14ac:dyDescent="0.45">
      <c r="A184" s="7" t="str">
        <f t="shared" si="61"/>
        <v>02517000000</v>
      </c>
      <c r="B184" s="7" t="str">
        <f t="shared" si="62"/>
        <v>日本万国博覧会記念公園</v>
      </c>
      <c r="C184" s="7" t="str">
        <f t="shared" si="66"/>
        <v>行政財産</v>
      </c>
      <c r="D184" s="7" t="str">
        <f t="shared" si="63"/>
        <v>公園</v>
      </c>
      <c r="E184" s="7" t="str">
        <f t="shared" si="64"/>
        <v>大阪府吹田市千里万博公園</v>
      </c>
      <c r="F184" s="7"/>
      <c r="G184" s="7" t="str">
        <f t="shared" si="51"/>
        <v>事業用資産</v>
      </c>
      <c r="H184" s="7" t="str">
        <f t="shared" si="52"/>
        <v>棚卸以外</v>
      </c>
      <c r="I184" s="7">
        <v>122</v>
      </c>
      <c r="J184" s="7" t="str">
        <f>"運動施設東地区（少年野球場便所№2）"</f>
        <v>運動施設東地区（少年野球場便所№2）</v>
      </c>
      <c r="K184" s="7" t="str">
        <f>"コンクリートブロック造"</f>
        <v>コンクリートブロック造</v>
      </c>
      <c r="L184" s="7" t="str">
        <f>"S48.03.01"</f>
        <v>S48.03.01</v>
      </c>
      <c r="M184" s="7">
        <v>17.5</v>
      </c>
      <c r="N184" s="7">
        <v>583320</v>
      </c>
      <c r="O184" s="7">
        <v>153010</v>
      </c>
      <c r="P184" s="7">
        <v>0</v>
      </c>
      <c r="Q184" s="7" t="str">
        <f t="shared" si="60"/>
        <v>府民文化部</v>
      </c>
      <c r="R184" s="7" t="str">
        <f t="shared" si="65"/>
        <v>日本万国博覧会記念公園事務所</v>
      </c>
    </row>
    <row r="185" spans="1:18" s="1" customFormat="1" ht="26.4" x14ac:dyDescent="0.45">
      <c r="A185" s="7" t="str">
        <f t="shared" si="61"/>
        <v>02517000000</v>
      </c>
      <c r="B185" s="7" t="str">
        <f t="shared" si="62"/>
        <v>日本万国博覧会記念公園</v>
      </c>
      <c r="C185" s="7" t="str">
        <f t="shared" si="66"/>
        <v>行政財産</v>
      </c>
      <c r="D185" s="7" t="str">
        <f t="shared" si="63"/>
        <v>公園</v>
      </c>
      <c r="E185" s="7" t="str">
        <f t="shared" si="64"/>
        <v>大阪府吹田市千里万博公園</v>
      </c>
      <c r="F185" s="7"/>
      <c r="G185" s="7" t="str">
        <f t="shared" si="51"/>
        <v>事業用資産</v>
      </c>
      <c r="H185" s="7" t="str">
        <f t="shared" si="52"/>
        <v>棚卸以外</v>
      </c>
      <c r="I185" s="7">
        <v>123</v>
      </c>
      <c r="J185" s="7" t="str">
        <f>"運動施設東地区（万博記念競技場・サイドスタンド南）"</f>
        <v>運動施設東地区（万博記念競技場・サイドスタンド南）</v>
      </c>
      <c r="K185" s="7" t="str">
        <f>"鉄筋コンクリート造"</f>
        <v>鉄筋コンクリート造</v>
      </c>
      <c r="L185" s="7" t="str">
        <f>"S62.03.01"</f>
        <v>S62.03.01</v>
      </c>
      <c r="M185" s="7">
        <v>1015.34</v>
      </c>
      <c r="N185" s="7">
        <v>79587471</v>
      </c>
      <c r="O185" s="7">
        <v>14193122</v>
      </c>
      <c r="P185" s="7">
        <v>0</v>
      </c>
      <c r="Q185" s="7" t="str">
        <f t="shared" si="60"/>
        <v>府民文化部</v>
      </c>
      <c r="R185" s="7" t="str">
        <f t="shared" si="65"/>
        <v>日本万国博覧会記念公園事務所</v>
      </c>
    </row>
    <row r="186" spans="1:18" s="1" customFormat="1" ht="26.4" x14ac:dyDescent="0.45">
      <c r="A186" s="7" t="str">
        <f t="shared" si="61"/>
        <v>02517000000</v>
      </c>
      <c r="B186" s="7" t="str">
        <f t="shared" si="62"/>
        <v>日本万国博覧会記念公園</v>
      </c>
      <c r="C186" s="7" t="str">
        <f t="shared" si="66"/>
        <v>行政財産</v>
      </c>
      <c r="D186" s="7" t="str">
        <f t="shared" si="63"/>
        <v>公園</v>
      </c>
      <c r="E186" s="7" t="str">
        <f t="shared" si="64"/>
        <v>大阪府吹田市千里万博公園</v>
      </c>
      <c r="F186" s="7"/>
      <c r="G186" s="7" t="str">
        <f t="shared" si="51"/>
        <v>事業用資産</v>
      </c>
      <c r="H186" s="7" t="str">
        <f t="shared" si="52"/>
        <v>棚卸以外</v>
      </c>
      <c r="I186" s="7">
        <v>124</v>
      </c>
      <c r="J186" s="7" t="str">
        <f>"運動施設南地区（野球場内屋外便所№2）"</f>
        <v>運動施設南地区（野球場内屋外便所№2）</v>
      </c>
      <c r="K186" s="7" t="str">
        <f>"鉄骨造"</f>
        <v>鉄骨造</v>
      </c>
      <c r="L186" s="7" t="str">
        <f>"S49.07.01"</f>
        <v>S49.07.01</v>
      </c>
      <c r="M186" s="7">
        <v>20.98</v>
      </c>
      <c r="N186" s="7">
        <v>4915527</v>
      </c>
      <c r="O186" s="7">
        <v>1075913</v>
      </c>
      <c r="P186" s="7">
        <v>0</v>
      </c>
      <c r="Q186" s="7" t="str">
        <f t="shared" si="60"/>
        <v>府民文化部</v>
      </c>
      <c r="R186" s="7" t="str">
        <f t="shared" si="65"/>
        <v>日本万国博覧会記念公園事務所</v>
      </c>
    </row>
    <row r="187" spans="1:18" s="1" customFormat="1" ht="26.4" x14ac:dyDescent="0.45">
      <c r="A187" s="7" t="str">
        <f t="shared" si="61"/>
        <v>02517000000</v>
      </c>
      <c r="B187" s="7" t="str">
        <f t="shared" si="62"/>
        <v>日本万国博覧会記念公園</v>
      </c>
      <c r="C187" s="7" t="str">
        <f t="shared" si="66"/>
        <v>行政財産</v>
      </c>
      <c r="D187" s="7" t="str">
        <f t="shared" si="63"/>
        <v>公園</v>
      </c>
      <c r="E187" s="7" t="str">
        <f t="shared" si="64"/>
        <v>大阪府吹田市千里万博公園</v>
      </c>
      <c r="F187" s="7"/>
      <c r="G187" s="7" t="str">
        <f t="shared" si="51"/>
        <v>事業用資産</v>
      </c>
      <c r="H187" s="7" t="str">
        <f t="shared" si="52"/>
        <v>棚卸以外</v>
      </c>
      <c r="I187" s="7">
        <v>125</v>
      </c>
      <c r="J187" s="7" t="str">
        <f>"自然文化園（第4工区・イベント用備品倉庫）"</f>
        <v>自然文化園（第4工区・イベント用備品倉庫）</v>
      </c>
      <c r="K187" s="7" t="str">
        <f>"土蔵造(簡易建物)"</f>
        <v>土蔵造(簡易建物)</v>
      </c>
      <c r="L187" s="7" t="str">
        <f>"H15.10.01"</f>
        <v>H15.10.01</v>
      </c>
      <c r="M187" s="7">
        <v>42.4</v>
      </c>
      <c r="N187" s="7">
        <v>381895</v>
      </c>
      <c r="O187" s="7">
        <v>141989</v>
      </c>
      <c r="P187" s="7">
        <v>0</v>
      </c>
      <c r="Q187" s="7" t="str">
        <f t="shared" si="60"/>
        <v>府民文化部</v>
      </c>
      <c r="R187" s="7" t="str">
        <f t="shared" si="65"/>
        <v>日本万国博覧会記念公園事務所</v>
      </c>
    </row>
    <row r="188" spans="1:18" s="1" customFormat="1" ht="26.4" x14ac:dyDescent="0.45">
      <c r="A188" s="7" t="str">
        <f t="shared" si="61"/>
        <v>02517000000</v>
      </c>
      <c r="B188" s="7" t="str">
        <f t="shared" si="62"/>
        <v>日本万国博覧会記念公園</v>
      </c>
      <c r="C188" s="7" t="str">
        <f t="shared" si="66"/>
        <v>行政財産</v>
      </c>
      <c r="D188" s="7" t="str">
        <f t="shared" si="63"/>
        <v>公園</v>
      </c>
      <c r="E188" s="7" t="str">
        <f t="shared" si="64"/>
        <v>大阪府吹田市千里万博公園</v>
      </c>
      <c r="F188" s="7"/>
      <c r="G188" s="7" t="str">
        <f t="shared" si="51"/>
        <v>事業用資産</v>
      </c>
      <c r="H188" s="7" t="str">
        <f t="shared" si="52"/>
        <v>棚卸以外</v>
      </c>
      <c r="I188" s="7">
        <v>126</v>
      </c>
      <c r="J188" s="7" t="str">
        <f>"自然文化園（第3工区・森の足湯　建屋西側）"</f>
        <v>自然文化園（第3工区・森の足湯　建屋西側）</v>
      </c>
      <c r="K188" s="7" t="str">
        <f>"木造"</f>
        <v>木造</v>
      </c>
      <c r="L188" s="7" t="str">
        <f>"H18.03.31"</f>
        <v>H18.03.31</v>
      </c>
      <c r="M188" s="7">
        <v>9.5</v>
      </c>
      <c r="N188" s="7">
        <v>85554</v>
      </c>
      <c r="O188" s="7">
        <v>34775</v>
      </c>
      <c r="P188" s="7">
        <v>0</v>
      </c>
      <c r="Q188" s="7" t="str">
        <f t="shared" si="60"/>
        <v>府民文化部</v>
      </c>
      <c r="R188" s="7" t="str">
        <f t="shared" si="65"/>
        <v>日本万国博覧会記念公園事務所</v>
      </c>
    </row>
    <row r="189" spans="1:18" s="1" customFormat="1" ht="26.4" x14ac:dyDescent="0.45">
      <c r="A189" s="7" t="str">
        <f t="shared" si="61"/>
        <v>02517000000</v>
      </c>
      <c r="B189" s="7" t="str">
        <f t="shared" si="62"/>
        <v>日本万国博覧会記念公園</v>
      </c>
      <c r="C189" s="7" t="str">
        <f t="shared" si="66"/>
        <v>行政財産</v>
      </c>
      <c r="D189" s="7" t="str">
        <f t="shared" si="63"/>
        <v>公園</v>
      </c>
      <c r="E189" s="7" t="str">
        <f t="shared" si="64"/>
        <v>大阪府吹田市千里万博公園</v>
      </c>
      <c r="F189" s="7"/>
      <c r="G189" s="7" t="str">
        <f t="shared" si="51"/>
        <v>事業用資産</v>
      </c>
      <c r="H189" s="7" t="str">
        <f t="shared" si="52"/>
        <v>棚卸以外</v>
      </c>
      <c r="I189" s="7">
        <v>127</v>
      </c>
      <c r="J189" s="7" t="str">
        <f>"自然文化園（第3工区・森の足湯　建屋東側）"</f>
        <v>自然文化園（第3工区・森の足湯　建屋東側）</v>
      </c>
      <c r="K189" s="7" t="str">
        <f>"木造"</f>
        <v>木造</v>
      </c>
      <c r="L189" s="7" t="str">
        <f>"H18.03.31"</f>
        <v>H18.03.31</v>
      </c>
      <c r="M189" s="7">
        <v>13.2</v>
      </c>
      <c r="N189" s="7">
        <v>118875</v>
      </c>
      <c r="O189" s="7">
        <v>48257</v>
      </c>
      <c r="P189" s="7">
        <v>0</v>
      </c>
      <c r="Q189" s="7" t="str">
        <f t="shared" si="60"/>
        <v>府民文化部</v>
      </c>
      <c r="R189" s="7" t="str">
        <f t="shared" si="65"/>
        <v>日本万国博覧会記念公園事務所</v>
      </c>
    </row>
    <row r="190" spans="1:18" s="1" customFormat="1" ht="26.4" x14ac:dyDescent="0.45">
      <c r="A190" s="7" t="str">
        <f t="shared" si="61"/>
        <v>02517000000</v>
      </c>
      <c r="B190" s="7" t="str">
        <f t="shared" si="62"/>
        <v>日本万国博覧会記念公園</v>
      </c>
      <c r="C190" s="7" t="str">
        <f t="shared" si="66"/>
        <v>行政財産</v>
      </c>
      <c r="D190" s="7" t="str">
        <f t="shared" si="63"/>
        <v>公園</v>
      </c>
      <c r="E190" s="7" t="str">
        <f t="shared" si="64"/>
        <v>大阪府吹田市千里万博公園</v>
      </c>
      <c r="F190" s="7"/>
      <c r="G190" s="7" t="str">
        <f t="shared" si="51"/>
        <v>事業用資産</v>
      </c>
      <c r="H190" s="7" t="str">
        <f t="shared" si="52"/>
        <v>棚卸以外</v>
      </c>
      <c r="I190" s="7">
        <v>128</v>
      </c>
      <c r="J190" s="7" t="str">
        <f>"自然文化園（第3工区・作業ヤード北側西倉庫）"</f>
        <v>自然文化園（第3工区・作業ヤード北側西倉庫）</v>
      </c>
      <c r="K190" s="7" t="str">
        <f>"土蔵造(簡易建物)"</f>
        <v>土蔵造(簡易建物)</v>
      </c>
      <c r="L190" s="7" t="str">
        <f>"H26.02.17"</f>
        <v>H26.02.17</v>
      </c>
      <c r="M190" s="7">
        <v>10.5</v>
      </c>
      <c r="N190" s="7">
        <v>225323</v>
      </c>
      <c r="O190" s="7">
        <v>83781</v>
      </c>
      <c r="P190" s="7">
        <v>0</v>
      </c>
      <c r="Q190" s="7" t="str">
        <f t="shared" si="60"/>
        <v>府民文化部</v>
      </c>
      <c r="R190" s="7" t="str">
        <f t="shared" si="65"/>
        <v>日本万国博覧会記念公園事務所</v>
      </c>
    </row>
    <row r="191" spans="1:18" s="1" customFormat="1" ht="26.4" x14ac:dyDescent="0.45">
      <c r="A191" s="7" t="str">
        <f t="shared" si="61"/>
        <v>02517000000</v>
      </c>
      <c r="B191" s="7" t="str">
        <f t="shared" si="62"/>
        <v>日本万国博覧会記念公園</v>
      </c>
      <c r="C191" s="7" t="str">
        <f t="shared" si="66"/>
        <v>行政財産</v>
      </c>
      <c r="D191" s="7" t="str">
        <f t="shared" si="63"/>
        <v>公園</v>
      </c>
      <c r="E191" s="7" t="str">
        <f t="shared" si="64"/>
        <v>大阪府吹田市千里万博公園</v>
      </c>
      <c r="F191" s="7"/>
      <c r="G191" s="7" t="str">
        <f t="shared" si="51"/>
        <v>事業用資産</v>
      </c>
      <c r="H191" s="7" t="str">
        <f t="shared" si="52"/>
        <v>棚卸以外</v>
      </c>
      <c r="I191" s="7">
        <v>129</v>
      </c>
      <c r="J191" s="7" t="str">
        <f>"自然文化園（第3工区・作業ヤード北側東倉庫）"</f>
        <v>自然文化園（第3工区・作業ヤード北側東倉庫）</v>
      </c>
      <c r="K191" s="7" t="str">
        <f>"土蔵造(簡易建物)"</f>
        <v>土蔵造(簡易建物)</v>
      </c>
      <c r="L191" s="7" t="str">
        <f>"H26.02.17"</f>
        <v>H26.02.17</v>
      </c>
      <c r="M191" s="7">
        <v>10.5</v>
      </c>
      <c r="N191" s="7">
        <v>225323</v>
      </c>
      <c r="O191" s="7">
        <v>83781</v>
      </c>
      <c r="P191" s="7">
        <v>0</v>
      </c>
      <c r="Q191" s="7" t="str">
        <f t="shared" si="60"/>
        <v>府民文化部</v>
      </c>
      <c r="R191" s="7" t="str">
        <f t="shared" si="65"/>
        <v>日本万国博覧会記念公園事務所</v>
      </c>
    </row>
    <row r="192" spans="1:18" s="1" customFormat="1" ht="26.4" x14ac:dyDescent="0.45">
      <c r="A192" s="7" t="str">
        <f t="shared" si="61"/>
        <v>02517000000</v>
      </c>
      <c r="B192" s="7" t="str">
        <f t="shared" si="62"/>
        <v>日本万国博覧会記念公園</v>
      </c>
      <c r="C192" s="7" t="str">
        <f t="shared" si="66"/>
        <v>行政財産</v>
      </c>
      <c r="D192" s="7" t="str">
        <f t="shared" si="63"/>
        <v>公園</v>
      </c>
      <c r="E192" s="7" t="str">
        <f t="shared" si="64"/>
        <v>大阪府吹田市千里万博公園</v>
      </c>
      <c r="F192" s="7"/>
      <c r="G192" s="7" t="str">
        <f t="shared" si="51"/>
        <v>事業用資産</v>
      </c>
      <c r="H192" s="7" t="str">
        <f t="shared" si="52"/>
        <v>棚卸以外</v>
      </c>
      <c r="I192" s="7">
        <v>130</v>
      </c>
      <c r="J192" s="7" t="str">
        <f>"自然文化園（第3工区・作業ヤード清掃作業員詰所隣北西側倉庫）"</f>
        <v>自然文化園（第3工区・作業ヤード清掃作業員詰所隣北西側倉庫）</v>
      </c>
      <c r="K192" s="7" t="str">
        <f>"鉄骨造"</f>
        <v>鉄骨造</v>
      </c>
      <c r="L192" s="7" t="str">
        <f>"H15.10.01"</f>
        <v>H15.10.01</v>
      </c>
      <c r="M192" s="7">
        <v>41.47</v>
      </c>
      <c r="N192" s="7">
        <v>373519</v>
      </c>
      <c r="O192" s="7">
        <v>107535</v>
      </c>
      <c r="P192" s="7">
        <v>0</v>
      </c>
      <c r="Q192" s="7" t="str">
        <f t="shared" si="60"/>
        <v>府民文化部</v>
      </c>
      <c r="R192" s="7" t="str">
        <f t="shared" si="65"/>
        <v>日本万国博覧会記念公園事務所</v>
      </c>
    </row>
    <row r="193" spans="1:18" s="1" customFormat="1" ht="26.4" x14ac:dyDescent="0.45">
      <c r="A193" s="7" t="str">
        <f t="shared" si="61"/>
        <v>02517000000</v>
      </c>
      <c r="B193" s="7" t="str">
        <f t="shared" si="62"/>
        <v>日本万国博覧会記念公園</v>
      </c>
      <c r="C193" s="7" t="str">
        <f t="shared" si="66"/>
        <v>行政財産</v>
      </c>
      <c r="D193" s="7" t="str">
        <f t="shared" si="63"/>
        <v>公園</v>
      </c>
      <c r="E193" s="7" t="str">
        <f t="shared" si="64"/>
        <v>大阪府吹田市千里万博公園</v>
      </c>
      <c r="F193" s="7"/>
      <c r="G193" s="7" t="str">
        <f t="shared" si="51"/>
        <v>事業用資産</v>
      </c>
      <c r="H193" s="7" t="str">
        <f t="shared" si="52"/>
        <v>棚卸以外</v>
      </c>
      <c r="I193" s="7">
        <v>131</v>
      </c>
      <c r="J193" s="7" t="str">
        <f>"自然文化園（第3工区・作業ヤード北側倉庫東隣倉庫）"</f>
        <v>自然文化園（第3工区・作業ヤード北側倉庫東隣倉庫）</v>
      </c>
      <c r="K193" s="7" t="str">
        <f>"土蔵造(簡易建物)"</f>
        <v>土蔵造(簡易建物)</v>
      </c>
      <c r="L193" s="7" t="str">
        <f>"H07.03.01"</f>
        <v>H07.03.01</v>
      </c>
      <c r="M193" s="7">
        <v>220.32</v>
      </c>
      <c r="N193" s="7">
        <v>481482</v>
      </c>
      <c r="O193" s="7">
        <v>178904</v>
      </c>
      <c r="P193" s="7">
        <v>0</v>
      </c>
      <c r="Q193" s="7" t="str">
        <f t="shared" si="60"/>
        <v>府民文化部</v>
      </c>
      <c r="R193" s="7" t="str">
        <f t="shared" si="65"/>
        <v>日本万国博覧会記念公園事務所</v>
      </c>
    </row>
    <row r="194" spans="1:18" s="1" customFormat="1" ht="26.4" x14ac:dyDescent="0.45">
      <c r="A194" s="7" t="str">
        <f t="shared" si="61"/>
        <v>02517000000</v>
      </c>
      <c r="B194" s="7" t="str">
        <f t="shared" si="62"/>
        <v>日本万国博覧会記念公園</v>
      </c>
      <c r="C194" s="7" t="str">
        <f t="shared" si="66"/>
        <v>行政財産</v>
      </c>
      <c r="D194" s="7" t="str">
        <f t="shared" si="63"/>
        <v>公園</v>
      </c>
      <c r="E194" s="7" t="str">
        <f t="shared" si="64"/>
        <v>大阪府吹田市千里万博公園</v>
      </c>
      <c r="F194" s="7"/>
      <c r="G194" s="7" t="str">
        <f t="shared" si="51"/>
        <v>事業用資産</v>
      </c>
      <c r="H194" s="7" t="str">
        <f t="shared" si="52"/>
        <v>棚卸以外</v>
      </c>
      <c r="I194" s="7">
        <v>132</v>
      </c>
      <c r="J194" s="7" t="str">
        <f>"自然文化園（第3工区・作業ヤードグリーンハウス）"</f>
        <v>自然文化園（第3工区・作業ヤードグリーンハウス）</v>
      </c>
      <c r="K194" s="7" t="str">
        <f>"鉄骨造"</f>
        <v>鉄骨造</v>
      </c>
      <c r="L194" s="7" t="str">
        <f t="shared" ref="L194:L209" si="67">"H15.10.01"</f>
        <v>H15.10.01</v>
      </c>
      <c r="M194" s="7">
        <v>64.8</v>
      </c>
      <c r="N194" s="7">
        <v>583651</v>
      </c>
      <c r="O194" s="7">
        <v>167883</v>
      </c>
      <c r="P194" s="7">
        <v>0</v>
      </c>
      <c r="Q194" s="7" t="str">
        <f t="shared" si="60"/>
        <v>府民文化部</v>
      </c>
      <c r="R194" s="7" t="str">
        <f t="shared" si="65"/>
        <v>日本万国博覧会記念公園事務所</v>
      </c>
    </row>
    <row r="195" spans="1:18" s="1" customFormat="1" ht="26.4" x14ac:dyDescent="0.45">
      <c r="A195" s="7" t="str">
        <f t="shared" si="61"/>
        <v>02517000000</v>
      </c>
      <c r="B195" s="7" t="str">
        <f t="shared" si="62"/>
        <v>日本万国博覧会記念公園</v>
      </c>
      <c r="C195" s="7" t="str">
        <f t="shared" si="66"/>
        <v>行政財産</v>
      </c>
      <c r="D195" s="7" t="str">
        <f t="shared" si="63"/>
        <v>公園</v>
      </c>
      <c r="E195" s="7" t="str">
        <f t="shared" si="64"/>
        <v>大阪府吹田市千里万博公園</v>
      </c>
      <c r="F195" s="7"/>
      <c r="G195" s="7" t="str">
        <f t="shared" ref="G195:G258" si="68">"事業用資産"</f>
        <v>事業用資産</v>
      </c>
      <c r="H195" s="7" t="str">
        <f t="shared" ref="H195:H258" si="69">"棚卸以外"</f>
        <v>棚卸以外</v>
      </c>
      <c r="I195" s="7">
        <v>133</v>
      </c>
      <c r="J195" s="7" t="str">
        <f>"管理サービス地区（千里橋ゲート北トイレットペーパー保管倉庫）"</f>
        <v>管理サービス地区（千里橋ゲート北トイレットペーパー保管倉庫）</v>
      </c>
      <c r="K195" s="7" t="str">
        <f>"土蔵造(簡易建物)"</f>
        <v>土蔵造(簡易建物)</v>
      </c>
      <c r="L195" s="7" t="str">
        <f t="shared" si="67"/>
        <v>H15.10.01</v>
      </c>
      <c r="M195" s="7">
        <v>29.04</v>
      </c>
      <c r="N195" s="7">
        <v>261562</v>
      </c>
      <c r="O195" s="7">
        <v>97263</v>
      </c>
      <c r="P195" s="7">
        <v>0</v>
      </c>
      <c r="Q195" s="7" t="str">
        <f t="shared" si="60"/>
        <v>府民文化部</v>
      </c>
      <c r="R195" s="7" t="str">
        <f t="shared" si="65"/>
        <v>日本万国博覧会記念公園事務所</v>
      </c>
    </row>
    <row r="196" spans="1:18" s="1" customFormat="1" ht="26.4" x14ac:dyDescent="0.45">
      <c r="A196" s="7" t="str">
        <f t="shared" si="61"/>
        <v>02517000000</v>
      </c>
      <c r="B196" s="7" t="str">
        <f t="shared" si="62"/>
        <v>日本万国博覧会記念公園</v>
      </c>
      <c r="C196" s="7" t="str">
        <f t="shared" si="66"/>
        <v>行政財産</v>
      </c>
      <c r="D196" s="7" t="str">
        <f t="shared" si="63"/>
        <v>公園</v>
      </c>
      <c r="E196" s="7" t="str">
        <f t="shared" si="64"/>
        <v>大阪府吹田市千里万博公園</v>
      </c>
      <c r="F196" s="7"/>
      <c r="G196" s="7" t="str">
        <f t="shared" si="68"/>
        <v>事業用資産</v>
      </c>
      <c r="H196" s="7" t="str">
        <f t="shared" si="69"/>
        <v>棚卸以外</v>
      </c>
      <c r="I196" s="7">
        <v>134</v>
      </c>
      <c r="J196" s="7" t="str">
        <f>"管理サービス地区（中央駐車場　旧料金ボックス）"</f>
        <v>管理サービス地区（中央駐車場　旧料金ボックス）</v>
      </c>
      <c r="K196" s="7" t="str">
        <f>"土蔵造(簡易建物)"</f>
        <v>土蔵造(簡易建物)</v>
      </c>
      <c r="L196" s="7" t="str">
        <f t="shared" si="67"/>
        <v>H15.10.01</v>
      </c>
      <c r="M196" s="7">
        <v>3.6</v>
      </c>
      <c r="N196" s="7">
        <v>177361</v>
      </c>
      <c r="O196" s="7">
        <v>52751</v>
      </c>
      <c r="P196" s="7">
        <v>0</v>
      </c>
      <c r="Q196" s="7" t="str">
        <f t="shared" si="60"/>
        <v>府民文化部</v>
      </c>
      <c r="R196" s="7" t="str">
        <f t="shared" si="65"/>
        <v>日本万国博覧会記念公園事務所</v>
      </c>
    </row>
    <row r="197" spans="1:18" s="1" customFormat="1" ht="26.4" x14ac:dyDescent="0.45">
      <c r="A197" s="7" t="str">
        <f t="shared" si="61"/>
        <v>02517000000</v>
      </c>
      <c r="B197" s="7" t="str">
        <f t="shared" si="62"/>
        <v>日本万国博覧会記念公園</v>
      </c>
      <c r="C197" s="7" t="str">
        <f t="shared" si="66"/>
        <v>行政財産</v>
      </c>
      <c r="D197" s="7" t="str">
        <f t="shared" si="63"/>
        <v>公園</v>
      </c>
      <c r="E197" s="7" t="str">
        <f t="shared" si="64"/>
        <v>大阪府吹田市千里万博公園</v>
      </c>
      <c r="F197" s="7"/>
      <c r="G197" s="7" t="str">
        <f t="shared" si="68"/>
        <v>事業用資産</v>
      </c>
      <c r="H197" s="7" t="str">
        <f t="shared" si="69"/>
        <v>棚卸以外</v>
      </c>
      <c r="I197" s="7">
        <v>135</v>
      </c>
      <c r="J197" s="7" t="str">
        <f>"管理サービス地区（中央駐車場　北側料金ボックス）"</f>
        <v>管理サービス地区（中央駐車場　北側料金ボックス）</v>
      </c>
      <c r="K197" s="7" t="str">
        <f>"土蔵造(簡易建物)"</f>
        <v>土蔵造(簡易建物)</v>
      </c>
      <c r="L197" s="7" t="str">
        <f t="shared" si="67"/>
        <v>H15.10.01</v>
      </c>
      <c r="M197" s="7">
        <v>3.12</v>
      </c>
      <c r="N197" s="7">
        <v>153713</v>
      </c>
      <c r="O197" s="7">
        <v>45689</v>
      </c>
      <c r="P197" s="7">
        <v>0</v>
      </c>
      <c r="Q197" s="7" t="str">
        <f t="shared" si="60"/>
        <v>府民文化部</v>
      </c>
      <c r="R197" s="7" t="str">
        <f t="shared" si="65"/>
        <v>日本万国博覧会記念公園事務所</v>
      </c>
    </row>
    <row r="198" spans="1:18" s="1" customFormat="1" ht="26.4" x14ac:dyDescent="0.45">
      <c r="A198" s="7" t="str">
        <f t="shared" si="61"/>
        <v>02517000000</v>
      </c>
      <c r="B198" s="7" t="str">
        <f t="shared" si="62"/>
        <v>日本万国博覧会記念公園</v>
      </c>
      <c r="C198" s="7" t="str">
        <f t="shared" si="66"/>
        <v>行政財産</v>
      </c>
      <c r="D198" s="7" t="str">
        <f t="shared" si="63"/>
        <v>公園</v>
      </c>
      <c r="E198" s="7" t="str">
        <f t="shared" si="64"/>
        <v>大阪府吹田市千里万博公園</v>
      </c>
      <c r="F198" s="7"/>
      <c r="G198" s="7" t="str">
        <f t="shared" si="68"/>
        <v>事業用資産</v>
      </c>
      <c r="H198" s="7" t="str">
        <f t="shared" si="69"/>
        <v>棚卸以外</v>
      </c>
      <c r="I198" s="7">
        <v>136</v>
      </c>
      <c r="J198" s="7" t="str">
        <f>"管理サービス地区（中央駐車場　東側警備詰所）"</f>
        <v>管理サービス地区（中央駐車場　東側警備詰所）</v>
      </c>
      <c r="K198" s="7" t="str">
        <f>"土蔵造(簡易建物)"</f>
        <v>土蔵造(簡易建物)</v>
      </c>
      <c r="L198" s="7" t="str">
        <f t="shared" si="67"/>
        <v>H15.10.01</v>
      </c>
      <c r="M198" s="7">
        <v>11.1</v>
      </c>
      <c r="N198" s="7">
        <v>99977</v>
      </c>
      <c r="O198" s="7">
        <v>29746</v>
      </c>
      <c r="P198" s="7">
        <v>0</v>
      </c>
      <c r="Q198" s="7" t="str">
        <f t="shared" ref="Q198:Q229" si="70">"府民文化部"</f>
        <v>府民文化部</v>
      </c>
      <c r="R198" s="7" t="str">
        <f t="shared" si="65"/>
        <v>日本万国博覧会記念公園事務所</v>
      </c>
    </row>
    <row r="199" spans="1:18" s="1" customFormat="1" ht="26.4" x14ac:dyDescent="0.45">
      <c r="A199" s="7" t="str">
        <f t="shared" si="61"/>
        <v>02517000000</v>
      </c>
      <c r="B199" s="7" t="str">
        <f t="shared" si="62"/>
        <v>日本万国博覧会記念公園</v>
      </c>
      <c r="C199" s="7" t="str">
        <f t="shared" si="66"/>
        <v>行政財産</v>
      </c>
      <c r="D199" s="7" t="str">
        <f t="shared" si="63"/>
        <v>公園</v>
      </c>
      <c r="E199" s="7" t="str">
        <f t="shared" si="64"/>
        <v>大阪府吹田市千里万博公園</v>
      </c>
      <c r="F199" s="7"/>
      <c r="G199" s="7" t="str">
        <f t="shared" si="68"/>
        <v>事業用資産</v>
      </c>
      <c r="H199" s="7" t="str">
        <f t="shared" si="69"/>
        <v>棚卸以外</v>
      </c>
      <c r="I199" s="7">
        <v>137</v>
      </c>
      <c r="J199" s="7" t="str">
        <f>"管理サービス地区（中央駐車場　南東角倉庫）"</f>
        <v>管理サービス地区（中央駐車場　南東角倉庫）</v>
      </c>
      <c r="K199" s="7" t="str">
        <f>"鉄骨造"</f>
        <v>鉄骨造</v>
      </c>
      <c r="L199" s="7" t="str">
        <f t="shared" si="67"/>
        <v>H15.10.01</v>
      </c>
      <c r="M199" s="7">
        <v>20.43</v>
      </c>
      <c r="N199" s="7">
        <v>184012</v>
      </c>
      <c r="O199" s="7">
        <v>52965</v>
      </c>
      <c r="P199" s="7">
        <v>0</v>
      </c>
      <c r="Q199" s="7" t="str">
        <f t="shared" si="70"/>
        <v>府民文化部</v>
      </c>
      <c r="R199" s="7" t="str">
        <f t="shared" si="65"/>
        <v>日本万国博覧会記念公園事務所</v>
      </c>
    </row>
    <row r="200" spans="1:18" s="1" customFormat="1" x14ac:dyDescent="0.45">
      <c r="A200" s="7" t="str">
        <f t="shared" si="61"/>
        <v>02517000000</v>
      </c>
      <c r="B200" s="7" t="str">
        <f t="shared" si="62"/>
        <v>日本万国博覧会記念公園</v>
      </c>
      <c r="C200" s="7" t="str">
        <f t="shared" si="66"/>
        <v>行政財産</v>
      </c>
      <c r="D200" s="7" t="str">
        <f t="shared" si="63"/>
        <v>公園</v>
      </c>
      <c r="E200" s="7" t="str">
        <f t="shared" si="64"/>
        <v>大阪府吹田市千里万博公園</v>
      </c>
      <c r="F200" s="7"/>
      <c r="G200" s="7" t="str">
        <f t="shared" si="68"/>
        <v>事業用資産</v>
      </c>
      <c r="H200" s="7" t="str">
        <f t="shared" si="69"/>
        <v>棚卸以外</v>
      </c>
      <c r="I200" s="7">
        <v>138</v>
      </c>
      <c r="J200" s="7" t="str">
        <f>"タワー跡地　南東側倉庫"</f>
        <v>タワー跡地　南東側倉庫</v>
      </c>
      <c r="K200" s="7" t="str">
        <f>"鉄骨造"</f>
        <v>鉄骨造</v>
      </c>
      <c r="L200" s="7" t="str">
        <f t="shared" si="67"/>
        <v>H15.10.01</v>
      </c>
      <c r="M200" s="7">
        <v>200.88</v>
      </c>
      <c r="N200" s="7">
        <v>2941290</v>
      </c>
      <c r="O200" s="7">
        <v>846049</v>
      </c>
      <c r="P200" s="7">
        <v>0</v>
      </c>
      <c r="Q200" s="7" t="str">
        <f t="shared" si="70"/>
        <v>府民文化部</v>
      </c>
      <c r="R200" s="7" t="str">
        <f t="shared" si="65"/>
        <v>日本万国博覧会記念公園事務所</v>
      </c>
    </row>
    <row r="201" spans="1:18" s="1" customFormat="1" x14ac:dyDescent="0.45">
      <c r="A201" s="7" t="str">
        <f t="shared" si="61"/>
        <v>02517000000</v>
      </c>
      <c r="B201" s="7" t="str">
        <f t="shared" si="62"/>
        <v>日本万国博覧会記念公園</v>
      </c>
      <c r="C201" s="7" t="str">
        <f t="shared" si="66"/>
        <v>行政財産</v>
      </c>
      <c r="D201" s="7" t="str">
        <f t="shared" si="63"/>
        <v>公園</v>
      </c>
      <c r="E201" s="7" t="str">
        <f t="shared" si="64"/>
        <v>大阪府吹田市千里万博公園</v>
      </c>
      <c r="F201" s="7"/>
      <c r="G201" s="7" t="str">
        <f t="shared" si="68"/>
        <v>事業用資産</v>
      </c>
      <c r="H201" s="7" t="str">
        <f t="shared" si="69"/>
        <v>棚卸以外</v>
      </c>
      <c r="I201" s="7">
        <v>139</v>
      </c>
      <c r="J201" s="7" t="str">
        <f>"タワー跡地　南西側倉庫"</f>
        <v>タワー跡地　南西側倉庫</v>
      </c>
      <c r="K201" s="7" t="str">
        <f t="shared" ref="K201:K209" si="71">"土蔵造(簡易建物)"</f>
        <v>土蔵造(簡易建物)</v>
      </c>
      <c r="L201" s="7" t="str">
        <f t="shared" si="67"/>
        <v>H15.10.01</v>
      </c>
      <c r="M201" s="7">
        <v>37</v>
      </c>
      <c r="N201" s="7">
        <v>333257</v>
      </c>
      <c r="O201" s="7">
        <v>123906</v>
      </c>
      <c r="P201" s="7">
        <v>0</v>
      </c>
      <c r="Q201" s="7" t="str">
        <f t="shared" si="70"/>
        <v>府民文化部</v>
      </c>
      <c r="R201" s="7" t="str">
        <f t="shared" si="65"/>
        <v>日本万国博覧会記念公園事務所</v>
      </c>
    </row>
    <row r="202" spans="1:18" s="1" customFormat="1" x14ac:dyDescent="0.45">
      <c r="A202" s="7" t="str">
        <f t="shared" si="61"/>
        <v>02517000000</v>
      </c>
      <c r="B202" s="7" t="str">
        <f t="shared" si="62"/>
        <v>日本万国博覧会記念公園</v>
      </c>
      <c r="C202" s="7" t="str">
        <f t="shared" si="66"/>
        <v>行政財産</v>
      </c>
      <c r="D202" s="7" t="str">
        <f t="shared" si="63"/>
        <v>公園</v>
      </c>
      <c r="E202" s="7" t="str">
        <f t="shared" si="64"/>
        <v>大阪府吹田市千里万博公園</v>
      </c>
      <c r="F202" s="7"/>
      <c r="G202" s="7" t="str">
        <f t="shared" si="68"/>
        <v>事業用資産</v>
      </c>
      <c r="H202" s="7" t="str">
        <f t="shared" si="69"/>
        <v>棚卸以外</v>
      </c>
      <c r="I202" s="7">
        <v>140</v>
      </c>
      <c r="J202" s="7" t="str">
        <f>"運動施設西地区（テニスコート　車庫）"</f>
        <v>運動施設西地区（テニスコート　車庫）</v>
      </c>
      <c r="K202" s="7" t="str">
        <f t="shared" si="71"/>
        <v>土蔵造(簡易建物)</v>
      </c>
      <c r="L202" s="7" t="str">
        <f t="shared" si="67"/>
        <v>H15.10.01</v>
      </c>
      <c r="M202" s="7">
        <v>15.37</v>
      </c>
      <c r="N202" s="7">
        <v>137596</v>
      </c>
      <c r="O202" s="7">
        <v>51146</v>
      </c>
      <c r="P202" s="7">
        <v>0</v>
      </c>
      <c r="Q202" s="7" t="str">
        <f t="shared" si="70"/>
        <v>府民文化部</v>
      </c>
      <c r="R202" s="7" t="str">
        <f t="shared" si="65"/>
        <v>日本万国博覧会記念公園事務所</v>
      </c>
    </row>
    <row r="203" spans="1:18" s="1" customFormat="1" ht="26.4" x14ac:dyDescent="0.45">
      <c r="A203" s="7" t="str">
        <f t="shared" si="61"/>
        <v>02517000000</v>
      </c>
      <c r="B203" s="7" t="str">
        <f t="shared" si="62"/>
        <v>日本万国博覧会記念公園</v>
      </c>
      <c r="C203" s="7" t="str">
        <f t="shared" si="66"/>
        <v>行政財産</v>
      </c>
      <c r="D203" s="7" t="str">
        <f t="shared" si="63"/>
        <v>公園</v>
      </c>
      <c r="E203" s="7" t="str">
        <f t="shared" si="64"/>
        <v>大阪府吹田市千里万博公園</v>
      </c>
      <c r="F203" s="7"/>
      <c r="G203" s="7" t="str">
        <f t="shared" si="68"/>
        <v>事業用資産</v>
      </c>
      <c r="H203" s="7" t="str">
        <f t="shared" si="69"/>
        <v>棚卸以外</v>
      </c>
      <c r="I203" s="7">
        <v>141</v>
      </c>
      <c r="J203" s="7" t="str">
        <f>"運動施設西地区（テニスコート　整備員詰所）"</f>
        <v>運動施設西地区（テニスコート　整備員詰所）</v>
      </c>
      <c r="K203" s="7" t="str">
        <f t="shared" si="71"/>
        <v>土蔵造(簡易建物)</v>
      </c>
      <c r="L203" s="7" t="str">
        <f t="shared" si="67"/>
        <v>H15.10.01</v>
      </c>
      <c r="M203" s="7">
        <v>20.350000000000001</v>
      </c>
      <c r="N203" s="7">
        <v>183292</v>
      </c>
      <c r="O203" s="7">
        <v>54570</v>
      </c>
      <c r="P203" s="7">
        <v>0</v>
      </c>
      <c r="Q203" s="7" t="str">
        <f t="shared" si="70"/>
        <v>府民文化部</v>
      </c>
      <c r="R203" s="7" t="str">
        <f t="shared" si="65"/>
        <v>日本万国博覧会記念公園事務所</v>
      </c>
    </row>
    <row r="204" spans="1:18" s="1" customFormat="1" ht="26.4" x14ac:dyDescent="0.45">
      <c r="A204" s="7" t="str">
        <f t="shared" ref="A204:A237" si="72">"02517000000"</f>
        <v>02517000000</v>
      </c>
      <c r="B204" s="7" t="str">
        <f t="shared" ref="B204:B237" si="73">"日本万国博覧会記念公園"</f>
        <v>日本万国博覧会記念公園</v>
      </c>
      <c r="C204" s="7" t="str">
        <f t="shared" si="66"/>
        <v>行政財産</v>
      </c>
      <c r="D204" s="7" t="str">
        <f t="shared" ref="D204:D237" si="74">"公園"</f>
        <v>公園</v>
      </c>
      <c r="E204" s="7" t="str">
        <f t="shared" ref="E204:E240" si="75">"大阪府吹田市千里万博公園"</f>
        <v>大阪府吹田市千里万博公園</v>
      </c>
      <c r="F204" s="7"/>
      <c r="G204" s="7" t="str">
        <f t="shared" si="68"/>
        <v>事業用資産</v>
      </c>
      <c r="H204" s="7" t="str">
        <f t="shared" si="69"/>
        <v>棚卸以外</v>
      </c>
      <c r="I204" s="7">
        <v>142</v>
      </c>
      <c r="J204" s="7" t="str">
        <f>"運動施設西地区（西第１駐車場　ユニットハウス）"</f>
        <v>運動施設西地区（西第１駐車場　ユニットハウス）</v>
      </c>
      <c r="K204" s="7" t="str">
        <f t="shared" si="71"/>
        <v>土蔵造(簡易建物)</v>
      </c>
      <c r="L204" s="7" t="str">
        <f t="shared" si="67"/>
        <v>H15.10.01</v>
      </c>
      <c r="M204" s="7">
        <v>14.44</v>
      </c>
      <c r="N204" s="7">
        <v>130060</v>
      </c>
      <c r="O204" s="7">
        <v>38734</v>
      </c>
      <c r="P204" s="7">
        <v>0</v>
      </c>
      <c r="Q204" s="7" t="str">
        <f t="shared" si="70"/>
        <v>府民文化部</v>
      </c>
      <c r="R204" s="7" t="str">
        <f t="shared" ref="R204:R240" si="76">"日本万国博覧会記念公園事務所"</f>
        <v>日本万国博覧会記念公園事務所</v>
      </c>
    </row>
    <row r="205" spans="1:18" s="1" customFormat="1" ht="26.4" x14ac:dyDescent="0.45">
      <c r="A205" s="7" t="str">
        <f t="shared" si="72"/>
        <v>02517000000</v>
      </c>
      <c r="B205" s="7" t="str">
        <f t="shared" si="73"/>
        <v>日本万国博覧会記念公園</v>
      </c>
      <c r="C205" s="7" t="str">
        <f t="shared" si="66"/>
        <v>行政財産</v>
      </c>
      <c r="D205" s="7" t="str">
        <f t="shared" si="74"/>
        <v>公園</v>
      </c>
      <c r="E205" s="7" t="str">
        <f t="shared" si="75"/>
        <v>大阪府吹田市千里万博公園</v>
      </c>
      <c r="F205" s="7"/>
      <c r="G205" s="7" t="str">
        <f t="shared" si="68"/>
        <v>事業用資産</v>
      </c>
      <c r="H205" s="7" t="str">
        <f t="shared" si="69"/>
        <v>棚卸以外</v>
      </c>
      <c r="I205" s="7">
        <v>143</v>
      </c>
      <c r="J205" s="7" t="str">
        <f>"運動施設東地区（運動場　南東側倉庫）"</f>
        <v>運動施設東地区（運動場　南東側倉庫）</v>
      </c>
      <c r="K205" s="7" t="str">
        <f t="shared" si="71"/>
        <v>土蔵造(簡易建物)</v>
      </c>
      <c r="L205" s="7" t="str">
        <f t="shared" si="67"/>
        <v>H15.10.01</v>
      </c>
      <c r="M205" s="7">
        <v>13.65</v>
      </c>
      <c r="N205" s="7">
        <v>122945</v>
      </c>
      <c r="O205" s="7">
        <v>45689</v>
      </c>
      <c r="P205" s="7">
        <v>0</v>
      </c>
      <c r="Q205" s="7" t="str">
        <f t="shared" si="70"/>
        <v>府民文化部</v>
      </c>
      <c r="R205" s="7" t="str">
        <f t="shared" si="76"/>
        <v>日本万国博覧会記念公園事務所</v>
      </c>
    </row>
    <row r="206" spans="1:18" s="1" customFormat="1" ht="26.4" x14ac:dyDescent="0.45">
      <c r="A206" s="7" t="str">
        <f t="shared" si="72"/>
        <v>02517000000</v>
      </c>
      <c r="B206" s="7" t="str">
        <f t="shared" si="73"/>
        <v>日本万国博覧会記念公園</v>
      </c>
      <c r="C206" s="7" t="str">
        <f t="shared" si="66"/>
        <v>行政財産</v>
      </c>
      <c r="D206" s="7" t="str">
        <f t="shared" si="74"/>
        <v>公園</v>
      </c>
      <c r="E206" s="7" t="str">
        <f t="shared" si="75"/>
        <v>大阪府吹田市千里万博公園</v>
      </c>
      <c r="F206" s="7"/>
      <c r="G206" s="7" t="str">
        <f t="shared" si="68"/>
        <v>事業用資産</v>
      </c>
      <c r="H206" s="7" t="str">
        <f t="shared" si="69"/>
        <v>棚卸以外</v>
      </c>
      <c r="I206" s="7">
        <v>144</v>
      </c>
      <c r="J206" s="7" t="str">
        <f>"運動施設東地区（運動場　北西側倉庫）"</f>
        <v>運動施設東地区（運動場　北西側倉庫）</v>
      </c>
      <c r="K206" s="7" t="str">
        <f t="shared" si="71"/>
        <v>土蔵造(簡易建物)</v>
      </c>
      <c r="L206" s="7" t="str">
        <f t="shared" si="67"/>
        <v>H15.10.01</v>
      </c>
      <c r="M206" s="7">
        <v>18.899999999999999</v>
      </c>
      <c r="N206" s="7">
        <v>170232</v>
      </c>
      <c r="O206" s="7">
        <v>63344</v>
      </c>
      <c r="P206" s="7">
        <v>0</v>
      </c>
      <c r="Q206" s="7" t="str">
        <f t="shared" si="70"/>
        <v>府民文化部</v>
      </c>
      <c r="R206" s="7" t="str">
        <f t="shared" si="76"/>
        <v>日本万国博覧会記念公園事務所</v>
      </c>
    </row>
    <row r="207" spans="1:18" s="1" customFormat="1" x14ac:dyDescent="0.45">
      <c r="A207" s="7" t="str">
        <f t="shared" si="72"/>
        <v>02517000000</v>
      </c>
      <c r="B207" s="7" t="str">
        <f t="shared" si="73"/>
        <v>日本万国博覧会記念公園</v>
      </c>
      <c r="C207" s="7" t="str">
        <f t="shared" si="66"/>
        <v>行政財産</v>
      </c>
      <c r="D207" s="7" t="str">
        <f t="shared" si="74"/>
        <v>公園</v>
      </c>
      <c r="E207" s="7" t="str">
        <f t="shared" si="75"/>
        <v>大阪府吹田市千里万博公園</v>
      </c>
      <c r="F207" s="7"/>
      <c r="G207" s="7" t="str">
        <f t="shared" si="68"/>
        <v>事業用資産</v>
      </c>
      <c r="H207" s="7" t="str">
        <f t="shared" si="69"/>
        <v>棚卸以外</v>
      </c>
      <c r="I207" s="7">
        <v>145</v>
      </c>
      <c r="J207" s="7" t="str">
        <f>"運動施設東地区（東駐車場　倉庫）"</f>
        <v>運動施設東地区（東駐車場　倉庫）</v>
      </c>
      <c r="K207" s="7" t="str">
        <f t="shared" si="71"/>
        <v>土蔵造(簡易建物)</v>
      </c>
      <c r="L207" s="7" t="str">
        <f t="shared" si="67"/>
        <v>H15.10.01</v>
      </c>
      <c r="M207" s="7">
        <v>5.28</v>
      </c>
      <c r="N207" s="7">
        <v>47557</v>
      </c>
      <c r="O207" s="7">
        <v>17762</v>
      </c>
      <c r="P207" s="7">
        <v>0</v>
      </c>
      <c r="Q207" s="7" t="str">
        <f t="shared" si="70"/>
        <v>府民文化部</v>
      </c>
      <c r="R207" s="7" t="str">
        <f t="shared" si="76"/>
        <v>日本万国博覧会記念公園事務所</v>
      </c>
    </row>
    <row r="208" spans="1:18" s="1" customFormat="1" x14ac:dyDescent="0.45">
      <c r="A208" s="7" t="str">
        <f t="shared" si="72"/>
        <v>02517000000</v>
      </c>
      <c r="B208" s="7" t="str">
        <f t="shared" si="73"/>
        <v>日本万国博覧会記念公園</v>
      </c>
      <c r="C208" s="7" t="str">
        <f t="shared" si="66"/>
        <v>行政財産</v>
      </c>
      <c r="D208" s="7" t="str">
        <f t="shared" si="74"/>
        <v>公園</v>
      </c>
      <c r="E208" s="7" t="str">
        <f t="shared" si="75"/>
        <v>大阪府吹田市千里万博公園</v>
      </c>
      <c r="F208" s="7"/>
      <c r="G208" s="7" t="str">
        <f t="shared" si="68"/>
        <v>事業用資産</v>
      </c>
      <c r="H208" s="7" t="str">
        <f t="shared" si="69"/>
        <v>棚卸以外</v>
      </c>
      <c r="I208" s="7">
        <v>146</v>
      </c>
      <c r="J208" s="7" t="str">
        <f>"運動施設西地区（テニスコート　倉庫）"</f>
        <v>運動施設西地区（テニスコート　倉庫）</v>
      </c>
      <c r="K208" s="7" t="str">
        <f t="shared" si="71"/>
        <v>土蔵造(簡易建物)</v>
      </c>
      <c r="L208" s="7" t="str">
        <f t="shared" si="67"/>
        <v>H15.10.01</v>
      </c>
      <c r="M208" s="7">
        <v>15</v>
      </c>
      <c r="N208" s="7">
        <v>135104</v>
      </c>
      <c r="O208" s="7">
        <v>50290</v>
      </c>
      <c r="P208" s="7">
        <v>0</v>
      </c>
      <c r="Q208" s="7" t="str">
        <f t="shared" si="70"/>
        <v>府民文化部</v>
      </c>
      <c r="R208" s="7" t="str">
        <f t="shared" si="76"/>
        <v>日本万国博覧会記念公園事務所</v>
      </c>
    </row>
    <row r="209" spans="1:18" s="1" customFormat="1" x14ac:dyDescent="0.45">
      <c r="A209" s="7" t="str">
        <f t="shared" si="72"/>
        <v>02517000000</v>
      </c>
      <c r="B209" s="7" t="str">
        <f t="shared" si="73"/>
        <v>日本万国博覧会記念公園</v>
      </c>
      <c r="C209" s="7" t="str">
        <f t="shared" si="66"/>
        <v>行政財産</v>
      </c>
      <c r="D209" s="7" t="str">
        <f t="shared" si="74"/>
        <v>公園</v>
      </c>
      <c r="E209" s="7" t="str">
        <f t="shared" si="75"/>
        <v>大阪府吹田市千里万博公園</v>
      </c>
      <c r="F209" s="7"/>
      <c r="G209" s="7" t="str">
        <f t="shared" si="68"/>
        <v>事業用資産</v>
      </c>
      <c r="H209" s="7" t="str">
        <f t="shared" si="69"/>
        <v>棚卸以外</v>
      </c>
      <c r="I209" s="7">
        <v>147</v>
      </c>
      <c r="J209" s="7" t="str">
        <f>"運動施設南地区（スポーツ広場　倉庫）"</f>
        <v>運動施設南地区（スポーツ広場　倉庫）</v>
      </c>
      <c r="K209" s="7" t="str">
        <f t="shared" si="71"/>
        <v>土蔵造(簡易建物)</v>
      </c>
      <c r="L209" s="7" t="str">
        <f t="shared" si="67"/>
        <v>H15.10.01</v>
      </c>
      <c r="M209" s="7">
        <v>16.739999999999998</v>
      </c>
      <c r="N209" s="7">
        <v>150776</v>
      </c>
      <c r="O209" s="7">
        <v>56068</v>
      </c>
      <c r="P209" s="7">
        <v>0</v>
      </c>
      <c r="Q209" s="7" t="str">
        <f t="shared" si="70"/>
        <v>府民文化部</v>
      </c>
      <c r="R209" s="7" t="str">
        <f t="shared" si="76"/>
        <v>日本万国博覧会記念公園事務所</v>
      </c>
    </row>
    <row r="210" spans="1:18" s="1" customFormat="1" ht="26.4" x14ac:dyDescent="0.45">
      <c r="A210" s="7" t="str">
        <f t="shared" si="72"/>
        <v>02517000000</v>
      </c>
      <c r="B210" s="7" t="str">
        <f t="shared" si="73"/>
        <v>日本万国博覧会記念公園</v>
      </c>
      <c r="C210" s="7" t="str">
        <f t="shared" si="66"/>
        <v>行政財産</v>
      </c>
      <c r="D210" s="7" t="str">
        <f t="shared" si="74"/>
        <v>公園</v>
      </c>
      <c r="E210" s="7" t="str">
        <f t="shared" si="75"/>
        <v>大阪府吹田市千里万博公園</v>
      </c>
      <c r="F210" s="7"/>
      <c r="G210" s="7" t="str">
        <f t="shared" si="68"/>
        <v>事業用資産</v>
      </c>
      <c r="H210" s="7" t="str">
        <f t="shared" si="69"/>
        <v>棚卸以外</v>
      </c>
      <c r="I210" s="7">
        <v>148</v>
      </c>
      <c r="J210" s="7" t="str">
        <f>"運動施設南地区（スポーツ広場　東側トイレ）"</f>
        <v>運動施設南地区（スポーツ広場　東側トイレ）</v>
      </c>
      <c r="K210" s="7" t="str">
        <f>"鉄筋コンクリート造"</f>
        <v>鉄筋コンクリート造</v>
      </c>
      <c r="L210" s="7" t="str">
        <f>"S50.03.31"</f>
        <v>S50.03.31</v>
      </c>
      <c r="M210" s="7">
        <v>26.03</v>
      </c>
      <c r="N210" s="7">
        <v>139861</v>
      </c>
      <c r="O210" s="7">
        <v>32849</v>
      </c>
      <c r="P210" s="7">
        <v>0</v>
      </c>
      <c r="Q210" s="7" t="str">
        <f t="shared" si="70"/>
        <v>府民文化部</v>
      </c>
      <c r="R210" s="7" t="str">
        <f t="shared" si="76"/>
        <v>日本万国博覧会記念公園事務所</v>
      </c>
    </row>
    <row r="211" spans="1:18" s="1" customFormat="1" x14ac:dyDescent="0.45">
      <c r="A211" s="7" t="str">
        <f t="shared" si="72"/>
        <v>02517000000</v>
      </c>
      <c r="B211" s="7" t="str">
        <f t="shared" si="73"/>
        <v>日本万国博覧会記念公園</v>
      </c>
      <c r="C211" s="7" t="str">
        <f t="shared" ref="C211:C237" si="77">"行政財産"</f>
        <v>行政財産</v>
      </c>
      <c r="D211" s="7" t="str">
        <f t="shared" si="74"/>
        <v>公園</v>
      </c>
      <c r="E211" s="7" t="str">
        <f t="shared" si="75"/>
        <v>大阪府吹田市千里万博公園</v>
      </c>
      <c r="F211" s="7"/>
      <c r="G211" s="7" t="str">
        <f t="shared" si="68"/>
        <v>事業用資産</v>
      </c>
      <c r="H211" s="7" t="str">
        <f t="shared" si="69"/>
        <v>棚卸以外</v>
      </c>
      <c r="I211" s="7">
        <v>149</v>
      </c>
      <c r="J211" s="7" t="str">
        <f>"運動施設東地区（弓道場　倉庫）"</f>
        <v>運動施設東地区（弓道場　倉庫）</v>
      </c>
      <c r="K211" s="7" t="str">
        <f>"土蔵造(簡易建物)"</f>
        <v>土蔵造(簡易建物)</v>
      </c>
      <c r="L211" s="7" t="str">
        <f>"H15.10.01"</f>
        <v>H15.10.01</v>
      </c>
      <c r="M211" s="7">
        <v>18</v>
      </c>
      <c r="N211" s="7">
        <v>162125</v>
      </c>
      <c r="O211" s="7">
        <v>60241</v>
      </c>
      <c r="P211" s="7">
        <v>0</v>
      </c>
      <c r="Q211" s="7" t="str">
        <f t="shared" si="70"/>
        <v>府民文化部</v>
      </c>
      <c r="R211" s="7" t="str">
        <f t="shared" si="76"/>
        <v>日本万国博覧会記念公園事務所</v>
      </c>
    </row>
    <row r="212" spans="1:18" s="1" customFormat="1" ht="26.4" x14ac:dyDescent="0.45">
      <c r="A212" s="7" t="str">
        <f t="shared" si="72"/>
        <v>02517000000</v>
      </c>
      <c r="B212" s="7" t="str">
        <f t="shared" si="73"/>
        <v>日本万国博覧会記念公園</v>
      </c>
      <c r="C212" s="7" t="str">
        <f t="shared" si="77"/>
        <v>行政財産</v>
      </c>
      <c r="D212" s="7" t="str">
        <f t="shared" si="74"/>
        <v>公園</v>
      </c>
      <c r="E212" s="7" t="str">
        <f t="shared" si="75"/>
        <v>大阪府吹田市千里万博公園</v>
      </c>
      <c r="F212" s="7"/>
      <c r="G212" s="7" t="str">
        <f t="shared" si="68"/>
        <v>事業用資産</v>
      </c>
      <c r="H212" s="7" t="str">
        <f t="shared" si="69"/>
        <v>棚卸以外</v>
      </c>
      <c r="I212" s="7">
        <v>150</v>
      </c>
      <c r="J212" s="7" t="str">
        <f>"運動施設南地区（スポーツ広場　南側トイレ）"</f>
        <v>運動施設南地区（スポーツ広場　南側トイレ）</v>
      </c>
      <c r="K212" s="7" t="str">
        <f>"鉄筋コンクリート造"</f>
        <v>鉄筋コンクリート造</v>
      </c>
      <c r="L212" s="7" t="str">
        <f>"S50.03.31"</f>
        <v>S50.03.31</v>
      </c>
      <c r="M212" s="7">
        <v>26.03</v>
      </c>
      <c r="N212" s="7">
        <v>139861</v>
      </c>
      <c r="O212" s="7">
        <v>32849</v>
      </c>
      <c r="P212" s="7">
        <v>0</v>
      </c>
      <c r="Q212" s="7" t="str">
        <f t="shared" si="70"/>
        <v>府民文化部</v>
      </c>
      <c r="R212" s="7" t="str">
        <f t="shared" si="76"/>
        <v>日本万国博覧会記念公園事務所</v>
      </c>
    </row>
    <row r="213" spans="1:18" s="1" customFormat="1" ht="26.4" x14ac:dyDescent="0.45">
      <c r="A213" s="7" t="str">
        <f t="shared" si="72"/>
        <v>02517000000</v>
      </c>
      <c r="B213" s="7" t="str">
        <f t="shared" si="73"/>
        <v>日本万国博覧会記念公園</v>
      </c>
      <c r="C213" s="7" t="str">
        <f t="shared" si="77"/>
        <v>行政財産</v>
      </c>
      <c r="D213" s="7" t="str">
        <f t="shared" si="74"/>
        <v>公園</v>
      </c>
      <c r="E213" s="7" t="str">
        <f t="shared" si="75"/>
        <v>大阪府吹田市千里万博公園</v>
      </c>
      <c r="F213" s="7"/>
      <c r="G213" s="7" t="str">
        <f t="shared" si="68"/>
        <v>事業用資産</v>
      </c>
      <c r="H213" s="7" t="str">
        <f t="shared" si="69"/>
        <v>棚卸以外</v>
      </c>
      <c r="I213" s="7">
        <v>151</v>
      </c>
      <c r="J213" s="7" t="str">
        <f>"運動施設南地区（野球場　スコアボード）"</f>
        <v>運動施設南地区（野球場　スコアボード）</v>
      </c>
      <c r="K213" s="7" t="str">
        <f>"鉄骨造"</f>
        <v>鉄骨造</v>
      </c>
      <c r="L213" s="7" t="str">
        <f>"S49.07.13"</f>
        <v>S49.07.13</v>
      </c>
      <c r="M213" s="7">
        <v>73.5</v>
      </c>
      <c r="N213" s="7">
        <v>2653105</v>
      </c>
      <c r="O213" s="7">
        <v>622633</v>
      </c>
      <c r="P213" s="7">
        <v>0</v>
      </c>
      <c r="Q213" s="7" t="str">
        <f t="shared" si="70"/>
        <v>府民文化部</v>
      </c>
      <c r="R213" s="7" t="str">
        <f t="shared" si="76"/>
        <v>日本万国博覧会記念公園事務所</v>
      </c>
    </row>
    <row r="214" spans="1:18" s="1" customFormat="1" ht="26.4" x14ac:dyDescent="0.45">
      <c r="A214" s="7" t="str">
        <f t="shared" si="72"/>
        <v>02517000000</v>
      </c>
      <c r="B214" s="7" t="str">
        <f t="shared" si="73"/>
        <v>日本万国博覧会記念公園</v>
      </c>
      <c r="C214" s="7" t="str">
        <f t="shared" si="77"/>
        <v>行政財産</v>
      </c>
      <c r="D214" s="7" t="str">
        <f t="shared" si="74"/>
        <v>公園</v>
      </c>
      <c r="E214" s="7" t="str">
        <f t="shared" si="75"/>
        <v>大阪府吹田市千里万博公園</v>
      </c>
      <c r="F214" s="7"/>
      <c r="G214" s="7" t="str">
        <f t="shared" si="68"/>
        <v>事業用資産</v>
      </c>
      <c r="H214" s="7" t="str">
        <f t="shared" si="69"/>
        <v>棚卸以外</v>
      </c>
      <c r="I214" s="7">
        <v>152</v>
      </c>
      <c r="J214" s="7" t="str">
        <f>"運動施設南地区（野球場前　多目的便所）"</f>
        <v>運動施設南地区（野球場前　多目的便所）</v>
      </c>
      <c r="K214" s="7" t="str">
        <f>"鉄骨造"</f>
        <v>鉄骨造</v>
      </c>
      <c r="L214" s="7" t="str">
        <f>"S50.03.31"</f>
        <v>S50.03.31</v>
      </c>
      <c r="M214" s="7">
        <v>6.25</v>
      </c>
      <c r="N214" s="7">
        <v>63275</v>
      </c>
      <c r="O214" s="7">
        <v>18297</v>
      </c>
      <c r="P214" s="7">
        <v>0</v>
      </c>
      <c r="Q214" s="7" t="str">
        <f t="shared" si="70"/>
        <v>府民文化部</v>
      </c>
      <c r="R214" s="7" t="str">
        <f t="shared" si="76"/>
        <v>日本万国博覧会記念公園事務所</v>
      </c>
    </row>
    <row r="215" spans="1:18" s="1" customFormat="1" ht="26.4" x14ac:dyDescent="0.45">
      <c r="A215" s="7" t="str">
        <f t="shared" si="72"/>
        <v>02517000000</v>
      </c>
      <c r="B215" s="7" t="str">
        <f t="shared" si="73"/>
        <v>日本万国博覧会記念公園</v>
      </c>
      <c r="C215" s="7" t="str">
        <f t="shared" si="77"/>
        <v>行政財産</v>
      </c>
      <c r="D215" s="7" t="str">
        <f t="shared" si="74"/>
        <v>公園</v>
      </c>
      <c r="E215" s="7" t="str">
        <f t="shared" si="75"/>
        <v>大阪府吹田市千里万博公園</v>
      </c>
      <c r="F215" s="7"/>
      <c r="G215" s="7" t="str">
        <f t="shared" si="68"/>
        <v>事業用資産</v>
      </c>
      <c r="H215" s="7" t="str">
        <f t="shared" si="69"/>
        <v>棚卸以外</v>
      </c>
      <c r="I215" s="7">
        <v>155</v>
      </c>
      <c r="J215" s="7" t="str">
        <f>"自然文化園（第1工区・大地の池　ポンプ室）"</f>
        <v>自然文化園（第1工区・大地の池　ポンプ室）</v>
      </c>
      <c r="K215" s="7" t="str">
        <f>"鉄筋コンクリート造"</f>
        <v>鉄筋コンクリート造</v>
      </c>
      <c r="L215" s="7" t="str">
        <f>"S44.03.31"</f>
        <v>S44.03.31</v>
      </c>
      <c r="M215" s="7">
        <v>246.74</v>
      </c>
      <c r="N215" s="7">
        <v>673356</v>
      </c>
      <c r="O215" s="7">
        <v>158039</v>
      </c>
      <c r="P215" s="7">
        <v>0</v>
      </c>
      <c r="Q215" s="7" t="str">
        <f t="shared" si="70"/>
        <v>府民文化部</v>
      </c>
      <c r="R215" s="7" t="str">
        <f t="shared" si="76"/>
        <v>日本万国博覧会記念公園事務所</v>
      </c>
    </row>
    <row r="216" spans="1:18" s="1" customFormat="1" x14ac:dyDescent="0.45">
      <c r="A216" s="7" t="str">
        <f t="shared" si="72"/>
        <v>02517000000</v>
      </c>
      <c r="B216" s="7" t="str">
        <f t="shared" si="73"/>
        <v>日本万国博覧会記念公園</v>
      </c>
      <c r="C216" s="7" t="str">
        <f t="shared" si="77"/>
        <v>行政財産</v>
      </c>
      <c r="D216" s="7" t="str">
        <f t="shared" si="74"/>
        <v>公園</v>
      </c>
      <c r="E216" s="7" t="str">
        <f t="shared" si="75"/>
        <v>大阪府吹田市千里万博公園</v>
      </c>
      <c r="F216" s="7"/>
      <c r="G216" s="7" t="str">
        <f t="shared" si="68"/>
        <v>事業用資産</v>
      </c>
      <c r="H216" s="7" t="str">
        <f t="shared" si="69"/>
        <v>棚卸以外</v>
      </c>
      <c r="I216" s="7">
        <v>156</v>
      </c>
      <c r="J216" s="7" t="str">
        <f>"迎賓館手前詰所"</f>
        <v>迎賓館手前詰所</v>
      </c>
      <c r="K216" s="7" t="str">
        <f>"土蔵造(簡易建物)"</f>
        <v>土蔵造(簡易建物)</v>
      </c>
      <c r="L216" s="7" t="str">
        <f>"H15.10.01"</f>
        <v>H15.10.01</v>
      </c>
      <c r="M216" s="7">
        <v>12.97</v>
      </c>
      <c r="N216" s="7">
        <v>122134</v>
      </c>
      <c r="O216" s="7">
        <v>36380</v>
      </c>
      <c r="P216" s="7">
        <v>0</v>
      </c>
      <c r="Q216" s="7" t="str">
        <f t="shared" si="70"/>
        <v>府民文化部</v>
      </c>
      <c r="R216" s="7" t="str">
        <f t="shared" si="76"/>
        <v>日本万国博覧会記念公園事務所</v>
      </c>
    </row>
    <row r="217" spans="1:18" s="1" customFormat="1" ht="26.4" x14ac:dyDescent="0.45">
      <c r="A217" s="7" t="str">
        <f t="shared" si="72"/>
        <v>02517000000</v>
      </c>
      <c r="B217" s="7" t="str">
        <f t="shared" si="73"/>
        <v>日本万国博覧会記念公園</v>
      </c>
      <c r="C217" s="7" t="str">
        <f t="shared" si="77"/>
        <v>行政財産</v>
      </c>
      <c r="D217" s="7" t="str">
        <f t="shared" si="74"/>
        <v>公園</v>
      </c>
      <c r="E217" s="7" t="str">
        <f t="shared" si="75"/>
        <v>大阪府吹田市千里万博公園</v>
      </c>
      <c r="F217" s="7"/>
      <c r="G217" s="7" t="str">
        <f t="shared" si="68"/>
        <v>事業用資産</v>
      </c>
      <c r="H217" s="7" t="str">
        <f t="shared" si="69"/>
        <v>棚卸以外</v>
      </c>
      <c r="I217" s="7">
        <v>157</v>
      </c>
      <c r="J217" s="7" t="str">
        <f>"運動施設東地区（少年野球場　スコアボード）"</f>
        <v>運動施設東地区（少年野球場　スコアボード）</v>
      </c>
      <c r="K217" s="7" t="str">
        <f>"鉄骨造"</f>
        <v>鉄骨造</v>
      </c>
      <c r="L217" s="7" t="str">
        <f>"S48.05.20"</f>
        <v>S48.05.20</v>
      </c>
      <c r="M217" s="7">
        <v>64.64</v>
      </c>
      <c r="N217" s="7">
        <v>983259</v>
      </c>
      <c r="O217" s="7">
        <v>230799</v>
      </c>
      <c r="P217" s="7">
        <v>0</v>
      </c>
      <c r="Q217" s="7" t="str">
        <f t="shared" si="70"/>
        <v>府民文化部</v>
      </c>
      <c r="R217" s="7" t="str">
        <f t="shared" si="76"/>
        <v>日本万国博覧会記念公園事務所</v>
      </c>
    </row>
    <row r="218" spans="1:18" s="1" customFormat="1" x14ac:dyDescent="0.45">
      <c r="A218" s="7" t="str">
        <f t="shared" si="72"/>
        <v>02517000000</v>
      </c>
      <c r="B218" s="7" t="str">
        <f t="shared" si="73"/>
        <v>日本万国博覧会記念公園</v>
      </c>
      <c r="C218" s="7" t="str">
        <f t="shared" si="77"/>
        <v>行政財産</v>
      </c>
      <c r="D218" s="7" t="str">
        <f t="shared" si="74"/>
        <v>公園</v>
      </c>
      <c r="E218" s="7" t="str">
        <f t="shared" si="75"/>
        <v>大阪府吹田市千里万博公園</v>
      </c>
      <c r="F218" s="7"/>
      <c r="G218" s="7" t="str">
        <f t="shared" si="68"/>
        <v>事業用資産</v>
      </c>
      <c r="H218" s="7" t="str">
        <f t="shared" si="69"/>
        <v>棚卸以外</v>
      </c>
      <c r="I218" s="7">
        <v>158</v>
      </c>
      <c r="J218" s="7" t="str">
        <f>"管理サービス地区（千里橋ゲート詰所）"</f>
        <v>管理サービス地区（千里橋ゲート詰所）</v>
      </c>
      <c r="K218" s="7" t="str">
        <f>"土蔵造(簡易建物)"</f>
        <v>土蔵造(簡易建物)</v>
      </c>
      <c r="L218" s="7" t="str">
        <f>"H15.10.01"</f>
        <v>H15.10.01</v>
      </c>
      <c r="M218" s="7">
        <v>9.1999999999999993</v>
      </c>
      <c r="N218" s="7">
        <v>82864</v>
      </c>
      <c r="O218" s="7">
        <v>24717</v>
      </c>
      <c r="P218" s="7">
        <v>0</v>
      </c>
      <c r="Q218" s="7" t="str">
        <f t="shared" si="70"/>
        <v>府民文化部</v>
      </c>
      <c r="R218" s="7" t="str">
        <f t="shared" si="76"/>
        <v>日本万国博覧会記念公園事務所</v>
      </c>
    </row>
    <row r="219" spans="1:18" s="1" customFormat="1" x14ac:dyDescent="0.45">
      <c r="A219" s="7" t="str">
        <f t="shared" si="72"/>
        <v>02517000000</v>
      </c>
      <c r="B219" s="7" t="str">
        <f t="shared" si="73"/>
        <v>日本万国博覧会記念公園</v>
      </c>
      <c r="C219" s="7" t="str">
        <f t="shared" si="77"/>
        <v>行政財産</v>
      </c>
      <c r="D219" s="7" t="str">
        <f t="shared" si="74"/>
        <v>公園</v>
      </c>
      <c r="E219" s="7" t="str">
        <f t="shared" si="75"/>
        <v>大阪府吹田市千里万博公園</v>
      </c>
      <c r="F219" s="7"/>
      <c r="G219" s="7" t="str">
        <f t="shared" si="68"/>
        <v>事業用資産</v>
      </c>
      <c r="H219" s="7" t="str">
        <f t="shared" si="69"/>
        <v>棚卸以外</v>
      </c>
      <c r="I219" s="7">
        <v>160</v>
      </c>
      <c r="J219" s="7" t="str">
        <f>"日本庭園茶室（万里庵）"</f>
        <v>日本庭園茶室（万里庵）</v>
      </c>
      <c r="K219" s="7" t="str">
        <f>"木造"</f>
        <v>木造</v>
      </c>
      <c r="L219" s="7" t="str">
        <f>"S44.09.01"</f>
        <v>S44.09.01</v>
      </c>
      <c r="M219" s="7">
        <v>35</v>
      </c>
      <c r="N219" s="7">
        <v>23887856</v>
      </c>
      <c r="O219" s="7">
        <v>9681895</v>
      </c>
      <c r="P219" s="7">
        <v>0</v>
      </c>
      <c r="Q219" s="7" t="str">
        <f t="shared" si="70"/>
        <v>府民文化部</v>
      </c>
      <c r="R219" s="7" t="str">
        <f t="shared" si="76"/>
        <v>日本万国博覧会記念公園事務所</v>
      </c>
    </row>
    <row r="220" spans="1:18" s="1" customFormat="1" x14ac:dyDescent="0.45">
      <c r="A220" s="7" t="str">
        <f t="shared" si="72"/>
        <v>02517000000</v>
      </c>
      <c r="B220" s="7" t="str">
        <f t="shared" si="73"/>
        <v>日本万国博覧会記念公園</v>
      </c>
      <c r="C220" s="7" t="str">
        <f t="shared" si="77"/>
        <v>行政財産</v>
      </c>
      <c r="D220" s="7" t="str">
        <f t="shared" si="74"/>
        <v>公園</v>
      </c>
      <c r="E220" s="7" t="str">
        <f t="shared" si="75"/>
        <v>大阪府吹田市千里万博公園</v>
      </c>
      <c r="F220" s="7"/>
      <c r="G220" s="7" t="str">
        <f t="shared" si="68"/>
        <v>事業用資産</v>
      </c>
      <c r="H220" s="7" t="str">
        <f t="shared" si="69"/>
        <v>棚卸以外</v>
      </c>
      <c r="I220" s="7">
        <v>161</v>
      </c>
      <c r="J220" s="7" t="str">
        <f>"日本庭園茶室（宿泊棟）"</f>
        <v>日本庭園茶室（宿泊棟）</v>
      </c>
      <c r="K220" s="7" t="str">
        <f>"木造"</f>
        <v>木造</v>
      </c>
      <c r="L220" s="7" t="str">
        <f>"S44.09.01"</f>
        <v>S44.09.01</v>
      </c>
      <c r="M220" s="7">
        <v>11.6</v>
      </c>
      <c r="N220" s="7">
        <v>5657178</v>
      </c>
      <c r="O220" s="7">
        <v>2292903</v>
      </c>
      <c r="P220" s="7">
        <v>0</v>
      </c>
      <c r="Q220" s="7" t="str">
        <f t="shared" si="70"/>
        <v>府民文化部</v>
      </c>
      <c r="R220" s="7" t="str">
        <f t="shared" si="76"/>
        <v>日本万国博覧会記念公園事務所</v>
      </c>
    </row>
    <row r="221" spans="1:18" s="1" customFormat="1" x14ac:dyDescent="0.45">
      <c r="A221" s="7" t="str">
        <f t="shared" si="72"/>
        <v>02517000000</v>
      </c>
      <c r="B221" s="7" t="str">
        <f t="shared" si="73"/>
        <v>日本万国博覧会記念公園</v>
      </c>
      <c r="C221" s="7" t="str">
        <f t="shared" si="77"/>
        <v>行政財産</v>
      </c>
      <c r="D221" s="7" t="str">
        <f t="shared" si="74"/>
        <v>公園</v>
      </c>
      <c r="E221" s="7" t="str">
        <f t="shared" si="75"/>
        <v>大阪府吹田市千里万博公園</v>
      </c>
      <c r="F221" s="7"/>
      <c r="G221" s="7" t="str">
        <f t="shared" si="68"/>
        <v>事業用資産</v>
      </c>
      <c r="H221" s="7" t="str">
        <f t="shared" si="69"/>
        <v>棚卸以外</v>
      </c>
      <c r="I221" s="7">
        <v>162</v>
      </c>
      <c r="J221" s="7" t="str">
        <f>"タワー跡地　テント倉庫"</f>
        <v>タワー跡地　テント倉庫</v>
      </c>
      <c r="K221" s="7" t="str">
        <f>"鉄骨造"</f>
        <v>鉄骨造</v>
      </c>
      <c r="L221" s="7" t="str">
        <f>"H21.12.01"</f>
        <v>H21.12.01</v>
      </c>
      <c r="M221" s="7">
        <v>175.42</v>
      </c>
      <c r="N221" s="7">
        <v>1821033</v>
      </c>
      <c r="O221" s="7">
        <v>523872</v>
      </c>
      <c r="P221" s="7">
        <v>0</v>
      </c>
      <c r="Q221" s="7" t="str">
        <f t="shared" si="70"/>
        <v>府民文化部</v>
      </c>
      <c r="R221" s="7" t="str">
        <f t="shared" si="76"/>
        <v>日本万国博覧会記念公園事務所</v>
      </c>
    </row>
    <row r="222" spans="1:18" s="1" customFormat="1" ht="26.4" x14ac:dyDescent="0.45">
      <c r="A222" s="7" t="str">
        <f t="shared" si="72"/>
        <v>02517000000</v>
      </c>
      <c r="B222" s="7" t="str">
        <f t="shared" si="73"/>
        <v>日本万国博覧会記念公園</v>
      </c>
      <c r="C222" s="7" t="str">
        <f t="shared" si="77"/>
        <v>行政財産</v>
      </c>
      <c r="D222" s="7" t="str">
        <f t="shared" si="74"/>
        <v>公園</v>
      </c>
      <c r="E222" s="7" t="str">
        <f t="shared" si="75"/>
        <v>大阪府吹田市千里万博公園</v>
      </c>
      <c r="F222" s="7"/>
      <c r="G222" s="7" t="str">
        <f t="shared" si="68"/>
        <v>事業用資産</v>
      </c>
      <c r="H222" s="7" t="str">
        <f t="shared" si="69"/>
        <v>棚卸以外</v>
      </c>
      <c r="I222" s="7">
        <v>164</v>
      </c>
      <c r="J222" s="7" t="str">
        <f>"自然文化園（第5工区）太陽の塔"</f>
        <v>自然文化園（第5工区）太陽の塔</v>
      </c>
      <c r="K222" s="7" t="str">
        <f>"鉄骨鉄筋コンクリート造"</f>
        <v>鉄骨鉄筋コンクリート造</v>
      </c>
      <c r="L222" s="7" t="str">
        <f>"S45.02.28"</f>
        <v>S45.02.28</v>
      </c>
      <c r="M222" s="7">
        <v>1858.78</v>
      </c>
      <c r="N222" s="7">
        <v>1346957529</v>
      </c>
      <c r="O222" s="7">
        <v>136800021</v>
      </c>
      <c r="P222" s="7">
        <v>0</v>
      </c>
      <c r="Q222" s="7" t="str">
        <f t="shared" si="70"/>
        <v>府民文化部</v>
      </c>
      <c r="R222" s="7" t="str">
        <f t="shared" si="76"/>
        <v>日本万国博覧会記念公園事務所</v>
      </c>
    </row>
    <row r="223" spans="1:18" s="1" customFormat="1" x14ac:dyDescent="0.45">
      <c r="A223" s="7" t="str">
        <f t="shared" si="72"/>
        <v>02517000000</v>
      </c>
      <c r="B223" s="7" t="str">
        <f t="shared" si="73"/>
        <v>日本万国博覧会記念公園</v>
      </c>
      <c r="C223" s="7" t="str">
        <f t="shared" si="77"/>
        <v>行政財産</v>
      </c>
      <c r="D223" s="7" t="str">
        <f t="shared" si="74"/>
        <v>公園</v>
      </c>
      <c r="E223" s="7" t="str">
        <f t="shared" si="75"/>
        <v>大阪府吹田市千里万博公園</v>
      </c>
      <c r="F223" s="7"/>
      <c r="G223" s="7" t="str">
        <f t="shared" si="68"/>
        <v>事業用資産</v>
      </c>
      <c r="H223" s="7" t="str">
        <f t="shared" si="69"/>
        <v>棚卸以外</v>
      </c>
      <c r="I223" s="7">
        <v>165</v>
      </c>
      <c r="J223" s="7" t="str">
        <f>"小広場（便所）"</f>
        <v>小広場（便所）</v>
      </c>
      <c r="K223" s="7" t="str">
        <f>"木造"</f>
        <v>木造</v>
      </c>
      <c r="L223" s="7" t="str">
        <f>"H30.03.09"</f>
        <v>H30.03.09</v>
      </c>
      <c r="M223" s="7">
        <v>5.18</v>
      </c>
      <c r="N223" s="7">
        <v>7133480</v>
      </c>
      <c r="O223" s="7">
        <v>2382180</v>
      </c>
      <c r="P223" s="7">
        <v>0</v>
      </c>
      <c r="Q223" s="7" t="str">
        <f t="shared" si="70"/>
        <v>府民文化部</v>
      </c>
      <c r="R223" s="7" t="str">
        <f t="shared" si="76"/>
        <v>日本万国博覧会記念公園事務所</v>
      </c>
    </row>
    <row r="224" spans="1:18" s="1" customFormat="1" x14ac:dyDescent="0.45">
      <c r="A224" s="7" t="str">
        <f t="shared" si="72"/>
        <v>02517000000</v>
      </c>
      <c r="B224" s="7" t="str">
        <f t="shared" si="73"/>
        <v>日本万国博覧会記念公園</v>
      </c>
      <c r="C224" s="7" t="str">
        <f t="shared" si="77"/>
        <v>行政財産</v>
      </c>
      <c r="D224" s="7" t="str">
        <f t="shared" si="74"/>
        <v>公園</v>
      </c>
      <c r="E224" s="7" t="str">
        <f t="shared" si="75"/>
        <v>大阪府吹田市千里万博公園</v>
      </c>
      <c r="F224" s="7"/>
      <c r="G224" s="7" t="str">
        <f t="shared" si="68"/>
        <v>事業用資産</v>
      </c>
      <c r="H224" s="7" t="str">
        <f t="shared" si="69"/>
        <v>棚卸以外</v>
      </c>
      <c r="I224" s="7">
        <v>166</v>
      </c>
      <c r="J224" s="7" t="str">
        <f>"パークゴルフ場クラブハウス"</f>
        <v>パークゴルフ場クラブハウス</v>
      </c>
      <c r="K224" s="7" t="str">
        <f t="shared" ref="K224:K237" si="78">"鉄骨造"</f>
        <v>鉄骨造</v>
      </c>
      <c r="L224" s="7" t="str">
        <f>"H16.09.30"</f>
        <v>H16.09.30</v>
      </c>
      <c r="M224" s="7">
        <v>127.57</v>
      </c>
      <c r="N224" s="7">
        <v>8097442</v>
      </c>
      <c r="O224" s="7">
        <v>1754804</v>
      </c>
      <c r="P224" s="7">
        <v>0</v>
      </c>
      <c r="Q224" s="7" t="str">
        <f t="shared" si="70"/>
        <v>府民文化部</v>
      </c>
      <c r="R224" s="7" t="str">
        <f t="shared" si="76"/>
        <v>日本万国博覧会記念公園事務所</v>
      </c>
    </row>
    <row r="225" spans="1:18" s="1" customFormat="1" ht="26.4" x14ac:dyDescent="0.45">
      <c r="A225" s="7" t="str">
        <f t="shared" si="72"/>
        <v>02517000000</v>
      </c>
      <c r="B225" s="7" t="str">
        <f t="shared" si="73"/>
        <v>日本万国博覧会記念公園</v>
      </c>
      <c r="C225" s="7" t="str">
        <f t="shared" si="77"/>
        <v>行政財産</v>
      </c>
      <c r="D225" s="7" t="str">
        <f t="shared" si="74"/>
        <v>公園</v>
      </c>
      <c r="E225" s="7" t="str">
        <f t="shared" si="75"/>
        <v>大阪府吹田市千里万博公園</v>
      </c>
      <c r="F225" s="7"/>
      <c r="G225" s="7" t="str">
        <f t="shared" si="68"/>
        <v>事業用資産</v>
      </c>
      <c r="H225" s="7" t="str">
        <f t="shared" si="69"/>
        <v>棚卸以外</v>
      </c>
      <c r="I225" s="7">
        <v>167</v>
      </c>
      <c r="J225" s="7" t="str">
        <f>"おもしろ自転車広場　自転車保管庫兼管理事務所"</f>
        <v>おもしろ自転車広場　自転車保管庫兼管理事務所</v>
      </c>
      <c r="K225" s="7" t="str">
        <f t="shared" si="78"/>
        <v>鉄骨造</v>
      </c>
      <c r="L225" s="7" t="str">
        <f>"H17.03.14"</f>
        <v>H17.03.14</v>
      </c>
      <c r="M225" s="7">
        <v>240</v>
      </c>
      <c r="N225" s="7">
        <v>8154026</v>
      </c>
      <c r="O225" s="7">
        <v>2057937</v>
      </c>
      <c r="P225" s="7">
        <v>0</v>
      </c>
      <c r="Q225" s="7" t="str">
        <f t="shared" si="70"/>
        <v>府民文化部</v>
      </c>
      <c r="R225" s="7" t="str">
        <f t="shared" si="76"/>
        <v>日本万国博覧会記念公園事務所</v>
      </c>
    </row>
    <row r="226" spans="1:18" s="1" customFormat="1" x14ac:dyDescent="0.45">
      <c r="A226" s="7" t="str">
        <f t="shared" si="72"/>
        <v>02517000000</v>
      </c>
      <c r="B226" s="7" t="str">
        <f t="shared" si="73"/>
        <v>日本万国博覧会記念公園</v>
      </c>
      <c r="C226" s="7" t="str">
        <f t="shared" si="77"/>
        <v>行政財産</v>
      </c>
      <c r="D226" s="7" t="str">
        <f t="shared" si="74"/>
        <v>公園</v>
      </c>
      <c r="E226" s="7" t="str">
        <f t="shared" si="75"/>
        <v>大阪府吹田市千里万博公園</v>
      </c>
      <c r="F226" s="7"/>
      <c r="G226" s="7" t="str">
        <f t="shared" si="68"/>
        <v>事業用資産</v>
      </c>
      <c r="H226" s="7" t="str">
        <f t="shared" si="69"/>
        <v>棚卸以外</v>
      </c>
      <c r="I226" s="7">
        <v>168</v>
      </c>
      <c r="J226" s="7" t="str">
        <f>"サイクルボート管理事務所"</f>
        <v>サイクルボート管理事務所</v>
      </c>
      <c r="K226" s="7" t="str">
        <f t="shared" si="78"/>
        <v>鉄骨造</v>
      </c>
      <c r="L226" s="7" t="str">
        <f>"S58.10.07"</f>
        <v>S58.10.07</v>
      </c>
      <c r="M226" s="7">
        <v>44</v>
      </c>
      <c r="N226" s="7">
        <v>506768</v>
      </c>
      <c r="O226" s="7">
        <v>506766</v>
      </c>
      <c r="P226" s="7">
        <v>0</v>
      </c>
      <c r="Q226" s="7" t="str">
        <f t="shared" si="70"/>
        <v>府民文化部</v>
      </c>
      <c r="R226" s="7" t="str">
        <f t="shared" si="76"/>
        <v>日本万国博覧会記念公園事務所</v>
      </c>
    </row>
    <row r="227" spans="1:18" s="1" customFormat="1" x14ac:dyDescent="0.45">
      <c r="A227" s="7" t="str">
        <f t="shared" si="72"/>
        <v>02517000000</v>
      </c>
      <c r="B227" s="7" t="str">
        <f t="shared" si="73"/>
        <v>日本万国博覧会記念公園</v>
      </c>
      <c r="C227" s="7" t="str">
        <f t="shared" si="77"/>
        <v>行政財産</v>
      </c>
      <c r="D227" s="7" t="str">
        <f t="shared" si="74"/>
        <v>公園</v>
      </c>
      <c r="E227" s="7" t="str">
        <f t="shared" si="75"/>
        <v>大阪府吹田市千里万博公園</v>
      </c>
      <c r="F227" s="7"/>
      <c r="G227" s="7" t="str">
        <f t="shared" si="68"/>
        <v>事業用資産</v>
      </c>
      <c r="H227" s="7" t="str">
        <f t="shared" si="69"/>
        <v>棚卸以外</v>
      </c>
      <c r="I227" s="7">
        <v>169</v>
      </c>
      <c r="J227" s="7" t="str">
        <f>"駅前広場前売店Ｂ裏　倉庫"</f>
        <v>駅前広場前売店Ｂ裏　倉庫</v>
      </c>
      <c r="K227" s="7" t="str">
        <f t="shared" si="78"/>
        <v>鉄骨造</v>
      </c>
      <c r="L227" s="7" t="str">
        <f>"H29.08.30"</f>
        <v>H29.08.30</v>
      </c>
      <c r="M227" s="7">
        <v>40.799999999999997</v>
      </c>
      <c r="N227" s="7">
        <v>6765225</v>
      </c>
      <c r="O227" s="7">
        <v>996029</v>
      </c>
      <c r="P227" s="7">
        <v>0</v>
      </c>
      <c r="Q227" s="7" t="str">
        <f t="shared" si="70"/>
        <v>府民文化部</v>
      </c>
      <c r="R227" s="7" t="str">
        <f t="shared" si="76"/>
        <v>日本万国博覧会記念公園事務所</v>
      </c>
    </row>
    <row r="228" spans="1:18" s="1" customFormat="1" x14ac:dyDescent="0.45">
      <c r="A228" s="7" t="str">
        <f t="shared" si="72"/>
        <v>02517000000</v>
      </c>
      <c r="B228" s="7" t="str">
        <f t="shared" si="73"/>
        <v>日本万国博覧会記念公園</v>
      </c>
      <c r="C228" s="7" t="str">
        <f t="shared" si="77"/>
        <v>行政財産</v>
      </c>
      <c r="D228" s="7" t="str">
        <f t="shared" si="74"/>
        <v>公園</v>
      </c>
      <c r="E228" s="7" t="str">
        <f t="shared" si="75"/>
        <v>大阪府吹田市千里万博公園</v>
      </c>
      <c r="F228" s="7"/>
      <c r="G228" s="7" t="str">
        <f t="shared" si="68"/>
        <v>事業用資産</v>
      </c>
      <c r="H228" s="7" t="str">
        <f t="shared" si="69"/>
        <v>棚卸以外</v>
      </c>
      <c r="I228" s="7">
        <v>170</v>
      </c>
      <c r="J228" s="7" t="str">
        <f>"バーベキューコーナー管理棟（売店）"</f>
        <v>バーベキューコーナー管理棟（売店）</v>
      </c>
      <c r="K228" s="7" t="str">
        <f t="shared" si="78"/>
        <v>鉄骨造</v>
      </c>
      <c r="L228" s="7" t="str">
        <f>"H31.03.19"</f>
        <v>H31.03.19</v>
      </c>
      <c r="M228" s="7">
        <v>94.25</v>
      </c>
      <c r="N228" s="7">
        <v>14223600</v>
      </c>
      <c r="O228" s="7">
        <v>1835328</v>
      </c>
      <c r="P228" s="7">
        <v>0</v>
      </c>
      <c r="Q228" s="7" t="str">
        <f t="shared" si="70"/>
        <v>府民文化部</v>
      </c>
      <c r="R228" s="7" t="str">
        <f t="shared" si="76"/>
        <v>日本万国博覧会記念公園事務所</v>
      </c>
    </row>
    <row r="229" spans="1:18" s="1" customFormat="1" x14ac:dyDescent="0.45">
      <c r="A229" s="7" t="str">
        <f t="shared" si="72"/>
        <v>02517000000</v>
      </c>
      <c r="B229" s="7" t="str">
        <f t="shared" si="73"/>
        <v>日本万国博覧会記念公園</v>
      </c>
      <c r="C229" s="7" t="str">
        <f t="shared" si="77"/>
        <v>行政財産</v>
      </c>
      <c r="D229" s="7" t="str">
        <f t="shared" si="74"/>
        <v>公園</v>
      </c>
      <c r="E229" s="7" t="str">
        <f t="shared" si="75"/>
        <v>大阪府吹田市千里万博公園</v>
      </c>
      <c r="F229" s="7"/>
      <c r="G229" s="7" t="str">
        <f t="shared" si="68"/>
        <v>事業用資産</v>
      </c>
      <c r="H229" s="7" t="str">
        <f t="shared" si="69"/>
        <v>棚卸以外</v>
      </c>
      <c r="I229" s="7">
        <v>171</v>
      </c>
      <c r="J229" s="7" t="str">
        <f>"アスレチック施設 管理棟"</f>
        <v>アスレチック施設 管理棟</v>
      </c>
      <c r="K229" s="7" t="str">
        <f t="shared" si="78"/>
        <v>鉄骨造</v>
      </c>
      <c r="L229" s="7" t="str">
        <f>"R01.12.23"</f>
        <v>R01.12.23</v>
      </c>
      <c r="M229" s="7">
        <v>35.97</v>
      </c>
      <c r="N229" s="7">
        <v>7183000</v>
      </c>
      <c r="O229" s="7">
        <v>567108</v>
      </c>
      <c r="P229" s="7">
        <v>0</v>
      </c>
      <c r="Q229" s="7" t="str">
        <f t="shared" si="70"/>
        <v>府民文化部</v>
      </c>
      <c r="R229" s="7" t="str">
        <f t="shared" si="76"/>
        <v>日本万国博覧会記念公園事務所</v>
      </c>
    </row>
    <row r="230" spans="1:18" s="1" customFormat="1" x14ac:dyDescent="0.45">
      <c r="A230" s="7" t="str">
        <f t="shared" si="72"/>
        <v>02517000000</v>
      </c>
      <c r="B230" s="7" t="str">
        <f t="shared" si="73"/>
        <v>日本万国博覧会記念公園</v>
      </c>
      <c r="C230" s="7" t="str">
        <f t="shared" si="77"/>
        <v>行政財産</v>
      </c>
      <c r="D230" s="7" t="str">
        <f t="shared" si="74"/>
        <v>公園</v>
      </c>
      <c r="E230" s="7" t="str">
        <f t="shared" si="75"/>
        <v>大阪府吹田市千里万博公園</v>
      </c>
      <c r="F230" s="7"/>
      <c r="G230" s="7" t="str">
        <f t="shared" si="68"/>
        <v>事業用資産</v>
      </c>
      <c r="H230" s="7" t="str">
        <f t="shared" si="69"/>
        <v>棚卸以外</v>
      </c>
      <c r="I230" s="7">
        <v>172</v>
      </c>
      <c r="J230" s="7" t="str">
        <f>"アスレチック施設 ロッカールーム"</f>
        <v>アスレチック施設 ロッカールーム</v>
      </c>
      <c r="K230" s="7" t="str">
        <f t="shared" si="78"/>
        <v>鉄骨造</v>
      </c>
      <c r="L230" s="7" t="str">
        <f>"R01.12.23"</f>
        <v>R01.12.23</v>
      </c>
      <c r="M230" s="7">
        <v>23.84</v>
      </c>
      <c r="N230" s="7">
        <v>3524950</v>
      </c>
      <c r="O230" s="7">
        <v>311040</v>
      </c>
      <c r="P230" s="7">
        <v>0</v>
      </c>
      <c r="Q230" s="7" t="str">
        <f t="shared" ref="Q230:Q242" si="79">"府民文化部"</f>
        <v>府民文化部</v>
      </c>
      <c r="R230" s="7" t="str">
        <f t="shared" si="76"/>
        <v>日本万国博覧会記念公園事務所</v>
      </c>
    </row>
    <row r="231" spans="1:18" s="1" customFormat="1" x14ac:dyDescent="0.45">
      <c r="A231" s="7" t="str">
        <f t="shared" si="72"/>
        <v>02517000000</v>
      </c>
      <c r="B231" s="7" t="str">
        <f t="shared" si="73"/>
        <v>日本万国博覧会記念公園</v>
      </c>
      <c r="C231" s="7" t="str">
        <f t="shared" si="77"/>
        <v>行政財産</v>
      </c>
      <c r="D231" s="7" t="str">
        <f t="shared" si="74"/>
        <v>公園</v>
      </c>
      <c r="E231" s="7" t="str">
        <f t="shared" si="75"/>
        <v>大阪府吹田市千里万博公園</v>
      </c>
      <c r="F231" s="7"/>
      <c r="G231" s="7" t="str">
        <f t="shared" si="68"/>
        <v>事業用資産</v>
      </c>
      <c r="H231" s="7" t="str">
        <f t="shared" si="69"/>
        <v>棚卸以外</v>
      </c>
      <c r="I231" s="7">
        <v>173</v>
      </c>
      <c r="J231" s="7" t="str">
        <f>"お祭り広場倉庫"</f>
        <v>お祭り広場倉庫</v>
      </c>
      <c r="K231" s="7" t="str">
        <f t="shared" si="78"/>
        <v>鉄骨造</v>
      </c>
      <c r="L231" s="7" t="str">
        <f>"R04.03.11"</f>
        <v>R04.03.11</v>
      </c>
      <c r="M231" s="7">
        <v>43.47</v>
      </c>
      <c r="N231" s="7">
        <v>3903130</v>
      </c>
      <c r="O231" s="7">
        <v>150048</v>
      </c>
      <c r="P231" s="7">
        <v>0</v>
      </c>
      <c r="Q231" s="7" t="str">
        <f t="shared" si="79"/>
        <v>府民文化部</v>
      </c>
      <c r="R231" s="7" t="str">
        <f t="shared" si="76"/>
        <v>日本万国博覧会記念公園事務所</v>
      </c>
    </row>
    <row r="232" spans="1:18" s="1" customFormat="1" x14ac:dyDescent="0.45">
      <c r="A232" s="7" t="str">
        <f t="shared" si="72"/>
        <v>02517000000</v>
      </c>
      <c r="B232" s="7" t="str">
        <f t="shared" si="73"/>
        <v>日本万国博覧会記念公園</v>
      </c>
      <c r="C232" s="7" t="str">
        <f t="shared" si="77"/>
        <v>行政財産</v>
      </c>
      <c r="D232" s="7" t="str">
        <f t="shared" si="74"/>
        <v>公園</v>
      </c>
      <c r="E232" s="7" t="str">
        <f t="shared" si="75"/>
        <v>大阪府吹田市千里万博公園</v>
      </c>
      <c r="F232" s="7"/>
      <c r="G232" s="7" t="str">
        <f t="shared" si="68"/>
        <v>事業用資産</v>
      </c>
      <c r="H232" s="7" t="str">
        <f t="shared" si="69"/>
        <v>棚卸以外</v>
      </c>
      <c r="I232" s="7">
        <v>174</v>
      </c>
      <c r="J232" s="7" t="str">
        <f>"下の広場防災備蓄倉庫"</f>
        <v>下の広場防災備蓄倉庫</v>
      </c>
      <c r="K232" s="7" t="str">
        <f t="shared" si="78"/>
        <v>鉄骨造</v>
      </c>
      <c r="L232" s="7" t="str">
        <f t="shared" ref="L232:L237" si="80">"R05.03.03"</f>
        <v>R05.03.03</v>
      </c>
      <c r="M232" s="7">
        <v>21.17</v>
      </c>
      <c r="N232" s="7">
        <v>2635140</v>
      </c>
      <c r="O232" s="7">
        <v>8398</v>
      </c>
      <c r="P232" s="7">
        <v>0</v>
      </c>
      <c r="Q232" s="7" t="str">
        <f t="shared" si="79"/>
        <v>府民文化部</v>
      </c>
      <c r="R232" s="7" t="str">
        <f t="shared" si="76"/>
        <v>日本万国博覧会記念公園事務所</v>
      </c>
    </row>
    <row r="233" spans="1:18" s="1" customFormat="1" x14ac:dyDescent="0.45">
      <c r="A233" s="7" t="str">
        <f t="shared" si="72"/>
        <v>02517000000</v>
      </c>
      <c r="B233" s="7" t="str">
        <f t="shared" si="73"/>
        <v>日本万国博覧会記念公園</v>
      </c>
      <c r="C233" s="7" t="str">
        <f t="shared" si="77"/>
        <v>行政財産</v>
      </c>
      <c r="D233" s="7" t="str">
        <f t="shared" si="74"/>
        <v>公園</v>
      </c>
      <c r="E233" s="7" t="str">
        <f t="shared" si="75"/>
        <v>大阪府吹田市千里万博公園</v>
      </c>
      <c r="F233" s="7"/>
      <c r="G233" s="7" t="str">
        <f t="shared" si="68"/>
        <v>事業用資産</v>
      </c>
      <c r="H233" s="7" t="str">
        <f t="shared" si="69"/>
        <v>棚卸以外</v>
      </c>
      <c r="I233" s="7">
        <v>175</v>
      </c>
      <c r="J233" s="7" t="str">
        <f>"東の広場防災備蓄倉庫"</f>
        <v>東の広場防災備蓄倉庫</v>
      </c>
      <c r="K233" s="7" t="str">
        <f t="shared" si="78"/>
        <v>鉄骨造</v>
      </c>
      <c r="L233" s="7" t="str">
        <f t="shared" si="80"/>
        <v>R05.03.03</v>
      </c>
      <c r="M233" s="7">
        <v>21.17</v>
      </c>
      <c r="N233" s="7">
        <v>2884160</v>
      </c>
      <c r="O233" s="7">
        <v>9399</v>
      </c>
      <c r="P233" s="7">
        <v>0</v>
      </c>
      <c r="Q233" s="7" t="str">
        <f t="shared" si="79"/>
        <v>府民文化部</v>
      </c>
      <c r="R233" s="7" t="str">
        <f t="shared" si="76"/>
        <v>日本万国博覧会記念公園事務所</v>
      </c>
    </row>
    <row r="234" spans="1:18" s="1" customFormat="1" x14ac:dyDescent="0.45">
      <c r="A234" s="7" t="str">
        <f t="shared" si="72"/>
        <v>02517000000</v>
      </c>
      <c r="B234" s="7" t="str">
        <f t="shared" si="73"/>
        <v>日本万国博覧会記念公園</v>
      </c>
      <c r="C234" s="7" t="str">
        <f t="shared" si="77"/>
        <v>行政財産</v>
      </c>
      <c r="D234" s="7" t="str">
        <f t="shared" si="74"/>
        <v>公園</v>
      </c>
      <c r="E234" s="7" t="str">
        <f t="shared" si="75"/>
        <v>大阪府吹田市千里万博公園</v>
      </c>
      <c r="F234" s="7"/>
      <c r="G234" s="7" t="str">
        <f t="shared" si="68"/>
        <v>事業用資産</v>
      </c>
      <c r="H234" s="7" t="str">
        <f t="shared" si="69"/>
        <v>棚卸以外</v>
      </c>
      <c r="I234" s="7">
        <v>180</v>
      </c>
      <c r="J234" s="7" t="str">
        <f>"西口ちびっこ広場防災備蓄倉庫"</f>
        <v>西口ちびっこ広場防災備蓄倉庫</v>
      </c>
      <c r="K234" s="7" t="str">
        <f t="shared" si="78"/>
        <v>鉄骨造</v>
      </c>
      <c r="L234" s="7" t="str">
        <f t="shared" si="80"/>
        <v>R05.03.03</v>
      </c>
      <c r="M234" s="7">
        <v>21.17</v>
      </c>
      <c r="N234" s="7">
        <v>2322138</v>
      </c>
      <c r="O234" s="7">
        <v>7345</v>
      </c>
      <c r="P234" s="7">
        <v>0</v>
      </c>
      <c r="Q234" s="7" t="str">
        <f t="shared" si="79"/>
        <v>府民文化部</v>
      </c>
      <c r="R234" s="7" t="str">
        <f t="shared" si="76"/>
        <v>日本万国博覧会記念公園事務所</v>
      </c>
    </row>
    <row r="235" spans="1:18" s="1" customFormat="1" x14ac:dyDescent="0.45">
      <c r="A235" s="7" t="str">
        <f t="shared" si="72"/>
        <v>02517000000</v>
      </c>
      <c r="B235" s="7" t="str">
        <f t="shared" si="73"/>
        <v>日本万国博覧会記念公園</v>
      </c>
      <c r="C235" s="7" t="str">
        <f t="shared" si="77"/>
        <v>行政財産</v>
      </c>
      <c r="D235" s="7" t="str">
        <f t="shared" si="74"/>
        <v>公園</v>
      </c>
      <c r="E235" s="7" t="str">
        <f t="shared" si="75"/>
        <v>大阪府吹田市千里万博公園</v>
      </c>
      <c r="F235" s="7"/>
      <c r="G235" s="7" t="str">
        <f t="shared" si="68"/>
        <v>事業用資産</v>
      </c>
      <c r="H235" s="7" t="str">
        <f t="shared" si="69"/>
        <v>棚卸以外</v>
      </c>
      <c r="I235" s="7">
        <v>181</v>
      </c>
      <c r="J235" s="7" t="str">
        <f>"南口ちびっこ広場防災備蓄倉庫"</f>
        <v>南口ちびっこ広場防災備蓄倉庫</v>
      </c>
      <c r="K235" s="7" t="str">
        <f t="shared" si="78"/>
        <v>鉄骨造</v>
      </c>
      <c r="L235" s="7" t="str">
        <f t="shared" si="80"/>
        <v>R05.03.03</v>
      </c>
      <c r="M235" s="7">
        <v>21.17</v>
      </c>
      <c r="N235" s="7">
        <v>3261408</v>
      </c>
      <c r="O235" s="7">
        <v>10543</v>
      </c>
      <c r="P235" s="7">
        <v>0</v>
      </c>
      <c r="Q235" s="7" t="str">
        <f t="shared" si="79"/>
        <v>府民文化部</v>
      </c>
      <c r="R235" s="7" t="str">
        <f t="shared" si="76"/>
        <v>日本万国博覧会記念公園事務所</v>
      </c>
    </row>
    <row r="236" spans="1:18" s="1" customFormat="1" x14ac:dyDescent="0.45">
      <c r="A236" s="7" t="str">
        <f t="shared" si="72"/>
        <v>02517000000</v>
      </c>
      <c r="B236" s="7" t="str">
        <f t="shared" si="73"/>
        <v>日本万国博覧会記念公園</v>
      </c>
      <c r="C236" s="7" t="str">
        <f t="shared" si="77"/>
        <v>行政財産</v>
      </c>
      <c r="D236" s="7" t="str">
        <f t="shared" si="74"/>
        <v>公園</v>
      </c>
      <c r="E236" s="7" t="str">
        <f t="shared" si="75"/>
        <v>大阪府吹田市千里万博公園</v>
      </c>
      <c r="F236" s="7"/>
      <c r="G236" s="7" t="str">
        <f t="shared" si="68"/>
        <v>事業用資産</v>
      </c>
      <c r="H236" s="7" t="str">
        <f t="shared" si="69"/>
        <v>棚卸以外</v>
      </c>
      <c r="I236" s="7">
        <v>182</v>
      </c>
      <c r="J236" s="7" t="str">
        <f>"運動施設南地区中央防災備蓄倉庫"</f>
        <v>運動施設南地区中央防災備蓄倉庫</v>
      </c>
      <c r="K236" s="7" t="str">
        <f t="shared" si="78"/>
        <v>鉄骨造</v>
      </c>
      <c r="L236" s="7" t="str">
        <f t="shared" si="80"/>
        <v>R05.03.03</v>
      </c>
      <c r="M236" s="7">
        <v>7.91</v>
      </c>
      <c r="N236" s="7">
        <v>1558247</v>
      </c>
      <c r="O236" s="7">
        <v>4979</v>
      </c>
      <c r="P236" s="7">
        <v>0</v>
      </c>
      <c r="Q236" s="7" t="str">
        <f t="shared" si="79"/>
        <v>府民文化部</v>
      </c>
      <c r="R236" s="7" t="str">
        <f t="shared" si="76"/>
        <v>日本万国博覧会記念公園事務所</v>
      </c>
    </row>
    <row r="237" spans="1:18" s="1" customFormat="1" x14ac:dyDescent="0.45">
      <c r="A237" s="7" t="str">
        <f t="shared" si="72"/>
        <v>02517000000</v>
      </c>
      <c r="B237" s="7" t="str">
        <f t="shared" si="73"/>
        <v>日本万国博覧会記念公園</v>
      </c>
      <c r="C237" s="7" t="str">
        <f t="shared" si="77"/>
        <v>行政財産</v>
      </c>
      <c r="D237" s="7" t="str">
        <f t="shared" si="74"/>
        <v>公園</v>
      </c>
      <c r="E237" s="7" t="str">
        <f t="shared" si="75"/>
        <v>大阪府吹田市千里万博公園</v>
      </c>
      <c r="F237" s="7"/>
      <c r="G237" s="7" t="str">
        <f t="shared" si="68"/>
        <v>事業用資産</v>
      </c>
      <c r="H237" s="7" t="str">
        <f t="shared" si="69"/>
        <v>棚卸以外</v>
      </c>
      <c r="I237" s="7">
        <v>183</v>
      </c>
      <c r="J237" s="7" t="str">
        <f>"運動施設東地区防災備蓄倉庫"</f>
        <v>運動施設東地区防災備蓄倉庫</v>
      </c>
      <c r="K237" s="7" t="str">
        <f t="shared" si="78"/>
        <v>鉄骨造</v>
      </c>
      <c r="L237" s="7" t="str">
        <f t="shared" si="80"/>
        <v>R05.03.03</v>
      </c>
      <c r="M237" s="7">
        <v>7.91</v>
      </c>
      <c r="N237" s="7">
        <v>1602696</v>
      </c>
      <c r="O237" s="7">
        <v>5135</v>
      </c>
      <c r="P237" s="7">
        <v>0</v>
      </c>
      <c r="Q237" s="7" t="str">
        <f t="shared" si="79"/>
        <v>府民文化部</v>
      </c>
      <c r="R237" s="7" t="str">
        <f t="shared" si="76"/>
        <v>日本万国博覧会記念公園事務所</v>
      </c>
    </row>
    <row r="238" spans="1:18" s="1" customFormat="1" x14ac:dyDescent="0.45">
      <c r="A238" s="7" t="str">
        <f>"02517000001"</f>
        <v>02517000001</v>
      </c>
      <c r="B238" s="7" t="str">
        <f>"日本万国博覧会記念公園（普通財産）"</f>
        <v>日本万国博覧会記念公園（普通財産）</v>
      </c>
      <c r="C238" s="7" t="str">
        <f>"普通財産"</f>
        <v>普通財産</v>
      </c>
      <c r="D238" s="7" t="str">
        <f>"元施設"</f>
        <v>元施設</v>
      </c>
      <c r="E238" s="7" t="str">
        <f t="shared" si="75"/>
        <v>大阪府吹田市千里万博公園</v>
      </c>
      <c r="F238" s="7"/>
      <c r="G238" s="7" t="str">
        <f t="shared" si="68"/>
        <v>事業用資産</v>
      </c>
      <c r="H238" s="7" t="str">
        <f t="shared" si="69"/>
        <v>棚卸以外</v>
      </c>
      <c r="I238" s="7">
        <v>1</v>
      </c>
      <c r="J238" s="7" t="str">
        <f>"迎賓館"</f>
        <v>迎賓館</v>
      </c>
      <c r="K238" s="7" t="str">
        <f>"鉄筋コンクリート造"</f>
        <v>鉄筋コンクリート造</v>
      </c>
      <c r="L238" s="7" t="str">
        <f>"S44.09.01"</f>
        <v>S44.09.01</v>
      </c>
      <c r="M238" s="7">
        <v>2154.21</v>
      </c>
      <c r="N238" s="7">
        <v>67024135</v>
      </c>
      <c r="O238" s="7">
        <v>11118841</v>
      </c>
      <c r="P238" s="7">
        <v>0</v>
      </c>
      <c r="Q238" s="7" t="str">
        <f t="shared" si="79"/>
        <v>府民文化部</v>
      </c>
      <c r="R238" s="7" t="str">
        <f t="shared" si="76"/>
        <v>日本万国博覧会記念公園事務所</v>
      </c>
    </row>
    <row r="239" spans="1:18" s="1" customFormat="1" ht="26.4" x14ac:dyDescent="0.45">
      <c r="A239" s="7" t="str">
        <f>"02517000001"</f>
        <v>02517000001</v>
      </c>
      <c r="B239" s="7" t="str">
        <f>"日本万国博覧会記念公園（普通財産）"</f>
        <v>日本万国博覧会記念公園（普通財産）</v>
      </c>
      <c r="C239" s="7" t="str">
        <f>"普通財産"</f>
        <v>普通財産</v>
      </c>
      <c r="D239" s="7" t="str">
        <f>"元施設"</f>
        <v>元施設</v>
      </c>
      <c r="E239" s="7" t="str">
        <f t="shared" si="75"/>
        <v>大阪府吹田市千里万博公園</v>
      </c>
      <c r="F239" s="7"/>
      <c r="G239" s="7" t="str">
        <f t="shared" si="68"/>
        <v>事業用資産</v>
      </c>
      <c r="H239" s="7" t="str">
        <f t="shared" si="69"/>
        <v>棚卸以外</v>
      </c>
      <c r="I239" s="7">
        <v>2</v>
      </c>
      <c r="J239" s="7" t="str">
        <f>"運動施設南地区（総合スポーツ広場器具庫）"</f>
        <v>運動施設南地区（総合スポーツ広場器具庫）</v>
      </c>
      <c r="K239" s="7" t="str">
        <f>"土蔵造(簡易建物)"</f>
        <v>土蔵造(簡易建物)</v>
      </c>
      <c r="L239" s="7" t="str">
        <f>"H17.06.01"</f>
        <v>H17.06.01</v>
      </c>
      <c r="M239" s="7">
        <v>39.26</v>
      </c>
      <c r="N239" s="7">
        <v>612663</v>
      </c>
      <c r="O239" s="7">
        <v>227696</v>
      </c>
      <c r="P239" s="7">
        <v>0</v>
      </c>
      <c r="Q239" s="7" t="str">
        <f t="shared" si="79"/>
        <v>府民文化部</v>
      </c>
      <c r="R239" s="7" t="str">
        <f t="shared" si="76"/>
        <v>日本万国博覧会記念公園事務所</v>
      </c>
    </row>
    <row r="240" spans="1:18" s="1" customFormat="1" ht="26.4" x14ac:dyDescent="0.45">
      <c r="A240" s="7" t="str">
        <f>"02517000001"</f>
        <v>02517000001</v>
      </c>
      <c r="B240" s="7" t="str">
        <f>"日本万国博覧会記念公園（普通財産）"</f>
        <v>日本万国博覧会記念公園（普通財産）</v>
      </c>
      <c r="C240" s="7" t="str">
        <f>"普通財産"</f>
        <v>普通財産</v>
      </c>
      <c r="D240" s="7" t="str">
        <f>"元施設"</f>
        <v>元施設</v>
      </c>
      <c r="E240" s="7" t="str">
        <f t="shared" si="75"/>
        <v>大阪府吹田市千里万博公園</v>
      </c>
      <c r="F240" s="7"/>
      <c r="G240" s="7" t="str">
        <f t="shared" si="68"/>
        <v>事業用資産</v>
      </c>
      <c r="H240" s="7" t="str">
        <f t="shared" si="69"/>
        <v>棚卸以外</v>
      </c>
      <c r="I240" s="7">
        <v>3</v>
      </c>
      <c r="J240" s="7" t="str">
        <f>"運動施設南地区（総合スポーツ広場№6　管理事務所）"</f>
        <v>運動施設南地区（総合スポーツ広場№6　管理事務所）</v>
      </c>
      <c r="K240" s="7" t="str">
        <f>"鉄骨造"</f>
        <v>鉄骨造</v>
      </c>
      <c r="L240" s="7" t="str">
        <f>"H18.04.14"</f>
        <v>H18.04.14</v>
      </c>
      <c r="M240" s="7">
        <v>70.930000000000007</v>
      </c>
      <c r="N240" s="7">
        <v>13945123</v>
      </c>
      <c r="O240" s="7">
        <v>3272274</v>
      </c>
      <c r="P240" s="7">
        <v>0</v>
      </c>
      <c r="Q240" s="7" t="str">
        <f t="shared" si="79"/>
        <v>府民文化部</v>
      </c>
      <c r="R240" s="7" t="str">
        <f t="shared" si="76"/>
        <v>日本万国博覧会記念公園事務所</v>
      </c>
    </row>
    <row r="241" spans="1:18" s="1" customFormat="1" ht="26.4" x14ac:dyDescent="0.45">
      <c r="A241" s="7" t="str">
        <f>"02939000033"</f>
        <v>02939000033</v>
      </c>
      <c r="B241" s="7" t="str">
        <f>"大阪府立江之子島文化芸術創造センター"</f>
        <v>大阪府立江之子島文化芸術創造センター</v>
      </c>
      <c r="C241" s="7" t="str">
        <f>"行政財産"</f>
        <v>行政財産</v>
      </c>
      <c r="D241" s="7" t="str">
        <f>"その他（公共用）の施設"</f>
        <v>その他（公共用）の施設</v>
      </c>
      <c r="E241" s="7" t="str">
        <f>"大阪府大阪市　西区江之子島２丁目"</f>
        <v>大阪府大阪市　西区江之子島２丁目</v>
      </c>
      <c r="F241" s="7"/>
      <c r="G241" s="7" t="str">
        <f t="shared" si="68"/>
        <v>事業用資産</v>
      </c>
      <c r="H241" s="7" t="str">
        <f t="shared" si="69"/>
        <v>棚卸以外</v>
      </c>
      <c r="I241" s="7">
        <v>27</v>
      </c>
      <c r="J241" s="7" t="str">
        <f>"大阪府立江之子島文化芸術創造センター"</f>
        <v>大阪府立江之子島文化芸術創造センター</v>
      </c>
      <c r="K241" s="7" t="str">
        <f>"鉄筋コンクリート造"</f>
        <v>鉄筋コンクリート造</v>
      </c>
      <c r="L241" s="7" t="str">
        <f>"S13.03.31"</f>
        <v>S13.03.31</v>
      </c>
      <c r="M241" s="7">
        <v>2943.57</v>
      </c>
      <c r="N241" s="7">
        <v>964510409</v>
      </c>
      <c r="O241" s="7">
        <v>555798125</v>
      </c>
      <c r="P241" s="7">
        <v>0</v>
      </c>
      <c r="Q241" s="7" t="str">
        <f t="shared" si="79"/>
        <v>府民文化部</v>
      </c>
      <c r="R241" s="7" t="str">
        <f>"文化・スポーツ室"</f>
        <v>文化・スポーツ室</v>
      </c>
    </row>
    <row r="242" spans="1:18" s="1" customFormat="1" x14ac:dyDescent="0.45">
      <c r="A242" s="7" t="str">
        <f>"02939001007"</f>
        <v>02939001007</v>
      </c>
      <c r="B242" s="7" t="str">
        <f>"センチュリーオーケストラハウス"</f>
        <v>センチュリーオーケストラハウス</v>
      </c>
      <c r="C242" s="7" t="str">
        <f>"普通財産"</f>
        <v>普通財産</v>
      </c>
      <c r="D242" s="7" t="str">
        <f>"その他"</f>
        <v>その他</v>
      </c>
      <c r="E242" s="7" t="str">
        <f>"大阪府豊中市服部緑地"</f>
        <v>大阪府豊中市服部緑地</v>
      </c>
      <c r="F242" s="7"/>
      <c r="G242" s="7" t="str">
        <f t="shared" si="68"/>
        <v>事業用資産</v>
      </c>
      <c r="H242" s="7" t="str">
        <f t="shared" si="69"/>
        <v>棚卸以外</v>
      </c>
      <c r="I242" s="7">
        <v>1</v>
      </c>
      <c r="J242" s="7" t="str">
        <f>"オーケストラハウス"</f>
        <v>オーケストラハウス</v>
      </c>
      <c r="K242" s="7" t="str">
        <f>"鉄筋コンクリート造"</f>
        <v>鉄筋コンクリート造</v>
      </c>
      <c r="L242" s="7" t="str">
        <f>"H03.07.09"</f>
        <v>H03.07.09</v>
      </c>
      <c r="M242" s="7">
        <v>2164.84</v>
      </c>
      <c r="N242" s="7">
        <v>843634000</v>
      </c>
      <c r="O242" s="7">
        <v>534301660</v>
      </c>
      <c r="P242" s="7">
        <v>0</v>
      </c>
      <c r="Q242" s="7" t="str">
        <f t="shared" si="79"/>
        <v>府民文化部</v>
      </c>
      <c r="R242" s="7" t="str">
        <f>"文化・スポーツ室"</f>
        <v>文化・スポーツ室</v>
      </c>
    </row>
    <row r="243" spans="1:18" s="1" customFormat="1" x14ac:dyDescent="0.45">
      <c r="A243" s="7" t="str">
        <f>"03258001019"</f>
        <v>03258001019</v>
      </c>
      <c r="B243" s="7" t="str">
        <f>"引揚者東貝塚住宅"</f>
        <v>引揚者東貝塚住宅</v>
      </c>
      <c r="C243" s="7" t="str">
        <f t="shared" ref="C243:C274" si="81">"行政財産"</f>
        <v>行政財産</v>
      </c>
      <c r="D243" s="7" t="str">
        <f t="shared" ref="D243:D276" si="82">"その他（公共用）の施設"</f>
        <v>その他（公共用）の施設</v>
      </c>
      <c r="E243" s="7" t="str">
        <f>"大阪府貝塚市半田"</f>
        <v>大阪府貝塚市半田</v>
      </c>
      <c r="F243" s="7"/>
      <c r="G243" s="7" t="str">
        <f t="shared" si="68"/>
        <v>事業用資産</v>
      </c>
      <c r="H243" s="7" t="str">
        <f t="shared" si="69"/>
        <v>棚卸以外</v>
      </c>
      <c r="I243" s="7">
        <v>9</v>
      </c>
      <c r="J243" s="7" t="str">
        <f>"引揚者東貝塚住宅"</f>
        <v>引揚者東貝塚住宅</v>
      </c>
      <c r="K243" s="7" t="str">
        <f>"木造"</f>
        <v>木造</v>
      </c>
      <c r="L243" s="7" t="str">
        <f>"S26.12.01"</f>
        <v>S26.12.01</v>
      </c>
      <c r="M243" s="7">
        <v>23</v>
      </c>
      <c r="N243" s="7">
        <v>93600</v>
      </c>
      <c r="O243" s="7">
        <v>93599</v>
      </c>
      <c r="P243" s="7">
        <v>0</v>
      </c>
      <c r="Q243" s="7" t="str">
        <f t="shared" ref="Q243:Q274" si="83">"福祉部"</f>
        <v>福祉部</v>
      </c>
      <c r="R243" s="7" t="str">
        <f>"地域福祉推進室"</f>
        <v>地域福祉推進室</v>
      </c>
    </row>
    <row r="244" spans="1:18" s="1" customFormat="1" x14ac:dyDescent="0.45">
      <c r="A244" s="7" t="str">
        <f>"03258001019"</f>
        <v>03258001019</v>
      </c>
      <c r="B244" s="7" t="str">
        <f>"引揚者東貝塚住宅"</f>
        <v>引揚者東貝塚住宅</v>
      </c>
      <c r="C244" s="7" t="str">
        <f t="shared" si="81"/>
        <v>行政財産</v>
      </c>
      <c r="D244" s="7" t="str">
        <f t="shared" si="82"/>
        <v>その他（公共用）の施設</v>
      </c>
      <c r="E244" s="7" t="str">
        <f>"大阪府貝塚市半田"</f>
        <v>大阪府貝塚市半田</v>
      </c>
      <c r="F244" s="7"/>
      <c r="G244" s="7" t="str">
        <f t="shared" si="68"/>
        <v>事業用資産</v>
      </c>
      <c r="H244" s="7" t="str">
        <f t="shared" si="69"/>
        <v>棚卸以外</v>
      </c>
      <c r="I244" s="7">
        <v>15</v>
      </c>
      <c r="J244" s="7" t="str">
        <f>"引揚者東貝塚住宅"</f>
        <v>引揚者東貝塚住宅</v>
      </c>
      <c r="K244" s="7" t="str">
        <f>"木造"</f>
        <v>木造</v>
      </c>
      <c r="L244" s="7" t="str">
        <f>"S26.12.01"</f>
        <v>S26.12.01</v>
      </c>
      <c r="M244" s="7">
        <v>46</v>
      </c>
      <c r="N244" s="7">
        <v>187200</v>
      </c>
      <c r="O244" s="7">
        <v>187199</v>
      </c>
      <c r="P244" s="7">
        <v>0</v>
      </c>
      <c r="Q244" s="7" t="str">
        <f t="shared" si="83"/>
        <v>福祉部</v>
      </c>
      <c r="R244" s="7" t="str">
        <f>"地域福祉推進室"</f>
        <v>地域福祉推進室</v>
      </c>
    </row>
    <row r="245" spans="1:18" s="1" customFormat="1" x14ac:dyDescent="0.45">
      <c r="A245" s="7" t="str">
        <f>"03258001019"</f>
        <v>03258001019</v>
      </c>
      <c r="B245" s="7" t="str">
        <f>"引揚者東貝塚住宅"</f>
        <v>引揚者東貝塚住宅</v>
      </c>
      <c r="C245" s="7" t="str">
        <f t="shared" si="81"/>
        <v>行政財産</v>
      </c>
      <c r="D245" s="7" t="str">
        <f t="shared" si="82"/>
        <v>その他（公共用）の施設</v>
      </c>
      <c r="E245" s="7" t="str">
        <f>"大阪府貝塚市半田"</f>
        <v>大阪府貝塚市半田</v>
      </c>
      <c r="F245" s="7"/>
      <c r="G245" s="7" t="str">
        <f t="shared" si="68"/>
        <v>事業用資産</v>
      </c>
      <c r="H245" s="7" t="str">
        <f t="shared" si="69"/>
        <v>棚卸以外</v>
      </c>
      <c r="I245" s="7">
        <v>18</v>
      </c>
      <c r="J245" s="7" t="str">
        <f>"引揚者東貝塚住宅"</f>
        <v>引揚者東貝塚住宅</v>
      </c>
      <c r="K245" s="7" t="str">
        <f>"木造"</f>
        <v>木造</v>
      </c>
      <c r="L245" s="7" t="str">
        <f>"S26.12.01"</f>
        <v>S26.12.01</v>
      </c>
      <c r="M245" s="7">
        <v>46</v>
      </c>
      <c r="N245" s="7">
        <v>187200</v>
      </c>
      <c r="O245" s="7">
        <v>187199</v>
      </c>
      <c r="P245" s="7">
        <v>0</v>
      </c>
      <c r="Q245" s="7" t="str">
        <f t="shared" si="83"/>
        <v>福祉部</v>
      </c>
      <c r="R245" s="7" t="str">
        <f>"地域福祉推進室"</f>
        <v>地域福祉推進室</v>
      </c>
    </row>
    <row r="246" spans="1:18" s="1" customFormat="1" x14ac:dyDescent="0.45">
      <c r="A246" s="7" t="str">
        <f t="shared" ref="A246:A268" si="84">"03263001008"</f>
        <v>03263001008</v>
      </c>
      <c r="B246" s="7" t="str">
        <f t="shared" ref="B246:B268" si="85">"金剛コロニー"</f>
        <v>金剛コロニー</v>
      </c>
      <c r="C246" s="7" t="str">
        <f t="shared" si="81"/>
        <v>行政財産</v>
      </c>
      <c r="D246" s="7" t="str">
        <f t="shared" si="82"/>
        <v>その他（公共用）の施設</v>
      </c>
      <c r="E246" s="7" t="str">
        <f t="shared" ref="E246:E268" si="86">"大阪府富田林市大字甘南備"</f>
        <v>大阪府富田林市大字甘南備</v>
      </c>
      <c r="F246" s="7"/>
      <c r="G246" s="7" t="str">
        <f t="shared" si="68"/>
        <v>事業用資産</v>
      </c>
      <c r="H246" s="7" t="str">
        <f t="shared" si="69"/>
        <v>棚卸以外</v>
      </c>
      <c r="I246" s="7">
        <v>1</v>
      </c>
      <c r="J246" s="7" t="str">
        <f>"児童寮管理棟"</f>
        <v>児童寮管理棟</v>
      </c>
      <c r="K246" s="7" t="str">
        <f t="shared" ref="K246:K252" si="87">"鉄筋コンクリート造"</f>
        <v>鉄筋コンクリート造</v>
      </c>
      <c r="L246" s="7" t="str">
        <f t="shared" ref="L246:L253" si="88">"S45.02.28"</f>
        <v>S45.02.28</v>
      </c>
      <c r="M246" s="7">
        <v>680.94</v>
      </c>
      <c r="N246" s="7">
        <v>53411363</v>
      </c>
      <c r="O246" s="7">
        <v>50902544</v>
      </c>
      <c r="P246" s="7">
        <v>0</v>
      </c>
      <c r="Q246" s="7" t="str">
        <f t="shared" si="83"/>
        <v>福祉部</v>
      </c>
      <c r="R246" s="7" t="str">
        <f t="shared" ref="R246:R276" si="89">"障がい福祉室"</f>
        <v>障がい福祉室</v>
      </c>
    </row>
    <row r="247" spans="1:18" s="1" customFormat="1" x14ac:dyDescent="0.45">
      <c r="A247" s="7" t="str">
        <f t="shared" si="84"/>
        <v>03263001008</v>
      </c>
      <c r="B247" s="7" t="str">
        <f t="shared" si="85"/>
        <v>金剛コロニー</v>
      </c>
      <c r="C247" s="7" t="str">
        <f t="shared" si="81"/>
        <v>行政財産</v>
      </c>
      <c r="D247" s="7" t="str">
        <f t="shared" si="82"/>
        <v>その他（公共用）の施設</v>
      </c>
      <c r="E247" s="7" t="str">
        <f t="shared" si="86"/>
        <v>大阪府富田林市大字甘南備</v>
      </c>
      <c r="F247" s="7"/>
      <c r="G247" s="7" t="str">
        <f t="shared" si="68"/>
        <v>事業用資産</v>
      </c>
      <c r="H247" s="7" t="str">
        <f t="shared" si="69"/>
        <v>棚卸以外</v>
      </c>
      <c r="I247" s="7">
        <v>2</v>
      </c>
      <c r="J247" s="7" t="str">
        <f>"児童寮女子棟Ａ"</f>
        <v>児童寮女子棟Ａ</v>
      </c>
      <c r="K247" s="7" t="str">
        <f t="shared" si="87"/>
        <v>鉄筋コンクリート造</v>
      </c>
      <c r="L247" s="7" t="str">
        <f t="shared" si="88"/>
        <v>S45.02.28</v>
      </c>
      <c r="M247" s="7">
        <v>476.46</v>
      </c>
      <c r="N247" s="7">
        <v>35366044</v>
      </c>
      <c r="O247" s="7">
        <v>33400930</v>
      </c>
      <c r="P247" s="7">
        <v>0</v>
      </c>
      <c r="Q247" s="7" t="str">
        <f t="shared" si="83"/>
        <v>福祉部</v>
      </c>
      <c r="R247" s="7" t="str">
        <f t="shared" si="89"/>
        <v>障がい福祉室</v>
      </c>
    </row>
    <row r="248" spans="1:18" s="1" customFormat="1" x14ac:dyDescent="0.45">
      <c r="A248" s="7" t="str">
        <f t="shared" si="84"/>
        <v>03263001008</v>
      </c>
      <c r="B248" s="7" t="str">
        <f t="shared" si="85"/>
        <v>金剛コロニー</v>
      </c>
      <c r="C248" s="7" t="str">
        <f t="shared" si="81"/>
        <v>行政財産</v>
      </c>
      <c r="D248" s="7" t="str">
        <f t="shared" si="82"/>
        <v>その他（公共用）の施設</v>
      </c>
      <c r="E248" s="7" t="str">
        <f t="shared" si="86"/>
        <v>大阪府富田林市大字甘南備</v>
      </c>
      <c r="F248" s="7"/>
      <c r="G248" s="7" t="str">
        <f t="shared" si="68"/>
        <v>事業用資産</v>
      </c>
      <c r="H248" s="7" t="str">
        <f t="shared" si="69"/>
        <v>棚卸以外</v>
      </c>
      <c r="I248" s="7">
        <v>3</v>
      </c>
      <c r="J248" s="7" t="str">
        <f>"児童寮女子棟Ｂ"</f>
        <v>児童寮女子棟Ｂ</v>
      </c>
      <c r="K248" s="7" t="str">
        <f t="shared" si="87"/>
        <v>鉄筋コンクリート造</v>
      </c>
      <c r="L248" s="7" t="str">
        <f t="shared" si="88"/>
        <v>S45.02.28</v>
      </c>
      <c r="M248" s="7">
        <v>541.21</v>
      </c>
      <c r="N248" s="7">
        <v>52897251</v>
      </c>
      <c r="O248" s="7">
        <v>45738060</v>
      </c>
      <c r="P248" s="7">
        <v>0</v>
      </c>
      <c r="Q248" s="7" t="str">
        <f t="shared" si="83"/>
        <v>福祉部</v>
      </c>
      <c r="R248" s="7" t="str">
        <f t="shared" si="89"/>
        <v>障がい福祉室</v>
      </c>
    </row>
    <row r="249" spans="1:18" s="1" customFormat="1" x14ac:dyDescent="0.45">
      <c r="A249" s="7" t="str">
        <f t="shared" si="84"/>
        <v>03263001008</v>
      </c>
      <c r="B249" s="7" t="str">
        <f t="shared" si="85"/>
        <v>金剛コロニー</v>
      </c>
      <c r="C249" s="7" t="str">
        <f t="shared" si="81"/>
        <v>行政財産</v>
      </c>
      <c r="D249" s="7" t="str">
        <f t="shared" si="82"/>
        <v>その他（公共用）の施設</v>
      </c>
      <c r="E249" s="7" t="str">
        <f t="shared" si="86"/>
        <v>大阪府富田林市大字甘南備</v>
      </c>
      <c r="F249" s="7"/>
      <c r="G249" s="7" t="str">
        <f t="shared" si="68"/>
        <v>事業用資産</v>
      </c>
      <c r="H249" s="7" t="str">
        <f t="shared" si="69"/>
        <v>棚卸以外</v>
      </c>
      <c r="I249" s="7">
        <v>4</v>
      </c>
      <c r="J249" s="7" t="str">
        <f>"児童寮男子棟Ａ"</f>
        <v>児童寮男子棟Ａ</v>
      </c>
      <c r="K249" s="7" t="str">
        <f t="shared" si="87"/>
        <v>鉄筋コンクリート造</v>
      </c>
      <c r="L249" s="7" t="str">
        <f t="shared" si="88"/>
        <v>S45.02.28</v>
      </c>
      <c r="M249" s="7">
        <v>475.74</v>
      </c>
      <c r="N249" s="7">
        <v>36523400</v>
      </c>
      <c r="O249" s="7">
        <v>33984949</v>
      </c>
      <c r="P249" s="7">
        <v>0</v>
      </c>
      <c r="Q249" s="7" t="str">
        <f t="shared" si="83"/>
        <v>福祉部</v>
      </c>
      <c r="R249" s="7" t="str">
        <f t="shared" si="89"/>
        <v>障がい福祉室</v>
      </c>
    </row>
    <row r="250" spans="1:18" s="1" customFormat="1" x14ac:dyDescent="0.45">
      <c r="A250" s="7" t="str">
        <f t="shared" si="84"/>
        <v>03263001008</v>
      </c>
      <c r="B250" s="7" t="str">
        <f t="shared" si="85"/>
        <v>金剛コロニー</v>
      </c>
      <c r="C250" s="7" t="str">
        <f t="shared" si="81"/>
        <v>行政財産</v>
      </c>
      <c r="D250" s="7" t="str">
        <f t="shared" si="82"/>
        <v>その他（公共用）の施設</v>
      </c>
      <c r="E250" s="7" t="str">
        <f t="shared" si="86"/>
        <v>大阪府富田林市大字甘南備</v>
      </c>
      <c r="F250" s="7"/>
      <c r="G250" s="7" t="str">
        <f t="shared" si="68"/>
        <v>事業用資産</v>
      </c>
      <c r="H250" s="7" t="str">
        <f t="shared" si="69"/>
        <v>棚卸以外</v>
      </c>
      <c r="I250" s="7">
        <v>5</v>
      </c>
      <c r="J250" s="7" t="str">
        <f>"児童寮男子棟Ｂ"</f>
        <v>児童寮男子棟Ｂ</v>
      </c>
      <c r="K250" s="7" t="str">
        <f t="shared" si="87"/>
        <v>鉄筋コンクリート造</v>
      </c>
      <c r="L250" s="7" t="str">
        <f t="shared" si="88"/>
        <v>S45.02.28</v>
      </c>
      <c r="M250" s="7">
        <v>532.91</v>
      </c>
      <c r="N250" s="7">
        <v>56729863</v>
      </c>
      <c r="O250" s="7">
        <v>45760590</v>
      </c>
      <c r="P250" s="7">
        <v>0</v>
      </c>
      <c r="Q250" s="7" t="str">
        <f t="shared" si="83"/>
        <v>福祉部</v>
      </c>
      <c r="R250" s="7" t="str">
        <f t="shared" si="89"/>
        <v>障がい福祉室</v>
      </c>
    </row>
    <row r="251" spans="1:18" s="1" customFormat="1" x14ac:dyDescent="0.45">
      <c r="A251" s="7" t="str">
        <f t="shared" si="84"/>
        <v>03263001008</v>
      </c>
      <c r="B251" s="7" t="str">
        <f t="shared" si="85"/>
        <v>金剛コロニー</v>
      </c>
      <c r="C251" s="7" t="str">
        <f t="shared" si="81"/>
        <v>行政財産</v>
      </c>
      <c r="D251" s="7" t="str">
        <f t="shared" si="82"/>
        <v>その他（公共用）の施設</v>
      </c>
      <c r="E251" s="7" t="str">
        <f t="shared" si="86"/>
        <v>大阪府富田林市大字甘南備</v>
      </c>
      <c r="F251" s="7"/>
      <c r="G251" s="7" t="str">
        <f t="shared" si="68"/>
        <v>事業用資産</v>
      </c>
      <c r="H251" s="7" t="str">
        <f t="shared" si="69"/>
        <v>棚卸以外</v>
      </c>
      <c r="I251" s="7">
        <v>6</v>
      </c>
      <c r="J251" s="7" t="str">
        <f>"しいのき寮居室Ｃ"</f>
        <v>しいのき寮居室Ｃ</v>
      </c>
      <c r="K251" s="7" t="str">
        <f t="shared" si="87"/>
        <v>鉄筋コンクリート造</v>
      </c>
      <c r="L251" s="7" t="str">
        <f t="shared" si="88"/>
        <v>S45.02.28</v>
      </c>
      <c r="M251" s="7">
        <v>509.65</v>
      </c>
      <c r="N251" s="7">
        <v>35660380</v>
      </c>
      <c r="O251" s="7">
        <v>33620972</v>
      </c>
      <c r="P251" s="7">
        <v>0</v>
      </c>
      <c r="Q251" s="7" t="str">
        <f t="shared" si="83"/>
        <v>福祉部</v>
      </c>
      <c r="R251" s="7" t="str">
        <f t="shared" si="89"/>
        <v>障がい福祉室</v>
      </c>
    </row>
    <row r="252" spans="1:18" s="1" customFormat="1" x14ac:dyDescent="0.45">
      <c r="A252" s="7" t="str">
        <f t="shared" si="84"/>
        <v>03263001008</v>
      </c>
      <c r="B252" s="7" t="str">
        <f t="shared" si="85"/>
        <v>金剛コロニー</v>
      </c>
      <c r="C252" s="7" t="str">
        <f t="shared" si="81"/>
        <v>行政財産</v>
      </c>
      <c r="D252" s="7" t="str">
        <f t="shared" si="82"/>
        <v>その他（公共用）の施設</v>
      </c>
      <c r="E252" s="7" t="str">
        <f t="shared" si="86"/>
        <v>大阪府富田林市大字甘南備</v>
      </c>
      <c r="F252" s="7"/>
      <c r="G252" s="7" t="str">
        <f t="shared" si="68"/>
        <v>事業用資産</v>
      </c>
      <c r="H252" s="7" t="str">
        <f t="shared" si="69"/>
        <v>棚卸以外</v>
      </c>
      <c r="I252" s="7">
        <v>15</v>
      </c>
      <c r="J252" s="7" t="str">
        <f>"給食センター"</f>
        <v>給食センター</v>
      </c>
      <c r="K252" s="7" t="str">
        <f t="shared" si="87"/>
        <v>鉄筋コンクリート造</v>
      </c>
      <c r="L252" s="7" t="str">
        <f t="shared" si="88"/>
        <v>S45.02.28</v>
      </c>
      <c r="M252" s="7">
        <v>1123.2</v>
      </c>
      <c r="N252" s="7">
        <v>81959848</v>
      </c>
      <c r="O252" s="7">
        <v>80553763</v>
      </c>
      <c r="P252" s="7">
        <v>0</v>
      </c>
      <c r="Q252" s="7" t="str">
        <f t="shared" si="83"/>
        <v>福祉部</v>
      </c>
      <c r="R252" s="7" t="str">
        <f t="shared" si="89"/>
        <v>障がい福祉室</v>
      </c>
    </row>
    <row r="253" spans="1:18" s="1" customFormat="1" x14ac:dyDescent="0.45">
      <c r="A253" s="7" t="str">
        <f t="shared" si="84"/>
        <v>03263001008</v>
      </c>
      <c r="B253" s="7" t="str">
        <f t="shared" si="85"/>
        <v>金剛コロニー</v>
      </c>
      <c r="C253" s="7" t="str">
        <f t="shared" si="81"/>
        <v>行政財産</v>
      </c>
      <c r="D253" s="7" t="str">
        <f t="shared" si="82"/>
        <v>その他（公共用）の施設</v>
      </c>
      <c r="E253" s="7" t="str">
        <f t="shared" si="86"/>
        <v>大阪府富田林市大字甘南備</v>
      </c>
      <c r="F253" s="7"/>
      <c r="G253" s="7" t="str">
        <f t="shared" si="68"/>
        <v>事業用資産</v>
      </c>
      <c r="H253" s="7" t="str">
        <f t="shared" si="69"/>
        <v>棚卸以外</v>
      </c>
      <c r="I253" s="7">
        <v>18</v>
      </c>
      <c r="J253" s="7" t="str">
        <f>"車庫"</f>
        <v>車庫</v>
      </c>
      <c r="K253" s="7" t="str">
        <f>"鉄骨造"</f>
        <v>鉄骨造</v>
      </c>
      <c r="L253" s="7" t="str">
        <f t="shared" si="88"/>
        <v>S45.02.28</v>
      </c>
      <c r="M253" s="7">
        <v>136.65</v>
      </c>
      <c r="N253" s="7">
        <v>5865326</v>
      </c>
      <c r="O253" s="7">
        <v>5865325</v>
      </c>
      <c r="P253" s="7">
        <v>0</v>
      </c>
      <c r="Q253" s="7" t="str">
        <f t="shared" si="83"/>
        <v>福祉部</v>
      </c>
      <c r="R253" s="7" t="str">
        <f t="shared" si="89"/>
        <v>障がい福祉室</v>
      </c>
    </row>
    <row r="254" spans="1:18" s="1" customFormat="1" x14ac:dyDescent="0.45">
      <c r="A254" s="7" t="str">
        <f t="shared" si="84"/>
        <v>03263001008</v>
      </c>
      <c r="B254" s="7" t="str">
        <f t="shared" si="85"/>
        <v>金剛コロニー</v>
      </c>
      <c r="C254" s="7" t="str">
        <f t="shared" si="81"/>
        <v>行政財産</v>
      </c>
      <c r="D254" s="7" t="str">
        <f t="shared" si="82"/>
        <v>その他（公共用）の施設</v>
      </c>
      <c r="E254" s="7" t="str">
        <f t="shared" si="86"/>
        <v>大阪府富田林市大字甘南備</v>
      </c>
      <c r="F254" s="7"/>
      <c r="G254" s="7" t="str">
        <f t="shared" si="68"/>
        <v>事業用資産</v>
      </c>
      <c r="H254" s="7" t="str">
        <f t="shared" si="69"/>
        <v>棚卸以外</v>
      </c>
      <c r="I254" s="7">
        <v>40</v>
      </c>
      <c r="J254" s="7" t="str">
        <f>"重度管理棟"</f>
        <v>重度管理棟</v>
      </c>
      <c r="K254" s="7" t="str">
        <f t="shared" ref="K254:K259" si="90">"鉄筋コンクリート造"</f>
        <v>鉄筋コンクリート造</v>
      </c>
      <c r="L254" s="7" t="str">
        <f t="shared" ref="L254:L260" si="91">"S46.03.31"</f>
        <v>S46.03.31</v>
      </c>
      <c r="M254" s="7">
        <v>719.85</v>
      </c>
      <c r="N254" s="7">
        <v>51096776</v>
      </c>
      <c r="O254" s="7">
        <v>51096775</v>
      </c>
      <c r="P254" s="7">
        <v>0</v>
      </c>
      <c r="Q254" s="7" t="str">
        <f t="shared" si="83"/>
        <v>福祉部</v>
      </c>
      <c r="R254" s="7" t="str">
        <f t="shared" si="89"/>
        <v>障がい福祉室</v>
      </c>
    </row>
    <row r="255" spans="1:18" s="1" customFormat="1" x14ac:dyDescent="0.45">
      <c r="A255" s="7" t="str">
        <f t="shared" si="84"/>
        <v>03263001008</v>
      </c>
      <c r="B255" s="7" t="str">
        <f t="shared" si="85"/>
        <v>金剛コロニー</v>
      </c>
      <c r="C255" s="7" t="str">
        <f t="shared" si="81"/>
        <v>行政財産</v>
      </c>
      <c r="D255" s="7" t="str">
        <f t="shared" si="82"/>
        <v>その他（公共用）の施設</v>
      </c>
      <c r="E255" s="7" t="str">
        <f t="shared" si="86"/>
        <v>大阪府富田林市大字甘南備</v>
      </c>
      <c r="F255" s="7"/>
      <c r="G255" s="7" t="str">
        <f t="shared" si="68"/>
        <v>事業用資産</v>
      </c>
      <c r="H255" s="7" t="str">
        <f t="shared" si="69"/>
        <v>棚卸以外</v>
      </c>
      <c r="I255" s="7">
        <v>41</v>
      </c>
      <c r="J255" s="7" t="str">
        <f>"短期入所棟"</f>
        <v>短期入所棟</v>
      </c>
      <c r="K255" s="7" t="str">
        <f t="shared" si="90"/>
        <v>鉄筋コンクリート造</v>
      </c>
      <c r="L255" s="7" t="str">
        <f t="shared" si="91"/>
        <v>S46.03.31</v>
      </c>
      <c r="M255" s="7">
        <v>516.01</v>
      </c>
      <c r="N255" s="7">
        <v>83367528</v>
      </c>
      <c r="O255" s="7">
        <v>53608540</v>
      </c>
      <c r="P255" s="7">
        <v>0</v>
      </c>
      <c r="Q255" s="7" t="str">
        <f t="shared" si="83"/>
        <v>福祉部</v>
      </c>
      <c r="R255" s="7" t="str">
        <f t="shared" si="89"/>
        <v>障がい福祉室</v>
      </c>
    </row>
    <row r="256" spans="1:18" s="1" customFormat="1" x14ac:dyDescent="0.45">
      <c r="A256" s="7" t="str">
        <f t="shared" si="84"/>
        <v>03263001008</v>
      </c>
      <c r="B256" s="7" t="str">
        <f t="shared" si="85"/>
        <v>金剛コロニー</v>
      </c>
      <c r="C256" s="7" t="str">
        <f t="shared" si="81"/>
        <v>行政財産</v>
      </c>
      <c r="D256" s="7" t="str">
        <f t="shared" si="82"/>
        <v>その他（公共用）の施設</v>
      </c>
      <c r="E256" s="7" t="str">
        <f t="shared" si="86"/>
        <v>大阪府富田林市大字甘南備</v>
      </c>
      <c r="F256" s="7"/>
      <c r="G256" s="7" t="str">
        <f t="shared" si="68"/>
        <v>事業用資産</v>
      </c>
      <c r="H256" s="7" t="str">
        <f t="shared" si="69"/>
        <v>棚卸以外</v>
      </c>
      <c r="I256" s="7">
        <v>42</v>
      </c>
      <c r="J256" s="7" t="str">
        <f>"成人男子棟"</f>
        <v>成人男子棟</v>
      </c>
      <c r="K256" s="7" t="str">
        <f t="shared" si="90"/>
        <v>鉄筋コンクリート造</v>
      </c>
      <c r="L256" s="7" t="str">
        <f t="shared" si="91"/>
        <v>S46.03.31</v>
      </c>
      <c r="M256" s="7">
        <v>516.01</v>
      </c>
      <c r="N256" s="7">
        <v>39456913</v>
      </c>
      <c r="O256" s="7">
        <v>39456912</v>
      </c>
      <c r="P256" s="7">
        <v>0</v>
      </c>
      <c r="Q256" s="7" t="str">
        <f t="shared" si="83"/>
        <v>福祉部</v>
      </c>
      <c r="R256" s="7" t="str">
        <f t="shared" si="89"/>
        <v>障がい福祉室</v>
      </c>
    </row>
    <row r="257" spans="1:18" s="1" customFormat="1" x14ac:dyDescent="0.45">
      <c r="A257" s="7" t="str">
        <f t="shared" si="84"/>
        <v>03263001008</v>
      </c>
      <c r="B257" s="7" t="str">
        <f t="shared" si="85"/>
        <v>金剛コロニー</v>
      </c>
      <c r="C257" s="7" t="str">
        <f t="shared" si="81"/>
        <v>行政財産</v>
      </c>
      <c r="D257" s="7" t="str">
        <f t="shared" si="82"/>
        <v>その他（公共用）の施設</v>
      </c>
      <c r="E257" s="7" t="str">
        <f t="shared" si="86"/>
        <v>大阪府富田林市大字甘南備</v>
      </c>
      <c r="F257" s="7"/>
      <c r="G257" s="7" t="str">
        <f t="shared" si="68"/>
        <v>事業用資産</v>
      </c>
      <c r="H257" s="7" t="str">
        <f t="shared" si="69"/>
        <v>棚卸以外</v>
      </c>
      <c r="I257" s="7">
        <v>43</v>
      </c>
      <c r="J257" s="7" t="str">
        <f>"成人女子寮"</f>
        <v>成人女子寮</v>
      </c>
      <c r="K257" s="7" t="str">
        <f t="shared" si="90"/>
        <v>鉄筋コンクリート造</v>
      </c>
      <c r="L257" s="7" t="str">
        <f t="shared" si="91"/>
        <v>S46.03.31</v>
      </c>
      <c r="M257" s="7">
        <v>516.01</v>
      </c>
      <c r="N257" s="7">
        <v>39916828</v>
      </c>
      <c r="O257" s="7">
        <v>39916827</v>
      </c>
      <c r="P257" s="7">
        <v>0</v>
      </c>
      <c r="Q257" s="7" t="str">
        <f t="shared" si="83"/>
        <v>福祉部</v>
      </c>
      <c r="R257" s="7" t="str">
        <f t="shared" si="89"/>
        <v>障がい福祉室</v>
      </c>
    </row>
    <row r="258" spans="1:18" s="1" customFormat="1" x14ac:dyDescent="0.45">
      <c r="A258" s="7" t="str">
        <f t="shared" si="84"/>
        <v>03263001008</v>
      </c>
      <c r="B258" s="7" t="str">
        <f t="shared" si="85"/>
        <v>金剛コロニー</v>
      </c>
      <c r="C258" s="7" t="str">
        <f t="shared" si="81"/>
        <v>行政財産</v>
      </c>
      <c r="D258" s="7" t="str">
        <f t="shared" si="82"/>
        <v>その他（公共用）の施設</v>
      </c>
      <c r="E258" s="7" t="str">
        <f t="shared" si="86"/>
        <v>大阪府富田林市大字甘南備</v>
      </c>
      <c r="F258" s="7"/>
      <c r="G258" s="7" t="str">
        <f t="shared" si="68"/>
        <v>事業用資産</v>
      </c>
      <c r="H258" s="7" t="str">
        <f t="shared" si="69"/>
        <v>棚卸以外</v>
      </c>
      <c r="I258" s="7">
        <v>44</v>
      </c>
      <c r="J258" s="7" t="str">
        <f>"肢体不自由棟"</f>
        <v>肢体不自由棟</v>
      </c>
      <c r="K258" s="7" t="str">
        <f t="shared" si="90"/>
        <v>鉄筋コンクリート造</v>
      </c>
      <c r="L258" s="7" t="str">
        <f t="shared" si="91"/>
        <v>S46.03.31</v>
      </c>
      <c r="M258" s="7">
        <v>520.38</v>
      </c>
      <c r="N258" s="7">
        <v>39884289</v>
      </c>
      <c r="O258" s="7">
        <v>39884288</v>
      </c>
      <c r="P258" s="7">
        <v>0</v>
      </c>
      <c r="Q258" s="7" t="str">
        <f t="shared" si="83"/>
        <v>福祉部</v>
      </c>
      <c r="R258" s="7" t="str">
        <f t="shared" si="89"/>
        <v>障がい福祉室</v>
      </c>
    </row>
    <row r="259" spans="1:18" s="1" customFormat="1" x14ac:dyDescent="0.45">
      <c r="A259" s="7" t="str">
        <f t="shared" si="84"/>
        <v>03263001008</v>
      </c>
      <c r="B259" s="7" t="str">
        <f t="shared" si="85"/>
        <v>金剛コロニー</v>
      </c>
      <c r="C259" s="7" t="str">
        <f t="shared" si="81"/>
        <v>行政財産</v>
      </c>
      <c r="D259" s="7" t="str">
        <f t="shared" si="82"/>
        <v>その他（公共用）の施設</v>
      </c>
      <c r="E259" s="7" t="str">
        <f t="shared" si="86"/>
        <v>大阪府富田林市大字甘南備</v>
      </c>
      <c r="F259" s="7"/>
      <c r="G259" s="7" t="str">
        <f t="shared" ref="G259:G322" si="92">"事業用資産"</f>
        <v>事業用資産</v>
      </c>
      <c r="H259" s="7" t="str">
        <f t="shared" ref="H259:H322" si="93">"棚卸以外"</f>
        <v>棚卸以外</v>
      </c>
      <c r="I259" s="7">
        <v>45</v>
      </c>
      <c r="J259" s="7" t="str">
        <f>"盲人棟"</f>
        <v>盲人棟</v>
      </c>
      <c r="K259" s="7" t="str">
        <f t="shared" si="90"/>
        <v>鉄筋コンクリート造</v>
      </c>
      <c r="L259" s="7" t="str">
        <f t="shared" si="91"/>
        <v>S46.03.31</v>
      </c>
      <c r="M259" s="7">
        <v>520.38</v>
      </c>
      <c r="N259" s="7">
        <v>39877420</v>
      </c>
      <c r="O259" s="7">
        <v>39877419</v>
      </c>
      <c r="P259" s="7">
        <v>0</v>
      </c>
      <c r="Q259" s="7" t="str">
        <f t="shared" si="83"/>
        <v>福祉部</v>
      </c>
      <c r="R259" s="7" t="str">
        <f t="shared" si="89"/>
        <v>障がい福祉室</v>
      </c>
    </row>
    <row r="260" spans="1:18" s="1" customFormat="1" x14ac:dyDescent="0.45">
      <c r="A260" s="7" t="str">
        <f t="shared" si="84"/>
        <v>03263001008</v>
      </c>
      <c r="B260" s="7" t="str">
        <f t="shared" si="85"/>
        <v>金剛コロニー</v>
      </c>
      <c r="C260" s="7" t="str">
        <f t="shared" si="81"/>
        <v>行政財産</v>
      </c>
      <c r="D260" s="7" t="str">
        <f t="shared" si="82"/>
        <v>その他（公共用）の施設</v>
      </c>
      <c r="E260" s="7" t="str">
        <f t="shared" si="86"/>
        <v>大阪府富田林市大字甘南備</v>
      </c>
      <c r="F260" s="7"/>
      <c r="G260" s="7" t="str">
        <f t="shared" si="92"/>
        <v>事業用資産</v>
      </c>
      <c r="H260" s="7" t="str">
        <f t="shared" si="93"/>
        <v>棚卸以外</v>
      </c>
      <c r="I260" s="7">
        <v>46</v>
      </c>
      <c r="J260" s="7" t="str">
        <f>"重度棟渡り廊下"</f>
        <v>重度棟渡り廊下</v>
      </c>
      <c r="K260" s="7" t="str">
        <f>"鉄骨造"</f>
        <v>鉄骨造</v>
      </c>
      <c r="L260" s="7" t="str">
        <f t="shared" si="91"/>
        <v>S46.03.31</v>
      </c>
      <c r="M260" s="7">
        <v>581.65</v>
      </c>
      <c r="N260" s="7">
        <v>10202908</v>
      </c>
      <c r="O260" s="7">
        <v>10202907</v>
      </c>
      <c r="P260" s="7">
        <v>0</v>
      </c>
      <c r="Q260" s="7" t="str">
        <f t="shared" si="83"/>
        <v>福祉部</v>
      </c>
      <c r="R260" s="7" t="str">
        <f t="shared" si="89"/>
        <v>障がい福祉室</v>
      </c>
    </row>
    <row r="261" spans="1:18" s="1" customFormat="1" x14ac:dyDescent="0.45">
      <c r="A261" s="7" t="str">
        <f t="shared" si="84"/>
        <v>03263001008</v>
      </c>
      <c r="B261" s="7" t="str">
        <f t="shared" si="85"/>
        <v>金剛コロニー</v>
      </c>
      <c r="C261" s="7" t="str">
        <f t="shared" si="81"/>
        <v>行政財産</v>
      </c>
      <c r="D261" s="7" t="str">
        <f t="shared" si="82"/>
        <v>その他（公共用）の施設</v>
      </c>
      <c r="E261" s="7" t="str">
        <f t="shared" si="86"/>
        <v>大阪府富田林市大字甘南備</v>
      </c>
      <c r="F261" s="7"/>
      <c r="G261" s="7" t="str">
        <f t="shared" si="92"/>
        <v>事業用資産</v>
      </c>
      <c r="H261" s="7" t="str">
        <f t="shared" si="93"/>
        <v>棚卸以外</v>
      </c>
      <c r="I261" s="7">
        <v>78</v>
      </c>
      <c r="J261" s="7" t="str">
        <f>"プール附属建物"</f>
        <v>プール附属建物</v>
      </c>
      <c r="K261" s="7" t="str">
        <f>"鉄筋コンクリート造"</f>
        <v>鉄筋コンクリート造</v>
      </c>
      <c r="L261" s="7" t="str">
        <f>"S46.11.18"</f>
        <v>S46.11.18</v>
      </c>
      <c r="M261" s="7">
        <v>89.79</v>
      </c>
      <c r="N261" s="7">
        <v>15750314</v>
      </c>
      <c r="O261" s="7">
        <v>15750313</v>
      </c>
      <c r="P261" s="7">
        <v>0</v>
      </c>
      <c r="Q261" s="7" t="str">
        <f t="shared" si="83"/>
        <v>福祉部</v>
      </c>
      <c r="R261" s="7" t="str">
        <f t="shared" si="89"/>
        <v>障がい福祉室</v>
      </c>
    </row>
    <row r="262" spans="1:18" s="1" customFormat="1" x14ac:dyDescent="0.45">
      <c r="A262" s="7" t="str">
        <f t="shared" si="84"/>
        <v>03263001008</v>
      </c>
      <c r="B262" s="7" t="str">
        <f t="shared" si="85"/>
        <v>金剛コロニー</v>
      </c>
      <c r="C262" s="7" t="str">
        <f t="shared" si="81"/>
        <v>行政財産</v>
      </c>
      <c r="D262" s="7" t="str">
        <f t="shared" si="82"/>
        <v>その他（公共用）の施設</v>
      </c>
      <c r="E262" s="7" t="str">
        <f t="shared" si="86"/>
        <v>大阪府富田林市大字甘南備</v>
      </c>
      <c r="F262" s="7"/>
      <c r="G262" s="7" t="str">
        <f t="shared" si="92"/>
        <v>事業用資産</v>
      </c>
      <c r="H262" s="7" t="str">
        <f t="shared" si="93"/>
        <v>棚卸以外</v>
      </c>
      <c r="I262" s="7">
        <v>99</v>
      </c>
      <c r="J262" s="7" t="str">
        <f>"職員住宅（Ｐ１２号）"</f>
        <v>職員住宅（Ｐ１２号）</v>
      </c>
      <c r="K262" s="7" t="str">
        <f>"土蔵造(簡易建物)"</f>
        <v>土蔵造(簡易建物)</v>
      </c>
      <c r="L262" s="7" t="str">
        <f>"S47.09.30"</f>
        <v>S47.09.30</v>
      </c>
      <c r="M262" s="7">
        <v>52</v>
      </c>
      <c r="N262" s="7">
        <v>2164000</v>
      </c>
      <c r="O262" s="7">
        <v>2163999</v>
      </c>
      <c r="P262" s="7">
        <v>0</v>
      </c>
      <c r="Q262" s="7" t="str">
        <f t="shared" si="83"/>
        <v>福祉部</v>
      </c>
      <c r="R262" s="7" t="str">
        <f t="shared" si="89"/>
        <v>障がい福祉室</v>
      </c>
    </row>
    <row r="263" spans="1:18" s="1" customFormat="1" x14ac:dyDescent="0.45">
      <c r="A263" s="7" t="str">
        <f t="shared" si="84"/>
        <v>03263001008</v>
      </c>
      <c r="B263" s="7" t="str">
        <f t="shared" si="85"/>
        <v>金剛コロニー</v>
      </c>
      <c r="C263" s="7" t="str">
        <f t="shared" si="81"/>
        <v>行政財産</v>
      </c>
      <c r="D263" s="7" t="str">
        <f t="shared" si="82"/>
        <v>その他（公共用）の施設</v>
      </c>
      <c r="E263" s="7" t="str">
        <f t="shared" si="86"/>
        <v>大阪府富田林市大字甘南備</v>
      </c>
      <c r="F263" s="7"/>
      <c r="G263" s="7" t="str">
        <f t="shared" si="92"/>
        <v>事業用資産</v>
      </c>
      <c r="H263" s="7" t="str">
        <f t="shared" si="93"/>
        <v>棚卸以外</v>
      </c>
      <c r="I263" s="7">
        <v>100</v>
      </c>
      <c r="J263" s="7" t="str">
        <f>"職員住宅（Ｐ１３号）"</f>
        <v>職員住宅（Ｐ１３号）</v>
      </c>
      <c r="K263" s="7" t="str">
        <f>"土蔵造(簡易建物)"</f>
        <v>土蔵造(簡易建物)</v>
      </c>
      <c r="L263" s="7" t="str">
        <f>"S47.09.30"</f>
        <v>S47.09.30</v>
      </c>
      <c r="M263" s="7">
        <v>52</v>
      </c>
      <c r="N263" s="7">
        <v>21064221</v>
      </c>
      <c r="O263" s="7">
        <v>5655079</v>
      </c>
      <c r="P263" s="7">
        <v>0</v>
      </c>
      <c r="Q263" s="7" t="str">
        <f t="shared" si="83"/>
        <v>福祉部</v>
      </c>
      <c r="R263" s="7" t="str">
        <f t="shared" si="89"/>
        <v>障がい福祉室</v>
      </c>
    </row>
    <row r="264" spans="1:18" s="1" customFormat="1" x14ac:dyDescent="0.45">
      <c r="A264" s="7" t="str">
        <f t="shared" si="84"/>
        <v>03263001008</v>
      </c>
      <c r="B264" s="7" t="str">
        <f t="shared" si="85"/>
        <v>金剛コロニー</v>
      </c>
      <c r="C264" s="7" t="str">
        <f t="shared" si="81"/>
        <v>行政財産</v>
      </c>
      <c r="D264" s="7" t="str">
        <f t="shared" si="82"/>
        <v>その他（公共用）の施設</v>
      </c>
      <c r="E264" s="7" t="str">
        <f t="shared" si="86"/>
        <v>大阪府富田林市大字甘南備</v>
      </c>
      <c r="F264" s="7"/>
      <c r="G264" s="7" t="str">
        <f t="shared" si="92"/>
        <v>事業用資産</v>
      </c>
      <c r="H264" s="7" t="str">
        <f t="shared" si="93"/>
        <v>棚卸以外</v>
      </c>
      <c r="I264" s="7">
        <v>124</v>
      </c>
      <c r="J264" s="7" t="str">
        <f>"倉庫"</f>
        <v>倉庫</v>
      </c>
      <c r="K264" s="7" t="str">
        <f>"コンクリートブロック造"</f>
        <v>コンクリートブロック造</v>
      </c>
      <c r="L264" s="7" t="str">
        <f>"H09.03.17"</f>
        <v>H09.03.17</v>
      </c>
      <c r="M264" s="7">
        <v>42.96</v>
      </c>
      <c r="N264" s="7">
        <v>6474000</v>
      </c>
      <c r="O264" s="7">
        <v>4950816</v>
      </c>
      <c r="P264" s="7">
        <v>0</v>
      </c>
      <c r="Q264" s="7" t="str">
        <f t="shared" si="83"/>
        <v>福祉部</v>
      </c>
      <c r="R264" s="7" t="str">
        <f t="shared" si="89"/>
        <v>障がい福祉室</v>
      </c>
    </row>
    <row r="265" spans="1:18" s="1" customFormat="1" x14ac:dyDescent="0.45">
      <c r="A265" s="7" t="str">
        <f t="shared" si="84"/>
        <v>03263001008</v>
      </c>
      <c r="B265" s="7" t="str">
        <f t="shared" si="85"/>
        <v>金剛コロニー</v>
      </c>
      <c r="C265" s="7" t="str">
        <f t="shared" si="81"/>
        <v>行政財産</v>
      </c>
      <c r="D265" s="7" t="str">
        <f t="shared" si="82"/>
        <v>その他（公共用）の施設</v>
      </c>
      <c r="E265" s="7" t="str">
        <f t="shared" si="86"/>
        <v>大阪府富田林市大字甘南備</v>
      </c>
      <c r="F265" s="7"/>
      <c r="G265" s="7" t="str">
        <f t="shared" si="92"/>
        <v>事業用資産</v>
      </c>
      <c r="H265" s="7" t="str">
        <f t="shared" si="93"/>
        <v>棚卸以外</v>
      </c>
      <c r="I265" s="7">
        <v>125</v>
      </c>
      <c r="J265" s="7" t="str">
        <f>"こんごう福祉センターさわやか"</f>
        <v>こんごう福祉センターさわやか</v>
      </c>
      <c r="K265" s="7" t="str">
        <f>"鉄筋コンクリート造"</f>
        <v>鉄筋コンクリート造</v>
      </c>
      <c r="L265" s="7" t="str">
        <f>"R05.02.28"</f>
        <v>R05.02.28</v>
      </c>
      <c r="M265" s="7">
        <v>2804.88</v>
      </c>
      <c r="N265" s="7">
        <v>1751338220</v>
      </c>
      <c r="O265" s="7">
        <v>6245241</v>
      </c>
      <c r="P265" s="7">
        <v>0</v>
      </c>
      <c r="Q265" s="7" t="str">
        <f t="shared" si="83"/>
        <v>福祉部</v>
      </c>
      <c r="R265" s="7" t="str">
        <f t="shared" si="89"/>
        <v>障がい福祉室</v>
      </c>
    </row>
    <row r="266" spans="1:18" s="1" customFormat="1" x14ac:dyDescent="0.45">
      <c r="A266" s="7" t="str">
        <f t="shared" si="84"/>
        <v>03263001008</v>
      </c>
      <c r="B266" s="7" t="str">
        <f t="shared" si="85"/>
        <v>金剛コロニー</v>
      </c>
      <c r="C266" s="7" t="str">
        <f t="shared" si="81"/>
        <v>行政財産</v>
      </c>
      <c r="D266" s="7" t="str">
        <f t="shared" si="82"/>
        <v>その他（公共用）の施設</v>
      </c>
      <c r="E266" s="7" t="str">
        <f t="shared" si="86"/>
        <v>大阪府富田林市大字甘南備</v>
      </c>
      <c r="F266" s="7"/>
      <c r="G266" s="7" t="str">
        <f t="shared" si="92"/>
        <v>事業用資産</v>
      </c>
      <c r="H266" s="7" t="str">
        <f t="shared" si="93"/>
        <v>棚卸以外</v>
      </c>
      <c r="I266" s="7">
        <v>126</v>
      </c>
      <c r="J266" s="7" t="str">
        <f>"ゴミ置き場１（さわやか）"</f>
        <v>ゴミ置き場１（さわやか）</v>
      </c>
      <c r="K266" s="7" t="str">
        <f>"軽量鉄骨造"</f>
        <v>軽量鉄骨造</v>
      </c>
      <c r="L266" s="7" t="str">
        <f>"R05.02.28"</f>
        <v>R05.02.28</v>
      </c>
      <c r="M266" s="7">
        <v>4</v>
      </c>
      <c r="N266" s="7">
        <v>763551</v>
      </c>
      <c r="O266" s="7">
        <v>2053</v>
      </c>
      <c r="P266" s="7">
        <v>0</v>
      </c>
      <c r="Q266" s="7" t="str">
        <f t="shared" si="83"/>
        <v>福祉部</v>
      </c>
      <c r="R266" s="7" t="str">
        <f t="shared" si="89"/>
        <v>障がい福祉室</v>
      </c>
    </row>
    <row r="267" spans="1:18" s="1" customFormat="1" x14ac:dyDescent="0.45">
      <c r="A267" s="7" t="str">
        <f t="shared" si="84"/>
        <v>03263001008</v>
      </c>
      <c r="B267" s="7" t="str">
        <f t="shared" si="85"/>
        <v>金剛コロニー</v>
      </c>
      <c r="C267" s="7" t="str">
        <f t="shared" si="81"/>
        <v>行政財産</v>
      </c>
      <c r="D267" s="7" t="str">
        <f t="shared" si="82"/>
        <v>その他（公共用）の施設</v>
      </c>
      <c r="E267" s="7" t="str">
        <f t="shared" si="86"/>
        <v>大阪府富田林市大字甘南備</v>
      </c>
      <c r="F267" s="7"/>
      <c r="G267" s="7" t="str">
        <f t="shared" si="92"/>
        <v>事業用資産</v>
      </c>
      <c r="H267" s="7" t="str">
        <f t="shared" si="93"/>
        <v>棚卸以外</v>
      </c>
      <c r="I267" s="7">
        <v>127</v>
      </c>
      <c r="J267" s="7" t="str">
        <f>"ゴミ置き場２（さわやか）"</f>
        <v>ゴミ置き場２（さわやか）</v>
      </c>
      <c r="K267" s="7" t="str">
        <f>"軽量鉄骨造"</f>
        <v>軽量鉄骨造</v>
      </c>
      <c r="L267" s="7" t="str">
        <f>"R05.02.28"</f>
        <v>R05.02.28</v>
      </c>
      <c r="M267" s="7">
        <v>4</v>
      </c>
      <c r="N267" s="7">
        <v>763551</v>
      </c>
      <c r="O267" s="7">
        <v>2053</v>
      </c>
      <c r="P267" s="7">
        <v>0</v>
      </c>
      <c r="Q267" s="7" t="str">
        <f t="shared" si="83"/>
        <v>福祉部</v>
      </c>
      <c r="R267" s="7" t="str">
        <f t="shared" si="89"/>
        <v>障がい福祉室</v>
      </c>
    </row>
    <row r="268" spans="1:18" s="1" customFormat="1" x14ac:dyDescent="0.45">
      <c r="A268" s="7" t="str">
        <f t="shared" si="84"/>
        <v>03263001008</v>
      </c>
      <c r="B268" s="7" t="str">
        <f t="shared" si="85"/>
        <v>金剛コロニー</v>
      </c>
      <c r="C268" s="7" t="str">
        <f t="shared" si="81"/>
        <v>行政財産</v>
      </c>
      <c r="D268" s="7" t="str">
        <f t="shared" si="82"/>
        <v>その他（公共用）の施設</v>
      </c>
      <c r="E268" s="7" t="str">
        <f t="shared" si="86"/>
        <v>大阪府富田林市大字甘南備</v>
      </c>
      <c r="F268" s="7"/>
      <c r="G268" s="7" t="str">
        <f t="shared" si="92"/>
        <v>事業用資産</v>
      </c>
      <c r="H268" s="7" t="str">
        <f t="shared" si="93"/>
        <v>棚卸以外</v>
      </c>
      <c r="I268" s="7">
        <v>128</v>
      </c>
      <c r="J268" s="7" t="str">
        <f>"駐輪場（さわやか）"</f>
        <v>駐輪場（さわやか）</v>
      </c>
      <c r="K268" s="7" t="str">
        <f>"軽量鉄骨造"</f>
        <v>軽量鉄骨造</v>
      </c>
      <c r="L268" s="7" t="str">
        <f>"R05.02.28"</f>
        <v>R05.02.28</v>
      </c>
      <c r="M268" s="7">
        <v>11.16</v>
      </c>
      <c r="N268" s="7">
        <v>760526</v>
      </c>
      <c r="O268" s="7">
        <v>2045</v>
      </c>
      <c r="P268" s="7">
        <v>0</v>
      </c>
      <c r="Q268" s="7" t="str">
        <f t="shared" si="83"/>
        <v>福祉部</v>
      </c>
      <c r="R268" s="7" t="str">
        <f t="shared" si="89"/>
        <v>障がい福祉室</v>
      </c>
    </row>
    <row r="269" spans="1:18" s="1" customFormat="1" x14ac:dyDescent="0.45">
      <c r="A269" s="7" t="str">
        <f>"03263001017"</f>
        <v>03263001017</v>
      </c>
      <c r="B269" s="7" t="str">
        <f>"障害者ワーキングエリア"</f>
        <v>障害者ワーキングエリア</v>
      </c>
      <c r="C269" s="7" t="str">
        <f t="shared" si="81"/>
        <v>行政財産</v>
      </c>
      <c r="D269" s="7" t="str">
        <f t="shared" si="82"/>
        <v>その他（公共用）の施設</v>
      </c>
      <c r="E269" s="7" t="str">
        <f>"大阪府交野市寺４丁目"</f>
        <v>大阪府交野市寺４丁目</v>
      </c>
      <c r="F269" s="7"/>
      <c r="G269" s="7" t="str">
        <f t="shared" si="92"/>
        <v>事業用資産</v>
      </c>
      <c r="H269" s="7" t="str">
        <f t="shared" si="93"/>
        <v>棚卸以外</v>
      </c>
      <c r="I269" s="7">
        <v>1</v>
      </c>
      <c r="J269" s="7" t="str">
        <f>"ポンプ室"</f>
        <v>ポンプ室</v>
      </c>
      <c r="K269" s="7" t="str">
        <f>"鉄筋コンクリート造"</f>
        <v>鉄筋コンクリート造</v>
      </c>
      <c r="L269" s="7" t="str">
        <f>"S59.08.01"</f>
        <v>S59.08.01</v>
      </c>
      <c r="M269" s="7">
        <v>16.96</v>
      </c>
      <c r="N269" s="7">
        <v>2896000</v>
      </c>
      <c r="O269" s="7">
        <v>2895999</v>
      </c>
      <c r="P269" s="7">
        <v>0</v>
      </c>
      <c r="Q269" s="7" t="str">
        <f t="shared" si="83"/>
        <v>福祉部</v>
      </c>
      <c r="R269" s="7" t="str">
        <f t="shared" si="89"/>
        <v>障がい福祉室</v>
      </c>
    </row>
    <row r="270" spans="1:18" s="1" customFormat="1" x14ac:dyDescent="0.45">
      <c r="A270" s="7" t="str">
        <f>"03263003003"</f>
        <v>03263003003</v>
      </c>
      <c r="B270" s="7" t="str">
        <f>"大阪府立稲スポーツセンター"</f>
        <v>大阪府立稲スポーツセンター</v>
      </c>
      <c r="C270" s="7" t="str">
        <f t="shared" si="81"/>
        <v>行政財産</v>
      </c>
      <c r="D270" s="7" t="str">
        <f t="shared" si="82"/>
        <v>その他（公共用）の施設</v>
      </c>
      <c r="E270" s="7" t="str">
        <f>"大阪府箕面市稲６丁目"</f>
        <v>大阪府箕面市稲６丁目</v>
      </c>
      <c r="F270" s="7"/>
      <c r="G270" s="7" t="str">
        <f t="shared" si="92"/>
        <v>事業用資産</v>
      </c>
      <c r="H270" s="7" t="str">
        <f t="shared" si="93"/>
        <v>棚卸以外</v>
      </c>
      <c r="I270" s="7">
        <v>1</v>
      </c>
      <c r="J270" s="7" t="str">
        <f>"本館"</f>
        <v>本館</v>
      </c>
      <c r="K270" s="7" t="str">
        <f>"鉄筋コンクリート造"</f>
        <v>鉄筋コンクリート造</v>
      </c>
      <c r="L270" s="7" t="str">
        <f>"H26.01.24"</f>
        <v>H26.01.24</v>
      </c>
      <c r="M270" s="7">
        <v>1499.4</v>
      </c>
      <c r="N270" s="7">
        <v>385906200</v>
      </c>
      <c r="O270" s="7">
        <v>129729793</v>
      </c>
      <c r="P270" s="7">
        <v>0</v>
      </c>
      <c r="Q270" s="7" t="str">
        <f t="shared" si="83"/>
        <v>福祉部</v>
      </c>
      <c r="R270" s="7" t="str">
        <f t="shared" si="89"/>
        <v>障がい福祉室</v>
      </c>
    </row>
    <row r="271" spans="1:18" s="1" customFormat="1" ht="26.4" x14ac:dyDescent="0.45">
      <c r="A271" s="7" t="str">
        <f>"03263003004"</f>
        <v>03263003004</v>
      </c>
      <c r="B271" s="7" t="str">
        <f>"金剛コロニー（成人用施設）"</f>
        <v>金剛コロニー（成人用施設）</v>
      </c>
      <c r="C271" s="7" t="str">
        <f t="shared" si="81"/>
        <v>行政財産</v>
      </c>
      <c r="D271" s="7" t="str">
        <f t="shared" si="82"/>
        <v>その他（公共用）の施設</v>
      </c>
      <c r="E271" s="7" t="str">
        <f>"大阪府富田林市大字甘南備"</f>
        <v>大阪府富田林市大字甘南備</v>
      </c>
      <c r="F271" s="7"/>
      <c r="G271" s="7" t="str">
        <f t="shared" si="92"/>
        <v>事業用資産</v>
      </c>
      <c r="H271" s="7" t="str">
        <f t="shared" si="93"/>
        <v>棚卸以外</v>
      </c>
      <c r="I271" s="7">
        <v>8</v>
      </c>
      <c r="J271" s="7" t="str">
        <f>"職能訓練センター（職能訓練センターＡ）"</f>
        <v>職能訓練センター（職能訓練センターＡ）</v>
      </c>
      <c r="K271" s="7" t="str">
        <f>"鉄骨造"</f>
        <v>鉄骨造</v>
      </c>
      <c r="L271" s="7" t="str">
        <f>"S45.02.28"</f>
        <v>S45.02.28</v>
      </c>
      <c r="M271" s="7">
        <v>673.8</v>
      </c>
      <c r="N271" s="7">
        <v>42165921</v>
      </c>
      <c r="O271" s="7">
        <v>41816916</v>
      </c>
      <c r="P271" s="7">
        <v>349003</v>
      </c>
      <c r="Q271" s="7" t="str">
        <f t="shared" si="83"/>
        <v>福祉部</v>
      </c>
      <c r="R271" s="7" t="str">
        <f t="shared" si="89"/>
        <v>障がい福祉室</v>
      </c>
    </row>
    <row r="272" spans="1:18" s="1" customFormat="1" ht="26.4" x14ac:dyDescent="0.45">
      <c r="A272" s="7" t="str">
        <f>"03263003004"</f>
        <v>03263003004</v>
      </c>
      <c r="B272" s="7" t="str">
        <f>"金剛コロニー（成人用施設）"</f>
        <v>金剛コロニー（成人用施設）</v>
      </c>
      <c r="C272" s="7" t="str">
        <f t="shared" si="81"/>
        <v>行政財産</v>
      </c>
      <c r="D272" s="7" t="str">
        <f t="shared" si="82"/>
        <v>その他（公共用）の施設</v>
      </c>
      <c r="E272" s="7" t="str">
        <f>"大阪府富田林市大字甘南備"</f>
        <v>大阪府富田林市大字甘南備</v>
      </c>
      <c r="F272" s="7"/>
      <c r="G272" s="7" t="str">
        <f t="shared" si="92"/>
        <v>事業用資産</v>
      </c>
      <c r="H272" s="7" t="str">
        <f t="shared" si="93"/>
        <v>棚卸以外</v>
      </c>
      <c r="I272" s="7">
        <v>19</v>
      </c>
      <c r="J272" s="7" t="str">
        <f>"職能訓練センター（職能訓練センターＢ）"</f>
        <v>職能訓練センター（職能訓練センターＢ）</v>
      </c>
      <c r="K272" s="7" t="str">
        <f>"鉄骨造"</f>
        <v>鉄骨造</v>
      </c>
      <c r="L272" s="7" t="str">
        <f>"S46.03.31"</f>
        <v>S46.03.31</v>
      </c>
      <c r="M272" s="7">
        <v>646.46</v>
      </c>
      <c r="N272" s="7">
        <v>5521000</v>
      </c>
      <c r="O272" s="7">
        <v>5520999</v>
      </c>
      <c r="P272" s="7">
        <v>0</v>
      </c>
      <c r="Q272" s="7" t="str">
        <f t="shared" si="83"/>
        <v>福祉部</v>
      </c>
      <c r="R272" s="7" t="str">
        <f t="shared" si="89"/>
        <v>障がい福祉室</v>
      </c>
    </row>
    <row r="273" spans="1:18" s="1" customFormat="1" ht="26.4" x14ac:dyDescent="0.45">
      <c r="A273" s="7" t="str">
        <f>"03263003004"</f>
        <v>03263003004</v>
      </c>
      <c r="B273" s="7" t="str">
        <f>"金剛コロニー（成人用施設）"</f>
        <v>金剛コロニー（成人用施設）</v>
      </c>
      <c r="C273" s="7" t="str">
        <f t="shared" si="81"/>
        <v>行政財産</v>
      </c>
      <c r="D273" s="7" t="str">
        <f t="shared" si="82"/>
        <v>その他（公共用）の施設</v>
      </c>
      <c r="E273" s="7" t="str">
        <f>"大阪府富田林市大字甘南備"</f>
        <v>大阪府富田林市大字甘南備</v>
      </c>
      <c r="F273" s="7"/>
      <c r="G273" s="7" t="str">
        <f t="shared" si="92"/>
        <v>事業用資産</v>
      </c>
      <c r="H273" s="7" t="str">
        <f t="shared" si="93"/>
        <v>棚卸以外</v>
      </c>
      <c r="I273" s="7">
        <v>37</v>
      </c>
      <c r="J273" s="7" t="str">
        <f>"女子職能訓練センター（職能訓練センターＣ）"</f>
        <v>女子職能訓練センター（職能訓練センターＣ）</v>
      </c>
      <c r="K273" s="7" t="str">
        <f>"鉄骨造"</f>
        <v>鉄骨造</v>
      </c>
      <c r="L273" s="7" t="str">
        <f>"S46.12.20"</f>
        <v>S46.12.20</v>
      </c>
      <c r="M273" s="7">
        <v>679</v>
      </c>
      <c r="N273" s="7">
        <v>49671105</v>
      </c>
      <c r="O273" s="7">
        <v>49671104</v>
      </c>
      <c r="P273" s="7">
        <v>0</v>
      </c>
      <c r="Q273" s="7" t="str">
        <f t="shared" si="83"/>
        <v>福祉部</v>
      </c>
      <c r="R273" s="7" t="str">
        <f t="shared" si="89"/>
        <v>障がい福祉室</v>
      </c>
    </row>
    <row r="274" spans="1:18" s="1" customFormat="1" x14ac:dyDescent="0.45">
      <c r="A274" s="7" t="str">
        <f>"03263003004"</f>
        <v>03263003004</v>
      </c>
      <c r="B274" s="7" t="str">
        <f>"金剛コロニー（成人用施設）"</f>
        <v>金剛コロニー（成人用施設）</v>
      </c>
      <c r="C274" s="7" t="str">
        <f t="shared" si="81"/>
        <v>行政財産</v>
      </c>
      <c r="D274" s="7" t="str">
        <f t="shared" si="82"/>
        <v>その他（公共用）の施設</v>
      </c>
      <c r="E274" s="7" t="str">
        <f>"大阪府富田林市大字甘南備"</f>
        <v>大阪府富田林市大字甘南備</v>
      </c>
      <c r="F274" s="7"/>
      <c r="G274" s="7" t="str">
        <f t="shared" si="92"/>
        <v>事業用資産</v>
      </c>
      <c r="H274" s="7" t="str">
        <f t="shared" si="93"/>
        <v>棚卸以外</v>
      </c>
      <c r="I274" s="7">
        <v>64</v>
      </c>
      <c r="J274" s="7" t="str">
        <f>"ゲストハウス"</f>
        <v>ゲストハウス</v>
      </c>
      <c r="K274" s="7" t="str">
        <f>"鉄筋コンクリート造"</f>
        <v>鉄筋コンクリート造</v>
      </c>
      <c r="L274" s="7" t="str">
        <f>"S48.06.15"</f>
        <v>S48.06.15</v>
      </c>
      <c r="M274" s="7">
        <v>995.18</v>
      </c>
      <c r="N274" s="7">
        <v>131733000</v>
      </c>
      <c r="O274" s="7">
        <v>124293149</v>
      </c>
      <c r="P274" s="7">
        <v>7439849</v>
      </c>
      <c r="Q274" s="7" t="str">
        <f t="shared" si="83"/>
        <v>福祉部</v>
      </c>
      <c r="R274" s="7" t="str">
        <f t="shared" si="89"/>
        <v>障がい福祉室</v>
      </c>
    </row>
    <row r="275" spans="1:18" s="1" customFormat="1" ht="26.4" x14ac:dyDescent="0.45">
      <c r="A275" s="7" t="str">
        <f>"03263003022"</f>
        <v>03263003022</v>
      </c>
      <c r="B275" s="7" t="str">
        <f>"大阪府立福祉情報コミュニケーションセンター"</f>
        <v>大阪府立福祉情報コミュニケーションセンター</v>
      </c>
      <c r="C275" s="7" t="str">
        <f t="shared" ref="C275:C306" si="94">"行政財産"</f>
        <v>行政財産</v>
      </c>
      <c r="D275" s="7" t="str">
        <f t="shared" si="82"/>
        <v>その他（公共用）の施設</v>
      </c>
      <c r="E275" s="7" t="str">
        <f>"大阪府大阪市　東成区中道１丁目"</f>
        <v>大阪府大阪市　東成区中道１丁目</v>
      </c>
      <c r="F275" s="7" t="str">
        <f>"３番５９号"</f>
        <v>３番５９号</v>
      </c>
      <c r="G275" s="7" t="str">
        <f t="shared" si="92"/>
        <v>事業用資産</v>
      </c>
      <c r="H275" s="7" t="str">
        <f t="shared" si="93"/>
        <v>棚卸以外</v>
      </c>
      <c r="I275" s="7">
        <v>1</v>
      </c>
      <c r="J275" s="7" t="str">
        <f>"本体棟"</f>
        <v>本体棟</v>
      </c>
      <c r="K275" s="7" t="str">
        <f>"鉄筋コンクリート造"</f>
        <v>鉄筋コンクリート造</v>
      </c>
      <c r="L275" s="7" t="str">
        <f>"R02.05.14"</f>
        <v>R02.05.14</v>
      </c>
      <c r="M275" s="7">
        <v>3829.77</v>
      </c>
      <c r="N275" s="7">
        <v>1467149409</v>
      </c>
      <c r="O275" s="7">
        <v>159705072</v>
      </c>
      <c r="P275" s="7">
        <v>0</v>
      </c>
      <c r="Q275" s="7" t="str">
        <f t="shared" ref="Q275:Q306" si="95">"福祉部"</f>
        <v>福祉部</v>
      </c>
      <c r="R275" s="7" t="str">
        <f t="shared" si="89"/>
        <v>障がい福祉室</v>
      </c>
    </row>
    <row r="276" spans="1:18" s="1" customFormat="1" ht="26.4" x14ac:dyDescent="0.45">
      <c r="A276" s="7" t="str">
        <f>"03334000089"</f>
        <v>03334000089</v>
      </c>
      <c r="B276" s="7" t="str">
        <f>"障がい者交流促進センター"</f>
        <v>障がい者交流促進センター</v>
      </c>
      <c r="C276" s="7" t="str">
        <f t="shared" si="94"/>
        <v>行政財産</v>
      </c>
      <c r="D276" s="7" t="str">
        <f t="shared" si="82"/>
        <v>その他（公共用）の施設</v>
      </c>
      <c r="E276" s="7" t="str">
        <f>"大阪府堺市　南区城山台５丁"</f>
        <v>大阪府堺市　南区城山台５丁</v>
      </c>
      <c r="F276" s="7"/>
      <c r="G276" s="7" t="str">
        <f t="shared" si="92"/>
        <v>事業用資産</v>
      </c>
      <c r="H276" s="7" t="str">
        <f t="shared" si="93"/>
        <v>棚卸以外</v>
      </c>
      <c r="I276" s="7">
        <v>1</v>
      </c>
      <c r="J276" s="7" t="str">
        <f>"本館"</f>
        <v>本館</v>
      </c>
      <c r="K276" s="7" t="str">
        <f>"鉄骨鉄筋コンクリート造"</f>
        <v>鉄骨鉄筋コンクリート造</v>
      </c>
      <c r="L276" s="7" t="str">
        <f>"S61.02.14"</f>
        <v>S61.02.14</v>
      </c>
      <c r="M276" s="7">
        <v>8080.03</v>
      </c>
      <c r="N276" s="7">
        <v>1573579675</v>
      </c>
      <c r="O276" s="7">
        <v>1108970070</v>
      </c>
      <c r="P276" s="7">
        <v>0</v>
      </c>
      <c r="Q276" s="7" t="str">
        <f t="shared" si="95"/>
        <v>福祉部</v>
      </c>
      <c r="R276" s="7" t="str">
        <f t="shared" si="89"/>
        <v>障がい福祉室</v>
      </c>
    </row>
    <row r="277" spans="1:18" s="1" customFormat="1" ht="26.4" x14ac:dyDescent="0.45">
      <c r="A277" s="7" t="str">
        <f>"03263000061"</f>
        <v>03263000061</v>
      </c>
      <c r="B277" s="7" t="str">
        <f>"障害者医療・リハセンター（障害者自立相談支援Ｃ）"</f>
        <v>障害者医療・リハセンター（障害者自立相談支援Ｃ）</v>
      </c>
      <c r="C277" s="7" t="str">
        <f t="shared" si="94"/>
        <v>行政財産</v>
      </c>
      <c r="D277" s="7" t="str">
        <f>"その他（行政機関）の施設"</f>
        <v>その他（行政機関）の施設</v>
      </c>
      <c r="E277" s="7" t="str">
        <f>"大阪府大阪市　住吉区大領３丁目"</f>
        <v>大阪府大阪市　住吉区大領３丁目</v>
      </c>
      <c r="F277" s="7" t="str">
        <f>"２－３６"</f>
        <v>２－３６</v>
      </c>
      <c r="G277" s="7" t="str">
        <f t="shared" si="92"/>
        <v>事業用資産</v>
      </c>
      <c r="H277" s="7" t="str">
        <f t="shared" si="93"/>
        <v>棚卸以外</v>
      </c>
      <c r="I277" s="7">
        <v>1</v>
      </c>
      <c r="J277" s="7" t="str">
        <f>"府障害者自立相談支援センター"</f>
        <v>府障害者自立相談支援センター</v>
      </c>
      <c r="K277" s="7" t="str">
        <f>"鉄筋コンクリート造"</f>
        <v>鉄筋コンクリート造</v>
      </c>
      <c r="L277" s="7" t="str">
        <f>"H19.02.28"</f>
        <v>H19.02.28</v>
      </c>
      <c r="M277" s="7">
        <v>626.9</v>
      </c>
      <c r="N277" s="7">
        <v>188919250</v>
      </c>
      <c r="O277" s="7">
        <v>54846412</v>
      </c>
      <c r="P277" s="7">
        <v>0</v>
      </c>
      <c r="Q277" s="7" t="str">
        <f t="shared" si="95"/>
        <v>福祉部</v>
      </c>
      <c r="R277" s="7" t="str">
        <f>"障がい者自立センター"</f>
        <v>障がい者自立センター</v>
      </c>
    </row>
    <row r="278" spans="1:18" s="1" customFormat="1" x14ac:dyDescent="0.45">
      <c r="A278" s="7" t="str">
        <f>"03275000068"</f>
        <v>03275000068</v>
      </c>
      <c r="B278" s="7" t="str">
        <f>"障害者医療・リハセンター（障害者自立Ｃ）"</f>
        <v>障害者医療・リハセンター（障害者自立Ｃ）</v>
      </c>
      <c r="C278" s="7" t="str">
        <f t="shared" si="94"/>
        <v>行政財産</v>
      </c>
      <c r="D278" s="7" t="str">
        <f t="shared" ref="D278:D309" si="96">"その他（公共用）の施設"</f>
        <v>その他（公共用）の施設</v>
      </c>
      <c r="E278" s="7" t="str">
        <f>"大阪府大阪市　住吉区大領３丁目"</f>
        <v>大阪府大阪市　住吉区大領３丁目</v>
      </c>
      <c r="F278" s="7" t="str">
        <f>"２－３６"</f>
        <v>２－３６</v>
      </c>
      <c r="G278" s="7" t="str">
        <f t="shared" si="92"/>
        <v>事業用資産</v>
      </c>
      <c r="H278" s="7" t="str">
        <f t="shared" si="93"/>
        <v>棚卸以外</v>
      </c>
      <c r="I278" s="7">
        <v>1</v>
      </c>
      <c r="J278" s="7" t="str">
        <f>"府立障害者自立センター"</f>
        <v>府立障害者自立センター</v>
      </c>
      <c r="K278" s="7" t="str">
        <f>"鉄筋コンクリート造"</f>
        <v>鉄筋コンクリート造</v>
      </c>
      <c r="L278" s="7" t="str">
        <f>"H19.02.28"</f>
        <v>H19.02.28</v>
      </c>
      <c r="M278" s="7">
        <v>4388.07</v>
      </c>
      <c r="N278" s="7">
        <v>1231802640</v>
      </c>
      <c r="O278" s="7">
        <v>362241211</v>
      </c>
      <c r="P278" s="7">
        <v>0</v>
      </c>
      <c r="Q278" s="7" t="str">
        <f t="shared" si="95"/>
        <v>福祉部</v>
      </c>
      <c r="R278" s="7" t="str">
        <f>"障がい者自立センター"</f>
        <v>障がい者自立センター</v>
      </c>
    </row>
    <row r="279" spans="1:18" s="1" customFormat="1" x14ac:dyDescent="0.45">
      <c r="A279" s="7" t="str">
        <f>"03275000068"</f>
        <v>03275000068</v>
      </c>
      <c r="B279" s="7" t="str">
        <f>"障害者医療・リハセンター（障害者自立Ｃ）"</f>
        <v>障害者医療・リハセンター（障害者自立Ｃ）</v>
      </c>
      <c r="C279" s="7" t="str">
        <f t="shared" si="94"/>
        <v>行政財産</v>
      </c>
      <c r="D279" s="7" t="str">
        <f t="shared" si="96"/>
        <v>その他（公共用）の施設</v>
      </c>
      <c r="E279" s="7" t="str">
        <f>"大阪府大阪市　住吉区大領３丁目"</f>
        <v>大阪府大阪市　住吉区大領３丁目</v>
      </c>
      <c r="F279" s="7" t="str">
        <f>"２－３６"</f>
        <v>２－３６</v>
      </c>
      <c r="G279" s="7" t="str">
        <f t="shared" si="92"/>
        <v>事業用資産</v>
      </c>
      <c r="H279" s="7" t="str">
        <f t="shared" si="93"/>
        <v>棚卸以外</v>
      </c>
      <c r="I279" s="7">
        <v>2</v>
      </c>
      <c r="J279" s="7" t="str">
        <f>"ゴミ置場"</f>
        <v>ゴミ置場</v>
      </c>
      <c r="K279" s="7" t="str">
        <f>"鉄骨造"</f>
        <v>鉄骨造</v>
      </c>
      <c r="L279" s="7" t="str">
        <f>"H19.02.28"</f>
        <v>H19.02.28</v>
      </c>
      <c r="M279" s="7">
        <v>16.75</v>
      </c>
      <c r="N279" s="7">
        <v>1521000</v>
      </c>
      <c r="O279" s="7">
        <v>789177</v>
      </c>
      <c r="P279" s="7">
        <v>0</v>
      </c>
      <c r="Q279" s="7" t="str">
        <f t="shared" si="95"/>
        <v>福祉部</v>
      </c>
      <c r="R279" s="7" t="str">
        <f>"障がい者自立センター"</f>
        <v>障がい者自立センター</v>
      </c>
    </row>
    <row r="280" spans="1:18" s="1" customFormat="1" x14ac:dyDescent="0.45">
      <c r="A280" s="7" t="str">
        <f t="shared" ref="A280:A311" si="97">"03276000000"</f>
        <v>03276000000</v>
      </c>
      <c r="B280" s="7" t="str">
        <f t="shared" ref="B280:B311" si="98">"砂川厚生福祉センター"</f>
        <v>砂川厚生福祉センター</v>
      </c>
      <c r="C280" s="7" t="str">
        <f t="shared" si="94"/>
        <v>行政財産</v>
      </c>
      <c r="D280" s="7" t="str">
        <f t="shared" si="96"/>
        <v>その他（公共用）の施設</v>
      </c>
      <c r="E280" s="7" t="str">
        <f t="shared" ref="E280:E311" si="99">"大阪府泉南市馬場３丁目"</f>
        <v>大阪府泉南市馬場３丁目</v>
      </c>
      <c r="F280" s="7"/>
      <c r="G280" s="7" t="str">
        <f t="shared" si="92"/>
        <v>事業用資産</v>
      </c>
      <c r="H280" s="7" t="str">
        <f t="shared" si="93"/>
        <v>棚卸以外</v>
      </c>
      <c r="I280" s="7">
        <v>32</v>
      </c>
      <c r="J280" s="7" t="str">
        <f>"管理棟別館"</f>
        <v>管理棟別館</v>
      </c>
      <c r="K280" s="7" t="str">
        <f>"コンクリートブロック造"</f>
        <v>コンクリートブロック造</v>
      </c>
      <c r="L280" s="7" t="str">
        <f>"S36.08.31"</f>
        <v>S36.08.31</v>
      </c>
      <c r="M280" s="7">
        <v>300.56</v>
      </c>
      <c r="N280" s="7">
        <v>7011259</v>
      </c>
      <c r="O280" s="7">
        <v>7011258</v>
      </c>
      <c r="P280" s="7">
        <v>0</v>
      </c>
      <c r="Q280" s="7" t="str">
        <f t="shared" si="95"/>
        <v>福祉部</v>
      </c>
      <c r="R280" s="7" t="str">
        <f t="shared" ref="R280:R311" si="100">"砂川厚生福祉センター"</f>
        <v>砂川厚生福祉センター</v>
      </c>
    </row>
    <row r="281" spans="1:18" s="1" customFormat="1" x14ac:dyDescent="0.45">
      <c r="A281" s="7" t="str">
        <f t="shared" si="97"/>
        <v>03276000000</v>
      </c>
      <c r="B281" s="7" t="str">
        <f t="shared" si="98"/>
        <v>砂川厚生福祉センター</v>
      </c>
      <c r="C281" s="7" t="str">
        <f t="shared" si="94"/>
        <v>行政財産</v>
      </c>
      <c r="D281" s="7" t="str">
        <f t="shared" si="96"/>
        <v>その他（公共用）の施設</v>
      </c>
      <c r="E281" s="7" t="str">
        <f t="shared" si="99"/>
        <v>大阪府泉南市馬場３丁目</v>
      </c>
      <c r="F281" s="7"/>
      <c r="G281" s="7" t="str">
        <f t="shared" si="92"/>
        <v>事業用資産</v>
      </c>
      <c r="H281" s="7" t="str">
        <f t="shared" si="93"/>
        <v>棚卸以外</v>
      </c>
      <c r="I281" s="7">
        <v>33</v>
      </c>
      <c r="J281" s="7" t="str">
        <f>"かつらぎ寮"</f>
        <v>かつらぎ寮</v>
      </c>
      <c r="K281" s="7" t="str">
        <f>"コンクリートブロック造"</f>
        <v>コンクリートブロック造</v>
      </c>
      <c r="L281" s="7" t="str">
        <f>"S36.07.31"</f>
        <v>S36.07.31</v>
      </c>
      <c r="M281" s="7">
        <v>1105.23</v>
      </c>
      <c r="N281" s="7">
        <v>44519768</v>
      </c>
      <c r="O281" s="7">
        <v>44519767</v>
      </c>
      <c r="P281" s="7">
        <v>0</v>
      </c>
      <c r="Q281" s="7" t="str">
        <f t="shared" si="95"/>
        <v>福祉部</v>
      </c>
      <c r="R281" s="7" t="str">
        <f t="shared" si="100"/>
        <v>砂川厚生福祉センター</v>
      </c>
    </row>
    <row r="282" spans="1:18" s="1" customFormat="1" x14ac:dyDescent="0.45">
      <c r="A282" s="7" t="str">
        <f t="shared" si="97"/>
        <v>03276000000</v>
      </c>
      <c r="B282" s="7" t="str">
        <f t="shared" si="98"/>
        <v>砂川厚生福祉センター</v>
      </c>
      <c r="C282" s="7" t="str">
        <f t="shared" si="94"/>
        <v>行政財産</v>
      </c>
      <c r="D282" s="7" t="str">
        <f t="shared" si="96"/>
        <v>その他（公共用）の施設</v>
      </c>
      <c r="E282" s="7" t="str">
        <f t="shared" si="99"/>
        <v>大阪府泉南市馬場３丁目</v>
      </c>
      <c r="F282" s="7"/>
      <c r="G282" s="7" t="str">
        <f t="shared" si="92"/>
        <v>事業用資産</v>
      </c>
      <c r="H282" s="7" t="str">
        <f t="shared" si="93"/>
        <v>棚卸以外</v>
      </c>
      <c r="I282" s="7">
        <v>34</v>
      </c>
      <c r="J282" s="7" t="str">
        <f>"こふじ寮"</f>
        <v>こふじ寮</v>
      </c>
      <c r="K282" s="7" t="str">
        <f>"コンクリートブロック造"</f>
        <v>コンクリートブロック造</v>
      </c>
      <c r="L282" s="7" t="str">
        <f>"S36.10.31"</f>
        <v>S36.10.31</v>
      </c>
      <c r="M282" s="7">
        <v>1080.3599999999999</v>
      </c>
      <c r="N282" s="7">
        <v>38187091</v>
      </c>
      <c r="O282" s="7">
        <v>37793582</v>
      </c>
      <c r="P282" s="7">
        <v>0</v>
      </c>
      <c r="Q282" s="7" t="str">
        <f t="shared" si="95"/>
        <v>福祉部</v>
      </c>
      <c r="R282" s="7" t="str">
        <f t="shared" si="100"/>
        <v>砂川厚生福祉センター</v>
      </c>
    </row>
    <row r="283" spans="1:18" s="1" customFormat="1" x14ac:dyDescent="0.45">
      <c r="A283" s="7" t="str">
        <f t="shared" si="97"/>
        <v>03276000000</v>
      </c>
      <c r="B283" s="7" t="str">
        <f t="shared" si="98"/>
        <v>砂川厚生福祉センター</v>
      </c>
      <c r="C283" s="7" t="str">
        <f t="shared" si="94"/>
        <v>行政財産</v>
      </c>
      <c r="D283" s="7" t="str">
        <f t="shared" si="96"/>
        <v>その他（公共用）の施設</v>
      </c>
      <c r="E283" s="7" t="str">
        <f t="shared" si="99"/>
        <v>大阪府泉南市馬場３丁目</v>
      </c>
      <c r="F283" s="7"/>
      <c r="G283" s="7" t="str">
        <f t="shared" si="92"/>
        <v>事業用資産</v>
      </c>
      <c r="H283" s="7" t="str">
        <f t="shared" si="93"/>
        <v>棚卸以外</v>
      </c>
      <c r="I283" s="7">
        <v>35</v>
      </c>
      <c r="J283" s="7" t="str">
        <f>"霊安室"</f>
        <v>霊安室</v>
      </c>
      <c r="K283" s="7" t="str">
        <f>"コンクリートブロック造"</f>
        <v>コンクリートブロック造</v>
      </c>
      <c r="L283" s="7" t="str">
        <f>"S36.07.31"</f>
        <v>S36.07.31</v>
      </c>
      <c r="M283" s="7">
        <v>12.95</v>
      </c>
      <c r="N283" s="7">
        <v>278091</v>
      </c>
      <c r="O283" s="7">
        <v>278090</v>
      </c>
      <c r="P283" s="7">
        <v>0</v>
      </c>
      <c r="Q283" s="7" t="str">
        <f t="shared" si="95"/>
        <v>福祉部</v>
      </c>
      <c r="R283" s="7" t="str">
        <f t="shared" si="100"/>
        <v>砂川厚生福祉センター</v>
      </c>
    </row>
    <row r="284" spans="1:18" s="1" customFormat="1" x14ac:dyDescent="0.45">
      <c r="A284" s="7" t="str">
        <f t="shared" si="97"/>
        <v>03276000000</v>
      </c>
      <c r="B284" s="7" t="str">
        <f t="shared" si="98"/>
        <v>砂川厚生福祉センター</v>
      </c>
      <c r="C284" s="7" t="str">
        <f t="shared" si="94"/>
        <v>行政財産</v>
      </c>
      <c r="D284" s="7" t="str">
        <f t="shared" si="96"/>
        <v>その他（公共用）の施設</v>
      </c>
      <c r="E284" s="7" t="str">
        <f t="shared" si="99"/>
        <v>大阪府泉南市馬場３丁目</v>
      </c>
      <c r="F284" s="7"/>
      <c r="G284" s="7" t="str">
        <f t="shared" si="92"/>
        <v>事業用資産</v>
      </c>
      <c r="H284" s="7" t="str">
        <f t="shared" si="93"/>
        <v>棚卸以外</v>
      </c>
      <c r="I284" s="7">
        <v>39</v>
      </c>
      <c r="J284" s="7" t="str">
        <f>"救護施設車庫"</f>
        <v>救護施設車庫</v>
      </c>
      <c r="K284" s="7" t="str">
        <f>"鉄筋コンクリート造"</f>
        <v>鉄筋コンクリート造</v>
      </c>
      <c r="L284" s="7" t="str">
        <f>"S39.09.30"</f>
        <v>S39.09.30</v>
      </c>
      <c r="M284" s="7">
        <v>21.42</v>
      </c>
      <c r="N284" s="7">
        <v>352030</v>
      </c>
      <c r="O284" s="7">
        <v>352029</v>
      </c>
      <c r="P284" s="7">
        <v>0</v>
      </c>
      <c r="Q284" s="7" t="str">
        <f t="shared" si="95"/>
        <v>福祉部</v>
      </c>
      <c r="R284" s="7" t="str">
        <f t="shared" si="100"/>
        <v>砂川厚生福祉センター</v>
      </c>
    </row>
    <row r="285" spans="1:18" s="1" customFormat="1" x14ac:dyDescent="0.45">
      <c r="A285" s="7" t="str">
        <f t="shared" si="97"/>
        <v>03276000000</v>
      </c>
      <c r="B285" s="7" t="str">
        <f t="shared" si="98"/>
        <v>砂川厚生福祉センター</v>
      </c>
      <c r="C285" s="7" t="str">
        <f t="shared" si="94"/>
        <v>行政財産</v>
      </c>
      <c r="D285" s="7" t="str">
        <f t="shared" si="96"/>
        <v>その他（公共用）の施設</v>
      </c>
      <c r="E285" s="7" t="str">
        <f t="shared" si="99"/>
        <v>大阪府泉南市馬場３丁目</v>
      </c>
      <c r="F285" s="7"/>
      <c r="G285" s="7" t="str">
        <f t="shared" si="92"/>
        <v>事業用資産</v>
      </c>
      <c r="H285" s="7" t="str">
        <f t="shared" si="93"/>
        <v>棚卸以外</v>
      </c>
      <c r="I285" s="7">
        <v>42</v>
      </c>
      <c r="J285" s="7" t="str">
        <f>"農耕作業場"</f>
        <v>農耕作業場</v>
      </c>
      <c r="K285" s="7" t="str">
        <f>"木造"</f>
        <v>木造</v>
      </c>
      <c r="L285" s="7" t="str">
        <f>"S39.09.30"</f>
        <v>S39.09.30</v>
      </c>
      <c r="M285" s="7">
        <v>48.59</v>
      </c>
      <c r="N285" s="7">
        <v>805770</v>
      </c>
      <c r="O285" s="7">
        <v>805769</v>
      </c>
      <c r="P285" s="7">
        <v>0</v>
      </c>
      <c r="Q285" s="7" t="str">
        <f t="shared" si="95"/>
        <v>福祉部</v>
      </c>
      <c r="R285" s="7" t="str">
        <f t="shared" si="100"/>
        <v>砂川厚生福祉センター</v>
      </c>
    </row>
    <row r="286" spans="1:18" s="1" customFormat="1" x14ac:dyDescent="0.45">
      <c r="A286" s="7" t="str">
        <f t="shared" si="97"/>
        <v>03276000000</v>
      </c>
      <c r="B286" s="7" t="str">
        <f t="shared" si="98"/>
        <v>砂川厚生福祉センター</v>
      </c>
      <c r="C286" s="7" t="str">
        <f t="shared" si="94"/>
        <v>行政財産</v>
      </c>
      <c r="D286" s="7" t="str">
        <f t="shared" si="96"/>
        <v>その他（公共用）の施設</v>
      </c>
      <c r="E286" s="7" t="str">
        <f t="shared" si="99"/>
        <v>大阪府泉南市馬場３丁目</v>
      </c>
      <c r="F286" s="7"/>
      <c r="G286" s="7" t="str">
        <f t="shared" si="92"/>
        <v>事業用資産</v>
      </c>
      <c r="H286" s="7" t="str">
        <f t="shared" si="93"/>
        <v>棚卸以外</v>
      </c>
      <c r="I286" s="7">
        <v>43</v>
      </c>
      <c r="J286" s="7" t="str">
        <f>"渡り廊下"</f>
        <v>渡り廊下</v>
      </c>
      <c r="K286" s="7" t="str">
        <f>"パイプ"</f>
        <v>パイプ</v>
      </c>
      <c r="L286" s="7" t="str">
        <f>"S39.09.30"</f>
        <v>S39.09.30</v>
      </c>
      <c r="M286" s="7">
        <v>103.1</v>
      </c>
      <c r="N286" s="7">
        <v>1575806</v>
      </c>
      <c r="O286" s="7">
        <v>1575805</v>
      </c>
      <c r="P286" s="7">
        <v>0</v>
      </c>
      <c r="Q286" s="7" t="str">
        <f t="shared" si="95"/>
        <v>福祉部</v>
      </c>
      <c r="R286" s="7" t="str">
        <f t="shared" si="100"/>
        <v>砂川厚生福祉センター</v>
      </c>
    </row>
    <row r="287" spans="1:18" s="1" customFormat="1" x14ac:dyDescent="0.45">
      <c r="A287" s="7" t="str">
        <f t="shared" si="97"/>
        <v>03276000000</v>
      </c>
      <c r="B287" s="7" t="str">
        <f t="shared" si="98"/>
        <v>砂川厚生福祉センター</v>
      </c>
      <c r="C287" s="7" t="str">
        <f t="shared" si="94"/>
        <v>行政財産</v>
      </c>
      <c r="D287" s="7" t="str">
        <f t="shared" si="96"/>
        <v>その他（公共用）の施設</v>
      </c>
      <c r="E287" s="7" t="str">
        <f t="shared" si="99"/>
        <v>大阪府泉南市馬場３丁目</v>
      </c>
      <c r="F287" s="7"/>
      <c r="G287" s="7" t="str">
        <f t="shared" si="92"/>
        <v>事業用資産</v>
      </c>
      <c r="H287" s="7" t="str">
        <f t="shared" si="93"/>
        <v>棚卸以外</v>
      </c>
      <c r="I287" s="7">
        <v>44</v>
      </c>
      <c r="J287" s="7" t="str">
        <f>"こんごう寮本館"</f>
        <v>こんごう寮本館</v>
      </c>
      <c r="K287" s="7" t="str">
        <f>"鉄筋コンクリート造"</f>
        <v>鉄筋コンクリート造</v>
      </c>
      <c r="L287" s="7" t="str">
        <f>"S39.09.30"</f>
        <v>S39.09.30</v>
      </c>
      <c r="M287" s="7">
        <v>2463</v>
      </c>
      <c r="N287" s="7">
        <v>131708209</v>
      </c>
      <c r="O287" s="7">
        <v>131708208</v>
      </c>
      <c r="P287" s="7">
        <v>0</v>
      </c>
      <c r="Q287" s="7" t="str">
        <f t="shared" si="95"/>
        <v>福祉部</v>
      </c>
      <c r="R287" s="7" t="str">
        <f t="shared" si="100"/>
        <v>砂川厚生福祉センター</v>
      </c>
    </row>
    <row r="288" spans="1:18" s="1" customFormat="1" x14ac:dyDescent="0.45">
      <c r="A288" s="7" t="str">
        <f t="shared" si="97"/>
        <v>03276000000</v>
      </c>
      <c r="B288" s="7" t="str">
        <f t="shared" si="98"/>
        <v>砂川厚生福祉センター</v>
      </c>
      <c r="C288" s="7" t="str">
        <f t="shared" si="94"/>
        <v>行政財産</v>
      </c>
      <c r="D288" s="7" t="str">
        <f t="shared" si="96"/>
        <v>その他（公共用）の施設</v>
      </c>
      <c r="E288" s="7" t="str">
        <f t="shared" si="99"/>
        <v>大阪府泉南市馬場３丁目</v>
      </c>
      <c r="F288" s="7"/>
      <c r="G288" s="7" t="str">
        <f t="shared" si="92"/>
        <v>事業用資産</v>
      </c>
      <c r="H288" s="7" t="str">
        <f t="shared" si="93"/>
        <v>棚卸以外</v>
      </c>
      <c r="I288" s="7">
        <v>46</v>
      </c>
      <c r="J288" s="7" t="str">
        <f>"プロパン置場"</f>
        <v>プロパン置場</v>
      </c>
      <c r="K288" s="7" t="str">
        <f>"鉄筋コンクリート造"</f>
        <v>鉄筋コンクリート造</v>
      </c>
      <c r="L288" s="7" t="str">
        <f>"S39.09.30"</f>
        <v>S39.09.30</v>
      </c>
      <c r="M288" s="7">
        <v>1.52</v>
      </c>
      <c r="N288" s="7">
        <v>322918</v>
      </c>
      <c r="O288" s="7">
        <v>322917</v>
      </c>
      <c r="P288" s="7">
        <v>0</v>
      </c>
      <c r="Q288" s="7" t="str">
        <f t="shared" si="95"/>
        <v>福祉部</v>
      </c>
      <c r="R288" s="7" t="str">
        <f t="shared" si="100"/>
        <v>砂川厚生福祉センター</v>
      </c>
    </row>
    <row r="289" spans="1:18" s="1" customFormat="1" x14ac:dyDescent="0.45">
      <c r="A289" s="7" t="str">
        <f t="shared" si="97"/>
        <v>03276000000</v>
      </c>
      <c r="B289" s="7" t="str">
        <f t="shared" si="98"/>
        <v>砂川厚生福祉センター</v>
      </c>
      <c r="C289" s="7" t="str">
        <f t="shared" si="94"/>
        <v>行政財産</v>
      </c>
      <c r="D289" s="7" t="str">
        <f t="shared" si="96"/>
        <v>その他（公共用）の施設</v>
      </c>
      <c r="E289" s="7" t="str">
        <f t="shared" si="99"/>
        <v>大阪府泉南市馬場３丁目</v>
      </c>
      <c r="F289" s="7"/>
      <c r="G289" s="7" t="str">
        <f t="shared" si="92"/>
        <v>事業用資産</v>
      </c>
      <c r="H289" s="7" t="str">
        <f t="shared" si="93"/>
        <v>棚卸以外</v>
      </c>
      <c r="I289" s="7">
        <v>53</v>
      </c>
      <c r="J289" s="7" t="str">
        <f>"ガレージ"</f>
        <v>ガレージ</v>
      </c>
      <c r="K289" s="7" t="str">
        <f>"軽量鉄骨造"</f>
        <v>軽量鉄骨造</v>
      </c>
      <c r="L289" s="7" t="str">
        <f>"S40.08.31"</f>
        <v>S40.08.31</v>
      </c>
      <c r="M289" s="7">
        <v>18.14</v>
      </c>
      <c r="N289" s="7">
        <v>513430</v>
      </c>
      <c r="O289" s="7">
        <v>513429</v>
      </c>
      <c r="P289" s="7">
        <v>0</v>
      </c>
      <c r="Q289" s="7" t="str">
        <f t="shared" si="95"/>
        <v>福祉部</v>
      </c>
      <c r="R289" s="7" t="str">
        <f t="shared" si="100"/>
        <v>砂川厚生福祉センター</v>
      </c>
    </row>
    <row r="290" spans="1:18" s="1" customFormat="1" x14ac:dyDescent="0.45">
      <c r="A290" s="7" t="str">
        <f t="shared" si="97"/>
        <v>03276000000</v>
      </c>
      <c r="B290" s="7" t="str">
        <f t="shared" si="98"/>
        <v>砂川厚生福祉センター</v>
      </c>
      <c r="C290" s="7" t="str">
        <f t="shared" si="94"/>
        <v>行政財産</v>
      </c>
      <c r="D290" s="7" t="str">
        <f t="shared" si="96"/>
        <v>その他（公共用）の施設</v>
      </c>
      <c r="E290" s="7" t="str">
        <f t="shared" si="99"/>
        <v>大阪府泉南市馬場３丁目</v>
      </c>
      <c r="F290" s="7"/>
      <c r="G290" s="7" t="str">
        <f t="shared" si="92"/>
        <v>事業用資産</v>
      </c>
      <c r="H290" s="7" t="str">
        <f t="shared" si="93"/>
        <v>棚卸以外</v>
      </c>
      <c r="I290" s="7">
        <v>57</v>
      </c>
      <c r="J290" s="7" t="str">
        <f>"ポンプ室及び電気室"</f>
        <v>ポンプ室及び電気室</v>
      </c>
      <c r="K290" s="7" t="str">
        <f>"鉄筋コンクリート造"</f>
        <v>鉄筋コンクリート造</v>
      </c>
      <c r="L290" s="7" t="str">
        <f>"S40.03.31"</f>
        <v>S40.03.31</v>
      </c>
      <c r="M290" s="7">
        <v>45.36</v>
      </c>
      <c r="N290" s="7">
        <v>20333988</v>
      </c>
      <c r="O290" s="7">
        <v>17587754</v>
      </c>
      <c r="P290" s="7">
        <v>0</v>
      </c>
      <c r="Q290" s="7" t="str">
        <f t="shared" si="95"/>
        <v>福祉部</v>
      </c>
      <c r="R290" s="7" t="str">
        <f t="shared" si="100"/>
        <v>砂川厚生福祉センター</v>
      </c>
    </row>
    <row r="291" spans="1:18" s="1" customFormat="1" x14ac:dyDescent="0.45">
      <c r="A291" s="7" t="str">
        <f t="shared" si="97"/>
        <v>03276000000</v>
      </c>
      <c r="B291" s="7" t="str">
        <f t="shared" si="98"/>
        <v>砂川厚生福祉センター</v>
      </c>
      <c r="C291" s="7" t="str">
        <f t="shared" si="94"/>
        <v>行政財産</v>
      </c>
      <c r="D291" s="7" t="str">
        <f t="shared" si="96"/>
        <v>その他（公共用）の施設</v>
      </c>
      <c r="E291" s="7" t="str">
        <f t="shared" si="99"/>
        <v>大阪府泉南市馬場３丁目</v>
      </c>
      <c r="F291" s="7"/>
      <c r="G291" s="7" t="str">
        <f t="shared" si="92"/>
        <v>事業用資産</v>
      </c>
      <c r="H291" s="7" t="str">
        <f t="shared" si="93"/>
        <v>棚卸以外</v>
      </c>
      <c r="I291" s="7">
        <v>58</v>
      </c>
      <c r="J291" s="7" t="str">
        <f>"体育館兼講堂"</f>
        <v>体育館兼講堂</v>
      </c>
      <c r="K291" s="7" t="str">
        <f>"鉄筋コンクリート造"</f>
        <v>鉄筋コンクリート造</v>
      </c>
      <c r="L291" s="7" t="str">
        <f>"S42.07.31"</f>
        <v>S42.07.31</v>
      </c>
      <c r="M291" s="7">
        <v>765.39</v>
      </c>
      <c r="N291" s="7">
        <v>37819000</v>
      </c>
      <c r="O291" s="7">
        <v>28293949</v>
      </c>
      <c r="P291" s="7">
        <v>0</v>
      </c>
      <c r="Q291" s="7" t="str">
        <f t="shared" si="95"/>
        <v>福祉部</v>
      </c>
      <c r="R291" s="7" t="str">
        <f t="shared" si="100"/>
        <v>砂川厚生福祉センター</v>
      </c>
    </row>
    <row r="292" spans="1:18" s="1" customFormat="1" x14ac:dyDescent="0.45">
      <c r="A292" s="7" t="str">
        <f t="shared" si="97"/>
        <v>03276000000</v>
      </c>
      <c r="B292" s="7" t="str">
        <f t="shared" si="98"/>
        <v>砂川厚生福祉センター</v>
      </c>
      <c r="C292" s="7" t="str">
        <f t="shared" si="94"/>
        <v>行政財産</v>
      </c>
      <c r="D292" s="7" t="str">
        <f t="shared" si="96"/>
        <v>その他（公共用）の施設</v>
      </c>
      <c r="E292" s="7" t="str">
        <f t="shared" si="99"/>
        <v>大阪府泉南市馬場３丁目</v>
      </c>
      <c r="F292" s="7"/>
      <c r="G292" s="7" t="str">
        <f t="shared" si="92"/>
        <v>事業用資産</v>
      </c>
      <c r="H292" s="7" t="str">
        <f t="shared" si="93"/>
        <v>棚卸以外</v>
      </c>
      <c r="I292" s="7">
        <v>59</v>
      </c>
      <c r="J292" s="7" t="str">
        <f>"緊急救護施設作業棟"</f>
        <v>緊急救護施設作業棟</v>
      </c>
      <c r="K292" s="7" t="str">
        <f>"軽量鉄骨造"</f>
        <v>軽量鉄骨造</v>
      </c>
      <c r="L292" s="7" t="str">
        <f>"S42.03.28"</f>
        <v>S42.03.28</v>
      </c>
      <c r="M292" s="7">
        <v>269.12</v>
      </c>
      <c r="N292" s="7">
        <v>8891000</v>
      </c>
      <c r="O292" s="7">
        <v>8890999</v>
      </c>
      <c r="P292" s="7">
        <v>0</v>
      </c>
      <c r="Q292" s="7" t="str">
        <f t="shared" si="95"/>
        <v>福祉部</v>
      </c>
      <c r="R292" s="7" t="str">
        <f t="shared" si="100"/>
        <v>砂川厚生福祉センター</v>
      </c>
    </row>
    <row r="293" spans="1:18" s="1" customFormat="1" x14ac:dyDescent="0.45">
      <c r="A293" s="7" t="str">
        <f t="shared" si="97"/>
        <v>03276000000</v>
      </c>
      <c r="B293" s="7" t="str">
        <f t="shared" si="98"/>
        <v>砂川厚生福祉センター</v>
      </c>
      <c r="C293" s="7" t="str">
        <f t="shared" si="94"/>
        <v>行政財産</v>
      </c>
      <c r="D293" s="7" t="str">
        <f t="shared" si="96"/>
        <v>その他（公共用）の施設</v>
      </c>
      <c r="E293" s="7" t="str">
        <f t="shared" si="99"/>
        <v>大阪府泉南市馬場３丁目</v>
      </c>
      <c r="F293" s="7"/>
      <c r="G293" s="7" t="str">
        <f t="shared" si="92"/>
        <v>事業用資産</v>
      </c>
      <c r="H293" s="7" t="str">
        <f t="shared" si="93"/>
        <v>棚卸以外</v>
      </c>
      <c r="I293" s="7">
        <v>61</v>
      </c>
      <c r="J293" s="7" t="str">
        <f>"職員宿舎汚物ポンプ室"</f>
        <v>職員宿舎汚物ポンプ室</v>
      </c>
      <c r="K293" s="7" t="str">
        <f>"鉄筋コンクリート造"</f>
        <v>鉄筋コンクリート造</v>
      </c>
      <c r="L293" s="7" t="str">
        <f>"S40.09.15"</f>
        <v>S40.09.15</v>
      </c>
      <c r="M293" s="7">
        <v>4.33</v>
      </c>
      <c r="N293" s="7">
        <v>142000</v>
      </c>
      <c r="O293" s="7">
        <v>141999</v>
      </c>
      <c r="P293" s="7">
        <v>0</v>
      </c>
      <c r="Q293" s="7" t="str">
        <f t="shared" si="95"/>
        <v>福祉部</v>
      </c>
      <c r="R293" s="7" t="str">
        <f t="shared" si="100"/>
        <v>砂川厚生福祉センター</v>
      </c>
    </row>
    <row r="294" spans="1:18" s="1" customFormat="1" x14ac:dyDescent="0.45">
      <c r="A294" s="7" t="str">
        <f t="shared" si="97"/>
        <v>03276000000</v>
      </c>
      <c r="B294" s="7" t="str">
        <f t="shared" si="98"/>
        <v>砂川厚生福祉センター</v>
      </c>
      <c r="C294" s="7" t="str">
        <f t="shared" si="94"/>
        <v>行政財産</v>
      </c>
      <c r="D294" s="7" t="str">
        <f t="shared" si="96"/>
        <v>その他（公共用）の施設</v>
      </c>
      <c r="E294" s="7" t="str">
        <f t="shared" si="99"/>
        <v>大阪府泉南市馬場３丁目</v>
      </c>
      <c r="F294" s="7"/>
      <c r="G294" s="7" t="str">
        <f t="shared" si="92"/>
        <v>事業用資産</v>
      </c>
      <c r="H294" s="7" t="str">
        <f t="shared" si="93"/>
        <v>棚卸以外</v>
      </c>
      <c r="I294" s="7">
        <v>62</v>
      </c>
      <c r="J294" s="7" t="str">
        <f>"ブロア室"</f>
        <v>ブロア室</v>
      </c>
      <c r="K294" s="7" t="str">
        <f>"鉄筋コンクリート造"</f>
        <v>鉄筋コンクリート造</v>
      </c>
      <c r="L294" s="7" t="str">
        <f>"S40.09.15"</f>
        <v>S40.09.15</v>
      </c>
      <c r="M294" s="7">
        <v>12.05</v>
      </c>
      <c r="N294" s="7">
        <v>18400</v>
      </c>
      <c r="O294" s="7">
        <v>18399</v>
      </c>
      <c r="P294" s="7">
        <v>0</v>
      </c>
      <c r="Q294" s="7" t="str">
        <f t="shared" si="95"/>
        <v>福祉部</v>
      </c>
      <c r="R294" s="7" t="str">
        <f t="shared" si="100"/>
        <v>砂川厚生福祉センター</v>
      </c>
    </row>
    <row r="295" spans="1:18" s="1" customFormat="1" x14ac:dyDescent="0.45">
      <c r="A295" s="7" t="str">
        <f t="shared" si="97"/>
        <v>03276000000</v>
      </c>
      <c r="B295" s="7" t="str">
        <f t="shared" si="98"/>
        <v>砂川厚生福祉センター</v>
      </c>
      <c r="C295" s="7" t="str">
        <f t="shared" si="94"/>
        <v>行政財産</v>
      </c>
      <c r="D295" s="7" t="str">
        <f t="shared" si="96"/>
        <v>その他（公共用）の施設</v>
      </c>
      <c r="E295" s="7" t="str">
        <f t="shared" si="99"/>
        <v>大阪府泉南市馬場３丁目</v>
      </c>
      <c r="F295" s="7"/>
      <c r="G295" s="7" t="str">
        <f t="shared" si="92"/>
        <v>事業用資産</v>
      </c>
      <c r="H295" s="7" t="str">
        <f t="shared" si="93"/>
        <v>棚卸以外</v>
      </c>
      <c r="I295" s="7">
        <v>63</v>
      </c>
      <c r="J295" s="7" t="str">
        <f>"こふじ寮プロパンボンベ置場"</f>
        <v>こふじ寮プロパンボンベ置場</v>
      </c>
      <c r="K295" s="7" t="str">
        <f>"コンクリートブロック造"</f>
        <v>コンクリートブロック造</v>
      </c>
      <c r="L295" s="7" t="str">
        <f>"S41.03.30"</f>
        <v>S41.03.30</v>
      </c>
      <c r="M295" s="7">
        <v>2.7</v>
      </c>
      <c r="N295" s="7">
        <v>36000</v>
      </c>
      <c r="O295" s="7">
        <v>35999</v>
      </c>
      <c r="P295" s="7">
        <v>0</v>
      </c>
      <c r="Q295" s="7" t="str">
        <f t="shared" si="95"/>
        <v>福祉部</v>
      </c>
      <c r="R295" s="7" t="str">
        <f t="shared" si="100"/>
        <v>砂川厚生福祉センター</v>
      </c>
    </row>
    <row r="296" spans="1:18" s="1" customFormat="1" x14ac:dyDescent="0.45">
      <c r="A296" s="7" t="str">
        <f t="shared" si="97"/>
        <v>03276000000</v>
      </c>
      <c r="B296" s="7" t="str">
        <f t="shared" si="98"/>
        <v>砂川厚生福祉センター</v>
      </c>
      <c r="C296" s="7" t="str">
        <f t="shared" si="94"/>
        <v>行政財産</v>
      </c>
      <c r="D296" s="7" t="str">
        <f t="shared" si="96"/>
        <v>その他（公共用）の施設</v>
      </c>
      <c r="E296" s="7" t="str">
        <f t="shared" si="99"/>
        <v>大阪府泉南市馬場３丁目</v>
      </c>
      <c r="F296" s="7"/>
      <c r="G296" s="7" t="str">
        <f t="shared" si="92"/>
        <v>事業用資産</v>
      </c>
      <c r="H296" s="7" t="str">
        <f t="shared" si="93"/>
        <v>棚卸以外</v>
      </c>
      <c r="I296" s="7">
        <v>64</v>
      </c>
      <c r="J296" s="7" t="str">
        <f>"こんごう寮附属便所１号"</f>
        <v>こんごう寮附属便所１号</v>
      </c>
      <c r="K296" s="7" t="str">
        <f>"木造"</f>
        <v>木造</v>
      </c>
      <c r="L296" s="7" t="str">
        <f>"S44.03.28"</f>
        <v>S44.03.28</v>
      </c>
      <c r="M296" s="7">
        <v>1.5</v>
      </c>
      <c r="N296" s="7">
        <v>70500</v>
      </c>
      <c r="O296" s="7">
        <v>70499</v>
      </c>
      <c r="P296" s="7">
        <v>0</v>
      </c>
      <c r="Q296" s="7" t="str">
        <f t="shared" si="95"/>
        <v>福祉部</v>
      </c>
      <c r="R296" s="7" t="str">
        <f t="shared" si="100"/>
        <v>砂川厚生福祉センター</v>
      </c>
    </row>
    <row r="297" spans="1:18" s="1" customFormat="1" x14ac:dyDescent="0.45">
      <c r="A297" s="7" t="str">
        <f t="shared" si="97"/>
        <v>03276000000</v>
      </c>
      <c r="B297" s="7" t="str">
        <f t="shared" si="98"/>
        <v>砂川厚生福祉センター</v>
      </c>
      <c r="C297" s="7" t="str">
        <f t="shared" si="94"/>
        <v>行政財産</v>
      </c>
      <c r="D297" s="7" t="str">
        <f t="shared" si="96"/>
        <v>その他（公共用）の施設</v>
      </c>
      <c r="E297" s="7" t="str">
        <f t="shared" si="99"/>
        <v>大阪府泉南市馬場３丁目</v>
      </c>
      <c r="F297" s="7"/>
      <c r="G297" s="7" t="str">
        <f t="shared" si="92"/>
        <v>事業用資産</v>
      </c>
      <c r="H297" s="7" t="str">
        <f t="shared" si="93"/>
        <v>棚卸以外</v>
      </c>
      <c r="I297" s="7">
        <v>65</v>
      </c>
      <c r="J297" s="7" t="str">
        <f>"こんごう寮附属便所２号"</f>
        <v>こんごう寮附属便所２号</v>
      </c>
      <c r="K297" s="7" t="str">
        <f>"木造"</f>
        <v>木造</v>
      </c>
      <c r="L297" s="7" t="str">
        <f>"S44.03.28"</f>
        <v>S44.03.28</v>
      </c>
      <c r="M297" s="7">
        <v>1.5</v>
      </c>
      <c r="N297" s="7">
        <v>70500</v>
      </c>
      <c r="O297" s="7">
        <v>70499</v>
      </c>
      <c r="P297" s="7">
        <v>0</v>
      </c>
      <c r="Q297" s="7" t="str">
        <f t="shared" si="95"/>
        <v>福祉部</v>
      </c>
      <c r="R297" s="7" t="str">
        <f t="shared" si="100"/>
        <v>砂川厚生福祉センター</v>
      </c>
    </row>
    <row r="298" spans="1:18" s="1" customFormat="1" x14ac:dyDescent="0.45">
      <c r="A298" s="7" t="str">
        <f t="shared" si="97"/>
        <v>03276000000</v>
      </c>
      <c r="B298" s="7" t="str">
        <f t="shared" si="98"/>
        <v>砂川厚生福祉センター</v>
      </c>
      <c r="C298" s="7" t="str">
        <f t="shared" si="94"/>
        <v>行政財産</v>
      </c>
      <c r="D298" s="7" t="str">
        <f t="shared" si="96"/>
        <v>その他（公共用）の施設</v>
      </c>
      <c r="E298" s="7" t="str">
        <f t="shared" si="99"/>
        <v>大阪府泉南市馬場３丁目</v>
      </c>
      <c r="F298" s="7"/>
      <c r="G298" s="7" t="str">
        <f t="shared" si="92"/>
        <v>事業用資産</v>
      </c>
      <c r="H298" s="7" t="str">
        <f t="shared" si="93"/>
        <v>棚卸以外</v>
      </c>
      <c r="I298" s="7">
        <v>66</v>
      </c>
      <c r="J298" s="7" t="str">
        <f>"かつらぎ寮浴場"</f>
        <v>かつらぎ寮浴場</v>
      </c>
      <c r="K298" s="7" t="str">
        <f>"レンガ、石積造"</f>
        <v>レンガ、石積造</v>
      </c>
      <c r="L298" s="7" t="str">
        <f>"S44.03.28"</f>
        <v>S44.03.28</v>
      </c>
      <c r="M298" s="7">
        <v>7.68</v>
      </c>
      <c r="N298" s="7">
        <v>774000</v>
      </c>
      <c r="O298" s="7">
        <v>773999</v>
      </c>
      <c r="P298" s="7">
        <v>0</v>
      </c>
      <c r="Q298" s="7" t="str">
        <f t="shared" si="95"/>
        <v>福祉部</v>
      </c>
      <c r="R298" s="7" t="str">
        <f t="shared" si="100"/>
        <v>砂川厚生福祉センター</v>
      </c>
    </row>
    <row r="299" spans="1:18" s="1" customFormat="1" x14ac:dyDescent="0.45">
      <c r="A299" s="7" t="str">
        <f t="shared" si="97"/>
        <v>03276000000</v>
      </c>
      <c r="B299" s="7" t="str">
        <f t="shared" si="98"/>
        <v>砂川厚生福祉センター</v>
      </c>
      <c r="C299" s="7" t="str">
        <f t="shared" si="94"/>
        <v>行政財産</v>
      </c>
      <c r="D299" s="7" t="str">
        <f t="shared" si="96"/>
        <v>その他（公共用）の施設</v>
      </c>
      <c r="E299" s="7" t="str">
        <f t="shared" si="99"/>
        <v>大阪府泉南市馬場３丁目</v>
      </c>
      <c r="F299" s="7"/>
      <c r="G299" s="7" t="str">
        <f t="shared" si="92"/>
        <v>事業用資産</v>
      </c>
      <c r="H299" s="7" t="str">
        <f t="shared" si="93"/>
        <v>棚卸以外</v>
      </c>
      <c r="I299" s="7">
        <v>68</v>
      </c>
      <c r="J299" s="7" t="str">
        <f>"精神薄弱者指導棟"</f>
        <v>精神薄弱者指導棟</v>
      </c>
      <c r="K299" s="7" t="str">
        <f>"コンクリートブロック造"</f>
        <v>コンクリートブロック造</v>
      </c>
      <c r="L299" s="7" t="str">
        <f>"S44.03.28"</f>
        <v>S44.03.28</v>
      </c>
      <c r="M299" s="7">
        <v>237.3</v>
      </c>
      <c r="N299" s="7">
        <v>7615416</v>
      </c>
      <c r="O299" s="7">
        <v>7615415</v>
      </c>
      <c r="P299" s="7">
        <v>0</v>
      </c>
      <c r="Q299" s="7" t="str">
        <f t="shared" si="95"/>
        <v>福祉部</v>
      </c>
      <c r="R299" s="7" t="str">
        <f t="shared" si="100"/>
        <v>砂川厚生福祉センター</v>
      </c>
    </row>
    <row r="300" spans="1:18" s="1" customFormat="1" x14ac:dyDescent="0.45">
      <c r="A300" s="7" t="str">
        <f t="shared" si="97"/>
        <v>03276000000</v>
      </c>
      <c r="B300" s="7" t="str">
        <f t="shared" si="98"/>
        <v>砂川厚生福祉センター</v>
      </c>
      <c r="C300" s="7" t="str">
        <f t="shared" si="94"/>
        <v>行政財産</v>
      </c>
      <c r="D300" s="7" t="str">
        <f t="shared" si="96"/>
        <v>その他（公共用）の施設</v>
      </c>
      <c r="E300" s="7" t="str">
        <f t="shared" si="99"/>
        <v>大阪府泉南市馬場３丁目</v>
      </c>
      <c r="F300" s="7"/>
      <c r="G300" s="7" t="str">
        <f t="shared" si="92"/>
        <v>事業用資産</v>
      </c>
      <c r="H300" s="7" t="str">
        <f t="shared" si="93"/>
        <v>棚卸以外</v>
      </c>
      <c r="I300" s="7">
        <v>82</v>
      </c>
      <c r="J300" s="7" t="str">
        <f>"管理棟"</f>
        <v>管理棟</v>
      </c>
      <c r="K300" s="7" t="str">
        <f>"鉄筋コンクリート造"</f>
        <v>鉄筋コンクリート造</v>
      </c>
      <c r="L300" s="7" t="str">
        <f>"S45.03.28"</f>
        <v>S45.03.28</v>
      </c>
      <c r="M300" s="7">
        <v>708.23</v>
      </c>
      <c r="N300" s="7">
        <v>37310813</v>
      </c>
      <c r="O300" s="7">
        <v>34633551</v>
      </c>
      <c r="P300" s="7">
        <v>0</v>
      </c>
      <c r="Q300" s="7" t="str">
        <f t="shared" si="95"/>
        <v>福祉部</v>
      </c>
      <c r="R300" s="7" t="str">
        <f t="shared" si="100"/>
        <v>砂川厚生福祉センター</v>
      </c>
    </row>
    <row r="301" spans="1:18" s="1" customFormat="1" x14ac:dyDescent="0.45">
      <c r="A301" s="7" t="str">
        <f t="shared" si="97"/>
        <v>03276000000</v>
      </c>
      <c r="B301" s="7" t="str">
        <f t="shared" si="98"/>
        <v>砂川厚生福祉センター</v>
      </c>
      <c r="C301" s="7" t="str">
        <f t="shared" si="94"/>
        <v>行政財産</v>
      </c>
      <c r="D301" s="7" t="str">
        <f t="shared" si="96"/>
        <v>その他（公共用）の施設</v>
      </c>
      <c r="E301" s="7" t="str">
        <f t="shared" si="99"/>
        <v>大阪府泉南市馬場３丁目</v>
      </c>
      <c r="F301" s="7"/>
      <c r="G301" s="7" t="str">
        <f t="shared" si="92"/>
        <v>事業用資産</v>
      </c>
      <c r="H301" s="7" t="str">
        <f t="shared" si="93"/>
        <v>棚卸以外</v>
      </c>
      <c r="I301" s="7">
        <v>84</v>
      </c>
      <c r="J301" s="7" t="str">
        <f>"こんごう寮作業棟"</f>
        <v>こんごう寮作業棟</v>
      </c>
      <c r="K301" s="7" t="str">
        <f>"コンクリートブロック造"</f>
        <v>コンクリートブロック造</v>
      </c>
      <c r="L301" s="7" t="str">
        <f>"S46.03.28"</f>
        <v>S46.03.28</v>
      </c>
      <c r="M301" s="7">
        <v>425.85</v>
      </c>
      <c r="N301" s="7">
        <v>16214000</v>
      </c>
      <c r="O301" s="7">
        <v>16213999</v>
      </c>
      <c r="P301" s="7">
        <v>0</v>
      </c>
      <c r="Q301" s="7" t="str">
        <f t="shared" si="95"/>
        <v>福祉部</v>
      </c>
      <c r="R301" s="7" t="str">
        <f t="shared" si="100"/>
        <v>砂川厚生福祉センター</v>
      </c>
    </row>
    <row r="302" spans="1:18" s="1" customFormat="1" x14ac:dyDescent="0.45">
      <c r="A302" s="7" t="str">
        <f t="shared" si="97"/>
        <v>03276000000</v>
      </c>
      <c r="B302" s="7" t="str">
        <f t="shared" si="98"/>
        <v>砂川厚生福祉センター</v>
      </c>
      <c r="C302" s="7" t="str">
        <f t="shared" si="94"/>
        <v>行政財産</v>
      </c>
      <c r="D302" s="7" t="str">
        <f t="shared" si="96"/>
        <v>その他（公共用）の施設</v>
      </c>
      <c r="E302" s="7" t="str">
        <f t="shared" si="99"/>
        <v>大阪府泉南市馬場３丁目</v>
      </c>
      <c r="F302" s="7"/>
      <c r="G302" s="7" t="str">
        <f t="shared" si="92"/>
        <v>事業用資産</v>
      </c>
      <c r="H302" s="7" t="str">
        <f t="shared" si="93"/>
        <v>棚卸以外</v>
      </c>
      <c r="I302" s="7">
        <v>86</v>
      </c>
      <c r="J302" s="7" t="str">
        <f>"こふじ寮集会場棟"</f>
        <v>こふじ寮集会場棟</v>
      </c>
      <c r="K302" s="7" t="str">
        <f>"コンクリートブロック造"</f>
        <v>コンクリートブロック造</v>
      </c>
      <c r="L302" s="7" t="str">
        <f>"S46.03.25"</f>
        <v>S46.03.25</v>
      </c>
      <c r="M302" s="7">
        <v>148.35</v>
      </c>
      <c r="N302" s="7">
        <v>6581000</v>
      </c>
      <c r="O302" s="7">
        <v>6580999</v>
      </c>
      <c r="P302" s="7">
        <v>0</v>
      </c>
      <c r="Q302" s="7" t="str">
        <f t="shared" si="95"/>
        <v>福祉部</v>
      </c>
      <c r="R302" s="7" t="str">
        <f t="shared" si="100"/>
        <v>砂川厚生福祉センター</v>
      </c>
    </row>
    <row r="303" spans="1:18" s="1" customFormat="1" x14ac:dyDescent="0.45">
      <c r="A303" s="7" t="str">
        <f t="shared" si="97"/>
        <v>03276000000</v>
      </c>
      <c r="B303" s="7" t="str">
        <f t="shared" si="98"/>
        <v>砂川厚生福祉センター</v>
      </c>
      <c r="C303" s="7" t="str">
        <f t="shared" si="94"/>
        <v>行政財産</v>
      </c>
      <c r="D303" s="7" t="str">
        <f t="shared" si="96"/>
        <v>その他（公共用）の施設</v>
      </c>
      <c r="E303" s="7" t="str">
        <f t="shared" si="99"/>
        <v>大阪府泉南市馬場３丁目</v>
      </c>
      <c r="F303" s="7"/>
      <c r="G303" s="7" t="str">
        <f t="shared" si="92"/>
        <v>事業用資産</v>
      </c>
      <c r="H303" s="7" t="str">
        <f t="shared" si="93"/>
        <v>棚卸以外</v>
      </c>
      <c r="I303" s="7">
        <v>87</v>
      </c>
      <c r="J303" s="7" t="str">
        <f>"こふじ寮乾燥室棟"</f>
        <v>こふじ寮乾燥室棟</v>
      </c>
      <c r="K303" s="7" t="str">
        <f>"コンクリートブロック造"</f>
        <v>コンクリートブロック造</v>
      </c>
      <c r="L303" s="7" t="str">
        <f>"S46.03.25"</f>
        <v>S46.03.25</v>
      </c>
      <c r="M303" s="7">
        <v>25.12</v>
      </c>
      <c r="N303" s="7">
        <v>2591000</v>
      </c>
      <c r="O303" s="7">
        <v>2590999</v>
      </c>
      <c r="P303" s="7">
        <v>0</v>
      </c>
      <c r="Q303" s="7" t="str">
        <f t="shared" si="95"/>
        <v>福祉部</v>
      </c>
      <c r="R303" s="7" t="str">
        <f t="shared" si="100"/>
        <v>砂川厚生福祉センター</v>
      </c>
    </row>
    <row r="304" spans="1:18" s="1" customFormat="1" x14ac:dyDescent="0.45">
      <c r="A304" s="7" t="str">
        <f t="shared" si="97"/>
        <v>03276000000</v>
      </c>
      <c r="B304" s="7" t="str">
        <f t="shared" si="98"/>
        <v>砂川厚生福祉センター</v>
      </c>
      <c r="C304" s="7" t="str">
        <f t="shared" si="94"/>
        <v>行政財産</v>
      </c>
      <c r="D304" s="7" t="str">
        <f t="shared" si="96"/>
        <v>その他（公共用）の施設</v>
      </c>
      <c r="E304" s="7" t="str">
        <f t="shared" si="99"/>
        <v>大阪府泉南市馬場３丁目</v>
      </c>
      <c r="F304" s="7"/>
      <c r="G304" s="7" t="str">
        <f t="shared" si="92"/>
        <v>事業用資産</v>
      </c>
      <c r="H304" s="7" t="str">
        <f t="shared" si="93"/>
        <v>棚卸以外</v>
      </c>
      <c r="I304" s="7">
        <v>90</v>
      </c>
      <c r="J304" s="7" t="str">
        <f>"集中暖房ボイラー室"</f>
        <v>集中暖房ボイラー室</v>
      </c>
      <c r="K304" s="7" t="str">
        <f>"鉄筋コンクリート造"</f>
        <v>鉄筋コンクリート造</v>
      </c>
      <c r="L304" s="7" t="str">
        <f>"S47.03.28"</f>
        <v>S47.03.28</v>
      </c>
      <c r="M304" s="7">
        <v>199.74</v>
      </c>
      <c r="N304" s="7">
        <v>128633000</v>
      </c>
      <c r="O304" s="7">
        <v>128632999</v>
      </c>
      <c r="P304" s="7">
        <v>0</v>
      </c>
      <c r="Q304" s="7" t="str">
        <f t="shared" si="95"/>
        <v>福祉部</v>
      </c>
      <c r="R304" s="7" t="str">
        <f t="shared" si="100"/>
        <v>砂川厚生福祉センター</v>
      </c>
    </row>
    <row r="305" spans="1:18" s="1" customFormat="1" x14ac:dyDescent="0.45">
      <c r="A305" s="7" t="str">
        <f t="shared" si="97"/>
        <v>03276000000</v>
      </c>
      <c r="B305" s="7" t="str">
        <f t="shared" si="98"/>
        <v>砂川厚生福祉センター</v>
      </c>
      <c r="C305" s="7" t="str">
        <f t="shared" si="94"/>
        <v>行政財産</v>
      </c>
      <c r="D305" s="7" t="str">
        <f t="shared" si="96"/>
        <v>その他（公共用）の施設</v>
      </c>
      <c r="E305" s="7" t="str">
        <f t="shared" si="99"/>
        <v>大阪府泉南市馬場３丁目</v>
      </c>
      <c r="F305" s="7"/>
      <c r="G305" s="7" t="str">
        <f t="shared" si="92"/>
        <v>事業用資産</v>
      </c>
      <c r="H305" s="7" t="str">
        <f t="shared" si="93"/>
        <v>棚卸以外</v>
      </c>
      <c r="I305" s="7">
        <v>93</v>
      </c>
      <c r="J305" s="7" t="str">
        <f>"集中暖房ボイラー室プロパン庫"</f>
        <v>集中暖房ボイラー室プロパン庫</v>
      </c>
      <c r="K305" s="7" t="str">
        <f>"コンクリートブロック造"</f>
        <v>コンクリートブロック造</v>
      </c>
      <c r="L305" s="7" t="str">
        <f>"S47.03.28"</f>
        <v>S47.03.28</v>
      </c>
      <c r="M305" s="7">
        <v>2</v>
      </c>
      <c r="N305" s="7">
        <v>70000</v>
      </c>
      <c r="O305" s="7">
        <v>69999</v>
      </c>
      <c r="P305" s="7">
        <v>0</v>
      </c>
      <c r="Q305" s="7" t="str">
        <f t="shared" si="95"/>
        <v>福祉部</v>
      </c>
      <c r="R305" s="7" t="str">
        <f t="shared" si="100"/>
        <v>砂川厚生福祉センター</v>
      </c>
    </row>
    <row r="306" spans="1:18" s="1" customFormat="1" x14ac:dyDescent="0.45">
      <c r="A306" s="7" t="str">
        <f t="shared" si="97"/>
        <v>03276000000</v>
      </c>
      <c r="B306" s="7" t="str">
        <f t="shared" si="98"/>
        <v>砂川厚生福祉センター</v>
      </c>
      <c r="C306" s="7" t="str">
        <f t="shared" si="94"/>
        <v>行政財産</v>
      </c>
      <c r="D306" s="7" t="str">
        <f t="shared" si="96"/>
        <v>その他（公共用）の施設</v>
      </c>
      <c r="E306" s="7" t="str">
        <f t="shared" si="99"/>
        <v>大阪府泉南市馬場３丁目</v>
      </c>
      <c r="F306" s="7"/>
      <c r="G306" s="7" t="str">
        <f t="shared" si="92"/>
        <v>事業用資産</v>
      </c>
      <c r="H306" s="7" t="str">
        <f t="shared" si="93"/>
        <v>棚卸以外</v>
      </c>
      <c r="I306" s="7">
        <v>96</v>
      </c>
      <c r="J306" s="7" t="str">
        <f>"かつらぎ寮集会所"</f>
        <v>かつらぎ寮集会所</v>
      </c>
      <c r="K306" s="7" t="str">
        <f>"軽量鉄骨造"</f>
        <v>軽量鉄骨造</v>
      </c>
      <c r="L306" s="7" t="str">
        <f>"S49.06.29"</f>
        <v>S49.06.29</v>
      </c>
      <c r="M306" s="7">
        <v>139.32</v>
      </c>
      <c r="N306" s="7">
        <v>16166000</v>
      </c>
      <c r="O306" s="7">
        <v>16165999</v>
      </c>
      <c r="P306" s="7">
        <v>0</v>
      </c>
      <c r="Q306" s="7" t="str">
        <f t="shared" si="95"/>
        <v>福祉部</v>
      </c>
      <c r="R306" s="7" t="str">
        <f t="shared" si="100"/>
        <v>砂川厚生福祉センター</v>
      </c>
    </row>
    <row r="307" spans="1:18" s="1" customFormat="1" x14ac:dyDescent="0.45">
      <c r="A307" s="7" t="str">
        <f t="shared" si="97"/>
        <v>03276000000</v>
      </c>
      <c r="B307" s="7" t="str">
        <f t="shared" si="98"/>
        <v>砂川厚生福祉センター</v>
      </c>
      <c r="C307" s="7" t="str">
        <f t="shared" ref="C307:C333" si="101">"行政財産"</f>
        <v>行政財産</v>
      </c>
      <c r="D307" s="7" t="str">
        <f t="shared" si="96"/>
        <v>その他（公共用）の施設</v>
      </c>
      <c r="E307" s="7" t="str">
        <f t="shared" si="99"/>
        <v>大阪府泉南市馬場３丁目</v>
      </c>
      <c r="F307" s="7"/>
      <c r="G307" s="7" t="str">
        <f t="shared" si="92"/>
        <v>事業用資産</v>
      </c>
      <c r="H307" s="7" t="str">
        <f t="shared" si="93"/>
        <v>棚卸以外</v>
      </c>
      <c r="I307" s="7">
        <v>97</v>
      </c>
      <c r="J307" s="7" t="str">
        <f>"かつらぎ寮ボイラー室"</f>
        <v>かつらぎ寮ボイラー室</v>
      </c>
      <c r="K307" s="7" t="str">
        <f>"レンガ、石積造"</f>
        <v>レンガ、石積造</v>
      </c>
      <c r="L307" s="7" t="str">
        <f>"S49.06.29"</f>
        <v>S49.06.29</v>
      </c>
      <c r="M307" s="7">
        <v>12.66</v>
      </c>
      <c r="N307" s="7">
        <v>782000</v>
      </c>
      <c r="O307" s="7">
        <v>781999</v>
      </c>
      <c r="P307" s="7">
        <v>0</v>
      </c>
      <c r="Q307" s="7" t="str">
        <f t="shared" ref="Q307:Q339" si="102">"福祉部"</f>
        <v>福祉部</v>
      </c>
      <c r="R307" s="7" t="str">
        <f t="shared" si="100"/>
        <v>砂川厚生福祉センター</v>
      </c>
    </row>
    <row r="308" spans="1:18" s="1" customFormat="1" x14ac:dyDescent="0.45">
      <c r="A308" s="7" t="str">
        <f t="shared" si="97"/>
        <v>03276000000</v>
      </c>
      <c r="B308" s="7" t="str">
        <f t="shared" si="98"/>
        <v>砂川厚生福祉センター</v>
      </c>
      <c r="C308" s="7" t="str">
        <f t="shared" si="101"/>
        <v>行政財産</v>
      </c>
      <c r="D308" s="7" t="str">
        <f t="shared" si="96"/>
        <v>その他（公共用）の施設</v>
      </c>
      <c r="E308" s="7" t="str">
        <f t="shared" si="99"/>
        <v>大阪府泉南市馬場３丁目</v>
      </c>
      <c r="F308" s="7"/>
      <c r="G308" s="7" t="str">
        <f t="shared" si="92"/>
        <v>事業用資産</v>
      </c>
      <c r="H308" s="7" t="str">
        <f t="shared" si="93"/>
        <v>棚卸以外</v>
      </c>
      <c r="I308" s="7">
        <v>98</v>
      </c>
      <c r="J308" s="7" t="str">
        <f>"プール更衣室"</f>
        <v>プール更衣室</v>
      </c>
      <c r="K308" s="7" t="str">
        <f>"鉄筋コンクリート造"</f>
        <v>鉄筋コンクリート造</v>
      </c>
      <c r="L308" s="7" t="str">
        <f>"S49.08.31"</f>
        <v>S49.08.31</v>
      </c>
      <c r="M308" s="7">
        <v>30.25</v>
      </c>
      <c r="N308" s="7">
        <v>4167000</v>
      </c>
      <c r="O308" s="7">
        <v>4166999</v>
      </c>
      <c r="P308" s="7">
        <v>0</v>
      </c>
      <c r="Q308" s="7" t="str">
        <f t="shared" si="102"/>
        <v>福祉部</v>
      </c>
      <c r="R308" s="7" t="str">
        <f t="shared" si="100"/>
        <v>砂川厚生福祉センター</v>
      </c>
    </row>
    <row r="309" spans="1:18" s="1" customFormat="1" x14ac:dyDescent="0.45">
      <c r="A309" s="7" t="str">
        <f t="shared" si="97"/>
        <v>03276000000</v>
      </c>
      <c r="B309" s="7" t="str">
        <f t="shared" si="98"/>
        <v>砂川厚生福祉センター</v>
      </c>
      <c r="C309" s="7" t="str">
        <f t="shared" si="101"/>
        <v>行政財産</v>
      </c>
      <c r="D309" s="7" t="str">
        <f t="shared" si="96"/>
        <v>その他（公共用）の施設</v>
      </c>
      <c r="E309" s="7" t="str">
        <f t="shared" si="99"/>
        <v>大阪府泉南市馬場３丁目</v>
      </c>
      <c r="F309" s="7"/>
      <c r="G309" s="7" t="str">
        <f t="shared" si="92"/>
        <v>事業用資産</v>
      </c>
      <c r="H309" s="7" t="str">
        <f t="shared" si="93"/>
        <v>棚卸以外</v>
      </c>
      <c r="I309" s="7">
        <v>99</v>
      </c>
      <c r="J309" s="7" t="str">
        <f>"かつらぎ寮ポンプ室"</f>
        <v>かつらぎ寮ポンプ室</v>
      </c>
      <c r="K309" s="7" t="str">
        <f>"鉄筋コンクリート造"</f>
        <v>鉄筋コンクリート造</v>
      </c>
      <c r="L309" s="7" t="str">
        <f>"S50.03.31"</f>
        <v>S50.03.31</v>
      </c>
      <c r="M309" s="7">
        <v>4.75</v>
      </c>
      <c r="N309" s="7">
        <v>2410000</v>
      </c>
      <c r="O309" s="7">
        <v>2409999</v>
      </c>
      <c r="P309" s="7">
        <v>0</v>
      </c>
      <c r="Q309" s="7" t="str">
        <f t="shared" si="102"/>
        <v>福祉部</v>
      </c>
      <c r="R309" s="7" t="str">
        <f t="shared" si="100"/>
        <v>砂川厚生福祉センター</v>
      </c>
    </row>
    <row r="310" spans="1:18" s="1" customFormat="1" x14ac:dyDescent="0.45">
      <c r="A310" s="7" t="str">
        <f t="shared" si="97"/>
        <v>03276000000</v>
      </c>
      <c r="B310" s="7" t="str">
        <f t="shared" si="98"/>
        <v>砂川厚生福祉センター</v>
      </c>
      <c r="C310" s="7" t="str">
        <f t="shared" si="101"/>
        <v>行政財産</v>
      </c>
      <c r="D310" s="7" t="str">
        <f t="shared" ref="D310:D333" si="103">"その他（公共用）の施設"</f>
        <v>その他（公共用）の施設</v>
      </c>
      <c r="E310" s="7" t="str">
        <f t="shared" si="99"/>
        <v>大阪府泉南市馬場３丁目</v>
      </c>
      <c r="F310" s="7"/>
      <c r="G310" s="7" t="str">
        <f t="shared" si="92"/>
        <v>事業用資産</v>
      </c>
      <c r="H310" s="7" t="str">
        <f t="shared" si="93"/>
        <v>棚卸以外</v>
      </c>
      <c r="I310" s="7">
        <v>100</v>
      </c>
      <c r="J310" s="7" t="str">
        <f>"バス車庫"</f>
        <v>バス車庫</v>
      </c>
      <c r="K310" s="7" t="str">
        <f>"コンクリートブロック造"</f>
        <v>コンクリートブロック造</v>
      </c>
      <c r="L310" s="7" t="str">
        <f>"S50.03.31"</f>
        <v>S50.03.31</v>
      </c>
      <c r="M310" s="7">
        <v>40</v>
      </c>
      <c r="N310" s="7">
        <v>2700000</v>
      </c>
      <c r="O310" s="7">
        <v>2699999</v>
      </c>
      <c r="P310" s="7">
        <v>0</v>
      </c>
      <c r="Q310" s="7" t="str">
        <f t="shared" si="102"/>
        <v>福祉部</v>
      </c>
      <c r="R310" s="7" t="str">
        <f t="shared" si="100"/>
        <v>砂川厚生福祉センター</v>
      </c>
    </row>
    <row r="311" spans="1:18" s="1" customFormat="1" x14ac:dyDescent="0.45">
      <c r="A311" s="7" t="str">
        <f t="shared" si="97"/>
        <v>03276000000</v>
      </c>
      <c r="B311" s="7" t="str">
        <f t="shared" si="98"/>
        <v>砂川厚生福祉センター</v>
      </c>
      <c r="C311" s="7" t="str">
        <f t="shared" si="101"/>
        <v>行政財産</v>
      </c>
      <c r="D311" s="7" t="str">
        <f t="shared" si="103"/>
        <v>その他（公共用）の施設</v>
      </c>
      <c r="E311" s="7" t="str">
        <f t="shared" si="99"/>
        <v>大阪府泉南市馬場３丁目</v>
      </c>
      <c r="F311" s="7"/>
      <c r="G311" s="7" t="str">
        <f t="shared" si="92"/>
        <v>事業用資産</v>
      </c>
      <c r="H311" s="7" t="str">
        <f t="shared" si="93"/>
        <v>棚卸以外</v>
      </c>
      <c r="I311" s="7">
        <v>101</v>
      </c>
      <c r="J311" s="7" t="str">
        <f>"簡易車庫"</f>
        <v>簡易車庫</v>
      </c>
      <c r="K311" s="7" t="str">
        <f>"軽量鉄骨造"</f>
        <v>軽量鉄骨造</v>
      </c>
      <c r="L311" s="7" t="str">
        <f>"S51.03.31"</f>
        <v>S51.03.31</v>
      </c>
      <c r="M311" s="7">
        <v>20.58</v>
      </c>
      <c r="N311" s="7">
        <v>500000</v>
      </c>
      <c r="O311" s="7">
        <v>499999</v>
      </c>
      <c r="P311" s="7">
        <v>0</v>
      </c>
      <c r="Q311" s="7" t="str">
        <f t="shared" si="102"/>
        <v>福祉部</v>
      </c>
      <c r="R311" s="7" t="str">
        <f t="shared" si="100"/>
        <v>砂川厚生福祉センター</v>
      </c>
    </row>
    <row r="312" spans="1:18" s="1" customFormat="1" x14ac:dyDescent="0.45">
      <c r="A312" s="7" t="str">
        <f t="shared" ref="A312:A333" si="104">"03276000000"</f>
        <v>03276000000</v>
      </c>
      <c r="B312" s="7" t="str">
        <f t="shared" ref="B312:B333" si="105">"砂川厚生福祉センター"</f>
        <v>砂川厚生福祉センター</v>
      </c>
      <c r="C312" s="7" t="str">
        <f t="shared" si="101"/>
        <v>行政財産</v>
      </c>
      <c r="D312" s="7" t="str">
        <f t="shared" si="103"/>
        <v>その他（公共用）の施設</v>
      </c>
      <c r="E312" s="7" t="str">
        <f t="shared" ref="E312:E335" si="106">"大阪府泉南市馬場３丁目"</f>
        <v>大阪府泉南市馬場３丁目</v>
      </c>
      <c r="F312" s="7"/>
      <c r="G312" s="7" t="str">
        <f t="shared" si="92"/>
        <v>事業用資産</v>
      </c>
      <c r="H312" s="7" t="str">
        <f t="shared" si="93"/>
        <v>棚卸以外</v>
      </c>
      <c r="I312" s="7">
        <v>102</v>
      </c>
      <c r="J312" s="7" t="str">
        <f>"こふじ寮倉庫"</f>
        <v>こふじ寮倉庫</v>
      </c>
      <c r="K312" s="7" t="str">
        <f>"コンクリートブロック造"</f>
        <v>コンクリートブロック造</v>
      </c>
      <c r="L312" s="7" t="str">
        <f>"S51.03.31"</f>
        <v>S51.03.31</v>
      </c>
      <c r="M312" s="7">
        <v>90</v>
      </c>
      <c r="N312" s="7">
        <v>6500000</v>
      </c>
      <c r="O312" s="7">
        <v>6499999</v>
      </c>
      <c r="P312" s="7">
        <v>0</v>
      </c>
      <c r="Q312" s="7" t="str">
        <f t="shared" si="102"/>
        <v>福祉部</v>
      </c>
      <c r="R312" s="7" t="str">
        <f t="shared" ref="R312:R335" si="107">"砂川厚生福祉センター"</f>
        <v>砂川厚生福祉センター</v>
      </c>
    </row>
    <row r="313" spans="1:18" s="1" customFormat="1" x14ac:dyDescent="0.45">
      <c r="A313" s="7" t="str">
        <f t="shared" si="104"/>
        <v>03276000000</v>
      </c>
      <c r="B313" s="7" t="str">
        <f t="shared" si="105"/>
        <v>砂川厚生福祉センター</v>
      </c>
      <c r="C313" s="7" t="str">
        <f t="shared" si="101"/>
        <v>行政財産</v>
      </c>
      <c r="D313" s="7" t="str">
        <f t="shared" si="103"/>
        <v>その他（公共用）の施設</v>
      </c>
      <c r="E313" s="7" t="str">
        <f t="shared" si="106"/>
        <v>大阪府泉南市馬場３丁目</v>
      </c>
      <c r="F313" s="7"/>
      <c r="G313" s="7" t="str">
        <f t="shared" si="92"/>
        <v>事業用資産</v>
      </c>
      <c r="H313" s="7" t="str">
        <f t="shared" si="93"/>
        <v>棚卸以外</v>
      </c>
      <c r="I313" s="7">
        <v>103</v>
      </c>
      <c r="J313" s="7" t="str">
        <f>"あたご寮本館"</f>
        <v>あたご寮本館</v>
      </c>
      <c r="K313" s="7" t="str">
        <f>"鉄筋コンクリート造"</f>
        <v>鉄筋コンクリート造</v>
      </c>
      <c r="L313" s="7" t="str">
        <f>"S57.03.26"</f>
        <v>S57.03.26</v>
      </c>
      <c r="M313" s="7">
        <v>1705.2</v>
      </c>
      <c r="N313" s="7">
        <v>392578000</v>
      </c>
      <c r="O313" s="7">
        <v>342462012</v>
      </c>
      <c r="P313" s="7">
        <v>0</v>
      </c>
      <c r="Q313" s="7" t="str">
        <f t="shared" si="102"/>
        <v>福祉部</v>
      </c>
      <c r="R313" s="7" t="str">
        <f t="shared" si="107"/>
        <v>砂川厚生福祉センター</v>
      </c>
    </row>
    <row r="314" spans="1:18" s="1" customFormat="1" x14ac:dyDescent="0.45">
      <c r="A314" s="7" t="str">
        <f t="shared" si="104"/>
        <v>03276000000</v>
      </c>
      <c r="B314" s="7" t="str">
        <f t="shared" si="105"/>
        <v>砂川厚生福祉センター</v>
      </c>
      <c r="C314" s="7" t="str">
        <f t="shared" si="101"/>
        <v>行政財産</v>
      </c>
      <c r="D314" s="7" t="str">
        <f t="shared" si="103"/>
        <v>その他（公共用）の施設</v>
      </c>
      <c r="E314" s="7" t="str">
        <f t="shared" si="106"/>
        <v>大阪府泉南市馬場３丁目</v>
      </c>
      <c r="F314" s="7"/>
      <c r="G314" s="7" t="str">
        <f t="shared" si="92"/>
        <v>事業用資産</v>
      </c>
      <c r="H314" s="7" t="str">
        <f t="shared" si="93"/>
        <v>棚卸以外</v>
      </c>
      <c r="I314" s="7">
        <v>104</v>
      </c>
      <c r="J314" s="7" t="str">
        <f>"つばさ（旧あたご寮）作業棟"</f>
        <v>つばさ（旧あたご寮）作業棟</v>
      </c>
      <c r="K314" s="7" t="str">
        <f>"鉄骨造"</f>
        <v>鉄骨造</v>
      </c>
      <c r="L314" s="7" t="str">
        <f>"S57.03.11"</f>
        <v>S57.03.11</v>
      </c>
      <c r="M314" s="7">
        <v>348.7</v>
      </c>
      <c r="N314" s="7">
        <v>36694000</v>
      </c>
      <c r="O314" s="7">
        <v>36693999</v>
      </c>
      <c r="P314" s="7">
        <v>0</v>
      </c>
      <c r="Q314" s="7" t="str">
        <f t="shared" si="102"/>
        <v>福祉部</v>
      </c>
      <c r="R314" s="7" t="str">
        <f t="shared" si="107"/>
        <v>砂川厚生福祉センター</v>
      </c>
    </row>
    <row r="315" spans="1:18" s="1" customFormat="1" x14ac:dyDescent="0.45">
      <c r="A315" s="7" t="str">
        <f t="shared" si="104"/>
        <v>03276000000</v>
      </c>
      <c r="B315" s="7" t="str">
        <f t="shared" si="105"/>
        <v>砂川厚生福祉センター</v>
      </c>
      <c r="C315" s="7" t="str">
        <f t="shared" si="101"/>
        <v>行政財産</v>
      </c>
      <c r="D315" s="7" t="str">
        <f t="shared" si="103"/>
        <v>その他（公共用）の施設</v>
      </c>
      <c r="E315" s="7" t="str">
        <f t="shared" si="106"/>
        <v>大阪府泉南市馬場３丁目</v>
      </c>
      <c r="F315" s="7"/>
      <c r="G315" s="7" t="str">
        <f t="shared" si="92"/>
        <v>事業用資産</v>
      </c>
      <c r="H315" s="7" t="str">
        <f t="shared" si="93"/>
        <v>棚卸以外</v>
      </c>
      <c r="I315" s="7">
        <v>105</v>
      </c>
      <c r="J315" s="7" t="str">
        <f>"あたご寮プロパンボンベ庫"</f>
        <v>あたご寮プロパンボンベ庫</v>
      </c>
      <c r="K315" s="7" t="str">
        <f>"鉄筋コンクリート造"</f>
        <v>鉄筋コンクリート造</v>
      </c>
      <c r="L315" s="7" t="str">
        <f>"S57.03.26"</f>
        <v>S57.03.26</v>
      </c>
      <c r="M315" s="7">
        <v>12.6</v>
      </c>
      <c r="N315" s="7">
        <v>1401000</v>
      </c>
      <c r="O315" s="7">
        <v>1400999</v>
      </c>
      <c r="P315" s="7">
        <v>0</v>
      </c>
      <c r="Q315" s="7" t="str">
        <f t="shared" si="102"/>
        <v>福祉部</v>
      </c>
      <c r="R315" s="7" t="str">
        <f t="shared" si="107"/>
        <v>砂川厚生福祉センター</v>
      </c>
    </row>
    <row r="316" spans="1:18" s="1" customFormat="1" x14ac:dyDescent="0.45">
      <c r="A316" s="7" t="str">
        <f t="shared" si="104"/>
        <v>03276000000</v>
      </c>
      <c r="B316" s="7" t="str">
        <f t="shared" si="105"/>
        <v>砂川厚生福祉センター</v>
      </c>
      <c r="C316" s="7" t="str">
        <f t="shared" si="101"/>
        <v>行政財産</v>
      </c>
      <c r="D316" s="7" t="str">
        <f t="shared" si="103"/>
        <v>その他（公共用）の施設</v>
      </c>
      <c r="E316" s="7" t="str">
        <f t="shared" si="106"/>
        <v>大阪府泉南市馬場３丁目</v>
      </c>
      <c r="F316" s="7"/>
      <c r="G316" s="7" t="str">
        <f t="shared" si="92"/>
        <v>事業用資産</v>
      </c>
      <c r="H316" s="7" t="str">
        <f t="shared" si="93"/>
        <v>棚卸以外</v>
      </c>
      <c r="I316" s="7">
        <v>106</v>
      </c>
      <c r="J316" s="7" t="str">
        <f>"あたご寮ポンプ室"</f>
        <v>あたご寮ポンプ室</v>
      </c>
      <c r="K316" s="7" t="str">
        <f>"鉄筋コンクリート造"</f>
        <v>鉄筋コンクリート造</v>
      </c>
      <c r="L316" s="7" t="str">
        <f>"S57.03.26"</f>
        <v>S57.03.26</v>
      </c>
      <c r="M316" s="7">
        <v>6</v>
      </c>
      <c r="N316" s="7">
        <v>2088000</v>
      </c>
      <c r="O316" s="7">
        <v>2087999</v>
      </c>
      <c r="P316" s="7">
        <v>0</v>
      </c>
      <c r="Q316" s="7" t="str">
        <f t="shared" si="102"/>
        <v>福祉部</v>
      </c>
      <c r="R316" s="7" t="str">
        <f t="shared" si="107"/>
        <v>砂川厚生福祉センター</v>
      </c>
    </row>
    <row r="317" spans="1:18" s="1" customFormat="1" x14ac:dyDescent="0.45">
      <c r="A317" s="7" t="str">
        <f t="shared" si="104"/>
        <v>03276000000</v>
      </c>
      <c r="B317" s="7" t="str">
        <f t="shared" si="105"/>
        <v>砂川厚生福祉センター</v>
      </c>
      <c r="C317" s="7" t="str">
        <f t="shared" si="101"/>
        <v>行政財産</v>
      </c>
      <c r="D317" s="7" t="str">
        <f t="shared" si="103"/>
        <v>その他（公共用）の施設</v>
      </c>
      <c r="E317" s="7" t="str">
        <f t="shared" si="106"/>
        <v>大阪府泉南市馬場３丁目</v>
      </c>
      <c r="F317" s="7"/>
      <c r="G317" s="7" t="str">
        <f t="shared" si="92"/>
        <v>事業用資産</v>
      </c>
      <c r="H317" s="7" t="str">
        <f t="shared" si="93"/>
        <v>棚卸以外</v>
      </c>
      <c r="I317" s="7">
        <v>107</v>
      </c>
      <c r="J317" s="7" t="str">
        <f>"あたご寮汚水処理場機械室"</f>
        <v>あたご寮汚水処理場機械室</v>
      </c>
      <c r="K317" s="7" t="str">
        <f>"鉄筋コンクリート造"</f>
        <v>鉄筋コンクリート造</v>
      </c>
      <c r="L317" s="7" t="str">
        <f>"S57.03.26"</f>
        <v>S57.03.26</v>
      </c>
      <c r="M317" s="7">
        <v>9.8000000000000007</v>
      </c>
      <c r="N317" s="7">
        <v>4300000</v>
      </c>
      <c r="O317" s="7">
        <v>4299999</v>
      </c>
      <c r="P317" s="7">
        <v>0</v>
      </c>
      <c r="Q317" s="7" t="str">
        <f t="shared" si="102"/>
        <v>福祉部</v>
      </c>
      <c r="R317" s="7" t="str">
        <f t="shared" si="107"/>
        <v>砂川厚生福祉センター</v>
      </c>
    </row>
    <row r="318" spans="1:18" s="1" customFormat="1" x14ac:dyDescent="0.45">
      <c r="A318" s="7" t="str">
        <f t="shared" si="104"/>
        <v>03276000000</v>
      </c>
      <c r="B318" s="7" t="str">
        <f t="shared" si="105"/>
        <v>砂川厚生福祉センター</v>
      </c>
      <c r="C318" s="7" t="str">
        <f t="shared" si="101"/>
        <v>行政財産</v>
      </c>
      <c r="D318" s="7" t="str">
        <f t="shared" si="103"/>
        <v>その他（公共用）の施設</v>
      </c>
      <c r="E318" s="7" t="str">
        <f t="shared" si="106"/>
        <v>大阪府泉南市馬場３丁目</v>
      </c>
      <c r="F318" s="7"/>
      <c r="G318" s="7" t="str">
        <f t="shared" si="92"/>
        <v>事業用資産</v>
      </c>
      <c r="H318" s="7" t="str">
        <f t="shared" si="93"/>
        <v>棚卸以外</v>
      </c>
      <c r="I318" s="7">
        <v>110</v>
      </c>
      <c r="J318" s="7" t="str">
        <f>"給食センター"</f>
        <v>給食センター</v>
      </c>
      <c r="K318" s="7" t="str">
        <f>"鉄筋コンクリート造"</f>
        <v>鉄筋コンクリート造</v>
      </c>
      <c r="L318" s="7" t="str">
        <f>"H04.09.30"</f>
        <v>H04.09.30</v>
      </c>
      <c r="M318" s="7">
        <v>549</v>
      </c>
      <c r="N318" s="7">
        <v>225987600</v>
      </c>
      <c r="O318" s="7">
        <v>166948266</v>
      </c>
      <c r="P318" s="7">
        <v>0</v>
      </c>
      <c r="Q318" s="7" t="str">
        <f t="shared" si="102"/>
        <v>福祉部</v>
      </c>
      <c r="R318" s="7" t="str">
        <f t="shared" si="107"/>
        <v>砂川厚生福祉センター</v>
      </c>
    </row>
    <row r="319" spans="1:18" s="1" customFormat="1" x14ac:dyDescent="0.45">
      <c r="A319" s="7" t="str">
        <f t="shared" si="104"/>
        <v>03276000000</v>
      </c>
      <c r="B319" s="7" t="str">
        <f t="shared" si="105"/>
        <v>砂川厚生福祉センター</v>
      </c>
      <c r="C319" s="7" t="str">
        <f t="shared" si="101"/>
        <v>行政財産</v>
      </c>
      <c r="D319" s="7" t="str">
        <f t="shared" si="103"/>
        <v>その他（公共用）の施設</v>
      </c>
      <c r="E319" s="7" t="str">
        <f t="shared" si="106"/>
        <v>大阪府泉南市馬場３丁目</v>
      </c>
      <c r="F319" s="7"/>
      <c r="G319" s="7" t="str">
        <f t="shared" si="92"/>
        <v>事業用資産</v>
      </c>
      <c r="H319" s="7" t="str">
        <f t="shared" si="93"/>
        <v>棚卸以外</v>
      </c>
      <c r="I319" s="7">
        <v>111</v>
      </c>
      <c r="J319" s="7" t="str">
        <f>"給食センターボンベ庫"</f>
        <v>給食センターボンベ庫</v>
      </c>
      <c r="K319" s="7" t="str">
        <f>"コンクリートブロック造"</f>
        <v>コンクリートブロック造</v>
      </c>
      <c r="L319" s="7" t="str">
        <f>"H04.09.30"</f>
        <v>H04.09.30</v>
      </c>
      <c r="M319" s="7">
        <v>17.059999999999999</v>
      </c>
      <c r="N319" s="7">
        <v>1200000</v>
      </c>
      <c r="O319" s="7">
        <v>1076772</v>
      </c>
      <c r="P319" s="7">
        <v>0</v>
      </c>
      <c r="Q319" s="7" t="str">
        <f t="shared" si="102"/>
        <v>福祉部</v>
      </c>
      <c r="R319" s="7" t="str">
        <f t="shared" si="107"/>
        <v>砂川厚生福祉センター</v>
      </c>
    </row>
    <row r="320" spans="1:18" s="1" customFormat="1" x14ac:dyDescent="0.45">
      <c r="A320" s="7" t="str">
        <f t="shared" si="104"/>
        <v>03276000000</v>
      </c>
      <c r="B320" s="7" t="str">
        <f t="shared" si="105"/>
        <v>砂川厚生福祉センター</v>
      </c>
      <c r="C320" s="7" t="str">
        <f t="shared" si="101"/>
        <v>行政財産</v>
      </c>
      <c r="D320" s="7" t="str">
        <f t="shared" si="103"/>
        <v>その他（公共用）の施設</v>
      </c>
      <c r="E320" s="7" t="str">
        <f t="shared" si="106"/>
        <v>大阪府泉南市馬場３丁目</v>
      </c>
      <c r="F320" s="7"/>
      <c r="G320" s="7" t="str">
        <f t="shared" si="92"/>
        <v>事業用資産</v>
      </c>
      <c r="H320" s="7" t="str">
        <f t="shared" si="93"/>
        <v>棚卸以外</v>
      </c>
      <c r="I320" s="7">
        <v>112</v>
      </c>
      <c r="J320" s="7" t="str">
        <f>"つばさ（旧いずみ寮）作業棟"</f>
        <v>つばさ（旧いずみ寮）作業棟</v>
      </c>
      <c r="K320" s="7" t="str">
        <f>"鉄骨造"</f>
        <v>鉄骨造</v>
      </c>
      <c r="L320" s="7" t="str">
        <f>"H04.09.30"</f>
        <v>H04.09.30</v>
      </c>
      <c r="M320" s="7">
        <v>559.52</v>
      </c>
      <c r="N320" s="7">
        <v>98046000</v>
      </c>
      <c r="O320" s="7">
        <v>96464790</v>
      </c>
      <c r="P320" s="7">
        <v>0</v>
      </c>
      <c r="Q320" s="7" t="str">
        <f t="shared" si="102"/>
        <v>福祉部</v>
      </c>
      <c r="R320" s="7" t="str">
        <f t="shared" si="107"/>
        <v>砂川厚生福祉センター</v>
      </c>
    </row>
    <row r="321" spans="1:18" s="1" customFormat="1" x14ac:dyDescent="0.45">
      <c r="A321" s="7" t="str">
        <f t="shared" si="104"/>
        <v>03276000000</v>
      </c>
      <c r="B321" s="7" t="str">
        <f t="shared" si="105"/>
        <v>砂川厚生福祉センター</v>
      </c>
      <c r="C321" s="7" t="str">
        <f t="shared" si="101"/>
        <v>行政財産</v>
      </c>
      <c r="D321" s="7" t="str">
        <f t="shared" si="103"/>
        <v>その他（公共用）の施設</v>
      </c>
      <c r="E321" s="7" t="str">
        <f t="shared" si="106"/>
        <v>大阪府泉南市馬場３丁目</v>
      </c>
      <c r="F321" s="7"/>
      <c r="G321" s="7" t="str">
        <f t="shared" si="92"/>
        <v>事業用資産</v>
      </c>
      <c r="H321" s="7" t="str">
        <f t="shared" si="93"/>
        <v>棚卸以外</v>
      </c>
      <c r="I321" s="7">
        <v>113</v>
      </c>
      <c r="J321" s="7" t="str">
        <f>"つばさ（旧いずみ寮）養生室"</f>
        <v>つばさ（旧いずみ寮）養生室</v>
      </c>
      <c r="K321" s="7" t="str">
        <f>"コンクリートブロック造"</f>
        <v>コンクリートブロック造</v>
      </c>
      <c r="L321" s="7" t="str">
        <f>"H04.09.30"</f>
        <v>H04.09.30</v>
      </c>
      <c r="M321" s="7">
        <v>48</v>
      </c>
      <c r="N321" s="7">
        <v>6673000</v>
      </c>
      <c r="O321" s="7">
        <v>5986296</v>
      </c>
      <c r="P321" s="7">
        <v>0</v>
      </c>
      <c r="Q321" s="7" t="str">
        <f t="shared" si="102"/>
        <v>福祉部</v>
      </c>
      <c r="R321" s="7" t="str">
        <f t="shared" si="107"/>
        <v>砂川厚生福祉センター</v>
      </c>
    </row>
    <row r="322" spans="1:18" s="1" customFormat="1" x14ac:dyDescent="0.45">
      <c r="A322" s="7" t="str">
        <f t="shared" si="104"/>
        <v>03276000000</v>
      </c>
      <c r="B322" s="7" t="str">
        <f t="shared" si="105"/>
        <v>砂川厚生福祉センター</v>
      </c>
      <c r="C322" s="7" t="str">
        <f t="shared" si="101"/>
        <v>行政財産</v>
      </c>
      <c r="D322" s="7" t="str">
        <f t="shared" si="103"/>
        <v>その他（公共用）の施設</v>
      </c>
      <c r="E322" s="7" t="str">
        <f t="shared" si="106"/>
        <v>大阪府泉南市馬場３丁目</v>
      </c>
      <c r="F322" s="7"/>
      <c r="G322" s="7" t="str">
        <f t="shared" si="92"/>
        <v>事業用資産</v>
      </c>
      <c r="H322" s="7" t="str">
        <f t="shared" si="93"/>
        <v>棚卸以外</v>
      </c>
      <c r="I322" s="7">
        <v>114</v>
      </c>
      <c r="J322" s="7" t="str">
        <f>"つばさ（旧いずみ寮）ボイラー棟"</f>
        <v>つばさ（旧いずみ寮）ボイラー棟</v>
      </c>
      <c r="K322" s="7" t="str">
        <f>"鉄骨コンクリート造"</f>
        <v>鉄骨コンクリート造</v>
      </c>
      <c r="L322" s="7" t="str">
        <f>"H04.10.30"</f>
        <v>H04.10.30</v>
      </c>
      <c r="M322" s="7">
        <v>25.8</v>
      </c>
      <c r="N322" s="7">
        <v>12022000</v>
      </c>
      <c r="O322" s="7">
        <v>11796070</v>
      </c>
      <c r="P322" s="7">
        <v>0</v>
      </c>
      <c r="Q322" s="7" t="str">
        <f t="shared" si="102"/>
        <v>福祉部</v>
      </c>
      <c r="R322" s="7" t="str">
        <f t="shared" si="107"/>
        <v>砂川厚生福祉センター</v>
      </c>
    </row>
    <row r="323" spans="1:18" s="1" customFormat="1" x14ac:dyDescent="0.45">
      <c r="A323" s="7" t="str">
        <f t="shared" si="104"/>
        <v>03276000000</v>
      </c>
      <c r="B323" s="7" t="str">
        <f t="shared" si="105"/>
        <v>砂川厚生福祉センター</v>
      </c>
      <c r="C323" s="7" t="str">
        <f t="shared" si="101"/>
        <v>行政財産</v>
      </c>
      <c r="D323" s="7" t="str">
        <f t="shared" si="103"/>
        <v>その他（公共用）の施設</v>
      </c>
      <c r="E323" s="7" t="str">
        <f t="shared" si="106"/>
        <v>大阪府泉南市馬場３丁目</v>
      </c>
      <c r="F323" s="7"/>
      <c r="G323" s="7" t="str">
        <f t="shared" ref="G323:G387" si="108">"事業用資産"</f>
        <v>事業用資産</v>
      </c>
      <c r="H323" s="7" t="str">
        <f t="shared" ref="H323:H387" si="109">"棚卸以外"</f>
        <v>棚卸以外</v>
      </c>
      <c r="I323" s="7">
        <v>115</v>
      </c>
      <c r="J323" s="7" t="str">
        <f>"つばさ（旧いずみ寮）住居棟"</f>
        <v>つばさ（旧いずみ寮）住居棟</v>
      </c>
      <c r="K323" s="7" t="str">
        <f>"鉄筋コンクリート造"</f>
        <v>鉄筋コンクリート造</v>
      </c>
      <c r="L323" s="7" t="str">
        <f>"H04.12.15"</f>
        <v>H04.12.15</v>
      </c>
      <c r="M323" s="7">
        <v>1559.94</v>
      </c>
      <c r="N323" s="7">
        <v>571169196</v>
      </c>
      <c r="O323" s="7">
        <v>354876169</v>
      </c>
      <c r="P323" s="7">
        <v>0</v>
      </c>
      <c r="Q323" s="7" t="str">
        <f t="shared" si="102"/>
        <v>福祉部</v>
      </c>
      <c r="R323" s="7" t="str">
        <f t="shared" si="107"/>
        <v>砂川厚生福祉センター</v>
      </c>
    </row>
    <row r="324" spans="1:18" s="1" customFormat="1" x14ac:dyDescent="0.45">
      <c r="A324" s="7" t="str">
        <f t="shared" si="104"/>
        <v>03276000000</v>
      </c>
      <c r="B324" s="7" t="str">
        <f t="shared" si="105"/>
        <v>砂川厚生福祉センター</v>
      </c>
      <c r="C324" s="7" t="str">
        <f t="shared" si="101"/>
        <v>行政財産</v>
      </c>
      <c r="D324" s="7" t="str">
        <f t="shared" si="103"/>
        <v>その他（公共用）の施設</v>
      </c>
      <c r="E324" s="7" t="str">
        <f t="shared" si="106"/>
        <v>大阪府泉南市馬場３丁目</v>
      </c>
      <c r="F324" s="7"/>
      <c r="G324" s="7" t="str">
        <f t="shared" si="108"/>
        <v>事業用資産</v>
      </c>
      <c r="H324" s="7" t="str">
        <f t="shared" si="109"/>
        <v>棚卸以外</v>
      </c>
      <c r="I324" s="7">
        <v>116</v>
      </c>
      <c r="J324" s="7" t="str">
        <f>"つばさ（旧いずみ寮）ボンベ庫"</f>
        <v>つばさ（旧いずみ寮）ボンベ庫</v>
      </c>
      <c r="K324" s="7" t="str">
        <f>"コンクリートブロック造"</f>
        <v>コンクリートブロック造</v>
      </c>
      <c r="L324" s="7" t="str">
        <f>"H04.12.15"</f>
        <v>H04.12.15</v>
      </c>
      <c r="M324" s="7">
        <v>17.059999999999999</v>
      </c>
      <c r="N324" s="7">
        <v>1958000</v>
      </c>
      <c r="O324" s="7">
        <v>1742400</v>
      </c>
      <c r="P324" s="7">
        <v>0</v>
      </c>
      <c r="Q324" s="7" t="str">
        <f t="shared" si="102"/>
        <v>福祉部</v>
      </c>
      <c r="R324" s="7" t="str">
        <f t="shared" si="107"/>
        <v>砂川厚生福祉センター</v>
      </c>
    </row>
    <row r="325" spans="1:18" s="1" customFormat="1" x14ac:dyDescent="0.45">
      <c r="A325" s="7" t="str">
        <f t="shared" si="104"/>
        <v>03276000000</v>
      </c>
      <c r="B325" s="7" t="str">
        <f t="shared" si="105"/>
        <v>砂川厚生福祉センター</v>
      </c>
      <c r="C325" s="7" t="str">
        <f t="shared" si="101"/>
        <v>行政財産</v>
      </c>
      <c r="D325" s="7" t="str">
        <f t="shared" si="103"/>
        <v>その他（公共用）の施設</v>
      </c>
      <c r="E325" s="7" t="str">
        <f t="shared" si="106"/>
        <v>大阪府泉南市馬場３丁目</v>
      </c>
      <c r="F325" s="7"/>
      <c r="G325" s="7" t="str">
        <f t="shared" si="108"/>
        <v>事業用資産</v>
      </c>
      <c r="H325" s="7" t="str">
        <f t="shared" si="109"/>
        <v>棚卸以外</v>
      </c>
      <c r="I325" s="7">
        <v>117</v>
      </c>
      <c r="J325" s="7" t="str">
        <f>"つばさ（旧いずみ寮）倉庫"</f>
        <v>つばさ（旧いずみ寮）倉庫</v>
      </c>
      <c r="K325" s="7" t="str">
        <f>"鉄骨造"</f>
        <v>鉄骨造</v>
      </c>
      <c r="L325" s="7" t="str">
        <f>"H04.12.15"</f>
        <v>H04.12.15</v>
      </c>
      <c r="M325" s="7">
        <v>38.880000000000003</v>
      </c>
      <c r="N325" s="7">
        <v>3528000</v>
      </c>
      <c r="O325" s="7">
        <v>3442692</v>
      </c>
      <c r="P325" s="7">
        <v>0</v>
      </c>
      <c r="Q325" s="7" t="str">
        <f t="shared" si="102"/>
        <v>福祉部</v>
      </c>
      <c r="R325" s="7" t="str">
        <f t="shared" si="107"/>
        <v>砂川厚生福祉センター</v>
      </c>
    </row>
    <row r="326" spans="1:18" s="1" customFormat="1" x14ac:dyDescent="0.45">
      <c r="A326" s="7" t="str">
        <f t="shared" si="104"/>
        <v>03276000000</v>
      </c>
      <c r="B326" s="7" t="str">
        <f t="shared" si="105"/>
        <v>砂川厚生福祉センター</v>
      </c>
      <c r="C326" s="7" t="str">
        <f t="shared" si="101"/>
        <v>行政財産</v>
      </c>
      <c r="D326" s="7" t="str">
        <f t="shared" si="103"/>
        <v>その他（公共用）の施設</v>
      </c>
      <c r="E326" s="7" t="str">
        <f t="shared" si="106"/>
        <v>大阪府泉南市馬場３丁目</v>
      </c>
      <c r="F326" s="7"/>
      <c r="G326" s="7" t="str">
        <f t="shared" si="108"/>
        <v>事業用資産</v>
      </c>
      <c r="H326" s="7" t="str">
        <f t="shared" si="109"/>
        <v>棚卸以外</v>
      </c>
      <c r="I326" s="7">
        <v>118</v>
      </c>
      <c r="J326" s="7" t="str">
        <f>"いぶき寮本館"</f>
        <v>いぶき寮本館</v>
      </c>
      <c r="K326" s="7" t="str">
        <f>"鉄筋コンクリート造"</f>
        <v>鉄筋コンクリート造</v>
      </c>
      <c r="L326" s="7" t="str">
        <f>"H07.12.25"</f>
        <v>H07.12.25</v>
      </c>
      <c r="M326" s="7">
        <v>1789.21</v>
      </c>
      <c r="N326" s="7">
        <v>830515774</v>
      </c>
      <c r="O326" s="7">
        <v>450204103</v>
      </c>
      <c r="P326" s="7">
        <v>0</v>
      </c>
      <c r="Q326" s="7" t="str">
        <f t="shared" si="102"/>
        <v>福祉部</v>
      </c>
      <c r="R326" s="7" t="str">
        <f t="shared" si="107"/>
        <v>砂川厚生福祉センター</v>
      </c>
    </row>
    <row r="327" spans="1:18" s="1" customFormat="1" x14ac:dyDescent="0.45">
      <c r="A327" s="7" t="str">
        <f t="shared" si="104"/>
        <v>03276000000</v>
      </c>
      <c r="B327" s="7" t="str">
        <f t="shared" si="105"/>
        <v>砂川厚生福祉センター</v>
      </c>
      <c r="C327" s="7" t="str">
        <f t="shared" si="101"/>
        <v>行政財産</v>
      </c>
      <c r="D327" s="7" t="str">
        <f t="shared" si="103"/>
        <v>その他（公共用）の施設</v>
      </c>
      <c r="E327" s="7" t="str">
        <f t="shared" si="106"/>
        <v>大阪府泉南市馬場３丁目</v>
      </c>
      <c r="F327" s="7"/>
      <c r="G327" s="7" t="str">
        <f t="shared" si="108"/>
        <v>事業用資産</v>
      </c>
      <c r="H327" s="7" t="str">
        <f t="shared" si="109"/>
        <v>棚卸以外</v>
      </c>
      <c r="I327" s="7">
        <v>119</v>
      </c>
      <c r="J327" s="7" t="str">
        <f>"いぶき寮プロパン庫"</f>
        <v>いぶき寮プロパン庫</v>
      </c>
      <c r="K327" s="7" t="str">
        <f>"コンクリートブロック造"</f>
        <v>コンクリートブロック造</v>
      </c>
      <c r="L327" s="7" t="str">
        <f>"H07.11.30"</f>
        <v>H07.11.30</v>
      </c>
      <c r="M327" s="7">
        <v>19.05</v>
      </c>
      <c r="N327" s="7">
        <v>1669000</v>
      </c>
      <c r="O327" s="7">
        <v>1341848</v>
      </c>
      <c r="P327" s="7">
        <v>0</v>
      </c>
      <c r="Q327" s="7" t="str">
        <f t="shared" si="102"/>
        <v>福祉部</v>
      </c>
      <c r="R327" s="7" t="str">
        <f t="shared" si="107"/>
        <v>砂川厚生福祉センター</v>
      </c>
    </row>
    <row r="328" spans="1:18" s="1" customFormat="1" x14ac:dyDescent="0.45">
      <c r="A328" s="7" t="str">
        <f t="shared" si="104"/>
        <v>03276000000</v>
      </c>
      <c r="B328" s="7" t="str">
        <f t="shared" si="105"/>
        <v>砂川厚生福祉センター</v>
      </c>
      <c r="C328" s="7" t="str">
        <f t="shared" si="101"/>
        <v>行政財産</v>
      </c>
      <c r="D328" s="7" t="str">
        <f t="shared" si="103"/>
        <v>その他（公共用）の施設</v>
      </c>
      <c r="E328" s="7" t="str">
        <f t="shared" si="106"/>
        <v>大阪府泉南市馬場３丁目</v>
      </c>
      <c r="F328" s="7"/>
      <c r="G328" s="7" t="str">
        <f t="shared" si="108"/>
        <v>事業用資産</v>
      </c>
      <c r="H328" s="7" t="str">
        <f t="shared" si="109"/>
        <v>棚卸以外</v>
      </c>
      <c r="I328" s="7">
        <v>120</v>
      </c>
      <c r="J328" s="7" t="str">
        <f>"いぶき（旧わかば寮本館）"</f>
        <v>いぶき（旧わかば寮本館）</v>
      </c>
      <c r="K328" s="7" t="str">
        <f>"鉄筋コンクリート造"</f>
        <v>鉄筋コンクリート造</v>
      </c>
      <c r="L328" s="7" t="str">
        <f>"H07.12.25"</f>
        <v>H07.12.25</v>
      </c>
      <c r="M328" s="7">
        <v>1464.12</v>
      </c>
      <c r="N328" s="7">
        <v>569353655</v>
      </c>
      <c r="O328" s="7">
        <v>296390017</v>
      </c>
      <c r="P328" s="7">
        <v>0</v>
      </c>
      <c r="Q328" s="7" t="str">
        <f t="shared" si="102"/>
        <v>福祉部</v>
      </c>
      <c r="R328" s="7" t="str">
        <f t="shared" si="107"/>
        <v>砂川厚生福祉センター</v>
      </c>
    </row>
    <row r="329" spans="1:18" s="1" customFormat="1" x14ac:dyDescent="0.45">
      <c r="A329" s="7" t="str">
        <f t="shared" si="104"/>
        <v>03276000000</v>
      </c>
      <c r="B329" s="7" t="str">
        <f t="shared" si="105"/>
        <v>砂川厚生福祉センター</v>
      </c>
      <c r="C329" s="7" t="str">
        <f t="shared" si="101"/>
        <v>行政財産</v>
      </c>
      <c r="D329" s="7" t="str">
        <f t="shared" si="103"/>
        <v>その他（公共用）の施設</v>
      </c>
      <c r="E329" s="7" t="str">
        <f t="shared" si="106"/>
        <v>大阪府泉南市馬場３丁目</v>
      </c>
      <c r="F329" s="7"/>
      <c r="G329" s="7" t="str">
        <f t="shared" si="108"/>
        <v>事業用資産</v>
      </c>
      <c r="H329" s="7" t="str">
        <f t="shared" si="109"/>
        <v>棚卸以外</v>
      </c>
      <c r="I329" s="7">
        <v>121</v>
      </c>
      <c r="J329" s="7" t="str">
        <f>"いぶき（旧わかば寮）作業棟"</f>
        <v>いぶき（旧わかば寮）作業棟</v>
      </c>
      <c r="K329" s="7" t="str">
        <f>"鉄筋コンクリート造"</f>
        <v>鉄筋コンクリート造</v>
      </c>
      <c r="L329" s="7" t="str">
        <f>"H07.11.30"</f>
        <v>H07.11.30</v>
      </c>
      <c r="M329" s="7">
        <v>236.09</v>
      </c>
      <c r="N329" s="7">
        <v>69700576</v>
      </c>
      <c r="O329" s="7">
        <v>48216542</v>
      </c>
      <c r="P329" s="7">
        <v>0</v>
      </c>
      <c r="Q329" s="7" t="str">
        <f t="shared" si="102"/>
        <v>福祉部</v>
      </c>
      <c r="R329" s="7" t="str">
        <f t="shared" si="107"/>
        <v>砂川厚生福祉センター</v>
      </c>
    </row>
    <row r="330" spans="1:18" s="1" customFormat="1" x14ac:dyDescent="0.45">
      <c r="A330" s="7" t="str">
        <f t="shared" si="104"/>
        <v>03276000000</v>
      </c>
      <c r="B330" s="7" t="str">
        <f t="shared" si="105"/>
        <v>砂川厚生福祉センター</v>
      </c>
      <c r="C330" s="7" t="str">
        <f t="shared" si="101"/>
        <v>行政財産</v>
      </c>
      <c r="D330" s="7" t="str">
        <f t="shared" si="103"/>
        <v>その他（公共用）の施設</v>
      </c>
      <c r="E330" s="7" t="str">
        <f t="shared" si="106"/>
        <v>大阪府泉南市馬場３丁目</v>
      </c>
      <c r="F330" s="7"/>
      <c r="G330" s="7" t="str">
        <f t="shared" si="108"/>
        <v>事業用資産</v>
      </c>
      <c r="H330" s="7" t="str">
        <f t="shared" si="109"/>
        <v>棚卸以外</v>
      </c>
      <c r="I330" s="7">
        <v>122</v>
      </c>
      <c r="J330" s="7" t="str">
        <f>"いぶき寮簡易倉庫"</f>
        <v>いぶき寮簡易倉庫</v>
      </c>
      <c r="K330" s="7" t="str">
        <f>"軽量鉄骨造"</f>
        <v>軽量鉄骨造</v>
      </c>
      <c r="L330" s="7" t="str">
        <f>"H08.03.12"</f>
        <v>H08.03.12</v>
      </c>
      <c r="M330" s="7">
        <v>38.880000000000003</v>
      </c>
      <c r="N330" s="7">
        <v>1225000</v>
      </c>
      <c r="O330" s="7">
        <v>1224999</v>
      </c>
      <c r="P330" s="7">
        <v>0</v>
      </c>
      <c r="Q330" s="7" t="str">
        <f t="shared" si="102"/>
        <v>福祉部</v>
      </c>
      <c r="R330" s="7" t="str">
        <f t="shared" si="107"/>
        <v>砂川厚生福祉センター</v>
      </c>
    </row>
    <row r="331" spans="1:18" s="1" customFormat="1" x14ac:dyDescent="0.45">
      <c r="A331" s="7" t="str">
        <f t="shared" si="104"/>
        <v>03276000000</v>
      </c>
      <c r="B331" s="7" t="str">
        <f t="shared" si="105"/>
        <v>砂川厚生福祉センター</v>
      </c>
      <c r="C331" s="7" t="str">
        <f t="shared" si="101"/>
        <v>行政財産</v>
      </c>
      <c r="D331" s="7" t="str">
        <f t="shared" si="103"/>
        <v>その他（公共用）の施設</v>
      </c>
      <c r="E331" s="7" t="str">
        <f t="shared" si="106"/>
        <v>大阪府泉南市馬場３丁目</v>
      </c>
      <c r="F331" s="7"/>
      <c r="G331" s="7" t="str">
        <f t="shared" si="108"/>
        <v>事業用資産</v>
      </c>
      <c r="H331" s="7" t="str">
        <f t="shared" si="109"/>
        <v>棚卸以外</v>
      </c>
      <c r="I331" s="7">
        <v>123</v>
      </c>
      <c r="J331" s="7" t="str">
        <f>"いぶき（旧わかば寮）簡易倉庫"</f>
        <v>いぶき（旧わかば寮）簡易倉庫</v>
      </c>
      <c r="K331" s="7" t="str">
        <f>"軽量鉄骨造"</f>
        <v>軽量鉄骨造</v>
      </c>
      <c r="L331" s="7" t="str">
        <f>"H08.03.12"</f>
        <v>H08.03.12</v>
      </c>
      <c r="M331" s="7">
        <v>38.880000000000003</v>
      </c>
      <c r="N331" s="7">
        <v>1225000</v>
      </c>
      <c r="O331" s="7">
        <v>1224999</v>
      </c>
      <c r="P331" s="7">
        <v>0</v>
      </c>
      <c r="Q331" s="7" t="str">
        <f t="shared" si="102"/>
        <v>福祉部</v>
      </c>
      <c r="R331" s="7" t="str">
        <f t="shared" si="107"/>
        <v>砂川厚生福祉センター</v>
      </c>
    </row>
    <row r="332" spans="1:18" s="1" customFormat="1" x14ac:dyDescent="0.45">
      <c r="A332" s="7" t="str">
        <f t="shared" si="104"/>
        <v>03276000000</v>
      </c>
      <c r="B332" s="7" t="str">
        <f t="shared" si="105"/>
        <v>砂川厚生福祉センター</v>
      </c>
      <c r="C332" s="7" t="str">
        <f t="shared" si="101"/>
        <v>行政財産</v>
      </c>
      <c r="D332" s="7" t="str">
        <f t="shared" si="103"/>
        <v>その他（公共用）の施設</v>
      </c>
      <c r="E332" s="7" t="str">
        <f t="shared" si="106"/>
        <v>大阪府泉南市馬場３丁目</v>
      </c>
      <c r="F332" s="7"/>
      <c r="G332" s="7" t="str">
        <f t="shared" si="108"/>
        <v>事業用資産</v>
      </c>
      <c r="H332" s="7" t="str">
        <f t="shared" si="109"/>
        <v>棚卸以外</v>
      </c>
      <c r="I332" s="7">
        <v>124</v>
      </c>
      <c r="J332" s="7" t="str">
        <f>"いぶき（旧わかば寮）倉庫"</f>
        <v>いぶき（旧わかば寮）倉庫</v>
      </c>
      <c r="K332" s="7" t="str">
        <f>"土蔵造(簡易建物)"</f>
        <v>土蔵造(簡易建物)</v>
      </c>
      <c r="L332" s="7" t="str">
        <f>"H08.03.29"</f>
        <v>H08.03.29</v>
      </c>
      <c r="M332" s="7">
        <v>37.520000000000003</v>
      </c>
      <c r="N332" s="7">
        <v>1178000</v>
      </c>
      <c r="O332" s="7">
        <v>1177999</v>
      </c>
      <c r="P332" s="7">
        <v>0</v>
      </c>
      <c r="Q332" s="7" t="str">
        <f t="shared" si="102"/>
        <v>福祉部</v>
      </c>
      <c r="R332" s="7" t="str">
        <f t="shared" si="107"/>
        <v>砂川厚生福祉センター</v>
      </c>
    </row>
    <row r="333" spans="1:18" s="1" customFormat="1" x14ac:dyDescent="0.45">
      <c r="A333" s="7" t="str">
        <f t="shared" si="104"/>
        <v>03276000000</v>
      </c>
      <c r="B333" s="7" t="str">
        <f t="shared" si="105"/>
        <v>砂川厚生福祉センター</v>
      </c>
      <c r="C333" s="7" t="str">
        <f t="shared" si="101"/>
        <v>行政財産</v>
      </c>
      <c r="D333" s="7" t="str">
        <f t="shared" si="103"/>
        <v>その他（公共用）の施設</v>
      </c>
      <c r="E333" s="7" t="str">
        <f t="shared" si="106"/>
        <v>大阪府泉南市馬場３丁目</v>
      </c>
      <c r="F333" s="7"/>
      <c r="G333" s="7" t="str">
        <f t="shared" si="108"/>
        <v>事業用資産</v>
      </c>
      <c r="H333" s="7" t="str">
        <f t="shared" si="109"/>
        <v>棚卸以外</v>
      </c>
      <c r="I333" s="7">
        <v>125</v>
      </c>
      <c r="J333" s="7" t="str">
        <f>"生活訓練棟"</f>
        <v>生活訓練棟</v>
      </c>
      <c r="K333" s="7" t="str">
        <f>"鉄筋コンクリート造"</f>
        <v>鉄筋コンクリート造</v>
      </c>
      <c r="L333" s="7" t="str">
        <f>"S40.03.26"</f>
        <v>S40.03.26</v>
      </c>
      <c r="M333" s="7">
        <v>505.96</v>
      </c>
      <c r="N333" s="7">
        <v>37445449</v>
      </c>
      <c r="O333" s="7">
        <v>21030507</v>
      </c>
      <c r="P333" s="7">
        <v>0</v>
      </c>
      <c r="Q333" s="7" t="str">
        <f t="shared" si="102"/>
        <v>福祉部</v>
      </c>
      <c r="R333" s="7" t="str">
        <f t="shared" si="107"/>
        <v>砂川厚生福祉センター</v>
      </c>
    </row>
    <row r="334" spans="1:18" s="1" customFormat="1" x14ac:dyDescent="0.45">
      <c r="A334" s="7" t="str">
        <f>"03276000901"</f>
        <v>03276000901</v>
      </c>
      <c r="B334" s="7" t="str">
        <f>"砂川厚生福祉センター公舎"</f>
        <v>砂川厚生福祉センター公舎</v>
      </c>
      <c r="C334" s="7" t="str">
        <f>"普通財産"</f>
        <v>普通財産</v>
      </c>
      <c r="D334" s="7" t="str">
        <f>"その他"</f>
        <v>その他</v>
      </c>
      <c r="E334" s="7" t="str">
        <f t="shared" si="106"/>
        <v>大阪府泉南市馬場３丁目</v>
      </c>
      <c r="F334" s="7"/>
      <c r="G334" s="7" t="str">
        <f t="shared" si="108"/>
        <v>事業用資産</v>
      </c>
      <c r="H334" s="7" t="str">
        <f t="shared" si="109"/>
        <v>棚卸以外</v>
      </c>
      <c r="I334" s="7">
        <v>49</v>
      </c>
      <c r="J334" s="7" t="str">
        <f>"職員公舎"</f>
        <v>職員公舎</v>
      </c>
      <c r="K334" s="7" t="str">
        <f>"鉄筋コンクリート造"</f>
        <v>鉄筋コンクリート造</v>
      </c>
      <c r="L334" s="7" t="str">
        <f>"S40.08.31"</f>
        <v>S40.08.31</v>
      </c>
      <c r="M334" s="7">
        <v>55.7</v>
      </c>
      <c r="N334" s="7">
        <v>16557595</v>
      </c>
      <c r="O334" s="7">
        <v>8595606</v>
      </c>
      <c r="P334" s="7">
        <v>0</v>
      </c>
      <c r="Q334" s="7" t="str">
        <f t="shared" si="102"/>
        <v>福祉部</v>
      </c>
      <c r="R334" s="7" t="str">
        <f t="shared" si="107"/>
        <v>砂川厚生福祉センター</v>
      </c>
    </row>
    <row r="335" spans="1:18" s="1" customFormat="1" x14ac:dyDescent="0.45">
      <c r="A335" s="7" t="str">
        <f>"03276000901"</f>
        <v>03276000901</v>
      </c>
      <c r="B335" s="7" t="str">
        <f>"砂川厚生福祉センター公舎"</f>
        <v>砂川厚生福祉センター公舎</v>
      </c>
      <c r="C335" s="7" t="str">
        <f>"普通財産"</f>
        <v>普通財産</v>
      </c>
      <c r="D335" s="7" t="str">
        <f>"その他"</f>
        <v>その他</v>
      </c>
      <c r="E335" s="7" t="str">
        <f t="shared" si="106"/>
        <v>大阪府泉南市馬場３丁目</v>
      </c>
      <c r="F335" s="7"/>
      <c r="G335" s="7" t="str">
        <f t="shared" si="108"/>
        <v>事業用資産</v>
      </c>
      <c r="H335" s="7" t="str">
        <f t="shared" si="109"/>
        <v>棚卸以外</v>
      </c>
      <c r="I335" s="7">
        <v>50</v>
      </c>
      <c r="J335" s="7" t="str">
        <f>"ボンベ室"</f>
        <v>ボンベ室</v>
      </c>
      <c r="K335" s="7" t="str">
        <f>"レンガ、石積造"</f>
        <v>レンガ、石積造</v>
      </c>
      <c r="L335" s="7" t="str">
        <f>"S40.08.31"</f>
        <v>S40.08.31</v>
      </c>
      <c r="M335" s="7">
        <v>7.03</v>
      </c>
      <c r="N335" s="7">
        <v>301282</v>
      </c>
      <c r="O335" s="7">
        <v>277714</v>
      </c>
      <c r="P335" s="7">
        <v>0</v>
      </c>
      <c r="Q335" s="7" t="str">
        <f t="shared" si="102"/>
        <v>福祉部</v>
      </c>
      <c r="R335" s="7" t="str">
        <f t="shared" si="107"/>
        <v>砂川厚生福祉センター</v>
      </c>
    </row>
    <row r="336" spans="1:18" s="1" customFormat="1" x14ac:dyDescent="0.45">
      <c r="A336" s="7" t="str">
        <f>"03278000000"</f>
        <v>03278000000</v>
      </c>
      <c r="B336" s="7" t="str">
        <f>"東大阪子ども家庭センター（分室）"</f>
        <v>東大阪子ども家庭センター（分室）</v>
      </c>
      <c r="C336" s="7" t="str">
        <f t="shared" ref="C336" si="110">"行政財産"</f>
        <v>行政財産</v>
      </c>
      <c r="D336" s="7" t="str">
        <f t="shared" ref="D336" si="111">"その他（行政機関）の施設"</f>
        <v>その他（行政機関）の施設</v>
      </c>
      <c r="E336" s="7" t="str">
        <f>"大阪府東大阪市永和１丁目"</f>
        <v>大阪府東大阪市永和１丁目</v>
      </c>
      <c r="F336" s="7"/>
      <c r="G336" s="7" t="str">
        <f t="shared" si="108"/>
        <v>事業用資産</v>
      </c>
      <c r="H336" s="7" t="str">
        <f t="shared" si="109"/>
        <v>棚卸以外</v>
      </c>
      <c r="I336" s="7">
        <v>1</v>
      </c>
      <c r="J336" s="7" t="str">
        <f>"つなぐ"</f>
        <v>つなぐ</v>
      </c>
      <c r="K336" s="7" t="str">
        <f>"鉄筋コンクリート造"</f>
        <v>鉄筋コンクリート造</v>
      </c>
      <c r="L336" s="7" t="str">
        <f>"S56.12.12"</f>
        <v>S56.12.12</v>
      </c>
      <c r="M336" s="7">
        <v>475.8</v>
      </c>
      <c r="N336" s="9">
        <v>131650510</v>
      </c>
      <c r="O336" s="9">
        <v>97983474</v>
      </c>
      <c r="P336" s="9">
        <v>0</v>
      </c>
      <c r="Q336" s="7" t="str">
        <f t="shared" si="102"/>
        <v>福祉部</v>
      </c>
      <c r="R336" s="7" t="str">
        <f>"東大阪子ども家庭センター"</f>
        <v>東大阪子ども家庭センター</v>
      </c>
    </row>
    <row r="337" spans="1:18" s="1" customFormat="1" x14ac:dyDescent="0.45">
      <c r="A337" s="7" t="str">
        <f>"03279000028"</f>
        <v>03279000028</v>
      </c>
      <c r="B337" s="7" t="str">
        <f>"中央子ども家庭センター"</f>
        <v>中央子ども家庭センター</v>
      </c>
      <c r="C337" s="7" t="str">
        <f t="shared" ref="C337:C380" si="112">"行政財産"</f>
        <v>行政財産</v>
      </c>
      <c r="D337" s="7" t="str">
        <f t="shared" ref="D337:D347" si="113">"その他（行政機関）の施設"</f>
        <v>その他（行政機関）の施設</v>
      </c>
      <c r="E337" s="7" t="str">
        <f>"大阪府寝屋川市八坂町"</f>
        <v>大阪府寝屋川市八坂町</v>
      </c>
      <c r="F337" s="7"/>
      <c r="G337" s="7" t="str">
        <f t="shared" si="108"/>
        <v>事業用資産</v>
      </c>
      <c r="H337" s="7" t="str">
        <f t="shared" si="109"/>
        <v>棚卸以外</v>
      </c>
      <c r="I337" s="7">
        <v>1</v>
      </c>
      <c r="J337" s="7" t="str">
        <f>"本庁舎"</f>
        <v>本庁舎</v>
      </c>
      <c r="K337" s="7" t="str">
        <f>"鉄筋コンクリート造"</f>
        <v>鉄筋コンクリート造</v>
      </c>
      <c r="L337" s="7" t="str">
        <f>"S51.03.26"</f>
        <v>S51.03.26</v>
      </c>
      <c r="M337" s="7">
        <v>1566.54</v>
      </c>
      <c r="N337" s="7">
        <v>344383684</v>
      </c>
      <c r="O337" s="7">
        <v>288248243</v>
      </c>
      <c r="P337" s="7">
        <v>0</v>
      </c>
      <c r="Q337" s="7" t="str">
        <f t="shared" si="102"/>
        <v>福祉部</v>
      </c>
      <c r="R337" s="7" t="str">
        <f>"中央子ども家庭センター"</f>
        <v>中央子ども家庭センター</v>
      </c>
    </row>
    <row r="338" spans="1:18" s="1" customFormat="1" x14ac:dyDescent="0.45">
      <c r="A338" s="7" t="str">
        <f>"03280000022"</f>
        <v>03280000022</v>
      </c>
      <c r="B338" s="7" t="str">
        <f>"池田子ども家庭センター"</f>
        <v>池田子ども家庭センター</v>
      </c>
      <c r="C338" s="7" t="str">
        <f t="shared" si="112"/>
        <v>行政財産</v>
      </c>
      <c r="D338" s="7" t="str">
        <f t="shared" si="113"/>
        <v>その他（行政機関）の施設</v>
      </c>
      <c r="E338" s="7" t="str">
        <f>"大阪府池田市満寿美町"</f>
        <v>大阪府池田市満寿美町</v>
      </c>
      <c r="F338" s="7"/>
      <c r="G338" s="7" t="str">
        <f t="shared" si="108"/>
        <v>事業用資産</v>
      </c>
      <c r="H338" s="7" t="str">
        <f t="shared" si="109"/>
        <v>棚卸以外</v>
      </c>
      <c r="I338" s="7">
        <v>1</v>
      </c>
      <c r="J338" s="7" t="str">
        <f>"事務所"</f>
        <v>事務所</v>
      </c>
      <c r="K338" s="7" t="str">
        <f>"鉄筋コンクリート造"</f>
        <v>鉄筋コンクリート造</v>
      </c>
      <c r="L338" s="7" t="str">
        <f>"S44.04.01"</f>
        <v>S44.04.01</v>
      </c>
      <c r="M338" s="7">
        <v>804.38</v>
      </c>
      <c r="N338" s="7">
        <v>107239868</v>
      </c>
      <c r="O338" s="7">
        <v>75333438</v>
      </c>
      <c r="P338" s="7">
        <v>0</v>
      </c>
      <c r="Q338" s="7" t="str">
        <f t="shared" si="102"/>
        <v>福祉部</v>
      </c>
      <c r="R338" s="7" t="str">
        <f>"池田子ども家庭センター"</f>
        <v>池田子ども家庭センター</v>
      </c>
    </row>
    <row r="339" spans="1:18" s="1" customFormat="1" x14ac:dyDescent="0.45">
      <c r="A339" s="7" t="str">
        <f>"03281000024"</f>
        <v>03281000024</v>
      </c>
      <c r="B339" s="7" t="str">
        <f>"吹田子ども家庭センター"</f>
        <v>吹田子ども家庭センター</v>
      </c>
      <c r="C339" s="7" t="str">
        <f t="shared" si="112"/>
        <v>行政財産</v>
      </c>
      <c r="D339" s="7" t="str">
        <f t="shared" si="113"/>
        <v>その他（行政機関）の施設</v>
      </c>
      <c r="E339" s="7" t="str">
        <f>"大阪府吹田市出口町"</f>
        <v>大阪府吹田市出口町</v>
      </c>
      <c r="F339" s="7"/>
      <c r="G339" s="7" t="str">
        <f t="shared" si="108"/>
        <v>事業用資産</v>
      </c>
      <c r="H339" s="7" t="str">
        <f t="shared" si="109"/>
        <v>棚卸以外</v>
      </c>
      <c r="I339" s="7">
        <v>1</v>
      </c>
      <c r="J339" s="7" t="str">
        <f>"本館"</f>
        <v>本館</v>
      </c>
      <c r="K339" s="7" t="str">
        <f>"鉄筋コンクリート造"</f>
        <v>鉄筋コンクリート造</v>
      </c>
      <c r="L339" s="7" t="str">
        <f>"S63.11.12"</f>
        <v>S63.11.12</v>
      </c>
      <c r="M339" s="7">
        <v>836.55</v>
      </c>
      <c r="N339" s="7">
        <v>201682054</v>
      </c>
      <c r="O339" s="7">
        <v>134882589</v>
      </c>
      <c r="P339" s="7">
        <v>0</v>
      </c>
      <c r="Q339" s="7" t="str">
        <f t="shared" si="102"/>
        <v>福祉部</v>
      </c>
      <c r="R339" s="7" t="str">
        <f>"吹田子ども家庭センター"</f>
        <v>吹田子ども家庭センター</v>
      </c>
    </row>
    <row r="340" spans="1:18" s="1" customFormat="1" ht="26.4" x14ac:dyDescent="0.45">
      <c r="A340" s="7" t="str">
        <f>"03281000024"</f>
        <v>03281000024</v>
      </c>
      <c r="B340" s="7" t="str">
        <f>"吹田子ども家庭センター"</f>
        <v>吹田子ども家庭センター</v>
      </c>
      <c r="C340" s="7" t="str">
        <f t="shared" si="112"/>
        <v>行政財産</v>
      </c>
      <c r="D340" s="7" t="str">
        <f t="shared" si="113"/>
        <v>その他（行政機関）の施設</v>
      </c>
      <c r="E340" s="7" t="str">
        <f>"大阪府吹田市出口町"</f>
        <v>大阪府吹田市出口町</v>
      </c>
      <c r="F340" s="7"/>
      <c r="G340" s="7" t="str">
        <f t="shared" si="108"/>
        <v>事業用資産</v>
      </c>
      <c r="H340" s="7" t="str">
        <f t="shared" si="109"/>
        <v>棚卸以外</v>
      </c>
      <c r="I340" s="7">
        <v>2</v>
      </c>
      <c r="J340" s="7" t="str">
        <f>"本棟"</f>
        <v>本棟</v>
      </c>
      <c r="K340" s="7" t="str">
        <f>"鉄骨鉄筋コンクリート造"</f>
        <v>鉄骨鉄筋コンクリート造</v>
      </c>
      <c r="L340" s="7" t="str">
        <f>"S63.11.12"</f>
        <v>S63.11.12</v>
      </c>
      <c r="M340" s="7">
        <v>249.09</v>
      </c>
      <c r="N340" s="7">
        <v>57836023</v>
      </c>
      <c r="O340" s="7">
        <v>28778990</v>
      </c>
      <c r="P340" s="7">
        <v>0</v>
      </c>
      <c r="Q340" s="7" t="str">
        <f t="shared" ref="Q340:Q371" si="114">"福祉部"</f>
        <v>福祉部</v>
      </c>
      <c r="R340" s="7" t="str">
        <f>"吹田子ども家庭センター"</f>
        <v>吹田子ども家庭センター</v>
      </c>
    </row>
    <row r="341" spans="1:18" s="1" customFormat="1" x14ac:dyDescent="0.45">
      <c r="A341" s="7" t="str">
        <f>"03282000025"</f>
        <v>03282000025</v>
      </c>
      <c r="B341" s="7" t="str">
        <f>"東大阪子ども家庭センター"</f>
        <v>東大阪子ども家庭センター</v>
      </c>
      <c r="C341" s="7" t="str">
        <f t="shared" si="112"/>
        <v>行政財産</v>
      </c>
      <c r="D341" s="7" t="str">
        <f t="shared" si="113"/>
        <v>その他（行政機関）の施設</v>
      </c>
      <c r="E341" s="7" t="str">
        <f>"大阪府東大阪市永和１丁目"</f>
        <v>大阪府東大阪市永和１丁目</v>
      </c>
      <c r="F341" s="7"/>
      <c r="G341" s="7" t="str">
        <f t="shared" si="108"/>
        <v>事業用資産</v>
      </c>
      <c r="H341" s="7" t="str">
        <f t="shared" si="109"/>
        <v>棚卸以外</v>
      </c>
      <c r="I341" s="7">
        <v>4</v>
      </c>
      <c r="J341" s="7" t="str">
        <f>"本館"</f>
        <v>本館</v>
      </c>
      <c r="K341" s="7" t="str">
        <f>"鉄筋コンクリート造"</f>
        <v>鉄筋コンクリート造</v>
      </c>
      <c r="L341" s="7" t="str">
        <f>"S56.12.12"</f>
        <v>S56.12.12</v>
      </c>
      <c r="M341" s="7">
        <v>1173.0999999999999</v>
      </c>
      <c r="N341" s="7">
        <v>327473123</v>
      </c>
      <c r="O341" s="7">
        <v>227650907</v>
      </c>
      <c r="P341" s="7">
        <v>0</v>
      </c>
      <c r="Q341" s="7" t="str">
        <f t="shared" si="114"/>
        <v>福祉部</v>
      </c>
      <c r="R341" s="7" t="str">
        <f>"東大阪子ども家庭センター"</f>
        <v>東大阪子ども家庭センター</v>
      </c>
    </row>
    <row r="342" spans="1:18" s="1" customFormat="1" x14ac:dyDescent="0.45">
      <c r="A342" s="7" t="str">
        <f t="shared" ref="A342:A347" si="115">"03284000026"</f>
        <v>03284000026</v>
      </c>
      <c r="B342" s="7" t="str">
        <f t="shared" ref="B342:B347" si="116">"岸和田子ども家庭センター"</f>
        <v>岸和田子ども家庭センター</v>
      </c>
      <c r="C342" s="7" t="str">
        <f t="shared" si="112"/>
        <v>行政財産</v>
      </c>
      <c r="D342" s="7" t="str">
        <f t="shared" si="113"/>
        <v>その他（行政機関）の施設</v>
      </c>
      <c r="E342" s="7" t="str">
        <f t="shared" ref="E342:E347" si="117">"大阪府岸和田市宮前町"</f>
        <v>大阪府岸和田市宮前町</v>
      </c>
      <c r="F342" s="7"/>
      <c r="G342" s="7" t="str">
        <f t="shared" si="108"/>
        <v>事業用資産</v>
      </c>
      <c r="H342" s="7" t="str">
        <f t="shared" si="109"/>
        <v>棚卸以外</v>
      </c>
      <c r="I342" s="7">
        <v>1</v>
      </c>
      <c r="J342" s="7" t="str">
        <f>"本館"</f>
        <v>本館</v>
      </c>
      <c r="K342" s="7" t="str">
        <f>"鉄筋コンクリート造"</f>
        <v>鉄筋コンクリート造</v>
      </c>
      <c r="L342" s="7" t="str">
        <f>"S44.04.01"</f>
        <v>S44.04.01</v>
      </c>
      <c r="M342" s="7">
        <v>545.91</v>
      </c>
      <c r="N342" s="7">
        <v>26674566</v>
      </c>
      <c r="O342" s="7">
        <v>18772889</v>
      </c>
      <c r="P342" s="7">
        <v>0</v>
      </c>
      <c r="Q342" s="7" t="str">
        <f t="shared" si="114"/>
        <v>福祉部</v>
      </c>
      <c r="R342" s="7" t="str">
        <f t="shared" ref="R342:R347" si="118">"岸和田子ども家庭センター"</f>
        <v>岸和田子ども家庭センター</v>
      </c>
    </row>
    <row r="343" spans="1:18" s="1" customFormat="1" x14ac:dyDescent="0.45">
      <c r="A343" s="7" t="str">
        <f t="shared" si="115"/>
        <v>03284000026</v>
      </c>
      <c r="B343" s="7" t="str">
        <f t="shared" si="116"/>
        <v>岸和田子ども家庭センター</v>
      </c>
      <c r="C343" s="7" t="str">
        <f t="shared" si="112"/>
        <v>行政財産</v>
      </c>
      <c r="D343" s="7" t="str">
        <f t="shared" si="113"/>
        <v>その他（行政機関）の施設</v>
      </c>
      <c r="E343" s="7" t="str">
        <f t="shared" si="117"/>
        <v>大阪府岸和田市宮前町</v>
      </c>
      <c r="F343" s="7"/>
      <c r="G343" s="7" t="str">
        <f t="shared" si="108"/>
        <v>事業用資産</v>
      </c>
      <c r="H343" s="7" t="str">
        <f t="shared" si="109"/>
        <v>棚卸以外</v>
      </c>
      <c r="I343" s="7">
        <v>2</v>
      </c>
      <c r="J343" s="7" t="str">
        <f>"プロパン置場"</f>
        <v>プロパン置場</v>
      </c>
      <c r="K343" s="7" t="str">
        <f>"コンクリートブロック造"</f>
        <v>コンクリートブロック造</v>
      </c>
      <c r="L343" s="7" t="str">
        <f>"S44.04.01"</f>
        <v>S44.04.01</v>
      </c>
      <c r="M343" s="7">
        <v>1.78</v>
      </c>
      <c r="N343" s="7">
        <v>48400</v>
      </c>
      <c r="O343" s="7">
        <v>48399</v>
      </c>
      <c r="P343" s="7">
        <v>0</v>
      </c>
      <c r="Q343" s="7" t="str">
        <f t="shared" si="114"/>
        <v>福祉部</v>
      </c>
      <c r="R343" s="7" t="str">
        <f t="shared" si="118"/>
        <v>岸和田子ども家庭センター</v>
      </c>
    </row>
    <row r="344" spans="1:18" s="1" customFormat="1" x14ac:dyDescent="0.45">
      <c r="A344" s="7" t="str">
        <f t="shared" si="115"/>
        <v>03284000026</v>
      </c>
      <c r="B344" s="7" t="str">
        <f t="shared" si="116"/>
        <v>岸和田子ども家庭センター</v>
      </c>
      <c r="C344" s="7" t="str">
        <f t="shared" si="112"/>
        <v>行政財産</v>
      </c>
      <c r="D344" s="7" t="str">
        <f t="shared" si="113"/>
        <v>その他（行政機関）の施設</v>
      </c>
      <c r="E344" s="7" t="str">
        <f t="shared" si="117"/>
        <v>大阪府岸和田市宮前町</v>
      </c>
      <c r="F344" s="7"/>
      <c r="G344" s="7" t="str">
        <f t="shared" si="108"/>
        <v>事業用資産</v>
      </c>
      <c r="H344" s="7" t="str">
        <f t="shared" si="109"/>
        <v>棚卸以外</v>
      </c>
      <c r="I344" s="7">
        <v>4</v>
      </c>
      <c r="J344" s="7" t="str">
        <f>"倉庫"</f>
        <v>倉庫</v>
      </c>
      <c r="K344" s="7" t="str">
        <f>"コンクリートブロック造"</f>
        <v>コンクリートブロック造</v>
      </c>
      <c r="L344" s="7" t="str">
        <f>"S50.03.31"</f>
        <v>S50.03.31</v>
      </c>
      <c r="M344" s="7">
        <v>22.73</v>
      </c>
      <c r="N344" s="7">
        <v>9633000</v>
      </c>
      <c r="O344" s="7">
        <v>9632999</v>
      </c>
      <c r="P344" s="7">
        <v>0</v>
      </c>
      <c r="Q344" s="7" t="str">
        <f t="shared" si="114"/>
        <v>福祉部</v>
      </c>
      <c r="R344" s="7" t="str">
        <f t="shared" si="118"/>
        <v>岸和田子ども家庭センター</v>
      </c>
    </row>
    <row r="345" spans="1:18" s="1" customFormat="1" x14ac:dyDescent="0.45">
      <c r="A345" s="7" t="str">
        <f t="shared" si="115"/>
        <v>03284000026</v>
      </c>
      <c r="B345" s="7" t="str">
        <f t="shared" si="116"/>
        <v>岸和田子ども家庭センター</v>
      </c>
      <c r="C345" s="7" t="str">
        <f t="shared" si="112"/>
        <v>行政財産</v>
      </c>
      <c r="D345" s="7" t="str">
        <f t="shared" si="113"/>
        <v>その他（行政機関）の施設</v>
      </c>
      <c r="E345" s="7" t="str">
        <f t="shared" si="117"/>
        <v>大阪府岸和田市宮前町</v>
      </c>
      <c r="F345" s="7"/>
      <c r="G345" s="7" t="str">
        <f t="shared" si="108"/>
        <v>事業用資産</v>
      </c>
      <c r="H345" s="7" t="str">
        <f t="shared" si="109"/>
        <v>棚卸以外</v>
      </c>
      <c r="I345" s="7">
        <v>5</v>
      </c>
      <c r="J345" s="7" t="str">
        <f>"倉庫"</f>
        <v>倉庫</v>
      </c>
      <c r="K345" s="7" t="str">
        <f>"軽量鉄骨造"</f>
        <v>軽量鉄骨造</v>
      </c>
      <c r="L345" s="7" t="str">
        <f>"H06.03.31"</f>
        <v>H06.03.31</v>
      </c>
      <c r="M345" s="7">
        <v>11.62</v>
      </c>
      <c r="N345" s="7">
        <v>626000</v>
      </c>
      <c r="O345" s="7">
        <v>625999</v>
      </c>
      <c r="P345" s="7">
        <v>0</v>
      </c>
      <c r="Q345" s="7" t="str">
        <f t="shared" si="114"/>
        <v>福祉部</v>
      </c>
      <c r="R345" s="7" t="str">
        <f t="shared" si="118"/>
        <v>岸和田子ども家庭センター</v>
      </c>
    </row>
    <row r="346" spans="1:18" s="1" customFormat="1" x14ac:dyDescent="0.45">
      <c r="A346" s="7" t="str">
        <f t="shared" si="115"/>
        <v>03284000026</v>
      </c>
      <c r="B346" s="7" t="str">
        <f t="shared" si="116"/>
        <v>岸和田子ども家庭センター</v>
      </c>
      <c r="C346" s="7" t="str">
        <f t="shared" si="112"/>
        <v>行政財産</v>
      </c>
      <c r="D346" s="7" t="str">
        <f t="shared" si="113"/>
        <v>その他（行政機関）の施設</v>
      </c>
      <c r="E346" s="7" t="str">
        <f t="shared" si="117"/>
        <v>大阪府岸和田市宮前町</v>
      </c>
      <c r="F346" s="7"/>
      <c r="G346" s="7" t="str">
        <f t="shared" si="108"/>
        <v>事業用資産</v>
      </c>
      <c r="H346" s="7" t="str">
        <f t="shared" si="109"/>
        <v>棚卸以外</v>
      </c>
      <c r="I346" s="7">
        <v>6</v>
      </c>
      <c r="J346" s="7" t="str">
        <f>"別館"</f>
        <v>別館</v>
      </c>
      <c r="K346" s="7" t="str">
        <f>"鉄骨造"</f>
        <v>鉄骨造</v>
      </c>
      <c r="L346" s="7" t="str">
        <f>"H07.03.23"</f>
        <v>H07.03.23</v>
      </c>
      <c r="M346" s="7">
        <v>100.14</v>
      </c>
      <c r="N346" s="7">
        <v>17857000</v>
      </c>
      <c r="O346" s="7">
        <v>14706048</v>
      </c>
      <c r="P346" s="7">
        <v>0</v>
      </c>
      <c r="Q346" s="7" t="str">
        <f t="shared" si="114"/>
        <v>福祉部</v>
      </c>
      <c r="R346" s="7" t="str">
        <f t="shared" si="118"/>
        <v>岸和田子ども家庭センター</v>
      </c>
    </row>
    <row r="347" spans="1:18" s="1" customFormat="1" x14ac:dyDescent="0.45">
      <c r="A347" s="7" t="str">
        <f t="shared" si="115"/>
        <v>03284000026</v>
      </c>
      <c r="B347" s="7" t="str">
        <f t="shared" si="116"/>
        <v>岸和田子ども家庭センター</v>
      </c>
      <c r="C347" s="7" t="str">
        <f t="shared" si="112"/>
        <v>行政財産</v>
      </c>
      <c r="D347" s="7" t="str">
        <f t="shared" si="113"/>
        <v>その他（行政機関）の施設</v>
      </c>
      <c r="E347" s="7" t="str">
        <f t="shared" si="117"/>
        <v>大阪府岸和田市宮前町</v>
      </c>
      <c r="F347" s="7"/>
      <c r="G347" s="7" t="str">
        <f t="shared" si="108"/>
        <v>事業用資産</v>
      </c>
      <c r="H347" s="7" t="str">
        <f t="shared" si="109"/>
        <v>棚卸以外</v>
      </c>
      <c r="I347" s="7">
        <v>7</v>
      </c>
      <c r="J347" s="7" t="str">
        <f>"新別館"</f>
        <v>新別館</v>
      </c>
      <c r="K347" s="7" t="str">
        <f>"軽量鉄骨造"</f>
        <v>軽量鉄骨造</v>
      </c>
      <c r="L347" s="7" t="str">
        <f>"H18.03.31"</f>
        <v>H18.03.31</v>
      </c>
      <c r="M347" s="7">
        <v>235.4</v>
      </c>
      <c r="N347" s="7">
        <v>34540740</v>
      </c>
      <c r="O347" s="7">
        <v>19550046</v>
      </c>
      <c r="P347" s="7">
        <v>0</v>
      </c>
      <c r="Q347" s="7" t="str">
        <f t="shared" si="114"/>
        <v>福祉部</v>
      </c>
      <c r="R347" s="7" t="str">
        <f t="shared" si="118"/>
        <v>岸和田子ども家庭センター</v>
      </c>
    </row>
    <row r="348" spans="1:18" s="1" customFormat="1" x14ac:dyDescent="0.45">
      <c r="A348" s="7" t="str">
        <f t="shared" ref="A348:A380" si="119">"03285000000"</f>
        <v>03285000000</v>
      </c>
      <c r="B348" s="7" t="str">
        <f t="shared" ref="B348:B380" si="120">"修徳学院"</f>
        <v>修徳学院</v>
      </c>
      <c r="C348" s="7" t="str">
        <f t="shared" si="112"/>
        <v>行政財産</v>
      </c>
      <c r="D348" s="7" t="str">
        <f t="shared" ref="D348:D380" si="121">"その他（公共用）の施設"</f>
        <v>その他（公共用）の施設</v>
      </c>
      <c r="E348" s="7" t="str">
        <f t="shared" ref="E348:E383" si="122">"大阪府柏原市大字高井田"</f>
        <v>大阪府柏原市大字高井田</v>
      </c>
      <c r="F348" s="7"/>
      <c r="G348" s="7" t="str">
        <f t="shared" si="108"/>
        <v>事業用資産</v>
      </c>
      <c r="H348" s="7" t="str">
        <f t="shared" si="109"/>
        <v>棚卸以外</v>
      </c>
      <c r="I348" s="7">
        <v>10</v>
      </c>
      <c r="J348" s="7" t="str">
        <f>"第２寮舎倉庫"</f>
        <v>第２寮舎倉庫</v>
      </c>
      <c r="K348" s="7" t="str">
        <f>"軽量鉄骨造"</f>
        <v>軽量鉄骨造</v>
      </c>
      <c r="L348" s="7" t="str">
        <f>"S40.03.26"</f>
        <v>S40.03.26</v>
      </c>
      <c r="M348" s="7">
        <v>6.47</v>
      </c>
      <c r="N348" s="7">
        <v>125000</v>
      </c>
      <c r="O348" s="7">
        <v>124999</v>
      </c>
      <c r="P348" s="7">
        <v>0</v>
      </c>
      <c r="Q348" s="7" t="str">
        <f t="shared" si="114"/>
        <v>福祉部</v>
      </c>
      <c r="R348" s="7" t="str">
        <f t="shared" ref="R348:R383" si="123">"修徳学院"</f>
        <v>修徳学院</v>
      </c>
    </row>
    <row r="349" spans="1:18" s="1" customFormat="1" x14ac:dyDescent="0.45">
      <c r="A349" s="7" t="str">
        <f t="shared" si="119"/>
        <v>03285000000</v>
      </c>
      <c r="B349" s="7" t="str">
        <f t="shared" si="120"/>
        <v>修徳学院</v>
      </c>
      <c r="C349" s="7" t="str">
        <f t="shared" si="112"/>
        <v>行政財産</v>
      </c>
      <c r="D349" s="7" t="str">
        <f t="shared" si="121"/>
        <v>その他（公共用）の施設</v>
      </c>
      <c r="E349" s="7" t="str">
        <f t="shared" si="122"/>
        <v>大阪府柏原市大字高井田</v>
      </c>
      <c r="F349" s="7"/>
      <c r="G349" s="7" t="str">
        <f t="shared" si="108"/>
        <v>事業用資産</v>
      </c>
      <c r="H349" s="7" t="str">
        <f t="shared" si="109"/>
        <v>棚卸以外</v>
      </c>
      <c r="I349" s="7">
        <v>13</v>
      </c>
      <c r="J349" s="7" t="str">
        <f>"第３寮舎倉庫"</f>
        <v>第３寮舎倉庫</v>
      </c>
      <c r="K349" s="7" t="str">
        <f>"木造"</f>
        <v>木造</v>
      </c>
      <c r="L349" s="7" t="str">
        <f>"S33.04.25"</f>
        <v>S33.04.25</v>
      </c>
      <c r="M349" s="7">
        <v>9.91</v>
      </c>
      <c r="N349" s="7">
        <v>12900</v>
      </c>
      <c r="O349" s="7">
        <v>12899</v>
      </c>
      <c r="P349" s="7">
        <v>0</v>
      </c>
      <c r="Q349" s="7" t="str">
        <f t="shared" si="114"/>
        <v>福祉部</v>
      </c>
      <c r="R349" s="7" t="str">
        <f t="shared" si="123"/>
        <v>修徳学院</v>
      </c>
    </row>
    <row r="350" spans="1:18" s="1" customFormat="1" x14ac:dyDescent="0.45">
      <c r="A350" s="7" t="str">
        <f t="shared" si="119"/>
        <v>03285000000</v>
      </c>
      <c r="B350" s="7" t="str">
        <f t="shared" si="120"/>
        <v>修徳学院</v>
      </c>
      <c r="C350" s="7" t="str">
        <f t="shared" si="112"/>
        <v>行政財産</v>
      </c>
      <c r="D350" s="7" t="str">
        <f t="shared" si="121"/>
        <v>その他（公共用）の施設</v>
      </c>
      <c r="E350" s="7" t="str">
        <f t="shared" si="122"/>
        <v>大阪府柏原市大字高井田</v>
      </c>
      <c r="F350" s="7"/>
      <c r="G350" s="7" t="str">
        <f t="shared" si="108"/>
        <v>事業用資産</v>
      </c>
      <c r="H350" s="7" t="str">
        <f t="shared" si="109"/>
        <v>棚卸以外</v>
      </c>
      <c r="I350" s="7">
        <v>28</v>
      </c>
      <c r="J350" s="7" t="str">
        <f>"第１０寮舎倉庫"</f>
        <v>第１０寮舎倉庫</v>
      </c>
      <c r="K350" s="7" t="str">
        <f>"軽量鉄骨造"</f>
        <v>軽量鉄骨造</v>
      </c>
      <c r="L350" s="7" t="str">
        <f>"S39.03.31"</f>
        <v>S39.03.31</v>
      </c>
      <c r="M350" s="7">
        <v>6.47</v>
      </c>
      <c r="N350" s="7">
        <v>131400</v>
      </c>
      <c r="O350" s="7">
        <v>131399</v>
      </c>
      <c r="P350" s="7">
        <v>0</v>
      </c>
      <c r="Q350" s="7" t="str">
        <f t="shared" si="114"/>
        <v>福祉部</v>
      </c>
      <c r="R350" s="7" t="str">
        <f t="shared" si="123"/>
        <v>修徳学院</v>
      </c>
    </row>
    <row r="351" spans="1:18" s="1" customFormat="1" x14ac:dyDescent="0.45">
      <c r="A351" s="7" t="str">
        <f t="shared" si="119"/>
        <v>03285000000</v>
      </c>
      <c r="B351" s="7" t="str">
        <f t="shared" si="120"/>
        <v>修徳学院</v>
      </c>
      <c r="C351" s="7" t="str">
        <f t="shared" si="112"/>
        <v>行政財産</v>
      </c>
      <c r="D351" s="7" t="str">
        <f t="shared" si="121"/>
        <v>その他（公共用）の施設</v>
      </c>
      <c r="E351" s="7" t="str">
        <f t="shared" si="122"/>
        <v>大阪府柏原市大字高井田</v>
      </c>
      <c r="F351" s="7"/>
      <c r="G351" s="7" t="str">
        <f t="shared" si="108"/>
        <v>事業用資産</v>
      </c>
      <c r="H351" s="7" t="str">
        <f t="shared" si="109"/>
        <v>棚卸以外</v>
      </c>
      <c r="I351" s="7">
        <v>42</v>
      </c>
      <c r="J351" s="7" t="str">
        <f>"シャワー室"</f>
        <v>シャワー室</v>
      </c>
      <c r="K351" s="7" t="str">
        <f>"鉄筋コンクリート造"</f>
        <v>鉄筋コンクリート造</v>
      </c>
      <c r="L351" s="7" t="str">
        <f>"S39.10.13"</f>
        <v>S39.10.13</v>
      </c>
      <c r="M351" s="7">
        <v>58.47</v>
      </c>
      <c r="N351" s="7">
        <v>3131000</v>
      </c>
      <c r="O351" s="7">
        <v>3130999</v>
      </c>
      <c r="P351" s="7">
        <v>0</v>
      </c>
      <c r="Q351" s="7" t="str">
        <f t="shared" si="114"/>
        <v>福祉部</v>
      </c>
      <c r="R351" s="7" t="str">
        <f t="shared" si="123"/>
        <v>修徳学院</v>
      </c>
    </row>
    <row r="352" spans="1:18" s="1" customFormat="1" x14ac:dyDescent="0.45">
      <c r="A352" s="7" t="str">
        <f t="shared" si="119"/>
        <v>03285000000</v>
      </c>
      <c r="B352" s="7" t="str">
        <f t="shared" si="120"/>
        <v>修徳学院</v>
      </c>
      <c r="C352" s="7" t="str">
        <f t="shared" si="112"/>
        <v>行政財産</v>
      </c>
      <c r="D352" s="7" t="str">
        <f t="shared" si="121"/>
        <v>その他（公共用）の施設</v>
      </c>
      <c r="E352" s="7" t="str">
        <f t="shared" si="122"/>
        <v>大阪府柏原市大字高井田</v>
      </c>
      <c r="F352" s="7"/>
      <c r="G352" s="7" t="str">
        <f t="shared" si="108"/>
        <v>事業用資産</v>
      </c>
      <c r="H352" s="7" t="str">
        <f t="shared" si="109"/>
        <v>棚卸以外</v>
      </c>
      <c r="I352" s="7">
        <v>43</v>
      </c>
      <c r="J352" s="7" t="str">
        <f>"浄化機械室"</f>
        <v>浄化機械室</v>
      </c>
      <c r="K352" s="7" t="str">
        <f>"コンクリートブロック造"</f>
        <v>コンクリートブロック造</v>
      </c>
      <c r="L352" s="7" t="str">
        <f>"S39.10.13"</f>
        <v>S39.10.13</v>
      </c>
      <c r="M352" s="7">
        <v>23</v>
      </c>
      <c r="N352" s="7">
        <v>1875000</v>
      </c>
      <c r="O352" s="7">
        <v>1874999</v>
      </c>
      <c r="P352" s="7">
        <v>0</v>
      </c>
      <c r="Q352" s="7" t="str">
        <f t="shared" si="114"/>
        <v>福祉部</v>
      </c>
      <c r="R352" s="7" t="str">
        <f t="shared" si="123"/>
        <v>修徳学院</v>
      </c>
    </row>
    <row r="353" spans="1:18" s="1" customFormat="1" x14ac:dyDescent="0.45">
      <c r="A353" s="7" t="str">
        <f t="shared" si="119"/>
        <v>03285000000</v>
      </c>
      <c r="B353" s="7" t="str">
        <f t="shared" si="120"/>
        <v>修徳学院</v>
      </c>
      <c r="C353" s="7" t="str">
        <f t="shared" si="112"/>
        <v>行政財産</v>
      </c>
      <c r="D353" s="7" t="str">
        <f t="shared" si="121"/>
        <v>その他（公共用）の施設</v>
      </c>
      <c r="E353" s="7" t="str">
        <f t="shared" si="122"/>
        <v>大阪府柏原市大字高井田</v>
      </c>
      <c r="F353" s="7"/>
      <c r="G353" s="7" t="str">
        <f t="shared" si="108"/>
        <v>事業用資産</v>
      </c>
      <c r="H353" s="7" t="str">
        <f t="shared" si="109"/>
        <v>棚卸以外</v>
      </c>
      <c r="I353" s="7">
        <v>62</v>
      </c>
      <c r="J353" s="7" t="str">
        <f>"体育館"</f>
        <v>体育館</v>
      </c>
      <c r="K353" s="7" t="str">
        <f>"鉄筋コンクリート造"</f>
        <v>鉄筋コンクリート造</v>
      </c>
      <c r="L353" s="7" t="str">
        <f>"S42.03.28"</f>
        <v>S42.03.28</v>
      </c>
      <c r="M353" s="7">
        <v>561.96</v>
      </c>
      <c r="N353" s="7">
        <v>20231000</v>
      </c>
      <c r="O353" s="7">
        <v>20230999</v>
      </c>
      <c r="P353" s="7">
        <v>0</v>
      </c>
      <c r="Q353" s="7" t="str">
        <f t="shared" si="114"/>
        <v>福祉部</v>
      </c>
      <c r="R353" s="7" t="str">
        <f t="shared" si="123"/>
        <v>修徳学院</v>
      </c>
    </row>
    <row r="354" spans="1:18" s="1" customFormat="1" x14ac:dyDescent="0.45">
      <c r="A354" s="7" t="str">
        <f t="shared" si="119"/>
        <v>03285000000</v>
      </c>
      <c r="B354" s="7" t="str">
        <f t="shared" si="120"/>
        <v>修徳学院</v>
      </c>
      <c r="C354" s="7" t="str">
        <f t="shared" si="112"/>
        <v>行政財産</v>
      </c>
      <c r="D354" s="7" t="str">
        <f t="shared" si="121"/>
        <v>その他（公共用）の施設</v>
      </c>
      <c r="E354" s="7" t="str">
        <f t="shared" si="122"/>
        <v>大阪府柏原市大字高井田</v>
      </c>
      <c r="F354" s="7"/>
      <c r="G354" s="7" t="str">
        <f t="shared" si="108"/>
        <v>事業用資産</v>
      </c>
      <c r="H354" s="7" t="str">
        <f t="shared" si="109"/>
        <v>棚卸以外</v>
      </c>
      <c r="I354" s="7">
        <v>63</v>
      </c>
      <c r="J354" s="7" t="str">
        <f>"体育館附属渡り廊下"</f>
        <v>体育館附属渡り廊下</v>
      </c>
      <c r="K354" s="7" t="str">
        <f>"軽量鉄骨造"</f>
        <v>軽量鉄骨造</v>
      </c>
      <c r="L354" s="7" t="str">
        <f>"S42.03.28"</f>
        <v>S42.03.28</v>
      </c>
      <c r="M354" s="7">
        <v>4.2</v>
      </c>
      <c r="N354" s="7">
        <v>81000</v>
      </c>
      <c r="O354" s="7">
        <v>80999</v>
      </c>
      <c r="P354" s="7">
        <v>0</v>
      </c>
      <c r="Q354" s="7" t="str">
        <f t="shared" si="114"/>
        <v>福祉部</v>
      </c>
      <c r="R354" s="7" t="str">
        <f t="shared" si="123"/>
        <v>修徳学院</v>
      </c>
    </row>
    <row r="355" spans="1:18" s="1" customFormat="1" x14ac:dyDescent="0.45">
      <c r="A355" s="7" t="str">
        <f t="shared" si="119"/>
        <v>03285000000</v>
      </c>
      <c r="B355" s="7" t="str">
        <f t="shared" si="120"/>
        <v>修徳学院</v>
      </c>
      <c r="C355" s="7" t="str">
        <f t="shared" si="112"/>
        <v>行政財産</v>
      </c>
      <c r="D355" s="7" t="str">
        <f t="shared" si="121"/>
        <v>その他（公共用）の施設</v>
      </c>
      <c r="E355" s="7" t="str">
        <f t="shared" si="122"/>
        <v>大阪府柏原市大字高井田</v>
      </c>
      <c r="F355" s="7"/>
      <c r="G355" s="7" t="str">
        <f t="shared" si="108"/>
        <v>事業用資産</v>
      </c>
      <c r="H355" s="7" t="str">
        <f t="shared" si="109"/>
        <v>棚卸以外</v>
      </c>
      <c r="I355" s="7">
        <v>65</v>
      </c>
      <c r="J355" s="7" t="str">
        <f>"プロパン燃料庫"</f>
        <v>プロパン燃料庫</v>
      </c>
      <c r="K355" s="7" t="str">
        <f>"コンクリートブロック造"</f>
        <v>コンクリートブロック造</v>
      </c>
      <c r="L355" s="7" t="str">
        <f>"S43.03.28"</f>
        <v>S43.03.28</v>
      </c>
      <c r="M355" s="7">
        <v>8.3800000000000008</v>
      </c>
      <c r="N355" s="7">
        <v>550000</v>
      </c>
      <c r="O355" s="7">
        <v>549999</v>
      </c>
      <c r="P355" s="7">
        <v>0</v>
      </c>
      <c r="Q355" s="7" t="str">
        <f t="shared" si="114"/>
        <v>福祉部</v>
      </c>
      <c r="R355" s="7" t="str">
        <f t="shared" si="123"/>
        <v>修徳学院</v>
      </c>
    </row>
    <row r="356" spans="1:18" s="1" customFormat="1" x14ac:dyDescent="0.45">
      <c r="A356" s="7" t="str">
        <f t="shared" si="119"/>
        <v>03285000000</v>
      </c>
      <c r="B356" s="7" t="str">
        <f t="shared" si="120"/>
        <v>修徳学院</v>
      </c>
      <c r="C356" s="7" t="str">
        <f t="shared" si="112"/>
        <v>行政財産</v>
      </c>
      <c r="D356" s="7" t="str">
        <f t="shared" si="121"/>
        <v>その他（公共用）の施設</v>
      </c>
      <c r="E356" s="7" t="str">
        <f t="shared" si="122"/>
        <v>大阪府柏原市大字高井田</v>
      </c>
      <c r="F356" s="7"/>
      <c r="G356" s="7" t="str">
        <f t="shared" si="108"/>
        <v>事業用資産</v>
      </c>
      <c r="H356" s="7" t="str">
        <f t="shared" si="109"/>
        <v>棚卸以外</v>
      </c>
      <c r="I356" s="7">
        <v>66</v>
      </c>
      <c r="J356" s="7" t="str">
        <f>"第２教室"</f>
        <v>第２教室</v>
      </c>
      <c r="K356" s="7" t="str">
        <f>"鉄筋コンクリート造"</f>
        <v>鉄筋コンクリート造</v>
      </c>
      <c r="L356" s="7" t="str">
        <f>"S43.03.28"</f>
        <v>S43.03.28</v>
      </c>
      <c r="M356" s="7">
        <v>410.8</v>
      </c>
      <c r="N356" s="7">
        <v>14030856</v>
      </c>
      <c r="O356" s="7">
        <v>14030855</v>
      </c>
      <c r="P356" s="7">
        <v>0</v>
      </c>
      <c r="Q356" s="7" t="str">
        <f t="shared" si="114"/>
        <v>福祉部</v>
      </c>
      <c r="R356" s="7" t="str">
        <f t="shared" si="123"/>
        <v>修徳学院</v>
      </c>
    </row>
    <row r="357" spans="1:18" s="1" customFormat="1" x14ac:dyDescent="0.45">
      <c r="A357" s="7" t="str">
        <f t="shared" si="119"/>
        <v>03285000000</v>
      </c>
      <c r="B357" s="7" t="str">
        <f t="shared" si="120"/>
        <v>修徳学院</v>
      </c>
      <c r="C357" s="7" t="str">
        <f t="shared" si="112"/>
        <v>行政財産</v>
      </c>
      <c r="D357" s="7" t="str">
        <f t="shared" si="121"/>
        <v>その他（公共用）の施設</v>
      </c>
      <c r="E357" s="7" t="str">
        <f t="shared" si="122"/>
        <v>大阪府柏原市大字高井田</v>
      </c>
      <c r="F357" s="7"/>
      <c r="G357" s="7" t="str">
        <f t="shared" si="108"/>
        <v>事業用資産</v>
      </c>
      <c r="H357" s="7" t="str">
        <f t="shared" si="109"/>
        <v>棚卸以外</v>
      </c>
      <c r="I357" s="7">
        <v>67</v>
      </c>
      <c r="J357" s="7" t="str">
        <f>"第２教室渡り廊下"</f>
        <v>第２教室渡り廊下</v>
      </c>
      <c r="K357" s="7" t="str">
        <f>"軽量鉄骨造"</f>
        <v>軽量鉄骨造</v>
      </c>
      <c r="L357" s="7" t="str">
        <f>"S43.03.28"</f>
        <v>S43.03.28</v>
      </c>
      <c r="M357" s="7">
        <v>45.03</v>
      </c>
      <c r="N357" s="7">
        <v>416000</v>
      </c>
      <c r="O357" s="7">
        <v>415999</v>
      </c>
      <c r="P357" s="7">
        <v>0</v>
      </c>
      <c r="Q357" s="7" t="str">
        <f t="shared" si="114"/>
        <v>福祉部</v>
      </c>
      <c r="R357" s="7" t="str">
        <f t="shared" si="123"/>
        <v>修徳学院</v>
      </c>
    </row>
    <row r="358" spans="1:18" s="1" customFormat="1" x14ac:dyDescent="0.45">
      <c r="A358" s="7" t="str">
        <f t="shared" si="119"/>
        <v>03285000000</v>
      </c>
      <c r="B358" s="7" t="str">
        <f t="shared" si="120"/>
        <v>修徳学院</v>
      </c>
      <c r="C358" s="7" t="str">
        <f t="shared" si="112"/>
        <v>行政財産</v>
      </c>
      <c r="D358" s="7" t="str">
        <f t="shared" si="121"/>
        <v>その他（公共用）の施設</v>
      </c>
      <c r="E358" s="7" t="str">
        <f t="shared" si="122"/>
        <v>大阪府柏原市大字高井田</v>
      </c>
      <c r="F358" s="7"/>
      <c r="G358" s="7" t="str">
        <f t="shared" si="108"/>
        <v>事業用資産</v>
      </c>
      <c r="H358" s="7" t="str">
        <f t="shared" si="109"/>
        <v>棚卸以外</v>
      </c>
      <c r="I358" s="7">
        <v>68</v>
      </c>
      <c r="J358" s="7" t="str">
        <f>"車庫"</f>
        <v>車庫</v>
      </c>
      <c r="K358" s="7" t="str">
        <f>"鉄骨コンクリート造"</f>
        <v>鉄骨コンクリート造</v>
      </c>
      <c r="L358" s="7" t="str">
        <f>"S44.03.28"</f>
        <v>S44.03.28</v>
      </c>
      <c r="M358" s="7">
        <v>59.4</v>
      </c>
      <c r="N358" s="7">
        <v>1081000</v>
      </c>
      <c r="O358" s="7">
        <v>1080999</v>
      </c>
      <c r="P358" s="7">
        <v>0</v>
      </c>
      <c r="Q358" s="7" t="str">
        <f t="shared" si="114"/>
        <v>福祉部</v>
      </c>
      <c r="R358" s="7" t="str">
        <f t="shared" si="123"/>
        <v>修徳学院</v>
      </c>
    </row>
    <row r="359" spans="1:18" s="1" customFormat="1" x14ac:dyDescent="0.45">
      <c r="A359" s="7" t="str">
        <f t="shared" si="119"/>
        <v>03285000000</v>
      </c>
      <c r="B359" s="7" t="str">
        <f t="shared" si="120"/>
        <v>修徳学院</v>
      </c>
      <c r="C359" s="7" t="str">
        <f t="shared" si="112"/>
        <v>行政財産</v>
      </c>
      <c r="D359" s="7" t="str">
        <f t="shared" si="121"/>
        <v>その他（公共用）の施設</v>
      </c>
      <c r="E359" s="7" t="str">
        <f t="shared" si="122"/>
        <v>大阪府柏原市大字高井田</v>
      </c>
      <c r="F359" s="7"/>
      <c r="G359" s="7" t="str">
        <f t="shared" si="108"/>
        <v>事業用資産</v>
      </c>
      <c r="H359" s="7" t="str">
        <f t="shared" si="109"/>
        <v>棚卸以外</v>
      </c>
      <c r="I359" s="7">
        <v>69</v>
      </c>
      <c r="J359" s="7" t="str">
        <f>"厨房棟"</f>
        <v>厨房棟</v>
      </c>
      <c r="K359" s="7" t="str">
        <f>"鉄筋コンクリート造"</f>
        <v>鉄筋コンクリート造</v>
      </c>
      <c r="L359" s="7" t="str">
        <f>"S46.03.28"</f>
        <v>S46.03.28</v>
      </c>
      <c r="M359" s="7">
        <v>250</v>
      </c>
      <c r="N359" s="7">
        <v>17111000</v>
      </c>
      <c r="O359" s="7">
        <v>17110999</v>
      </c>
      <c r="P359" s="7">
        <v>0</v>
      </c>
      <c r="Q359" s="7" t="str">
        <f t="shared" si="114"/>
        <v>福祉部</v>
      </c>
      <c r="R359" s="7" t="str">
        <f t="shared" si="123"/>
        <v>修徳学院</v>
      </c>
    </row>
    <row r="360" spans="1:18" s="1" customFormat="1" x14ac:dyDescent="0.45">
      <c r="A360" s="7" t="str">
        <f t="shared" si="119"/>
        <v>03285000000</v>
      </c>
      <c r="B360" s="7" t="str">
        <f t="shared" si="120"/>
        <v>修徳学院</v>
      </c>
      <c r="C360" s="7" t="str">
        <f t="shared" si="112"/>
        <v>行政財産</v>
      </c>
      <c r="D360" s="7" t="str">
        <f t="shared" si="121"/>
        <v>その他（公共用）の施設</v>
      </c>
      <c r="E360" s="7" t="str">
        <f t="shared" si="122"/>
        <v>大阪府柏原市大字高井田</v>
      </c>
      <c r="F360" s="7"/>
      <c r="G360" s="7" t="str">
        <f t="shared" si="108"/>
        <v>事業用資産</v>
      </c>
      <c r="H360" s="7" t="str">
        <f t="shared" si="109"/>
        <v>棚卸以外</v>
      </c>
      <c r="I360" s="7">
        <v>70</v>
      </c>
      <c r="J360" s="7" t="str">
        <f>"厨房棟プロパン庫"</f>
        <v>厨房棟プロパン庫</v>
      </c>
      <c r="K360" s="7" t="str">
        <f>"鉄骨造"</f>
        <v>鉄骨造</v>
      </c>
      <c r="L360" s="7" t="str">
        <f>"S46.03.28"</f>
        <v>S46.03.28</v>
      </c>
      <c r="M360" s="7">
        <v>12.18</v>
      </c>
      <c r="N360" s="7">
        <v>317000</v>
      </c>
      <c r="O360" s="7">
        <v>316999</v>
      </c>
      <c r="P360" s="7">
        <v>0</v>
      </c>
      <c r="Q360" s="7" t="str">
        <f t="shared" si="114"/>
        <v>福祉部</v>
      </c>
      <c r="R360" s="7" t="str">
        <f t="shared" si="123"/>
        <v>修徳学院</v>
      </c>
    </row>
    <row r="361" spans="1:18" s="1" customFormat="1" x14ac:dyDescent="0.45">
      <c r="A361" s="7" t="str">
        <f t="shared" si="119"/>
        <v>03285000000</v>
      </c>
      <c r="B361" s="7" t="str">
        <f t="shared" si="120"/>
        <v>修徳学院</v>
      </c>
      <c r="C361" s="7" t="str">
        <f t="shared" si="112"/>
        <v>行政財産</v>
      </c>
      <c r="D361" s="7" t="str">
        <f t="shared" si="121"/>
        <v>その他（公共用）の施設</v>
      </c>
      <c r="E361" s="7" t="str">
        <f t="shared" si="122"/>
        <v>大阪府柏原市大字高井田</v>
      </c>
      <c r="F361" s="7"/>
      <c r="G361" s="7" t="str">
        <f t="shared" si="108"/>
        <v>事業用資産</v>
      </c>
      <c r="H361" s="7" t="str">
        <f t="shared" si="109"/>
        <v>棚卸以外</v>
      </c>
      <c r="I361" s="7">
        <v>71</v>
      </c>
      <c r="J361" s="7" t="str">
        <f>"車庫"</f>
        <v>車庫</v>
      </c>
      <c r="K361" s="7" t="str">
        <f>"鉄骨造"</f>
        <v>鉄骨造</v>
      </c>
      <c r="L361" s="7" t="str">
        <f>"S41.03.31"</f>
        <v>S41.03.31</v>
      </c>
      <c r="M361" s="7">
        <v>21</v>
      </c>
      <c r="N361" s="7">
        <v>23000</v>
      </c>
      <c r="O361" s="7">
        <v>22999</v>
      </c>
      <c r="P361" s="7">
        <v>0</v>
      </c>
      <c r="Q361" s="7" t="str">
        <f t="shared" si="114"/>
        <v>福祉部</v>
      </c>
      <c r="R361" s="7" t="str">
        <f t="shared" si="123"/>
        <v>修徳学院</v>
      </c>
    </row>
    <row r="362" spans="1:18" s="1" customFormat="1" x14ac:dyDescent="0.45">
      <c r="A362" s="7" t="str">
        <f t="shared" si="119"/>
        <v>03285000000</v>
      </c>
      <c r="B362" s="7" t="str">
        <f t="shared" si="120"/>
        <v>修徳学院</v>
      </c>
      <c r="C362" s="7" t="str">
        <f t="shared" si="112"/>
        <v>行政財産</v>
      </c>
      <c r="D362" s="7" t="str">
        <f t="shared" si="121"/>
        <v>その他（公共用）の施設</v>
      </c>
      <c r="E362" s="7" t="str">
        <f t="shared" si="122"/>
        <v>大阪府柏原市大字高井田</v>
      </c>
      <c r="F362" s="7"/>
      <c r="G362" s="7" t="str">
        <f t="shared" si="108"/>
        <v>事業用資産</v>
      </c>
      <c r="H362" s="7" t="str">
        <f t="shared" si="109"/>
        <v>棚卸以外</v>
      </c>
      <c r="I362" s="7">
        <v>72</v>
      </c>
      <c r="J362" s="7" t="str">
        <f>"体育館附属倉庫"</f>
        <v>体育館附属倉庫</v>
      </c>
      <c r="K362" s="7" t="str">
        <f>"コンクリートブロック造"</f>
        <v>コンクリートブロック造</v>
      </c>
      <c r="L362" s="7" t="str">
        <f>"S47.03.28"</f>
        <v>S47.03.28</v>
      </c>
      <c r="M362" s="7">
        <v>51.12</v>
      </c>
      <c r="N362" s="7">
        <v>1326000</v>
      </c>
      <c r="O362" s="7">
        <v>1325999</v>
      </c>
      <c r="P362" s="7">
        <v>0</v>
      </c>
      <c r="Q362" s="7" t="str">
        <f t="shared" si="114"/>
        <v>福祉部</v>
      </c>
      <c r="R362" s="7" t="str">
        <f t="shared" si="123"/>
        <v>修徳学院</v>
      </c>
    </row>
    <row r="363" spans="1:18" s="1" customFormat="1" x14ac:dyDescent="0.45">
      <c r="A363" s="7" t="str">
        <f t="shared" si="119"/>
        <v>03285000000</v>
      </c>
      <c r="B363" s="7" t="str">
        <f t="shared" si="120"/>
        <v>修徳学院</v>
      </c>
      <c r="C363" s="7" t="str">
        <f t="shared" si="112"/>
        <v>行政財産</v>
      </c>
      <c r="D363" s="7" t="str">
        <f t="shared" si="121"/>
        <v>その他（公共用）の施設</v>
      </c>
      <c r="E363" s="7" t="str">
        <f t="shared" si="122"/>
        <v>大阪府柏原市大字高井田</v>
      </c>
      <c r="F363" s="7"/>
      <c r="G363" s="7" t="str">
        <f t="shared" si="108"/>
        <v>事業用資産</v>
      </c>
      <c r="H363" s="7" t="str">
        <f t="shared" si="109"/>
        <v>棚卸以外</v>
      </c>
      <c r="I363" s="7">
        <v>73</v>
      </c>
      <c r="J363" s="7" t="str">
        <f>"洗濯棟"</f>
        <v>洗濯棟</v>
      </c>
      <c r="K363" s="7" t="str">
        <f>"鉄筋コンクリート造"</f>
        <v>鉄筋コンクリート造</v>
      </c>
      <c r="L363" s="7" t="str">
        <f>"S47.03.28"</f>
        <v>S47.03.28</v>
      </c>
      <c r="M363" s="7">
        <v>69.7</v>
      </c>
      <c r="N363" s="7">
        <v>3903000</v>
      </c>
      <c r="O363" s="7">
        <v>3902999</v>
      </c>
      <c r="P363" s="7">
        <v>0</v>
      </c>
      <c r="Q363" s="7" t="str">
        <f t="shared" si="114"/>
        <v>福祉部</v>
      </c>
      <c r="R363" s="7" t="str">
        <f t="shared" si="123"/>
        <v>修徳学院</v>
      </c>
    </row>
    <row r="364" spans="1:18" s="1" customFormat="1" x14ac:dyDescent="0.45">
      <c r="A364" s="7" t="str">
        <f t="shared" si="119"/>
        <v>03285000000</v>
      </c>
      <c r="B364" s="7" t="str">
        <f t="shared" si="120"/>
        <v>修徳学院</v>
      </c>
      <c r="C364" s="7" t="str">
        <f t="shared" si="112"/>
        <v>行政財産</v>
      </c>
      <c r="D364" s="7" t="str">
        <f t="shared" si="121"/>
        <v>その他（公共用）の施設</v>
      </c>
      <c r="E364" s="7" t="str">
        <f t="shared" si="122"/>
        <v>大阪府柏原市大字高井田</v>
      </c>
      <c r="F364" s="7"/>
      <c r="G364" s="7" t="str">
        <f t="shared" si="108"/>
        <v>事業用資産</v>
      </c>
      <c r="H364" s="7" t="str">
        <f t="shared" si="109"/>
        <v>棚卸以外</v>
      </c>
      <c r="I364" s="7">
        <v>74</v>
      </c>
      <c r="J364" s="7" t="str">
        <f>"洗濯棟プロパン庫"</f>
        <v>洗濯棟プロパン庫</v>
      </c>
      <c r="K364" s="7" t="str">
        <f>"コンクリートブロック造"</f>
        <v>コンクリートブロック造</v>
      </c>
      <c r="L364" s="7" t="str">
        <f>"S47.03.28"</f>
        <v>S47.03.28</v>
      </c>
      <c r="M364" s="7">
        <v>2.4700000000000002</v>
      </c>
      <c r="N364" s="7">
        <v>124000</v>
      </c>
      <c r="O364" s="7">
        <v>123999</v>
      </c>
      <c r="P364" s="7">
        <v>0</v>
      </c>
      <c r="Q364" s="7" t="str">
        <f t="shared" si="114"/>
        <v>福祉部</v>
      </c>
      <c r="R364" s="7" t="str">
        <f t="shared" si="123"/>
        <v>修徳学院</v>
      </c>
    </row>
    <row r="365" spans="1:18" s="1" customFormat="1" x14ac:dyDescent="0.45">
      <c r="A365" s="7" t="str">
        <f t="shared" si="119"/>
        <v>03285000000</v>
      </c>
      <c r="B365" s="7" t="str">
        <f t="shared" si="120"/>
        <v>修徳学院</v>
      </c>
      <c r="C365" s="7" t="str">
        <f t="shared" si="112"/>
        <v>行政財産</v>
      </c>
      <c r="D365" s="7" t="str">
        <f t="shared" si="121"/>
        <v>その他（公共用）の施設</v>
      </c>
      <c r="E365" s="7" t="str">
        <f t="shared" si="122"/>
        <v>大阪府柏原市大字高井田</v>
      </c>
      <c r="F365" s="7"/>
      <c r="G365" s="7" t="str">
        <f t="shared" si="108"/>
        <v>事業用資産</v>
      </c>
      <c r="H365" s="7" t="str">
        <f t="shared" si="109"/>
        <v>棚卸以外</v>
      </c>
      <c r="I365" s="7">
        <v>75</v>
      </c>
      <c r="J365" s="7" t="str">
        <f>"ポンプ室"</f>
        <v>ポンプ室</v>
      </c>
      <c r="K365" s="7" t="str">
        <f>"木造"</f>
        <v>木造</v>
      </c>
      <c r="L365" s="7" t="str">
        <f>"S35.03.31"</f>
        <v>S35.03.31</v>
      </c>
      <c r="M365" s="7">
        <v>9.7100000000000009</v>
      </c>
      <c r="N365" s="7">
        <v>483932</v>
      </c>
      <c r="O365" s="7">
        <v>483931</v>
      </c>
      <c r="P365" s="7">
        <v>0</v>
      </c>
      <c r="Q365" s="7" t="str">
        <f t="shared" si="114"/>
        <v>福祉部</v>
      </c>
      <c r="R365" s="7" t="str">
        <f t="shared" si="123"/>
        <v>修徳学院</v>
      </c>
    </row>
    <row r="366" spans="1:18" s="1" customFormat="1" x14ac:dyDescent="0.45">
      <c r="A366" s="7" t="str">
        <f t="shared" si="119"/>
        <v>03285000000</v>
      </c>
      <c r="B366" s="7" t="str">
        <f t="shared" si="120"/>
        <v>修徳学院</v>
      </c>
      <c r="C366" s="7" t="str">
        <f t="shared" si="112"/>
        <v>行政財産</v>
      </c>
      <c r="D366" s="7" t="str">
        <f t="shared" si="121"/>
        <v>その他（公共用）の施設</v>
      </c>
      <c r="E366" s="7" t="str">
        <f t="shared" si="122"/>
        <v>大阪府柏原市大字高井田</v>
      </c>
      <c r="F366" s="7"/>
      <c r="G366" s="7" t="str">
        <f t="shared" si="108"/>
        <v>事業用資産</v>
      </c>
      <c r="H366" s="7" t="str">
        <f t="shared" si="109"/>
        <v>棚卸以外</v>
      </c>
      <c r="I366" s="7">
        <v>76</v>
      </c>
      <c r="J366" s="7" t="str">
        <f>"本館"</f>
        <v>本館</v>
      </c>
      <c r="K366" s="7" t="str">
        <f>"鉄筋コンクリート造"</f>
        <v>鉄筋コンクリート造</v>
      </c>
      <c r="L366" s="7" t="str">
        <f>"S48.03.31"</f>
        <v>S48.03.31</v>
      </c>
      <c r="M366" s="7">
        <v>1385.96</v>
      </c>
      <c r="N366" s="7">
        <v>267145702</v>
      </c>
      <c r="O366" s="7">
        <v>174283361</v>
      </c>
      <c r="P366" s="7">
        <v>0</v>
      </c>
      <c r="Q366" s="7" t="str">
        <f t="shared" si="114"/>
        <v>福祉部</v>
      </c>
      <c r="R366" s="7" t="str">
        <f t="shared" si="123"/>
        <v>修徳学院</v>
      </c>
    </row>
    <row r="367" spans="1:18" s="1" customFormat="1" x14ac:dyDescent="0.45">
      <c r="A367" s="7" t="str">
        <f t="shared" si="119"/>
        <v>03285000000</v>
      </c>
      <c r="B367" s="7" t="str">
        <f t="shared" si="120"/>
        <v>修徳学院</v>
      </c>
      <c r="C367" s="7" t="str">
        <f t="shared" si="112"/>
        <v>行政財産</v>
      </c>
      <c r="D367" s="7" t="str">
        <f t="shared" si="121"/>
        <v>その他（公共用）の施設</v>
      </c>
      <c r="E367" s="7" t="str">
        <f t="shared" si="122"/>
        <v>大阪府柏原市大字高井田</v>
      </c>
      <c r="F367" s="7"/>
      <c r="G367" s="7" t="str">
        <f t="shared" si="108"/>
        <v>事業用資産</v>
      </c>
      <c r="H367" s="7" t="str">
        <f t="shared" si="109"/>
        <v>棚卸以外</v>
      </c>
      <c r="I367" s="7">
        <v>79</v>
      </c>
      <c r="J367" s="7" t="str">
        <f>"第１３寮舎"</f>
        <v>第１３寮舎</v>
      </c>
      <c r="K367" s="7" t="str">
        <f>"鉄筋コンクリート造"</f>
        <v>鉄筋コンクリート造</v>
      </c>
      <c r="L367" s="7" t="str">
        <f>"S62.03.30"</f>
        <v>S62.03.30</v>
      </c>
      <c r="M367" s="7">
        <v>243.72</v>
      </c>
      <c r="N367" s="7">
        <v>44373268</v>
      </c>
      <c r="O367" s="7">
        <v>33880687</v>
      </c>
      <c r="P367" s="7">
        <v>0</v>
      </c>
      <c r="Q367" s="7" t="str">
        <f t="shared" si="114"/>
        <v>福祉部</v>
      </c>
      <c r="R367" s="7" t="str">
        <f t="shared" si="123"/>
        <v>修徳学院</v>
      </c>
    </row>
    <row r="368" spans="1:18" s="1" customFormat="1" x14ac:dyDescent="0.45">
      <c r="A368" s="7" t="str">
        <f t="shared" si="119"/>
        <v>03285000000</v>
      </c>
      <c r="B368" s="7" t="str">
        <f t="shared" si="120"/>
        <v>修徳学院</v>
      </c>
      <c r="C368" s="7" t="str">
        <f t="shared" si="112"/>
        <v>行政財産</v>
      </c>
      <c r="D368" s="7" t="str">
        <f t="shared" si="121"/>
        <v>その他（公共用）の施設</v>
      </c>
      <c r="E368" s="7" t="str">
        <f t="shared" si="122"/>
        <v>大阪府柏原市大字高井田</v>
      </c>
      <c r="F368" s="7"/>
      <c r="G368" s="7" t="str">
        <f t="shared" si="108"/>
        <v>事業用資産</v>
      </c>
      <c r="H368" s="7" t="str">
        <f t="shared" si="109"/>
        <v>棚卸以外</v>
      </c>
      <c r="I368" s="7">
        <v>80</v>
      </c>
      <c r="J368" s="7" t="str">
        <f>"第１３寮舎倉庫兼車庫"</f>
        <v>第１３寮舎倉庫兼車庫</v>
      </c>
      <c r="K368" s="7" t="str">
        <f>"軽量鉄骨造"</f>
        <v>軽量鉄骨造</v>
      </c>
      <c r="L368" s="7" t="str">
        <f>"S62.08.31"</f>
        <v>S62.08.31</v>
      </c>
      <c r="M368" s="7">
        <v>32.97</v>
      </c>
      <c r="N368" s="7">
        <v>650000</v>
      </c>
      <c r="O368" s="7">
        <v>649999</v>
      </c>
      <c r="P368" s="7">
        <v>0</v>
      </c>
      <c r="Q368" s="7" t="str">
        <f t="shared" si="114"/>
        <v>福祉部</v>
      </c>
      <c r="R368" s="7" t="str">
        <f t="shared" si="123"/>
        <v>修徳学院</v>
      </c>
    </row>
    <row r="369" spans="1:18" s="1" customFormat="1" x14ac:dyDescent="0.45">
      <c r="A369" s="7" t="str">
        <f t="shared" si="119"/>
        <v>03285000000</v>
      </c>
      <c r="B369" s="7" t="str">
        <f t="shared" si="120"/>
        <v>修徳学院</v>
      </c>
      <c r="C369" s="7" t="str">
        <f t="shared" si="112"/>
        <v>行政財産</v>
      </c>
      <c r="D369" s="7" t="str">
        <f t="shared" si="121"/>
        <v>その他（公共用）の施設</v>
      </c>
      <c r="E369" s="7" t="str">
        <f t="shared" si="122"/>
        <v>大阪府柏原市大字高井田</v>
      </c>
      <c r="F369" s="7"/>
      <c r="G369" s="7" t="str">
        <f t="shared" si="108"/>
        <v>事業用資産</v>
      </c>
      <c r="H369" s="7" t="str">
        <f t="shared" si="109"/>
        <v>棚卸以外</v>
      </c>
      <c r="I369" s="7">
        <v>81</v>
      </c>
      <c r="J369" s="7" t="str">
        <f>"書庫"</f>
        <v>書庫</v>
      </c>
      <c r="K369" s="7" t="str">
        <f>"コンクリートブロック造"</f>
        <v>コンクリートブロック造</v>
      </c>
      <c r="L369" s="7" t="str">
        <f>"H01.03.31"</f>
        <v>H01.03.31</v>
      </c>
      <c r="M369" s="7">
        <v>15.12</v>
      </c>
      <c r="N369" s="7">
        <v>1209000</v>
      </c>
      <c r="O369" s="7">
        <v>1002864</v>
      </c>
      <c r="P369" s="7">
        <v>0</v>
      </c>
      <c r="Q369" s="7" t="str">
        <f t="shared" si="114"/>
        <v>福祉部</v>
      </c>
      <c r="R369" s="7" t="str">
        <f t="shared" si="123"/>
        <v>修徳学院</v>
      </c>
    </row>
    <row r="370" spans="1:18" s="1" customFormat="1" x14ac:dyDescent="0.45">
      <c r="A370" s="7" t="str">
        <f t="shared" si="119"/>
        <v>03285000000</v>
      </c>
      <c r="B370" s="7" t="str">
        <f t="shared" si="120"/>
        <v>修徳学院</v>
      </c>
      <c r="C370" s="7" t="str">
        <f t="shared" si="112"/>
        <v>行政財産</v>
      </c>
      <c r="D370" s="7" t="str">
        <f t="shared" si="121"/>
        <v>その他（公共用）の施設</v>
      </c>
      <c r="E370" s="7" t="str">
        <f t="shared" si="122"/>
        <v>大阪府柏原市大字高井田</v>
      </c>
      <c r="F370" s="7"/>
      <c r="G370" s="7" t="str">
        <f t="shared" si="108"/>
        <v>事業用資産</v>
      </c>
      <c r="H370" s="7" t="str">
        <f t="shared" si="109"/>
        <v>棚卸以外</v>
      </c>
      <c r="I370" s="7">
        <v>82</v>
      </c>
      <c r="J370" s="7" t="str">
        <f>"第３寮舎"</f>
        <v>第３寮舎</v>
      </c>
      <c r="K370" s="7" t="str">
        <f>"鉄筋コンクリート造"</f>
        <v>鉄筋コンクリート造</v>
      </c>
      <c r="L370" s="7" t="str">
        <f>"H04.03.31"</f>
        <v>H04.03.31</v>
      </c>
      <c r="M370" s="7">
        <v>248.26</v>
      </c>
      <c r="N370" s="7">
        <v>68217330</v>
      </c>
      <c r="O370" s="7">
        <v>44969066</v>
      </c>
      <c r="P370" s="7">
        <v>0</v>
      </c>
      <c r="Q370" s="7" t="str">
        <f t="shared" si="114"/>
        <v>福祉部</v>
      </c>
      <c r="R370" s="7" t="str">
        <f t="shared" si="123"/>
        <v>修徳学院</v>
      </c>
    </row>
    <row r="371" spans="1:18" s="1" customFormat="1" x14ac:dyDescent="0.45">
      <c r="A371" s="7" t="str">
        <f t="shared" si="119"/>
        <v>03285000000</v>
      </c>
      <c r="B371" s="7" t="str">
        <f t="shared" si="120"/>
        <v>修徳学院</v>
      </c>
      <c r="C371" s="7" t="str">
        <f t="shared" si="112"/>
        <v>行政財産</v>
      </c>
      <c r="D371" s="7" t="str">
        <f t="shared" si="121"/>
        <v>その他（公共用）の施設</v>
      </c>
      <c r="E371" s="7" t="str">
        <f t="shared" si="122"/>
        <v>大阪府柏原市大字高井田</v>
      </c>
      <c r="F371" s="7"/>
      <c r="G371" s="7" t="str">
        <f t="shared" si="108"/>
        <v>事業用資産</v>
      </c>
      <c r="H371" s="7" t="str">
        <f t="shared" si="109"/>
        <v>棚卸以外</v>
      </c>
      <c r="I371" s="7">
        <v>83</v>
      </c>
      <c r="J371" s="7" t="str">
        <f>"第３寮舎倉庫"</f>
        <v>第３寮舎倉庫</v>
      </c>
      <c r="K371" s="7" t="str">
        <f>"鉄筋コンクリート造"</f>
        <v>鉄筋コンクリート造</v>
      </c>
      <c r="L371" s="7" t="str">
        <f>"H05.02.15"</f>
        <v>H05.02.15</v>
      </c>
      <c r="M371" s="7">
        <v>14.74</v>
      </c>
      <c r="N371" s="7">
        <v>850000</v>
      </c>
      <c r="O371" s="7">
        <v>849999</v>
      </c>
      <c r="P371" s="7">
        <v>0</v>
      </c>
      <c r="Q371" s="7" t="str">
        <f t="shared" si="114"/>
        <v>福祉部</v>
      </c>
      <c r="R371" s="7" t="str">
        <f t="shared" si="123"/>
        <v>修徳学院</v>
      </c>
    </row>
    <row r="372" spans="1:18" s="1" customFormat="1" x14ac:dyDescent="0.45">
      <c r="A372" s="7" t="str">
        <f t="shared" si="119"/>
        <v>03285000000</v>
      </c>
      <c r="B372" s="7" t="str">
        <f t="shared" si="120"/>
        <v>修徳学院</v>
      </c>
      <c r="C372" s="7" t="str">
        <f t="shared" si="112"/>
        <v>行政財産</v>
      </c>
      <c r="D372" s="7" t="str">
        <f t="shared" si="121"/>
        <v>その他（公共用）の施設</v>
      </c>
      <c r="E372" s="7" t="str">
        <f t="shared" si="122"/>
        <v>大阪府柏原市大字高井田</v>
      </c>
      <c r="F372" s="7"/>
      <c r="G372" s="7" t="str">
        <f t="shared" si="108"/>
        <v>事業用資産</v>
      </c>
      <c r="H372" s="7" t="str">
        <f t="shared" si="109"/>
        <v>棚卸以外</v>
      </c>
      <c r="I372" s="7">
        <v>84</v>
      </c>
      <c r="J372" s="7" t="str">
        <f>"体育館附属便所"</f>
        <v>体育館附属便所</v>
      </c>
      <c r="K372" s="7" t="str">
        <f>"コンクリートブロック造"</f>
        <v>コンクリートブロック造</v>
      </c>
      <c r="L372" s="7" t="str">
        <f>"S42.03.28"</f>
        <v>S42.03.28</v>
      </c>
      <c r="M372" s="7">
        <v>16.2</v>
      </c>
      <c r="N372" s="7">
        <v>640000</v>
      </c>
      <c r="O372" s="7">
        <v>639999</v>
      </c>
      <c r="P372" s="7">
        <v>0</v>
      </c>
      <c r="Q372" s="7" t="str">
        <f t="shared" ref="Q372:Q405" si="124">"福祉部"</f>
        <v>福祉部</v>
      </c>
      <c r="R372" s="7" t="str">
        <f t="shared" si="123"/>
        <v>修徳学院</v>
      </c>
    </row>
    <row r="373" spans="1:18" s="1" customFormat="1" x14ac:dyDescent="0.45">
      <c r="A373" s="7" t="str">
        <f t="shared" si="119"/>
        <v>03285000000</v>
      </c>
      <c r="B373" s="7" t="str">
        <f t="shared" si="120"/>
        <v>修徳学院</v>
      </c>
      <c r="C373" s="7" t="str">
        <f t="shared" si="112"/>
        <v>行政財産</v>
      </c>
      <c r="D373" s="7" t="str">
        <f t="shared" si="121"/>
        <v>その他（公共用）の施設</v>
      </c>
      <c r="E373" s="7" t="str">
        <f t="shared" si="122"/>
        <v>大阪府柏原市大字高井田</v>
      </c>
      <c r="F373" s="7"/>
      <c r="G373" s="7" t="str">
        <f t="shared" si="108"/>
        <v>事業用資産</v>
      </c>
      <c r="H373" s="7" t="str">
        <f t="shared" si="109"/>
        <v>棚卸以外</v>
      </c>
      <c r="I373" s="7">
        <v>85</v>
      </c>
      <c r="J373" s="7" t="str">
        <f>"第８寮舎"</f>
        <v>第８寮舎</v>
      </c>
      <c r="K373" s="7" t="str">
        <f>"鉄骨造"</f>
        <v>鉄骨造</v>
      </c>
      <c r="L373" s="7" t="str">
        <f>"H18.02.28"</f>
        <v>H18.02.28</v>
      </c>
      <c r="M373" s="7">
        <v>279.49</v>
      </c>
      <c r="N373" s="7">
        <v>682788</v>
      </c>
      <c r="O373" s="7">
        <v>433893</v>
      </c>
      <c r="P373" s="7">
        <v>0</v>
      </c>
      <c r="Q373" s="7" t="str">
        <f t="shared" si="124"/>
        <v>福祉部</v>
      </c>
      <c r="R373" s="7" t="str">
        <f t="shared" si="123"/>
        <v>修徳学院</v>
      </c>
    </row>
    <row r="374" spans="1:18" s="1" customFormat="1" x14ac:dyDescent="0.45">
      <c r="A374" s="7" t="str">
        <f t="shared" si="119"/>
        <v>03285000000</v>
      </c>
      <c r="B374" s="7" t="str">
        <f t="shared" si="120"/>
        <v>修徳学院</v>
      </c>
      <c r="C374" s="7" t="str">
        <f t="shared" si="112"/>
        <v>行政財産</v>
      </c>
      <c r="D374" s="7" t="str">
        <f t="shared" si="121"/>
        <v>その他（公共用）の施設</v>
      </c>
      <c r="E374" s="7" t="str">
        <f t="shared" si="122"/>
        <v>大阪府柏原市大字高井田</v>
      </c>
      <c r="F374" s="7"/>
      <c r="G374" s="7" t="str">
        <f t="shared" si="108"/>
        <v>事業用資産</v>
      </c>
      <c r="H374" s="7" t="str">
        <f t="shared" si="109"/>
        <v>棚卸以外</v>
      </c>
      <c r="I374" s="7">
        <v>86</v>
      </c>
      <c r="J374" s="7" t="str">
        <f>"第5寮舎"</f>
        <v>第5寮舎</v>
      </c>
      <c r="K374" s="7" t="str">
        <f t="shared" ref="K374:K380" si="125">"軽量鉄骨造"</f>
        <v>軽量鉄骨造</v>
      </c>
      <c r="L374" s="7" t="str">
        <f>"H22.09.30"</f>
        <v>H22.09.30</v>
      </c>
      <c r="M374" s="7">
        <v>360.75</v>
      </c>
      <c r="N374" s="7">
        <v>38855233</v>
      </c>
      <c r="O374" s="7">
        <v>6629364</v>
      </c>
      <c r="P374" s="7">
        <v>0</v>
      </c>
      <c r="Q374" s="7" t="str">
        <f t="shared" si="124"/>
        <v>福祉部</v>
      </c>
      <c r="R374" s="7" t="str">
        <f t="shared" si="123"/>
        <v>修徳学院</v>
      </c>
    </row>
    <row r="375" spans="1:18" s="1" customFormat="1" x14ac:dyDescent="0.45">
      <c r="A375" s="7" t="str">
        <f t="shared" si="119"/>
        <v>03285000000</v>
      </c>
      <c r="B375" s="7" t="str">
        <f t="shared" si="120"/>
        <v>修徳学院</v>
      </c>
      <c r="C375" s="7" t="str">
        <f t="shared" si="112"/>
        <v>行政財産</v>
      </c>
      <c r="D375" s="7" t="str">
        <f t="shared" si="121"/>
        <v>その他（公共用）の施設</v>
      </c>
      <c r="E375" s="7" t="str">
        <f t="shared" si="122"/>
        <v>大阪府柏原市大字高井田</v>
      </c>
      <c r="F375" s="7"/>
      <c r="G375" s="7" t="str">
        <f t="shared" si="108"/>
        <v>事業用資産</v>
      </c>
      <c r="H375" s="7" t="str">
        <f t="shared" si="109"/>
        <v>棚卸以外</v>
      </c>
      <c r="I375" s="7">
        <v>87</v>
      </c>
      <c r="J375" s="7" t="str">
        <f>"木工舎"</f>
        <v>木工舎</v>
      </c>
      <c r="K375" s="7" t="str">
        <f t="shared" si="125"/>
        <v>軽量鉄骨造</v>
      </c>
      <c r="L375" s="7" t="str">
        <f>"H22.09.30"</f>
        <v>H22.09.30</v>
      </c>
      <c r="M375" s="7">
        <v>131.6</v>
      </c>
      <c r="N375" s="7">
        <v>16172543</v>
      </c>
      <c r="O375" s="7">
        <v>2759328</v>
      </c>
      <c r="P375" s="7">
        <v>0</v>
      </c>
      <c r="Q375" s="7" t="str">
        <f t="shared" si="124"/>
        <v>福祉部</v>
      </c>
      <c r="R375" s="7" t="str">
        <f t="shared" si="123"/>
        <v>修徳学院</v>
      </c>
    </row>
    <row r="376" spans="1:18" s="1" customFormat="1" x14ac:dyDescent="0.45">
      <c r="A376" s="7" t="str">
        <f t="shared" si="119"/>
        <v>03285000000</v>
      </c>
      <c r="B376" s="7" t="str">
        <f t="shared" si="120"/>
        <v>修徳学院</v>
      </c>
      <c r="C376" s="7" t="str">
        <f t="shared" si="112"/>
        <v>行政財産</v>
      </c>
      <c r="D376" s="7" t="str">
        <f t="shared" si="121"/>
        <v>その他（公共用）の施設</v>
      </c>
      <c r="E376" s="7" t="str">
        <f t="shared" si="122"/>
        <v>大阪府柏原市大字高井田</v>
      </c>
      <c r="F376" s="7"/>
      <c r="G376" s="7" t="str">
        <f t="shared" si="108"/>
        <v>事業用資産</v>
      </c>
      <c r="H376" s="7" t="str">
        <f t="shared" si="109"/>
        <v>棚卸以外</v>
      </c>
      <c r="I376" s="7">
        <v>88</v>
      </c>
      <c r="J376" s="7" t="str">
        <f>"第4寮舎"</f>
        <v>第4寮舎</v>
      </c>
      <c r="K376" s="7" t="str">
        <f t="shared" si="125"/>
        <v>軽量鉄骨造</v>
      </c>
      <c r="L376" s="7" t="str">
        <f>"H23.09.30"</f>
        <v>H23.09.30</v>
      </c>
      <c r="M376" s="7">
        <v>283.47000000000003</v>
      </c>
      <c r="N376" s="7">
        <v>42194443</v>
      </c>
      <c r="O376" s="7">
        <v>7199064</v>
      </c>
      <c r="P376" s="7">
        <v>0</v>
      </c>
      <c r="Q376" s="7" t="str">
        <f t="shared" si="124"/>
        <v>福祉部</v>
      </c>
      <c r="R376" s="7" t="str">
        <f t="shared" si="123"/>
        <v>修徳学院</v>
      </c>
    </row>
    <row r="377" spans="1:18" s="1" customFormat="1" x14ac:dyDescent="0.45">
      <c r="A377" s="7" t="str">
        <f t="shared" si="119"/>
        <v>03285000000</v>
      </c>
      <c r="B377" s="7" t="str">
        <f t="shared" si="120"/>
        <v>修徳学院</v>
      </c>
      <c r="C377" s="7" t="str">
        <f t="shared" si="112"/>
        <v>行政財産</v>
      </c>
      <c r="D377" s="7" t="str">
        <f t="shared" si="121"/>
        <v>その他（公共用）の施設</v>
      </c>
      <c r="E377" s="7" t="str">
        <f t="shared" si="122"/>
        <v>大阪府柏原市大字高井田</v>
      </c>
      <c r="F377" s="7"/>
      <c r="G377" s="7" t="str">
        <f t="shared" si="108"/>
        <v>事業用資産</v>
      </c>
      <c r="H377" s="7" t="str">
        <f t="shared" si="109"/>
        <v>棚卸以外</v>
      </c>
      <c r="I377" s="7">
        <v>89</v>
      </c>
      <c r="J377" s="7" t="str">
        <f>"第1寮舎"</f>
        <v>第1寮舎</v>
      </c>
      <c r="K377" s="7" t="str">
        <f t="shared" si="125"/>
        <v>軽量鉄骨造</v>
      </c>
      <c r="L377" s="7" t="str">
        <f>"H24.07.31"</f>
        <v>H24.07.31</v>
      </c>
      <c r="M377" s="7">
        <v>283.47000000000003</v>
      </c>
      <c r="N377" s="7">
        <v>33612436</v>
      </c>
      <c r="O377" s="7">
        <v>2057916</v>
      </c>
      <c r="P377" s="7">
        <v>0</v>
      </c>
      <c r="Q377" s="7" t="str">
        <f t="shared" si="124"/>
        <v>福祉部</v>
      </c>
      <c r="R377" s="7" t="str">
        <f t="shared" si="123"/>
        <v>修徳学院</v>
      </c>
    </row>
    <row r="378" spans="1:18" s="1" customFormat="1" x14ac:dyDescent="0.45">
      <c r="A378" s="7" t="str">
        <f t="shared" si="119"/>
        <v>03285000000</v>
      </c>
      <c r="B378" s="7" t="str">
        <f t="shared" si="120"/>
        <v>修徳学院</v>
      </c>
      <c r="C378" s="7" t="str">
        <f t="shared" si="112"/>
        <v>行政財産</v>
      </c>
      <c r="D378" s="7" t="str">
        <f t="shared" si="121"/>
        <v>その他（公共用）の施設</v>
      </c>
      <c r="E378" s="7" t="str">
        <f t="shared" si="122"/>
        <v>大阪府柏原市大字高井田</v>
      </c>
      <c r="F378" s="7"/>
      <c r="G378" s="7" t="str">
        <f t="shared" si="108"/>
        <v>事業用資産</v>
      </c>
      <c r="H378" s="7" t="str">
        <f t="shared" si="109"/>
        <v>棚卸以外</v>
      </c>
      <c r="I378" s="7">
        <v>90</v>
      </c>
      <c r="J378" s="7" t="str">
        <f>"第11寮舎"</f>
        <v>第11寮舎</v>
      </c>
      <c r="K378" s="7" t="str">
        <f t="shared" si="125"/>
        <v>軽量鉄骨造</v>
      </c>
      <c r="L378" s="7" t="str">
        <f>"H24.07.31"</f>
        <v>H24.07.31</v>
      </c>
      <c r="M378" s="7">
        <v>278.5</v>
      </c>
      <c r="N378" s="7">
        <v>33023119</v>
      </c>
      <c r="O378" s="7">
        <v>2021832</v>
      </c>
      <c r="P378" s="7">
        <v>0</v>
      </c>
      <c r="Q378" s="7" t="str">
        <f t="shared" si="124"/>
        <v>福祉部</v>
      </c>
      <c r="R378" s="7" t="str">
        <f t="shared" si="123"/>
        <v>修徳学院</v>
      </c>
    </row>
    <row r="379" spans="1:18" s="1" customFormat="1" x14ac:dyDescent="0.45">
      <c r="A379" s="7" t="str">
        <f t="shared" si="119"/>
        <v>03285000000</v>
      </c>
      <c r="B379" s="7" t="str">
        <f t="shared" si="120"/>
        <v>修徳学院</v>
      </c>
      <c r="C379" s="7" t="str">
        <f t="shared" si="112"/>
        <v>行政財産</v>
      </c>
      <c r="D379" s="7" t="str">
        <f t="shared" si="121"/>
        <v>その他（公共用）の施設</v>
      </c>
      <c r="E379" s="7" t="str">
        <f t="shared" si="122"/>
        <v>大阪府柏原市大字高井田</v>
      </c>
      <c r="F379" s="7"/>
      <c r="G379" s="7" t="str">
        <f t="shared" si="108"/>
        <v>事業用資産</v>
      </c>
      <c r="H379" s="7" t="str">
        <f t="shared" si="109"/>
        <v>棚卸以外</v>
      </c>
      <c r="I379" s="7">
        <v>91</v>
      </c>
      <c r="J379" s="7" t="str">
        <f>"第6寮舎"</f>
        <v>第6寮舎</v>
      </c>
      <c r="K379" s="7" t="str">
        <f t="shared" si="125"/>
        <v>軽量鉄骨造</v>
      </c>
      <c r="L379" s="7" t="str">
        <f>"H24.11.30"</f>
        <v>H24.11.30</v>
      </c>
      <c r="M379" s="7">
        <v>271.93</v>
      </c>
      <c r="N379" s="7">
        <v>34331043</v>
      </c>
      <c r="O379" s="7">
        <v>673160</v>
      </c>
      <c r="P379" s="7">
        <v>0</v>
      </c>
      <c r="Q379" s="7" t="str">
        <f t="shared" si="124"/>
        <v>福祉部</v>
      </c>
      <c r="R379" s="7" t="str">
        <f t="shared" si="123"/>
        <v>修徳学院</v>
      </c>
    </row>
    <row r="380" spans="1:18" s="1" customFormat="1" x14ac:dyDescent="0.45">
      <c r="A380" s="7" t="str">
        <f t="shared" si="119"/>
        <v>03285000000</v>
      </c>
      <c r="B380" s="7" t="str">
        <f t="shared" si="120"/>
        <v>修徳学院</v>
      </c>
      <c r="C380" s="7" t="str">
        <f t="shared" si="112"/>
        <v>行政財産</v>
      </c>
      <c r="D380" s="7" t="str">
        <f t="shared" si="121"/>
        <v>その他（公共用）の施設</v>
      </c>
      <c r="E380" s="7" t="str">
        <f t="shared" si="122"/>
        <v>大阪府柏原市大字高井田</v>
      </c>
      <c r="F380" s="7"/>
      <c r="G380" s="7" t="str">
        <f t="shared" si="108"/>
        <v>事業用資産</v>
      </c>
      <c r="H380" s="7" t="str">
        <f t="shared" si="109"/>
        <v>棚卸以外</v>
      </c>
      <c r="I380" s="7">
        <v>92</v>
      </c>
      <c r="J380" s="7" t="str">
        <f>"第7寮舎"</f>
        <v>第7寮舎</v>
      </c>
      <c r="K380" s="7" t="str">
        <f t="shared" si="125"/>
        <v>軽量鉄骨造</v>
      </c>
      <c r="L380" s="7" t="str">
        <f>"H25.07.31"</f>
        <v>H25.07.31</v>
      </c>
      <c r="M380" s="7">
        <v>284.57</v>
      </c>
      <c r="N380" s="7">
        <v>34554265</v>
      </c>
      <c r="O380" s="7">
        <v>0</v>
      </c>
      <c r="P380" s="7">
        <v>0</v>
      </c>
      <c r="Q380" s="7" t="str">
        <f t="shared" si="124"/>
        <v>福祉部</v>
      </c>
      <c r="R380" s="7" t="str">
        <f t="shared" si="123"/>
        <v>修徳学院</v>
      </c>
    </row>
    <row r="381" spans="1:18" s="1" customFormat="1" x14ac:dyDescent="0.45">
      <c r="A381" s="7" t="str">
        <f>"03285000901"</f>
        <v>03285000901</v>
      </c>
      <c r="B381" s="7" t="str">
        <f>"修徳学院附属舎"</f>
        <v>修徳学院附属舎</v>
      </c>
      <c r="C381" s="7" t="str">
        <f>"普通財産"</f>
        <v>普通財産</v>
      </c>
      <c r="D381" s="7" t="str">
        <f>"その他"</f>
        <v>その他</v>
      </c>
      <c r="E381" s="7" t="str">
        <f t="shared" si="122"/>
        <v>大阪府柏原市大字高井田</v>
      </c>
      <c r="F381" s="7"/>
      <c r="G381" s="7" t="str">
        <f t="shared" si="108"/>
        <v>事業用資産</v>
      </c>
      <c r="H381" s="7" t="str">
        <f t="shared" si="109"/>
        <v>棚卸以外</v>
      </c>
      <c r="I381" s="7">
        <v>1</v>
      </c>
      <c r="J381" s="7" t="str">
        <f>"院長舎"</f>
        <v>院長舎</v>
      </c>
      <c r="K381" s="7" t="str">
        <f>"鉄筋コンクリート造"</f>
        <v>鉄筋コンクリート造</v>
      </c>
      <c r="L381" s="7" t="str">
        <f>"S44.03.28"</f>
        <v>S44.03.28</v>
      </c>
      <c r="M381" s="7">
        <v>82.65</v>
      </c>
      <c r="N381" s="7">
        <v>5452000</v>
      </c>
      <c r="O381" s="7">
        <v>5451999</v>
      </c>
      <c r="P381" s="7">
        <v>0</v>
      </c>
      <c r="Q381" s="7" t="str">
        <f t="shared" si="124"/>
        <v>福祉部</v>
      </c>
      <c r="R381" s="7" t="str">
        <f t="shared" si="123"/>
        <v>修徳学院</v>
      </c>
    </row>
    <row r="382" spans="1:18" s="1" customFormat="1" x14ac:dyDescent="0.45">
      <c r="A382" s="7" t="str">
        <f>"03285000901"</f>
        <v>03285000901</v>
      </c>
      <c r="B382" s="7" t="str">
        <f>"修徳学院附属舎"</f>
        <v>修徳学院附属舎</v>
      </c>
      <c r="C382" s="7" t="str">
        <f>"普通財産"</f>
        <v>普通財産</v>
      </c>
      <c r="D382" s="7" t="str">
        <f>"その他"</f>
        <v>その他</v>
      </c>
      <c r="E382" s="7" t="str">
        <f t="shared" si="122"/>
        <v>大阪府柏原市大字高井田</v>
      </c>
      <c r="F382" s="7"/>
      <c r="G382" s="7" t="str">
        <f t="shared" si="108"/>
        <v>事業用資産</v>
      </c>
      <c r="H382" s="7" t="str">
        <f t="shared" si="109"/>
        <v>棚卸以外</v>
      </c>
      <c r="I382" s="7">
        <v>2</v>
      </c>
      <c r="J382" s="7" t="str">
        <f>"職員宅舎"</f>
        <v>職員宅舎</v>
      </c>
      <c r="K382" s="7" t="str">
        <f>"鉄筋コンクリート造"</f>
        <v>鉄筋コンクリート造</v>
      </c>
      <c r="L382" s="7" t="str">
        <f>"S46.03.28"</f>
        <v>S46.03.28</v>
      </c>
      <c r="M382" s="7">
        <v>524.61</v>
      </c>
      <c r="N382" s="7">
        <v>24314000</v>
      </c>
      <c r="O382" s="7">
        <v>24313999</v>
      </c>
      <c r="P382" s="7">
        <v>0</v>
      </c>
      <c r="Q382" s="7" t="str">
        <f t="shared" si="124"/>
        <v>福祉部</v>
      </c>
      <c r="R382" s="7" t="str">
        <f t="shared" si="123"/>
        <v>修徳学院</v>
      </c>
    </row>
    <row r="383" spans="1:18" s="1" customFormat="1" x14ac:dyDescent="0.45">
      <c r="A383" s="7" t="str">
        <f>"03285000901"</f>
        <v>03285000901</v>
      </c>
      <c r="B383" s="7" t="str">
        <f>"修徳学院附属舎"</f>
        <v>修徳学院附属舎</v>
      </c>
      <c r="C383" s="7" t="str">
        <f>"普通財産"</f>
        <v>普通財産</v>
      </c>
      <c r="D383" s="7" t="str">
        <f>"その他"</f>
        <v>その他</v>
      </c>
      <c r="E383" s="7" t="str">
        <f t="shared" si="122"/>
        <v>大阪府柏原市大字高井田</v>
      </c>
      <c r="F383" s="7"/>
      <c r="G383" s="7" t="str">
        <f t="shared" si="108"/>
        <v>事業用資産</v>
      </c>
      <c r="H383" s="7" t="str">
        <f t="shared" si="109"/>
        <v>棚卸以外</v>
      </c>
      <c r="I383" s="7">
        <v>3</v>
      </c>
      <c r="J383" s="7" t="str">
        <f>"職員宅舎プロパン庫"</f>
        <v>職員宅舎プロパン庫</v>
      </c>
      <c r="K383" s="7" t="str">
        <f>"鉄骨造"</f>
        <v>鉄骨造</v>
      </c>
      <c r="L383" s="7" t="str">
        <f>"S46.03.28"</f>
        <v>S46.03.28</v>
      </c>
      <c r="M383" s="7">
        <v>4.25</v>
      </c>
      <c r="N383" s="7">
        <v>170000</v>
      </c>
      <c r="O383" s="7">
        <v>169999</v>
      </c>
      <c r="P383" s="7">
        <v>0</v>
      </c>
      <c r="Q383" s="7" t="str">
        <f t="shared" si="124"/>
        <v>福祉部</v>
      </c>
      <c r="R383" s="7" t="str">
        <f t="shared" si="123"/>
        <v>修徳学院</v>
      </c>
    </row>
    <row r="384" spans="1:18" s="1" customFormat="1" x14ac:dyDescent="0.45">
      <c r="A384" s="7" t="str">
        <f t="shared" ref="A384:A405" si="126">"00240001005"</f>
        <v>00240001005</v>
      </c>
      <c r="B384" s="7" t="str">
        <f t="shared" ref="B384:B405" si="127">"青少年海洋活動施設"</f>
        <v>青少年海洋活動施設</v>
      </c>
      <c r="C384" s="7" t="str">
        <f t="shared" ref="C384:C415" si="128">"行政財産"</f>
        <v>行政財産</v>
      </c>
      <c r="D384" s="7" t="str">
        <f t="shared" ref="D384:D405" si="129">"その他（公共用）の施設"</f>
        <v>その他（公共用）の施設</v>
      </c>
      <c r="E384" s="7" t="str">
        <f t="shared" ref="E384:E405" si="130">"大阪府泉南郡　岬町淡輪"</f>
        <v>大阪府泉南郡　岬町淡輪</v>
      </c>
      <c r="F384" s="7"/>
      <c r="G384" s="7" t="str">
        <f t="shared" si="108"/>
        <v>事業用資産</v>
      </c>
      <c r="H384" s="7" t="str">
        <f t="shared" si="109"/>
        <v>棚卸以外</v>
      </c>
      <c r="I384" s="7">
        <v>1</v>
      </c>
      <c r="J384" s="7" t="str">
        <f>"処理場"</f>
        <v>処理場</v>
      </c>
      <c r="K384" s="7" t="str">
        <f>"鉄筋コンクリート造"</f>
        <v>鉄筋コンクリート造</v>
      </c>
      <c r="L384" s="7" t="str">
        <f t="shared" ref="L384:L400" si="131">"S50.07.20"</f>
        <v>S50.07.20</v>
      </c>
      <c r="M384" s="7">
        <v>824.24</v>
      </c>
      <c r="N384" s="7">
        <v>154012000</v>
      </c>
      <c r="O384" s="7">
        <v>154011999</v>
      </c>
      <c r="P384" s="7">
        <v>0</v>
      </c>
      <c r="Q384" s="7" t="str">
        <f t="shared" si="124"/>
        <v>福祉部</v>
      </c>
      <c r="R384" s="7" t="str">
        <f t="shared" ref="R384:R405" si="132">"子ども家庭局"</f>
        <v>子ども家庭局</v>
      </c>
    </row>
    <row r="385" spans="1:18" s="1" customFormat="1" x14ac:dyDescent="0.45">
      <c r="A385" s="7" t="str">
        <f t="shared" si="126"/>
        <v>00240001005</v>
      </c>
      <c r="B385" s="7" t="str">
        <f t="shared" si="127"/>
        <v>青少年海洋活動施設</v>
      </c>
      <c r="C385" s="7" t="str">
        <f t="shared" si="128"/>
        <v>行政財産</v>
      </c>
      <c r="D385" s="7" t="str">
        <f t="shared" si="129"/>
        <v>その他（公共用）の施設</v>
      </c>
      <c r="E385" s="7" t="str">
        <f t="shared" si="130"/>
        <v>大阪府泉南郡　岬町淡輪</v>
      </c>
      <c r="F385" s="7"/>
      <c r="G385" s="7" t="str">
        <f t="shared" si="108"/>
        <v>事業用資産</v>
      </c>
      <c r="H385" s="7" t="str">
        <f t="shared" si="109"/>
        <v>棚卸以外</v>
      </c>
      <c r="I385" s="7">
        <v>2</v>
      </c>
      <c r="J385" s="7" t="str">
        <f>"宿泊管理棟"</f>
        <v>宿泊管理棟</v>
      </c>
      <c r="K385" s="7" t="str">
        <f>"鉄筋コンクリート造"</f>
        <v>鉄筋コンクリート造</v>
      </c>
      <c r="L385" s="7" t="str">
        <f t="shared" si="131"/>
        <v>S50.07.20</v>
      </c>
      <c r="M385" s="7">
        <v>5626.82</v>
      </c>
      <c r="N385" s="7">
        <v>862570000</v>
      </c>
      <c r="O385" s="7">
        <v>796091498</v>
      </c>
      <c r="P385" s="7">
        <v>0</v>
      </c>
      <c r="Q385" s="7" t="str">
        <f t="shared" si="124"/>
        <v>福祉部</v>
      </c>
      <c r="R385" s="7" t="str">
        <f t="shared" si="132"/>
        <v>子ども家庭局</v>
      </c>
    </row>
    <row r="386" spans="1:18" s="1" customFormat="1" x14ac:dyDescent="0.45">
      <c r="A386" s="7" t="str">
        <f t="shared" si="126"/>
        <v>00240001005</v>
      </c>
      <c r="B386" s="7" t="str">
        <f t="shared" si="127"/>
        <v>青少年海洋活動施設</v>
      </c>
      <c r="C386" s="7" t="str">
        <f t="shared" si="128"/>
        <v>行政財産</v>
      </c>
      <c r="D386" s="7" t="str">
        <f t="shared" si="129"/>
        <v>その他（公共用）の施設</v>
      </c>
      <c r="E386" s="7" t="str">
        <f t="shared" si="130"/>
        <v>大阪府泉南郡　岬町淡輪</v>
      </c>
      <c r="F386" s="7"/>
      <c r="G386" s="7" t="str">
        <f t="shared" si="108"/>
        <v>事業用資産</v>
      </c>
      <c r="H386" s="7" t="str">
        <f t="shared" si="109"/>
        <v>棚卸以外</v>
      </c>
      <c r="I386" s="7">
        <v>3</v>
      </c>
      <c r="J386" s="7" t="str">
        <f>"体育館"</f>
        <v>体育館</v>
      </c>
      <c r="K386" s="7" t="str">
        <f>"鉄筋コンクリート造"</f>
        <v>鉄筋コンクリート造</v>
      </c>
      <c r="L386" s="7" t="str">
        <f t="shared" si="131"/>
        <v>S50.07.20</v>
      </c>
      <c r="M386" s="7">
        <v>812.52</v>
      </c>
      <c r="N386" s="7">
        <v>102284000</v>
      </c>
      <c r="O386" s="7">
        <v>102283999</v>
      </c>
      <c r="P386" s="7">
        <v>0</v>
      </c>
      <c r="Q386" s="7" t="str">
        <f t="shared" si="124"/>
        <v>福祉部</v>
      </c>
      <c r="R386" s="7" t="str">
        <f t="shared" si="132"/>
        <v>子ども家庭局</v>
      </c>
    </row>
    <row r="387" spans="1:18" s="1" customFormat="1" x14ac:dyDescent="0.45">
      <c r="A387" s="7" t="str">
        <f t="shared" si="126"/>
        <v>00240001005</v>
      </c>
      <c r="B387" s="7" t="str">
        <f t="shared" si="127"/>
        <v>青少年海洋活動施設</v>
      </c>
      <c r="C387" s="7" t="str">
        <f t="shared" si="128"/>
        <v>行政財産</v>
      </c>
      <c r="D387" s="7" t="str">
        <f t="shared" si="129"/>
        <v>その他（公共用）の施設</v>
      </c>
      <c r="E387" s="7" t="str">
        <f t="shared" si="130"/>
        <v>大阪府泉南郡　岬町淡輪</v>
      </c>
      <c r="F387" s="7"/>
      <c r="G387" s="7" t="str">
        <f t="shared" si="108"/>
        <v>事業用資産</v>
      </c>
      <c r="H387" s="7" t="str">
        <f t="shared" si="109"/>
        <v>棚卸以外</v>
      </c>
      <c r="I387" s="7">
        <v>4</v>
      </c>
      <c r="J387" s="7" t="str">
        <f>"機械棟"</f>
        <v>機械棟</v>
      </c>
      <c r="K387" s="7" t="str">
        <f>"鉄筋コンクリート造"</f>
        <v>鉄筋コンクリート造</v>
      </c>
      <c r="L387" s="7" t="str">
        <f t="shared" si="131"/>
        <v>S50.07.20</v>
      </c>
      <c r="M387" s="7">
        <v>618.94000000000005</v>
      </c>
      <c r="N387" s="7">
        <v>337015000</v>
      </c>
      <c r="O387" s="7">
        <v>334591008</v>
      </c>
      <c r="P387" s="7">
        <v>0</v>
      </c>
      <c r="Q387" s="7" t="str">
        <f t="shared" si="124"/>
        <v>福祉部</v>
      </c>
      <c r="R387" s="7" t="str">
        <f t="shared" si="132"/>
        <v>子ども家庭局</v>
      </c>
    </row>
    <row r="388" spans="1:18" s="1" customFormat="1" x14ac:dyDescent="0.45">
      <c r="A388" s="7" t="str">
        <f t="shared" si="126"/>
        <v>00240001005</v>
      </c>
      <c r="B388" s="7" t="str">
        <f t="shared" si="127"/>
        <v>青少年海洋活動施設</v>
      </c>
      <c r="C388" s="7" t="str">
        <f t="shared" si="128"/>
        <v>行政財産</v>
      </c>
      <c r="D388" s="7" t="str">
        <f t="shared" si="129"/>
        <v>その他（公共用）の施設</v>
      </c>
      <c r="E388" s="7" t="str">
        <f t="shared" si="130"/>
        <v>大阪府泉南郡　岬町淡輪</v>
      </c>
      <c r="F388" s="7"/>
      <c r="G388" s="7" t="str">
        <f t="shared" ref="G388:G451" si="133">"事業用資産"</f>
        <v>事業用資産</v>
      </c>
      <c r="H388" s="7" t="str">
        <f t="shared" ref="H388:H451" si="134">"棚卸以外"</f>
        <v>棚卸以外</v>
      </c>
      <c r="I388" s="7">
        <v>5</v>
      </c>
      <c r="J388" s="7" t="str">
        <f>"受水槽ポンプ室"</f>
        <v>受水槽ポンプ室</v>
      </c>
      <c r="K388" s="7" t="str">
        <f>"鉄筋コンクリート造"</f>
        <v>鉄筋コンクリート造</v>
      </c>
      <c r="L388" s="7" t="str">
        <f t="shared" si="131"/>
        <v>S50.07.20</v>
      </c>
      <c r="M388" s="7">
        <v>90</v>
      </c>
      <c r="N388" s="7">
        <v>27951000</v>
      </c>
      <c r="O388" s="7">
        <v>27950999</v>
      </c>
      <c r="P388" s="7">
        <v>0</v>
      </c>
      <c r="Q388" s="7" t="str">
        <f t="shared" si="124"/>
        <v>福祉部</v>
      </c>
      <c r="R388" s="7" t="str">
        <f t="shared" si="132"/>
        <v>子ども家庭局</v>
      </c>
    </row>
    <row r="389" spans="1:18" s="1" customFormat="1" x14ac:dyDescent="0.45">
      <c r="A389" s="7" t="str">
        <f t="shared" si="126"/>
        <v>00240001005</v>
      </c>
      <c r="B389" s="7" t="str">
        <f t="shared" si="127"/>
        <v>青少年海洋活動施設</v>
      </c>
      <c r="C389" s="7" t="str">
        <f t="shared" si="128"/>
        <v>行政財産</v>
      </c>
      <c r="D389" s="7" t="str">
        <f t="shared" si="129"/>
        <v>その他（公共用）の施設</v>
      </c>
      <c r="E389" s="7" t="str">
        <f t="shared" si="130"/>
        <v>大阪府泉南郡　岬町淡輪</v>
      </c>
      <c r="F389" s="7"/>
      <c r="G389" s="7" t="str">
        <f t="shared" si="133"/>
        <v>事業用資産</v>
      </c>
      <c r="H389" s="7" t="str">
        <f t="shared" si="134"/>
        <v>棚卸以外</v>
      </c>
      <c r="I389" s="7">
        <v>6</v>
      </c>
      <c r="J389" s="7" t="str">
        <f>"集会室展示棟"</f>
        <v>集会室展示棟</v>
      </c>
      <c r="K389" s="7" t="str">
        <f>"鉄骨造"</f>
        <v>鉄骨造</v>
      </c>
      <c r="L389" s="7" t="str">
        <f t="shared" si="131"/>
        <v>S50.07.20</v>
      </c>
      <c r="M389" s="7">
        <v>1882.79</v>
      </c>
      <c r="N389" s="7">
        <v>664817000</v>
      </c>
      <c r="O389" s="7">
        <v>664816999</v>
      </c>
      <c r="P389" s="7">
        <v>0</v>
      </c>
      <c r="Q389" s="7" t="str">
        <f t="shared" si="124"/>
        <v>福祉部</v>
      </c>
      <c r="R389" s="7" t="str">
        <f t="shared" si="132"/>
        <v>子ども家庭局</v>
      </c>
    </row>
    <row r="390" spans="1:18" s="1" customFormat="1" x14ac:dyDescent="0.45">
      <c r="A390" s="7" t="str">
        <f t="shared" si="126"/>
        <v>00240001005</v>
      </c>
      <c r="B390" s="7" t="str">
        <f t="shared" si="127"/>
        <v>青少年海洋活動施設</v>
      </c>
      <c r="C390" s="7" t="str">
        <f t="shared" si="128"/>
        <v>行政財産</v>
      </c>
      <c r="D390" s="7" t="str">
        <f t="shared" si="129"/>
        <v>その他（公共用）の施設</v>
      </c>
      <c r="E390" s="7" t="str">
        <f t="shared" si="130"/>
        <v>大阪府泉南郡　岬町淡輪</v>
      </c>
      <c r="F390" s="7"/>
      <c r="G390" s="7" t="str">
        <f t="shared" si="133"/>
        <v>事業用資産</v>
      </c>
      <c r="H390" s="7" t="str">
        <f t="shared" si="134"/>
        <v>棚卸以外</v>
      </c>
      <c r="I390" s="7">
        <v>7</v>
      </c>
      <c r="J390" s="7" t="str">
        <f>"便所"</f>
        <v>便所</v>
      </c>
      <c r="K390" s="7" t="str">
        <f t="shared" ref="K390:K408" si="135">"鉄筋コンクリート造"</f>
        <v>鉄筋コンクリート造</v>
      </c>
      <c r="L390" s="7" t="str">
        <f t="shared" si="131"/>
        <v>S50.07.20</v>
      </c>
      <c r="M390" s="7">
        <v>20.72</v>
      </c>
      <c r="N390" s="7">
        <v>2275000</v>
      </c>
      <c r="O390" s="7">
        <v>2274999</v>
      </c>
      <c r="P390" s="7">
        <v>0</v>
      </c>
      <c r="Q390" s="7" t="str">
        <f t="shared" si="124"/>
        <v>福祉部</v>
      </c>
      <c r="R390" s="7" t="str">
        <f t="shared" si="132"/>
        <v>子ども家庭局</v>
      </c>
    </row>
    <row r="391" spans="1:18" s="1" customFormat="1" x14ac:dyDescent="0.45">
      <c r="A391" s="7" t="str">
        <f t="shared" si="126"/>
        <v>00240001005</v>
      </c>
      <c r="B391" s="7" t="str">
        <f t="shared" si="127"/>
        <v>青少年海洋活動施設</v>
      </c>
      <c r="C391" s="7" t="str">
        <f t="shared" si="128"/>
        <v>行政財産</v>
      </c>
      <c r="D391" s="7" t="str">
        <f t="shared" si="129"/>
        <v>その他（公共用）の施設</v>
      </c>
      <c r="E391" s="7" t="str">
        <f t="shared" si="130"/>
        <v>大阪府泉南郡　岬町淡輪</v>
      </c>
      <c r="F391" s="7"/>
      <c r="G391" s="7" t="str">
        <f t="shared" si="133"/>
        <v>事業用資産</v>
      </c>
      <c r="H391" s="7" t="str">
        <f t="shared" si="134"/>
        <v>棚卸以外</v>
      </c>
      <c r="I391" s="7">
        <v>8</v>
      </c>
      <c r="J391" s="7" t="str">
        <f>"プロパンガスボンベ置場"</f>
        <v>プロパンガスボンベ置場</v>
      </c>
      <c r="K391" s="7" t="str">
        <f t="shared" si="135"/>
        <v>鉄筋コンクリート造</v>
      </c>
      <c r="L391" s="7" t="str">
        <f t="shared" si="131"/>
        <v>S50.07.20</v>
      </c>
      <c r="M391" s="7">
        <v>14.8</v>
      </c>
      <c r="N391" s="7">
        <v>3243000</v>
      </c>
      <c r="O391" s="7">
        <v>3242999</v>
      </c>
      <c r="P391" s="7">
        <v>0</v>
      </c>
      <c r="Q391" s="7" t="str">
        <f t="shared" si="124"/>
        <v>福祉部</v>
      </c>
      <c r="R391" s="7" t="str">
        <f t="shared" si="132"/>
        <v>子ども家庭局</v>
      </c>
    </row>
    <row r="392" spans="1:18" s="1" customFormat="1" x14ac:dyDescent="0.45">
      <c r="A392" s="7" t="str">
        <f t="shared" si="126"/>
        <v>00240001005</v>
      </c>
      <c r="B392" s="7" t="str">
        <f t="shared" si="127"/>
        <v>青少年海洋活動施設</v>
      </c>
      <c r="C392" s="7" t="str">
        <f t="shared" si="128"/>
        <v>行政財産</v>
      </c>
      <c r="D392" s="7" t="str">
        <f t="shared" si="129"/>
        <v>その他（公共用）の施設</v>
      </c>
      <c r="E392" s="7" t="str">
        <f t="shared" si="130"/>
        <v>大阪府泉南郡　岬町淡輪</v>
      </c>
      <c r="F392" s="7"/>
      <c r="G392" s="7" t="str">
        <f t="shared" si="133"/>
        <v>事業用資産</v>
      </c>
      <c r="H392" s="7" t="str">
        <f t="shared" si="134"/>
        <v>棚卸以外</v>
      </c>
      <c r="I392" s="7">
        <v>9</v>
      </c>
      <c r="J392" s="7" t="str">
        <f>"レインジャーオフィス"</f>
        <v>レインジャーオフィス</v>
      </c>
      <c r="K392" s="7" t="str">
        <f t="shared" si="135"/>
        <v>鉄筋コンクリート造</v>
      </c>
      <c r="L392" s="7" t="str">
        <f t="shared" si="131"/>
        <v>S50.07.20</v>
      </c>
      <c r="M392" s="7">
        <v>34.75</v>
      </c>
      <c r="N392" s="7">
        <v>6970000</v>
      </c>
      <c r="O392" s="7">
        <v>6668158</v>
      </c>
      <c r="P392" s="7">
        <v>0</v>
      </c>
      <c r="Q392" s="7" t="str">
        <f t="shared" si="124"/>
        <v>福祉部</v>
      </c>
      <c r="R392" s="7" t="str">
        <f t="shared" si="132"/>
        <v>子ども家庭局</v>
      </c>
    </row>
    <row r="393" spans="1:18" s="1" customFormat="1" x14ac:dyDescent="0.45">
      <c r="A393" s="7" t="str">
        <f t="shared" si="126"/>
        <v>00240001005</v>
      </c>
      <c r="B393" s="7" t="str">
        <f t="shared" si="127"/>
        <v>青少年海洋活動施設</v>
      </c>
      <c r="C393" s="7" t="str">
        <f t="shared" si="128"/>
        <v>行政財産</v>
      </c>
      <c r="D393" s="7" t="str">
        <f t="shared" si="129"/>
        <v>その他（公共用）の施設</v>
      </c>
      <c r="E393" s="7" t="str">
        <f t="shared" si="130"/>
        <v>大阪府泉南郡　岬町淡輪</v>
      </c>
      <c r="F393" s="7"/>
      <c r="G393" s="7" t="str">
        <f t="shared" si="133"/>
        <v>事業用資産</v>
      </c>
      <c r="H393" s="7" t="str">
        <f t="shared" si="134"/>
        <v>棚卸以外</v>
      </c>
      <c r="I393" s="7">
        <v>10</v>
      </c>
      <c r="J393" s="7" t="str">
        <f>"ロマンス山便所倉庫"</f>
        <v>ロマンス山便所倉庫</v>
      </c>
      <c r="K393" s="7" t="str">
        <f t="shared" si="135"/>
        <v>鉄筋コンクリート造</v>
      </c>
      <c r="L393" s="7" t="str">
        <f t="shared" si="131"/>
        <v>S50.07.20</v>
      </c>
      <c r="M393" s="7">
        <v>50.25</v>
      </c>
      <c r="N393" s="7">
        <v>17058000</v>
      </c>
      <c r="O393" s="7">
        <v>17057999</v>
      </c>
      <c r="P393" s="7">
        <v>0</v>
      </c>
      <c r="Q393" s="7" t="str">
        <f t="shared" si="124"/>
        <v>福祉部</v>
      </c>
      <c r="R393" s="7" t="str">
        <f t="shared" si="132"/>
        <v>子ども家庭局</v>
      </c>
    </row>
    <row r="394" spans="1:18" s="1" customFormat="1" x14ac:dyDescent="0.45">
      <c r="A394" s="7" t="str">
        <f t="shared" si="126"/>
        <v>00240001005</v>
      </c>
      <c r="B394" s="7" t="str">
        <f t="shared" si="127"/>
        <v>青少年海洋活動施設</v>
      </c>
      <c r="C394" s="7" t="str">
        <f t="shared" si="128"/>
        <v>行政財産</v>
      </c>
      <c r="D394" s="7" t="str">
        <f t="shared" si="129"/>
        <v>その他（公共用）の施設</v>
      </c>
      <c r="E394" s="7" t="str">
        <f t="shared" si="130"/>
        <v>大阪府泉南郡　岬町淡輪</v>
      </c>
      <c r="F394" s="7"/>
      <c r="G394" s="7" t="str">
        <f t="shared" si="133"/>
        <v>事業用資産</v>
      </c>
      <c r="H394" s="7" t="str">
        <f t="shared" si="134"/>
        <v>棚卸以外</v>
      </c>
      <c r="I394" s="7">
        <v>11</v>
      </c>
      <c r="J394" s="7" t="str">
        <f>"スタッフケビン"</f>
        <v>スタッフケビン</v>
      </c>
      <c r="K394" s="7" t="str">
        <f t="shared" si="135"/>
        <v>鉄筋コンクリート造</v>
      </c>
      <c r="L394" s="7" t="str">
        <f t="shared" si="131"/>
        <v>S50.07.20</v>
      </c>
      <c r="M394" s="7">
        <v>243.91</v>
      </c>
      <c r="N394" s="7">
        <v>41455000</v>
      </c>
      <c r="O394" s="7">
        <v>39658808</v>
      </c>
      <c r="P394" s="7">
        <v>0</v>
      </c>
      <c r="Q394" s="7" t="str">
        <f t="shared" si="124"/>
        <v>福祉部</v>
      </c>
      <c r="R394" s="7" t="str">
        <f t="shared" si="132"/>
        <v>子ども家庭局</v>
      </c>
    </row>
    <row r="395" spans="1:18" s="1" customFormat="1" x14ac:dyDescent="0.45">
      <c r="A395" s="7" t="str">
        <f t="shared" si="126"/>
        <v>00240001005</v>
      </c>
      <c r="B395" s="7" t="str">
        <f t="shared" si="127"/>
        <v>青少年海洋活動施設</v>
      </c>
      <c r="C395" s="7" t="str">
        <f t="shared" si="128"/>
        <v>行政財産</v>
      </c>
      <c r="D395" s="7" t="str">
        <f t="shared" si="129"/>
        <v>その他（公共用）の施設</v>
      </c>
      <c r="E395" s="7" t="str">
        <f t="shared" si="130"/>
        <v>大阪府泉南郡　岬町淡輪</v>
      </c>
      <c r="F395" s="7"/>
      <c r="G395" s="7" t="str">
        <f t="shared" si="133"/>
        <v>事業用資産</v>
      </c>
      <c r="H395" s="7" t="str">
        <f t="shared" si="134"/>
        <v>棚卸以外</v>
      </c>
      <c r="I395" s="7">
        <v>12</v>
      </c>
      <c r="J395" s="7" t="str">
        <f>"倉庫"</f>
        <v>倉庫</v>
      </c>
      <c r="K395" s="7" t="str">
        <f t="shared" si="135"/>
        <v>鉄筋コンクリート造</v>
      </c>
      <c r="L395" s="7" t="str">
        <f t="shared" si="131"/>
        <v>S50.07.20</v>
      </c>
      <c r="M395" s="7">
        <v>20</v>
      </c>
      <c r="N395" s="7">
        <v>2142000</v>
      </c>
      <c r="O395" s="7">
        <v>2141999</v>
      </c>
      <c r="P395" s="7">
        <v>0</v>
      </c>
      <c r="Q395" s="7" t="str">
        <f t="shared" si="124"/>
        <v>福祉部</v>
      </c>
      <c r="R395" s="7" t="str">
        <f t="shared" si="132"/>
        <v>子ども家庭局</v>
      </c>
    </row>
    <row r="396" spans="1:18" s="1" customFormat="1" x14ac:dyDescent="0.45">
      <c r="A396" s="7" t="str">
        <f t="shared" si="126"/>
        <v>00240001005</v>
      </c>
      <c r="B396" s="7" t="str">
        <f t="shared" si="127"/>
        <v>青少年海洋活動施設</v>
      </c>
      <c r="C396" s="7" t="str">
        <f t="shared" si="128"/>
        <v>行政財産</v>
      </c>
      <c r="D396" s="7" t="str">
        <f t="shared" si="129"/>
        <v>その他（公共用）の施設</v>
      </c>
      <c r="E396" s="7" t="str">
        <f t="shared" si="130"/>
        <v>大阪府泉南郡　岬町淡輪</v>
      </c>
      <c r="F396" s="7"/>
      <c r="G396" s="7" t="str">
        <f t="shared" si="133"/>
        <v>事業用資産</v>
      </c>
      <c r="H396" s="7" t="str">
        <f t="shared" si="134"/>
        <v>棚卸以外</v>
      </c>
      <c r="I396" s="7">
        <v>13</v>
      </c>
      <c r="J396" s="7" t="str">
        <f>"サンクローピロティ"</f>
        <v>サンクローピロティ</v>
      </c>
      <c r="K396" s="7" t="str">
        <f t="shared" si="135"/>
        <v>鉄筋コンクリート造</v>
      </c>
      <c r="L396" s="7" t="str">
        <f t="shared" si="131"/>
        <v>S50.07.20</v>
      </c>
      <c r="M396" s="7">
        <v>99.63</v>
      </c>
      <c r="N396" s="7">
        <v>14337000</v>
      </c>
      <c r="O396" s="7">
        <v>14336999</v>
      </c>
      <c r="P396" s="7">
        <v>0</v>
      </c>
      <c r="Q396" s="7" t="str">
        <f t="shared" si="124"/>
        <v>福祉部</v>
      </c>
      <c r="R396" s="7" t="str">
        <f t="shared" si="132"/>
        <v>子ども家庭局</v>
      </c>
    </row>
    <row r="397" spans="1:18" s="1" customFormat="1" x14ac:dyDescent="0.45">
      <c r="A397" s="7" t="str">
        <f t="shared" si="126"/>
        <v>00240001005</v>
      </c>
      <c r="B397" s="7" t="str">
        <f t="shared" si="127"/>
        <v>青少年海洋活動施設</v>
      </c>
      <c r="C397" s="7" t="str">
        <f t="shared" si="128"/>
        <v>行政財産</v>
      </c>
      <c r="D397" s="7" t="str">
        <f t="shared" si="129"/>
        <v>その他（公共用）の施設</v>
      </c>
      <c r="E397" s="7" t="str">
        <f t="shared" si="130"/>
        <v>大阪府泉南郡　岬町淡輪</v>
      </c>
      <c r="F397" s="7"/>
      <c r="G397" s="7" t="str">
        <f t="shared" si="133"/>
        <v>事業用資産</v>
      </c>
      <c r="H397" s="7" t="str">
        <f t="shared" si="134"/>
        <v>棚卸以外</v>
      </c>
      <c r="I397" s="7">
        <v>14</v>
      </c>
      <c r="J397" s="7" t="str">
        <f>"艇庫倉庫スタッフケビン２"</f>
        <v>艇庫倉庫スタッフケビン２</v>
      </c>
      <c r="K397" s="7" t="str">
        <f t="shared" si="135"/>
        <v>鉄筋コンクリート造</v>
      </c>
      <c r="L397" s="7" t="str">
        <f t="shared" si="131"/>
        <v>S50.07.20</v>
      </c>
      <c r="M397" s="7">
        <v>1161.0999999999999</v>
      </c>
      <c r="N397" s="7">
        <v>72001000</v>
      </c>
      <c r="O397" s="7">
        <v>72000999</v>
      </c>
      <c r="P397" s="7">
        <v>0</v>
      </c>
      <c r="Q397" s="7" t="str">
        <f t="shared" si="124"/>
        <v>福祉部</v>
      </c>
      <c r="R397" s="7" t="str">
        <f t="shared" si="132"/>
        <v>子ども家庭局</v>
      </c>
    </row>
    <row r="398" spans="1:18" s="1" customFormat="1" x14ac:dyDescent="0.45">
      <c r="A398" s="7" t="str">
        <f t="shared" si="126"/>
        <v>00240001005</v>
      </c>
      <c r="B398" s="7" t="str">
        <f t="shared" si="127"/>
        <v>青少年海洋活動施設</v>
      </c>
      <c r="C398" s="7" t="str">
        <f t="shared" si="128"/>
        <v>行政財産</v>
      </c>
      <c r="D398" s="7" t="str">
        <f t="shared" si="129"/>
        <v>その他（公共用）の施設</v>
      </c>
      <c r="E398" s="7" t="str">
        <f t="shared" si="130"/>
        <v>大阪府泉南郡　岬町淡輪</v>
      </c>
      <c r="F398" s="7"/>
      <c r="G398" s="7" t="str">
        <f t="shared" si="133"/>
        <v>事業用資産</v>
      </c>
      <c r="H398" s="7" t="str">
        <f t="shared" si="134"/>
        <v>棚卸以外</v>
      </c>
      <c r="I398" s="7">
        <v>15</v>
      </c>
      <c r="J398" s="7" t="str">
        <f>"排水貯留槽"</f>
        <v>排水貯留槽</v>
      </c>
      <c r="K398" s="7" t="str">
        <f t="shared" si="135"/>
        <v>鉄筋コンクリート造</v>
      </c>
      <c r="L398" s="7" t="str">
        <f t="shared" si="131"/>
        <v>S50.07.20</v>
      </c>
      <c r="M398" s="7">
        <v>14.26</v>
      </c>
      <c r="N398" s="7">
        <v>2687000</v>
      </c>
      <c r="O398" s="7">
        <v>2686999</v>
      </c>
      <c r="P398" s="7">
        <v>0</v>
      </c>
      <c r="Q398" s="7" t="str">
        <f t="shared" si="124"/>
        <v>福祉部</v>
      </c>
      <c r="R398" s="7" t="str">
        <f t="shared" si="132"/>
        <v>子ども家庭局</v>
      </c>
    </row>
    <row r="399" spans="1:18" s="1" customFormat="1" x14ac:dyDescent="0.45">
      <c r="A399" s="7" t="str">
        <f t="shared" si="126"/>
        <v>00240001005</v>
      </c>
      <c r="B399" s="7" t="str">
        <f t="shared" si="127"/>
        <v>青少年海洋活動施設</v>
      </c>
      <c r="C399" s="7" t="str">
        <f t="shared" si="128"/>
        <v>行政財産</v>
      </c>
      <c r="D399" s="7" t="str">
        <f t="shared" si="129"/>
        <v>その他（公共用）の施設</v>
      </c>
      <c r="E399" s="7" t="str">
        <f t="shared" si="130"/>
        <v>大阪府泉南郡　岬町淡輪</v>
      </c>
      <c r="F399" s="7"/>
      <c r="G399" s="7" t="str">
        <f t="shared" si="133"/>
        <v>事業用資産</v>
      </c>
      <c r="H399" s="7" t="str">
        <f t="shared" si="134"/>
        <v>棚卸以外</v>
      </c>
      <c r="I399" s="7">
        <v>16</v>
      </c>
      <c r="J399" s="7" t="str">
        <f>"ウィンチ室"</f>
        <v>ウィンチ室</v>
      </c>
      <c r="K399" s="7" t="str">
        <f t="shared" si="135"/>
        <v>鉄筋コンクリート造</v>
      </c>
      <c r="L399" s="7" t="str">
        <f t="shared" si="131"/>
        <v>S50.07.20</v>
      </c>
      <c r="M399" s="7">
        <v>12</v>
      </c>
      <c r="N399" s="7">
        <v>5162000</v>
      </c>
      <c r="O399" s="7">
        <v>5161999</v>
      </c>
      <c r="P399" s="7">
        <v>0</v>
      </c>
      <c r="Q399" s="7" t="str">
        <f t="shared" si="124"/>
        <v>福祉部</v>
      </c>
      <c r="R399" s="7" t="str">
        <f t="shared" si="132"/>
        <v>子ども家庭局</v>
      </c>
    </row>
    <row r="400" spans="1:18" s="1" customFormat="1" x14ac:dyDescent="0.45">
      <c r="A400" s="7" t="str">
        <f t="shared" si="126"/>
        <v>00240001005</v>
      </c>
      <c r="B400" s="7" t="str">
        <f t="shared" si="127"/>
        <v>青少年海洋活動施設</v>
      </c>
      <c r="C400" s="7" t="str">
        <f t="shared" si="128"/>
        <v>行政財産</v>
      </c>
      <c r="D400" s="7" t="str">
        <f t="shared" si="129"/>
        <v>その他（公共用）の施設</v>
      </c>
      <c r="E400" s="7" t="str">
        <f t="shared" si="130"/>
        <v>大阪府泉南郡　岬町淡輪</v>
      </c>
      <c r="F400" s="7"/>
      <c r="G400" s="7" t="str">
        <f t="shared" si="133"/>
        <v>事業用資産</v>
      </c>
      <c r="H400" s="7" t="str">
        <f t="shared" si="134"/>
        <v>棚卸以外</v>
      </c>
      <c r="I400" s="7">
        <v>18</v>
      </c>
      <c r="J400" s="7" t="str">
        <f>"売店"</f>
        <v>売店</v>
      </c>
      <c r="K400" s="7" t="str">
        <f t="shared" si="135"/>
        <v>鉄筋コンクリート造</v>
      </c>
      <c r="L400" s="7" t="str">
        <f t="shared" si="131"/>
        <v>S50.07.20</v>
      </c>
      <c r="M400" s="7">
        <v>46.08</v>
      </c>
      <c r="N400" s="7">
        <v>7066000</v>
      </c>
      <c r="O400" s="7">
        <v>6642228</v>
      </c>
      <c r="P400" s="7">
        <v>0</v>
      </c>
      <c r="Q400" s="7" t="str">
        <f t="shared" si="124"/>
        <v>福祉部</v>
      </c>
      <c r="R400" s="7" t="str">
        <f t="shared" si="132"/>
        <v>子ども家庭局</v>
      </c>
    </row>
    <row r="401" spans="1:18" s="1" customFormat="1" x14ac:dyDescent="0.45">
      <c r="A401" s="7" t="str">
        <f t="shared" si="126"/>
        <v>00240001005</v>
      </c>
      <c r="B401" s="7" t="str">
        <f t="shared" si="127"/>
        <v>青少年海洋活動施設</v>
      </c>
      <c r="C401" s="7" t="str">
        <f t="shared" si="128"/>
        <v>行政財産</v>
      </c>
      <c r="D401" s="7" t="str">
        <f t="shared" si="129"/>
        <v>その他（公共用）の施設</v>
      </c>
      <c r="E401" s="7" t="str">
        <f t="shared" si="130"/>
        <v>大阪府泉南郡　岬町淡輪</v>
      </c>
      <c r="F401" s="7"/>
      <c r="G401" s="7" t="str">
        <f t="shared" si="133"/>
        <v>事業用資産</v>
      </c>
      <c r="H401" s="7" t="str">
        <f t="shared" si="134"/>
        <v>棚卸以外</v>
      </c>
      <c r="I401" s="7">
        <v>20</v>
      </c>
      <c r="J401" s="7" t="str">
        <f>"ヨツトハウス"</f>
        <v>ヨツトハウス</v>
      </c>
      <c r="K401" s="7" t="str">
        <f t="shared" si="135"/>
        <v>鉄筋コンクリート造</v>
      </c>
      <c r="L401" s="7" t="str">
        <f>"H05.03.31"</f>
        <v>H05.03.31</v>
      </c>
      <c r="M401" s="7">
        <v>1793.31</v>
      </c>
      <c r="N401" s="7">
        <v>735099000</v>
      </c>
      <c r="O401" s="7">
        <v>580083719</v>
      </c>
      <c r="P401" s="7">
        <v>0</v>
      </c>
      <c r="Q401" s="7" t="str">
        <f t="shared" si="124"/>
        <v>福祉部</v>
      </c>
      <c r="R401" s="7" t="str">
        <f t="shared" si="132"/>
        <v>子ども家庭局</v>
      </c>
    </row>
    <row r="402" spans="1:18" s="1" customFormat="1" x14ac:dyDescent="0.45">
      <c r="A402" s="7" t="str">
        <f t="shared" si="126"/>
        <v>00240001005</v>
      </c>
      <c r="B402" s="7" t="str">
        <f t="shared" si="127"/>
        <v>青少年海洋活動施設</v>
      </c>
      <c r="C402" s="7" t="str">
        <f t="shared" si="128"/>
        <v>行政財産</v>
      </c>
      <c r="D402" s="7" t="str">
        <f t="shared" si="129"/>
        <v>その他（公共用）の施設</v>
      </c>
      <c r="E402" s="7" t="str">
        <f t="shared" si="130"/>
        <v>大阪府泉南郡　岬町淡輪</v>
      </c>
      <c r="F402" s="7"/>
      <c r="G402" s="7" t="str">
        <f t="shared" si="133"/>
        <v>事業用資産</v>
      </c>
      <c r="H402" s="7" t="str">
        <f t="shared" si="134"/>
        <v>棚卸以外</v>
      </c>
      <c r="I402" s="7">
        <v>21</v>
      </c>
      <c r="J402" s="7" t="str">
        <f>"ガスボンベ庫"</f>
        <v>ガスボンベ庫</v>
      </c>
      <c r="K402" s="7" t="str">
        <f t="shared" si="135"/>
        <v>鉄筋コンクリート造</v>
      </c>
      <c r="L402" s="7" t="str">
        <f>"H05.03.31"</f>
        <v>H05.03.31</v>
      </c>
      <c r="M402" s="7">
        <v>9.2200000000000006</v>
      </c>
      <c r="N402" s="7">
        <v>3572000</v>
      </c>
      <c r="O402" s="7">
        <v>2820240</v>
      </c>
      <c r="P402" s="7">
        <v>0</v>
      </c>
      <c r="Q402" s="7" t="str">
        <f t="shared" si="124"/>
        <v>福祉部</v>
      </c>
      <c r="R402" s="7" t="str">
        <f t="shared" si="132"/>
        <v>子ども家庭局</v>
      </c>
    </row>
    <row r="403" spans="1:18" s="1" customFormat="1" x14ac:dyDescent="0.45">
      <c r="A403" s="7" t="str">
        <f t="shared" si="126"/>
        <v>00240001005</v>
      </c>
      <c r="B403" s="7" t="str">
        <f t="shared" si="127"/>
        <v>青少年海洋活動施設</v>
      </c>
      <c r="C403" s="7" t="str">
        <f t="shared" si="128"/>
        <v>行政財産</v>
      </c>
      <c r="D403" s="7" t="str">
        <f t="shared" si="129"/>
        <v>その他（公共用）の施設</v>
      </c>
      <c r="E403" s="7" t="str">
        <f t="shared" si="130"/>
        <v>大阪府泉南郡　岬町淡輪</v>
      </c>
      <c r="F403" s="7"/>
      <c r="G403" s="7" t="str">
        <f t="shared" si="133"/>
        <v>事業用資産</v>
      </c>
      <c r="H403" s="7" t="str">
        <f t="shared" si="134"/>
        <v>棚卸以外</v>
      </c>
      <c r="I403" s="7">
        <v>22</v>
      </c>
      <c r="J403" s="7" t="str">
        <f>"フアミリー棟"</f>
        <v>フアミリー棟</v>
      </c>
      <c r="K403" s="7" t="str">
        <f t="shared" si="135"/>
        <v>鉄筋コンクリート造</v>
      </c>
      <c r="L403" s="7" t="str">
        <f>"H06.06.01"</f>
        <v>H06.06.01</v>
      </c>
      <c r="M403" s="7">
        <v>3519.76</v>
      </c>
      <c r="N403" s="7">
        <v>1855590000</v>
      </c>
      <c r="O403" s="7">
        <v>1133782644</v>
      </c>
      <c r="P403" s="7">
        <v>0</v>
      </c>
      <c r="Q403" s="7" t="str">
        <f t="shared" si="124"/>
        <v>福祉部</v>
      </c>
      <c r="R403" s="7" t="str">
        <f t="shared" si="132"/>
        <v>子ども家庭局</v>
      </c>
    </row>
    <row r="404" spans="1:18" s="1" customFormat="1" x14ac:dyDescent="0.45">
      <c r="A404" s="7" t="str">
        <f t="shared" si="126"/>
        <v>00240001005</v>
      </c>
      <c r="B404" s="7" t="str">
        <f t="shared" si="127"/>
        <v>青少年海洋活動施設</v>
      </c>
      <c r="C404" s="7" t="str">
        <f t="shared" si="128"/>
        <v>行政財産</v>
      </c>
      <c r="D404" s="7" t="str">
        <f t="shared" si="129"/>
        <v>その他（公共用）の施設</v>
      </c>
      <c r="E404" s="7" t="str">
        <f t="shared" si="130"/>
        <v>大阪府泉南郡　岬町淡輪</v>
      </c>
      <c r="F404" s="7"/>
      <c r="G404" s="7" t="str">
        <f t="shared" si="133"/>
        <v>事業用資産</v>
      </c>
      <c r="H404" s="7" t="str">
        <f t="shared" si="134"/>
        <v>棚卸以外</v>
      </c>
      <c r="I404" s="7">
        <v>23</v>
      </c>
      <c r="J404" s="7" t="str">
        <f>"プロパンボンベ庫"</f>
        <v>プロパンボンベ庫</v>
      </c>
      <c r="K404" s="7" t="str">
        <f t="shared" si="135"/>
        <v>鉄筋コンクリート造</v>
      </c>
      <c r="L404" s="7" t="str">
        <f>"H06.07.21"</f>
        <v>H06.07.21</v>
      </c>
      <c r="M404" s="7">
        <v>17.440000000000001</v>
      </c>
      <c r="N404" s="7">
        <v>4117000</v>
      </c>
      <c r="O404" s="7">
        <v>3105976</v>
      </c>
      <c r="P404" s="7">
        <v>0</v>
      </c>
      <c r="Q404" s="7" t="str">
        <f t="shared" si="124"/>
        <v>福祉部</v>
      </c>
      <c r="R404" s="7" t="str">
        <f t="shared" si="132"/>
        <v>子ども家庭局</v>
      </c>
    </row>
    <row r="405" spans="1:18" s="1" customFormat="1" x14ac:dyDescent="0.45">
      <c r="A405" s="7" t="str">
        <f t="shared" si="126"/>
        <v>00240001005</v>
      </c>
      <c r="B405" s="7" t="str">
        <f t="shared" si="127"/>
        <v>青少年海洋活動施設</v>
      </c>
      <c r="C405" s="7" t="str">
        <f t="shared" si="128"/>
        <v>行政財産</v>
      </c>
      <c r="D405" s="7" t="str">
        <f t="shared" si="129"/>
        <v>その他（公共用）の施設</v>
      </c>
      <c r="E405" s="7" t="str">
        <f t="shared" si="130"/>
        <v>大阪府泉南郡　岬町淡輪</v>
      </c>
      <c r="F405" s="7"/>
      <c r="G405" s="7" t="str">
        <f t="shared" si="133"/>
        <v>事業用資産</v>
      </c>
      <c r="H405" s="7" t="str">
        <f t="shared" si="134"/>
        <v>棚卸以外</v>
      </c>
      <c r="I405" s="7">
        <v>24</v>
      </c>
      <c r="J405" s="7" t="str">
        <f>"倉庫（大）"</f>
        <v>倉庫（大）</v>
      </c>
      <c r="K405" s="7" t="str">
        <f t="shared" si="135"/>
        <v>鉄筋コンクリート造</v>
      </c>
      <c r="L405" s="7" t="str">
        <f>"H08.10.03"</f>
        <v>H08.10.03</v>
      </c>
      <c r="M405" s="7">
        <v>443.9</v>
      </c>
      <c r="N405" s="7">
        <v>32506000</v>
      </c>
      <c r="O405" s="7">
        <v>21385800</v>
      </c>
      <c r="P405" s="7">
        <v>0</v>
      </c>
      <c r="Q405" s="7" t="str">
        <f t="shared" si="124"/>
        <v>福祉部</v>
      </c>
      <c r="R405" s="7" t="str">
        <f t="shared" si="132"/>
        <v>子ども家庭局</v>
      </c>
    </row>
    <row r="406" spans="1:18" s="1" customFormat="1" ht="26.4" x14ac:dyDescent="0.45">
      <c r="A406" s="7" t="str">
        <f>"04068000072"</f>
        <v>04068000072</v>
      </c>
      <c r="B406" s="7" t="str">
        <f>"障害者医療・リハセンター（災害拠点病院支援施設）"</f>
        <v>障害者医療・リハセンター（災害拠点病院支援施設）</v>
      </c>
      <c r="C406" s="7" t="str">
        <f t="shared" si="128"/>
        <v>行政財産</v>
      </c>
      <c r="D406" s="7" t="str">
        <f t="shared" ref="D406:D443" si="136">"その他（行政機関）の施設"</f>
        <v>その他（行政機関）の施設</v>
      </c>
      <c r="E406" s="7" t="str">
        <f>"大阪府大阪市　住吉区大領３丁目"</f>
        <v>大阪府大阪市　住吉区大領３丁目</v>
      </c>
      <c r="F406" s="7" t="str">
        <f>"２－３６"</f>
        <v>２－３６</v>
      </c>
      <c r="G406" s="7" t="str">
        <f t="shared" si="133"/>
        <v>事業用資産</v>
      </c>
      <c r="H406" s="7" t="str">
        <f t="shared" si="134"/>
        <v>棚卸以外</v>
      </c>
      <c r="I406" s="7">
        <v>1</v>
      </c>
      <c r="J406" s="7" t="str">
        <f>"災害拠点病院支援施設"</f>
        <v>災害拠点病院支援施設</v>
      </c>
      <c r="K406" s="7" t="str">
        <f t="shared" si="135"/>
        <v>鉄筋コンクリート造</v>
      </c>
      <c r="L406" s="7" t="str">
        <f>"H19.02.28"</f>
        <v>H19.02.28</v>
      </c>
      <c r="M406" s="7">
        <v>5260.08</v>
      </c>
      <c r="N406" s="7">
        <v>1496971953</v>
      </c>
      <c r="O406" s="7">
        <v>474360292</v>
      </c>
      <c r="P406" s="7">
        <v>0</v>
      </c>
      <c r="Q406" s="7" t="str">
        <f t="shared" ref="Q406:Q444" si="137">"健康医療部"</f>
        <v>健康医療部</v>
      </c>
      <c r="R406" s="7" t="str">
        <f>"保健医療室"</f>
        <v>保健医療室</v>
      </c>
    </row>
    <row r="407" spans="1:18" s="1" customFormat="1" x14ac:dyDescent="0.45">
      <c r="A407" s="7" t="str">
        <f>"04068000073"</f>
        <v>04068000073</v>
      </c>
      <c r="B407" s="7" t="str">
        <f>"監察医事務所"</f>
        <v>監察医事務所</v>
      </c>
      <c r="C407" s="7" t="str">
        <f t="shared" si="128"/>
        <v>行政財産</v>
      </c>
      <c r="D407" s="7" t="str">
        <f t="shared" si="136"/>
        <v>その他（行政機関）の施設</v>
      </c>
      <c r="E407" s="7" t="str">
        <f>"大阪府大阪市　中央区馬場町"</f>
        <v>大阪府大阪市　中央区馬場町</v>
      </c>
      <c r="F407" s="7"/>
      <c r="G407" s="7" t="str">
        <f t="shared" si="133"/>
        <v>事業用資産</v>
      </c>
      <c r="H407" s="7" t="str">
        <f t="shared" si="134"/>
        <v>棚卸以外</v>
      </c>
      <c r="I407" s="7">
        <v>1</v>
      </c>
      <c r="J407" s="7" t="str">
        <f>"監察医事務所庁舎"</f>
        <v>監察医事務所庁舎</v>
      </c>
      <c r="K407" s="7" t="str">
        <f t="shared" si="135"/>
        <v>鉄筋コンクリート造</v>
      </c>
      <c r="L407" s="7" t="str">
        <f>"S25.01.01"</f>
        <v>S25.01.01</v>
      </c>
      <c r="M407" s="7">
        <v>678.89</v>
      </c>
      <c r="N407" s="7">
        <v>17075700</v>
      </c>
      <c r="O407" s="7">
        <v>661594</v>
      </c>
      <c r="P407" s="7">
        <v>0</v>
      </c>
      <c r="Q407" s="7" t="str">
        <f t="shared" si="137"/>
        <v>健康医療部</v>
      </c>
      <c r="R407" s="7" t="str">
        <f>"保健医療室"</f>
        <v>保健医療室</v>
      </c>
    </row>
    <row r="408" spans="1:18" s="1" customFormat="1" x14ac:dyDescent="0.45">
      <c r="A408" s="7" t="str">
        <f>"04068000075"</f>
        <v>04068000075</v>
      </c>
      <c r="B408" s="7" t="str">
        <f>"大阪府立中河内救命救急センター"</f>
        <v>大阪府立中河内救命救急センター</v>
      </c>
      <c r="C408" s="7" t="str">
        <f t="shared" si="128"/>
        <v>行政財産</v>
      </c>
      <c r="D408" s="7" t="str">
        <f t="shared" si="136"/>
        <v>その他（行政機関）の施設</v>
      </c>
      <c r="E408" s="7" t="str">
        <f>"大阪府東大阪市西岩田３丁目"</f>
        <v>大阪府東大阪市西岩田３丁目</v>
      </c>
      <c r="F408" s="7"/>
      <c r="G408" s="7" t="str">
        <f t="shared" si="133"/>
        <v>事業用資産</v>
      </c>
      <c r="H408" s="7" t="str">
        <f t="shared" si="134"/>
        <v>棚卸以外</v>
      </c>
      <c r="I408" s="7">
        <v>1</v>
      </c>
      <c r="J408" s="7" t="str">
        <f>"大阪府立中河内救急救命センター"</f>
        <v>大阪府立中河内救急救命センター</v>
      </c>
      <c r="K408" s="7" t="str">
        <f t="shared" si="135"/>
        <v>鉄筋コンクリート造</v>
      </c>
      <c r="L408" s="7" t="str">
        <f>"H09.11.20"</f>
        <v>H09.11.20</v>
      </c>
      <c r="M408" s="7">
        <v>3448.92</v>
      </c>
      <c r="N408" s="7">
        <v>2099450000</v>
      </c>
      <c r="O408" s="7">
        <v>1063721536</v>
      </c>
      <c r="P408" s="7">
        <v>0</v>
      </c>
      <c r="Q408" s="7" t="str">
        <f t="shared" si="137"/>
        <v>健康医療部</v>
      </c>
      <c r="R408" s="7" t="str">
        <f>"保健医療室"</f>
        <v>保健医療室</v>
      </c>
    </row>
    <row r="409" spans="1:18" s="1" customFormat="1" x14ac:dyDescent="0.45">
      <c r="A409" s="7" t="str">
        <f>"04068003002"</f>
        <v>04068003002</v>
      </c>
      <c r="B409" s="7" t="str">
        <f>"大阪府広域医療搬送拠点八尾ＳＣＵ"</f>
        <v>大阪府広域医療搬送拠点八尾ＳＣＵ</v>
      </c>
      <c r="C409" s="7" t="str">
        <f t="shared" si="128"/>
        <v>行政財産</v>
      </c>
      <c r="D409" s="7" t="str">
        <f t="shared" si="136"/>
        <v>その他（行政機関）の施設</v>
      </c>
      <c r="E409" s="7" t="str">
        <f>"大阪府八尾市空港１丁目"</f>
        <v>大阪府八尾市空港１丁目</v>
      </c>
      <c r="F409" s="7" t="str">
        <f>"209－1"</f>
        <v>209－1</v>
      </c>
      <c r="G409" s="7" t="str">
        <f t="shared" si="133"/>
        <v>事業用資産</v>
      </c>
      <c r="H409" s="7" t="str">
        <f t="shared" si="134"/>
        <v>棚卸以外</v>
      </c>
      <c r="I409" s="7">
        <v>1</v>
      </c>
      <c r="J409" s="7" t="str">
        <f>"行政財産"</f>
        <v>行政財産</v>
      </c>
      <c r="K409" s="7" t="str">
        <f>"鉄骨造"</f>
        <v>鉄骨造</v>
      </c>
      <c r="L409" s="7" t="str">
        <f>"H24.03.23"</f>
        <v>H24.03.23</v>
      </c>
      <c r="M409" s="7">
        <v>488.7</v>
      </c>
      <c r="N409" s="7">
        <v>157359250</v>
      </c>
      <c r="O409" s="7">
        <v>55837188</v>
      </c>
      <c r="P409" s="7">
        <v>0</v>
      </c>
      <c r="Q409" s="7" t="str">
        <f t="shared" si="137"/>
        <v>健康医療部</v>
      </c>
      <c r="R409" s="7" t="str">
        <f>"保健医療室"</f>
        <v>保健医療室</v>
      </c>
    </row>
    <row r="410" spans="1:18" s="1" customFormat="1" x14ac:dyDescent="0.45">
      <c r="A410" s="7" t="str">
        <f t="shared" ref="A410:A416" si="138">"04092000000"</f>
        <v>04092000000</v>
      </c>
      <c r="B410" s="7" t="str">
        <f t="shared" ref="B410:B416" si="139">"池田保健所"</f>
        <v>池田保健所</v>
      </c>
      <c r="C410" s="7" t="str">
        <f t="shared" si="128"/>
        <v>行政財産</v>
      </c>
      <c r="D410" s="7" t="str">
        <f t="shared" si="136"/>
        <v>その他（行政機関）の施設</v>
      </c>
      <c r="E410" s="7" t="str">
        <f t="shared" ref="E410:E416" si="140">"大阪府池田市満寿美町"</f>
        <v>大阪府池田市満寿美町</v>
      </c>
      <c r="F410" s="7"/>
      <c r="G410" s="7" t="str">
        <f t="shared" si="133"/>
        <v>事業用資産</v>
      </c>
      <c r="H410" s="7" t="str">
        <f t="shared" si="134"/>
        <v>棚卸以外</v>
      </c>
      <c r="I410" s="7">
        <v>1</v>
      </c>
      <c r="J410" s="7" t="str">
        <f>"本館"</f>
        <v>本館</v>
      </c>
      <c r="K410" s="7" t="str">
        <f>"鉄筋コンクリート造"</f>
        <v>鉄筋コンクリート造</v>
      </c>
      <c r="L410" s="7" t="str">
        <f>"S36.03.15"</f>
        <v>S36.03.15</v>
      </c>
      <c r="M410" s="7">
        <v>1286.8399999999999</v>
      </c>
      <c r="N410" s="7">
        <v>133088319</v>
      </c>
      <c r="O410" s="7">
        <v>90863322</v>
      </c>
      <c r="P410" s="7">
        <v>0</v>
      </c>
      <c r="Q410" s="7" t="str">
        <f t="shared" si="137"/>
        <v>健康医療部</v>
      </c>
      <c r="R410" s="7" t="str">
        <f t="shared" ref="R410:R416" si="141">"池田保健所"</f>
        <v>池田保健所</v>
      </c>
    </row>
    <row r="411" spans="1:18" s="1" customFormat="1" x14ac:dyDescent="0.45">
      <c r="A411" s="7" t="str">
        <f t="shared" si="138"/>
        <v>04092000000</v>
      </c>
      <c r="B411" s="7" t="str">
        <f t="shared" si="139"/>
        <v>池田保健所</v>
      </c>
      <c r="C411" s="7" t="str">
        <f t="shared" si="128"/>
        <v>行政財産</v>
      </c>
      <c r="D411" s="7" t="str">
        <f t="shared" si="136"/>
        <v>その他（行政機関）の施設</v>
      </c>
      <c r="E411" s="7" t="str">
        <f t="shared" si="140"/>
        <v>大阪府池田市満寿美町</v>
      </c>
      <c r="F411" s="7"/>
      <c r="G411" s="7" t="str">
        <f t="shared" si="133"/>
        <v>事業用資産</v>
      </c>
      <c r="H411" s="7" t="str">
        <f t="shared" si="134"/>
        <v>棚卸以外</v>
      </c>
      <c r="I411" s="7">
        <v>7</v>
      </c>
      <c r="J411" s="7" t="str">
        <f>"車庫兼倉庫"</f>
        <v>車庫兼倉庫</v>
      </c>
      <c r="K411" s="7" t="str">
        <f>"軽量鉄骨造"</f>
        <v>軽量鉄骨造</v>
      </c>
      <c r="L411" s="7" t="str">
        <f>"S40.09.24"</f>
        <v>S40.09.24</v>
      </c>
      <c r="M411" s="7">
        <v>18.010000000000002</v>
      </c>
      <c r="N411" s="7">
        <v>292556</v>
      </c>
      <c r="O411" s="7">
        <v>292555</v>
      </c>
      <c r="P411" s="7">
        <v>0</v>
      </c>
      <c r="Q411" s="7" t="str">
        <f t="shared" si="137"/>
        <v>健康医療部</v>
      </c>
      <c r="R411" s="7" t="str">
        <f t="shared" si="141"/>
        <v>池田保健所</v>
      </c>
    </row>
    <row r="412" spans="1:18" s="1" customFormat="1" x14ac:dyDescent="0.45">
      <c r="A412" s="7" t="str">
        <f t="shared" si="138"/>
        <v>04092000000</v>
      </c>
      <c r="B412" s="7" t="str">
        <f t="shared" si="139"/>
        <v>池田保健所</v>
      </c>
      <c r="C412" s="7" t="str">
        <f t="shared" si="128"/>
        <v>行政財産</v>
      </c>
      <c r="D412" s="7" t="str">
        <f t="shared" si="136"/>
        <v>その他（行政機関）の施設</v>
      </c>
      <c r="E412" s="7" t="str">
        <f t="shared" si="140"/>
        <v>大阪府池田市満寿美町</v>
      </c>
      <c r="F412" s="7"/>
      <c r="G412" s="7" t="str">
        <f t="shared" si="133"/>
        <v>事業用資産</v>
      </c>
      <c r="H412" s="7" t="str">
        <f t="shared" si="134"/>
        <v>棚卸以外</v>
      </c>
      <c r="I412" s="7">
        <v>9</v>
      </c>
      <c r="J412" s="7" t="str">
        <f>"軽自動車車庫"</f>
        <v>軽自動車車庫</v>
      </c>
      <c r="K412" s="7" t="str">
        <f>"軽量鉄骨造"</f>
        <v>軽量鉄骨造</v>
      </c>
      <c r="L412" s="7" t="str">
        <f>"S44.06.02"</f>
        <v>S44.06.02</v>
      </c>
      <c r="M412" s="7">
        <v>15.48</v>
      </c>
      <c r="N412" s="7">
        <v>120000</v>
      </c>
      <c r="O412" s="7">
        <v>119999</v>
      </c>
      <c r="P412" s="7">
        <v>0</v>
      </c>
      <c r="Q412" s="7" t="str">
        <f t="shared" si="137"/>
        <v>健康医療部</v>
      </c>
      <c r="R412" s="7" t="str">
        <f t="shared" si="141"/>
        <v>池田保健所</v>
      </c>
    </row>
    <row r="413" spans="1:18" s="1" customFormat="1" x14ac:dyDescent="0.45">
      <c r="A413" s="7" t="str">
        <f t="shared" si="138"/>
        <v>04092000000</v>
      </c>
      <c r="B413" s="7" t="str">
        <f t="shared" si="139"/>
        <v>池田保健所</v>
      </c>
      <c r="C413" s="7" t="str">
        <f t="shared" si="128"/>
        <v>行政財産</v>
      </c>
      <c r="D413" s="7" t="str">
        <f t="shared" si="136"/>
        <v>その他（行政機関）の施設</v>
      </c>
      <c r="E413" s="7" t="str">
        <f t="shared" si="140"/>
        <v>大阪府池田市満寿美町</v>
      </c>
      <c r="F413" s="7"/>
      <c r="G413" s="7" t="str">
        <f t="shared" si="133"/>
        <v>事業用資産</v>
      </c>
      <c r="H413" s="7" t="str">
        <f t="shared" si="134"/>
        <v>棚卸以外</v>
      </c>
      <c r="I413" s="7">
        <v>10</v>
      </c>
      <c r="J413" s="7" t="str">
        <f>"倉庫及び機械室"</f>
        <v>倉庫及び機械室</v>
      </c>
      <c r="K413" s="7" t="str">
        <f>"鉄筋コンクリート造"</f>
        <v>鉄筋コンクリート造</v>
      </c>
      <c r="L413" s="7" t="str">
        <f>"S44.11.13"</f>
        <v>S44.11.13</v>
      </c>
      <c r="M413" s="7">
        <v>11.38</v>
      </c>
      <c r="N413" s="7">
        <v>3338300</v>
      </c>
      <c r="O413" s="7">
        <v>3338299</v>
      </c>
      <c r="P413" s="7">
        <v>0</v>
      </c>
      <c r="Q413" s="7" t="str">
        <f t="shared" si="137"/>
        <v>健康医療部</v>
      </c>
      <c r="R413" s="7" t="str">
        <f t="shared" si="141"/>
        <v>池田保健所</v>
      </c>
    </row>
    <row r="414" spans="1:18" s="1" customFormat="1" x14ac:dyDescent="0.45">
      <c r="A414" s="7" t="str">
        <f t="shared" si="138"/>
        <v>04092000000</v>
      </c>
      <c r="B414" s="7" t="str">
        <f t="shared" si="139"/>
        <v>池田保健所</v>
      </c>
      <c r="C414" s="7" t="str">
        <f t="shared" si="128"/>
        <v>行政財産</v>
      </c>
      <c r="D414" s="7" t="str">
        <f t="shared" si="136"/>
        <v>その他（行政機関）の施設</v>
      </c>
      <c r="E414" s="7" t="str">
        <f t="shared" si="140"/>
        <v>大阪府池田市満寿美町</v>
      </c>
      <c r="F414" s="7"/>
      <c r="G414" s="7" t="str">
        <f t="shared" si="133"/>
        <v>事業用資産</v>
      </c>
      <c r="H414" s="7" t="str">
        <f t="shared" si="134"/>
        <v>棚卸以外</v>
      </c>
      <c r="I414" s="7">
        <v>11</v>
      </c>
      <c r="J414" s="7" t="str">
        <f>"倉庫"</f>
        <v>倉庫</v>
      </c>
      <c r="K414" s="7" t="str">
        <f>"無筋コンクリート造"</f>
        <v>無筋コンクリート造</v>
      </c>
      <c r="L414" s="7" t="str">
        <f>"S44.11.30"</f>
        <v>S44.11.30</v>
      </c>
      <c r="M414" s="7">
        <v>24.8</v>
      </c>
      <c r="N414" s="7">
        <v>1500000</v>
      </c>
      <c r="O414" s="7">
        <v>1499999</v>
      </c>
      <c r="P414" s="7">
        <v>0</v>
      </c>
      <c r="Q414" s="7" t="str">
        <f t="shared" si="137"/>
        <v>健康医療部</v>
      </c>
      <c r="R414" s="7" t="str">
        <f t="shared" si="141"/>
        <v>池田保健所</v>
      </c>
    </row>
    <row r="415" spans="1:18" s="1" customFormat="1" x14ac:dyDescent="0.45">
      <c r="A415" s="7" t="str">
        <f t="shared" si="138"/>
        <v>04092000000</v>
      </c>
      <c r="B415" s="7" t="str">
        <f t="shared" si="139"/>
        <v>池田保健所</v>
      </c>
      <c r="C415" s="7" t="str">
        <f t="shared" si="128"/>
        <v>行政財産</v>
      </c>
      <c r="D415" s="7" t="str">
        <f t="shared" si="136"/>
        <v>その他（行政機関）の施設</v>
      </c>
      <c r="E415" s="7" t="str">
        <f t="shared" si="140"/>
        <v>大阪府池田市満寿美町</v>
      </c>
      <c r="F415" s="7"/>
      <c r="G415" s="7" t="str">
        <f t="shared" si="133"/>
        <v>事業用資産</v>
      </c>
      <c r="H415" s="7" t="str">
        <f t="shared" si="134"/>
        <v>棚卸以外</v>
      </c>
      <c r="I415" s="7">
        <v>12</v>
      </c>
      <c r="J415" s="7" t="str">
        <f>"倉庫"</f>
        <v>倉庫</v>
      </c>
      <c r="K415" s="7" t="str">
        <f>"鉄骨コンクリート造"</f>
        <v>鉄骨コンクリート造</v>
      </c>
      <c r="L415" s="7" t="str">
        <f>"S45.06.02"</f>
        <v>S45.06.02</v>
      </c>
      <c r="M415" s="7">
        <v>25.46</v>
      </c>
      <c r="N415" s="7">
        <v>1305000</v>
      </c>
      <c r="O415" s="7">
        <v>1304999</v>
      </c>
      <c r="P415" s="7">
        <v>0</v>
      </c>
      <c r="Q415" s="7" t="str">
        <f t="shared" si="137"/>
        <v>健康医療部</v>
      </c>
      <c r="R415" s="7" t="str">
        <f t="shared" si="141"/>
        <v>池田保健所</v>
      </c>
    </row>
    <row r="416" spans="1:18" s="1" customFormat="1" x14ac:dyDescent="0.45">
      <c r="A416" s="7" t="str">
        <f t="shared" si="138"/>
        <v>04092000000</v>
      </c>
      <c r="B416" s="7" t="str">
        <f t="shared" si="139"/>
        <v>池田保健所</v>
      </c>
      <c r="C416" s="7" t="str">
        <f t="shared" ref="C416:C443" si="142">"行政財産"</f>
        <v>行政財産</v>
      </c>
      <c r="D416" s="7" t="str">
        <f t="shared" si="136"/>
        <v>その他（行政機関）の施設</v>
      </c>
      <c r="E416" s="7" t="str">
        <f t="shared" si="140"/>
        <v>大阪府池田市満寿美町</v>
      </c>
      <c r="F416" s="7"/>
      <c r="G416" s="7" t="str">
        <f t="shared" si="133"/>
        <v>事業用資産</v>
      </c>
      <c r="H416" s="7" t="str">
        <f t="shared" si="134"/>
        <v>棚卸以外</v>
      </c>
      <c r="I416" s="7">
        <v>13</v>
      </c>
      <c r="J416" s="7" t="str">
        <f>"自動車車庫"</f>
        <v>自動車車庫</v>
      </c>
      <c r="K416" s="7" t="str">
        <f>"軽量鉄骨造"</f>
        <v>軽量鉄骨造</v>
      </c>
      <c r="L416" s="7" t="str">
        <f>"S62.03.25"</f>
        <v>S62.03.25</v>
      </c>
      <c r="M416" s="7">
        <v>16.72</v>
      </c>
      <c r="N416" s="7">
        <v>339000</v>
      </c>
      <c r="O416" s="7">
        <v>338999</v>
      </c>
      <c r="P416" s="7">
        <v>0</v>
      </c>
      <c r="Q416" s="7" t="str">
        <f t="shared" si="137"/>
        <v>健康医療部</v>
      </c>
      <c r="R416" s="7" t="str">
        <f t="shared" si="141"/>
        <v>池田保健所</v>
      </c>
    </row>
    <row r="417" spans="1:18" s="1" customFormat="1" x14ac:dyDescent="0.45">
      <c r="A417" s="7" t="str">
        <f>"04095001001"</f>
        <v>04095001001</v>
      </c>
      <c r="B417" s="7" t="str">
        <f>"茨木保健所"</f>
        <v>茨木保健所</v>
      </c>
      <c r="C417" s="7" t="str">
        <f t="shared" si="142"/>
        <v>行政財産</v>
      </c>
      <c r="D417" s="7" t="str">
        <f t="shared" si="136"/>
        <v>その他（行政機関）の施設</v>
      </c>
      <c r="E417" s="7" t="str">
        <f>"大阪府茨木市大住町"</f>
        <v>大阪府茨木市大住町</v>
      </c>
      <c r="F417" s="7"/>
      <c r="G417" s="7" t="str">
        <f t="shared" si="133"/>
        <v>事業用資産</v>
      </c>
      <c r="H417" s="7" t="str">
        <f t="shared" si="134"/>
        <v>棚卸以外</v>
      </c>
      <c r="I417" s="7">
        <v>1</v>
      </c>
      <c r="J417" s="7" t="str">
        <f>"茨木保健所"</f>
        <v>茨木保健所</v>
      </c>
      <c r="K417" s="7" t="str">
        <f>"鉄筋コンクリート造"</f>
        <v>鉄筋コンクリート造</v>
      </c>
      <c r="L417" s="7" t="str">
        <f>"H06.02.14"</f>
        <v>H06.02.14</v>
      </c>
      <c r="M417" s="7">
        <v>4366.09</v>
      </c>
      <c r="N417" s="7">
        <v>1569833687</v>
      </c>
      <c r="O417" s="7">
        <v>832279762</v>
      </c>
      <c r="P417" s="7">
        <v>0</v>
      </c>
      <c r="Q417" s="7" t="str">
        <f t="shared" si="137"/>
        <v>健康医療部</v>
      </c>
      <c r="R417" s="7" t="str">
        <f>"茨木保健所"</f>
        <v>茨木保健所</v>
      </c>
    </row>
    <row r="418" spans="1:18" s="1" customFormat="1" x14ac:dyDescent="0.45">
      <c r="A418" s="7" t="str">
        <f>"04099000000"</f>
        <v>04099000000</v>
      </c>
      <c r="B418" s="7" t="str">
        <f>"四條畷保健所"</f>
        <v>四條畷保健所</v>
      </c>
      <c r="C418" s="7" t="str">
        <f t="shared" si="142"/>
        <v>行政財産</v>
      </c>
      <c r="D418" s="7" t="str">
        <f t="shared" si="136"/>
        <v>その他（行政機関）の施設</v>
      </c>
      <c r="E418" s="7" t="str">
        <f>"大阪府四條畷市江瀬美町"</f>
        <v>大阪府四條畷市江瀬美町</v>
      </c>
      <c r="F418" s="7"/>
      <c r="G418" s="7" t="str">
        <f t="shared" si="133"/>
        <v>事業用資産</v>
      </c>
      <c r="H418" s="7" t="str">
        <f t="shared" si="134"/>
        <v>棚卸以外</v>
      </c>
      <c r="I418" s="7">
        <v>1</v>
      </c>
      <c r="J418" s="7" t="str">
        <f>"庁舎"</f>
        <v>庁舎</v>
      </c>
      <c r="K418" s="7" t="str">
        <f>"鉄筋コンクリート造"</f>
        <v>鉄筋コンクリート造</v>
      </c>
      <c r="L418" s="7" t="str">
        <f>"H06.09.02"</f>
        <v>H06.09.02</v>
      </c>
      <c r="M418" s="7">
        <v>2648.87</v>
      </c>
      <c r="N418" s="7">
        <v>1000722850</v>
      </c>
      <c r="O418" s="7">
        <v>504708140</v>
      </c>
      <c r="P418" s="7">
        <v>0</v>
      </c>
      <c r="Q418" s="7" t="str">
        <f t="shared" si="137"/>
        <v>健康医療部</v>
      </c>
      <c r="R418" s="7" t="str">
        <f>"四條畷保健所"</f>
        <v>四條畷保健所</v>
      </c>
    </row>
    <row r="419" spans="1:18" s="1" customFormat="1" x14ac:dyDescent="0.45">
      <c r="A419" s="7" t="str">
        <f>"04099000000"</f>
        <v>04099000000</v>
      </c>
      <c r="B419" s="7" t="str">
        <f>"四條畷保健所"</f>
        <v>四條畷保健所</v>
      </c>
      <c r="C419" s="7" t="str">
        <f t="shared" si="142"/>
        <v>行政財産</v>
      </c>
      <c r="D419" s="7" t="str">
        <f t="shared" si="136"/>
        <v>その他（行政機関）の施設</v>
      </c>
      <c r="E419" s="7" t="str">
        <f>"大阪府四條畷市江瀬美町"</f>
        <v>大阪府四條畷市江瀬美町</v>
      </c>
      <c r="F419" s="7"/>
      <c r="G419" s="7" t="str">
        <f t="shared" si="133"/>
        <v>事業用資産</v>
      </c>
      <c r="H419" s="7" t="str">
        <f t="shared" si="134"/>
        <v>棚卸以外</v>
      </c>
      <c r="I419" s="7">
        <v>2</v>
      </c>
      <c r="J419" s="7" t="str">
        <f>"公用車庫"</f>
        <v>公用車庫</v>
      </c>
      <c r="K419" s="7" t="str">
        <f>"鉄骨造"</f>
        <v>鉄骨造</v>
      </c>
      <c r="L419" s="7" t="str">
        <f>"H06.09.02"</f>
        <v>H06.09.02</v>
      </c>
      <c r="M419" s="7">
        <v>143.13</v>
      </c>
      <c r="N419" s="7">
        <v>21180000</v>
      </c>
      <c r="O419" s="7">
        <v>19472112</v>
      </c>
      <c r="P419" s="7">
        <v>0</v>
      </c>
      <c r="Q419" s="7" t="str">
        <f t="shared" si="137"/>
        <v>健康医療部</v>
      </c>
      <c r="R419" s="7" t="str">
        <f>"四條畷保健所"</f>
        <v>四條畷保健所</v>
      </c>
    </row>
    <row r="420" spans="1:18" s="1" customFormat="1" x14ac:dyDescent="0.45">
      <c r="A420" s="7" t="str">
        <f>"04099000000"</f>
        <v>04099000000</v>
      </c>
      <c r="B420" s="7" t="str">
        <f>"四條畷保健所"</f>
        <v>四條畷保健所</v>
      </c>
      <c r="C420" s="7" t="str">
        <f t="shared" si="142"/>
        <v>行政財産</v>
      </c>
      <c r="D420" s="7" t="str">
        <f t="shared" si="136"/>
        <v>その他（行政機関）の施設</v>
      </c>
      <c r="E420" s="7" t="str">
        <f>"大阪府四條畷市江瀬美町"</f>
        <v>大阪府四條畷市江瀬美町</v>
      </c>
      <c r="F420" s="7"/>
      <c r="G420" s="7" t="str">
        <f t="shared" si="133"/>
        <v>事業用資産</v>
      </c>
      <c r="H420" s="7" t="str">
        <f t="shared" si="134"/>
        <v>棚卸以外</v>
      </c>
      <c r="I420" s="7">
        <v>3</v>
      </c>
      <c r="J420" s="7" t="str">
        <f>"外来用自転車置場"</f>
        <v>外来用自転車置場</v>
      </c>
      <c r="K420" s="7" t="str">
        <f>"鉄骨造"</f>
        <v>鉄骨造</v>
      </c>
      <c r="L420" s="7" t="str">
        <f>"H06.09.02"</f>
        <v>H06.09.02</v>
      </c>
      <c r="M420" s="7">
        <v>25.8</v>
      </c>
      <c r="N420" s="7">
        <v>2464000</v>
      </c>
      <c r="O420" s="7">
        <v>2265408</v>
      </c>
      <c r="P420" s="7">
        <v>0</v>
      </c>
      <c r="Q420" s="7" t="str">
        <f t="shared" si="137"/>
        <v>健康医療部</v>
      </c>
      <c r="R420" s="7" t="str">
        <f>"四條畷保健所"</f>
        <v>四條畷保健所</v>
      </c>
    </row>
    <row r="421" spans="1:18" s="1" customFormat="1" x14ac:dyDescent="0.45">
      <c r="A421" s="7" t="str">
        <f>"04099000000"</f>
        <v>04099000000</v>
      </c>
      <c r="B421" s="7" t="str">
        <f>"四條畷保健所"</f>
        <v>四條畷保健所</v>
      </c>
      <c r="C421" s="7" t="str">
        <f t="shared" si="142"/>
        <v>行政財産</v>
      </c>
      <c r="D421" s="7" t="str">
        <f t="shared" si="136"/>
        <v>その他（行政機関）の施設</v>
      </c>
      <c r="E421" s="7" t="str">
        <f>"大阪府四條畷市江瀬美町"</f>
        <v>大阪府四條畷市江瀬美町</v>
      </c>
      <c r="F421" s="7"/>
      <c r="G421" s="7" t="str">
        <f t="shared" si="133"/>
        <v>事業用資産</v>
      </c>
      <c r="H421" s="7" t="str">
        <f t="shared" si="134"/>
        <v>棚卸以外</v>
      </c>
      <c r="I421" s="7">
        <v>5</v>
      </c>
      <c r="J421" s="7" t="str">
        <f>"ゴミ置場"</f>
        <v>ゴミ置場</v>
      </c>
      <c r="K421" s="7" t="str">
        <f>"鉄骨造"</f>
        <v>鉄骨造</v>
      </c>
      <c r="L421" s="7" t="str">
        <f>"H06.09.02"</f>
        <v>H06.09.02</v>
      </c>
      <c r="M421" s="7">
        <v>2.16</v>
      </c>
      <c r="N421" s="7">
        <v>1141000</v>
      </c>
      <c r="O421" s="7">
        <v>1049256</v>
      </c>
      <c r="P421" s="7">
        <v>0</v>
      </c>
      <c r="Q421" s="7" t="str">
        <f t="shared" si="137"/>
        <v>健康医療部</v>
      </c>
      <c r="R421" s="7" t="str">
        <f>"四條畷保健所"</f>
        <v>四條畷保健所</v>
      </c>
    </row>
    <row r="422" spans="1:18" s="1" customFormat="1" x14ac:dyDescent="0.45">
      <c r="A422" s="7" t="str">
        <f>"04101001001"</f>
        <v>04101001001</v>
      </c>
      <c r="B422" s="7" t="str">
        <f>"藤井寺保健所"</f>
        <v>藤井寺保健所</v>
      </c>
      <c r="C422" s="7" t="str">
        <f t="shared" si="142"/>
        <v>行政財産</v>
      </c>
      <c r="D422" s="7" t="str">
        <f t="shared" si="136"/>
        <v>その他（行政機関）の施設</v>
      </c>
      <c r="E422" s="7" t="str">
        <f>"大阪府藤井寺市藤井寺１丁目"</f>
        <v>大阪府藤井寺市藤井寺１丁目</v>
      </c>
      <c r="F422" s="7"/>
      <c r="G422" s="7" t="str">
        <f t="shared" si="133"/>
        <v>事業用資産</v>
      </c>
      <c r="H422" s="7" t="str">
        <f t="shared" si="134"/>
        <v>棚卸以外</v>
      </c>
      <c r="I422" s="7">
        <v>1</v>
      </c>
      <c r="J422" s="7" t="str">
        <f>"本棟"</f>
        <v>本棟</v>
      </c>
      <c r="K422" s="7" t="str">
        <f>"鉄筋コンクリート造"</f>
        <v>鉄筋コンクリート造</v>
      </c>
      <c r="L422" s="7" t="str">
        <f>"H06.09.09"</f>
        <v>H06.09.09</v>
      </c>
      <c r="M422" s="7">
        <v>3204.38</v>
      </c>
      <c r="N422" s="7">
        <v>1215991486</v>
      </c>
      <c r="O422" s="7">
        <v>653356450</v>
      </c>
      <c r="P422" s="7">
        <v>0</v>
      </c>
      <c r="Q422" s="7" t="str">
        <f t="shared" si="137"/>
        <v>健康医療部</v>
      </c>
      <c r="R422" s="7" t="str">
        <f>"藤井寺保健所"</f>
        <v>藤井寺保健所</v>
      </c>
    </row>
    <row r="423" spans="1:18" s="1" customFormat="1" x14ac:dyDescent="0.45">
      <c r="A423" s="7" t="str">
        <f>"04101001001"</f>
        <v>04101001001</v>
      </c>
      <c r="B423" s="7" t="str">
        <f>"藤井寺保健所"</f>
        <v>藤井寺保健所</v>
      </c>
      <c r="C423" s="7" t="str">
        <f t="shared" si="142"/>
        <v>行政財産</v>
      </c>
      <c r="D423" s="7" t="str">
        <f t="shared" si="136"/>
        <v>その他（行政機関）の施設</v>
      </c>
      <c r="E423" s="7" t="str">
        <f>"大阪府藤井寺市藤井寺１丁目"</f>
        <v>大阪府藤井寺市藤井寺１丁目</v>
      </c>
      <c r="F423" s="7"/>
      <c r="G423" s="7" t="str">
        <f t="shared" si="133"/>
        <v>事業用資産</v>
      </c>
      <c r="H423" s="7" t="str">
        <f t="shared" si="134"/>
        <v>棚卸以外</v>
      </c>
      <c r="I423" s="7">
        <v>2</v>
      </c>
      <c r="J423" s="7" t="str">
        <f>"受水槽室棟"</f>
        <v>受水槽室棟</v>
      </c>
      <c r="K423" s="7" t="str">
        <f>"鉄筋コンクリート造"</f>
        <v>鉄筋コンクリート造</v>
      </c>
      <c r="L423" s="7" t="str">
        <f>"H06.09.09"</f>
        <v>H06.09.09</v>
      </c>
      <c r="M423" s="7">
        <v>27.14</v>
      </c>
      <c r="N423" s="7">
        <v>4648000</v>
      </c>
      <c r="O423" s="7">
        <v>3486006</v>
      </c>
      <c r="P423" s="7">
        <v>0</v>
      </c>
      <c r="Q423" s="7" t="str">
        <f t="shared" si="137"/>
        <v>健康医療部</v>
      </c>
      <c r="R423" s="7" t="str">
        <f>"藤井寺保健所"</f>
        <v>藤井寺保健所</v>
      </c>
    </row>
    <row r="424" spans="1:18" s="1" customFormat="1" x14ac:dyDescent="0.45">
      <c r="A424" s="7" t="str">
        <f t="shared" ref="A424:A431" si="143">"04102001001"</f>
        <v>04102001001</v>
      </c>
      <c r="B424" s="7" t="str">
        <f t="shared" ref="B424:B431" si="144">"大阪府富田林保健所"</f>
        <v>大阪府富田林保健所</v>
      </c>
      <c r="C424" s="7" t="str">
        <f t="shared" si="142"/>
        <v>行政財産</v>
      </c>
      <c r="D424" s="7" t="str">
        <f t="shared" si="136"/>
        <v>その他（行政機関）の施設</v>
      </c>
      <c r="E424" s="7" t="str">
        <f t="shared" ref="E424:E431" si="145">"大阪府富田林市寿町３丁目"</f>
        <v>大阪府富田林市寿町３丁目</v>
      </c>
      <c r="F424" s="7"/>
      <c r="G424" s="7" t="str">
        <f t="shared" si="133"/>
        <v>事業用資産</v>
      </c>
      <c r="H424" s="7" t="str">
        <f t="shared" si="134"/>
        <v>棚卸以外</v>
      </c>
      <c r="I424" s="7">
        <v>11</v>
      </c>
      <c r="J424" s="7" t="str">
        <f>"本館"</f>
        <v>本館</v>
      </c>
      <c r="K424" s="7" t="str">
        <f>"鉄筋コンクリート造"</f>
        <v>鉄筋コンクリート造</v>
      </c>
      <c r="L424" s="7" t="str">
        <f>"S41.08.15"</f>
        <v>S41.08.15</v>
      </c>
      <c r="M424" s="7">
        <v>1606.66</v>
      </c>
      <c r="N424" s="7">
        <v>72813125</v>
      </c>
      <c r="O424" s="7">
        <v>33441527</v>
      </c>
      <c r="P424" s="7">
        <v>0</v>
      </c>
      <c r="Q424" s="7" t="str">
        <f t="shared" si="137"/>
        <v>健康医療部</v>
      </c>
      <c r="R424" s="7" t="str">
        <f t="shared" ref="R424:R431" si="146">"富田林保健所"</f>
        <v>富田林保健所</v>
      </c>
    </row>
    <row r="425" spans="1:18" s="1" customFormat="1" x14ac:dyDescent="0.45">
      <c r="A425" s="7" t="str">
        <f t="shared" si="143"/>
        <v>04102001001</v>
      </c>
      <c r="B425" s="7" t="str">
        <f t="shared" si="144"/>
        <v>大阪府富田林保健所</v>
      </c>
      <c r="C425" s="7" t="str">
        <f t="shared" si="142"/>
        <v>行政財産</v>
      </c>
      <c r="D425" s="7" t="str">
        <f t="shared" si="136"/>
        <v>その他（行政機関）の施設</v>
      </c>
      <c r="E425" s="7" t="str">
        <f t="shared" si="145"/>
        <v>大阪府富田林市寿町３丁目</v>
      </c>
      <c r="F425" s="7"/>
      <c r="G425" s="7" t="str">
        <f t="shared" si="133"/>
        <v>事業用資産</v>
      </c>
      <c r="H425" s="7" t="str">
        <f t="shared" si="134"/>
        <v>棚卸以外</v>
      </c>
      <c r="I425" s="7">
        <v>12</v>
      </c>
      <c r="J425" s="7" t="str">
        <f>"倉庫（２）"</f>
        <v>倉庫（２）</v>
      </c>
      <c r="K425" s="7" t="str">
        <f>"鉄筋コンクリート造"</f>
        <v>鉄筋コンクリート造</v>
      </c>
      <c r="L425" s="7" t="str">
        <f>"S41.08.15"</f>
        <v>S41.08.15</v>
      </c>
      <c r="M425" s="7">
        <v>10.79</v>
      </c>
      <c r="N425" s="7">
        <v>400000</v>
      </c>
      <c r="O425" s="7">
        <v>399999</v>
      </c>
      <c r="P425" s="7">
        <v>0</v>
      </c>
      <c r="Q425" s="7" t="str">
        <f t="shared" si="137"/>
        <v>健康医療部</v>
      </c>
      <c r="R425" s="7" t="str">
        <f t="shared" si="146"/>
        <v>富田林保健所</v>
      </c>
    </row>
    <row r="426" spans="1:18" s="1" customFormat="1" x14ac:dyDescent="0.45">
      <c r="A426" s="7" t="str">
        <f t="shared" si="143"/>
        <v>04102001001</v>
      </c>
      <c r="B426" s="7" t="str">
        <f t="shared" si="144"/>
        <v>大阪府富田林保健所</v>
      </c>
      <c r="C426" s="7" t="str">
        <f t="shared" si="142"/>
        <v>行政財産</v>
      </c>
      <c r="D426" s="7" t="str">
        <f t="shared" si="136"/>
        <v>その他（行政機関）の施設</v>
      </c>
      <c r="E426" s="7" t="str">
        <f t="shared" si="145"/>
        <v>大阪府富田林市寿町３丁目</v>
      </c>
      <c r="F426" s="7"/>
      <c r="G426" s="7" t="str">
        <f t="shared" si="133"/>
        <v>事業用資産</v>
      </c>
      <c r="H426" s="7" t="str">
        <f t="shared" si="134"/>
        <v>棚卸以外</v>
      </c>
      <c r="I426" s="7">
        <v>13</v>
      </c>
      <c r="J426" s="7" t="str">
        <f>"倉庫（１）"</f>
        <v>倉庫（１）</v>
      </c>
      <c r="K426" s="7" t="str">
        <f>"コンクリートブロック造"</f>
        <v>コンクリートブロック造</v>
      </c>
      <c r="L426" s="7" t="str">
        <f>"S41.08.15"</f>
        <v>S41.08.15</v>
      </c>
      <c r="M426" s="7">
        <v>30.3</v>
      </c>
      <c r="N426" s="7">
        <v>560400</v>
      </c>
      <c r="O426" s="7">
        <v>560399</v>
      </c>
      <c r="P426" s="7">
        <v>0</v>
      </c>
      <c r="Q426" s="7" t="str">
        <f t="shared" si="137"/>
        <v>健康医療部</v>
      </c>
      <c r="R426" s="7" t="str">
        <f t="shared" si="146"/>
        <v>富田林保健所</v>
      </c>
    </row>
    <row r="427" spans="1:18" s="1" customFormat="1" x14ac:dyDescent="0.45">
      <c r="A427" s="7" t="str">
        <f t="shared" si="143"/>
        <v>04102001001</v>
      </c>
      <c r="B427" s="7" t="str">
        <f t="shared" si="144"/>
        <v>大阪府富田林保健所</v>
      </c>
      <c r="C427" s="7" t="str">
        <f t="shared" si="142"/>
        <v>行政財産</v>
      </c>
      <c r="D427" s="7" t="str">
        <f t="shared" si="136"/>
        <v>その他（行政機関）の施設</v>
      </c>
      <c r="E427" s="7" t="str">
        <f t="shared" si="145"/>
        <v>大阪府富田林市寿町３丁目</v>
      </c>
      <c r="F427" s="7"/>
      <c r="G427" s="7" t="str">
        <f t="shared" si="133"/>
        <v>事業用資産</v>
      </c>
      <c r="H427" s="7" t="str">
        <f t="shared" si="134"/>
        <v>棚卸以外</v>
      </c>
      <c r="I427" s="7">
        <v>21</v>
      </c>
      <c r="J427" s="7" t="str">
        <f>"犬舎"</f>
        <v>犬舎</v>
      </c>
      <c r="K427" s="7" t="str">
        <f>"鉄筋コンクリート造"</f>
        <v>鉄筋コンクリート造</v>
      </c>
      <c r="L427" s="7" t="str">
        <f>"S54.03.31"</f>
        <v>S54.03.31</v>
      </c>
      <c r="M427" s="7">
        <v>11.76</v>
      </c>
      <c r="N427" s="7">
        <v>2345000</v>
      </c>
      <c r="O427" s="7">
        <v>2344999</v>
      </c>
      <c r="P427" s="7">
        <v>0</v>
      </c>
      <c r="Q427" s="7" t="str">
        <f t="shared" si="137"/>
        <v>健康医療部</v>
      </c>
      <c r="R427" s="7" t="str">
        <f t="shared" si="146"/>
        <v>富田林保健所</v>
      </c>
    </row>
    <row r="428" spans="1:18" s="1" customFormat="1" x14ac:dyDescent="0.45">
      <c r="A428" s="7" t="str">
        <f t="shared" si="143"/>
        <v>04102001001</v>
      </c>
      <c r="B428" s="7" t="str">
        <f t="shared" si="144"/>
        <v>大阪府富田林保健所</v>
      </c>
      <c r="C428" s="7" t="str">
        <f t="shared" si="142"/>
        <v>行政財産</v>
      </c>
      <c r="D428" s="7" t="str">
        <f t="shared" si="136"/>
        <v>その他（行政機関）の施設</v>
      </c>
      <c r="E428" s="7" t="str">
        <f t="shared" si="145"/>
        <v>大阪府富田林市寿町３丁目</v>
      </c>
      <c r="F428" s="7"/>
      <c r="G428" s="7" t="str">
        <f t="shared" si="133"/>
        <v>事業用資産</v>
      </c>
      <c r="H428" s="7" t="str">
        <f t="shared" si="134"/>
        <v>棚卸以外</v>
      </c>
      <c r="I428" s="7">
        <v>22</v>
      </c>
      <c r="J428" s="7" t="str">
        <f>"ブロアーポンプ室"</f>
        <v>ブロアーポンプ室</v>
      </c>
      <c r="K428" s="7" t="str">
        <f>"鉄筋コンクリート造"</f>
        <v>鉄筋コンクリート造</v>
      </c>
      <c r="L428" s="7" t="str">
        <f>"H02.01.31"</f>
        <v>H02.01.31</v>
      </c>
      <c r="M428" s="7">
        <v>9</v>
      </c>
      <c r="N428" s="7">
        <v>2002000</v>
      </c>
      <c r="O428" s="7">
        <v>1738836</v>
      </c>
      <c r="P428" s="7">
        <v>0</v>
      </c>
      <c r="Q428" s="7" t="str">
        <f t="shared" si="137"/>
        <v>健康医療部</v>
      </c>
      <c r="R428" s="7" t="str">
        <f t="shared" si="146"/>
        <v>富田林保健所</v>
      </c>
    </row>
    <row r="429" spans="1:18" s="1" customFormat="1" x14ac:dyDescent="0.45">
      <c r="A429" s="7" t="str">
        <f t="shared" si="143"/>
        <v>04102001001</v>
      </c>
      <c r="B429" s="7" t="str">
        <f t="shared" si="144"/>
        <v>大阪府富田林保健所</v>
      </c>
      <c r="C429" s="7" t="str">
        <f t="shared" si="142"/>
        <v>行政財産</v>
      </c>
      <c r="D429" s="7" t="str">
        <f t="shared" si="136"/>
        <v>その他（行政機関）の施設</v>
      </c>
      <c r="E429" s="7" t="str">
        <f t="shared" si="145"/>
        <v>大阪府富田林市寿町３丁目</v>
      </c>
      <c r="F429" s="7"/>
      <c r="G429" s="7" t="str">
        <f t="shared" si="133"/>
        <v>事業用資産</v>
      </c>
      <c r="H429" s="7" t="str">
        <f t="shared" si="134"/>
        <v>棚卸以外</v>
      </c>
      <c r="I429" s="7">
        <v>23</v>
      </c>
      <c r="J429" s="7" t="str">
        <f>"ポンプ室"</f>
        <v>ポンプ室</v>
      </c>
      <c r="K429" s="7" t="str">
        <f>"コンクリートブロック造"</f>
        <v>コンクリートブロック造</v>
      </c>
      <c r="L429" s="7" t="str">
        <f>"H02.02.01"</f>
        <v>H02.02.01</v>
      </c>
      <c r="M429" s="7">
        <v>5.48</v>
      </c>
      <c r="N429" s="7">
        <v>3261000</v>
      </c>
      <c r="O429" s="7">
        <v>3165228</v>
      </c>
      <c r="P429" s="7">
        <v>0</v>
      </c>
      <c r="Q429" s="7" t="str">
        <f t="shared" si="137"/>
        <v>健康医療部</v>
      </c>
      <c r="R429" s="7" t="str">
        <f t="shared" si="146"/>
        <v>富田林保健所</v>
      </c>
    </row>
    <row r="430" spans="1:18" s="1" customFormat="1" x14ac:dyDescent="0.45">
      <c r="A430" s="7" t="str">
        <f t="shared" si="143"/>
        <v>04102001001</v>
      </c>
      <c r="B430" s="7" t="str">
        <f t="shared" si="144"/>
        <v>大阪府富田林保健所</v>
      </c>
      <c r="C430" s="7" t="str">
        <f t="shared" si="142"/>
        <v>行政財産</v>
      </c>
      <c r="D430" s="7" t="str">
        <f t="shared" si="136"/>
        <v>その他（行政機関）の施設</v>
      </c>
      <c r="E430" s="7" t="str">
        <f t="shared" si="145"/>
        <v>大阪府富田林市寿町３丁目</v>
      </c>
      <c r="F430" s="7"/>
      <c r="G430" s="7" t="str">
        <f t="shared" si="133"/>
        <v>事業用資産</v>
      </c>
      <c r="H430" s="7" t="str">
        <f t="shared" si="134"/>
        <v>棚卸以外</v>
      </c>
      <c r="I430" s="7">
        <v>24</v>
      </c>
      <c r="J430" s="7" t="str">
        <f>"車庫（１）"</f>
        <v>車庫（１）</v>
      </c>
      <c r="K430" s="7" t="str">
        <f>"鉄骨造"</f>
        <v>鉄骨造</v>
      </c>
      <c r="L430" s="7" t="str">
        <f>"H02.03.29"</f>
        <v>H02.03.29</v>
      </c>
      <c r="M430" s="7">
        <v>112.5</v>
      </c>
      <c r="N430" s="7">
        <v>11839000</v>
      </c>
      <c r="O430" s="7">
        <v>11838999</v>
      </c>
      <c r="P430" s="7">
        <v>0</v>
      </c>
      <c r="Q430" s="7" t="str">
        <f t="shared" si="137"/>
        <v>健康医療部</v>
      </c>
      <c r="R430" s="7" t="str">
        <f t="shared" si="146"/>
        <v>富田林保健所</v>
      </c>
    </row>
    <row r="431" spans="1:18" s="1" customFormat="1" x14ac:dyDescent="0.45">
      <c r="A431" s="7" t="str">
        <f t="shared" si="143"/>
        <v>04102001001</v>
      </c>
      <c r="B431" s="7" t="str">
        <f t="shared" si="144"/>
        <v>大阪府富田林保健所</v>
      </c>
      <c r="C431" s="7" t="str">
        <f t="shared" si="142"/>
        <v>行政財産</v>
      </c>
      <c r="D431" s="7" t="str">
        <f t="shared" si="136"/>
        <v>その他（行政機関）の施設</v>
      </c>
      <c r="E431" s="7" t="str">
        <f t="shared" si="145"/>
        <v>大阪府富田林市寿町３丁目</v>
      </c>
      <c r="F431" s="7"/>
      <c r="G431" s="7" t="str">
        <f t="shared" si="133"/>
        <v>事業用資産</v>
      </c>
      <c r="H431" s="7" t="str">
        <f t="shared" si="134"/>
        <v>棚卸以外</v>
      </c>
      <c r="I431" s="7">
        <v>25</v>
      </c>
      <c r="J431" s="7" t="str">
        <f>"車庫（２）"</f>
        <v>車庫（２）</v>
      </c>
      <c r="K431" s="7" t="str">
        <f>"鉄骨造"</f>
        <v>鉄骨造</v>
      </c>
      <c r="L431" s="7" t="str">
        <f>"H02.03.29"</f>
        <v>H02.03.29</v>
      </c>
      <c r="M431" s="7">
        <v>20.25</v>
      </c>
      <c r="N431" s="7">
        <v>2932000</v>
      </c>
      <c r="O431" s="7">
        <v>2931999</v>
      </c>
      <c r="P431" s="7">
        <v>0</v>
      </c>
      <c r="Q431" s="7" t="str">
        <f t="shared" si="137"/>
        <v>健康医療部</v>
      </c>
      <c r="R431" s="7" t="str">
        <f t="shared" si="146"/>
        <v>富田林保健所</v>
      </c>
    </row>
    <row r="432" spans="1:18" s="1" customFormat="1" x14ac:dyDescent="0.45">
      <c r="A432" s="7" t="str">
        <f>"04103001002"</f>
        <v>04103001002</v>
      </c>
      <c r="B432" s="7" t="str">
        <f>"和泉保健所"</f>
        <v>和泉保健所</v>
      </c>
      <c r="C432" s="7" t="str">
        <f t="shared" si="142"/>
        <v>行政財産</v>
      </c>
      <c r="D432" s="7" t="str">
        <f t="shared" si="136"/>
        <v>その他（行政機関）の施設</v>
      </c>
      <c r="E432" s="7" t="str">
        <f>"大阪府和泉市府中町６丁目"</f>
        <v>大阪府和泉市府中町６丁目</v>
      </c>
      <c r="F432" s="7"/>
      <c r="G432" s="7" t="str">
        <f t="shared" si="133"/>
        <v>事業用資産</v>
      </c>
      <c r="H432" s="7" t="str">
        <f t="shared" si="134"/>
        <v>棚卸以外</v>
      </c>
      <c r="I432" s="7">
        <v>19</v>
      </c>
      <c r="J432" s="7" t="str">
        <f>"庁舎棟"</f>
        <v>庁舎棟</v>
      </c>
      <c r="K432" s="7" t="str">
        <f>"鉄筋コンクリート造"</f>
        <v>鉄筋コンクリート造</v>
      </c>
      <c r="L432" s="7" t="str">
        <f>"H05.03.31"</f>
        <v>H05.03.31</v>
      </c>
      <c r="M432" s="7">
        <v>1692.28</v>
      </c>
      <c r="N432" s="7">
        <v>558168248</v>
      </c>
      <c r="O432" s="7">
        <v>320572756</v>
      </c>
      <c r="P432" s="7">
        <v>0</v>
      </c>
      <c r="Q432" s="7" t="str">
        <f t="shared" si="137"/>
        <v>健康医療部</v>
      </c>
      <c r="R432" s="7" t="str">
        <f>"和泉保健所"</f>
        <v>和泉保健所</v>
      </c>
    </row>
    <row r="433" spans="1:18" s="1" customFormat="1" x14ac:dyDescent="0.45">
      <c r="A433" s="7" t="str">
        <f>"04103001002"</f>
        <v>04103001002</v>
      </c>
      <c r="B433" s="7" t="str">
        <f>"和泉保健所"</f>
        <v>和泉保健所</v>
      </c>
      <c r="C433" s="7" t="str">
        <f t="shared" si="142"/>
        <v>行政財産</v>
      </c>
      <c r="D433" s="7" t="str">
        <f t="shared" si="136"/>
        <v>その他（行政機関）の施設</v>
      </c>
      <c r="E433" s="7" t="str">
        <f>"大阪府和泉市府中町６丁目"</f>
        <v>大阪府和泉市府中町６丁目</v>
      </c>
      <c r="F433" s="7"/>
      <c r="G433" s="7" t="str">
        <f t="shared" si="133"/>
        <v>事業用資産</v>
      </c>
      <c r="H433" s="7" t="str">
        <f t="shared" si="134"/>
        <v>棚卸以外</v>
      </c>
      <c r="I433" s="7">
        <v>20</v>
      </c>
      <c r="J433" s="7" t="str">
        <f>"犬舎棟"</f>
        <v>犬舎棟</v>
      </c>
      <c r="K433" s="7" t="str">
        <f>"鉄筋コンクリート造"</f>
        <v>鉄筋コンクリート造</v>
      </c>
      <c r="L433" s="7" t="str">
        <f>"H05.03.31"</f>
        <v>H05.03.31</v>
      </c>
      <c r="M433" s="7">
        <v>15.29</v>
      </c>
      <c r="N433" s="7">
        <v>14402000</v>
      </c>
      <c r="O433" s="7">
        <v>11370240</v>
      </c>
      <c r="P433" s="7">
        <v>0</v>
      </c>
      <c r="Q433" s="7" t="str">
        <f t="shared" si="137"/>
        <v>健康医療部</v>
      </c>
      <c r="R433" s="7" t="str">
        <f>"和泉保健所"</f>
        <v>和泉保健所</v>
      </c>
    </row>
    <row r="434" spans="1:18" s="1" customFormat="1" x14ac:dyDescent="0.45">
      <c r="A434" s="7" t="str">
        <f t="shared" ref="A434:A439" si="147">"04104000000"</f>
        <v>04104000000</v>
      </c>
      <c r="B434" s="7" t="str">
        <f t="shared" ref="B434:B439" si="148">"岸和田保健所"</f>
        <v>岸和田保健所</v>
      </c>
      <c r="C434" s="7" t="str">
        <f t="shared" si="142"/>
        <v>行政財産</v>
      </c>
      <c r="D434" s="7" t="str">
        <f t="shared" si="136"/>
        <v>その他（行政機関）の施設</v>
      </c>
      <c r="E434" s="7" t="str">
        <f t="shared" ref="E434:E439" si="149">"大阪府岸和田市野田町３丁目"</f>
        <v>大阪府岸和田市野田町３丁目</v>
      </c>
      <c r="F434" s="7" t="str">
        <f t="shared" ref="F434:F439" si="150">"１３－１"</f>
        <v>１３－１</v>
      </c>
      <c r="G434" s="7" t="str">
        <f t="shared" si="133"/>
        <v>事業用資産</v>
      </c>
      <c r="H434" s="7" t="str">
        <f t="shared" si="134"/>
        <v>棚卸以外</v>
      </c>
      <c r="I434" s="7">
        <v>1</v>
      </c>
      <c r="J434" s="7" t="str">
        <f>"本館"</f>
        <v>本館</v>
      </c>
      <c r="K434" s="7" t="str">
        <f>"鉄筋コンクリート造"</f>
        <v>鉄筋コンクリート造</v>
      </c>
      <c r="L434" s="7" t="str">
        <f>"S42.03.25"</f>
        <v>S42.03.25</v>
      </c>
      <c r="M434" s="7">
        <v>1263.5899999999999</v>
      </c>
      <c r="N434" s="7">
        <v>65985198</v>
      </c>
      <c r="O434" s="7">
        <v>56270147</v>
      </c>
      <c r="P434" s="7">
        <v>0</v>
      </c>
      <c r="Q434" s="7" t="str">
        <f t="shared" si="137"/>
        <v>健康医療部</v>
      </c>
      <c r="R434" s="7" t="str">
        <f t="shared" ref="R434:R439" si="151">"岸和田保健所"</f>
        <v>岸和田保健所</v>
      </c>
    </row>
    <row r="435" spans="1:18" s="1" customFormat="1" x14ac:dyDescent="0.45">
      <c r="A435" s="7" t="str">
        <f t="shared" si="147"/>
        <v>04104000000</v>
      </c>
      <c r="B435" s="7" t="str">
        <f t="shared" si="148"/>
        <v>岸和田保健所</v>
      </c>
      <c r="C435" s="7" t="str">
        <f t="shared" si="142"/>
        <v>行政財産</v>
      </c>
      <c r="D435" s="7" t="str">
        <f t="shared" si="136"/>
        <v>その他（行政機関）の施設</v>
      </c>
      <c r="E435" s="7" t="str">
        <f t="shared" si="149"/>
        <v>大阪府岸和田市野田町３丁目</v>
      </c>
      <c r="F435" s="7" t="str">
        <f t="shared" si="150"/>
        <v>１３－１</v>
      </c>
      <c r="G435" s="7" t="str">
        <f t="shared" si="133"/>
        <v>事業用資産</v>
      </c>
      <c r="H435" s="7" t="str">
        <f t="shared" si="134"/>
        <v>棚卸以外</v>
      </c>
      <c r="I435" s="7">
        <v>3</v>
      </c>
      <c r="J435" s="7" t="str">
        <f>"犬舎"</f>
        <v>犬舎</v>
      </c>
      <c r="K435" s="7" t="str">
        <f>"鉄筋コンクリート造"</f>
        <v>鉄筋コンクリート造</v>
      </c>
      <c r="L435" s="7" t="str">
        <f>"S60.12.01"</f>
        <v>S60.12.01</v>
      </c>
      <c r="M435" s="7">
        <v>16.170000000000002</v>
      </c>
      <c r="N435" s="7">
        <v>6990000</v>
      </c>
      <c r="O435" s="7">
        <v>6852063</v>
      </c>
      <c r="P435" s="7">
        <v>0</v>
      </c>
      <c r="Q435" s="7" t="str">
        <f t="shared" si="137"/>
        <v>健康医療部</v>
      </c>
      <c r="R435" s="7" t="str">
        <f t="shared" si="151"/>
        <v>岸和田保健所</v>
      </c>
    </row>
    <row r="436" spans="1:18" s="1" customFormat="1" x14ac:dyDescent="0.45">
      <c r="A436" s="7" t="str">
        <f t="shared" si="147"/>
        <v>04104000000</v>
      </c>
      <c r="B436" s="7" t="str">
        <f t="shared" si="148"/>
        <v>岸和田保健所</v>
      </c>
      <c r="C436" s="7" t="str">
        <f t="shared" si="142"/>
        <v>行政財産</v>
      </c>
      <c r="D436" s="7" t="str">
        <f t="shared" si="136"/>
        <v>その他（行政機関）の施設</v>
      </c>
      <c r="E436" s="7" t="str">
        <f t="shared" si="149"/>
        <v>大阪府岸和田市野田町３丁目</v>
      </c>
      <c r="F436" s="7" t="str">
        <f t="shared" si="150"/>
        <v>１３－１</v>
      </c>
      <c r="G436" s="7" t="str">
        <f t="shared" si="133"/>
        <v>事業用資産</v>
      </c>
      <c r="H436" s="7" t="str">
        <f t="shared" si="134"/>
        <v>棚卸以外</v>
      </c>
      <c r="I436" s="7">
        <v>5</v>
      </c>
      <c r="J436" s="7" t="str">
        <f>"自転車庫"</f>
        <v>自転車庫</v>
      </c>
      <c r="K436" s="7" t="str">
        <f>"コンクリートブロック造"</f>
        <v>コンクリートブロック造</v>
      </c>
      <c r="L436" s="7" t="str">
        <f>"H03.03.30"</f>
        <v>H03.03.30</v>
      </c>
      <c r="M436" s="7">
        <v>9</v>
      </c>
      <c r="N436" s="7">
        <v>1504000</v>
      </c>
      <c r="O436" s="7">
        <v>1415808</v>
      </c>
      <c r="P436" s="7">
        <v>0</v>
      </c>
      <c r="Q436" s="7" t="str">
        <f t="shared" si="137"/>
        <v>健康医療部</v>
      </c>
      <c r="R436" s="7" t="str">
        <f t="shared" si="151"/>
        <v>岸和田保健所</v>
      </c>
    </row>
    <row r="437" spans="1:18" s="1" customFormat="1" x14ac:dyDescent="0.45">
      <c r="A437" s="7" t="str">
        <f t="shared" si="147"/>
        <v>04104000000</v>
      </c>
      <c r="B437" s="7" t="str">
        <f t="shared" si="148"/>
        <v>岸和田保健所</v>
      </c>
      <c r="C437" s="7" t="str">
        <f t="shared" si="142"/>
        <v>行政財産</v>
      </c>
      <c r="D437" s="7" t="str">
        <f t="shared" si="136"/>
        <v>その他（行政機関）の施設</v>
      </c>
      <c r="E437" s="7" t="str">
        <f t="shared" si="149"/>
        <v>大阪府岸和田市野田町３丁目</v>
      </c>
      <c r="F437" s="7" t="str">
        <f t="shared" si="150"/>
        <v>１３－１</v>
      </c>
      <c r="G437" s="7" t="str">
        <f t="shared" si="133"/>
        <v>事業用資産</v>
      </c>
      <c r="H437" s="7" t="str">
        <f t="shared" si="134"/>
        <v>棚卸以外</v>
      </c>
      <c r="I437" s="7">
        <v>7</v>
      </c>
      <c r="J437" s="7" t="str">
        <f>"書類倉庫"</f>
        <v>書類倉庫</v>
      </c>
      <c r="K437" s="7" t="str">
        <f>"鉄骨造"</f>
        <v>鉄骨造</v>
      </c>
      <c r="L437" s="7" t="str">
        <f>"S50.12.27"</f>
        <v>S50.12.27</v>
      </c>
      <c r="M437" s="7">
        <v>16.84</v>
      </c>
      <c r="N437" s="7">
        <v>323000</v>
      </c>
      <c r="O437" s="7">
        <v>251959</v>
      </c>
      <c r="P437" s="7">
        <v>0</v>
      </c>
      <c r="Q437" s="7" t="str">
        <f t="shared" si="137"/>
        <v>健康医療部</v>
      </c>
      <c r="R437" s="7" t="str">
        <f t="shared" si="151"/>
        <v>岸和田保健所</v>
      </c>
    </row>
    <row r="438" spans="1:18" s="1" customFormat="1" x14ac:dyDescent="0.45">
      <c r="A438" s="7" t="str">
        <f t="shared" si="147"/>
        <v>04104000000</v>
      </c>
      <c r="B438" s="7" t="str">
        <f t="shared" si="148"/>
        <v>岸和田保健所</v>
      </c>
      <c r="C438" s="7" t="str">
        <f t="shared" si="142"/>
        <v>行政財産</v>
      </c>
      <c r="D438" s="7" t="str">
        <f t="shared" si="136"/>
        <v>その他（行政機関）の施設</v>
      </c>
      <c r="E438" s="7" t="str">
        <f t="shared" si="149"/>
        <v>大阪府岸和田市野田町３丁目</v>
      </c>
      <c r="F438" s="7" t="str">
        <f t="shared" si="150"/>
        <v>１３－１</v>
      </c>
      <c r="G438" s="7" t="str">
        <f t="shared" si="133"/>
        <v>事業用資産</v>
      </c>
      <c r="H438" s="7" t="str">
        <f t="shared" si="134"/>
        <v>棚卸以外</v>
      </c>
      <c r="I438" s="7">
        <v>9</v>
      </c>
      <c r="J438" s="7" t="str">
        <f>"別館"</f>
        <v>別館</v>
      </c>
      <c r="K438" s="7" t="str">
        <f>"鉄筋コンクリート造"</f>
        <v>鉄筋コンクリート造</v>
      </c>
      <c r="L438" s="7" t="str">
        <f>"H03.03.30"</f>
        <v>H03.03.30</v>
      </c>
      <c r="M438" s="7">
        <v>74.33</v>
      </c>
      <c r="N438" s="7">
        <v>10017000</v>
      </c>
      <c r="O438" s="7">
        <v>6410880</v>
      </c>
      <c r="P438" s="7">
        <v>0</v>
      </c>
      <c r="Q438" s="7" t="str">
        <f t="shared" si="137"/>
        <v>健康医療部</v>
      </c>
      <c r="R438" s="7" t="str">
        <f t="shared" si="151"/>
        <v>岸和田保健所</v>
      </c>
    </row>
    <row r="439" spans="1:18" s="1" customFormat="1" x14ac:dyDescent="0.45">
      <c r="A439" s="7" t="str">
        <f t="shared" si="147"/>
        <v>04104000000</v>
      </c>
      <c r="B439" s="7" t="str">
        <f t="shared" si="148"/>
        <v>岸和田保健所</v>
      </c>
      <c r="C439" s="7" t="str">
        <f t="shared" si="142"/>
        <v>行政財産</v>
      </c>
      <c r="D439" s="7" t="str">
        <f t="shared" si="136"/>
        <v>その他（行政機関）の施設</v>
      </c>
      <c r="E439" s="7" t="str">
        <f t="shared" si="149"/>
        <v>大阪府岸和田市野田町３丁目</v>
      </c>
      <c r="F439" s="7" t="str">
        <f t="shared" si="150"/>
        <v>１３－１</v>
      </c>
      <c r="G439" s="7" t="str">
        <f t="shared" si="133"/>
        <v>事業用資産</v>
      </c>
      <c r="H439" s="7" t="str">
        <f t="shared" si="134"/>
        <v>棚卸以外</v>
      </c>
      <c r="I439" s="7">
        <v>10</v>
      </c>
      <c r="J439" s="7" t="str">
        <f>"現像廃液保管庫"</f>
        <v>現像廃液保管庫</v>
      </c>
      <c r="K439" s="7" t="str">
        <f>"鉄骨造"</f>
        <v>鉄骨造</v>
      </c>
      <c r="L439" s="7" t="str">
        <f>"H04.03.14"</f>
        <v>H04.03.14</v>
      </c>
      <c r="M439" s="7">
        <v>6.45</v>
      </c>
      <c r="N439" s="7">
        <v>702000</v>
      </c>
      <c r="O439" s="7">
        <v>701999</v>
      </c>
      <c r="P439" s="7">
        <v>0</v>
      </c>
      <c r="Q439" s="7" t="str">
        <f t="shared" si="137"/>
        <v>健康医療部</v>
      </c>
      <c r="R439" s="7" t="str">
        <f t="shared" si="151"/>
        <v>岸和田保健所</v>
      </c>
    </row>
    <row r="440" spans="1:18" s="1" customFormat="1" x14ac:dyDescent="0.45">
      <c r="A440" s="7" t="str">
        <f>"04105000000"</f>
        <v>04105000000</v>
      </c>
      <c r="B440" s="7" t="str">
        <f>"泉佐野保健所"</f>
        <v>泉佐野保健所</v>
      </c>
      <c r="C440" s="7" t="str">
        <f t="shared" si="142"/>
        <v>行政財産</v>
      </c>
      <c r="D440" s="7" t="str">
        <f t="shared" si="136"/>
        <v>その他（行政機関）の施設</v>
      </c>
      <c r="E440" s="7" t="str">
        <f>"大阪府泉佐野市上瓦屋"</f>
        <v>大阪府泉佐野市上瓦屋</v>
      </c>
      <c r="F440" s="7"/>
      <c r="G440" s="7" t="str">
        <f t="shared" si="133"/>
        <v>事業用資産</v>
      </c>
      <c r="H440" s="7" t="str">
        <f t="shared" si="134"/>
        <v>棚卸以外</v>
      </c>
      <c r="I440" s="7">
        <v>1</v>
      </c>
      <c r="J440" s="7" t="str">
        <f>"庁舎棟"</f>
        <v>庁舎棟</v>
      </c>
      <c r="K440" s="7" t="str">
        <f>"鉄筋コンクリート造"</f>
        <v>鉄筋コンクリート造</v>
      </c>
      <c r="L440" s="7" t="str">
        <f>"H06.12.07"</f>
        <v>H06.12.07</v>
      </c>
      <c r="M440" s="7">
        <v>3134.04</v>
      </c>
      <c r="N440" s="7">
        <v>1106959444</v>
      </c>
      <c r="O440" s="7">
        <v>597720057</v>
      </c>
      <c r="P440" s="7">
        <v>0</v>
      </c>
      <c r="Q440" s="7" t="str">
        <f t="shared" si="137"/>
        <v>健康医療部</v>
      </c>
      <c r="R440" s="7" t="str">
        <f>"泉佐野保健所"</f>
        <v>泉佐野保健所</v>
      </c>
    </row>
    <row r="441" spans="1:18" s="1" customFormat="1" ht="26.4" x14ac:dyDescent="0.45">
      <c r="A441" s="7" t="str">
        <f>"04105003001"</f>
        <v>04105003001</v>
      </c>
      <c r="B441" s="7" t="str">
        <f>"泉佐野保健所（動物愛護管理センター泉佐野支所との面積按分所有分）"</f>
        <v>泉佐野保健所（動物愛護管理センター泉佐野支所との面積按分所有分）</v>
      </c>
      <c r="C441" s="7" t="str">
        <f t="shared" si="142"/>
        <v>行政財産</v>
      </c>
      <c r="D441" s="7" t="str">
        <f t="shared" si="136"/>
        <v>その他（行政機関）の施設</v>
      </c>
      <c r="E441" s="7" t="str">
        <f>"大阪府泉佐野市上瓦屋"</f>
        <v>大阪府泉佐野市上瓦屋</v>
      </c>
      <c r="F441" s="7"/>
      <c r="G441" s="7" t="str">
        <f t="shared" si="133"/>
        <v>事業用資産</v>
      </c>
      <c r="H441" s="7" t="str">
        <f t="shared" si="134"/>
        <v>棚卸以外</v>
      </c>
      <c r="I441" s="7">
        <v>1</v>
      </c>
      <c r="J441" s="7" t="str">
        <f>"泉佐野保健所"</f>
        <v>泉佐野保健所</v>
      </c>
      <c r="K441" s="7" t="str">
        <f>"鉄筋コンクリート造"</f>
        <v>鉄筋コンクリート造</v>
      </c>
      <c r="L441" s="7" t="str">
        <f>"H06.12.07"</f>
        <v>H06.12.07</v>
      </c>
      <c r="M441" s="7">
        <v>38.22</v>
      </c>
      <c r="N441" s="7">
        <v>7581896</v>
      </c>
      <c r="O441" s="7">
        <v>4283943</v>
      </c>
      <c r="P441" s="7">
        <v>0</v>
      </c>
      <c r="Q441" s="7" t="str">
        <f t="shared" si="137"/>
        <v>健康医療部</v>
      </c>
      <c r="R441" s="7" t="str">
        <f>"泉佐野保健所"</f>
        <v>泉佐野保健所</v>
      </c>
    </row>
    <row r="442" spans="1:18" s="1" customFormat="1" x14ac:dyDescent="0.45">
      <c r="A442" s="7" t="str">
        <f>"04111000088"</f>
        <v>04111000088</v>
      </c>
      <c r="B442" s="7" t="str">
        <f>"大阪府こころの健康総合センター"</f>
        <v>大阪府こころの健康総合センター</v>
      </c>
      <c r="C442" s="7" t="str">
        <f t="shared" si="142"/>
        <v>行政財産</v>
      </c>
      <c r="D442" s="7" t="str">
        <f t="shared" si="136"/>
        <v>その他（行政機関）の施設</v>
      </c>
      <c r="E442" s="7" t="str">
        <f>"大阪府大阪市　住吉区万代東３丁目"</f>
        <v>大阪府大阪市　住吉区万代東３丁目</v>
      </c>
      <c r="F442" s="7" t="str">
        <f>"１－４６"</f>
        <v>１－４６</v>
      </c>
      <c r="G442" s="7" t="str">
        <f t="shared" si="133"/>
        <v>事業用資産</v>
      </c>
      <c r="H442" s="7" t="str">
        <f t="shared" si="134"/>
        <v>棚卸以外</v>
      </c>
      <c r="I442" s="7">
        <v>1</v>
      </c>
      <c r="J442" s="7" t="str">
        <f>"本館"</f>
        <v>本館</v>
      </c>
      <c r="K442" s="7" t="str">
        <f>"鉄筋コンクリート造"</f>
        <v>鉄筋コンクリート造</v>
      </c>
      <c r="L442" s="7" t="str">
        <f>"H06.03.31"</f>
        <v>H06.03.31</v>
      </c>
      <c r="M442" s="7">
        <v>3342.85</v>
      </c>
      <c r="N442" s="7">
        <v>1163145915</v>
      </c>
      <c r="O442" s="7">
        <v>663561947</v>
      </c>
      <c r="P442" s="7">
        <v>0</v>
      </c>
      <c r="Q442" s="7" t="str">
        <f t="shared" si="137"/>
        <v>健康医療部</v>
      </c>
      <c r="R442" s="7" t="str">
        <f>"こころの健康総合センター"</f>
        <v>こころの健康総合センター</v>
      </c>
    </row>
    <row r="443" spans="1:18" s="1" customFormat="1" x14ac:dyDescent="0.45">
      <c r="A443" s="7" t="str">
        <f>"04111000088"</f>
        <v>04111000088</v>
      </c>
      <c r="B443" s="7" t="str">
        <f>"大阪府こころの健康総合センター"</f>
        <v>大阪府こころの健康総合センター</v>
      </c>
      <c r="C443" s="7" t="str">
        <f t="shared" si="142"/>
        <v>行政財産</v>
      </c>
      <c r="D443" s="7" t="str">
        <f t="shared" si="136"/>
        <v>その他（行政機関）の施設</v>
      </c>
      <c r="E443" s="7" t="str">
        <f>"大阪府大阪市　住吉区万代東３丁目"</f>
        <v>大阪府大阪市　住吉区万代東３丁目</v>
      </c>
      <c r="F443" s="7" t="str">
        <f>"１－４６"</f>
        <v>１－４６</v>
      </c>
      <c r="G443" s="7" t="str">
        <f t="shared" si="133"/>
        <v>事業用資産</v>
      </c>
      <c r="H443" s="7" t="str">
        <f t="shared" si="134"/>
        <v>棚卸以外</v>
      </c>
      <c r="I443" s="7">
        <v>2</v>
      </c>
      <c r="J443" s="7" t="str">
        <f>"倉庫"</f>
        <v>倉庫</v>
      </c>
      <c r="K443" s="7" t="str">
        <f>"鉄骨造"</f>
        <v>鉄骨造</v>
      </c>
      <c r="L443" s="7" t="str">
        <f>"H06.03.31"</f>
        <v>H06.03.31</v>
      </c>
      <c r="M443" s="7">
        <v>7.23</v>
      </c>
      <c r="N443" s="7">
        <v>1588000</v>
      </c>
      <c r="O443" s="7">
        <v>1485612</v>
      </c>
      <c r="P443" s="7">
        <v>0</v>
      </c>
      <c r="Q443" s="7" t="str">
        <f t="shared" si="137"/>
        <v>健康医療部</v>
      </c>
      <c r="R443" s="7" t="str">
        <f>"こころの健康総合センター"</f>
        <v>こころの健康総合センター</v>
      </c>
    </row>
    <row r="444" spans="1:18" s="1" customFormat="1" ht="26.4" x14ac:dyDescent="0.45">
      <c r="A444" s="7" t="str">
        <f>"04068001005"</f>
        <v>04068001005</v>
      </c>
      <c r="B444" s="7" t="str">
        <f>"大阪がん循環器病予防センター"</f>
        <v>大阪がん循環器病予防センター</v>
      </c>
      <c r="C444" s="7" t="str">
        <f>"普通財産"</f>
        <v>普通財産</v>
      </c>
      <c r="D444" s="7" t="str">
        <f>"その他"</f>
        <v>その他</v>
      </c>
      <c r="E444" s="7" t="str">
        <f>"大阪府大阪市　城東区森之宮１丁目"</f>
        <v>大阪府大阪市　城東区森之宮１丁目</v>
      </c>
      <c r="F444" s="7"/>
      <c r="G444" s="7" t="str">
        <f t="shared" si="133"/>
        <v>事業用資産</v>
      </c>
      <c r="H444" s="7" t="str">
        <f t="shared" si="134"/>
        <v>棚卸以外</v>
      </c>
      <c r="I444" s="7">
        <v>1</v>
      </c>
      <c r="J444" s="7" t="str">
        <f>"大阪がん循環器病予防センター"</f>
        <v>大阪がん循環器病予防センター</v>
      </c>
      <c r="K444" s="7" t="str">
        <f>"鉄骨鉄筋コンクリート造"</f>
        <v>鉄骨鉄筋コンクリート造</v>
      </c>
      <c r="L444" s="7" t="str">
        <f>"S62.04.30"</f>
        <v>S62.04.30</v>
      </c>
      <c r="M444" s="7">
        <v>5208.57</v>
      </c>
      <c r="N444" s="7">
        <v>618861844</v>
      </c>
      <c r="O444" s="7">
        <v>194303822</v>
      </c>
      <c r="P444" s="7">
        <v>0</v>
      </c>
      <c r="Q444" s="7" t="str">
        <f t="shared" si="137"/>
        <v>健康医療部</v>
      </c>
      <c r="R444" s="7" t="str">
        <f>"健康推進室"</f>
        <v>健康推進室</v>
      </c>
    </row>
    <row r="445" spans="1:18" s="1" customFormat="1" ht="26.4" x14ac:dyDescent="0.45">
      <c r="A445" s="7" t="str">
        <f>"05250000001"</f>
        <v>05250000001</v>
      </c>
      <c r="B445" s="7" t="str">
        <f>"マイドームおおさか"</f>
        <v>マイドームおおさか</v>
      </c>
      <c r="C445" s="7" t="str">
        <f>"行政財産"</f>
        <v>行政財産</v>
      </c>
      <c r="D445" s="7" t="str">
        <f>"その他（行政機関）の施設"</f>
        <v>その他（行政機関）の施設</v>
      </c>
      <c r="E445" s="7" t="str">
        <f>"大阪府大阪市　中央区本町橋"</f>
        <v>大阪府大阪市　中央区本町橋</v>
      </c>
      <c r="F445" s="7"/>
      <c r="G445" s="7" t="str">
        <f t="shared" si="133"/>
        <v>事業用資産</v>
      </c>
      <c r="H445" s="7" t="str">
        <f t="shared" si="134"/>
        <v>棚卸以外</v>
      </c>
      <c r="I445" s="7">
        <v>1</v>
      </c>
      <c r="J445" s="7" t="str">
        <f>"大阪中小企業振興センタ―"</f>
        <v>大阪中小企業振興センタ―</v>
      </c>
      <c r="K445" s="7" t="str">
        <f>"鉄骨鉄筋コンクリート造"</f>
        <v>鉄骨鉄筋コンクリート造</v>
      </c>
      <c r="L445" s="7" t="str">
        <f>"S62.08.27"</f>
        <v>S62.08.27</v>
      </c>
      <c r="M445" s="7">
        <v>5830.7</v>
      </c>
      <c r="N445" s="7">
        <v>1756641000</v>
      </c>
      <c r="O445" s="7">
        <v>1250142845</v>
      </c>
      <c r="P445" s="7">
        <v>0</v>
      </c>
      <c r="Q445" s="7" t="str">
        <f t="shared" ref="Q445:Q476" si="152">"商工労働部"</f>
        <v>商工労働部</v>
      </c>
      <c r="R445" s="7" t="str">
        <f>"中小企業支援室"</f>
        <v>中小企業支援室</v>
      </c>
    </row>
    <row r="446" spans="1:18" s="1" customFormat="1" x14ac:dyDescent="0.45">
      <c r="A446" s="7" t="str">
        <f>"05140000000"</f>
        <v>05140000000</v>
      </c>
      <c r="B446" s="7" t="str">
        <f>"上汐会館"</f>
        <v>上汐会館</v>
      </c>
      <c r="C446" s="7" t="str">
        <f>"普通財産"</f>
        <v>普通財産</v>
      </c>
      <c r="D446" s="7" t="str">
        <f>"その他"</f>
        <v>その他</v>
      </c>
      <c r="E446" s="7" t="str">
        <f>"大阪府大阪市　天王寺区上汐５丁目"</f>
        <v>大阪府大阪市　天王寺区上汐５丁目</v>
      </c>
      <c r="F446" s="7"/>
      <c r="G446" s="7" t="str">
        <f t="shared" si="133"/>
        <v>事業用資産</v>
      </c>
      <c r="H446" s="7" t="str">
        <f t="shared" si="134"/>
        <v>棚卸以外</v>
      </c>
      <c r="I446" s="7">
        <v>1</v>
      </c>
      <c r="J446" s="7" t="str">
        <f>"本館"</f>
        <v>本館</v>
      </c>
      <c r="K446" s="7" t="str">
        <f>"鉄筋コンクリート造"</f>
        <v>鉄筋コンクリート造</v>
      </c>
      <c r="L446" s="7" t="str">
        <f>"S43.05.29"</f>
        <v>S43.05.29</v>
      </c>
      <c r="M446" s="7">
        <v>630.4</v>
      </c>
      <c r="N446" s="7">
        <v>40376500</v>
      </c>
      <c r="O446" s="7">
        <v>39971559</v>
      </c>
      <c r="P446" s="7">
        <v>0</v>
      </c>
      <c r="Q446" s="7" t="str">
        <f t="shared" si="152"/>
        <v>商工労働部</v>
      </c>
      <c r="R446" s="7" t="str">
        <f t="shared" ref="R446:R466" si="153">"雇用推進室"</f>
        <v>雇用推進室</v>
      </c>
    </row>
    <row r="447" spans="1:18" s="1" customFormat="1" ht="26.4" x14ac:dyDescent="0.45">
      <c r="A447" s="7" t="str">
        <f>"05140000019"</f>
        <v>05140000019</v>
      </c>
      <c r="B447" s="7" t="str">
        <f>"オオサカサンパレス"</f>
        <v>オオサカサンパレス</v>
      </c>
      <c r="C447" s="7" t="str">
        <f>"普通財産"</f>
        <v>普通財産</v>
      </c>
      <c r="D447" s="7" t="str">
        <f>"その他"</f>
        <v>その他</v>
      </c>
      <c r="E447" s="7" t="str">
        <f>"大阪府吹田市千里万博公園"</f>
        <v>大阪府吹田市千里万博公園</v>
      </c>
      <c r="F447" s="7"/>
      <c r="G447" s="7" t="str">
        <f t="shared" si="133"/>
        <v>事業用資産</v>
      </c>
      <c r="H447" s="7" t="str">
        <f t="shared" si="134"/>
        <v>棚卸以外</v>
      </c>
      <c r="I447" s="7">
        <v>1</v>
      </c>
      <c r="J447" s="7" t="str">
        <f>"本館及び健康増進棟"</f>
        <v>本館及び健康増進棟</v>
      </c>
      <c r="K447" s="7" t="str">
        <f>"鉄骨鉄筋コンクリート造"</f>
        <v>鉄骨鉄筋コンクリート造</v>
      </c>
      <c r="L447" s="7" t="str">
        <f>"H02.01.30"</f>
        <v>H02.01.30</v>
      </c>
      <c r="M447" s="7">
        <v>25575.759999999998</v>
      </c>
      <c r="N447" s="7">
        <v>1162040001</v>
      </c>
      <c r="O447" s="7">
        <v>428018214</v>
      </c>
      <c r="P447" s="7">
        <v>0</v>
      </c>
      <c r="Q447" s="7" t="str">
        <f t="shared" si="152"/>
        <v>商工労働部</v>
      </c>
      <c r="R447" s="7" t="str">
        <f t="shared" si="153"/>
        <v>雇用推進室</v>
      </c>
    </row>
    <row r="448" spans="1:18" s="1" customFormat="1" x14ac:dyDescent="0.45">
      <c r="A448" s="7" t="str">
        <f>"05140000019"</f>
        <v>05140000019</v>
      </c>
      <c r="B448" s="7" t="str">
        <f>"オオサカサンパレス"</f>
        <v>オオサカサンパレス</v>
      </c>
      <c r="C448" s="7" t="str">
        <f>"普通財産"</f>
        <v>普通財産</v>
      </c>
      <c r="D448" s="7" t="str">
        <f>"その他"</f>
        <v>その他</v>
      </c>
      <c r="E448" s="7" t="str">
        <f>"大阪府吹田市千里万博公園"</f>
        <v>大阪府吹田市千里万博公園</v>
      </c>
      <c r="F448" s="7"/>
      <c r="G448" s="7" t="str">
        <f t="shared" si="133"/>
        <v>事業用資産</v>
      </c>
      <c r="H448" s="7" t="str">
        <f t="shared" si="134"/>
        <v>棚卸以外</v>
      </c>
      <c r="I448" s="7">
        <v>2</v>
      </c>
      <c r="J448" s="7" t="str">
        <f>"駐車場"</f>
        <v>駐車場</v>
      </c>
      <c r="K448" s="7" t="str">
        <f>"鉄骨造"</f>
        <v>鉄骨造</v>
      </c>
      <c r="L448" s="7" t="str">
        <f>"H02.04.27"</f>
        <v>H02.04.27</v>
      </c>
      <c r="M448" s="7">
        <v>5083.59</v>
      </c>
      <c r="N448" s="7">
        <v>86760000</v>
      </c>
      <c r="O448" s="7">
        <v>42048344</v>
      </c>
      <c r="P448" s="7">
        <v>0</v>
      </c>
      <c r="Q448" s="7" t="str">
        <f t="shared" si="152"/>
        <v>商工労働部</v>
      </c>
      <c r="R448" s="7" t="str">
        <f t="shared" si="153"/>
        <v>雇用推進室</v>
      </c>
    </row>
    <row r="449" spans="1:18" s="1" customFormat="1" ht="26.4" x14ac:dyDescent="0.45">
      <c r="A449" s="7" t="str">
        <f>"05140000019"</f>
        <v>05140000019</v>
      </c>
      <c r="B449" s="7" t="str">
        <f>"オオサカサンパレス"</f>
        <v>オオサカサンパレス</v>
      </c>
      <c r="C449" s="7" t="str">
        <f>"普通財産"</f>
        <v>普通財産</v>
      </c>
      <c r="D449" s="7" t="str">
        <f>"その他"</f>
        <v>その他</v>
      </c>
      <c r="E449" s="7" t="str">
        <f>"大阪府吹田市千里万博公園"</f>
        <v>大阪府吹田市千里万博公園</v>
      </c>
      <c r="F449" s="7"/>
      <c r="G449" s="7" t="str">
        <f t="shared" si="133"/>
        <v>事業用資産</v>
      </c>
      <c r="H449" s="7" t="str">
        <f t="shared" si="134"/>
        <v>棚卸以外</v>
      </c>
      <c r="I449" s="7">
        <v>3</v>
      </c>
      <c r="J449" s="7" t="str">
        <f>"東館"</f>
        <v>東館</v>
      </c>
      <c r="K449" s="7" t="str">
        <f>"鉄骨鉄筋コンクリート造"</f>
        <v>鉄骨鉄筋コンクリート造</v>
      </c>
      <c r="L449" s="7" t="str">
        <f>"H07.08.28"</f>
        <v>H07.08.28</v>
      </c>
      <c r="M449" s="7">
        <v>3674.39</v>
      </c>
      <c r="N449" s="7">
        <v>346200000</v>
      </c>
      <c r="O449" s="7">
        <v>127517000</v>
      </c>
      <c r="P449" s="7">
        <v>0</v>
      </c>
      <c r="Q449" s="7" t="str">
        <f t="shared" si="152"/>
        <v>商工労働部</v>
      </c>
      <c r="R449" s="7" t="str">
        <f t="shared" si="153"/>
        <v>雇用推進室</v>
      </c>
    </row>
    <row r="450" spans="1:18" s="1" customFormat="1" ht="26.4" x14ac:dyDescent="0.45">
      <c r="A450" s="7" t="str">
        <f>"05140001001"</f>
        <v>05140001001</v>
      </c>
      <c r="B450" s="7" t="str">
        <f>"大阪府立労働センター"</f>
        <v>大阪府立労働センター</v>
      </c>
      <c r="C450" s="7" t="str">
        <f>"行政財産"</f>
        <v>行政財産</v>
      </c>
      <c r="D450" s="7" t="str">
        <f>"その他（公共用）の施設"</f>
        <v>その他（公共用）の施設</v>
      </c>
      <c r="E450" s="7" t="str">
        <f>"大阪府大阪市　中央区北浜東"</f>
        <v>大阪府大阪市　中央区北浜東</v>
      </c>
      <c r="F450" s="7"/>
      <c r="G450" s="7" t="str">
        <f t="shared" si="133"/>
        <v>事業用資産</v>
      </c>
      <c r="H450" s="7" t="str">
        <f t="shared" si="134"/>
        <v>棚卸以外</v>
      </c>
      <c r="I450" s="7">
        <v>4</v>
      </c>
      <c r="J450" s="7" t="str">
        <f>"本棟"</f>
        <v>本棟</v>
      </c>
      <c r="K450" s="7" t="str">
        <f>"鉄骨鉄筋コンクリート造"</f>
        <v>鉄骨鉄筋コンクリート造</v>
      </c>
      <c r="L450" s="7" t="str">
        <f>"S53.09.05"</f>
        <v>S53.09.05</v>
      </c>
      <c r="M450" s="7">
        <v>21584.95</v>
      </c>
      <c r="N450" s="7">
        <v>5491219108</v>
      </c>
      <c r="O450" s="7">
        <v>4508735807</v>
      </c>
      <c r="P450" s="7">
        <v>0</v>
      </c>
      <c r="Q450" s="7" t="str">
        <f t="shared" si="152"/>
        <v>商工労働部</v>
      </c>
      <c r="R450" s="7" t="str">
        <f t="shared" si="153"/>
        <v>雇用推進室</v>
      </c>
    </row>
    <row r="451" spans="1:18" s="1" customFormat="1" x14ac:dyDescent="0.45">
      <c r="A451" s="7" t="str">
        <f>"05140001007"</f>
        <v>05140001007</v>
      </c>
      <c r="B451" s="7" t="str">
        <f>"勤労者憩いの家（箕面山荘）"</f>
        <v>勤労者憩いの家（箕面山荘）</v>
      </c>
      <c r="C451" s="7" t="str">
        <f t="shared" ref="C451:C463" si="154">"普通財産"</f>
        <v>普通財産</v>
      </c>
      <c r="D451" s="7" t="str">
        <f t="shared" ref="D451:D463" si="155">"その他"</f>
        <v>その他</v>
      </c>
      <c r="E451" s="7" t="str">
        <f>"大阪府箕面市箕面２丁目"</f>
        <v>大阪府箕面市箕面２丁目</v>
      </c>
      <c r="F451" s="7"/>
      <c r="G451" s="7" t="str">
        <f t="shared" si="133"/>
        <v>事業用資産</v>
      </c>
      <c r="H451" s="7" t="str">
        <f t="shared" si="134"/>
        <v>棚卸以外</v>
      </c>
      <c r="I451" s="7">
        <v>3</v>
      </c>
      <c r="J451" s="7" t="str">
        <f>"ポンプ室"</f>
        <v>ポンプ室</v>
      </c>
      <c r="K451" s="7" t="str">
        <f>"鉄筋コンクリート造"</f>
        <v>鉄筋コンクリート造</v>
      </c>
      <c r="L451" s="7" t="str">
        <f>"S45.08.20"</f>
        <v>S45.08.20</v>
      </c>
      <c r="M451" s="7">
        <v>21.37</v>
      </c>
      <c r="N451" s="7">
        <v>608869</v>
      </c>
      <c r="O451" s="7">
        <v>608868</v>
      </c>
      <c r="P451" s="7">
        <v>0</v>
      </c>
      <c r="Q451" s="7" t="str">
        <f t="shared" si="152"/>
        <v>商工労働部</v>
      </c>
      <c r="R451" s="7" t="str">
        <f t="shared" si="153"/>
        <v>雇用推進室</v>
      </c>
    </row>
    <row r="452" spans="1:18" s="1" customFormat="1" x14ac:dyDescent="0.45">
      <c r="A452" s="7" t="str">
        <f>"05140001014"</f>
        <v>05140001014</v>
      </c>
      <c r="B452" s="7" t="str">
        <f>"あいりん労働公共職安西成分室"</f>
        <v>あいりん労働公共職安西成分室</v>
      </c>
      <c r="C452" s="7" t="str">
        <f t="shared" si="154"/>
        <v>普通財産</v>
      </c>
      <c r="D452" s="7" t="str">
        <f t="shared" si="155"/>
        <v>その他</v>
      </c>
      <c r="E452" s="7" t="str">
        <f>"大阪府大阪市　西成区萩之茶屋３丁目"</f>
        <v>大阪府大阪市　西成区萩之茶屋３丁目</v>
      </c>
      <c r="F452" s="7"/>
      <c r="G452" s="7" t="str">
        <f t="shared" ref="G452:G515" si="156">"事業用資産"</f>
        <v>事業用資産</v>
      </c>
      <c r="H452" s="7" t="str">
        <f t="shared" ref="H452:H515" si="157">"棚卸以外"</f>
        <v>棚卸以外</v>
      </c>
      <c r="I452" s="7">
        <v>1</v>
      </c>
      <c r="J452" s="7" t="str">
        <f>"事務所及び寄場"</f>
        <v>事務所及び寄場</v>
      </c>
      <c r="K452" s="7" t="str">
        <f>"鉄筋コンクリート造"</f>
        <v>鉄筋コンクリート造</v>
      </c>
      <c r="L452" s="7" t="str">
        <f>"S36.12.25"</f>
        <v>S36.12.25</v>
      </c>
      <c r="M452" s="7">
        <v>568.82000000000005</v>
      </c>
      <c r="N452" s="7">
        <v>11751308</v>
      </c>
      <c r="O452" s="7">
        <v>11751307</v>
      </c>
      <c r="P452" s="7">
        <v>0</v>
      </c>
      <c r="Q452" s="7" t="str">
        <f t="shared" si="152"/>
        <v>商工労働部</v>
      </c>
      <c r="R452" s="7" t="str">
        <f t="shared" si="153"/>
        <v>雇用推進室</v>
      </c>
    </row>
    <row r="453" spans="1:18" s="1" customFormat="1" x14ac:dyDescent="0.45">
      <c r="A453" s="7" t="str">
        <f>"05140001014"</f>
        <v>05140001014</v>
      </c>
      <c r="B453" s="7" t="str">
        <f>"あいりん労働公共職安西成分室"</f>
        <v>あいりん労働公共職安西成分室</v>
      </c>
      <c r="C453" s="7" t="str">
        <f t="shared" si="154"/>
        <v>普通財産</v>
      </c>
      <c r="D453" s="7" t="str">
        <f t="shared" si="155"/>
        <v>その他</v>
      </c>
      <c r="E453" s="7" t="str">
        <f>"大阪府大阪市　西成区萩之茶屋３丁目"</f>
        <v>大阪府大阪市　西成区萩之茶屋３丁目</v>
      </c>
      <c r="F453" s="7"/>
      <c r="G453" s="7" t="str">
        <f t="shared" si="156"/>
        <v>事業用資産</v>
      </c>
      <c r="H453" s="7" t="str">
        <f t="shared" si="157"/>
        <v>棚卸以外</v>
      </c>
      <c r="I453" s="7">
        <v>2</v>
      </c>
      <c r="J453" s="7" t="str">
        <f>"倉庫"</f>
        <v>倉庫</v>
      </c>
      <c r="K453" s="7" t="str">
        <f>"コンクリートブロック造"</f>
        <v>コンクリートブロック造</v>
      </c>
      <c r="L453" s="7" t="str">
        <f>"S37.10.03"</f>
        <v>S37.10.03</v>
      </c>
      <c r="M453" s="7">
        <v>16.690000000000001</v>
      </c>
      <c r="N453" s="7">
        <v>381490</v>
      </c>
      <c r="O453" s="7">
        <v>381489</v>
      </c>
      <c r="P453" s="7">
        <v>0</v>
      </c>
      <c r="Q453" s="7" t="str">
        <f t="shared" si="152"/>
        <v>商工労働部</v>
      </c>
      <c r="R453" s="7" t="str">
        <f t="shared" si="153"/>
        <v>雇用推進室</v>
      </c>
    </row>
    <row r="454" spans="1:18" s="1" customFormat="1" x14ac:dyDescent="0.45">
      <c r="A454" s="7" t="str">
        <f>"05140001014"</f>
        <v>05140001014</v>
      </c>
      <c r="B454" s="7" t="str">
        <f>"あいりん労働公共職安西成分室"</f>
        <v>あいりん労働公共職安西成分室</v>
      </c>
      <c r="C454" s="7" t="str">
        <f t="shared" si="154"/>
        <v>普通財産</v>
      </c>
      <c r="D454" s="7" t="str">
        <f t="shared" si="155"/>
        <v>その他</v>
      </c>
      <c r="E454" s="7" t="str">
        <f>"大阪府大阪市　西成区萩之茶屋３丁目"</f>
        <v>大阪府大阪市　西成区萩之茶屋３丁目</v>
      </c>
      <c r="F454" s="7"/>
      <c r="G454" s="7" t="str">
        <f t="shared" si="156"/>
        <v>事業用資産</v>
      </c>
      <c r="H454" s="7" t="str">
        <f t="shared" si="157"/>
        <v>棚卸以外</v>
      </c>
      <c r="I454" s="7">
        <v>3</v>
      </c>
      <c r="J454" s="7" t="str">
        <f>"理髪室及び食堂"</f>
        <v>理髪室及び食堂</v>
      </c>
      <c r="K454" s="7" t="str">
        <f>"軽量鉄骨造"</f>
        <v>軽量鉄骨造</v>
      </c>
      <c r="L454" s="7" t="str">
        <f>"S37.03.31"</f>
        <v>S37.03.31</v>
      </c>
      <c r="M454" s="7">
        <v>91.57</v>
      </c>
      <c r="N454" s="7">
        <v>1632692</v>
      </c>
      <c r="O454" s="7">
        <v>1632691</v>
      </c>
      <c r="P454" s="7">
        <v>0</v>
      </c>
      <c r="Q454" s="7" t="str">
        <f t="shared" si="152"/>
        <v>商工労働部</v>
      </c>
      <c r="R454" s="7" t="str">
        <f t="shared" si="153"/>
        <v>雇用推進室</v>
      </c>
    </row>
    <row r="455" spans="1:18" s="1" customFormat="1" x14ac:dyDescent="0.45">
      <c r="A455" s="7" t="str">
        <f>"05140001014"</f>
        <v>05140001014</v>
      </c>
      <c r="B455" s="7" t="str">
        <f>"あいりん労働公共職安西成分室"</f>
        <v>あいりん労働公共職安西成分室</v>
      </c>
      <c r="C455" s="7" t="str">
        <f t="shared" si="154"/>
        <v>普通財産</v>
      </c>
      <c r="D455" s="7" t="str">
        <f t="shared" si="155"/>
        <v>その他</v>
      </c>
      <c r="E455" s="7" t="str">
        <f>"大阪府大阪市　西成区萩之茶屋３丁目"</f>
        <v>大阪府大阪市　西成区萩之茶屋３丁目</v>
      </c>
      <c r="F455" s="7"/>
      <c r="G455" s="7" t="str">
        <f t="shared" si="156"/>
        <v>事業用資産</v>
      </c>
      <c r="H455" s="7" t="str">
        <f t="shared" si="157"/>
        <v>棚卸以外</v>
      </c>
      <c r="I455" s="7">
        <v>4</v>
      </c>
      <c r="J455" s="7" t="str">
        <f>"便所"</f>
        <v>便所</v>
      </c>
      <c r="K455" s="7" t="str">
        <f>"木造"</f>
        <v>木造</v>
      </c>
      <c r="L455" s="7" t="str">
        <f>"S33.12.11"</f>
        <v>S33.12.11</v>
      </c>
      <c r="M455" s="7">
        <v>16.36</v>
      </c>
      <c r="N455" s="7">
        <v>1533300</v>
      </c>
      <c r="O455" s="7">
        <v>1533299</v>
      </c>
      <c r="P455" s="7">
        <v>0</v>
      </c>
      <c r="Q455" s="7" t="str">
        <f t="shared" si="152"/>
        <v>商工労働部</v>
      </c>
      <c r="R455" s="7" t="str">
        <f t="shared" si="153"/>
        <v>雇用推進室</v>
      </c>
    </row>
    <row r="456" spans="1:18" s="1" customFormat="1" x14ac:dyDescent="0.45">
      <c r="A456" s="7" t="str">
        <f>"05140001014"</f>
        <v>05140001014</v>
      </c>
      <c r="B456" s="7" t="str">
        <f>"あいりん労働公共職安西成分室"</f>
        <v>あいりん労働公共職安西成分室</v>
      </c>
      <c r="C456" s="7" t="str">
        <f t="shared" si="154"/>
        <v>普通財産</v>
      </c>
      <c r="D456" s="7" t="str">
        <f t="shared" si="155"/>
        <v>その他</v>
      </c>
      <c r="E456" s="7" t="str">
        <f>"大阪府大阪市　西成区萩之茶屋３丁目"</f>
        <v>大阪府大阪市　西成区萩之茶屋３丁目</v>
      </c>
      <c r="F456" s="7"/>
      <c r="G456" s="7" t="str">
        <f t="shared" si="156"/>
        <v>事業用資産</v>
      </c>
      <c r="H456" s="7" t="str">
        <f t="shared" si="157"/>
        <v>棚卸以外</v>
      </c>
      <c r="I456" s="7">
        <v>5</v>
      </c>
      <c r="J456" s="7" t="str">
        <f>"危険物貯蔵庫"</f>
        <v>危険物貯蔵庫</v>
      </c>
      <c r="K456" s="7" t="str">
        <f>"コンクリートブロック造"</f>
        <v>コンクリートブロック造</v>
      </c>
      <c r="L456" s="7" t="str">
        <f>"S40.12.23"</f>
        <v>S40.12.23</v>
      </c>
      <c r="M456" s="7">
        <v>3.2</v>
      </c>
      <c r="N456" s="7">
        <v>67714</v>
      </c>
      <c r="O456" s="7">
        <v>67713</v>
      </c>
      <c r="P456" s="7">
        <v>0</v>
      </c>
      <c r="Q456" s="7" t="str">
        <f t="shared" si="152"/>
        <v>商工労働部</v>
      </c>
      <c r="R456" s="7" t="str">
        <f t="shared" si="153"/>
        <v>雇用推進室</v>
      </c>
    </row>
    <row r="457" spans="1:18" s="1" customFormat="1" x14ac:dyDescent="0.45">
      <c r="A457" s="7" t="str">
        <f>"05140001021"</f>
        <v>05140001021</v>
      </c>
      <c r="B457" s="7" t="str">
        <f>"泉大津公共職業安定所"</f>
        <v>泉大津公共職業安定所</v>
      </c>
      <c r="C457" s="7" t="str">
        <f t="shared" si="154"/>
        <v>普通財産</v>
      </c>
      <c r="D457" s="7" t="str">
        <f t="shared" si="155"/>
        <v>その他</v>
      </c>
      <c r="E457" s="7" t="str">
        <f>"大阪府泉大津市旭町"</f>
        <v>大阪府泉大津市旭町</v>
      </c>
      <c r="F457" s="7"/>
      <c r="G457" s="7" t="str">
        <f t="shared" si="156"/>
        <v>事業用資産</v>
      </c>
      <c r="H457" s="7" t="str">
        <f t="shared" si="157"/>
        <v>棚卸以外</v>
      </c>
      <c r="I457" s="7">
        <v>5</v>
      </c>
      <c r="J457" s="7" t="str">
        <f>"自転車置場"</f>
        <v>自転車置場</v>
      </c>
      <c r="K457" s="7" t="str">
        <f>"鉄筋コンクリート造"</f>
        <v>鉄筋コンクリート造</v>
      </c>
      <c r="L457" s="7" t="str">
        <f>"S55.03.27"</f>
        <v>S55.03.27</v>
      </c>
      <c r="M457" s="7">
        <v>9.27</v>
      </c>
      <c r="N457" s="7">
        <v>2273000</v>
      </c>
      <c r="O457" s="7">
        <v>2272999</v>
      </c>
      <c r="P457" s="7">
        <v>0</v>
      </c>
      <c r="Q457" s="7" t="str">
        <f t="shared" si="152"/>
        <v>商工労働部</v>
      </c>
      <c r="R457" s="7" t="str">
        <f t="shared" si="153"/>
        <v>雇用推進室</v>
      </c>
    </row>
    <row r="458" spans="1:18" s="1" customFormat="1" x14ac:dyDescent="0.45">
      <c r="A458" s="7" t="str">
        <f>"05140001026"</f>
        <v>05140001026</v>
      </c>
      <c r="B458" s="7" t="str">
        <f>"あいりん労働福祉センター"</f>
        <v>あいりん労働福祉センター</v>
      </c>
      <c r="C458" s="7" t="str">
        <f t="shared" si="154"/>
        <v>普通財産</v>
      </c>
      <c r="D458" s="7" t="str">
        <f t="shared" si="155"/>
        <v>その他</v>
      </c>
      <c r="E458" s="7" t="str">
        <f>"大阪府大阪市　西成区萩之茶屋１丁目"</f>
        <v>大阪府大阪市　西成区萩之茶屋１丁目</v>
      </c>
      <c r="F458" s="7"/>
      <c r="G458" s="7" t="str">
        <f t="shared" si="156"/>
        <v>事業用資産</v>
      </c>
      <c r="H458" s="7" t="str">
        <f t="shared" si="157"/>
        <v>棚卸以外</v>
      </c>
      <c r="I458" s="7">
        <v>1</v>
      </c>
      <c r="J458" s="7" t="str">
        <f>"あいりん労働福祉センター"</f>
        <v>あいりん労働福祉センター</v>
      </c>
      <c r="K458" s="7" t="str">
        <f>"鉄筋コンクリート造"</f>
        <v>鉄筋コンクリート造</v>
      </c>
      <c r="L458" s="7" t="str">
        <f>"S44.03.31"</f>
        <v>S44.03.31</v>
      </c>
      <c r="M458" s="7">
        <v>3614.88</v>
      </c>
      <c r="N458" s="7">
        <v>348224100</v>
      </c>
      <c r="O458" s="7">
        <v>348224099</v>
      </c>
      <c r="P458" s="7">
        <v>0</v>
      </c>
      <c r="Q458" s="7" t="str">
        <f t="shared" si="152"/>
        <v>商工労働部</v>
      </c>
      <c r="R458" s="7" t="str">
        <f t="shared" si="153"/>
        <v>雇用推進室</v>
      </c>
    </row>
    <row r="459" spans="1:18" s="1" customFormat="1" x14ac:dyDescent="0.45">
      <c r="A459" s="7" t="str">
        <f>"05140001041"</f>
        <v>05140001041</v>
      </c>
      <c r="B459" s="7" t="str">
        <f>"大阪府港湾教育訓練センター"</f>
        <v>大阪府港湾教育訓練センター</v>
      </c>
      <c r="C459" s="7" t="str">
        <f t="shared" si="154"/>
        <v>普通財産</v>
      </c>
      <c r="D459" s="7" t="str">
        <f t="shared" si="155"/>
        <v>その他</v>
      </c>
      <c r="E459" s="7" t="str">
        <f>"大阪府大阪市　大正区鶴町２丁目"</f>
        <v>大阪府大阪市　大正区鶴町２丁目</v>
      </c>
      <c r="F459" s="7"/>
      <c r="G459" s="7" t="str">
        <f t="shared" si="156"/>
        <v>事業用資産</v>
      </c>
      <c r="H459" s="7" t="str">
        <f t="shared" si="157"/>
        <v>棚卸以外</v>
      </c>
      <c r="I459" s="7">
        <v>1</v>
      </c>
      <c r="J459" s="7" t="str">
        <f>"本館"</f>
        <v>本館</v>
      </c>
      <c r="K459" s="7" t="str">
        <f>"鉄筋コンクリート造"</f>
        <v>鉄筋コンクリート造</v>
      </c>
      <c r="L459" s="7" t="str">
        <f>"S48.10.31"</f>
        <v>S48.10.31</v>
      </c>
      <c r="M459" s="7">
        <v>1547.29</v>
      </c>
      <c r="N459" s="7">
        <v>85725000</v>
      </c>
      <c r="O459" s="7">
        <v>85724999</v>
      </c>
      <c r="P459" s="7">
        <v>0</v>
      </c>
      <c r="Q459" s="7" t="str">
        <f t="shared" si="152"/>
        <v>商工労働部</v>
      </c>
      <c r="R459" s="7" t="str">
        <f t="shared" si="153"/>
        <v>雇用推進室</v>
      </c>
    </row>
    <row r="460" spans="1:18" s="1" customFormat="1" x14ac:dyDescent="0.45">
      <c r="A460" s="7" t="str">
        <f>"05140001041"</f>
        <v>05140001041</v>
      </c>
      <c r="B460" s="7" t="str">
        <f>"大阪府港湾教育訓練センター"</f>
        <v>大阪府港湾教育訓練センター</v>
      </c>
      <c r="C460" s="7" t="str">
        <f t="shared" si="154"/>
        <v>普通財産</v>
      </c>
      <c r="D460" s="7" t="str">
        <f t="shared" si="155"/>
        <v>その他</v>
      </c>
      <c r="E460" s="7" t="str">
        <f>"大阪府大阪市　大正区鶴町２丁目"</f>
        <v>大阪府大阪市　大正区鶴町２丁目</v>
      </c>
      <c r="F460" s="7"/>
      <c r="G460" s="7" t="str">
        <f t="shared" si="156"/>
        <v>事業用資産</v>
      </c>
      <c r="H460" s="7" t="str">
        <f t="shared" si="157"/>
        <v>棚卸以外</v>
      </c>
      <c r="I460" s="7">
        <v>2</v>
      </c>
      <c r="J460" s="7" t="str">
        <f>"実習棟"</f>
        <v>実習棟</v>
      </c>
      <c r="K460" s="7" t="str">
        <f>"鉄筋コンクリート造"</f>
        <v>鉄筋コンクリート造</v>
      </c>
      <c r="L460" s="7" t="str">
        <f>"S48.10.31"</f>
        <v>S48.10.31</v>
      </c>
      <c r="M460" s="7">
        <v>406.53</v>
      </c>
      <c r="N460" s="7">
        <v>20475000</v>
      </c>
      <c r="O460" s="7">
        <v>20474999</v>
      </c>
      <c r="P460" s="7">
        <v>0</v>
      </c>
      <c r="Q460" s="7" t="str">
        <f t="shared" si="152"/>
        <v>商工労働部</v>
      </c>
      <c r="R460" s="7" t="str">
        <f t="shared" si="153"/>
        <v>雇用推進室</v>
      </c>
    </row>
    <row r="461" spans="1:18" s="1" customFormat="1" x14ac:dyDescent="0.45">
      <c r="A461" s="7" t="str">
        <f>"05140001041"</f>
        <v>05140001041</v>
      </c>
      <c r="B461" s="7" t="str">
        <f>"大阪府港湾教育訓練センター"</f>
        <v>大阪府港湾教育訓練センター</v>
      </c>
      <c r="C461" s="7" t="str">
        <f t="shared" si="154"/>
        <v>普通財産</v>
      </c>
      <c r="D461" s="7" t="str">
        <f t="shared" si="155"/>
        <v>その他</v>
      </c>
      <c r="E461" s="7" t="str">
        <f>"大阪府大阪市　大正区鶴町２丁目"</f>
        <v>大阪府大阪市　大正区鶴町２丁目</v>
      </c>
      <c r="F461" s="7"/>
      <c r="G461" s="7" t="str">
        <f t="shared" si="156"/>
        <v>事業用資産</v>
      </c>
      <c r="H461" s="7" t="str">
        <f t="shared" si="157"/>
        <v>棚卸以外</v>
      </c>
      <c r="I461" s="7">
        <v>3</v>
      </c>
      <c r="J461" s="7" t="str">
        <f>"変電倉庫車庫"</f>
        <v>変電倉庫車庫</v>
      </c>
      <c r="K461" s="7" t="str">
        <f>"鉄筋コンクリート造"</f>
        <v>鉄筋コンクリート造</v>
      </c>
      <c r="L461" s="7" t="str">
        <f>"S48.10.31"</f>
        <v>S48.10.31</v>
      </c>
      <c r="M461" s="7">
        <v>198.01</v>
      </c>
      <c r="N461" s="7">
        <v>8632000</v>
      </c>
      <c r="O461" s="7">
        <v>8631999</v>
      </c>
      <c r="P461" s="7">
        <v>0</v>
      </c>
      <c r="Q461" s="7" t="str">
        <f t="shared" si="152"/>
        <v>商工労働部</v>
      </c>
      <c r="R461" s="7" t="str">
        <f t="shared" si="153"/>
        <v>雇用推進室</v>
      </c>
    </row>
    <row r="462" spans="1:18" s="1" customFormat="1" x14ac:dyDescent="0.45">
      <c r="A462" s="7" t="str">
        <f>"05140001041"</f>
        <v>05140001041</v>
      </c>
      <c r="B462" s="7" t="str">
        <f>"大阪府港湾教育訓練センター"</f>
        <v>大阪府港湾教育訓練センター</v>
      </c>
      <c r="C462" s="7" t="str">
        <f t="shared" si="154"/>
        <v>普通財産</v>
      </c>
      <c r="D462" s="7" t="str">
        <f t="shared" si="155"/>
        <v>その他</v>
      </c>
      <c r="E462" s="7" t="str">
        <f>"大阪府大阪市　大正区鶴町２丁目"</f>
        <v>大阪府大阪市　大正区鶴町２丁目</v>
      </c>
      <c r="F462" s="7"/>
      <c r="G462" s="7" t="str">
        <f t="shared" si="156"/>
        <v>事業用資産</v>
      </c>
      <c r="H462" s="7" t="str">
        <f t="shared" si="157"/>
        <v>棚卸以外</v>
      </c>
      <c r="I462" s="7">
        <v>4</v>
      </c>
      <c r="J462" s="7" t="str">
        <f>"油庫棟"</f>
        <v>油庫棟</v>
      </c>
      <c r="K462" s="7" t="str">
        <f>"コンクリートブロック造"</f>
        <v>コンクリートブロック造</v>
      </c>
      <c r="L462" s="7" t="str">
        <f>"S48.10.31"</f>
        <v>S48.10.31</v>
      </c>
      <c r="M462" s="7">
        <v>7</v>
      </c>
      <c r="N462" s="7">
        <v>610000</v>
      </c>
      <c r="O462" s="7">
        <v>609999</v>
      </c>
      <c r="P462" s="7">
        <v>0</v>
      </c>
      <c r="Q462" s="7" t="str">
        <f t="shared" si="152"/>
        <v>商工労働部</v>
      </c>
      <c r="R462" s="7" t="str">
        <f t="shared" si="153"/>
        <v>雇用推進室</v>
      </c>
    </row>
    <row r="463" spans="1:18" s="1" customFormat="1" x14ac:dyDescent="0.45">
      <c r="A463" s="7" t="str">
        <f>"05140003007"</f>
        <v>05140003007</v>
      </c>
      <c r="B463" s="7" t="str">
        <f>"西成労働福祉センター（仮移転施設）"</f>
        <v>西成労働福祉センター（仮移転施設）</v>
      </c>
      <c r="C463" s="7" t="str">
        <f t="shared" si="154"/>
        <v>普通財産</v>
      </c>
      <c r="D463" s="7" t="str">
        <f t="shared" si="155"/>
        <v>その他</v>
      </c>
      <c r="E463" s="7" t="str">
        <f>"大阪府大阪市　西成区萩之茶屋１丁目"</f>
        <v>大阪府大阪市　西成区萩之茶屋１丁目</v>
      </c>
      <c r="F463" s="7"/>
      <c r="G463" s="7" t="str">
        <f t="shared" si="156"/>
        <v>事業用資産</v>
      </c>
      <c r="H463" s="7" t="str">
        <f t="shared" si="157"/>
        <v>棚卸以外</v>
      </c>
      <c r="I463" s="7">
        <v>1</v>
      </c>
      <c r="J463" s="7" t="str">
        <f>"西成労働福祉センター"</f>
        <v>西成労働福祉センター</v>
      </c>
      <c r="K463" s="7" t="str">
        <f>"鉄骨造"</f>
        <v>鉄骨造</v>
      </c>
      <c r="L463" s="7" t="str">
        <f>"H31.03.08"</f>
        <v>H31.03.08</v>
      </c>
      <c r="M463" s="7">
        <v>1535.6</v>
      </c>
      <c r="N463" s="7">
        <v>665068812</v>
      </c>
      <c r="O463" s="7">
        <v>115708848</v>
      </c>
      <c r="P463" s="7">
        <v>0</v>
      </c>
      <c r="Q463" s="7" t="str">
        <f t="shared" si="152"/>
        <v>商工労働部</v>
      </c>
      <c r="R463" s="7" t="str">
        <f t="shared" si="153"/>
        <v>雇用推進室</v>
      </c>
    </row>
    <row r="464" spans="1:18" s="1" customFormat="1" x14ac:dyDescent="0.45">
      <c r="A464" s="7" t="str">
        <f>"05153000000"</f>
        <v>05153000000</v>
      </c>
      <c r="B464" s="7" t="str">
        <f>"芦原高等職業技術専門校"</f>
        <v>芦原高等職業技術専門校</v>
      </c>
      <c r="C464" s="7" t="str">
        <f t="shared" ref="C464:C499" si="158">"行政財産"</f>
        <v>行政財産</v>
      </c>
      <c r="D464" s="7" t="str">
        <f>"その他（公共用）の施設"</f>
        <v>その他（公共用）の施設</v>
      </c>
      <c r="E464" s="7" t="str">
        <f>"大阪府大阪市　浪速区木津川２丁目"</f>
        <v>大阪府大阪市　浪速区木津川２丁目</v>
      </c>
      <c r="F464" s="7"/>
      <c r="G464" s="7" t="str">
        <f t="shared" si="156"/>
        <v>事業用資産</v>
      </c>
      <c r="H464" s="7" t="str">
        <f t="shared" si="157"/>
        <v>棚卸以外</v>
      </c>
      <c r="I464" s="7">
        <v>11</v>
      </c>
      <c r="J464" s="7" t="str">
        <f>"自転車置場"</f>
        <v>自転車置場</v>
      </c>
      <c r="K464" s="7" t="str">
        <f>"鉄骨造"</f>
        <v>鉄骨造</v>
      </c>
      <c r="L464" s="7" t="str">
        <f>"H06.03.31"</f>
        <v>H06.03.31</v>
      </c>
      <c r="M464" s="7">
        <v>16.8</v>
      </c>
      <c r="N464" s="7">
        <v>894000</v>
      </c>
      <c r="O464" s="7">
        <v>759566</v>
      </c>
      <c r="P464" s="7">
        <v>0</v>
      </c>
      <c r="Q464" s="7" t="str">
        <f t="shared" si="152"/>
        <v>商工労働部</v>
      </c>
      <c r="R464" s="7" t="str">
        <f t="shared" si="153"/>
        <v>雇用推進室</v>
      </c>
    </row>
    <row r="465" spans="1:18" s="1" customFormat="1" x14ac:dyDescent="0.45">
      <c r="A465" s="7" t="str">
        <f>"05153000000"</f>
        <v>05153000000</v>
      </c>
      <c r="B465" s="7" t="str">
        <f>"芦原高等職業技術専門校"</f>
        <v>芦原高等職業技術専門校</v>
      </c>
      <c r="C465" s="7" t="str">
        <f t="shared" si="158"/>
        <v>行政財産</v>
      </c>
      <c r="D465" s="7" t="str">
        <f>"その他（公共用）の施設"</f>
        <v>その他（公共用）の施設</v>
      </c>
      <c r="E465" s="7" t="str">
        <f>"大阪府大阪市　浪速区木津川２丁目"</f>
        <v>大阪府大阪市　浪速区木津川２丁目</v>
      </c>
      <c r="F465" s="7"/>
      <c r="G465" s="7" t="str">
        <f t="shared" si="156"/>
        <v>事業用資産</v>
      </c>
      <c r="H465" s="7" t="str">
        <f t="shared" si="157"/>
        <v>棚卸以外</v>
      </c>
      <c r="I465" s="7">
        <v>12</v>
      </c>
      <c r="J465" s="7" t="str">
        <f>"自転車置場"</f>
        <v>自転車置場</v>
      </c>
      <c r="K465" s="7" t="str">
        <f>"鉄骨造"</f>
        <v>鉄骨造</v>
      </c>
      <c r="L465" s="7" t="str">
        <f>"H06.03.31"</f>
        <v>H06.03.31</v>
      </c>
      <c r="M465" s="7">
        <v>16.8</v>
      </c>
      <c r="N465" s="7">
        <v>894000</v>
      </c>
      <c r="O465" s="7">
        <v>836408</v>
      </c>
      <c r="P465" s="7">
        <v>0</v>
      </c>
      <c r="Q465" s="7" t="str">
        <f t="shared" si="152"/>
        <v>商工労働部</v>
      </c>
      <c r="R465" s="7" t="str">
        <f t="shared" si="153"/>
        <v>雇用推進室</v>
      </c>
    </row>
    <row r="466" spans="1:18" s="1" customFormat="1" x14ac:dyDescent="0.45">
      <c r="A466" s="7" t="str">
        <f>"05153000000"</f>
        <v>05153000000</v>
      </c>
      <c r="B466" s="7" t="str">
        <f>"芦原高等職業技術専門校"</f>
        <v>芦原高等職業技術専門校</v>
      </c>
      <c r="C466" s="7" t="str">
        <f t="shared" si="158"/>
        <v>行政財産</v>
      </c>
      <c r="D466" s="7" t="str">
        <f>"その他（公共用）の施設"</f>
        <v>その他（公共用）の施設</v>
      </c>
      <c r="E466" s="7" t="str">
        <f>"大阪府大阪市　浪速区木津川２丁目"</f>
        <v>大阪府大阪市　浪速区木津川２丁目</v>
      </c>
      <c r="F466" s="7"/>
      <c r="G466" s="7" t="str">
        <f t="shared" si="156"/>
        <v>事業用資産</v>
      </c>
      <c r="H466" s="7" t="str">
        <f t="shared" si="157"/>
        <v>棚卸以外</v>
      </c>
      <c r="I466" s="7">
        <v>13</v>
      </c>
      <c r="J466" s="7" t="str">
        <f>"倉庫"</f>
        <v>倉庫</v>
      </c>
      <c r="K466" s="7" t="str">
        <f>"土蔵造(簡易建物)"</f>
        <v>土蔵造(簡易建物)</v>
      </c>
      <c r="L466" s="7" t="str">
        <f>"H06.03.31"</f>
        <v>H06.03.31</v>
      </c>
      <c r="M466" s="7">
        <v>4.4000000000000004</v>
      </c>
      <c r="N466" s="7">
        <v>286000</v>
      </c>
      <c r="O466" s="7">
        <v>285999</v>
      </c>
      <c r="P466" s="7">
        <v>0</v>
      </c>
      <c r="Q466" s="7" t="str">
        <f t="shared" si="152"/>
        <v>商工労働部</v>
      </c>
      <c r="R466" s="7" t="str">
        <f t="shared" si="153"/>
        <v>雇用推進室</v>
      </c>
    </row>
    <row r="467" spans="1:18" s="1" customFormat="1" x14ac:dyDescent="0.45">
      <c r="A467" s="7" t="str">
        <f>"05147000001"</f>
        <v>05147000001</v>
      </c>
      <c r="B467" s="7" t="str">
        <f>"計量検定所"</f>
        <v>計量検定所</v>
      </c>
      <c r="C467" s="7" t="str">
        <f t="shared" si="158"/>
        <v>行政財産</v>
      </c>
      <c r="D467" s="7" t="str">
        <f>"その他（行政機関）の施設"</f>
        <v>その他（行政機関）の施設</v>
      </c>
      <c r="E467" s="7" t="str">
        <f>"大阪府大東市新田本町"</f>
        <v>大阪府大東市新田本町</v>
      </c>
      <c r="F467" s="7"/>
      <c r="G467" s="7" t="str">
        <f t="shared" si="156"/>
        <v>事業用資産</v>
      </c>
      <c r="H467" s="7" t="str">
        <f t="shared" si="157"/>
        <v>棚卸以外</v>
      </c>
      <c r="I467" s="7">
        <v>1</v>
      </c>
      <c r="J467" s="7" t="str">
        <f>"タキシーメーター検査場及び事務"</f>
        <v>タキシーメーター検査場及び事務</v>
      </c>
      <c r="K467" s="7" t="str">
        <f t="shared" ref="K467:K473" si="159">"鉄筋コンクリート造"</f>
        <v>鉄筋コンクリート造</v>
      </c>
      <c r="L467" s="7" t="str">
        <f>"S42.07.01"</f>
        <v>S42.07.01</v>
      </c>
      <c r="M467" s="7">
        <v>336.36</v>
      </c>
      <c r="N467" s="7">
        <v>38548000</v>
      </c>
      <c r="O467" s="7">
        <v>38547999</v>
      </c>
      <c r="P467" s="7">
        <v>0</v>
      </c>
      <c r="Q467" s="7" t="str">
        <f t="shared" si="152"/>
        <v>商工労働部</v>
      </c>
      <c r="R467" s="7" t="str">
        <f>"計量検定所"</f>
        <v>計量検定所</v>
      </c>
    </row>
    <row r="468" spans="1:18" s="1" customFormat="1" x14ac:dyDescent="0.45">
      <c r="A468" s="7" t="str">
        <f>"05147000001"</f>
        <v>05147000001</v>
      </c>
      <c r="B468" s="7" t="str">
        <f>"計量検定所"</f>
        <v>計量検定所</v>
      </c>
      <c r="C468" s="7" t="str">
        <f t="shared" si="158"/>
        <v>行政財産</v>
      </c>
      <c r="D468" s="7" t="str">
        <f>"その他（行政機関）の施設"</f>
        <v>その他（行政機関）の施設</v>
      </c>
      <c r="E468" s="7" t="str">
        <f>"大阪府大東市新田本町"</f>
        <v>大阪府大東市新田本町</v>
      </c>
      <c r="F468" s="7"/>
      <c r="G468" s="7" t="str">
        <f t="shared" si="156"/>
        <v>事業用資産</v>
      </c>
      <c r="H468" s="7" t="str">
        <f t="shared" si="157"/>
        <v>棚卸以外</v>
      </c>
      <c r="I468" s="7">
        <v>2</v>
      </c>
      <c r="J468" s="7" t="str">
        <f>"本館"</f>
        <v>本館</v>
      </c>
      <c r="K468" s="7" t="str">
        <f t="shared" si="159"/>
        <v>鉄筋コンクリート造</v>
      </c>
      <c r="L468" s="7" t="str">
        <f>"S42.07.01"</f>
        <v>S42.07.01</v>
      </c>
      <c r="M468" s="7">
        <v>1206.06</v>
      </c>
      <c r="N468" s="7">
        <v>125601480</v>
      </c>
      <c r="O468" s="7">
        <v>117690248</v>
      </c>
      <c r="P468" s="7">
        <v>0</v>
      </c>
      <c r="Q468" s="7" t="str">
        <f t="shared" si="152"/>
        <v>商工労働部</v>
      </c>
      <c r="R468" s="7" t="str">
        <f>"計量検定所"</f>
        <v>計量検定所</v>
      </c>
    </row>
    <row r="469" spans="1:18" s="1" customFormat="1" x14ac:dyDescent="0.45">
      <c r="A469" s="7" t="str">
        <f>"05147000001"</f>
        <v>05147000001</v>
      </c>
      <c r="B469" s="7" t="str">
        <f>"計量検定所"</f>
        <v>計量検定所</v>
      </c>
      <c r="C469" s="7" t="str">
        <f t="shared" si="158"/>
        <v>行政財産</v>
      </c>
      <c r="D469" s="7" t="str">
        <f>"その他（行政機関）の施設"</f>
        <v>その他（行政機関）の施設</v>
      </c>
      <c r="E469" s="7" t="str">
        <f>"大阪府大東市新田本町"</f>
        <v>大阪府大東市新田本町</v>
      </c>
      <c r="F469" s="7"/>
      <c r="G469" s="7" t="str">
        <f t="shared" si="156"/>
        <v>事業用資産</v>
      </c>
      <c r="H469" s="7" t="str">
        <f t="shared" si="157"/>
        <v>棚卸以外</v>
      </c>
      <c r="I469" s="7">
        <v>3</v>
      </c>
      <c r="J469" s="7" t="str">
        <f>"タンクローリ及びはかり分銅室"</f>
        <v>タンクローリ及びはかり分銅室</v>
      </c>
      <c r="K469" s="7" t="str">
        <f t="shared" si="159"/>
        <v>鉄筋コンクリート造</v>
      </c>
      <c r="L469" s="7" t="str">
        <f>"S42.07.01"</f>
        <v>S42.07.01</v>
      </c>
      <c r="M469" s="7">
        <v>219.99</v>
      </c>
      <c r="N469" s="7">
        <v>31703420</v>
      </c>
      <c r="O469" s="7">
        <v>29383635</v>
      </c>
      <c r="P469" s="7">
        <v>0</v>
      </c>
      <c r="Q469" s="7" t="str">
        <f t="shared" si="152"/>
        <v>商工労働部</v>
      </c>
      <c r="R469" s="7" t="str">
        <f>"計量検定所"</f>
        <v>計量検定所</v>
      </c>
    </row>
    <row r="470" spans="1:18" s="1" customFormat="1" x14ac:dyDescent="0.45">
      <c r="A470" s="7" t="str">
        <f>"05147000001"</f>
        <v>05147000001</v>
      </c>
      <c r="B470" s="7" t="str">
        <f>"計量検定所"</f>
        <v>計量検定所</v>
      </c>
      <c r="C470" s="7" t="str">
        <f t="shared" si="158"/>
        <v>行政財産</v>
      </c>
      <c r="D470" s="7" t="str">
        <f>"その他（行政機関）の施設"</f>
        <v>その他（行政機関）の施設</v>
      </c>
      <c r="E470" s="7" t="str">
        <f>"大阪府大東市新田本町"</f>
        <v>大阪府大東市新田本町</v>
      </c>
      <c r="F470" s="7"/>
      <c r="G470" s="7" t="str">
        <f t="shared" si="156"/>
        <v>事業用資産</v>
      </c>
      <c r="H470" s="7" t="str">
        <f t="shared" si="157"/>
        <v>棚卸以外</v>
      </c>
      <c r="I470" s="7">
        <v>4</v>
      </c>
      <c r="J470" s="7" t="str">
        <f>"高温室"</f>
        <v>高温室</v>
      </c>
      <c r="K470" s="7" t="str">
        <f t="shared" si="159"/>
        <v>鉄筋コンクリート造</v>
      </c>
      <c r="L470" s="7" t="str">
        <f>"S42.07.01"</f>
        <v>S42.07.01</v>
      </c>
      <c r="M470" s="7">
        <v>27.99</v>
      </c>
      <c r="N470" s="7">
        <v>2727330</v>
      </c>
      <c r="O470" s="7">
        <v>2727329</v>
      </c>
      <c r="P470" s="7">
        <v>0</v>
      </c>
      <c r="Q470" s="7" t="str">
        <f t="shared" si="152"/>
        <v>商工労働部</v>
      </c>
      <c r="R470" s="7" t="str">
        <f>"計量検定所"</f>
        <v>計量検定所</v>
      </c>
    </row>
    <row r="471" spans="1:18" s="1" customFormat="1" x14ac:dyDescent="0.45">
      <c r="A471" s="7" t="str">
        <f t="shared" ref="A471:A483" si="160">"05154000000"</f>
        <v>05154000000</v>
      </c>
      <c r="B471" s="7" t="str">
        <f t="shared" ref="B471:B483" si="161">"大阪府立東大阪高等職業技術専門校"</f>
        <v>大阪府立東大阪高等職業技術専門校</v>
      </c>
      <c r="C471" s="7" t="str">
        <f t="shared" si="158"/>
        <v>行政財産</v>
      </c>
      <c r="D471" s="7" t="str">
        <f t="shared" ref="D471:D499" si="162">"その他（公共用）の施設"</f>
        <v>その他（公共用）の施設</v>
      </c>
      <c r="E471" s="7" t="str">
        <f t="shared" ref="E471:E483" si="163">"大阪府東大阪市菱江"</f>
        <v>大阪府東大阪市菱江</v>
      </c>
      <c r="F471" s="7"/>
      <c r="G471" s="7" t="str">
        <f t="shared" si="156"/>
        <v>事業用資産</v>
      </c>
      <c r="H471" s="7" t="str">
        <f t="shared" si="157"/>
        <v>棚卸以外</v>
      </c>
      <c r="I471" s="7">
        <v>1</v>
      </c>
      <c r="J471" s="7" t="str">
        <f>"校舎棟"</f>
        <v>校舎棟</v>
      </c>
      <c r="K471" s="7" t="str">
        <f t="shared" si="159"/>
        <v>鉄筋コンクリート造</v>
      </c>
      <c r="L471" s="7" t="str">
        <f>"H01.06.05"</f>
        <v>H01.06.05</v>
      </c>
      <c r="M471" s="7">
        <v>3082.15</v>
      </c>
      <c r="N471" s="7">
        <v>471111954</v>
      </c>
      <c r="O471" s="7">
        <v>337787064</v>
      </c>
      <c r="P471" s="7">
        <v>0</v>
      </c>
      <c r="Q471" s="7" t="str">
        <f t="shared" si="152"/>
        <v>商工労働部</v>
      </c>
      <c r="R471" s="7" t="str">
        <f t="shared" ref="R471:R483" si="164">"東大阪高等職業技術専門校"</f>
        <v>東大阪高等職業技術専門校</v>
      </c>
    </row>
    <row r="472" spans="1:18" s="1" customFormat="1" x14ac:dyDescent="0.45">
      <c r="A472" s="7" t="str">
        <f t="shared" si="160"/>
        <v>05154000000</v>
      </c>
      <c r="B472" s="7" t="str">
        <f t="shared" si="161"/>
        <v>大阪府立東大阪高等職業技術専門校</v>
      </c>
      <c r="C472" s="7" t="str">
        <f t="shared" si="158"/>
        <v>行政財産</v>
      </c>
      <c r="D472" s="7" t="str">
        <f t="shared" si="162"/>
        <v>その他（公共用）の施設</v>
      </c>
      <c r="E472" s="7" t="str">
        <f t="shared" si="163"/>
        <v>大阪府東大阪市菱江</v>
      </c>
      <c r="F472" s="7"/>
      <c r="G472" s="7" t="str">
        <f t="shared" si="156"/>
        <v>事業用資産</v>
      </c>
      <c r="H472" s="7" t="str">
        <f t="shared" si="157"/>
        <v>棚卸以外</v>
      </c>
      <c r="I472" s="7">
        <v>2</v>
      </c>
      <c r="J472" s="7" t="str">
        <f>"実習棟Ⅰ"</f>
        <v>実習棟Ⅰ</v>
      </c>
      <c r="K472" s="7" t="str">
        <f t="shared" si="159"/>
        <v>鉄筋コンクリート造</v>
      </c>
      <c r="L472" s="7" t="str">
        <f>"H01.06.05"</f>
        <v>H01.06.05</v>
      </c>
      <c r="M472" s="7">
        <v>4192.6499999999996</v>
      </c>
      <c r="N472" s="7">
        <v>511200335</v>
      </c>
      <c r="O472" s="7">
        <v>366240736</v>
      </c>
      <c r="P472" s="7">
        <v>0</v>
      </c>
      <c r="Q472" s="7" t="str">
        <f t="shared" si="152"/>
        <v>商工労働部</v>
      </c>
      <c r="R472" s="7" t="str">
        <f t="shared" si="164"/>
        <v>東大阪高等職業技術専門校</v>
      </c>
    </row>
    <row r="473" spans="1:18" s="1" customFormat="1" x14ac:dyDescent="0.45">
      <c r="A473" s="7" t="str">
        <f t="shared" si="160"/>
        <v>05154000000</v>
      </c>
      <c r="B473" s="7" t="str">
        <f t="shared" si="161"/>
        <v>大阪府立東大阪高等職業技術専門校</v>
      </c>
      <c r="C473" s="7" t="str">
        <f t="shared" si="158"/>
        <v>行政財産</v>
      </c>
      <c r="D473" s="7" t="str">
        <f t="shared" si="162"/>
        <v>その他（公共用）の施設</v>
      </c>
      <c r="E473" s="7" t="str">
        <f t="shared" si="163"/>
        <v>大阪府東大阪市菱江</v>
      </c>
      <c r="F473" s="7"/>
      <c r="G473" s="7" t="str">
        <f t="shared" si="156"/>
        <v>事業用資産</v>
      </c>
      <c r="H473" s="7" t="str">
        <f t="shared" si="157"/>
        <v>棚卸以外</v>
      </c>
      <c r="I473" s="7">
        <v>3</v>
      </c>
      <c r="J473" s="7" t="str">
        <f>"実習棟Ⅱ"</f>
        <v>実習棟Ⅱ</v>
      </c>
      <c r="K473" s="7" t="str">
        <f t="shared" si="159"/>
        <v>鉄筋コンクリート造</v>
      </c>
      <c r="L473" s="7" t="str">
        <f>"H01.06.05"</f>
        <v>H01.06.05</v>
      </c>
      <c r="M473" s="7">
        <v>1748.29</v>
      </c>
      <c r="N473" s="7">
        <v>236426000</v>
      </c>
      <c r="O473" s="7">
        <v>169774380</v>
      </c>
      <c r="P473" s="7">
        <v>0</v>
      </c>
      <c r="Q473" s="7" t="str">
        <f t="shared" si="152"/>
        <v>商工労働部</v>
      </c>
      <c r="R473" s="7" t="str">
        <f t="shared" si="164"/>
        <v>東大阪高等職業技術専門校</v>
      </c>
    </row>
    <row r="474" spans="1:18" s="1" customFormat="1" x14ac:dyDescent="0.45">
      <c r="A474" s="7" t="str">
        <f t="shared" si="160"/>
        <v>05154000000</v>
      </c>
      <c r="B474" s="7" t="str">
        <f t="shared" si="161"/>
        <v>大阪府立東大阪高等職業技術専門校</v>
      </c>
      <c r="C474" s="7" t="str">
        <f t="shared" si="158"/>
        <v>行政財産</v>
      </c>
      <c r="D474" s="7" t="str">
        <f t="shared" si="162"/>
        <v>その他（公共用）の施設</v>
      </c>
      <c r="E474" s="7" t="str">
        <f t="shared" si="163"/>
        <v>大阪府東大阪市菱江</v>
      </c>
      <c r="F474" s="7"/>
      <c r="G474" s="7" t="str">
        <f t="shared" si="156"/>
        <v>事業用資産</v>
      </c>
      <c r="H474" s="7" t="str">
        <f t="shared" si="157"/>
        <v>棚卸以外</v>
      </c>
      <c r="I474" s="7">
        <v>4</v>
      </c>
      <c r="J474" s="7" t="str">
        <f>"渡り廊下"</f>
        <v>渡り廊下</v>
      </c>
      <c r="K474" s="7" t="str">
        <f>"鉄骨造"</f>
        <v>鉄骨造</v>
      </c>
      <c r="L474" s="7" t="str">
        <f>"H01.06.05"</f>
        <v>H01.06.05</v>
      </c>
      <c r="M474" s="7">
        <v>55.9</v>
      </c>
      <c r="N474" s="7">
        <v>12617000</v>
      </c>
      <c r="O474" s="7">
        <v>12616999</v>
      </c>
      <c r="P474" s="7">
        <v>0</v>
      </c>
      <c r="Q474" s="7" t="str">
        <f t="shared" si="152"/>
        <v>商工労働部</v>
      </c>
      <c r="R474" s="7" t="str">
        <f t="shared" si="164"/>
        <v>東大阪高等職業技術専門校</v>
      </c>
    </row>
    <row r="475" spans="1:18" s="1" customFormat="1" x14ac:dyDescent="0.45">
      <c r="A475" s="7" t="str">
        <f t="shared" si="160"/>
        <v>05154000000</v>
      </c>
      <c r="B475" s="7" t="str">
        <f t="shared" si="161"/>
        <v>大阪府立東大阪高等職業技術専門校</v>
      </c>
      <c r="C475" s="7" t="str">
        <f t="shared" si="158"/>
        <v>行政財産</v>
      </c>
      <c r="D475" s="7" t="str">
        <f t="shared" si="162"/>
        <v>その他（公共用）の施設</v>
      </c>
      <c r="E475" s="7" t="str">
        <f t="shared" si="163"/>
        <v>大阪府東大阪市菱江</v>
      </c>
      <c r="F475" s="7"/>
      <c r="G475" s="7" t="str">
        <f t="shared" si="156"/>
        <v>事業用資産</v>
      </c>
      <c r="H475" s="7" t="str">
        <f t="shared" si="157"/>
        <v>棚卸以外</v>
      </c>
      <c r="I475" s="7">
        <v>5</v>
      </c>
      <c r="J475" s="7" t="str">
        <f>"実習用建物"</f>
        <v>実習用建物</v>
      </c>
      <c r="K475" s="7" t="str">
        <f>"木造"</f>
        <v>木造</v>
      </c>
      <c r="L475" s="7" t="str">
        <f t="shared" ref="L475:L481" si="165">"H01.10.25"</f>
        <v>H01.10.25</v>
      </c>
      <c r="M475" s="7">
        <v>61.2</v>
      </c>
      <c r="N475" s="7">
        <v>8780000</v>
      </c>
      <c r="O475" s="7">
        <v>8779999</v>
      </c>
      <c r="P475" s="7">
        <v>0</v>
      </c>
      <c r="Q475" s="7" t="str">
        <f t="shared" si="152"/>
        <v>商工労働部</v>
      </c>
      <c r="R475" s="7" t="str">
        <f t="shared" si="164"/>
        <v>東大阪高等職業技術専門校</v>
      </c>
    </row>
    <row r="476" spans="1:18" s="1" customFormat="1" x14ac:dyDescent="0.45">
      <c r="A476" s="7" t="str">
        <f t="shared" si="160"/>
        <v>05154000000</v>
      </c>
      <c r="B476" s="7" t="str">
        <f t="shared" si="161"/>
        <v>大阪府立東大阪高等職業技術専門校</v>
      </c>
      <c r="C476" s="7" t="str">
        <f t="shared" si="158"/>
        <v>行政財産</v>
      </c>
      <c r="D476" s="7" t="str">
        <f t="shared" si="162"/>
        <v>その他（公共用）の施設</v>
      </c>
      <c r="E476" s="7" t="str">
        <f t="shared" si="163"/>
        <v>大阪府東大阪市菱江</v>
      </c>
      <c r="F476" s="7"/>
      <c r="G476" s="7" t="str">
        <f t="shared" si="156"/>
        <v>事業用資産</v>
      </c>
      <c r="H476" s="7" t="str">
        <f t="shared" si="157"/>
        <v>棚卸以外</v>
      </c>
      <c r="I476" s="7">
        <v>6</v>
      </c>
      <c r="J476" s="7" t="str">
        <f>"切粉置場"</f>
        <v>切粉置場</v>
      </c>
      <c r="K476" s="7" t="str">
        <f t="shared" ref="K476:K481" si="166">"コンクリートブロック造"</f>
        <v>コンクリートブロック造</v>
      </c>
      <c r="L476" s="7" t="str">
        <f t="shared" si="165"/>
        <v>H01.10.25</v>
      </c>
      <c r="M476" s="7">
        <v>7.51</v>
      </c>
      <c r="N476" s="7">
        <v>429000</v>
      </c>
      <c r="O476" s="7">
        <v>421852</v>
      </c>
      <c r="P476" s="7">
        <v>0</v>
      </c>
      <c r="Q476" s="7" t="str">
        <f t="shared" si="152"/>
        <v>商工労働部</v>
      </c>
      <c r="R476" s="7" t="str">
        <f t="shared" si="164"/>
        <v>東大阪高等職業技術専門校</v>
      </c>
    </row>
    <row r="477" spans="1:18" s="1" customFormat="1" x14ac:dyDescent="0.45">
      <c r="A477" s="7" t="str">
        <f t="shared" si="160"/>
        <v>05154000000</v>
      </c>
      <c r="B477" s="7" t="str">
        <f t="shared" si="161"/>
        <v>大阪府立東大阪高等職業技術専門校</v>
      </c>
      <c r="C477" s="7" t="str">
        <f t="shared" si="158"/>
        <v>行政財産</v>
      </c>
      <c r="D477" s="7" t="str">
        <f t="shared" si="162"/>
        <v>その他（公共用）の施設</v>
      </c>
      <c r="E477" s="7" t="str">
        <f t="shared" si="163"/>
        <v>大阪府東大阪市菱江</v>
      </c>
      <c r="F477" s="7"/>
      <c r="G477" s="7" t="str">
        <f t="shared" si="156"/>
        <v>事業用資産</v>
      </c>
      <c r="H477" s="7" t="str">
        <f t="shared" si="157"/>
        <v>棚卸以外</v>
      </c>
      <c r="I477" s="7">
        <v>7</v>
      </c>
      <c r="J477" s="7" t="str">
        <f>"ゴミ置場"</f>
        <v>ゴミ置場</v>
      </c>
      <c r="K477" s="7" t="str">
        <f t="shared" si="166"/>
        <v>コンクリートブロック造</v>
      </c>
      <c r="L477" s="7" t="str">
        <f t="shared" si="165"/>
        <v>H01.10.25</v>
      </c>
      <c r="M477" s="7">
        <v>8.0500000000000007</v>
      </c>
      <c r="N477" s="7">
        <v>500000</v>
      </c>
      <c r="O477" s="7">
        <v>491626</v>
      </c>
      <c r="P477" s="7">
        <v>0</v>
      </c>
      <c r="Q477" s="7" t="str">
        <f t="shared" ref="Q477:Q499" si="167">"商工労働部"</f>
        <v>商工労働部</v>
      </c>
      <c r="R477" s="7" t="str">
        <f t="shared" si="164"/>
        <v>東大阪高等職業技術専門校</v>
      </c>
    </row>
    <row r="478" spans="1:18" s="1" customFormat="1" x14ac:dyDescent="0.45">
      <c r="A478" s="7" t="str">
        <f t="shared" si="160"/>
        <v>05154000000</v>
      </c>
      <c r="B478" s="7" t="str">
        <f t="shared" si="161"/>
        <v>大阪府立東大阪高等職業技術専門校</v>
      </c>
      <c r="C478" s="7" t="str">
        <f t="shared" si="158"/>
        <v>行政財産</v>
      </c>
      <c r="D478" s="7" t="str">
        <f t="shared" si="162"/>
        <v>その他（公共用）の施設</v>
      </c>
      <c r="E478" s="7" t="str">
        <f t="shared" si="163"/>
        <v>大阪府東大阪市菱江</v>
      </c>
      <c r="F478" s="7"/>
      <c r="G478" s="7" t="str">
        <f t="shared" si="156"/>
        <v>事業用資産</v>
      </c>
      <c r="H478" s="7" t="str">
        <f t="shared" si="157"/>
        <v>棚卸以外</v>
      </c>
      <c r="I478" s="7">
        <v>8</v>
      </c>
      <c r="J478" s="7" t="str">
        <f>"便所"</f>
        <v>便所</v>
      </c>
      <c r="K478" s="7" t="str">
        <f t="shared" si="166"/>
        <v>コンクリートブロック造</v>
      </c>
      <c r="L478" s="7" t="str">
        <f t="shared" si="165"/>
        <v>H01.10.25</v>
      </c>
      <c r="M478" s="7">
        <v>10.210000000000001</v>
      </c>
      <c r="N478" s="7">
        <v>2248000</v>
      </c>
      <c r="O478" s="7">
        <v>2209510</v>
      </c>
      <c r="P478" s="7">
        <v>0</v>
      </c>
      <c r="Q478" s="7" t="str">
        <f t="shared" si="167"/>
        <v>商工労働部</v>
      </c>
      <c r="R478" s="7" t="str">
        <f t="shared" si="164"/>
        <v>東大阪高等職業技術専門校</v>
      </c>
    </row>
    <row r="479" spans="1:18" s="1" customFormat="1" x14ac:dyDescent="0.45">
      <c r="A479" s="7" t="str">
        <f t="shared" si="160"/>
        <v>05154000000</v>
      </c>
      <c r="B479" s="7" t="str">
        <f t="shared" si="161"/>
        <v>大阪府立東大阪高等職業技術専門校</v>
      </c>
      <c r="C479" s="7" t="str">
        <f t="shared" si="158"/>
        <v>行政財産</v>
      </c>
      <c r="D479" s="7" t="str">
        <f t="shared" si="162"/>
        <v>その他（公共用）の施設</v>
      </c>
      <c r="E479" s="7" t="str">
        <f t="shared" si="163"/>
        <v>大阪府東大阪市菱江</v>
      </c>
      <c r="F479" s="7"/>
      <c r="G479" s="7" t="str">
        <f t="shared" si="156"/>
        <v>事業用資産</v>
      </c>
      <c r="H479" s="7" t="str">
        <f t="shared" si="157"/>
        <v>棚卸以外</v>
      </c>
      <c r="I479" s="7">
        <v>9</v>
      </c>
      <c r="J479" s="7" t="str">
        <f>"ボンベ庫"</f>
        <v>ボンベ庫</v>
      </c>
      <c r="K479" s="7" t="str">
        <f t="shared" si="166"/>
        <v>コンクリートブロック造</v>
      </c>
      <c r="L479" s="7" t="str">
        <f t="shared" si="165"/>
        <v>H01.10.25</v>
      </c>
      <c r="M479" s="7">
        <v>15.9</v>
      </c>
      <c r="N479" s="7">
        <v>1887000</v>
      </c>
      <c r="O479" s="7">
        <v>1854625</v>
      </c>
      <c r="P479" s="7">
        <v>0</v>
      </c>
      <c r="Q479" s="7" t="str">
        <f t="shared" si="167"/>
        <v>商工労働部</v>
      </c>
      <c r="R479" s="7" t="str">
        <f t="shared" si="164"/>
        <v>東大阪高等職業技術専門校</v>
      </c>
    </row>
    <row r="480" spans="1:18" s="1" customFormat="1" x14ac:dyDescent="0.45">
      <c r="A480" s="7" t="str">
        <f t="shared" si="160"/>
        <v>05154000000</v>
      </c>
      <c r="B480" s="7" t="str">
        <f t="shared" si="161"/>
        <v>大阪府立東大阪高等職業技術専門校</v>
      </c>
      <c r="C480" s="7" t="str">
        <f t="shared" si="158"/>
        <v>行政財産</v>
      </c>
      <c r="D480" s="7" t="str">
        <f t="shared" si="162"/>
        <v>その他（公共用）の施設</v>
      </c>
      <c r="E480" s="7" t="str">
        <f t="shared" si="163"/>
        <v>大阪府東大阪市菱江</v>
      </c>
      <c r="F480" s="7"/>
      <c r="G480" s="7" t="str">
        <f t="shared" si="156"/>
        <v>事業用資産</v>
      </c>
      <c r="H480" s="7" t="str">
        <f t="shared" si="157"/>
        <v>棚卸以外</v>
      </c>
      <c r="I480" s="7">
        <v>10</v>
      </c>
      <c r="J480" s="7" t="str">
        <f>"油庫"</f>
        <v>油庫</v>
      </c>
      <c r="K480" s="7" t="str">
        <f t="shared" si="166"/>
        <v>コンクリートブロック造</v>
      </c>
      <c r="L480" s="7" t="str">
        <f t="shared" si="165"/>
        <v>H01.10.25</v>
      </c>
      <c r="M480" s="7">
        <v>8.1999999999999993</v>
      </c>
      <c r="N480" s="7">
        <v>1472000</v>
      </c>
      <c r="O480" s="7">
        <v>1446808</v>
      </c>
      <c r="P480" s="7">
        <v>0</v>
      </c>
      <c r="Q480" s="7" t="str">
        <f t="shared" si="167"/>
        <v>商工労働部</v>
      </c>
      <c r="R480" s="7" t="str">
        <f t="shared" si="164"/>
        <v>東大阪高等職業技術専門校</v>
      </c>
    </row>
    <row r="481" spans="1:18" s="1" customFormat="1" x14ac:dyDescent="0.45">
      <c r="A481" s="7" t="str">
        <f t="shared" si="160"/>
        <v>05154000000</v>
      </c>
      <c r="B481" s="7" t="str">
        <f t="shared" si="161"/>
        <v>大阪府立東大阪高等職業技術専門校</v>
      </c>
      <c r="C481" s="7" t="str">
        <f t="shared" si="158"/>
        <v>行政財産</v>
      </c>
      <c r="D481" s="7" t="str">
        <f t="shared" si="162"/>
        <v>その他（公共用）の施設</v>
      </c>
      <c r="E481" s="7" t="str">
        <f t="shared" si="163"/>
        <v>大阪府東大阪市菱江</v>
      </c>
      <c r="F481" s="7"/>
      <c r="G481" s="7" t="str">
        <f t="shared" si="156"/>
        <v>事業用資産</v>
      </c>
      <c r="H481" s="7" t="str">
        <f t="shared" si="157"/>
        <v>棚卸以外</v>
      </c>
      <c r="I481" s="7">
        <v>11</v>
      </c>
      <c r="J481" s="7" t="str">
        <f>"コンプレッサー室"</f>
        <v>コンプレッサー室</v>
      </c>
      <c r="K481" s="7" t="str">
        <f t="shared" si="166"/>
        <v>コンクリートブロック造</v>
      </c>
      <c r="L481" s="7" t="str">
        <f t="shared" si="165"/>
        <v>H01.10.25</v>
      </c>
      <c r="M481" s="7">
        <v>10.6</v>
      </c>
      <c r="N481" s="7">
        <v>909000</v>
      </c>
      <c r="O481" s="7">
        <v>893428</v>
      </c>
      <c r="P481" s="7">
        <v>0</v>
      </c>
      <c r="Q481" s="7" t="str">
        <f t="shared" si="167"/>
        <v>商工労働部</v>
      </c>
      <c r="R481" s="7" t="str">
        <f t="shared" si="164"/>
        <v>東大阪高等職業技術専門校</v>
      </c>
    </row>
    <row r="482" spans="1:18" s="1" customFormat="1" x14ac:dyDescent="0.45">
      <c r="A482" s="7" t="str">
        <f t="shared" si="160"/>
        <v>05154000000</v>
      </c>
      <c r="B482" s="7" t="str">
        <f t="shared" si="161"/>
        <v>大阪府立東大阪高等職業技術専門校</v>
      </c>
      <c r="C482" s="7" t="str">
        <f t="shared" si="158"/>
        <v>行政財産</v>
      </c>
      <c r="D482" s="7" t="str">
        <f t="shared" si="162"/>
        <v>その他（公共用）の施設</v>
      </c>
      <c r="E482" s="7" t="str">
        <f t="shared" si="163"/>
        <v>大阪府東大阪市菱江</v>
      </c>
      <c r="F482" s="7"/>
      <c r="G482" s="7" t="str">
        <f t="shared" si="156"/>
        <v>事業用資産</v>
      </c>
      <c r="H482" s="7" t="str">
        <f t="shared" si="157"/>
        <v>棚卸以外</v>
      </c>
      <c r="I482" s="7">
        <v>12</v>
      </c>
      <c r="J482" s="7" t="str">
        <f>"実習教室"</f>
        <v>実習教室</v>
      </c>
      <c r="K482" s="7" t="str">
        <f>"軽量鉄骨造"</f>
        <v>軽量鉄骨造</v>
      </c>
      <c r="L482" s="7" t="str">
        <f>"H03.03.28"</f>
        <v>H03.03.28</v>
      </c>
      <c r="M482" s="7">
        <v>21.66</v>
      </c>
      <c r="N482" s="7">
        <v>515000</v>
      </c>
      <c r="O482" s="7">
        <v>514999</v>
      </c>
      <c r="P482" s="7">
        <v>0</v>
      </c>
      <c r="Q482" s="7" t="str">
        <f t="shared" si="167"/>
        <v>商工労働部</v>
      </c>
      <c r="R482" s="7" t="str">
        <f t="shared" si="164"/>
        <v>東大阪高等職業技術専門校</v>
      </c>
    </row>
    <row r="483" spans="1:18" s="1" customFormat="1" x14ac:dyDescent="0.45">
      <c r="A483" s="7" t="str">
        <f t="shared" si="160"/>
        <v>05154000000</v>
      </c>
      <c r="B483" s="7" t="str">
        <f t="shared" si="161"/>
        <v>大阪府立東大阪高等職業技術専門校</v>
      </c>
      <c r="C483" s="7" t="str">
        <f t="shared" si="158"/>
        <v>行政財産</v>
      </c>
      <c r="D483" s="7" t="str">
        <f t="shared" si="162"/>
        <v>その他（公共用）の施設</v>
      </c>
      <c r="E483" s="7" t="str">
        <f t="shared" si="163"/>
        <v>大阪府東大阪市菱江</v>
      </c>
      <c r="F483" s="7"/>
      <c r="G483" s="7" t="str">
        <f t="shared" si="156"/>
        <v>事業用資産</v>
      </c>
      <c r="H483" s="7" t="str">
        <f t="shared" si="157"/>
        <v>棚卸以外</v>
      </c>
      <c r="I483" s="7">
        <v>13</v>
      </c>
      <c r="J483" s="7" t="str">
        <f>"材料倉庫"</f>
        <v>材料倉庫</v>
      </c>
      <c r="K483" s="7" t="str">
        <f>"軽量鉄骨造"</f>
        <v>軽量鉄骨造</v>
      </c>
      <c r="L483" s="7" t="str">
        <f>"H03.03.31"</f>
        <v>H03.03.31</v>
      </c>
      <c r="M483" s="7">
        <v>21.66</v>
      </c>
      <c r="N483" s="7">
        <v>990000</v>
      </c>
      <c r="O483" s="7">
        <v>989999</v>
      </c>
      <c r="P483" s="7">
        <v>0</v>
      </c>
      <c r="Q483" s="7" t="str">
        <f t="shared" si="167"/>
        <v>商工労働部</v>
      </c>
      <c r="R483" s="7" t="str">
        <f t="shared" si="164"/>
        <v>東大阪高等職業技術専門校</v>
      </c>
    </row>
    <row r="484" spans="1:18" s="1" customFormat="1" x14ac:dyDescent="0.45">
      <c r="A484" s="7" t="str">
        <f t="shared" ref="A484:A493" si="168">"05040000027"</f>
        <v>05040000027</v>
      </c>
      <c r="B484" s="7" t="str">
        <f t="shared" ref="B484:B493" si="169">"南大阪高等職業技術専門校"</f>
        <v>南大阪高等職業技術専門校</v>
      </c>
      <c r="C484" s="7" t="str">
        <f t="shared" si="158"/>
        <v>行政財産</v>
      </c>
      <c r="D484" s="7" t="str">
        <f t="shared" si="162"/>
        <v>その他（公共用）の施設</v>
      </c>
      <c r="E484" s="7" t="str">
        <f t="shared" ref="E484:E493" si="170">"大阪府和泉市テクノステージ２丁目"</f>
        <v>大阪府和泉市テクノステージ２丁目</v>
      </c>
      <c r="F484" s="7"/>
      <c r="G484" s="7" t="str">
        <f t="shared" si="156"/>
        <v>事業用資産</v>
      </c>
      <c r="H484" s="7" t="str">
        <f t="shared" si="157"/>
        <v>棚卸以外</v>
      </c>
      <c r="I484" s="7">
        <v>1</v>
      </c>
      <c r="J484" s="7" t="str">
        <f>"本館管理棟"</f>
        <v>本館管理棟</v>
      </c>
      <c r="K484" s="7" t="str">
        <f t="shared" ref="K484:K494" si="171">"鉄筋コンクリート造"</f>
        <v>鉄筋コンクリート造</v>
      </c>
      <c r="L484" s="7" t="str">
        <f t="shared" ref="L484:L493" si="172">"H18.02.01"</f>
        <v>H18.02.01</v>
      </c>
      <c r="M484" s="7">
        <v>4697.82</v>
      </c>
      <c r="N484" s="7">
        <v>978325861</v>
      </c>
      <c r="O484" s="7">
        <v>340575321</v>
      </c>
      <c r="P484" s="7">
        <v>0</v>
      </c>
      <c r="Q484" s="7" t="str">
        <f t="shared" si="167"/>
        <v>商工労働部</v>
      </c>
      <c r="R484" s="7" t="str">
        <f t="shared" ref="R484:R493" si="173">"南大阪高等職業技術専門校"</f>
        <v>南大阪高等職業技術専門校</v>
      </c>
    </row>
    <row r="485" spans="1:18" s="1" customFormat="1" x14ac:dyDescent="0.45">
      <c r="A485" s="7" t="str">
        <f t="shared" si="168"/>
        <v>05040000027</v>
      </c>
      <c r="B485" s="7" t="str">
        <f t="shared" si="169"/>
        <v>南大阪高等職業技術専門校</v>
      </c>
      <c r="C485" s="7" t="str">
        <f t="shared" si="158"/>
        <v>行政財産</v>
      </c>
      <c r="D485" s="7" t="str">
        <f t="shared" si="162"/>
        <v>その他（公共用）の施設</v>
      </c>
      <c r="E485" s="7" t="str">
        <f t="shared" si="170"/>
        <v>大阪府和泉市テクノステージ２丁目</v>
      </c>
      <c r="F485" s="7"/>
      <c r="G485" s="7" t="str">
        <f t="shared" si="156"/>
        <v>事業用資産</v>
      </c>
      <c r="H485" s="7" t="str">
        <f t="shared" si="157"/>
        <v>棚卸以外</v>
      </c>
      <c r="I485" s="7">
        <v>2</v>
      </c>
      <c r="J485" s="7" t="str">
        <f>"多目的ホール棟"</f>
        <v>多目的ホール棟</v>
      </c>
      <c r="K485" s="7" t="str">
        <f t="shared" si="171"/>
        <v>鉄筋コンクリート造</v>
      </c>
      <c r="L485" s="7" t="str">
        <f t="shared" si="172"/>
        <v>H18.02.01</v>
      </c>
      <c r="M485" s="7">
        <v>857.49</v>
      </c>
      <c r="N485" s="7">
        <v>247929000</v>
      </c>
      <c r="O485" s="7">
        <v>90116155</v>
      </c>
      <c r="P485" s="7">
        <v>0</v>
      </c>
      <c r="Q485" s="7" t="str">
        <f t="shared" si="167"/>
        <v>商工労働部</v>
      </c>
      <c r="R485" s="7" t="str">
        <f t="shared" si="173"/>
        <v>南大阪高等職業技術専門校</v>
      </c>
    </row>
    <row r="486" spans="1:18" s="1" customFormat="1" x14ac:dyDescent="0.45">
      <c r="A486" s="7" t="str">
        <f t="shared" si="168"/>
        <v>05040000027</v>
      </c>
      <c r="B486" s="7" t="str">
        <f t="shared" si="169"/>
        <v>南大阪高等職業技術専門校</v>
      </c>
      <c r="C486" s="7" t="str">
        <f t="shared" si="158"/>
        <v>行政財産</v>
      </c>
      <c r="D486" s="7" t="str">
        <f t="shared" si="162"/>
        <v>その他（公共用）の施設</v>
      </c>
      <c r="E486" s="7" t="str">
        <f t="shared" si="170"/>
        <v>大阪府和泉市テクノステージ２丁目</v>
      </c>
      <c r="F486" s="7"/>
      <c r="G486" s="7" t="str">
        <f t="shared" si="156"/>
        <v>事業用資産</v>
      </c>
      <c r="H486" s="7" t="str">
        <f t="shared" si="157"/>
        <v>棚卸以外</v>
      </c>
      <c r="I486" s="7">
        <v>3</v>
      </c>
      <c r="J486" s="7" t="str">
        <f>"実習棟北棟"</f>
        <v>実習棟北棟</v>
      </c>
      <c r="K486" s="7" t="str">
        <f t="shared" si="171"/>
        <v>鉄筋コンクリート造</v>
      </c>
      <c r="L486" s="7" t="str">
        <f t="shared" si="172"/>
        <v>H18.02.01</v>
      </c>
      <c r="M486" s="7">
        <v>3897.59</v>
      </c>
      <c r="N486" s="7">
        <v>1048445000</v>
      </c>
      <c r="O486" s="7">
        <v>381083930</v>
      </c>
      <c r="P486" s="7">
        <v>0</v>
      </c>
      <c r="Q486" s="7" t="str">
        <f t="shared" si="167"/>
        <v>商工労働部</v>
      </c>
      <c r="R486" s="7" t="str">
        <f t="shared" si="173"/>
        <v>南大阪高等職業技術専門校</v>
      </c>
    </row>
    <row r="487" spans="1:18" s="1" customFormat="1" x14ac:dyDescent="0.45">
      <c r="A487" s="7" t="str">
        <f t="shared" si="168"/>
        <v>05040000027</v>
      </c>
      <c r="B487" s="7" t="str">
        <f t="shared" si="169"/>
        <v>南大阪高等職業技術専門校</v>
      </c>
      <c r="C487" s="7" t="str">
        <f t="shared" si="158"/>
        <v>行政財産</v>
      </c>
      <c r="D487" s="7" t="str">
        <f t="shared" si="162"/>
        <v>その他（公共用）の施設</v>
      </c>
      <c r="E487" s="7" t="str">
        <f t="shared" si="170"/>
        <v>大阪府和泉市テクノステージ２丁目</v>
      </c>
      <c r="F487" s="7"/>
      <c r="G487" s="7" t="str">
        <f t="shared" si="156"/>
        <v>事業用資産</v>
      </c>
      <c r="H487" s="7" t="str">
        <f t="shared" si="157"/>
        <v>棚卸以外</v>
      </c>
      <c r="I487" s="7">
        <v>4</v>
      </c>
      <c r="J487" s="7" t="str">
        <f>"実習棟南棟"</f>
        <v>実習棟南棟</v>
      </c>
      <c r="K487" s="7" t="str">
        <f t="shared" si="171"/>
        <v>鉄筋コンクリート造</v>
      </c>
      <c r="L487" s="7" t="str">
        <f t="shared" si="172"/>
        <v>H18.02.01</v>
      </c>
      <c r="M487" s="7">
        <v>640.19000000000005</v>
      </c>
      <c r="N487" s="7">
        <v>166634000</v>
      </c>
      <c r="O487" s="7">
        <v>60567455</v>
      </c>
      <c r="P487" s="7">
        <v>0</v>
      </c>
      <c r="Q487" s="7" t="str">
        <f t="shared" si="167"/>
        <v>商工労働部</v>
      </c>
      <c r="R487" s="7" t="str">
        <f t="shared" si="173"/>
        <v>南大阪高等職業技術専門校</v>
      </c>
    </row>
    <row r="488" spans="1:18" s="1" customFormat="1" x14ac:dyDescent="0.45">
      <c r="A488" s="7" t="str">
        <f t="shared" si="168"/>
        <v>05040000027</v>
      </c>
      <c r="B488" s="7" t="str">
        <f t="shared" si="169"/>
        <v>南大阪高等職業技術専門校</v>
      </c>
      <c r="C488" s="7" t="str">
        <f t="shared" si="158"/>
        <v>行政財産</v>
      </c>
      <c r="D488" s="7" t="str">
        <f t="shared" si="162"/>
        <v>その他（公共用）の施設</v>
      </c>
      <c r="E488" s="7" t="str">
        <f t="shared" si="170"/>
        <v>大阪府和泉市テクノステージ２丁目</v>
      </c>
      <c r="F488" s="7"/>
      <c r="G488" s="7" t="str">
        <f t="shared" si="156"/>
        <v>事業用資産</v>
      </c>
      <c r="H488" s="7" t="str">
        <f t="shared" si="157"/>
        <v>棚卸以外</v>
      </c>
      <c r="I488" s="7">
        <v>5</v>
      </c>
      <c r="J488" s="7" t="str">
        <f>"共用棟東棟"</f>
        <v>共用棟東棟</v>
      </c>
      <c r="K488" s="7" t="str">
        <f t="shared" si="171"/>
        <v>鉄筋コンクリート造</v>
      </c>
      <c r="L488" s="7" t="str">
        <f t="shared" si="172"/>
        <v>H18.02.01</v>
      </c>
      <c r="M488" s="7">
        <v>125.97</v>
      </c>
      <c r="N488" s="7">
        <v>50643000</v>
      </c>
      <c r="O488" s="7">
        <v>22767300</v>
      </c>
      <c r="P488" s="7">
        <v>0</v>
      </c>
      <c r="Q488" s="7" t="str">
        <f t="shared" si="167"/>
        <v>商工労働部</v>
      </c>
      <c r="R488" s="7" t="str">
        <f t="shared" si="173"/>
        <v>南大阪高等職業技術専門校</v>
      </c>
    </row>
    <row r="489" spans="1:18" s="1" customFormat="1" x14ac:dyDescent="0.45">
      <c r="A489" s="7" t="str">
        <f t="shared" si="168"/>
        <v>05040000027</v>
      </c>
      <c r="B489" s="7" t="str">
        <f t="shared" si="169"/>
        <v>南大阪高等職業技術専門校</v>
      </c>
      <c r="C489" s="7" t="str">
        <f t="shared" si="158"/>
        <v>行政財産</v>
      </c>
      <c r="D489" s="7" t="str">
        <f t="shared" si="162"/>
        <v>その他（公共用）の施設</v>
      </c>
      <c r="E489" s="7" t="str">
        <f t="shared" si="170"/>
        <v>大阪府和泉市テクノステージ２丁目</v>
      </c>
      <c r="F489" s="7"/>
      <c r="G489" s="7" t="str">
        <f t="shared" si="156"/>
        <v>事業用資産</v>
      </c>
      <c r="H489" s="7" t="str">
        <f t="shared" si="157"/>
        <v>棚卸以外</v>
      </c>
      <c r="I489" s="7">
        <v>6</v>
      </c>
      <c r="J489" s="7" t="str">
        <f>"共用棟西棟"</f>
        <v>共用棟西棟</v>
      </c>
      <c r="K489" s="7" t="str">
        <f t="shared" si="171"/>
        <v>鉄筋コンクリート造</v>
      </c>
      <c r="L489" s="7" t="str">
        <f t="shared" si="172"/>
        <v>H18.02.01</v>
      </c>
      <c r="M489" s="7">
        <v>130.41999999999999</v>
      </c>
      <c r="N489" s="7">
        <v>52915000</v>
      </c>
      <c r="O489" s="7">
        <v>23788610</v>
      </c>
      <c r="P489" s="7">
        <v>0</v>
      </c>
      <c r="Q489" s="7" t="str">
        <f t="shared" si="167"/>
        <v>商工労働部</v>
      </c>
      <c r="R489" s="7" t="str">
        <f t="shared" si="173"/>
        <v>南大阪高等職業技術専門校</v>
      </c>
    </row>
    <row r="490" spans="1:18" s="1" customFormat="1" x14ac:dyDescent="0.45">
      <c r="A490" s="7" t="str">
        <f t="shared" si="168"/>
        <v>05040000027</v>
      </c>
      <c r="B490" s="7" t="str">
        <f t="shared" si="169"/>
        <v>南大阪高等職業技術専門校</v>
      </c>
      <c r="C490" s="7" t="str">
        <f t="shared" si="158"/>
        <v>行政財産</v>
      </c>
      <c r="D490" s="7" t="str">
        <f t="shared" si="162"/>
        <v>その他（公共用）の施設</v>
      </c>
      <c r="E490" s="7" t="str">
        <f t="shared" si="170"/>
        <v>大阪府和泉市テクノステージ２丁目</v>
      </c>
      <c r="F490" s="7"/>
      <c r="G490" s="7" t="str">
        <f t="shared" si="156"/>
        <v>事業用資産</v>
      </c>
      <c r="H490" s="7" t="str">
        <f t="shared" si="157"/>
        <v>棚卸以外</v>
      </c>
      <c r="I490" s="7">
        <v>7</v>
      </c>
      <c r="J490" s="7" t="str">
        <f>"機材倉庫"</f>
        <v>機材倉庫</v>
      </c>
      <c r="K490" s="7" t="str">
        <f t="shared" si="171"/>
        <v>鉄筋コンクリート造</v>
      </c>
      <c r="L490" s="7" t="str">
        <f t="shared" si="172"/>
        <v>H18.02.01</v>
      </c>
      <c r="M490" s="7">
        <v>16.600000000000001</v>
      </c>
      <c r="N490" s="7">
        <v>3661000</v>
      </c>
      <c r="O490" s="7">
        <v>1645945</v>
      </c>
      <c r="P490" s="7">
        <v>0</v>
      </c>
      <c r="Q490" s="7" t="str">
        <f t="shared" si="167"/>
        <v>商工労働部</v>
      </c>
      <c r="R490" s="7" t="str">
        <f t="shared" si="173"/>
        <v>南大阪高等職業技術専門校</v>
      </c>
    </row>
    <row r="491" spans="1:18" s="1" customFormat="1" x14ac:dyDescent="0.45">
      <c r="A491" s="7" t="str">
        <f t="shared" si="168"/>
        <v>05040000027</v>
      </c>
      <c r="B491" s="7" t="str">
        <f t="shared" si="169"/>
        <v>南大阪高等職業技術専門校</v>
      </c>
      <c r="C491" s="7" t="str">
        <f t="shared" si="158"/>
        <v>行政財産</v>
      </c>
      <c r="D491" s="7" t="str">
        <f t="shared" si="162"/>
        <v>その他（公共用）の施設</v>
      </c>
      <c r="E491" s="7" t="str">
        <f t="shared" si="170"/>
        <v>大阪府和泉市テクノステージ２丁目</v>
      </c>
      <c r="F491" s="7"/>
      <c r="G491" s="7" t="str">
        <f t="shared" si="156"/>
        <v>事業用資産</v>
      </c>
      <c r="H491" s="7" t="str">
        <f t="shared" si="157"/>
        <v>棚卸以外</v>
      </c>
      <c r="I491" s="7">
        <v>8</v>
      </c>
      <c r="J491" s="7" t="str">
        <f>"外部通路Ａ・Ｂ"</f>
        <v>外部通路Ａ・Ｂ</v>
      </c>
      <c r="K491" s="7" t="str">
        <f t="shared" si="171"/>
        <v>鉄筋コンクリート造</v>
      </c>
      <c r="L491" s="7" t="str">
        <f t="shared" si="172"/>
        <v>H18.02.01</v>
      </c>
      <c r="M491" s="7">
        <v>541.20000000000005</v>
      </c>
      <c r="N491" s="7">
        <v>13108000</v>
      </c>
      <c r="O491" s="7">
        <v>5461815</v>
      </c>
      <c r="P491" s="7">
        <v>0</v>
      </c>
      <c r="Q491" s="7" t="str">
        <f t="shared" si="167"/>
        <v>商工労働部</v>
      </c>
      <c r="R491" s="7" t="str">
        <f t="shared" si="173"/>
        <v>南大阪高等職業技術専門校</v>
      </c>
    </row>
    <row r="492" spans="1:18" s="1" customFormat="1" x14ac:dyDescent="0.45">
      <c r="A492" s="7" t="str">
        <f t="shared" si="168"/>
        <v>05040000027</v>
      </c>
      <c r="B492" s="7" t="str">
        <f t="shared" si="169"/>
        <v>南大阪高等職業技術専門校</v>
      </c>
      <c r="C492" s="7" t="str">
        <f t="shared" si="158"/>
        <v>行政財産</v>
      </c>
      <c r="D492" s="7" t="str">
        <f t="shared" si="162"/>
        <v>その他（公共用）の施設</v>
      </c>
      <c r="E492" s="7" t="str">
        <f t="shared" si="170"/>
        <v>大阪府和泉市テクノステージ２丁目</v>
      </c>
      <c r="F492" s="7"/>
      <c r="G492" s="7" t="str">
        <f t="shared" si="156"/>
        <v>事業用資産</v>
      </c>
      <c r="H492" s="7" t="str">
        <f t="shared" si="157"/>
        <v>棚卸以外</v>
      </c>
      <c r="I492" s="7">
        <v>9</v>
      </c>
      <c r="J492" s="7" t="str">
        <f>"外部通路Ｃ"</f>
        <v>外部通路Ｃ</v>
      </c>
      <c r="K492" s="7" t="str">
        <f t="shared" si="171"/>
        <v>鉄筋コンクリート造</v>
      </c>
      <c r="L492" s="7" t="str">
        <f t="shared" si="172"/>
        <v>H18.02.01</v>
      </c>
      <c r="M492" s="7">
        <v>457.87</v>
      </c>
      <c r="N492" s="7">
        <v>21262000</v>
      </c>
      <c r="O492" s="7">
        <v>8859280</v>
      </c>
      <c r="P492" s="7">
        <v>0</v>
      </c>
      <c r="Q492" s="7" t="str">
        <f t="shared" si="167"/>
        <v>商工労働部</v>
      </c>
      <c r="R492" s="7" t="str">
        <f t="shared" si="173"/>
        <v>南大阪高等職業技術専門校</v>
      </c>
    </row>
    <row r="493" spans="1:18" s="1" customFormat="1" x14ac:dyDescent="0.45">
      <c r="A493" s="7" t="str">
        <f t="shared" si="168"/>
        <v>05040000027</v>
      </c>
      <c r="B493" s="7" t="str">
        <f t="shared" si="169"/>
        <v>南大阪高等職業技術専門校</v>
      </c>
      <c r="C493" s="7" t="str">
        <f t="shared" si="158"/>
        <v>行政財産</v>
      </c>
      <c r="D493" s="7" t="str">
        <f t="shared" si="162"/>
        <v>その他（公共用）の施設</v>
      </c>
      <c r="E493" s="7" t="str">
        <f t="shared" si="170"/>
        <v>大阪府和泉市テクノステージ２丁目</v>
      </c>
      <c r="F493" s="7"/>
      <c r="G493" s="7" t="str">
        <f t="shared" si="156"/>
        <v>事業用資産</v>
      </c>
      <c r="H493" s="7" t="str">
        <f t="shared" si="157"/>
        <v>棚卸以外</v>
      </c>
      <c r="I493" s="7">
        <v>12</v>
      </c>
      <c r="J493" s="7" t="str">
        <f>"ごみ置場"</f>
        <v>ごみ置場</v>
      </c>
      <c r="K493" s="7" t="str">
        <f t="shared" si="171"/>
        <v>鉄筋コンクリート造</v>
      </c>
      <c r="L493" s="7" t="str">
        <f t="shared" si="172"/>
        <v>H18.02.01</v>
      </c>
      <c r="M493" s="7">
        <v>46</v>
      </c>
      <c r="N493" s="7">
        <v>3457000</v>
      </c>
      <c r="O493" s="7">
        <v>1554310</v>
      </c>
      <c r="P493" s="7">
        <v>0</v>
      </c>
      <c r="Q493" s="7" t="str">
        <f t="shared" si="167"/>
        <v>商工労働部</v>
      </c>
      <c r="R493" s="7" t="str">
        <f t="shared" si="173"/>
        <v>南大阪高等職業技術専門校</v>
      </c>
    </row>
    <row r="494" spans="1:18" s="1" customFormat="1" x14ac:dyDescent="0.45">
      <c r="A494" s="7" t="str">
        <f>"05140003002"</f>
        <v>05140003002</v>
      </c>
      <c r="B494" s="7" t="str">
        <f>"北大阪高等職業技術専門校"</f>
        <v>北大阪高等職業技術専門校</v>
      </c>
      <c r="C494" s="7" t="str">
        <f t="shared" si="158"/>
        <v>行政財産</v>
      </c>
      <c r="D494" s="7" t="str">
        <f t="shared" si="162"/>
        <v>その他（公共用）の施設</v>
      </c>
      <c r="E494" s="7" t="str">
        <f>"大阪府枚方市津田山手２丁目"</f>
        <v>大阪府枚方市津田山手２丁目</v>
      </c>
      <c r="F494" s="7"/>
      <c r="G494" s="7" t="str">
        <f t="shared" si="156"/>
        <v>事業用資産</v>
      </c>
      <c r="H494" s="7" t="str">
        <f t="shared" si="157"/>
        <v>棚卸以外</v>
      </c>
      <c r="I494" s="7">
        <v>1</v>
      </c>
      <c r="J494" s="7" t="str">
        <f>"北棟"</f>
        <v>北棟</v>
      </c>
      <c r="K494" s="7" t="str">
        <f t="shared" si="171"/>
        <v>鉄筋コンクリート造</v>
      </c>
      <c r="L494" s="7" t="str">
        <f>"H25.02.28"</f>
        <v>H25.02.28</v>
      </c>
      <c r="M494" s="7">
        <v>5675.49</v>
      </c>
      <c r="N494" s="7">
        <v>767739058</v>
      </c>
      <c r="O494" s="7">
        <v>197552259</v>
      </c>
      <c r="P494" s="7">
        <v>0</v>
      </c>
      <c r="Q494" s="7" t="str">
        <f t="shared" si="167"/>
        <v>商工労働部</v>
      </c>
      <c r="R494" s="7" t="str">
        <f>"北大阪高等職業技術専門校"</f>
        <v>北大阪高等職業技術専門校</v>
      </c>
    </row>
    <row r="495" spans="1:18" s="1" customFormat="1" x14ac:dyDescent="0.45">
      <c r="A495" s="7" t="str">
        <f>"05140003002"</f>
        <v>05140003002</v>
      </c>
      <c r="B495" s="7" t="str">
        <f>"北大阪高等職業技術専門校"</f>
        <v>北大阪高等職業技術専門校</v>
      </c>
      <c r="C495" s="7" t="str">
        <f t="shared" si="158"/>
        <v>行政財産</v>
      </c>
      <c r="D495" s="7" t="str">
        <f t="shared" si="162"/>
        <v>その他（公共用）の施設</v>
      </c>
      <c r="E495" s="7" t="str">
        <f>"大阪府枚方市津田山手２丁目"</f>
        <v>大阪府枚方市津田山手２丁目</v>
      </c>
      <c r="F495" s="7"/>
      <c r="G495" s="7" t="str">
        <f t="shared" si="156"/>
        <v>事業用資産</v>
      </c>
      <c r="H495" s="7" t="str">
        <f t="shared" si="157"/>
        <v>棚卸以外</v>
      </c>
      <c r="I495" s="7">
        <v>2</v>
      </c>
      <c r="J495" s="7" t="str">
        <f>"南棟"</f>
        <v>南棟</v>
      </c>
      <c r="K495" s="7" t="str">
        <f>"鉄骨造"</f>
        <v>鉄骨造</v>
      </c>
      <c r="L495" s="7" t="str">
        <f>"H25.02.28"</f>
        <v>H25.02.28</v>
      </c>
      <c r="M495" s="7">
        <v>4695.16</v>
      </c>
      <c r="N495" s="7">
        <v>775815659</v>
      </c>
      <c r="O495" s="7">
        <v>248601429</v>
      </c>
      <c r="P495" s="7">
        <v>0</v>
      </c>
      <c r="Q495" s="7" t="str">
        <f t="shared" si="167"/>
        <v>商工労働部</v>
      </c>
      <c r="R495" s="7" t="str">
        <f>"北大阪高等職業技術専門校"</f>
        <v>北大阪高等職業技術専門校</v>
      </c>
    </row>
    <row r="496" spans="1:18" s="1" customFormat="1" x14ac:dyDescent="0.45">
      <c r="A496" s="7" t="str">
        <f>"05140003002"</f>
        <v>05140003002</v>
      </c>
      <c r="B496" s="7" t="str">
        <f>"北大阪高等職業技術専門校"</f>
        <v>北大阪高等職業技術専門校</v>
      </c>
      <c r="C496" s="7" t="str">
        <f t="shared" si="158"/>
        <v>行政財産</v>
      </c>
      <c r="D496" s="7" t="str">
        <f t="shared" si="162"/>
        <v>その他（公共用）の施設</v>
      </c>
      <c r="E496" s="7" t="str">
        <f>"大阪府枚方市津田山手２丁目"</f>
        <v>大阪府枚方市津田山手２丁目</v>
      </c>
      <c r="F496" s="7"/>
      <c r="G496" s="7" t="str">
        <f t="shared" si="156"/>
        <v>事業用資産</v>
      </c>
      <c r="H496" s="7" t="str">
        <f t="shared" si="157"/>
        <v>棚卸以外</v>
      </c>
      <c r="I496" s="7">
        <v>3</v>
      </c>
      <c r="J496" s="7" t="str">
        <f>"駐輪場"</f>
        <v>駐輪場</v>
      </c>
      <c r="K496" s="7" t="str">
        <f>"鉄筋コンクリート造"</f>
        <v>鉄筋コンクリート造</v>
      </c>
      <c r="L496" s="7" t="str">
        <f>"H25.02.28"</f>
        <v>H25.02.28</v>
      </c>
      <c r="M496" s="7">
        <v>29.4</v>
      </c>
      <c r="N496" s="7">
        <v>3267513</v>
      </c>
      <c r="O496" s="7">
        <v>867086</v>
      </c>
      <c r="P496" s="7">
        <v>0</v>
      </c>
      <c r="Q496" s="7" t="str">
        <f t="shared" si="167"/>
        <v>商工労働部</v>
      </c>
      <c r="R496" s="7" t="str">
        <f>"北大阪高等職業技術専門校"</f>
        <v>北大阪高等職業技術専門校</v>
      </c>
    </row>
    <row r="497" spans="1:18" s="1" customFormat="1" x14ac:dyDescent="0.45">
      <c r="A497" s="7" t="str">
        <f>"05155000000"</f>
        <v>05155000000</v>
      </c>
      <c r="B497" s="7" t="str">
        <f>"夕陽丘高等職業技術専門校"</f>
        <v>夕陽丘高等職業技術専門校</v>
      </c>
      <c r="C497" s="7" t="str">
        <f t="shared" si="158"/>
        <v>行政財産</v>
      </c>
      <c r="D497" s="7" t="str">
        <f t="shared" si="162"/>
        <v>その他（公共用）の施設</v>
      </c>
      <c r="E497" s="7" t="str">
        <f>"大阪府大阪市　天王寺区上汐４丁目"</f>
        <v>大阪府大阪市　天王寺区上汐４丁目</v>
      </c>
      <c r="F497" s="7"/>
      <c r="G497" s="7" t="str">
        <f t="shared" si="156"/>
        <v>事業用資産</v>
      </c>
      <c r="H497" s="7" t="str">
        <f t="shared" si="157"/>
        <v>棚卸以外</v>
      </c>
      <c r="I497" s="7">
        <v>1</v>
      </c>
      <c r="J497" s="7" t="str">
        <f>"本館"</f>
        <v>本館</v>
      </c>
      <c r="K497" s="7" t="str">
        <f>"鉄筋コンクリート造"</f>
        <v>鉄筋コンクリート造</v>
      </c>
      <c r="L497" s="7" t="str">
        <f>"H12.03.31"</f>
        <v>H12.03.31</v>
      </c>
      <c r="M497" s="7">
        <v>5786.6</v>
      </c>
      <c r="N497" s="7">
        <v>1791658396</v>
      </c>
      <c r="O497" s="7">
        <v>755774220</v>
      </c>
      <c r="P497" s="7">
        <v>0</v>
      </c>
      <c r="Q497" s="7" t="str">
        <f t="shared" si="167"/>
        <v>商工労働部</v>
      </c>
      <c r="R497" s="7" t="str">
        <f>"夕陽丘高等職業技術専門校"</f>
        <v>夕陽丘高等職業技術専門校</v>
      </c>
    </row>
    <row r="498" spans="1:18" s="1" customFormat="1" x14ac:dyDescent="0.45">
      <c r="A498" s="7" t="str">
        <f>"05155000000"</f>
        <v>05155000000</v>
      </c>
      <c r="B498" s="7" t="str">
        <f>"夕陽丘高等職業技術専門校"</f>
        <v>夕陽丘高等職業技術専門校</v>
      </c>
      <c r="C498" s="7" t="str">
        <f t="shared" si="158"/>
        <v>行政財産</v>
      </c>
      <c r="D498" s="7" t="str">
        <f t="shared" si="162"/>
        <v>その他（公共用）の施設</v>
      </c>
      <c r="E498" s="7" t="str">
        <f>"大阪府大阪市　天王寺区上汐４丁目"</f>
        <v>大阪府大阪市　天王寺区上汐４丁目</v>
      </c>
      <c r="F498" s="7"/>
      <c r="G498" s="7" t="str">
        <f t="shared" si="156"/>
        <v>事業用資産</v>
      </c>
      <c r="H498" s="7" t="str">
        <f t="shared" si="157"/>
        <v>棚卸以外</v>
      </c>
      <c r="I498" s="7">
        <v>2</v>
      </c>
      <c r="J498" s="7" t="str">
        <f>"ゴミ置場"</f>
        <v>ゴミ置場</v>
      </c>
      <c r="K498" s="7" t="str">
        <f>"鉄筋コンクリート造"</f>
        <v>鉄筋コンクリート造</v>
      </c>
      <c r="L498" s="7" t="str">
        <f>"H12.03.31"</f>
        <v>H12.03.31</v>
      </c>
      <c r="M498" s="7">
        <v>6.03</v>
      </c>
      <c r="N498" s="7">
        <v>2035000</v>
      </c>
      <c r="O498" s="7">
        <v>1231788</v>
      </c>
      <c r="P498" s="7">
        <v>0</v>
      </c>
      <c r="Q498" s="7" t="str">
        <f t="shared" si="167"/>
        <v>商工労働部</v>
      </c>
      <c r="R498" s="7" t="str">
        <f>"夕陽丘高等職業技術専門校"</f>
        <v>夕陽丘高等職業技術専門校</v>
      </c>
    </row>
    <row r="499" spans="1:18" s="1" customFormat="1" x14ac:dyDescent="0.45">
      <c r="A499" s="7" t="str">
        <f>"05155000000"</f>
        <v>05155000000</v>
      </c>
      <c r="B499" s="7" t="str">
        <f>"夕陽丘高等職業技術専門校"</f>
        <v>夕陽丘高等職業技術専門校</v>
      </c>
      <c r="C499" s="7" t="str">
        <f t="shared" si="158"/>
        <v>行政財産</v>
      </c>
      <c r="D499" s="7" t="str">
        <f t="shared" si="162"/>
        <v>その他（公共用）の施設</v>
      </c>
      <c r="E499" s="7" t="str">
        <f>"大阪府大阪市　天王寺区上汐４丁目"</f>
        <v>大阪府大阪市　天王寺区上汐４丁目</v>
      </c>
      <c r="F499" s="7"/>
      <c r="G499" s="7" t="str">
        <f t="shared" si="156"/>
        <v>事業用資産</v>
      </c>
      <c r="H499" s="7" t="str">
        <f t="shared" si="157"/>
        <v>棚卸以外</v>
      </c>
      <c r="I499" s="7">
        <v>3</v>
      </c>
      <c r="J499" s="7" t="str">
        <f>"駐輪場"</f>
        <v>駐輪場</v>
      </c>
      <c r="K499" s="7" t="str">
        <f>"鉄筋コンクリート造"</f>
        <v>鉄筋コンクリート造</v>
      </c>
      <c r="L499" s="7" t="str">
        <f>"H12.03.31"</f>
        <v>H12.03.31</v>
      </c>
      <c r="M499" s="7">
        <v>12.86</v>
      </c>
      <c r="N499" s="7">
        <v>1428000</v>
      </c>
      <c r="O499" s="7">
        <v>864432</v>
      </c>
      <c r="P499" s="7">
        <v>0</v>
      </c>
      <c r="Q499" s="7" t="str">
        <f t="shared" si="167"/>
        <v>商工労働部</v>
      </c>
      <c r="R499" s="7" t="str">
        <f>"夕陽丘高等職業技術専門校"</f>
        <v>夕陽丘高等職業技術専門校</v>
      </c>
    </row>
    <row r="500" spans="1:18" s="1" customFormat="1" x14ac:dyDescent="0.45">
      <c r="A500" s="7" t="str">
        <f>"06132001002"</f>
        <v>06132001002</v>
      </c>
      <c r="B500" s="7" t="str">
        <f>"食とみどりの総合技術センター"</f>
        <v>食とみどりの総合技術センター</v>
      </c>
      <c r="C500" s="7" t="str">
        <f t="shared" ref="C500:C515" si="174">"普通財産"</f>
        <v>普通財産</v>
      </c>
      <c r="D500" s="7" t="str">
        <f t="shared" ref="D500:D515" si="175">"その他"</f>
        <v>その他</v>
      </c>
      <c r="E500" s="7" t="str">
        <f>"大阪府羽曳野市尺度"</f>
        <v>大阪府羽曳野市尺度</v>
      </c>
      <c r="F500" s="7"/>
      <c r="G500" s="7" t="str">
        <f t="shared" si="156"/>
        <v>事業用資産</v>
      </c>
      <c r="H500" s="7" t="str">
        <f t="shared" si="157"/>
        <v>棚卸以外</v>
      </c>
      <c r="I500" s="7">
        <v>63</v>
      </c>
      <c r="J500" s="7" t="str">
        <f>"第１種鶏舎"</f>
        <v>第１種鶏舎</v>
      </c>
      <c r="K500" s="7" t="str">
        <f>"軽量鉄骨造"</f>
        <v>軽量鉄骨造</v>
      </c>
      <c r="L500" s="7" t="str">
        <f>"S39.02.29"</f>
        <v>S39.02.29</v>
      </c>
      <c r="M500" s="7">
        <v>161.88</v>
      </c>
      <c r="N500" s="7">
        <v>3324000</v>
      </c>
      <c r="O500" s="7">
        <v>3323999</v>
      </c>
      <c r="P500" s="7">
        <v>0</v>
      </c>
      <c r="Q500" s="7" t="str">
        <f t="shared" ref="Q500:Q563" si="176">"環境農林水産部"</f>
        <v>環境農林水産部</v>
      </c>
      <c r="R500" s="7" t="str">
        <f t="shared" ref="R500:R507" si="177">"環境農林水産総務課"</f>
        <v>環境農林水産総務課</v>
      </c>
    </row>
    <row r="501" spans="1:18" s="1" customFormat="1" x14ac:dyDescent="0.45">
      <c r="A501" s="7" t="str">
        <f>"06132001002"</f>
        <v>06132001002</v>
      </c>
      <c r="B501" s="7" t="str">
        <f>"食とみどりの総合技術センター"</f>
        <v>食とみどりの総合技術センター</v>
      </c>
      <c r="C501" s="7" t="str">
        <f t="shared" si="174"/>
        <v>普通財産</v>
      </c>
      <c r="D501" s="7" t="str">
        <f t="shared" si="175"/>
        <v>その他</v>
      </c>
      <c r="E501" s="7" t="str">
        <f>"大阪府羽曳野市尺度"</f>
        <v>大阪府羽曳野市尺度</v>
      </c>
      <c r="F501" s="7"/>
      <c r="G501" s="7" t="str">
        <f t="shared" si="156"/>
        <v>事業用資産</v>
      </c>
      <c r="H501" s="7" t="str">
        <f t="shared" si="157"/>
        <v>棚卸以外</v>
      </c>
      <c r="I501" s="7">
        <v>86</v>
      </c>
      <c r="J501" s="7" t="str">
        <f>"試験舎５"</f>
        <v>試験舎５</v>
      </c>
      <c r="K501" s="7" t="str">
        <f>"コンクリートブロック造"</f>
        <v>コンクリートブロック造</v>
      </c>
      <c r="L501" s="7" t="str">
        <f>"S46.02.20"</f>
        <v>S46.02.20</v>
      </c>
      <c r="M501" s="7">
        <v>12</v>
      </c>
      <c r="N501" s="7">
        <v>745000</v>
      </c>
      <c r="O501" s="7">
        <v>744999</v>
      </c>
      <c r="P501" s="7">
        <v>0</v>
      </c>
      <c r="Q501" s="7" t="str">
        <f t="shared" si="176"/>
        <v>環境農林水産部</v>
      </c>
      <c r="R501" s="7" t="str">
        <f t="shared" si="177"/>
        <v>環境農林水産総務課</v>
      </c>
    </row>
    <row r="502" spans="1:18" s="1" customFormat="1" x14ac:dyDescent="0.45">
      <c r="A502" s="7" t="str">
        <f>"06132001002"</f>
        <v>06132001002</v>
      </c>
      <c r="B502" s="7" t="str">
        <f>"食とみどりの総合技術センター"</f>
        <v>食とみどりの総合技術センター</v>
      </c>
      <c r="C502" s="7" t="str">
        <f t="shared" si="174"/>
        <v>普通財産</v>
      </c>
      <c r="D502" s="7" t="str">
        <f t="shared" si="175"/>
        <v>その他</v>
      </c>
      <c r="E502" s="7" t="str">
        <f>"大阪府羽曳野市尺度"</f>
        <v>大阪府羽曳野市尺度</v>
      </c>
      <c r="F502" s="7"/>
      <c r="G502" s="7" t="str">
        <f t="shared" si="156"/>
        <v>事業用資産</v>
      </c>
      <c r="H502" s="7" t="str">
        <f t="shared" si="157"/>
        <v>棚卸以外</v>
      </c>
      <c r="I502" s="7">
        <v>95</v>
      </c>
      <c r="J502" s="7" t="str">
        <f>"ガスボンベ保管庫（Ｂ）"</f>
        <v>ガスボンベ保管庫（Ｂ）</v>
      </c>
      <c r="K502" s="7" t="str">
        <f>"コンクリートブロック造"</f>
        <v>コンクリートブロック造</v>
      </c>
      <c r="L502" s="7" t="str">
        <f>"S50.02.06"</f>
        <v>S50.02.06</v>
      </c>
      <c r="M502" s="7">
        <v>5</v>
      </c>
      <c r="N502" s="7">
        <v>496000</v>
      </c>
      <c r="O502" s="7">
        <v>495999</v>
      </c>
      <c r="P502" s="7">
        <v>0</v>
      </c>
      <c r="Q502" s="7" t="str">
        <f t="shared" si="176"/>
        <v>環境農林水産部</v>
      </c>
      <c r="R502" s="7" t="str">
        <f t="shared" si="177"/>
        <v>環境農林水産総務課</v>
      </c>
    </row>
    <row r="503" spans="1:18" s="1" customFormat="1" x14ac:dyDescent="0.45">
      <c r="A503" s="7" t="str">
        <f>"06132001002"</f>
        <v>06132001002</v>
      </c>
      <c r="B503" s="7" t="str">
        <f>"食とみどりの総合技術センター"</f>
        <v>食とみどりの総合技術センター</v>
      </c>
      <c r="C503" s="7" t="str">
        <f t="shared" si="174"/>
        <v>普通財産</v>
      </c>
      <c r="D503" s="7" t="str">
        <f t="shared" si="175"/>
        <v>その他</v>
      </c>
      <c r="E503" s="7" t="str">
        <f>"大阪府羽曳野市尺度"</f>
        <v>大阪府羽曳野市尺度</v>
      </c>
      <c r="F503" s="7"/>
      <c r="G503" s="7" t="str">
        <f t="shared" si="156"/>
        <v>事業用資産</v>
      </c>
      <c r="H503" s="7" t="str">
        <f t="shared" si="157"/>
        <v>棚卸以外</v>
      </c>
      <c r="I503" s="7">
        <v>100</v>
      </c>
      <c r="J503" s="7" t="str">
        <f>"野菜第４温室"</f>
        <v>野菜第４温室</v>
      </c>
      <c r="K503" s="7" t="str">
        <f>"コンクリートブロック造"</f>
        <v>コンクリートブロック造</v>
      </c>
      <c r="L503" s="7" t="str">
        <f>"S53.02.28"</f>
        <v>S53.02.28</v>
      </c>
      <c r="M503" s="7">
        <v>141.36000000000001</v>
      </c>
      <c r="N503" s="7">
        <v>8709000</v>
      </c>
      <c r="O503" s="7">
        <v>8708999</v>
      </c>
      <c r="P503" s="7">
        <v>0</v>
      </c>
      <c r="Q503" s="7" t="str">
        <f t="shared" si="176"/>
        <v>環境農林水産部</v>
      </c>
      <c r="R503" s="7" t="str">
        <f t="shared" si="177"/>
        <v>環境農林水産総務課</v>
      </c>
    </row>
    <row r="504" spans="1:18" s="1" customFormat="1" x14ac:dyDescent="0.45">
      <c r="A504" s="7" t="str">
        <f>"06132001024"</f>
        <v>06132001024</v>
      </c>
      <c r="B504" s="7" t="str">
        <f>"本部・環境科学センター"</f>
        <v>本部・環境科学センター</v>
      </c>
      <c r="C504" s="7" t="str">
        <f t="shared" si="174"/>
        <v>普通財産</v>
      </c>
      <c r="D504" s="7" t="str">
        <f t="shared" si="175"/>
        <v>その他</v>
      </c>
      <c r="E504" s="7" t="str">
        <f>"大阪府大阪市　東成区中道１丁目"</f>
        <v>大阪府大阪市　東成区中道１丁目</v>
      </c>
      <c r="F504" s="7"/>
      <c r="G504" s="7" t="str">
        <f t="shared" si="156"/>
        <v>事業用資産</v>
      </c>
      <c r="H504" s="7" t="str">
        <f t="shared" si="157"/>
        <v>棚卸以外</v>
      </c>
      <c r="I504" s="7">
        <v>1</v>
      </c>
      <c r="J504" s="7" t="str">
        <f>"本館"</f>
        <v>本館</v>
      </c>
      <c r="K504" s="7" t="str">
        <f>"鉄筋コンクリート造"</f>
        <v>鉄筋コンクリート造</v>
      </c>
      <c r="L504" s="7" t="str">
        <f>"S25.01.01"</f>
        <v>S25.01.01</v>
      </c>
      <c r="M504" s="7">
        <v>5097.54</v>
      </c>
      <c r="N504" s="7">
        <v>697383879</v>
      </c>
      <c r="O504" s="7">
        <v>676819314</v>
      </c>
      <c r="P504" s="7">
        <v>0</v>
      </c>
      <c r="Q504" s="7" t="str">
        <f t="shared" si="176"/>
        <v>環境農林水産部</v>
      </c>
      <c r="R504" s="7" t="str">
        <f t="shared" si="177"/>
        <v>環境農林水産総務課</v>
      </c>
    </row>
    <row r="505" spans="1:18" s="1" customFormat="1" x14ac:dyDescent="0.45">
      <c r="A505" s="7" t="str">
        <f>"06132001024"</f>
        <v>06132001024</v>
      </c>
      <c r="B505" s="7" t="str">
        <f>"本部・環境科学センター"</f>
        <v>本部・環境科学センター</v>
      </c>
      <c r="C505" s="7" t="str">
        <f t="shared" si="174"/>
        <v>普通財産</v>
      </c>
      <c r="D505" s="7" t="str">
        <f t="shared" si="175"/>
        <v>その他</v>
      </c>
      <c r="E505" s="7" t="str">
        <f>"大阪府大阪市　東成区中道１丁目"</f>
        <v>大阪府大阪市　東成区中道１丁目</v>
      </c>
      <c r="F505" s="7"/>
      <c r="G505" s="7" t="str">
        <f t="shared" si="156"/>
        <v>事業用資産</v>
      </c>
      <c r="H505" s="7" t="str">
        <f t="shared" si="157"/>
        <v>棚卸以外</v>
      </c>
      <c r="I505" s="7">
        <v>2</v>
      </c>
      <c r="J505" s="7" t="str">
        <f>"車庫"</f>
        <v>車庫</v>
      </c>
      <c r="K505" s="7" t="str">
        <f>"鉄骨造"</f>
        <v>鉄骨造</v>
      </c>
      <c r="L505" s="7" t="str">
        <f>"S25.01.01"</f>
        <v>S25.01.01</v>
      </c>
      <c r="M505" s="7">
        <v>105</v>
      </c>
      <c r="N505" s="7">
        <v>4477752</v>
      </c>
      <c r="O505" s="7">
        <v>4477751</v>
      </c>
      <c r="P505" s="7">
        <v>0</v>
      </c>
      <c r="Q505" s="7" t="str">
        <f t="shared" si="176"/>
        <v>環境農林水産部</v>
      </c>
      <c r="R505" s="7" t="str">
        <f t="shared" si="177"/>
        <v>環境農林水産総務課</v>
      </c>
    </row>
    <row r="506" spans="1:18" s="1" customFormat="1" x14ac:dyDescent="0.45">
      <c r="A506" s="7" t="str">
        <f>"06132001024"</f>
        <v>06132001024</v>
      </c>
      <c r="B506" s="7" t="str">
        <f>"本部・環境科学センター"</f>
        <v>本部・環境科学センター</v>
      </c>
      <c r="C506" s="7" t="str">
        <f t="shared" si="174"/>
        <v>普通財産</v>
      </c>
      <c r="D506" s="7" t="str">
        <f t="shared" si="175"/>
        <v>その他</v>
      </c>
      <c r="E506" s="7" t="str">
        <f>"大阪府大阪市　東成区中道１丁目"</f>
        <v>大阪府大阪市　東成区中道１丁目</v>
      </c>
      <c r="F506" s="7"/>
      <c r="G506" s="7" t="str">
        <f t="shared" si="156"/>
        <v>事業用資産</v>
      </c>
      <c r="H506" s="7" t="str">
        <f t="shared" si="157"/>
        <v>棚卸以外</v>
      </c>
      <c r="I506" s="7">
        <v>4</v>
      </c>
      <c r="J506" s="7" t="str">
        <f>"ボンベハウス"</f>
        <v>ボンベハウス</v>
      </c>
      <c r="K506" s="7" t="str">
        <f>"コンクリートブロック造"</f>
        <v>コンクリートブロック造</v>
      </c>
      <c r="L506" s="7" t="str">
        <f>"S25.01.01"</f>
        <v>S25.01.01</v>
      </c>
      <c r="M506" s="7">
        <v>11.14</v>
      </c>
      <c r="N506" s="7">
        <v>850000</v>
      </c>
      <c r="O506" s="7">
        <v>849999</v>
      </c>
      <c r="P506" s="7">
        <v>0</v>
      </c>
      <c r="Q506" s="7" t="str">
        <f t="shared" si="176"/>
        <v>環境農林水産部</v>
      </c>
      <c r="R506" s="7" t="str">
        <f t="shared" si="177"/>
        <v>環境農林水産総務課</v>
      </c>
    </row>
    <row r="507" spans="1:18" s="1" customFormat="1" x14ac:dyDescent="0.45">
      <c r="A507" s="7" t="str">
        <f>"06132001024"</f>
        <v>06132001024</v>
      </c>
      <c r="B507" s="7" t="str">
        <f>"本部・環境科学センター"</f>
        <v>本部・環境科学センター</v>
      </c>
      <c r="C507" s="7" t="str">
        <f t="shared" si="174"/>
        <v>普通財産</v>
      </c>
      <c r="D507" s="7" t="str">
        <f t="shared" si="175"/>
        <v>その他</v>
      </c>
      <c r="E507" s="7" t="str">
        <f>"大阪府大阪市　東成区中道１丁目"</f>
        <v>大阪府大阪市　東成区中道１丁目</v>
      </c>
      <c r="F507" s="7"/>
      <c r="G507" s="7" t="str">
        <f t="shared" si="156"/>
        <v>事業用資産</v>
      </c>
      <c r="H507" s="7" t="str">
        <f t="shared" si="157"/>
        <v>棚卸以外</v>
      </c>
      <c r="I507" s="7">
        <v>5</v>
      </c>
      <c r="J507" s="7" t="str">
        <f>"危険物貯蔵倉庫"</f>
        <v>危険物貯蔵倉庫</v>
      </c>
      <c r="K507" s="7" t="str">
        <f>"コンクリートブロック造"</f>
        <v>コンクリートブロック造</v>
      </c>
      <c r="L507" s="7" t="str">
        <f>"S25.01.01"</f>
        <v>S25.01.01</v>
      </c>
      <c r="M507" s="7">
        <v>26.43</v>
      </c>
      <c r="N507" s="7">
        <v>5657000</v>
      </c>
      <c r="O507" s="7">
        <v>5022851</v>
      </c>
      <c r="P507" s="7">
        <v>0</v>
      </c>
      <c r="Q507" s="7" t="str">
        <f t="shared" si="176"/>
        <v>環境農林水産部</v>
      </c>
      <c r="R507" s="7" t="str">
        <f t="shared" si="177"/>
        <v>環境農林水産総務課</v>
      </c>
    </row>
    <row r="508" spans="1:18" s="1" customFormat="1" x14ac:dyDescent="0.45">
      <c r="A508" s="7" t="str">
        <f t="shared" ref="A508:A514" si="178">"06158000042"</f>
        <v>06158000042</v>
      </c>
      <c r="B508" s="7" t="str">
        <f t="shared" ref="B508:B514" si="179">"堺第７－３区管理事務所"</f>
        <v>堺第７－３区管理事務所</v>
      </c>
      <c r="C508" s="7" t="str">
        <f t="shared" si="174"/>
        <v>普通財産</v>
      </c>
      <c r="D508" s="7" t="str">
        <f t="shared" si="175"/>
        <v>その他</v>
      </c>
      <c r="E508" s="7" t="str">
        <f t="shared" ref="E508:E514" si="180">"大阪府堺市　西区築港新町４丁"</f>
        <v>大阪府堺市　西区築港新町４丁</v>
      </c>
      <c r="F508" s="7" t="str">
        <f t="shared" ref="F508:F514" si="181">"４番－１"</f>
        <v>４番－１</v>
      </c>
      <c r="G508" s="7" t="str">
        <f t="shared" si="156"/>
        <v>事業用資産</v>
      </c>
      <c r="H508" s="7" t="str">
        <f t="shared" si="157"/>
        <v>棚卸以外</v>
      </c>
      <c r="I508" s="7">
        <v>2</v>
      </c>
      <c r="J508" s="7" t="str">
        <f>"車庫"</f>
        <v>車庫</v>
      </c>
      <c r="K508" s="7" t="str">
        <f>"軽量鉄骨造"</f>
        <v>軽量鉄骨造</v>
      </c>
      <c r="L508" s="7" t="str">
        <f>"S61.03.20"</f>
        <v>S61.03.20</v>
      </c>
      <c r="M508" s="7">
        <v>52.8</v>
      </c>
      <c r="N508" s="7">
        <v>1672000</v>
      </c>
      <c r="O508" s="7">
        <v>323948</v>
      </c>
      <c r="P508" s="7">
        <v>0</v>
      </c>
      <c r="Q508" s="7" t="str">
        <f t="shared" si="176"/>
        <v>環境農林水産部</v>
      </c>
      <c r="R508" s="7" t="str">
        <f t="shared" ref="R508:R515" si="182">"循環型社会推進室"</f>
        <v>循環型社会推進室</v>
      </c>
    </row>
    <row r="509" spans="1:18" s="1" customFormat="1" x14ac:dyDescent="0.45">
      <c r="A509" s="7" t="str">
        <f t="shared" si="178"/>
        <v>06158000042</v>
      </c>
      <c r="B509" s="7" t="str">
        <f t="shared" si="179"/>
        <v>堺第７－３区管理事務所</v>
      </c>
      <c r="C509" s="7" t="str">
        <f t="shared" si="174"/>
        <v>普通財産</v>
      </c>
      <c r="D509" s="7" t="str">
        <f t="shared" si="175"/>
        <v>その他</v>
      </c>
      <c r="E509" s="7" t="str">
        <f t="shared" si="180"/>
        <v>大阪府堺市　西区築港新町４丁</v>
      </c>
      <c r="F509" s="7" t="str">
        <f t="shared" si="181"/>
        <v>４番－１</v>
      </c>
      <c r="G509" s="7" t="str">
        <f t="shared" si="156"/>
        <v>事業用資産</v>
      </c>
      <c r="H509" s="7" t="str">
        <f t="shared" si="157"/>
        <v>棚卸以外</v>
      </c>
      <c r="I509" s="7">
        <v>3</v>
      </c>
      <c r="J509" s="7" t="str">
        <f>"倉庫１"</f>
        <v>倉庫１</v>
      </c>
      <c r="K509" s="7" t="str">
        <f>"軽量鉄骨造"</f>
        <v>軽量鉄骨造</v>
      </c>
      <c r="L509" s="7" t="str">
        <f>"S61.03.20"</f>
        <v>S61.03.20</v>
      </c>
      <c r="M509" s="7">
        <v>49.5</v>
      </c>
      <c r="N509" s="7">
        <v>235000</v>
      </c>
      <c r="O509" s="7">
        <v>165648</v>
      </c>
      <c r="P509" s="7">
        <v>0</v>
      </c>
      <c r="Q509" s="7" t="str">
        <f t="shared" si="176"/>
        <v>環境農林水産部</v>
      </c>
      <c r="R509" s="7" t="str">
        <f t="shared" si="182"/>
        <v>循環型社会推進室</v>
      </c>
    </row>
    <row r="510" spans="1:18" s="1" customFormat="1" x14ac:dyDescent="0.45">
      <c r="A510" s="7" t="str">
        <f t="shared" si="178"/>
        <v>06158000042</v>
      </c>
      <c r="B510" s="7" t="str">
        <f t="shared" si="179"/>
        <v>堺第７－３区管理事務所</v>
      </c>
      <c r="C510" s="7" t="str">
        <f t="shared" si="174"/>
        <v>普通財産</v>
      </c>
      <c r="D510" s="7" t="str">
        <f t="shared" si="175"/>
        <v>その他</v>
      </c>
      <c r="E510" s="7" t="str">
        <f t="shared" si="180"/>
        <v>大阪府堺市　西区築港新町４丁</v>
      </c>
      <c r="F510" s="7" t="str">
        <f t="shared" si="181"/>
        <v>４番－１</v>
      </c>
      <c r="G510" s="7" t="str">
        <f t="shared" si="156"/>
        <v>事業用資産</v>
      </c>
      <c r="H510" s="7" t="str">
        <f t="shared" si="157"/>
        <v>棚卸以外</v>
      </c>
      <c r="I510" s="7">
        <v>5</v>
      </c>
      <c r="J510" s="7" t="str">
        <f>"倉庫３"</f>
        <v>倉庫３</v>
      </c>
      <c r="K510" s="7" t="str">
        <f>"コンクリートブロック造"</f>
        <v>コンクリートブロック造</v>
      </c>
      <c r="L510" s="7" t="str">
        <f>"S61.03.20"</f>
        <v>S61.03.20</v>
      </c>
      <c r="M510" s="7">
        <v>5.16</v>
      </c>
      <c r="N510" s="7">
        <v>57000</v>
      </c>
      <c r="O510" s="7">
        <v>28420</v>
      </c>
      <c r="P510" s="7">
        <v>0</v>
      </c>
      <c r="Q510" s="7" t="str">
        <f t="shared" si="176"/>
        <v>環境農林水産部</v>
      </c>
      <c r="R510" s="7" t="str">
        <f t="shared" si="182"/>
        <v>循環型社会推進室</v>
      </c>
    </row>
    <row r="511" spans="1:18" s="1" customFormat="1" x14ac:dyDescent="0.45">
      <c r="A511" s="7" t="str">
        <f t="shared" si="178"/>
        <v>06158000042</v>
      </c>
      <c r="B511" s="7" t="str">
        <f t="shared" si="179"/>
        <v>堺第７－３区管理事務所</v>
      </c>
      <c r="C511" s="7" t="str">
        <f t="shared" si="174"/>
        <v>普通財産</v>
      </c>
      <c r="D511" s="7" t="str">
        <f t="shared" si="175"/>
        <v>その他</v>
      </c>
      <c r="E511" s="7" t="str">
        <f t="shared" si="180"/>
        <v>大阪府堺市　西区築港新町４丁</v>
      </c>
      <c r="F511" s="7" t="str">
        <f t="shared" si="181"/>
        <v>４番－１</v>
      </c>
      <c r="G511" s="7" t="str">
        <f t="shared" si="156"/>
        <v>事業用資産</v>
      </c>
      <c r="H511" s="7" t="str">
        <f t="shared" si="157"/>
        <v>棚卸以外</v>
      </c>
      <c r="I511" s="7">
        <v>6</v>
      </c>
      <c r="J511" s="7" t="str">
        <f>"プロパン庫"</f>
        <v>プロパン庫</v>
      </c>
      <c r="K511" s="7" t="str">
        <f>"コンクリートブロック造"</f>
        <v>コンクリートブロック造</v>
      </c>
      <c r="L511" s="7" t="str">
        <f>"S61.03.20"</f>
        <v>S61.03.20</v>
      </c>
      <c r="M511" s="7">
        <v>7.76</v>
      </c>
      <c r="N511" s="7">
        <v>325000</v>
      </c>
      <c r="O511" s="7">
        <v>161791</v>
      </c>
      <c r="P511" s="7">
        <v>0</v>
      </c>
      <c r="Q511" s="7" t="str">
        <f t="shared" si="176"/>
        <v>環境農林水産部</v>
      </c>
      <c r="R511" s="7" t="str">
        <f t="shared" si="182"/>
        <v>循環型社会推進室</v>
      </c>
    </row>
    <row r="512" spans="1:18" s="1" customFormat="1" x14ac:dyDescent="0.45">
      <c r="A512" s="7" t="str">
        <f t="shared" si="178"/>
        <v>06158000042</v>
      </c>
      <c r="B512" s="7" t="str">
        <f t="shared" si="179"/>
        <v>堺第７－３区管理事務所</v>
      </c>
      <c r="C512" s="7" t="str">
        <f t="shared" si="174"/>
        <v>普通財産</v>
      </c>
      <c r="D512" s="7" t="str">
        <f t="shared" si="175"/>
        <v>その他</v>
      </c>
      <c r="E512" s="7" t="str">
        <f t="shared" si="180"/>
        <v>大阪府堺市　西区築港新町４丁</v>
      </c>
      <c r="F512" s="7" t="str">
        <f t="shared" si="181"/>
        <v>４番－１</v>
      </c>
      <c r="G512" s="7" t="str">
        <f t="shared" si="156"/>
        <v>事業用資産</v>
      </c>
      <c r="H512" s="7" t="str">
        <f t="shared" si="157"/>
        <v>棚卸以外</v>
      </c>
      <c r="I512" s="7">
        <v>9</v>
      </c>
      <c r="J512" s="7" t="str">
        <f>"浸出水施設管理棟"</f>
        <v>浸出水施設管理棟</v>
      </c>
      <c r="K512" s="7" t="str">
        <f>"軽量鉄骨造"</f>
        <v>軽量鉄骨造</v>
      </c>
      <c r="L512" s="7" t="str">
        <f>"H06.02.01"</f>
        <v>H06.02.01</v>
      </c>
      <c r="M512" s="7">
        <v>84.18</v>
      </c>
      <c r="N512" s="7">
        <v>2512000</v>
      </c>
      <c r="O512" s="7">
        <v>1416534</v>
      </c>
      <c r="P512" s="7">
        <v>0</v>
      </c>
      <c r="Q512" s="7" t="str">
        <f t="shared" si="176"/>
        <v>環境農林水産部</v>
      </c>
      <c r="R512" s="7" t="str">
        <f t="shared" si="182"/>
        <v>循環型社会推進室</v>
      </c>
    </row>
    <row r="513" spans="1:18" s="1" customFormat="1" x14ac:dyDescent="0.45">
      <c r="A513" s="7" t="str">
        <f t="shared" si="178"/>
        <v>06158000042</v>
      </c>
      <c r="B513" s="7" t="str">
        <f t="shared" si="179"/>
        <v>堺第７－３区管理事務所</v>
      </c>
      <c r="C513" s="7" t="str">
        <f t="shared" si="174"/>
        <v>普通財産</v>
      </c>
      <c r="D513" s="7" t="str">
        <f t="shared" si="175"/>
        <v>その他</v>
      </c>
      <c r="E513" s="7" t="str">
        <f t="shared" si="180"/>
        <v>大阪府堺市　西区築港新町４丁</v>
      </c>
      <c r="F513" s="7" t="str">
        <f t="shared" si="181"/>
        <v>４番－１</v>
      </c>
      <c r="G513" s="7" t="str">
        <f t="shared" si="156"/>
        <v>事業用資産</v>
      </c>
      <c r="H513" s="7" t="str">
        <f t="shared" si="157"/>
        <v>棚卸以外</v>
      </c>
      <c r="I513" s="7">
        <v>11</v>
      </c>
      <c r="J513" s="7" t="str">
        <f>"堺第７－３区管理事務所管理棟（新）"</f>
        <v>堺第７－３区管理事務所管理棟（新）</v>
      </c>
      <c r="K513" s="7" t="str">
        <f>"木造"</f>
        <v>木造</v>
      </c>
      <c r="L513" s="7" t="str">
        <f>"H31.03.11"</f>
        <v>H31.03.11</v>
      </c>
      <c r="M513" s="7">
        <v>49.27</v>
      </c>
      <c r="N513" s="7">
        <v>19700000</v>
      </c>
      <c r="O513" s="7">
        <v>3283344</v>
      </c>
      <c r="P513" s="7">
        <v>0</v>
      </c>
      <c r="Q513" s="7" t="str">
        <f t="shared" si="176"/>
        <v>環境農林水産部</v>
      </c>
      <c r="R513" s="7" t="str">
        <f t="shared" si="182"/>
        <v>循環型社会推進室</v>
      </c>
    </row>
    <row r="514" spans="1:18" s="1" customFormat="1" x14ac:dyDescent="0.45">
      <c r="A514" s="7" t="str">
        <f t="shared" si="178"/>
        <v>06158000042</v>
      </c>
      <c r="B514" s="7" t="str">
        <f t="shared" si="179"/>
        <v>堺第７－３区管理事務所</v>
      </c>
      <c r="C514" s="7" t="str">
        <f t="shared" si="174"/>
        <v>普通財産</v>
      </c>
      <c r="D514" s="7" t="str">
        <f t="shared" si="175"/>
        <v>その他</v>
      </c>
      <c r="E514" s="7" t="str">
        <f t="shared" si="180"/>
        <v>大阪府堺市　西区築港新町４丁</v>
      </c>
      <c r="F514" s="7" t="str">
        <f t="shared" si="181"/>
        <v>４番－１</v>
      </c>
      <c r="G514" s="7" t="str">
        <f t="shared" si="156"/>
        <v>事業用資産</v>
      </c>
      <c r="H514" s="7" t="str">
        <f t="shared" si="157"/>
        <v>棚卸以外</v>
      </c>
      <c r="I514" s="7">
        <v>12</v>
      </c>
      <c r="J514" s="7" t="str">
        <f>"浸出水処理施設COD計建屋"</f>
        <v>浸出水処理施設COD計建屋</v>
      </c>
      <c r="K514" s="7" t="str">
        <f>"軽量鉄骨造"</f>
        <v>軽量鉄骨造</v>
      </c>
      <c r="L514" s="7" t="str">
        <f>"R02.03.27"</f>
        <v>R02.03.27</v>
      </c>
      <c r="M514" s="7">
        <v>6.1</v>
      </c>
      <c r="N514" s="7">
        <v>864096</v>
      </c>
      <c r="O514" s="7">
        <v>108036</v>
      </c>
      <c r="P514" s="7">
        <v>0</v>
      </c>
      <c r="Q514" s="7" t="str">
        <f t="shared" si="176"/>
        <v>環境農林水産部</v>
      </c>
      <c r="R514" s="7" t="str">
        <f t="shared" si="182"/>
        <v>循環型社会推進室</v>
      </c>
    </row>
    <row r="515" spans="1:18" s="1" customFormat="1" ht="26.4" x14ac:dyDescent="0.45">
      <c r="A515" s="7" t="str">
        <f>"06158001003"</f>
        <v>06158001003</v>
      </c>
      <c r="B515" s="7" t="str">
        <f>"みなと堺グリーンひろば"</f>
        <v>みなと堺グリーンひろば</v>
      </c>
      <c r="C515" s="7" t="str">
        <f t="shared" si="174"/>
        <v>普通財産</v>
      </c>
      <c r="D515" s="7" t="str">
        <f t="shared" si="175"/>
        <v>その他</v>
      </c>
      <c r="E515" s="7" t="str">
        <f>"大阪府堺市　西区築港新町３丁"</f>
        <v>大阪府堺市　西区築港新町３丁</v>
      </c>
      <c r="F515" s="7" t="str">
        <f>"５４番１"</f>
        <v>５４番１</v>
      </c>
      <c r="G515" s="7" t="str">
        <f t="shared" si="156"/>
        <v>事業用資産</v>
      </c>
      <c r="H515" s="7" t="str">
        <f t="shared" si="157"/>
        <v>棚卸以外</v>
      </c>
      <c r="I515" s="7">
        <v>2</v>
      </c>
      <c r="J515" s="7" t="str">
        <f>"みなと堺グリーンひろばトイレ（Cポンド南西側）"</f>
        <v>みなと堺グリーンひろばトイレ（Cポンド南西側）</v>
      </c>
      <c r="K515" s="7" t="str">
        <f>"コンクリートブロック造"</f>
        <v>コンクリートブロック造</v>
      </c>
      <c r="L515" s="7" t="str">
        <f>"H02.03.31"</f>
        <v>H02.03.31</v>
      </c>
      <c r="M515" s="7">
        <v>10.81</v>
      </c>
      <c r="N515" s="7">
        <v>337000</v>
      </c>
      <c r="O515" s="7">
        <v>188328</v>
      </c>
      <c r="P515" s="7">
        <v>0</v>
      </c>
      <c r="Q515" s="7" t="str">
        <f t="shared" si="176"/>
        <v>環境農林水産部</v>
      </c>
      <c r="R515" s="7" t="str">
        <f t="shared" si="182"/>
        <v>循環型社会推進室</v>
      </c>
    </row>
    <row r="516" spans="1:18" s="1" customFormat="1" x14ac:dyDescent="0.45">
      <c r="A516" s="7" t="str">
        <f t="shared" ref="A516:A537" si="183">"06161001006"</f>
        <v>06161001006</v>
      </c>
      <c r="B516" s="7" t="str">
        <f t="shared" ref="B516:B537" si="184">"大阪府立花の文化園"</f>
        <v>大阪府立花の文化園</v>
      </c>
      <c r="C516" s="7" t="str">
        <f t="shared" ref="C516:C542" si="185">"行政財産"</f>
        <v>行政財産</v>
      </c>
      <c r="D516" s="7" t="str">
        <f t="shared" ref="D516:D542" si="186">"その他（公共用）の施設"</f>
        <v>その他（公共用）の施設</v>
      </c>
      <c r="E516" s="7" t="str">
        <f t="shared" ref="E516:E537" si="187">"大阪府河内長野市高向"</f>
        <v>大阪府河内長野市高向</v>
      </c>
      <c r="F516" s="7"/>
      <c r="G516" s="7" t="str">
        <f t="shared" ref="G516:G550" si="188">"事業用資産"</f>
        <v>事業用資産</v>
      </c>
      <c r="H516" s="7" t="str">
        <f t="shared" ref="H516:H579" si="189">"棚卸以外"</f>
        <v>棚卸以外</v>
      </c>
      <c r="I516" s="7">
        <v>20</v>
      </c>
      <c r="J516" s="7" t="str">
        <f>"大温室"</f>
        <v>大温室</v>
      </c>
      <c r="K516" s="7" t="str">
        <f>"鉄筋コンクリート造"</f>
        <v>鉄筋コンクリート造</v>
      </c>
      <c r="L516" s="7" t="str">
        <f t="shared" ref="L516:L530" si="190">"H02.09.25"</f>
        <v>H02.09.25</v>
      </c>
      <c r="M516" s="7">
        <v>2058.83</v>
      </c>
      <c r="N516" s="7">
        <v>725174639</v>
      </c>
      <c r="O516" s="7">
        <v>615456156</v>
      </c>
      <c r="P516" s="7">
        <v>0</v>
      </c>
      <c r="Q516" s="7" t="str">
        <f t="shared" si="176"/>
        <v>環境農林水産部</v>
      </c>
      <c r="R516" s="7" t="str">
        <f t="shared" ref="R516:R542" si="191">"農政室"</f>
        <v>農政室</v>
      </c>
    </row>
    <row r="517" spans="1:18" s="1" customFormat="1" x14ac:dyDescent="0.45">
      <c r="A517" s="7" t="str">
        <f t="shared" si="183"/>
        <v>06161001006</v>
      </c>
      <c r="B517" s="7" t="str">
        <f t="shared" si="184"/>
        <v>大阪府立花の文化園</v>
      </c>
      <c r="C517" s="7" t="str">
        <f t="shared" si="185"/>
        <v>行政財産</v>
      </c>
      <c r="D517" s="7" t="str">
        <f t="shared" si="186"/>
        <v>その他（公共用）の施設</v>
      </c>
      <c r="E517" s="7" t="str">
        <f t="shared" si="187"/>
        <v>大阪府河内長野市高向</v>
      </c>
      <c r="F517" s="7"/>
      <c r="G517" s="7" t="str">
        <f t="shared" si="188"/>
        <v>事業用資産</v>
      </c>
      <c r="H517" s="7" t="str">
        <f t="shared" si="189"/>
        <v>棚卸以外</v>
      </c>
      <c r="I517" s="7">
        <v>21</v>
      </c>
      <c r="J517" s="7" t="str">
        <f>"センター棟・イベントホール"</f>
        <v>センター棟・イベントホール</v>
      </c>
      <c r="K517" s="7" t="str">
        <f>"鉄筋コンクリート造"</f>
        <v>鉄筋コンクリート造</v>
      </c>
      <c r="L517" s="7" t="str">
        <f t="shared" si="190"/>
        <v>H02.09.25</v>
      </c>
      <c r="M517" s="7">
        <v>1158.49</v>
      </c>
      <c r="N517" s="7">
        <v>329296121</v>
      </c>
      <c r="O517" s="7">
        <v>203569142</v>
      </c>
      <c r="P517" s="7">
        <v>0</v>
      </c>
      <c r="Q517" s="7" t="str">
        <f t="shared" si="176"/>
        <v>環境農林水産部</v>
      </c>
      <c r="R517" s="7" t="str">
        <f t="shared" si="191"/>
        <v>農政室</v>
      </c>
    </row>
    <row r="518" spans="1:18" s="1" customFormat="1" x14ac:dyDescent="0.45">
      <c r="A518" s="7" t="str">
        <f t="shared" si="183"/>
        <v>06161001006</v>
      </c>
      <c r="B518" s="7" t="str">
        <f t="shared" si="184"/>
        <v>大阪府立花の文化園</v>
      </c>
      <c r="C518" s="7" t="str">
        <f t="shared" si="185"/>
        <v>行政財産</v>
      </c>
      <c r="D518" s="7" t="str">
        <f t="shared" si="186"/>
        <v>その他（公共用）の施設</v>
      </c>
      <c r="E518" s="7" t="str">
        <f t="shared" si="187"/>
        <v>大阪府河内長野市高向</v>
      </c>
      <c r="F518" s="7"/>
      <c r="G518" s="7" t="str">
        <f t="shared" si="188"/>
        <v>事業用資産</v>
      </c>
      <c r="H518" s="7" t="str">
        <f t="shared" si="189"/>
        <v>棚卸以外</v>
      </c>
      <c r="I518" s="7">
        <v>22</v>
      </c>
      <c r="J518" s="7" t="str">
        <f>"休憩室（イベント広場）"</f>
        <v>休憩室（イベント広場）</v>
      </c>
      <c r="K518" s="7" t="str">
        <f>"鉄筋コンクリート造"</f>
        <v>鉄筋コンクリート造</v>
      </c>
      <c r="L518" s="7" t="str">
        <f t="shared" si="190"/>
        <v>H02.09.25</v>
      </c>
      <c r="M518" s="7">
        <v>52.5</v>
      </c>
      <c r="N518" s="7">
        <v>23203000</v>
      </c>
      <c r="O518" s="7">
        <v>14980910</v>
      </c>
      <c r="P518" s="7">
        <v>0</v>
      </c>
      <c r="Q518" s="7" t="str">
        <f t="shared" si="176"/>
        <v>環境農林水産部</v>
      </c>
      <c r="R518" s="7" t="str">
        <f t="shared" si="191"/>
        <v>農政室</v>
      </c>
    </row>
    <row r="519" spans="1:18" s="1" customFormat="1" x14ac:dyDescent="0.45">
      <c r="A519" s="7" t="str">
        <f t="shared" si="183"/>
        <v>06161001006</v>
      </c>
      <c r="B519" s="7" t="str">
        <f t="shared" si="184"/>
        <v>大阪府立花の文化園</v>
      </c>
      <c r="C519" s="7" t="str">
        <f t="shared" si="185"/>
        <v>行政財産</v>
      </c>
      <c r="D519" s="7" t="str">
        <f t="shared" si="186"/>
        <v>その他（公共用）の施設</v>
      </c>
      <c r="E519" s="7" t="str">
        <f t="shared" si="187"/>
        <v>大阪府河内長野市高向</v>
      </c>
      <c r="F519" s="7"/>
      <c r="G519" s="7" t="str">
        <f t="shared" si="188"/>
        <v>事業用資産</v>
      </c>
      <c r="H519" s="7" t="str">
        <f t="shared" si="189"/>
        <v>棚卸以外</v>
      </c>
      <c r="I519" s="7">
        <v>23</v>
      </c>
      <c r="J519" s="7" t="str">
        <f>"レストラン"</f>
        <v>レストラン</v>
      </c>
      <c r="K519" s="7" t="str">
        <f>"鉄筋コンクリート造"</f>
        <v>鉄筋コンクリート造</v>
      </c>
      <c r="L519" s="7" t="str">
        <f t="shared" si="190"/>
        <v>H02.09.25</v>
      </c>
      <c r="M519" s="7">
        <v>210</v>
      </c>
      <c r="N519" s="7">
        <v>82995540</v>
      </c>
      <c r="O519" s="7">
        <v>55548963</v>
      </c>
      <c r="P519" s="7">
        <v>0</v>
      </c>
      <c r="Q519" s="7" t="str">
        <f t="shared" si="176"/>
        <v>環境農林水産部</v>
      </c>
      <c r="R519" s="7" t="str">
        <f t="shared" si="191"/>
        <v>農政室</v>
      </c>
    </row>
    <row r="520" spans="1:18" s="1" customFormat="1" x14ac:dyDescent="0.45">
      <c r="A520" s="7" t="str">
        <f t="shared" si="183"/>
        <v>06161001006</v>
      </c>
      <c r="B520" s="7" t="str">
        <f t="shared" si="184"/>
        <v>大阪府立花の文化園</v>
      </c>
      <c r="C520" s="7" t="str">
        <f t="shared" si="185"/>
        <v>行政財産</v>
      </c>
      <c r="D520" s="7" t="str">
        <f t="shared" si="186"/>
        <v>その他（公共用）の施設</v>
      </c>
      <c r="E520" s="7" t="str">
        <f t="shared" si="187"/>
        <v>大阪府河内長野市高向</v>
      </c>
      <c r="F520" s="7"/>
      <c r="G520" s="7" t="str">
        <f t="shared" si="188"/>
        <v>事業用資産</v>
      </c>
      <c r="H520" s="7" t="str">
        <f t="shared" si="189"/>
        <v>棚卸以外</v>
      </c>
      <c r="I520" s="7">
        <v>24</v>
      </c>
      <c r="J520" s="7" t="str">
        <f>"エントランスゲート"</f>
        <v>エントランスゲート</v>
      </c>
      <c r="K520" s="7" t="str">
        <f>"鉄筋コンクリート造"</f>
        <v>鉄筋コンクリート造</v>
      </c>
      <c r="L520" s="7" t="str">
        <f t="shared" si="190"/>
        <v>H02.09.25</v>
      </c>
      <c r="M520" s="7">
        <v>181.83</v>
      </c>
      <c r="N520" s="7">
        <v>70981074</v>
      </c>
      <c r="O520" s="7">
        <v>43540856</v>
      </c>
      <c r="P520" s="7">
        <v>0</v>
      </c>
      <c r="Q520" s="7" t="str">
        <f t="shared" si="176"/>
        <v>環境農林水産部</v>
      </c>
      <c r="R520" s="7" t="str">
        <f t="shared" si="191"/>
        <v>農政室</v>
      </c>
    </row>
    <row r="521" spans="1:18" s="1" customFormat="1" x14ac:dyDescent="0.45">
      <c r="A521" s="7" t="str">
        <f t="shared" si="183"/>
        <v>06161001006</v>
      </c>
      <c r="B521" s="7" t="str">
        <f t="shared" si="184"/>
        <v>大阪府立花の文化園</v>
      </c>
      <c r="C521" s="7" t="str">
        <f t="shared" si="185"/>
        <v>行政財産</v>
      </c>
      <c r="D521" s="7" t="str">
        <f t="shared" si="186"/>
        <v>その他（公共用）の施設</v>
      </c>
      <c r="E521" s="7" t="str">
        <f t="shared" si="187"/>
        <v>大阪府河内長野市高向</v>
      </c>
      <c r="F521" s="7"/>
      <c r="G521" s="7" t="str">
        <f t="shared" si="188"/>
        <v>事業用資産</v>
      </c>
      <c r="H521" s="7" t="str">
        <f t="shared" si="189"/>
        <v>棚卸以外</v>
      </c>
      <c r="I521" s="7">
        <v>25</v>
      </c>
      <c r="J521" s="7" t="str">
        <f>"花の工房"</f>
        <v>花の工房</v>
      </c>
      <c r="K521" s="7" t="str">
        <f>"木造"</f>
        <v>木造</v>
      </c>
      <c r="L521" s="7" t="str">
        <f t="shared" si="190"/>
        <v>H02.09.25</v>
      </c>
      <c r="M521" s="7">
        <v>356.8</v>
      </c>
      <c r="N521" s="7">
        <v>108284279</v>
      </c>
      <c r="O521" s="7">
        <v>104967830</v>
      </c>
      <c r="P521" s="7">
        <v>0</v>
      </c>
      <c r="Q521" s="7" t="str">
        <f t="shared" si="176"/>
        <v>環境農林水産部</v>
      </c>
      <c r="R521" s="7" t="str">
        <f t="shared" si="191"/>
        <v>農政室</v>
      </c>
    </row>
    <row r="522" spans="1:18" s="1" customFormat="1" x14ac:dyDescent="0.45">
      <c r="A522" s="7" t="str">
        <f t="shared" si="183"/>
        <v>06161001006</v>
      </c>
      <c r="B522" s="7" t="str">
        <f t="shared" si="184"/>
        <v>大阪府立花の文化園</v>
      </c>
      <c r="C522" s="7" t="str">
        <f t="shared" si="185"/>
        <v>行政財産</v>
      </c>
      <c r="D522" s="7" t="str">
        <f t="shared" si="186"/>
        <v>その他（公共用）の施設</v>
      </c>
      <c r="E522" s="7" t="str">
        <f t="shared" si="187"/>
        <v>大阪府河内長野市高向</v>
      </c>
      <c r="F522" s="7"/>
      <c r="G522" s="7" t="str">
        <f t="shared" si="188"/>
        <v>事業用資産</v>
      </c>
      <c r="H522" s="7" t="str">
        <f t="shared" si="189"/>
        <v>棚卸以外</v>
      </c>
      <c r="I522" s="7">
        <v>26</v>
      </c>
      <c r="J522" s="7" t="str">
        <f>"休憩舎（北）"</f>
        <v>休憩舎（北）</v>
      </c>
      <c r="K522" s="7" t="str">
        <f>"木造"</f>
        <v>木造</v>
      </c>
      <c r="L522" s="7" t="str">
        <f t="shared" si="190"/>
        <v>H02.09.25</v>
      </c>
      <c r="M522" s="7">
        <v>25</v>
      </c>
      <c r="N522" s="7">
        <v>3666000</v>
      </c>
      <c r="O522" s="7">
        <v>3665999</v>
      </c>
      <c r="P522" s="7">
        <v>0</v>
      </c>
      <c r="Q522" s="7" t="str">
        <f t="shared" si="176"/>
        <v>環境農林水産部</v>
      </c>
      <c r="R522" s="7" t="str">
        <f t="shared" si="191"/>
        <v>農政室</v>
      </c>
    </row>
    <row r="523" spans="1:18" s="1" customFormat="1" x14ac:dyDescent="0.45">
      <c r="A523" s="7" t="str">
        <f t="shared" si="183"/>
        <v>06161001006</v>
      </c>
      <c r="B523" s="7" t="str">
        <f t="shared" si="184"/>
        <v>大阪府立花の文化園</v>
      </c>
      <c r="C523" s="7" t="str">
        <f t="shared" si="185"/>
        <v>行政財産</v>
      </c>
      <c r="D523" s="7" t="str">
        <f t="shared" si="186"/>
        <v>その他（公共用）の施設</v>
      </c>
      <c r="E523" s="7" t="str">
        <f t="shared" si="187"/>
        <v>大阪府河内長野市高向</v>
      </c>
      <c r="F523" s="7"/>
      <c r="G523" s="7" t="str">
        <f t="shared" si="188"/>
        <v>事業用資産</v>
      </c>
      <c r="H523" s="7" t="str">
        <f t="shared" si="189"/>
        <v>棚卸以外</v>
      </c>
      <c r="I523" s="7">
        <v>27</v>
      </c>
      <c r="J523" s="7" t="str">
        <f>"屋外便所（北）"</f>
        <v>屋外便所（北）</v>
      </c>
      <c r="K523" s="7" t="str">
        <f>"鉄筋コンクリート造"</f>
        <v>鉄筋コンクリート造</v>
      </c>
      <c r="L523" s="7" t="str">
        <f t="shared" si="190"/>
        <v>H02.09.25</v>
      </c>
      <c r="M523" s="7">
        <v>29.75</v>
      </c>
      <c r="N523" s="7">
        <v>9807000</v>
      </c>
      <c r="O523" s="7">
        <v>8387730</v>
      </c>
      <c r="P523" s="7">
        <v>0</v>
      </c>
      <c r="Q523" s="7" t="str">
        <f t="shared" si="176"/>
        <v>環境農林水産部</v>
      </c>
      <c r="R523" s="7" t="str">
        <f t="shared" si="191"/>
        <v>農政室</v>
      </c>
    </row>
    <row r="524" spans="1:18" s="1" customFormat="1" x14ac:dyDescent="0.45">
      <c r="A524" s="7" t="str">
        <f t="shared" si="183"/>
        <v>06161001006</v>
      </c>
      <c r="B524" s="7" t="str">
        <f t="shared" si="184"/>
        <v>大阪府立花の文化園</v>
      </c>
      <c r="C524" s="7" t="str">
        <f t="shared" si="185"/>
        <v>行政財産</v>
      </c>
      <c r="D524" s="7" t="str">
        <f t="shared" si="186"/>
        <v>その他（公共用）の施設</v>
      </c>
      <c r="E524" s="7" t="str">
        <f t="shared" si="187"/>
        <v>大阪府河内長野市高向</v>
      </c>
      <c r="F524" s="7"/>
      <c r="G524" s="7" t="str">
        <f t="shared" si="188"/>
        <v>事業用資産</v>
      </c>
      <c r="H524" s="7" t="str">
        <f t="shared" si="189"/>
        <v>棚卸以外</v>
      </c>
      <c r="I524" s="7">
        <v>28</v>
      </c>
      <c r="J524" s="7" t="str">
        <f>"車庫"</f>
        <v>車庫</v>
      </c>
      <c r="K524" s="7" t="str">
        <f>"鉄骨造"</f>
        <v>鉄骨造</v>
      </c>
      <c r="L524" s="7" t="str">
        <f t="shared" si="190"/>
        <v>H02.09.25</v>
      </c>
      <c r="M524" s="7">
        <v>291.93</v>
      </c>
      <c r="N524" s="7">
        <v>45034000</v>
      </c>
      <c r="O524" s="7">
        <v>45033999</v>
      </c>
      <c r="P524" s="7">
        <v>0</v>
      </c>
      <c r="Q524" s="7" t="str">
        <f t="shared" si="176"/>
        <v>環境農林水産部</v>
      </c>
      <c r="R524" s="7" t="str">
        <f t="shared" si="191"/>
        <v>農政室</v>
      </c>
    </row>
    <row r="525" spans="1:18" s="1" customFormat="1" x14ac:dyDescent="0.45">
      <c r="A525" s="7" t="str">
        <f t="shared" si="183"/>
        <v>06161001006</v>
      </c>
      <c r="B525" s="7" t="str">
        <f t="shared" si="184"/>
        <v>大阪府立花の文化園</v>
      </c>
      <c r="C525" s="7" t="str">
        <f t="shared" si="185"/>
        <v>行政財産</v>
      </c>
      <c r="D525" s="7" t="str">
        <f t="shared" si="186"/>
        <v>その他（公共用）の施設</v>
      </c>
      <c r="E525" s="7" t="str">
        <f t="shared" si="187"/>
        <v>大阪府河内長野市高向</v>
      </c>
      <c r="F525" s="7"/>
      <c r="G525" s="7" t="str">
        <f t="shared" si="188"/>
        <v>事業用資産</v>
      </c>
      <c r="H525" s="7" t="str">
        <f t="shared" si="189"/>
        <v>棚卸以外</v>
      </c>
      <c r="I525" s="7">
        <v>29</v>
      </c>
      <c r="J525" s="7" t="str">
        <f>"井水ポンプ室"</f>
        <v>井水ポンプ室</v>
      </c>
      <c r="K525" s="7" t="str">
        <f>"コンクリートブロック造"</f>
        <v>コンクリートブロック造</v>
      </c>
      <c r="L525" s="7" t="str">
        <f t="shared" si="190"/>
        <v>H02.09.25</v>
      </c>
      <c r="M525" s="7">
        <v>22.8</v>
      </c>
      <c r="N525" s="7">
        <v>25783000</v>
      </c>
      <c r="O525" s="7">
        <v>24645660</v>
      </c>
      <c r="P525" s="7">
        <v>0</v>
      </c>
      <c r="Q525" s="7" t="str">
        <f t="shared" si="176"/>
        <v>環境農林水産部</v>
      </c>
      <c r="R525" s="7" t="str">
        <f t="shared" si="191"/>
        <v>農政室</v>
      </c>
    </row>
    <row r="526" spans="1:18" s="1" customFormat="1" x14ac:dyDescent="0.45">
      <c r="A526" s="7" t="str">
        <f t="shared" si="183"/>
        <v>06161001006</v>
      </c>
      <c r="B526" s="7" t="str">
        <f t="shared" si="184"/>
        <v>大阪府立花の文化園</v>
      </c>
      <c r="C526" s="7" t="str">
        <f t="shared" si="185"/>
        <v>行政財産</v>
      </c>
      <c r="D526" s="7" t="str">
        <f t="shared" si="186"/>
        <v>その他（公共用）の施設</v>
      </c>
      <c r="E526" s="7" t="str">
        <f t="shared" si="187"/>
        <v>大阪府河内長野市高向</v>
      </c>
      <c r="F526" s="7"/>
      <c r="G526" s="7" t="str">
        <f t="shared" si="188"/>
        <v>事業用資産</v>
      </c>
      <c r="H526" s="7" t="str">
        <f t="shared" si="189"/>
        <v>棚卸以外</v>
      </c>
      <c r="I526" s="7">
        <v>30</v>
      </c>
      <c r="J526" s="7" t="str">
        <f>"ゴミ置場・倉庫"</f>
        <v>ゴミ置場・倉庫</v>
      </c>
      <c r="K526" s="7" t="str">
        <f>"コンクリートブロック造"</f>
        <v>コンクリートブロック造</v>
      </c>
      <c r="L526" s="7" t="str">
        <f t="shared" si="190"/>
        <v>H02.09.25</v>
      </c>
      <c r="M526" s="7">
        <v>27</v>
      </c>
      <c r="N526" s="7">
        <v>3943000</v>
      </c>
      <c r="O526" s="7">
        <v>3769350</v>
      </c>
      <c r="P526" s="7">
        <v>0</v>
      </c>
      <c r="Q526" s="7" t="str">
        <f t="shared" si="176"/>
        <v>環境農林水産部</v>
      </c>
      <c r="R526" s="7" t="str">
        <f t="shared" si="191"/>
        <v>農政室</v>
      </c>
    </row>
    <row r="527" spans="1:18" s="1" customFormat="1" x14ac:dyDescent="0.45">
      <c r="A527" s="7" t="str">
        <f t="shared" si="183"/>
        <v>06161001006</v>
      </c>
      <c r="B527" s="7" t="str">
        <f t="shared" si="184"/>
        <v>大阪府立花の文化園</v>
      </c>
      <c r="C527" s="7" t="str">
        <f t="shared" si="185"/>
        <v>行政財産</v>
      </c>
      <c r="D527" s="7" t="str">
        <f t="shared" si="186"/>
        <v>その他（公共用）の施設</v>
      </c>
      <c r="E527" s="7" t="str">
        <f t="shared" si="187"/>
        <v>大阪府河内長野市高向</v>
      </c>
      <c r="F527" s="7"/>
      <c r="G527" s="7" t="str">
        <f t="shared" si="188"/>
        <v>事業用資産</v>
      </c>
      <c r="H527" s="7" t="str">
        <f t="shared" si="189"/>
        <v>棚卸以外</v>
      </c>
      <c r="I527" s="7">
        <v>31</v>
      </c>
      <c r="J527" s="7" t="str">
        <f>"バック温室１号"</f>
        <v>バック温室１号</v>
      </c>
      <c r="K527" s="7" t="str">
        <f>"鉄骨造"</f>
        <v>鉄骨造</v>
      </c>
      <c r="L527" s="7" t="str">
        <f t="shared" si="190"/>
        <v>H02.09.25</v>
      </c>
      <c r="M527" s="7">
        <v>198.45</v>
      </c>
      <c r="N527" s="7">
        <v>23445000</v>
      </c>
      <c r="O527" s="7">
        <v>23444999</v>
      </c>
      <c r="P527" s="7">
        <v>0</v>
      </c>
      <c r="Q527" s="7" t="str">
        <f t="shared" si="176"/>
        <v>環境農林水産部</v>
      </c>
      <c r="R527" s="7" t="str">
        <f t="shared" si="191"/>
        <v>農政室</v>
      </c>
    </row>
    <row r="528" spans="1:18" s="1" customFormat="1" x14ac:dyDescent="0.45">
      <c r="A528" s="7" t="str">
        <f t="shared" si="183"/>
        <v>06161001006</v>
      </c>
      <c r="B528" s="7" t="str">
        <f t="shared" si="184"/>
        <v>大阪府立花の文化園</v>
      </c>
      <c r="C528" s="7" t="str">
        <f t="shared" si="185"/>
        <v>行政財産</v>
      </c>
      <c r="D528" s="7" t="str">
        <f t="shared" si="186"/>
        <v>その他（公共用）の施設</v>
      </c>
      <c r="E528" s="7" t="str">
        <f t="shared" si="187"/>
        <v>大阪府河内長野市高向</v>
      </c>
      <c r="F528" s="7"/>
      <c r="G528" s="7" t="str">
        <f t="shared" si="188"/>
        <v>事業用資産</v>
      </c>
      <c r="H528" s="7" t="str">
        <f t="shared" si="189"/>
        <v>棚卸以外</v>
      </c>
      <c r="I528" s="7">
        <v>32</v>
      </c>
      <c r="J528" s="7" t="str">
        <f>"バック温室２号"</f>
        <v>バック温室２号</v>
      </c>
      <c r="K528" s="7" t="str">
        <f>"鉄骨造"</f>
        <v>鉄骨造</v>
      </c>
      <c r="L528" s="7" t="str">
        <f t="shared" si="190"/>
        <v>H02.09.25</v>
      </c>
      <c r="M528" s="7">
        <v>396.9</v>
      </c>
      <c r="N528" s="7">
        <v>31011000</v>
      </c>
      <c r="O528" s="7">
        <v>31010999</v>
      </c>
      <c r="P528" s="7">
        <v>0</v>
      </c>
      <c r="Q528" s="7" t="str">
        <f t="shared" si="176"/>
        <v>環境農林水産部</v>
      </c>
      <c r="R528" s="7" t="str">
        <f t="shared" si="191"/>
        <v>農政室</v>
      </c>
    </row>
    <row r="529" spans="1:18" s="1" customFormat="1" x14ac:dyDescent="0.45">
      <c r="A529" s="7" t="str">
        <f t="shared" si="183"/>
        <v>06161001006</v>
      </c>
      <c r="B529" s="7" t="str">
        <f t="shared" si="184"/>
        <v>大阪府立花の文化園</v>
      </c>
      <c r="C529" s="7" t="str">
        <f t="shared" si="185"/>
        <v>行政財産</v>
      </c>
      <c r="D529" s="7" t="str">
        <f t="shared" si="186"/>
        <v>その他（公共用）の施設</v>
      </c>
      <c r="E529" s="7" t="str">
        <f t="shared" si="187"/>
        <v>大阪府河内長野市高向</v>
      </c>
      <c r="F529" s="7"/>
      <c r="G529" s="7" t="str">
        <f t="shared" si="188"/>
        <v>事業用資産</v>
      </c>
      <c r="H529" s="7" t="str">
        <f t="shared" si="189"/>
        <v>棚卸以外</v>
      </c>
      <c r="I529" s="7">
        <v>33</v>
      </c>
      <c r="J529" s="7" t="str">
        <f>"バック温室３号"</f>
        <v>バック温室３号</v>
      </c>
      <c r="K529" s="7" t="str">
        <f>"鉄骨造"</f>
        <v>鉄骨造</v>
      </c>
      <c r="L529" s="7" t="str">
        <f t="shared" si="190"/>
        <v>H02.09.25</v>
      </c>
      <c r="M529" s="7">
        <v>396.9</v>
      </c>
      <c r="N529" s="7">
        <v>31011000</v>
      </c>
      <c r="O529" s="7">
        <v>31010999</v>
      </c>
      <c r="P529" s="7">
        <v>0</v>
      </c>
      <c r="Q529" s="7" t="str">
        <f t="shared" si="176"/>
        <v>環境農林水産部</v>
      </c>
      <c r="R529" s="7" t="str">
        <f t="shared" si="191"/>
        <v>農政室</v>
      </c>
    </row>
    <row r="530" spans="1:18" s="1" customFormat="1" x14ac:dyDescent="0.45">
      <c r="A530" s="7" t="str">
        <f t="shared" si="183"/>
        <v>06161001006</v>
      </c>
      <c r="B530" s="7" t="str">
        <f t="shared" si="184"/>
        <v>大阪府立花の文化園</v>
      </c>
      <c r="C530" s="7" t="str">
        <f t="shared" si="185"/>
        <v>行政財産</v>
      </c>
      <c r="D530" s="7" t="str">
        <f t="shared" si="186"/>
        <v>その他（公共用）の施設</v>
      </c>
      <c r="E530" s="7" t="str">
        <f t="shared" si="187"/>
        <v>大阪府河内長野市高向</v>
      </c>
      <c r="F530" s="7"/>
      <c r="G530" s="7" t="str">
        <f t="shared" si="188"/>
        <v>事業用資産</v>
      </c>
      <c r="H530" s="7" t="str">
        <f t="shared" si="189"/>
        <v>棚卸以外</v>
      </c>
      <c r="I530" s="7">
        <v>34</v>
      </c>
      <c r="J530" s="7" t="str">
        <f>"汚水処理場"</f>
        <v>汚水処理場</v>
      </c>
      <c r="K530" s="7" t="str">
        <f>"鉄筋コンクリート造"</f>
        <v>鉄筋コンクリート造</v>
      </c>
      <c r="L530" s="7" t="str">
        <f t="shared" si="190"/>
        <v>H02.09.25</v>
      </c>
      <c r="M530" s="7">
        <v>145.53</v>
      </c>
      <c r="N530" s="7">
        <v>112487000</v>
      </c>
      <c r="O530" s="7">
        <v>96206370</v>
      </c>
      <c r="P530" s="7">
        <v>0</v>
      </c>
      <c r="Q530" s="7" t="str">
        <f t="shared" si="176"/>
        <v>環境農林水産部</v>
      </c>
      <c r="R530" s="7" t="str">
        <f t="shared" si="191"/>
        <v>農政室</v>
      </c>
    </row>
    <row r="531" spans="1:18" s="1" customFormat="1" x14ac:dyDescent="0.45">
      <c r="A531" s="7" t="str">
        <f t="shared" si="183"/>
        <v>06161001006</v>
      </c>
      <c r="B531" s="7" t="str">
        <f t="shared" si="184"/>
        <v>大阪府立花の文化園</v>
      </c>
      <c r="C531" s="7" t="str">
        <f t="shared" si="185"/>
        <v>行政財産</v>
      </c>
      <c r="D531" s="7" t="str">
        <f t="shared" si="186"/>
        <v>その他（公共用）の施設</v>
      </c>
      <c r="E531" s="7" t="str">
        <f t="shared" si="187"/>
        <v>大阪府河内長野市高向</v>
      </c>
      <c r="F531" s="7"/>
      <c r="G531" s="7" t="str">
        <f t="shared" si="188"/>
        <v>事業用資産</v>
      </c>
      <c r="H531" s="7" t="str">
        <f t="shared" si="189"/>
        <v>棚卸以外</v>
      </c>
      <c r="I531" s="7">
        <v>35</v>
      </c>
      <c r="J531" s="7" t="str">
        <f>"屋外便所（南）"</f>
        <v>屋外便所（南）</v>
      </c>
      <c r="K531" s="7" t="str">
        <f>"鉄筋コンクリート造"</f>
        <v>鉄筋コンクリート造</v>
      </c>
      <c r="L531" s="7" t="str">
        <f>"H03.06.13"</f>
        <v>H03.06.13</v>
      </c>
      <c r="M531" s="7">
        <v>38.520000000000003</v>
      </c>
      <c r="N531" s="7">
        <v>17118000</v>
      </c>
      <c r="O531" s="7">
        <v>14302740</v>
      </c>
      <c r="P531" s="7">
        <v>0</v>
      </c>
      <c r="Q531" s="7" t="str">
        <f t="shared" si="176"/>
        <v>環境農林水産部</v>
      </c>
      <c r="R531" s="7" t="str">
        <f t="shared" si="191"/>
        <v>農政室</v>
      </c>
    </row>
    <row r="532" spans="1:18" s="1" customFormat="1" x14ac:dyDescent="0.45">
      <c r="A532" s="7" t="str">
        <f t="shared" si="183"/>
        <v>06161001006</v>
      </c>
      <c r="B532" s="7" t="str">
        <f t="shared" si="184"/>
        <v>大阪府立花の文化園</v>
      </c>
      <c r="C532" s="7" t="str">
        <f t="shared" si="185"/>
        <v>行政財産</v>
      </c>
      <c r="D532" s="7" t="str">
        <f t="shared" si="186"/>
        <v>その他（公共用）の施設</v>
      </c>
      <c r="E532" s="7" t="str">
        <f t="shared" si="187"/>
        <v>大阪府河内長野市高向</v>
      </c>
      <c r="F532" s="7"/>
      <c r="G532" s="7" t="str">
        <f t="shared" si="188"/>
        <v>事業用資産</v>
      </c>
      <c r="H532" s="7" t="str">
        <f t="shared" si="189"/>
        <v>棚卸以外</v>
      </c>
      <c r="I532" s="7">
        <v>36</v>
      </c>
      <c r="J532" s="7" t="str">
        <f>"休憩舎（野草園）"</f>
        <v>休憩舎（野草園）</v>
      </c>
      <c r="K532" s="7" t="str">
        <f>"鉄筋コンクリート造"</f>
        <v>鉄筋コンクリート造</v>
      </c>
      <c r="L532" s="7" t="str">
        <f>"H03.06.13"</f>
        <v>H03.06.13</v>
      </c>
      <c r="M532" s="7">
        <v>12.56</v>
      </c>
      <c r="N532" s="7">
        <v>5062000</v>
      </c>
      <c r="O532" s="7">
        <v>3214497</v>
      </c>
      <c r="P532" s="7">
        <v>0</v>
      </c>
      <c r="Q532" s="7" t="str">
        <f t="shared" si="176"/>
        <v>環境農林水産部</v>
      </c>
      <c r="R532" s="7" t="str">
        <f t="shared" si="191"/>
        <v>農政室</v>
      </c>
    </row>
    <row r="533" spans="1:18" s="1" customFormat="1" x14ac:dyDescent="0.45">
      <c r="A533" s="7" t="str">
        <f t="shared" si="183"/>
        <v>06161001006</v>
      </c>
      <c r="B533" s="7" t="str">
        <f t="shared" si="184"/>
        <v>大阪府立花の文化園</v>
      </c>
      <c r="C533" s="7" t="str">
        <f t="shared" si="185"/>
        <v>行政財産</v>
      </c>
      <c r="D533" s="7" t="str">
        <f t="shared" si="186"/>
        <v>その他（公共用）の施設</v>
      </c>
      <c r="E533" s="7" t="str">
        <f t="shared" si="187"/>
        <v>大阪府河内長野市高向</v>
      </c>
      <c r="F533" s="7"/>
      <c r="G533" s="7" t="str">
        <f t="shared" si="188"/>
        <v>事業用資産</v>
      </c>
      <c r="H533" s="7" t="str">
        <f t="shared" si="189"/>
        <v>棚卸以外</v>
      </c>
      <c r="I533" s="7">
        <v>37</v>
      </c>
      <c r="J533" s="7" t="str">
        <f>"休憩舎（南）"</f>
        <v>休憩舎（南）</v>
      </c>
      <c r="K533" s="7" t="str">
        <f>"木造"</f>
        <v>木造</v>
      </c>
      <c r="L533" s="7" t="str">
        <f>"H03.06.13"</f>
        <v>H03.06.13</v>
      </c>
      <c r="M533" s="7">
        <v>25</v>
      </c>
      <c r="N533" s="7">
        <v>5040000</v>
      </c>
      <c r="O533" s="7">
        <v>5039999</v>
      </c>
      <c r="P533" s="7">
        <v>0</v>
      </c>
      <c r="Q533" s="7" t="str">
        <f t="shared" si="176"/>
        <v>環境農林水産部</v>
      </c>
      <c r="R533" s="7" t="str">
        <f t="shared" si="191"/>
        <v>農政室</v>
      </c>
    </row>
    <row r="534" spans="1:18" s="1" customFormat="1" x14ac:dyDescent="0.45">
      <c r="A534" s="7" t="str">
        <f t="shared" si="183"/>
        <v>06161001006</v>
      </c>
      <c r="B534" s="7" t="str">
        <f t="shared" si="184"/>
        <v>大阪府立花の文化園</v>
      </c>
      <c r="C534" s="7" t="str">
        <f t="shared" si="185"/>
        <v>行政財産</v>
      </c>
      <c r="D534" s="7" t="str">
        <f t="shared" si="186"/>
        <v>その他（公共用）の施設</v>
      </c>
      <c r="E534" s="7" t="str">
        <f t="shared" si="187"/>
        <v>大阪府河内長野市高向</v>
      </c>
      <c r="F534" s="7"/>
      <c r="G534" s="7" t="str">
        <f t="shared" si="188"/>
        <v>事業用資産</v>
      </c>
      <c r="H534" s="7" t="str">
        <f t="shared" si="189"/>
        <v>棚卸以外</v>
      </c>
      <c r="I534" s="7">
        <v>38</v>
      </c>
      <c r="J534" s="7" t="str">
        <f>"職員休憩所"</f>
        <v>職員休憩所</v>
      </c>
      <c r="K534" s="7" t="str">
        <f>"鉄筋コンクリート造"</f>
        <v>鉄筋コンクリート造</v>
      </c>
      <c r="L534" s="7" t="str">
        <f>"H03.06.13"</f>
        <v>H03.06.13</v>
      </c>
      <c r="M534" s="7">
        <v>24.06</v>
      </c>
      <c r="N534" s="7">
        <v>6382000</v>
      </c>
      <c r="O534" s="7">
        <v>4052697</v>
      </c>
      <c r="P534" s="7">
        <v>0</v>
      </c>
      <c r="Q534" s="7" t="str">
        <f t="shared" si="176"/>
        <v>環境農林水産部</v>
      </c>
      <c r="R534" s="7" t="str">
        <f t="shared" si="191"/>
        <v>農政室</v>
      </c>
    </row>
    <row r="535" spans="1:18" s="1" customFormat="1" x14ac:dyDescent="0.45">
      <c r="A535" s="7" t="str">
        <f t="shared" si="183"/>
        <v>06161001006</v>
      </c>
      <c r="B535" s="7" t="str">
        <f t="shared" si="184"/>
        <v>大阪府立花の文化園</v>
      </c>
      <c r="C535" s="7" t="str">
        <f t="shared" si="185"/>
        <v>行政財産</v>
      </c>
      <c r="D535" s="7" t="str">
        <f t="shared" si="186"/>
        <v>その他（公共用）の施設</v>
      </c>
      <c r="E535" s="7" t="str">
        <f t="shared" si="187"/>
        <v>大阪府河内長野市高向</v>
      </c>
      <c r="F535" s="7"/>
      <c r="G535" s="7" t="str">
        <f t="shared" si="188"/>
        <v>事業用資産</v>
      </c>
      <c r="H535" s="7" t="str">
        <f t="shared" si="189"/>
        <v>棚卸以外</v>
      </c>
      <c r="I535" s="7">
        <v>39</v>
      </c>
      <c r="J535" s="7" t="str">
        <f>"屋外便所（身障者用）"</f>
        <v>屋外便所（身障者用）</v>
      </c>
      <c r="K535" s="7" t="str">
        <f>"鉄筋コンクリート造"</f>
        <v>鉄筋コンクリート造</v>
      </c>
      <c r="L535" s="7" t="str">
        <f>"H07.03.31"</f>
        <v>H07.03.31</v>
      </c>
      <c r="M535" s="7">
        <v>6.25</v>
      </c>
      <c r="N535" s="7">
        <v>5523194</v>
      </c>
      <c r="O535" s="7">
        <v>4003468</v>
      </c>
      <c r="P535" s="7">
        <v>0</v>
      </c>
      <c r="Q535" s="7" t="str">
        <f t="shared" si="176"/>
        <v>環境農林水産部</v>
      </c>
      <c r="R535" s="7" t="str">
        <f t="shared" si="191"/>
        <v>農政室</v>
      </c>
    </row>
    <row r="536" spans="1:18" s="1" customFormat="1" x14ac:dyDescent="0.45">
      <c r="A536" s="7" t="str">
        <f t="shared" si="183"/>
        <v>06161001006</v>
      </c>
      <c r="B536" s="7" t="str">
        <f t="shared" si="184"/>
        <v>大阪府立花の文化園</v>
      </c>
      <c r="C536" s="7" t="str">
        <f t="shared" si="185"/>
        <v>行政財産</v>
      </c>
      <c r="D536" s="7" t="str">
        <f t="shared" si="186"/>
        <v>その他（公共用）の施設</v>
      </c>
      <c r="E536" s="7" t="str">
        <f t="shared" si="187"/>
        <v>大阪府河内長野市高向</v>
      </c>
      <c r="F536" s="7"/>
      <c r="G536" s="7" t="str">
        <f t="shared" si="188"/>
        <v>事業用資産</v>
      </c>
      <c r="H536" s="7" t="str">
        <f t="shared" si="189"/>
        <v>棚卸以外</v>
      </c>
      <c r="I536" s="7">
        <v>40</v>
      </c>
      <c r="J536" s="7" t="str">
        <f>"陶芸釜室（電気）"</f>
        <v>陶芸釜室（電気）</v>
      </c>
      <c r="K536" s="7" t="str">
        <f>"木造"</f>
        <v>木造</v>
      </c>
      <c r="L536" s="7" t="str">
        <f>"H02.09.25"</f>
        <v>H02.09.25</v>
      </c>
      <c r="M536" s="7">
        <v>14.44</v>
      </c>
      <c r="N536" s="7">
        <v>1661000</v>
      </c>
      <c r="O536" s="7">
        <v>1660999</v>
      </c>
      <c r="P536" s="7">
        <v>0</v>
      </c>
      <c r="Q536" s="7" t="str">
        <f t="shared" si="176"/>
        <v>環境農林水産部</v>
      </c>
      <c r="R536" s="7" t="str">
        <f t="shared" si="191"/>
        <v>農政室</v>
      </c>
    </row>
    <row r="537" spans="1:18" s="1" customFormat="1" x14ac:dyDescent="0.45">
      <c r="A537" s="7" t="str">
        <f t="shared" si="183"/>
        <v>06161001006</v>
      </c>
      <c r="B537" s="7" t="str">
        <f t="shared" si="184"/>
        <v>大阪府立花の文化園</v>
      </c>
      <c r="C537" s="7" t="str">
        <f t="shared" si="185"/>
        <v>行政財産</v>
      </c>
      <c r="D537" s="7" t="str">
        <f t="shared" si="186"/>
        <v>その他（公共用）の施設</v>
      </c>
      <c r="E537" s="7" t="str">
        <f t="shared" si="187"/>
        <v>大阪府河内長野市高向</v>
      </c>
      <c r="F537" s="7"/>
      <c r="G537" s="7" t="str">
        <f t="shared" si="188"/>
        <v>事業用資産</v>
      </c>
      <c r="H537" s="7" t="str">
        <f t="shared" si="189"/>
        <v>棚卸以外</v>
      </c>
      <c r="I537" s="7">
        <v>41</v>
      </c>
      <c r="J537" s="7" t="str">
        <f>"多目的活動拠点施設棟"</f>
        <v>多目的活動拠点施設棟</v>
      </c>
      <c r="K537" s="7" t="str">
        <f>"木造"</f>
        <v>木造</v>
      </c>
      <c r="L537" s="7" t="str">
        <f>"H22.03.29"</f>
        <v>H22.03.29</v>
      </c>
      <c r="M537" s="7">
        <v>60.48</v>
      </c>
      <c r="N537" s="7">
        <v>22069000</v>
      </c>
      <c r="O537" s="7">
        <v>13040820</v>
      </c>
      <c r="P537" s="7">
        <v>0</v>
      </c>
      <c r="Q537" s="7" t="str">
        <f t="shared" si="176"/>
        <v>環境農林水産部</v>
      </c>
      <c r="R537" s="7" t="str">
        <f t="shared" si="191"/>
        <v>農政室</v>
      </c>
    </row>
    <row r="538" spans="1:18" s="1" customFormat="1" x14ac:dyDescent="0.45">
      <c r="A538" s="7" t="str">
        <f>"06161003013"</f>
        <v>06161003013</v>
      </c>
      <c r="B538" s="7" t="str">
        <f>"大阪府立農業公園"</f>
        <v>大阪府立農業公園</v>
      </c>
      <c r="C538" s="7" t="str">
        <f t="shared" si="185"/>
        <v>行政財産</v>
      </c>
      <c r="D538" s="7" t="str">
        <f t="shared" si="186"/>
        <v>その他（公共用）の施設</v>
      </c>
      <c r="E538" s="7" t="str">
        <f>"大阪府貝塚市馬場"</f>
        <v>大阪府貝塚市馬場</v>
      </c>
      <c r="F538" s="7"/>
      <c r="G538" s="7" t="str">
        <f t="shared" si="188"/>
        <v>事業用資産</v>
      </c>
      <c r="H538" s="7" t="str">
        <f t="shared" si="189"/>
        <v>棚卸以外</v>
      </c>
      <c r="I538" s="7">
        <v>1</v>
      </c>
      <c r="J538" s="7" t="str">
        <f>"管理棟"</f>
        <v>管理棟</v>
      </c>
      <c r="K538" s="7" t="str">
        <f>"木造"</f>
        <v>木造</v>
      </c>
      <c r="L538" s="7" t="str">
        <f>"H15.03.31"</f>
        <v>H15.03.31</v>
      </c>
      <c r="M538" s="7">
        <v>208</v>
      </c>
      <c r="N538" s="7">
        <v>67148700</v>
      </c>
      <c r="O538" s="7">
        <v>54601524</v>
      </c>
      <c r="P538" s="7">
        <v>0</v>
      </c>
      <c r="Q538" s="7" t="str">
        <f t="shared" si="176"/>
        <v>環境農林水産部</v>
      </c>
      <c r="R538" s="7" t="str">
        <f t="shared" si="191"/>
        <v>農政室</v>
      </c>
    </row>
    <row r="539" spans="1:18" s="1" customFormat="1" x14ac:dyDescent="0.45">
      <c r="A539" s="7" t="str">
        <f>"06161003013"</f>
        <v>06161003013</v>
      </c>
      <c r="B539" s="7" t="str">
        <f>"大阪府立農業公園"</f>
        <v>大阪府立農業公園</v>
      </c>
      <c r="C539" s="7" t="str">
        <f t="shared" si="185"/>
        <v>行政財産</v>
      </c>
      <c r="D539" s="7" t="str">
        <f t="shared" si="186"/>
        <v>その他（公共用）の施設</v>
      </c>
      <c r="E539" s="7" t="str">
        <f>"大阪府貝塚市馬場"</f>
        <v>大阪府貝塚市馬場</v>
      </c>
      <c r="F539" s="7"/>
      <c r="G539" s="7" t="str">
        <f t="shared" si="188"/>
        <v>事業用資産</v>
      </c>
      <c r="H539" s="7" t="str">
        <f t="shared" si="189"/>
        <v>棚卸以外</v>
      </c>
      <c r="I539" s="7">
        <v>2</v>
      </c>
      <c r="J539" s="7" t="str">
        <f>"堆肥倉庫"</f>
        <v>堆肥倉庫</v>
      </c>
      <c r="K539" s="7" t="str">
        <f>"鉄骨造"</f>
        <v>鉄骨造</v>
      </c>
      <c r="L539" s="7" t="str">
        <f>"H15.03.31"</f>
        <v>H15.03.31</v>
      </c>
      <c r="M539" s="7">
        <v>138</v>
      </c>
      <c r="N539" s="7">
        <v>11550000</v>
      </c>
      <c r="O539" s="7">
        <v>7451760</v>
      </c>
      <c r="P539" s="7">
        <v>0</v>
      </c>
      <c r="Q539" s="7" t="str">
        <f t="shared" si="176"/>
        <v>環境農林水産部</v>
      </c>
      <c r="R539" s="7" t="str">
        <f t="shared" si="191"/>
        <v>農政室</v>
      </c>
    </row>
    <row r="540" spans="1:18" s="1" customFormat="1" x14ac:dyDescent="0.45">
      <c r="A540" s="7" t="str">
        <f>"06161003013"</f>
        <v>06161003013</v>
      </c>
      <c r="B540" s="7" t="str">
        <f>"大阪府立農業公園"</f>
        <v>大阪府立農業公園</v>
      </c>
      <c r="C540" s="7" t="str">
        <f t="shared" si="185"/>
        <v>行政財産</v>
      </c>
      <c r="D540" s="7" t="str">
        <f t="shared" si="186"/>
        <v>その他（公共用）の施設</v>
      </c>
      <c r="E540" s="7" t="str">
        <f>"大阪府貝塚市馬場"</f>
        <v>大阪府貝塚市馬場</v>
      </c>
      <c r="F540" s="7"/>
      <c r="G540" s="7" t="str">
        <f t="shared" si="188"/>
        <v>事業用資産</v>
      </c>
      <c r="H540" s="7" t="str">
        <f t="shared" si="189"/>
        <v>棚卸以外</v>
      </c>
      <c r="I540" s="7">
        <v>3</v>
      </c>
      <c r="J540" s="7" t="str">
        <f>"農機具倉庫"</f>
        <v>農機具倉庫</v>
      </c>
      <c r="K540" s="7" t="str">
        <f>"木造"</f>
        <v>木造</v>
      </c>
      <c r="L540" s="7" t="str">
        <f>"H15.08.29"</f>
        <v>H15.08.29</v>
      </c>
      <c r="M540" s="7">
        <v>190.08</v>
      </c>
      <c r="N540" s="7">
        <v>19366000</v>
      </c>
      <c r="O540" s="7">
        <v>19365999</v>
      </c>
      <c r="P540" s="7">
        <v>0</v>
      </c>
      <c r="Q540" s="7" t="str">
        <f t="shared" si="176"/>
        <v>環境農林水産部</v>
      </c>
      <c r="R540" s="7" t="str">
        <f t="shared" si="191"/>
        <v>農政室</v>
      </c>
    </row>
    <row r="541" spans="1:18" s="1" customFormat="1" x14ac:dyDescent="0.45">
      <c r="A541" s="7" t="str">
        <f>"06161003013"</f>
        <v>06161003013</v>
      </c>
      <c r="B541" s="7" t="str">
        <f>"大阪府立農業公園"</f>
        <v>大阪府立農業公園</v>
      </c>
      <c r="C541" s="7" t="str">
        <f t="shared" si="185"/>
        <v>行政財産</v>
      </c>
      <c r="D541" s="7" t="str">
        <f t="shared" si="186"/>
        <v>その他（公共用）の施設</v>
      </c>
      <c r="E541" s="7" t="str">
        <f>"大阪府貝塚市馬場"</f>
        <v>大阪府貝塚市馬場</v>
      </c>
      <c r="F541" s="7"/>
      <c r="G541" s="7" t="str">
        <f t="shared" si="188"/>
        <v>事業用資産</v>
      </c>
      <c r="H541" s="7" t="str">
        <f t="shared" si="189"/>
        <v>棚卸以外</v>
      </c>
      <c r="I541" s="7">
        <v>4</v>
      </c>
      <c r="J541" s="7" t="str">
        <f>"朝市会場棟"</f>
        <v>朝市会場棟</v>
      </c>
      <c r="K541" s="7" t="str">
        <f>"木造"</f>
        <v>木造</v>
      </c>
      <c r="L541" s="7" t="str">
        <f>"H15.08.29"</f>
        <v>H15.08.29</v>
      </c>
      <c r="M541" s="7">
        <v>59.4</v>
      </c>
      <c r="N541" s="7">
        <v>6736000</v>
      </c>
      <c r="O541" s="7">
        <v>6735999</v>
      </c>
      <c r="P541" s="7">
        <v>0</v>
      </c>
      <c r="Q541" s="7" t="str">
        <f t="shared" si="176"/>
        <v>環境農林水産部</v>
      </c>
      <c r="R541" s="7" t="str">
        <f t="shared" si="191"/>
        <v>農政室</v>
      </c>
    </row>
    <row r="542" spans="1:18" s="1" customFormat="1" x14ac:dyDescent="0.45">
      <c r="A542" s="7" t="str">
        <f>"06161003013"</f>
        <v>06161003013</v>
      </c>
      <c r="B542" s="7" t="str">
        <f>"大阪府立農業公園"</f>
        <v>大阪府立農業公園</v>
      </c>
      <c r="C542" s="7" t="str">
        <f t="shared" si="185"/>
        <v>行政財産</v>
      </c>
      <c r="D542" s="7" t="str">
        <f t="shared" si="186"/>
        <v>その他（公共用）の施設</v>
      </c>
      <c r="E542" s="7" t="str">
        <f>"大阪府貝塚市馬場"</f>
        <v>大阪府貝塚市馬場</v>
      </c>
      <c r="F542" s="7"/>
      <c r="G542" s="7" t="str">
        <f t="shared" si="188"/>
        <v>事業用資産</v>
      </c>
      <c r="H542" s="7" t="str">
        <f t="shared" si="189"/>
        <v>棚卸以外</v>
      </c>
      <c r="I542" s="7">
        <v>5</v>
      </c>
      <c r="J542" s="7" t="str">
        <f>"屋外トイレ"</f>
        <v>屋外トイレ</v>
      </c>
      <c r="K542" s="7" t="str">
        <f>"鉄筋コンクリート造"</f>
        <v>鉄筋コンクリート造</v>
      </c>
      <c r="L542" s="7" t="str">
        <f>"R04.03.01"</f>
        <v>R04.03.01</v>
      </c>
      <c r="M542" s="7">
        <v>18.63</v>
      </c>
      <c r="N542" s="7">
        <v>28138000</v>
      </c>
      <c r="O542" s="7">
        <v>1303176</v>
      </c>
      <c r="P542" s="7">
        <v>0</v>
      </c>
      <c r="Q542" s="7" t="str">
        <f t="shared" si="176"/>
        <v>環境農林水産部</v>
      </c>
      <c r="R542" s="7" t="str">
        <f t="shared" si="191"/>
        <v>農政室</v>
      </c>
    </row>
    <row r="543" spans="1:18" s="1" customFormat="1" x14ac:dyDescent="0.45">
      <c r="A543" s="7" t="str">
        <f t="shared" ref="A543:A549" si="192">"06168003006"</f>
        <v>06168003006</v>
      </c>
      <c r="B543" s="7" t="str">
        <f t="shared" ref="B543:B549" si="193">"元南大阪食肉地方卸売市場"</f>
        <v>元南大阪食肉地方卸売市場</v>
      </c>
      <c r="C543" s="7" t="str">
        <f t="shared" ref="C543:C549" si="194">"普通財産"</f>
        <v>普通財産</v>
      </c>
      <c r="D543" s="7" t="str">
        <f t="shared" ref="D543:D549" si="195">"元施設"</f>
        <v>元施設</v>
      </c>
      <c r="E543" s="7" t="str">
        <f t="shared" ref="E543:E549" si="196">"大阪府松原市河合６丁目"</f>
        <v>大阪府松原市河合６丁目</v>
      </c>
      <c r="F543" s="7" t="str">
        <f t="shared" ref="F543:F549" si="197">"７５番地"</f>
        <v>７５番地</v>
      </c>
      <c r="G543" s="7" t="str">
        <f t="shared" si="188"/>
        <v>事業用資産</v>
      </c>
      <c r="H543" s="7" t="str">
        <f t="shared" si="189"/>
        <v>棚卸以外</v>
      </c>
      <c r="I543" s="7">
        <v>1</v>
      </c>
      <c r="J543" s="7" t="str">
        <f>"作業所"</f>
        <v>作業所</v>
      </c>
      <c r="K543" s="7" t="str">
        <f t="shared" ref="K543:K548" si="198">"鉄骨造"</f>
        <v>鉄骨造</v>
      </c>
      <c r="L543" s="7" t="str">
        <f t="shared" ref="L543:L549" si="199">"H01.04.01"</f>
        <v>H01.04.01</v>
      </c>
      <c r="M543" s="7">
        <v>9442.3700000000008</v>
      </c>
      <c r="N543" s="7">
        <v>1</v>
      </c>
      <c r="O543" s="7">
        <v>0</v>
      </c>
      <c r="P543" s="7">
        <v>0</v>
      </c>
      <c r="Q543" s="7" t="str">
        <f t="shared" si="176"/>
        <v>環境農林水産部</v>
      </c>
      <c r="R543" s="7" t="str">
        <f t="shared" ref="R543:R549" si="200">"流通対策室"</f>
        <v>流通対策室</v>
      </c>
    </row>
    <row r="544" spans="1:18" s="1" customFormat="1" x14ac:dyDescent="0.45">
      <c r="A544" s="7" t="str">
        <f t="shared" si="192"/>
        <v>06168003006</v>
      </c>
      <c r="B544" s="7" t="str">
        <f t="shared" si="193"/>
        <v>元南大阪食肉地方卸売市場</v>
      </c>
      <c r="C544" s="7" t="str">
        <f t="shared" si="194"/>
        <v>普通財産</v>
      </c>
      <c r="D544" s="7" t="str">
        <f t="shared" si="195"/>
        <v>元施設</v>
      </c>
      <c r="E544" s="7" t="str">
        <f t="shared" si="196"/>
        <v>大阪府松原市河合６丁目</v>
      </c>
      <c r="F544" s="7" t="str">
        <f t="shared" si="197"/>
        <v>７５番地</v>
      </c>
      <c r="G544" s="7" t="str">
        <f t="shared" si="188"/>
        <v>事業用資産</v>
      </c>
      <c r="H544" s="7" t="str">
        <f t="shared" si="189"/>
        <v>棚卸以外</v>
      </c>
      <c r="I544" s="7">
        <v>2</v>
      </c>
      <c r="J544" s="7" t="str">
        <f>"事務所"</f>
        <v>事務所</v>
      </c>
      <c r="K544" s="7" t="str">
        <f t="shared" si="198"/>
        <v>鉄骨造</v>
      </c>
      <c r="L544" s="7" t="str">
        <f t="shared" si="199"/>
        <v>H01.04.01</v>
      </c>
      <c r="M544" s="7">
        <v>2068.41</v>
      </c>
      <c r="N544" s="7">
        <v>1</v>
      </c>
      <c r="O544" s="7">
        <v>0</v>
      </c>
      <c r="P544" s="7">
        <v>0</v>
      </c>
      <c r="Q544" s="7" t="str">
        <f t="shared" si="176"/>
        <v>環境農林水産部</v>
      </c>
      <c r="R544" s="7" t="str">
        <f t="shared" si="200"/>
        <v>流通対策室</v>
      </c>
    </row>
    <row r="545" spans="1:18" s="1" customFormat="1" x14ac:dyDescent="0.45">
      <c r="A545" s="7" t="str">
        <f t="shared" si="192"/>
        <v>06168003006</v>
      </c>
      <c r="B545" s="7" t="str">
        <f t="shared" si="193"/>
        <v>元南大阪食肉地方卸売市場</v>
      </c>
      <c r="C545" s="7" t="str">
        <f t="shared" si="194"/>
        <v>普通財産</v>
      </c>
      <c r="D545" s="7" t="str">
        <f t="shared" si="195"/>
        <v>元施設</v>
      </c>
      <c r="E545" s="7" t="str">
        <f t="shared" si="196"/>
        <v>大阪府松原市河合６丁目</v>
      </c>
      <c r="F545" s="7" t="str">
        <f t="shared" si="197"/>
        <v>７５番地</v>
      </c>
      <c r="G545" s="7" t="str">
        <f t="shared" si="188"/>
        <v>事業用資産</v>
      </c>
      <c r="H545" s="7" t="str">
        <f t="shared" si="189"/>
        <v>棚卸以外</v>
      </c>
      <c r="I545" s="7">
        <v>3</v>
      </c>
      <c r="J545" s="7" t="str">
        <f>"作業所"</f>
        <v>作業所</v>
      </c>
      <c r="K545" s="7" t="str">
        <f t="shared" si="198"/>
        <v>鉄骨造</v>
      </c>
      <c r="L545" s="7" t="str">
        <f t="shared" si="199"/>
        <v>H01.04.01</v>
      </c>
      <c r="M545" s="7">
        <v>112.21</v>
      </c>
      <c r="N545" s="7">
        <v>1</v>
      </c>
      <c r="O545" s="7">
        <v>0</v>
      </c>
      <c r="P545" s="7">
        <v>0</v>
      </c>
      <c r="Q545" s="7" t="str">
        <f t="shared" si="176"/>
        <v>環境農林水産部</v>
      </c>
      <c r="R545" s="7" t="str">
        <f t="shared" si="200"/>
        <v>流通対策室</v>
      </c>
    </row>
    <row r="546" spans="1:18" s="1" customFormat="1" x14ac:dyDescent="0.45">
      <c r="A546" s="7" t="str">
        <f t="shared" si="192"/>
        <v>06168003006</v>
      </c>
      <c r="B546" s="7" t="str">
        <f t="shared" si="193"/>
        <v>元南大阪食肉地方卸売市場</v>
      </c>
      <c r="C546" s="7" t="str">
        <f t="shared" si="194"/>
        <v>普通財産</v>
      </c>
      <c r="D546" s="7" t="str">
        <f t="shared" si="195"/>
        <v>元施設</v>
      </c>
      <c r="E546" s="7" t="str">
        <f t="shared" si="196"/>
        <v>大阪府松原市河合６丁目</v>
      </c>
      <c r="F546" s="7" t="str">
        <f t="shared" si="197"/>
        <v>７５番地</v>
      </c>
      <c r="G546" s="7" t="str">
        <f t="shared" si="188"/>
        <v>事業用資産</v>
      </c>
      <c r="H546" s="7" t="str">
        <f t="shared" si="189"/>
        <v>棚卸以外</v>
      </c>
      <c r="I546" s="7">
        <v>4</v>
      </c>
      <c r="J546" s="7" t="str">
        <f>"焼却室"</f>
        <v>焼却室</v>
      </c>
      <c r="K546" s="7" t="str">
        <f t="shared" si="198"/>
        <v>鉄骨造</v>
      </c>
      <c r="L546" s="7" t="str">
        <f t="shared" si="199"/>
        <v>H01.04.01</v>
      </c>
      <c r="M546" s="7">
        <v>205.57</v>
      </c>
      <c r="N546" s="7">
        <v>1</v>
      </c>
      <c r="O546" s="7">
        <v>0</v>
      </c>
      <c r="P546" s="7">
        <v>0</v>
      </c>
      <c r="Q546" s="7" t="str">
        <f t="shared" si="176"/>
        <v>環境農林水産部</v>
      </c>
      <c r="R546" s="7" t="str">
        <f t="shared" si="200"/>
        <v>流通対策室</v>
      </c>
    </row>
    <row r="547" spans="1:18" s="1" customFormat="1" x14ac:dyDescent="0.45">
      <c r="A547" s="7" t="str">
        <f t="shared" si="192"/>
        <v>06168003006</v>
      </c>
      <c r="B547" s="7" t="str">
        <f t="shared" si="193"/>
        <v>元南大阪食肉地方卸売市場</v>
      </c>
      <c r="C547" s="7" t="str">
        <f t="shared" si="194"/>
        <v>普通財産</v>
      </c>
      <c r="D547" s="7" t="str">
        <f t="shared" si="195"/>
        <v>元施設</v>
      </c>
      <c r="E547" s="7" t="str">
        <f t="shared" si="196"/>
        <v>大阪府松原市河合６丁目</v>
      </c>
      <c r="F547" s="7" t="str">
        <f t="shared" si="197"/>
        <v>７５番地</v>
      </c>
      <c r="G547" s="7" t="str">
        <f t="shared" si="188"/>
        <v>事業用資産</v>
      </c>
      <c r="H547" s="7" t="str">
        <f t="shared" si="189"/>
        <v>棚卸以外</v>
      </c>
      <c r="I547" s="7">
        <v>5</v>
      </c>
      <c r="J547" s="7" t="str">
        <f>"機械室"</f>
        <v>機械室</v>
      </c>
      <c r="K547" s="7" t="str">
        <f t="shared" si="198"/>
        <v>鉄骨造</v>
      </c>
      <c r="L547" s="7" t="str">
        <f t="shared" si="199"/>
        <v>H01.04.01</v>
      </c>
      <c r="M547" s="7">
        <v>807.3</v>
      </c>
      <c r="N547" s="7">
        <v>1</v>
      </c>
      <c r="O547" s="7">
        <v>0</v>
      </c>
      <c r="P547" s="7">
        <v>0</v>
      </c>
      <c r="Q547" s="7" t="str">
        <f t="shared" si="176"/>
        <v>環境農林水産部</v>
      </c>
      <c r="R547" s="7" t="str">
        <f t="shared" si="200"/>
        <v>流通対策室</v>
      </c>
    </row>
    <row r="548" spans="1:18" s="1" customFormat="1" x14ac:dyDescent="0.45">
      <c r="A548" s="7" t="str">
        <f t="shared" si="192"/>
        <v>06168003006</v>
      </c>
      <c r="B548" s="7" t="str">
        <f t="shared" si="193"/>
        <v>元南大阪食肉地方卸売市場</v>
      </c>
      <c r="C548" s="7" t="str">
        <f t="shared" si="194"/>
        <v>普通財産</v>
      </c>
      <c r="D548" s="7" t="str">
        <f t="shared" si="195"/>
        <v>元施設</v>
      </c>
      <c r="E548" s="7" t="str">
        <f t="shared" si="196"/>
        <v>大阪府松原市河合６丁目</v>
      </c>
      <c r="F548" s="7" t="str">
        <f t="shared" si="197"/>
        <v>７５番地</v>
      </c>
      <c r="G548" s="7" t="str">
        <f t="shared" si="188"/>
        <v>事業用資産</v>
      </c>
      <c r="H548" s="7" t="str">
        <f t="shared" si="189"/>
        <v>棚卸以外</v>
      </c>
      <c r="I548" s="7">
        <v>6</v>
      </c>
      <c r="J548" s="7" t="str">
        <f>"守衛室"</f>
        <v>守衛室</v>
      </c>
      <c r="K548" s="7" t="str">
        <f t="shared" si="198"/>
        <v>鉄骨造</v>
      </c>
      <c r="L548" s="7" t="str">
        <f t="shared" si="199"/>
        <v>H01.04.01</v>
      </c>
      <c r="M548" s="7">
        <v>20</v>
      </c>
      <c r="N548" s="7">
        <v>1</v>
      </c>
      <c r="O548" s="7">
        <v>0</v>
      </c>
      <c r="P548" s="7">
        <v>0</v>
      </c>
      <c r="Q548" s="7" t="str">
        <f t="shared" si="176"/>
        <v>環境農林水産部</v>
      </c>
      <c r="R548" s="7" t="str">
        <f t="shared" si="200"/>
        <v>流通対策室</v>
      </c>
    </row>
    <row r="549" spans="1:18" s="1" customFormat="1" x14ac:dyDescent="0.45">
      <c r="A549" s="7" t="str">
        <f t="shared" si="192"/>
        <v>06168003006</v>
      </c>
      <c r="B549" s="7" t="str">
        <f t="shared" si="193"/>
        <v>元南大阪食肉地方卸売市場</v>
      </c>
      <c r="C549" s="7" t="str">
        <f t="shared" si="194"/>
        <v>普通財産</v>
      </c>
      <c r="D549" s="7" t="str">
        <f t="shared" si="195"/>
        <v>元施設</v>
      </c>
      <c r="E549" s="7" t="str">
        <f t="shared" si="196"/>
        <v>大阪府松原市河合６丁目</v>
      </c>
      <c r="F549" s="7" t="str">
        <f t="shared" si="197"/>
        <v>７５番地</v>
      </c>
      <c r="G549" s="7" t="str">
        <f t="shared" si="188"/>
        <v>事業用資産</v>
      </c>
      <c r="H549" s="7" t="str">
        <f t="shared" si="189"/>
        <v>棚卸以外</v>
      </c>
      <c r="I549" s="7">
        <v>7</v>
      </c>
      <c r="J549" s="7" t="str">
        <f>"ポンプ室"</f>
        <v>ポンプ室</v>
      </c>
      <c r="K549" s="7" t="str">
        <f>"鉄筋コンクリート造"</f>
        <v>鉄筋コンクリート造</v>
      </c>
      <c r="L549" s="7" t="str">
        <f t="shared" si="199"/>
        <v>H01.04.01</v>
      </c>
      <c r="M549" s="7">
        <v>15.75</v>
      </c>
      <c r="N549" s="7">
        <v>1</v>
      </c>
      <c r="O549" s="7">
        <v>0</v>
      </c>
      <c r="P549" s="7">
        <v>0</v>
      </c>
      <c r="Q549" s="7" t="str">
        <f t="shared" si="176"/>
        <v>環境農林水産部</v>
      </c>
      <c r="R549" s="7" t="str">
        <f t="shared" si="200"/>
        <v>流通対策室</v>
      </c>
    </row>
    <row r="550" spans="1:18" s="1" customFormat="1" x14ac:dyDescent="0.45">
      <c r="A550" s="7" t="str">
        <f>"06169000002"</f>
        <v>06169000002</v>
      </c>
      <c r="B550" s="7" t="str">
        <f>"大阪府漁港管理事務所"</f>
        <v>大阪府漁港管理事務所</v>
      </c>
      <c r="C550" s="7" t="str">
        <f t="shared" ref="C550:C581" si="201">"行政財産"</f>
        <v>行政財産</v>
      </c>
      <c r="D550" s="7" t="str">
        <f>"その他（行政機関）の施設"</f>
        <v>その他（行政機関）の施設</v>
      </c>
      <c r="E550" s="7" t="str">
        <f>"大阪府泉佐野市住吉町"</f>
        <v>大阪府泉佐野市住吉町</v>
      </c>
      <c r="F550" s="7"/>
      <c r="G550" s="7" t="str">
        <f t="shared" si="188"/>
        <v>事業用資産</v>
      </c>
      <c r="H550" s="7" t="str">
        <f t="shared" si="189"/>
        <v>棚卸以外</v>
      </c>
      <c r="I550" s="7">
        <v>1</v>
      </c>
      <c r="J550" s="7" t="str">
        <f>"事務所"</f>
        <v>事務所</v>
      </c>
      <c r="K550" s="7" t="str">
        <f>"鉄筋コンクリート造"</f>
        <v>鉄筋コンクリート造</v>
      </c>
      <c r="L550" s="7" t="str">
        <f>"S58.10.01"</f>
        <v>S58.10.01</v>
      </c>
      <c r="M550" s="7">
        <v>427.72</v>
      </c>
      <c r="N550" s="7">
        <v>77134000</v>
      </c>
      <c r="O550" s="7">
        <v>60807461</v>
      </c>
      <c r="P550" s="7">
        <v>0</v>
      </c>
      <c r="Q550" s="7" t="str">
        <f t="shared" si="176"/>
        <v>環境農林水産部</v>
      </c>
      <c r="R550" s="7" t="str">
        <f t="shared" ref="R550:R558" si="202">"水産課"</f>
        <v>水産課</v>
      </c>
    </row>
    <row r="551" spans="1:18" s="1" customFormat="1" x14ac:dyDescent="0.45">
      <c r="A551" s="7" t="str">
        <f>"06169000015"</f>
        <v>06169000015</v>
      </c>
      <c r="B551" s="7" t="str">
        <f>"淡輪漁港"</f>
        <v>淡輪漁港</v>
      </c>
      <c r="C551" s="7" t="str">
        <f t="shared" si="201"/>
        <v>行政財産</v>
      </c>
      <c r="D551" s="7" t="str">
        <f>"その他"</f>
        <v>その他</v>
      </c>
      <c r="E551" s="7" t="str">
        <f>"大阪府泉南郡　岬町淡輪"</f>
        <v>大阪府泉南郡　岬町淡輪</v>
      </c>
      <c r="F551" s="7"/>
      <c r="G551" s="7" t="str">
        <f>"インフラ資産"</f>
        <v>インフラ資産</v>
      </c>
      <c r="H551" s="7" t="str">
        <f t="shared" si="189"/>
        <v>棚卸以外</v>
      </c>
      <c r="I551" s="7">
        <v>1</v>
      </c>
      <c r="J551" s="7" t="str">
        <f>"漁港環境施設"</f>
        <v>漁港環境施設</v>
      </c>
      <c r="K551" s="7" t="str">
        <f>"鉄筋コンクリート造"</f>
        <v>鉄筋コンクリート造</v>
      </c>
      <c r="L551" s="7" t="str">
        <f>"H09.06.30"</f>
        <v>H09.06.30</v>
      </c>
      <c r="M551" s="7">
        <v>33</v>
      </c>
      <c r="N551" s="7">
        <v>38864000</v>
      </c>
      <c r="O551" s="7">
        <v>26335761</v>
      </c>
      <c r="P551" s="7">
        <v>0</v>
      </c>
      <c r="Q551" s="7" t="str">
        <f t="shared" si="176"/>
        <v>環境農林水産部</v>
      </c>
      <c r="R551" s="7" t="str">
        <f t="shared" si="202"/>
        <v>水産課</v>
      </c>
    </row>
    <row r="552" spans="1:18" s="1" customFormat="1" x14ac:dyDescent="0.45">
      <c r="A552" s="7" t="str">
        <f>"06169000905"</f>
        <v>06169000905</v>
      </c>
      <c r="B552" s="7" t="str">
        <f>"佐野漁港施設整備事業"</f>
        <v>佐野漁港施設整備事業</v>
      </c>
      <c r="C552" s="7" t="str">
        <f t="shared" si="201"/>
        <v>行政財産</v>
      </c>
      <c r="D552" s="7" t="str">
        <f>"その他"</f>
        <v>その他</v>
      </c>
      <c r="E552" s="7" t="str">
        <f>"大阪府泉佐野市住吉町"</f>
        <v>大阪府泉佐野市住吉町</v>
      </c>
      <c r="F552" s="7"/>
      <c r="G552" s="7" t="str">
        <f>"インフラ資産"</f>
        <v>インフラ資産</v>
      </c>
      <c r="H552" s="7" t="str">
        <f t="shared" si="189"/>
        <v>棚卸以外</v>
      </c>
      <c r="I552" s="7">
        <v>2</v>
      </c>
      <c r="J552" s="7" t="str">
        <f>"公衆便所"</f>
        <v>公衆便所</v>
      </c>
      <c r="K552" s="7" t="str">
        <f>"軽量鉄骨造"</f>
        <v>軽量鉄骨造</v>
      </c>
      <c r="L552" s="7" t="str">
        <f>"H01.03.31"</f>
        <v>H01.03.31</v>
      </c>
      <c r="M552" s="7">
        <v>14.4</v>
      </c>
      <c r="N552" s="7">
        <v>4240000</v>
      </c>
      <c r="O552" s="7">
        <v>4239999</v>
      </c>
      <c r="P552" s="7">
        <v>0</v>
      </c>
      <c r="Q552" s="7" t="str">
        <f t="shared" si="176"/>
        <v>環境農林水産部</v>
      </c>
      <c r="R552" s="7" t="str">
        <f t="shared" si="202"/>
        <v>水産課</v>
      </c>
    </row>
    <row r="553" spans="1:18" s="1" customFormat="1" x14ac:dyDescent="0.45">
      <c r="A553" s="7" t="str">
        <f>"06169000905"</f>
        <v>06169000905</v>
      </c>
      <c r="B553" s="7" t="str">
        <f>"佐野漁港施設整備事業"</f>
        <v>佐野漁港施設整備事業</v>
      </c>
      <c r="C553" s="7" t="str">
        <f t="shared" si="201"/>
        <v>行政財産</v>
      </c>
      <c r="D553" s="7" t="str">
        <f>"その他"</f>
        <v>その他</v>
      </c>
      <c r="E553" s="7" t="str">
        <f>"大阪府泉佐野市住吉町"</f>
        <v>大阪府泉佐野市住吉町</v>
      </c>
      <c r="F553" s="7"/>
      <c r="G553" s="7" t="str">
        <f>"インフラ資産"</f>
        <v>インフラ資産</v>
      </c>
      <c r="H553" s="7" t="str">
        <f t="shared" si="189"/>
        <v>棚卸以外</v>
      </c>
      <c r="I553" s="7">
        <v>3</v>
      </c>
      <c r="J553" s="7" t="str">
        <f>"公衆便所"</f>
        <v>公衆便所</v>
      </c>
      <c r="K553" s="7" t="str">
        <f>"軽量鉄骨造"</f>
        <v>軽量鉄骨造</v>
      </c>
      <c r="L553" s="7" t="str">
        <f>"H01.03.31"</f>
        <v>H01.03.31</v>
      </c>
      <c r="M553" s="7">
        <v>14.4</v>
      </c>
      <c r="N553" s="7">
        <v>4240000</v>
      </c>
      <c r="O553" s="7">
        <v>4239999</v>
      </c>
      <c r="P553" s="7">
        <v>0</v>
      </c>
      <c r="Q553" s="7" t="str">
        <f t="shared" si="176"/>
        <v>環境農林水産部</v>
      </c>
      <c r="R553" s="7" t="str">
        <f t="shared" si="202"/>
        <v>水産課</v>
      </c>
    </row>
    <row r="554" spans="1:18" s="1" customFormat="1" x14ac:dyDescent="0.45">
      <c r="A554" s="7" t="str">
        <f>"06169001002"</f>
        <v>06169001002</v>
      </c>
      <c r="B554" s="7" t="str">
        <f>"深日漁港"</f>
        <v>深日漁港</v>
      </c>
      <c r="C554" s="7" t="str">
        <f t="shared" si="201"/>
        <v>行政財産</v>
      </c>
      <c r="D554" s="7" t="str">
        <f>"その他"</f>
        <v>その他</v>
      </c>
      <c r="E554" s="7" t="str">
        <f>"大阪府泉南郡　岬町深日"</f>
        <v>大阪府泉南郡　岬町深日</v>
      </c>
      <c r="F554" s="7"/>
      <c r="G554" s="7" t="str">
        <f>"インフラ資産"</f>
        <v>インフラ資産</v>
      </c>
      <c r="H554" s="7" t="str">
        <f t="shared" si="189"/>
        <v>棚卸以外</v>
      </c>
      <c r="I554" s="7">
        <v>1</v>
      </c>
      <c r="J554" s="7" t="str">
        <f>"漁港環境施設"</f>
        <v>漁港環境施設</v>
      </c>
      <c r="K554" s="7" t="str">
        <f>"鉄筋コンクリート造"</f>
        <v>鉄筋コンクリート造</v>
      </c>
      <c r="L554" s="7" t="str">
        <f>"H07.03.31"</f>
        <v>H07.03.31</v>
      </c>
      <c r="M554" s="7">
        <v>48.08</v>
      </c>
      <c r="N554" s="7">
        <v>22074000</v>
      </c>
      <c r="O554" s="7">
        <v>16265088</v>
      </c>
      <c r="P554" s="7">
        <v>0</v>
      </c>
      <c r="Q554" s="7" t="str">
        <f t="shared" si="176"/>
        <v>環境農林水産部</v>
      </c>
      <c r="R554" s="7" t="str">
        <f t="shared" si="202"/>
        <v>水産課</v>
      </c>
    </row>
    <row r="555" spans="1:18" s="1" customFormat="1" x14ac:dyDescent="0.45">
      <c r="A555" s="7" t="str">
        <f>"06169001007"</f>
        <v>06169001007</v>
      </c>
      <c r="B555" s="7" t="str">
        <f>"田尻漁港"</f>
        <v>田尻漁港</v>
      </c>
      <c r="C555" s="7" t="str">
        <f t="shared" si="201"/>
        <v>行政財産</v>
      </c>
      <c r="D555" s="7" t="str">
        <f>"その他"</f>
        <v>その他</v>
      </c>
      <c r="E555" s="7" t="str">
        <f>"大阪府泉南郡　田尻町りんくうポート北"</f>
        <v>大阪府泉南郡　田尻町りんくうポート北</v>
      </c>
      <c r="F555" s="7"/>
      <c r="G555" s="7" t="str">
        <f>"インフラ資産"</f>
        <v>インフラ資産</v>
      </c>
      <c r="H555" s="7" t="str">
        <f t="shared" si="189"/>
        <v>棚卸以外</v>
      </c>
      <c r="I555" s="7">
        <v>1</v>
      </c>
      <c r="J555" s="7" t="str">
        <f>"田尻川排水機場"</f>
        <v>田尻川排水機場</v>
      </c>
      <c r="K555" s="7" t="str">
        <f>"鉄骨造"</f>
        <v>鉄骨造</v>
      </c>
      <c r="L555" s="7" t="str">
        <f>"S52.02.28"</f>
        <v>S52.02.28</v>
      </c>
      <c r="M555" s="7">
        <v>236</v>
      </c>
      <c r="N555" s="7">
        <v>27907000</v>
      </c>
      <c r="O555" s="7">
        <v>27906999</v>
      </c>
      <c r="P555" s="7">
        <v>0</v>
      </c>
      <c r="Q555" s="7" t="str">
        <f t="shared" si="176"/>
        <v>環境農林水産部</v>
      </c>
      <c r="R555" s="7" t="str">
        <f t="shared" si="202"/>
        <v>水産課</v>
      </c>
    </row>
    <row r="556" spans="1:18" s="1" customFormat="1" x14ac:dyDescent="0.45">
      <c r="A556" s="7" t="str">
        <f>"06169001008"</f>
        <v>06169001008</v>
      </c>
      <c r="B556" s="7" t="str">
        <f>"漁業取締事務所"</f>
        <v>漁業取締事務所</v>
      </c>
      <c r="C556" s="7" t="str">
        <f t="shared" si="201"/>
        <v>行政財産</v>
      </c>
      <c r="D556" s="7" t="str">
        <f>"その他（行政機関）の施設"</f>
        <v>その他（行政機関）の施設</v>
      </c>
      <c r="E556" s="7" t="str">
        <f>"大阪府泉佐野市住吉町"</f>
        <v>大阪府泉佐野市住吉町</v>
      </c>
      <c r="F556" s="7"/>
      <c r="G556" s="7" t="str">
        <f t="shared" ref="G556:G591" si="203">"事業用資産"</f>
        <v>事業用資産</v>
      </c>
      <c r="H556" s="7" t="str">
        <f t="shared" si="189"/>
        <v>棚卸以外</v>
      </c>
      <c r="I556" s="7">
        <v>3</v>
      </c>
      <c r="J556" s="7" t="str">
        <f>"オイルフェンス格納庫"</f>
        <v>オイルフェンス格納庫</v>
      </c>
      <c r="K556" s="7" t="str">
        <f>"鉄筋コンクリート造"</f>
        <v>鉄筋コンクリート造</v>
      </c>
      <c r="L556" s="7" t="str">
        <f>"S52.04.22"</f>
        <v>S52.04.22</v>
      </c>
      <c r="M556" s="7">
        <v>130.91</v>
      </c>
      <c r="N556" s="7">
        <v>3594197</v>
      </c>
      <c r="O556" s="7">
        <v>3594196</v>
      </c>
      <c r="P556" s="7">
        <v>0</v>
      </c>
      <c r="Q556" s="7" t="str">
        <f t="shared" si="176"/>
        <v>環境農林水産部</v>
      </c>
      <c r="R556" s="7" t="str">
        <f t="shared" si="202"/>
        <v>水産課</v>
      </c>
    </row>
    <row r="557" spans="1:18" s="1" customFormat="1" x14ac:dyDescent="0.45">
      <c r="A557" s="7" t="str">
        <f>"06169003012"</f>
        <v>06169003012</v>
      </c>
      <c r="B557" s="7" t="str">
        <f>"小島漁港"</f>
        <v>小島漁港</v>
      </c>
      <c r="C557" s="7" t="str">
        <f t="shared" si="201"/>
        <v>行政財産</v>
      </c>
      <c r="D557" s="7" t="str">
        <f>"その他"</f>
        <v>その他</v>
      </c>
      <c r="E557" s="7" t="str">
        <f>"大阪府泉南郡　岬町多奈川小島"</f>
        <v>大阪府泉南郡　岬町多奈川小島</v>
      </c>
      <c r="F557" s="7"/>
      <c r="G557" s="7" t="str">
        <f t="shared" si="203"/>
        <v>事業用資産</v>
      </c>
      <c r="H557" s="7" t="str">
        <f t="shared" si="189"/>
        <v>棚卸以外</v>
      </c>
      <c r="I557" s="7">
        <v>1</v>
      </c>
      <c r="J557" s="7" t="str">
        <f>"休憩所（トイレ）"</f>
        <v>休憩所（トイレ）</v>
      </c>
      <c r="K557" s="7" t="str">
        <f>"鉄筋コンクリート造"</f>
        <v>鉄筋コンクリート造</v>
      </c>
      <c r="L557" s="7" t="str">
        <f>"H29.03.09"</f>
        <v>H29.03.09</v>
      </c>
      <c r="M557" s="7">
        <v>9.1999999999999993</v>
      </c>
      <c r="N557" s="7">
        <v>4501440</v>
      </c>
      <c r="O557" s="7">
        <v>710784</v>
      </c>
      <c r="P557" s="7">
        <v>0</v>
      </c>
      <c r="Q557" s="7" t="str">
        <f t="shared" si="176"/>
        <v>環境農林水産部</v>
      </c>
      <c r="R557" s="7" t="str">
        <f t="shared" si="202"/>
        <v>水産課</v>
      </c>
    </row>
    <row r="558" spans="1:18" s="1" customFormat="1" x14ac:dyDescent="0.45">
      <c r="A558" s="7" t="str">
        <f>"06169003013"</f>
        <v>06169003013</v>
      </c>
      <c r="B558" s="7" t="str">
        <f>"深日漁港"</f>
        <v>深日漁港</v>
      </c>
      <c r="C558" s="7" t="str">
        <f t="shared" si="201"/>
        <v>行政財産</v>
      </c>
      <c r="D558" s="7" t="str">
        <f>"その他"</f>
        <v>その他</v>
      </c>
      <c r="E558" s="7" t="str">
        <f>"大阪府泉南郡　岬町深日"</f>
        <v>大阪府泉南郡　岬町深日</v>
      </c>
      <c r="F558" s="7"/>
      <c r="G558" s="7" t="str">
        <f t="shared" si="203"/>
        <v>事業用資産</v>
      </c>
      <c r="H558" s="7" t="str">
        <f t="shared" si="189"/>
        <v>棚卸以外</v>
      </c>
      <c r="I558" s="7">
        <v>1</v>
      </c>
      <c r="J558" s="7" t="str">
        <f>"休憩所（トイレ）"</f>
        <v>休憩所（トイレ）</v>
      </c>
      <c r="K558" s="7" t="str">
        <f>"鉄筋コンクリート造"</f>
        <v>鉄筋コンクリート造</v>
      </c>
      <c r="L558" s="7" t="str">
        <f>"H29.03.14"</f>
        <v>H29.03.14</v>
      </c>
      <c r="M558" s="7">
        <v>13.92</v>
      </c>
      <c r="N558" s="7">
        <v>6359040</v>
      </c>
      <c r="O558" s="7">
        <v>1004112</v>
      </c>
      <c r="P558" s="7">
        <v>0</v>
      </c>
      <c r="Q558" s="7" t="str">
        <f t="shared" si="176"/>
        <v>環境農林水産部</v>
      </c>
      <c r="R558" s="7" t="str">
        <f t="shared" si="202"/>
        <v>水産課</v>
      </c>
    </row>
    <row r="559" spans="1:18" s="1" customFormat="1" x14ac:dyDescent="0.45">
      <c r="A559" s="7" t="str">
        <f>"06171000002"</f>
        <v>06171000002</v>
      </c>
      <c r="B559" s="7" t="str">
        <f>"吹田地盤沈下観測所"</f>
        <v>吹田地盤沈下観測所</v>
      </c>
      <c r="C559" s="7" t="str">
        <f t="shared" si="201"/>
        <v>行政財産</v>
      </c>
      <c r="D559" s="7" t="str">
        <f t="shared" ref="D559:D594" si="204">"その他（行政機関）の施設"</f>
        <v>その他（行政機関）の施設</v>
      </c>
      <c r="E559" s="7" t="str">
        <f>"大阪府吹田市中の島町"</f>
        <v>大阪府吹田市中の島町</v>
      </c>
      <c r="F559" s="7"/>
      <c r="G559" s="7" t="str">
        <f t="shared" si="203"/>
        <v>事業用資産</v>
      </c>
      <c r="H559" s="7" t="str">
        <f t="shared" si="189"/>
        <v>棚卸以外</v>
      </c>
      <c r="I559" s="7">
        <v>1</v>
      </c>
      <c r="J559" s="7" t="str">
        <f>"吹田地盤沈下観測所"</f>
        <v>吹田地盤沈下観測所</v>
      </c>
      <c r="K559" s="7" t="str">
        <f>"コンクリートブロック造"</f>
        <v>コンクリートブロック造</v>
      </c>
      <c r="L559" s="7" t="str">
        <f>"S40.03.30"</f>
        <v>S40.03.30</v>
      </c>
      <c r="M559" s="7">
        <v>14.94</v>
      </c>
      <c r="N559" s="7">
        <v>342200</v>
      </c>
      <c r="O559" s="7">
        <v>342199</v>
      </c>
      <c r="P559" s="7">
        <v>0</v>
      </c>
      <c r="Q559" s="7" t="str">
        <f t="shared" si="176"/>
        <v>環境農林水産部</v>
      </c>
      <c r="R559" s="7" t="str">
        <f t="shared" ref="R559:R591" si="205">"環境管理室"</f>
        <v>環境管理室</v>
      </c>
    </row>
    <row r="560" spans="1:18" s="1" customFormat="1" x14ac:dyDescent="0.45">
      <c r="A560" s="7" t="str">
        <f>"06171000003"</f>
        <v>06171000003</v>
      </c>
      <c r="B560" s="7" t="str">
        <f>"庭窪第１地盤沈下観測所"</f>
        <v>庭窪第１地盤沈下観測所</v>
      </c>
      <c r="C560" s="7" t="str">
        <f t="shared" si="201"/>
        <v>行政財産</v>
      </c>
      <c r="D560" s="7" t="str">
        <f t="shared" si="204"/>
        <v>その他（行政機関）の施設</v>
      </c>
      <c r="E560" s="7" t="str">
        <f>"大阪府守口市淀江町"</f>
        <v>大阪府守口市淀江町</v>
      </c>
      <c r="F560" s="7"/>
      <c r="G560" s="7" t="str">
        <f t="shared" si="203"/>
        <v>事業用資産</v>
      </c>
      <c r="H560" s="7" t="str">
        <f t="shared" si="189"/>
        <v>棚卸以外</v>
      </c>
      <c r="I560" s="7">
        <v>1</v>
      </c>
      <c r="J560" s="7" t="str">
        <f>"庭窪第１地盤沈下観測所"</f>
        <v>庭窪第１地盤沈下観測所</v>
      </c>
      <c r="K560" s="7" t="str">
        <f>"コンクリートブロック造"</f>
        <v>コンクリートブロック造</v>
      </c>
      <c r="L560" s="7" t="str">
        <f>"S40.03.30"</f>
        <v>S40.03.30</v>
      </c>
      <c r="M560" s="7">
        <v>32.200000000000003</v>
      </c>
      <c r="N560" s="7">
        <v>598500</v>
      </c>
      <c r="O560" s="7">
        <v>598499</v>
      </c>
      <c r="P560" s="7">
        <v>0</v>
      </c>
      <c r="Q560" s="7" t="str">
        <f t="shared" si="176"/>
        <v>環境農林水産部</v>
      </c>
      <c r="R560" s="7" t="str">
        <f t="shared" si="205"/>
        <v>環境管理室</v>
      </c>
    </row>
    <row r="561" spans="1:18" s="1" customFormat="1" x14ac:dyDescent="0.45">
      <c r="A561" s="7" t="str">
        <f>"06171000005"</f>
        <v>06171000005</v>
      </c>
      <c r="B561" s="7" t="str">
        <f>"南郷地盤沈下観測所"</f>
        <v>南郷地盤沈下観測所</v>
      </c>
      <c r="C561" s="7" t="str">
        <f t="shared" si="201"/>
        <v>行政財産</v>
      </c>
      <c r="D561" s="7" t="str">
        <f t="shared" si="204"/>
        <v>その他（行政機関）の施設</v>
      </c>
      <c r="E561" s="7" t="str">
        <f>"大阪府大東市太子田１丁目"</f>
        <v>大阪府大東市太子田１丁目</v>
      </c>
      <c r="F561" s="7"/>
      <c r="G561" s="7" t="str">
        <f t="shared" si="203"/>
        <v>事業用資産</v>
      </c>
      <c r="H561" s="7" t="str">
        <f t="shared" si="189"/>
        <v>棚卸以外</v>
      </c>
      <c r="I561" s="7">
        <v>1</v>
      </c>
      <c r="J561" s="7" t="str">
        <f>"南郷地盤沈下観測所"</f>
        <v>南郷地盤沈下観測所</v>
      </c>
      <c r="K561" s="7" t="str">
        <f>"コンクリートブロック造"</f>
        <v>コンクリートブロック造</v>
      </c>
      <c r="L561" s="7" t="str">
        <f>"S40.03.30"</f>
        <v>S40.03.30</v>
      </c>
      <c r="M561" s="7">
        <v>12.88</v>
      </c>
      <c r="N561" s="7">
        <v>297000</v>
      </c>
      <c r="O561" s="7">
        <v>296999</v>
      </c>
      <c r="P561" s="7">
        <v>0</v>
      </c>
      <c r="Q561" s="7" t="str">
        <f t="shared" si="176"/>
        <v>環境農林水産部</v>
      </c>
      <c r="R561" s="7" t="str">
        <f t="shared" si="205"/>
        <v>環境管理室</v>
      </c>
    </row>
    <row r="562" spans="1:18" s="1" customFormat="1" x14ac:dyDescent="0.45">
      <c r="A562" s="7" t="str">
        <f>"06171000006"</f>
        <v>06171000006</v>
      </c>
      <c r="B562" s="7" t="str">
        <f>"長瀬地盤沈下観測所"</f>
        <v>長瀬地盤沈下観測所</v>
      </c>
      <c r="C562" s="7" t="str">
        <f t="shared" si="201"/>
        <v>行政財産</v>
      </c>
      <c r="D562" s="7" t="str">
        <f t="shared" si="204"/>
        <v>その他（行政機関）の施設</v>
      </c>
      <c r="E562" s="7" t="str">
        <f>"大阪府東大阪市大蓮東２丁目"</f>
        <v>大阪府東大阪市大蓮東２丁目</v>
      </c>
      <c r="F562" s="7"/>
      <c r="G562" s="7" t="str">
        <f t="shared" si="203"/>
        <v>事業用資産</v>
      </c>
      <c r="H562" s="7" t="str">
        <f t="shared" si="189"/>
        <v>棚卸以外</v>
      </c>
      <c r="I562" s="7">
        <v>1</v>
      </c>
      <c r="J562" s="7" t="str">
        <f>"長瀬地盤沈下観測所"</f>
        <v>長瀬地盤沈下観測所</v>
      </c>
      <c r="K562" s="7" t="str">
        <f>"コンクリートブロック造"</f>
        <v>コンクリートブロック造</v>
      </c>
      <c r="L562" s="7" t="str">
        <f>"S40.03.30"</f>
        <v>S40.03.30</v>
      </c>
      <c r="M562" s="7">
        <v>12.88</v>
      </c>
      <c r="N562" s="7">
        <v>297000</v>
      </c>
      <c r="O562" s="7">
        <v>296999</v>
      </c>
      <c r="P562" s="7">
        <v>0</v>
      </c>
      <c r="Q562" s="7" t="str">
        <f t="shared" si="176"/>
        <v>環境農林水産部</v>
      </c>
      <c r="R562" s="7" t="str">
        <f t="shared" si="205"/>
        <v>環境管理室</v>
      </c>
    </row>
    <row r="563" spans="1:18" s="1" customFormat="1" x14ac:dyDescent="0.45">
      <c r="A563" s="7" t="str">
        <f>"06171000007"</f>
        <v>06171000007</v>
      </c>
      <c r="B563" s="7" t="str">
        <f>"堺第１地盤沈下観測所"</f>
        <v>堺第１地盤沈下観測所</v>
      </c>
      <c r="C563" s="7" t="str">
        <f t="shared" si="201"/>
        <v>行政財産</v>
      </c>
      <c r="D563" s="7" t="str">
        <f t="shared" si="204"/>
        <v>その他（行政機関）の施設</v>
      </c>
      <c r="E563" s="7" t="str">
        <f>"大阪府堺市　堺区大浜西町"</f>
        <v>大阪府堺市　堺区大浜西町</v>
      </c>
      <c r="F563" s="7"/>
      <c r="G563" s="7" t="str">
        <f t="shared" si="203"/>
        <v>事業用資産</v>
      </c>
      <c r="H563" s="7" t="str">
        <f t="shared" si="189"/>
        <v>棚卸以外</v>
      </c>
      <c r="I563" s="7">
        <v>1</v>
      </c>
      <c r="J563" s="7" t="str">
        <f>"堺第１地盤沈下観測所"</f>
        <v>堺第１地盤沈下観測所</v>
      </c>
      <c r="K563" s="7" t="str">
        <f>"鉄筋コンクリート造"</f>
        <v>鉄筋コンクリート造</v>
      </c>
      <c r="L563" s="7" t="str">
        <f>"S57.08.05"</f>
        <v>S57.08.05</v>
      </c>
      <c r="M563" s="7">
        <v>51.84</v>
      </c>
      <c r="N563" s="7">
        <v>10400000</v>
      </c>
      <c r="O563" s="7">
        <v>8441658</v>
      </c>
      <c r="P563" s="7">
        <v>0</v>
      </c>
      <c r="Q563" s="7" t="str">
        <f t="shared" si="176"/>
        <v>環境農林水産部</v>
      </c>
      <c r="R563" s="7" t="str">
        <f t="shared" si="205"/>
        <v>環境管理室</v>
      </c>
    </row>
    <row r="564" spans="1:18" s="1" customFormat="1" x14ac:dyDescent="0.45">
      <c r="A564" s="7" t="str">
        <f>"06171000008"</f>
        <v>06171000008</v>
      </c>
      <c r="B564" s="7" t="str">
        <f>"堺第２地盤沈下観測所"</f>
        <v>堺第２地盤沈下観測所</v>
      </c>
      <c r="C564" s="7" t="str">
        <f t="shared" si="201"/>
        <v>行政財産</v>
      </c>
      <c r="D564" s="7" t="str">
        <f t="shared" si="204"/>
        <v>その他（行政機関）の施設</v>
      </c>
      <c r="E564" s="7" t="str">
        <f>"大阪府堺市　堺区大浜北町４丁"</f>
        <v>大阪府堺市　堺区大浜北町４丁</v>
      </c>
      <c r="F564" s="7"/>
      <c r="G564" s="7" t="str">
        <f t="shared" si="203"/>
        <v>事業用資産</v>
      </c>
      <c r="H564" s="7" t="str">
        <f t="shared" si="189"/>
        <v>棚卸以外</v>
      </c>
      <c r="I564" s="7">
        <v>1</v>
      </c>
      <c r="J564" s="7" t="str">
        <f>"堺第２地盤沈下観測所"</f>
        <v>堺第２地盤沈下観測所</v>
      </c>
      <c r="K564" s="7" t="str">
        <f>"コンクリートブロック造"</f>
        <v>コンクリートブロック造</v>
      </c>
      <c r="L564" s="7" t="str">
        <f>"S44.04.01"</f>
        <v>S44.04.01</v>
      </c>
      <c r="M564" s="7">
        <v>19.36</v>
      </c>
      <c r="N564" s="7">
        <v>3860000</v>
      </c>
      <c r="O564" s="7">
        <v>3859999</v>
      </c>
      <c r="P564" s="7">
        <v>0</v>
      </c>
      <c r="Q564" s="7" t="str">
        <f t="shared" ref="Q564:Q627" si="206">"環境農林水産部"</f>
        <v>環境農林水産部</v>
      </c>
      <c r="R564" s="7" t="str">
        <f t="shared" si="205"/>
        <v>環境管理室</v>
      </c>
    </row>
    <row r="565" spans="1:18" s="1" customFormat="1" x14ac:dyDescent="0.45">
      <c r="A565" s="7" t="str">
        <f>"06171000009"</f>
        <v>06171000009</v>
      </c>
      <c r="B565" s="7" t="str">
        <f>"堺第３地盤沈下観測所"</f>
        <v>堺第３地盤沈下観測所</v>
      </c>
      <c r="C565" s="7" t="str">
        <f t="shared" si="201"/>
        <v>行政財産</v>
      </c>
      <c r="D565" s="7" t="str">
        <f t="shared" si="204"/>
        <v>その他（行政機関）の施設</v>
      </c>
      <c r="E565" s="7" t="str">
        <f>"大阪府堺市　堺区大浜西町"</f>
        <v>大阪府堺市　堺区大浜西町</v>
      </c>
      <c r="F565" s="7"/>
      <c r="G565" s="7" t="str">
        <f t="shared" si="203"/>
        <v>事業用資産</v>
      </c>
      <c r="H565" s="7" t="str">
        <f t="shared" si="189"/>
        <v>棚卸以外</v>
      </c>
      <c r="I565" s="7">
        <v>1</v>
      </c>
      <c r="J565" s="7" t="str">
        <f>"堺第３地盤沈下観測所"</f>
        <v>堺第３地盤沈下観測所</v>
      </c>
      <c r="K565" s="7" t="str">
        <f>"鉄筋コンクリート造"</f>
        <v>鉄筋コンクリート造</v>
      </c>
      <c r="L565" s="7" t="str">
        <f>"S44.04.01"</f>
        <v>S44.04.01</v>
      </c>
      <c r="M565" s="7">
        <v>23.24</v>
      </c>
      <c r="N565" s="7">
        <v>3864000</v>
      </c>
      <c r="O565" s="7">
        <v>3863999</v>
      </c>
      <c r="P565" s="7">
        <v>0</v>
      </c>
      <c r="Q565" s="7" t="str">
        <f t="shared" si="206"/>
        <v>環境農林水産部</v>
      </c>
      <c r="R565" s="7" t="str">
        <f t="shared" si="205"/>
        <v>環境管理室</v>
      </c>
    </row>
    <row r="566" spans="1:18" s="1" customFormat="1" x14ac:dyDescent="0.45">
      <c r="A566" s="7" t="str">
        <f>"06171000011"</f>
        <v>06171000011</v>
      </c>
      <c r="B566" s="7" t="str">
        <f>"堺第５地盤沈下観測所"</f>
        <v>堺第５地盤沈下観測所</v>
      </c>
      <c r="C566" s="7" t="str">
        <f t="shared" si="201"/>
        <v>行政財産</v>
      </c>
      <c r="D566" s="7" t="str">
        <f t="shared" si="204"/>
        <v>その他（行政機関）の施設</v>
      </c>
      <c r="E566" s="7" t="str">
        <f>"大阪府堺市　西区築港新町３丁"</f>
        <v>大阪府堺市　西区築港新町３丁</v>
      </c>
      <c r="F566" s="7"/>
      <c r="G566" s="7" t="str">
        <f t="shared" si="203"/>
        <v>事業用資産</v>
      </c>
      <c r="H566" s="7" t="str">
        <f t="shared" si="189"/>
        <v>棚卸以外</v>
      </c>
      <c r="I566" s="7">
        <v>1</v>
      </c>
      <c r="J566" s="7" t="str">
        <f>"堺第５地盤沈下観測所"</f>
        <v>堺第５地盤沈下観測所</v>
      </c>
      <c r="K566" s="7" t="str">
        <f t="shared" ref="K566:K572" si="207">"コンクリートブロック造"</f>
        <v>コンクリートブロック造</v>
      </c>
      <c r="L566" s="7" t="str">
        <f>"S46.03.25"</f>
        <v>S46.03.25</v>
      </c>
      <c r="M566" s="7">
        <v>37</v>
      </c>
      <c r="N566" s="7">
        <v>980000</v>
      </c>
      <c r="O566" s="7">
        <v>979999</v>
      </c>
      <c r="P566" s="7">
        <v>0</v>
      </c>
      <c r="Q566" s="7" t="str">
        <f t="shared" si="206"/>
        <v>環境農林水産部</v>
      </c>
      <c r="R566" s="7" t="str">
        <f t="shared" si="205"/>
        <v>環境管理室</v>
      </c>
    </row>
    <row r="567" spans="1:18" s="1" customFormat="1" x14ac:dyDescent="0.45">
      <c r="A567" s="7" t="str">
        <f>"06171000012"</f>
        <v>06171000012</v>
      </c>
      <c r="B567" s="7" t="str">
        <f>"岸和田第１地盤沈下観測所"</f>
        <v>岸和田第１地盤沈下観測所</v>
      </c>
      <c r="C567" s="7" t="str">
        <f t="shared" si="201"/>
        <v>行政財産</v>
      </c>
      <c r="D567" s="7" t="str">
        <f t="shared" si="204"/>
        <v>その他（行政機関）の施設</v>
      </c>
      <c r="E567" s="7" t="str">
        <f>"大阪府岸和田市中井町１丁目"</f>
        <v>大阪府岸和田市中井町１丁目</v>
      </c>
      <c r="F567" s="7"/>
      <c r="G567" s="7" t="str">
        <f t="shared" si="203"/>
        <v>事業用資産</v>
      </c>
      <c r="H567" s="7" t="str">
        <f t="shared" si="189"/>
        <v>棚卸以外</v>
      </c>
      <c r="I567" s="7">
        <v>1</v>
      </c>
      <c r="J567" s="7" t="str">
        <f>"岸和田第１地盤沈下観測所"</f>
        <v>岸和田第１地盤沈下観測所</v>
      </c>
      <c r="K567" s="7" t="str">
        <f t="shared" si="207"/>
        <v>コンクリートブロック造</v>
      </c>
      <c r="L567" s="7" t="str">
        <f>"S45.03.10"</f>
        <v>S45.03.10</v>
      </c>
      <c r="M567" s="7">
        <v>15.28</v>
      </c>
      <c r="N567" s="7">
        <v>390000</v>
      </c>
      <c r="O567" s="7">
        <v>389999</v>
      </c>
      <c r="P567" s="7">
        <v>0</v>
      </c>
      <c r="Q567" s="7" t="str">
        <f t="shared" si="206"/>
        <v>環境農林水産部</v>
      </c>
      <c r="R567" s="7" t="str">
        <f t="shared" si="205"/>
        <v>環境管理室</v>
      </c>
    </row>
    <row r="568" spans="1:18" s="1" customFormat="1" x14ac:dyDescent="0.45">
      <c r="A568" s="7" t="str">
        <f>"06171000013"</f>
        <v>06171000013</v>
      </c>
      <c r="B568" s="7" t="str">
        <f>"岸和田第２地盤沈下観測所"</f>
        <v>岸和田第２地盤沈下観測所</v>
      </c>
      <c r="C568" s="7" t="str">
        <f t="shared" si="201"/>
        <v>行政財産</v>
      </c>
      <c r="D568" s="7" t="str">
        <f t="shared" si="204"/>
        <v>その他（行政機関）の施設</v>
      </c>
      <c r="E568" s="7" t="str">
        <f>"大阪府岸和田市春木大国町"</f>
        <v>大阪府岸和田市春木大国町</v>
      </c>
      <c r="F568" s="7"/>
      <c r="G568" s="7" t="str">
        <f t="shared" si="203"/>
        <v>事業用資産</v>
      </c>
      <c r="H568" s="7" t="str">
        <f t="shared" si="189"/>
        <v>棚卸以外</v>
      </c>
      <c r="I568" s="7">
        <v>1</v>
      </c>
      <c r="J568" s="7" t="str">
        <f>"岸和田第２地盤沈下観測所"</f>
        <v>岸和田第２地盤沈下観測所</v>
      </c>
      <c r="K568" s="7" t="str">
        <f t="shared" si="207"/>
        <v>コンクリートブロック造</v>
      </c>
      <c r="L568" s="7" t="str">
        <f>"S45.03.10"</f>
        <v>S45.03.10</v>
      </c>
      <c r="M568" s="7">
        <v>15.28</v>
      </c>
      <c r="N568" s="7">
        <v>390000</v>
      </c>
      <c r="O568" s="7">
        <v>389999</v>
      </c>
      <c r="P568" s="7">
        <v>0</v>
      </c>
      <c r="Q568" s="7" t="str">
        <f t="shared" si="206"/>
        <v>環境農林水産部</v>
      </c>
      <c r="R568" s="7" t="str">
        <f t="shared" si="205"/>
        <v>環境管理室</v>
      </c>
    </row>
    <row r="569" spans="1:18" s="1" customFormat="1" x14ac:dyDescent="0.45">
      <c r="A569" s="7" t="str">
        <f>"06171000014"</f>
        <v>06171000014</v>
      </c>
      <c r="B569" s="7" t="str">
        <f>"岸和田第３地盤沈下観測所"</f>
        <v>岸和田第３地盤沈下観測所</v>
      </c>
      <c r="C569" s="7" t="str">
        <f t="shared" si="201"/>
        <v>行政財産</v>
      </c>
      <c r="D569" s="7" t="str">
        <f t="shared" si="204"/>
        <v>その他（行政機関）の施設</v>
      </c>
      <c r="E569" s="7" t="str">
        <f>"大阪府岸和田市磯上町３丁目"</f>
        <v>大阪府岸和田市磯上町３丁目</v>
      </c>
      <c r="F569" s="7"/>
      <c r="G569" s="7" t="str">
        <f t="shared" si="203"/>
        <v>事業用資産</v>
      </c>
      <c r="H569" s="7" t="str">
        <f t="shared" si="189"/>
        <v>棚卸以外</v>
      </c>
      <c r="I569" s="7">
        <v>1</v>
      </c>
      <c r="J569" s="7" t="str">
        <f>"岸和田第３地盤沈下観測所"</f>
        <v>岸和田第３地盤沈下観測所</v>
      </c>
      <c r="K569" s="7" t="str">
        <f t="shared" si="207"/>
        <v>コンクリートブロック造</v>
      </c>
      <c r="L569" s="7" t="str">
        <f>"S52.03.15"</f>
        <v>S52.03.15</v>
      </c>
      <c r="M569" s="7">
        <v>6.51</v>
      </c>
      <c r="N569" s="7">
        <v>814000</v>
      </c>
      <c r="O569" s="7">
        <v>813999</v>
      </c>
      <c r="P569" s="7">
        <v>0</v>
      </c>
      <c r="Q569" s="7" t="str">
        <f t="shared" si="206"/>
        <v>環境農林水産部</v>
      </c>
      <c r="R569" s="7" t="str">
        <f t="shared" si="205"/>
        <v>環境管理室</v>
      </c>
    </row>
    <row r="570" spans="1:18" s="1" customFormat="1" x14ac:dyDescent="0.45">
      <c r="A570" s="7" t="str">
        <f>"06171000015"</f>
        <v>06171000015</v>
      </c>
      <c r="B570" s="7" t="str">
        <f>"貝塚地盤沈下観測所"</f>
        <v>貝塚地盤沈下観測所</v>
      </c>
      <c r="C570" s="7" t="str">
        <f t="shared" si="201"/>
        <v>行政財産</v>
      </c>
      <c r="D570" s="7" t="str">
        <f t="shared" si="204"/>
        <v>その他（行政機関）の施設</v>
      </c>
      <c r="E570" s="7" t="str">
        <f>"大阪府貝塚市半田"</f>
        <v>大阪府貝塚市半田</v>
      </c>
      <c r="F570" s="7"/>
      <c r="G570" s="7" t="str">
        <f t="shared" si="203"/>
        <v>事業用資産</v>
      </c>
      <c r="H570" s="7" t="str">
        <f t="shared" si="189"/>
        <v>棚卸以外</v>
      </c>
      <c r="I570" s="7">
        <v>1</v>
      </c>
      <c r="J570" s="7" t="str">
        <f>"貝塚地盤沈下観測所"</f>
        <v>貝塚地盤沈下観測所</v>
      </c>
      <c r="K570" s="7" t="str">
        <f t="shared" si="207"/>
        <v>コンクリートブロック造</v>
      </c>
      <c r="L570" s="7" t="str">
        <f>"S46.03.30"</f>
        <v>S46.03.30</v>
      </c>
      <c r="M570" s="7">
        <v>29.13</v>
      </c>
      <c r="N570" s="7">
        <v>735000</v>
      </c>
      <c r="O570" s="7">
        <v>734999</v>
      </c>
      <c r="P570" s="7">
        <v>0</v>
      </c>
      <c r="Q570" s="7" t="str">
        <f t="shared" si="206"/>
        <v>環境農林水産部</v>
      </c>
      <c r="R570" s="7" t="str">
        <f t="shared" si="205"/>
        <v>環境管理室</v>
      </c>
    </row>
    <row r="571" spans="1:18" s="1" customFormat="1" x14ac:dyDescent="0.45">
      <c r="A571" s="7" t="str">
        <f>"06171000017"</f>
        <v>06171000017</v>
      </c>
      <c r="B571" s="7" t="str">
        <f>"泉大津地盤沈下観測所"</f>
        <v>泉大津地盤沈下観測所</v>
      </c>
      <c r="C571" s="7" t="str">
        <f t="shared" si="201"/>
        <v>行政財産</v>
      </c>
      <c r="D571" s="7" t="str">
        <f t="shared" si="204"/>
        <v>その他（行政機関）の施設</v>
      </c>
      <c r="E571" s="7" t="str">
        <f>"大阪府泉大津市東雲町"</f>
        <v>大阪府泉大津市東雲町</v>
      </c>
      <c r="F571" s="7"/>
      <c r="G571" s="7" t="str">
        <f t="shared" si="203"/>
        <v>事業用資産</v>
      </c>
      <c r="H571" s="7" t="str">
        <f t="shared" si="189"/>
        <v>棚卸以外</v>
      </c>
      <c r="I571" s="7">
        <v>1</v>
      </c>
      <c r="J571" s="7" t="str">
        <f>"泉大津地盤沈下観測所"</f>
        <v>泉大津地盤沈下観測所</v>
      </c>
      <c r="K571" s="7" t="str">
        <f t="shared" si="207"/>
        <v>コンクリートブロック造</v>
      </c>
      <c r="L571" s="7" t="str">
        <f>"S49.03.22"</f>
        <v>S49.03.22</v>
      </c>
      <c r="M571" s="7">
        <v>4.6500000000000004</v>
      </c>
      <c r="N571" s="7">
        <v>493000</v>
      </c>
      <c r="O571" s="7">
        <v>492999</v>
      </c>
      <c r="P571" s="7">
        <v>0</v>
      </c>
      <c r="Q571" s="7" t="str">
        <f t="shared" si="206"/>
        <v>環境農林水産部</v>
      </c>
      <c r="R571" s="7" t="str">
        <f t="shared" si="205"/>
        <v>環境管理室</v>
      </c>
    </row>
    <row r="572" spans="1:18" s="1" customFormat="1" x14ac:dyDescent="0.45">
      <c r="A572" s="7" t="str">
        <f>"06171000018"</f>
        <v>06171000018</v>
      </c>
      <c r="B572" s="7" t="str">
        <f>"泉南地盤沈下観測所"</f>
        <v>泉南地盤沈下観測所</v>
      </c>
      <c r="C572" s="7" t="str">
        <f t="shared" si="201"/>
        <v>行政財産</v>
      </c>
      <c r="D572" s="7" t="str">
        <f t="shared" si="204"/>
        <v>その他（行政機関）の施設</v>
      </c>
      <c r="E572" s="7" t="str">
        <f>"大阪府泉南市樽井"</f>
        <v>大阪府泉南市樽井</v>
      </c>
      <c r="F572" s="7"/>
      <c r="G572" s="7" t="str">
        <f t="shared" si="203"/>
        <v>事業用資産</v>
      </c>
      <c r="H572" s="7" t="str">
        <f t="shared" si="189"/>
        <v>棚卸以外</v>
      </c>
      <c r="I572" s="7">
        <v>1</v>
      </c>
      <c r="J572" s="7" t="str">
        <f>"泉南地盤沈下観測所"</f>
        <v>泉南地盤沈下観測所</v>
      </c>
      <c r="K572" s="7" t="str">
        <f t="shared" si="207"/>
        <v>コンクリートブロック造</v>
      </c>
      <c r="L572" s="7" t="str">
        <f>"S49.11.13"</f>
        <v>S49.11.13</v>
      </c>
      <c r="M572" s="7">
        <v>3.24</v>
      </c>
      <c r="N572" s="7">
        <v>520000</v>
      </c>
      <c r="O572" s="7">
        <v>519999</v>
      </c>
      <c r="P572" s="7">
        <v>0</v>
      </c>
      <c r="Q572" s="7" t="str">
        <f t="shared" si="206"/>
        <v>環境農林水産部</v>
      </c>
      <c r="R572" s="7" t="str">
        <f t="shared" si="205"/>
        <v>環境管理室</v>
      </c>
    </row>
    <row r="573" spans="1:18" s="1" customFormat="1" x14ac:dyDescent="0.45">
      <c r="A573" s="7" t="str">
        <f>"06171000020"</f>
        <v>06171000020</v>
      </c>
      <c r="B573" s="7" t="str">
        <f>"泉佐野地盤沈下観測所"</f>
        <v>泉佐野地盤沈下観測所</v>
      </c>
      <c r="C573" s="7" t="str">
        <f t="shared" si="201"/>
        <v>行政財産</v>
      </c>
      <c r="D573" s="7" t="str">
        <f t="shared" si="204"/>
        <v>その他（行政機関）の施設</v>
      </c>
      <c r="E573" s="7" t="str">
        <f>"大阪府泉佐野市住吉町"</f>
        <v>大阪府泉佐野市住吉町</v>
      </c>
      <c r="F573" s="7"/>
      <c r="G573" s="7" t="str">
        <f t="shared" si="203"/>
        <v>事業用資産</v>
      </c>
      <c r="H573" s="7" t="str">
        <f t="shared" si="189"/>
        <v>棚卸以外</v>
      </c>
      <c r="I573" s="7">
        <v>1</v>
      </c>
      <c r="J573" s="7" t="str">
        <f>"泉佐野地盤沈下観測所"</f>
        <v>泉佐野地盤沈下観測所</v>
      </c>
      <c r="K573" s="7" t="str">
        <f>"鉄筋コンクリート造"</f>
        <v>鉄筋コンクリート造</v>
      </c>
      <c r="L573" s="7" t="str">
        <f>"H10.03.19"</f>
        <v>H10.03.19</v>
      </c>
      <c r="M573" s="7">
        <v>9.6</v>
      </c>
      <c r="N573" s="7">
        <v>434000</v>
      </c>
      <c r="O573" s="7">
        <v>217200</v>
      </c>
      <c r="P573" s="7">
        <v>0</v>
      </c>
      <c r="Q573" s="7" t="str">
        <f t="shared" si="206"/>
        <v>環境農林水産部</v>
      </c>
      <c r="R573" s="7" t="str">
        <f t="shared" si="205"/>
        <v>環境管理室</v>
      </c>
    </row>
    <row r="574" spans="1:18" s="1" customFormat="1" x14ac:dyDescent="0.45">
      <c r="A574" s="7" t="str">
        <f>"06171001015"</f>
        <v>06171001015</v>
      </c>
      <c r="B574" s="7" t="str">
        <f>"鴻池地盤沈下観測所"</f>
        <v>鴻池地盤沈下観測所</v>
      </c>
      <c r="C574" s="7" t="str">
        <f t="shared" si="201"/>
        <v>行政財産</v>
      </c>
      <c r="D574" s="7" t="str">
        <f t="shared" si="204"/>
        <v>その他（行政機関）の施設</v>
      </c>
      <c r="E574" s="7" t="str">
        <f>"大阪府東大阪市南鴻池町１丁目"</f>
        <v>大阪府東大阪市南鴻池町１丁目</v>
      </c>
      <c r="F574" s="7"/>
      <c r="G574" s="7" t="str">
        <f t="shared" si="203"/>
        <v>事業用資産</v>
      </c>
      <c r="H574" s="7" t="str">
        <f t="shared" si="189"/>
        <v>棚卸以外</v>
      </c>
      <c r="I574" s="7">
        <v>1</v>
      </c>
      <c r="J574" s="7" t="str">
        <f>"鴻池地盤沈下観測所"</f>
        <v>鴻池地盤沈下観測所</v>
      </c>
      <c r="K574" s="7" t="str">
        <f>"コンクリートブロック造"</f>
        <v>コンクリートブロック造</v>
      </c>
      <c r="L574" s="7" t="str">
        <f>"S43.03.30"</f>
        <v>S43.03.30</v>
      </c>
      <c r="M574" s="7">
        <v>18.399999999999999</v>
      </c>
      <c r="N574" s="7">
        <v>430000</v>
      </c>
      <c r="O574" s="7">
        <v>429999</v>
      </c>
      <c r="P574" s="7">
        <v>0</v>
      </c>
      <c r="Q574" s="7" t="str">
        <f t="shared" si="206"/>
        <v>環境農林水産部</v>
      </c>
      <c r="R574" s="7" t="str">
        <f t="shared" si="205"/>
        <v>環境管理室</v>
      </c>
    </row>
    <row r="575" spans="1:18" s="1" customFormat="1" x14ac:dyDescent="0.45">
      <c r="A575" s="7" t="str">
        <f>"06171003003"</f>
        <v>06171003003</v>
      </c>
      <c r="B575" s="7" t="str">
        <f>"高石中学校大気汚染測定局"</f>
        <v>高石中学校大気汚染測定局</v>
      </c>
      <c r="C575" s="7" t="str">
        <f t="shared" si="201"/>
        <v>行政財産</v>
      </c>
      <c r="D575" s="7" t="str">
        <f t="shared" si="204"/>
        <v>その他（行政機関）の施設</v>
      </c>
      <c r="E575" s="7" t="str">
        <f>"大阪府高石市東羽衣６丁目"</f>
        <v>大阪府高石市東羽衣６丁目</v>
      </c>
      <c r="F575" s="7"/>
      <c r="G575" s="7" t="str">
        <f t="shared" si="203"/>
        <v>事業用資産</v>
      </c>
      <c r="H575" s="7" t="str">
        <f t="shared" si="189"/>
        <v>棚卸以外</v>
      </c>
      <c r="I575" s="7">
        <v>1</v>
      </c>
      <c r="J575" s="7" t="str">
        <f>"高石中学校大気汚染測定局"</f>
        <v>高石中学校大気汚染測定局</v>
      </c>
      <c r="K575" s="7" t="str">
        <f>"鉄骨造"</f>
        <v>鉄骨造</v>
      </c>
      <c r="L575" s="7" t="str">
        <f t="shared" ref="L575:L587" si="208">"S25.01.01"</f>
        <v>S25.01.01</v>
      </c>
      <c r="M575" s="7">
        <v>10</v>
      </c>
      <c r="N575" s="7">
        <v>1379636</v>
      </c>
      <c r="O575" s="7">
        <v>1189105</v>
      </c>
      <c r="P575" s="7">
        <v>0</v>
      </c>
      <c r="Q575" s="7" t="str">
        <f t="shared" si="206"/>
        <v>環境農林水産部</v>
      </c>
      <c r="R575" s="7" t="str">
        <f t="shared" si="205"/>
        <v>環境管理室</v>
      </c>
    </row>
    <row r="576" spans="1:18" s="1" customFormat="1" x14ac:dyDescent="0.45">
      <c r="A576" s="7" t="str">
        <f>"06171003004"</f>
        <v>06171003004</v>
      </c>
      <c r="B576" s="7" t="str">
        <f>"淀川工科高校大気汚染測定局"</f>
        <v>淀川工科高校大気汚染測定局</v>
      </c>
      <c r="C576" s="7" t="str">
        <f t="shared" si="201"/>
        <v>行政財産</v>
      </c>
      <c r="D576" s="7" t="str">
        <f t="shared" si="204"/>
        <v>その他（行政機関）の施設</v>
      </c>
      <c r="E576" s="7" t="str">
        <f>"大阪府守口市京阪本通２丁目"</f>
        <v>大阪府守口市京阪本通２丁目</v>
      </c>
      <c r="F576" s="7"/>
      <c r="G576" s="7" t="str">
        <f t="shared" si="203"/>
        <v>事業用資産</v>
      </c>
      <c r="H576" s="7" t="str">
        <f t="shared" si="189"/>
        <v>棚卸以外</v>
      </c>
      <c r="I576" s="7">
        <v>1</v>
      </c>
      <c r="J576" s="7" t="str">
        <f>"淀川工科高校大気汚染測定局"</f>
        <v>淀川工科高校大気汚染測定局</v>
      </c>
      <c r="K576" s="7" t="str">
        <f>"鉄筋コンクリート造"</f>
        <v>鉄筋コンクリート造</v>
      </c>
      <c r="L576" s="7" t="str">
        <f t="shared" si="208"/>
        <v>S25.01.01</v>
      </c>
      <c r="M576" s="7">
        <v>10</v>
      </c>
      <c r="N576" s="7">
        <v>962000</v>
      </c>
      <c r="O576" s="7">
        <v>961999</v>
      </c>
      <c r="P576" s="7">
        <v>0</v>
      </c>
      <c r="Q576" s="7" t="str">
        <f t="shared" si="206"/>
        <v>環境農林水産部</v>
      </c>
      <c r="R576" s="7" t="str">
        <f t="shared" si="205"/>
        <v>環境管理室</v>
      </c>
    </row>
    <row r="577" spans="1:18" s="1" customFormat="1" x14ac:dyDescent="0.45">
      <c r="A577" s="7" t="str">
        <f>"06171003006"</f>
        <v>06171003006</v>
      </c>
      <c r="B577" s="7" t="str">
        <f>"大東市役所大気汚染測定局"</f>
        <v>大東市役所大気汚染測定局</v>
      </c>
      <c r="C577" s="7" t="str">
        <f t="shared" si="201"/>
        <v>行政財産</v>
      </c>
      <c r="D577" s="7" t="str">
        <f t="shared" si="204"/>
        <v>その他（行政機関）の施設</v>
      </c>
      <c r="E577" s="7" t="str">
        <f>"大阪府大東市谷川１丁目"</f>
        <v>大阪府大東市谷川１丁目</v>
      </c>
      <c r="F577" s="7"/>
      <c r="G577" s="7" t="str">
        <f t="shared" si="203"/>
        <v>事業用資産</v>
      </c>
      <c r="H577" s="7" t="str">
        <f t="shared" si="189"/>
        <v>棚卸以外</v>
      </c>
      <c r="I577" s="7">
        <v>1</v>
      </c>
      <c r="J577" s="7" t="str">
        <f>"大東市役所大気汚染測定局"</f>
        <v>大東市役所大気汚染測定局</v>
      </c>
      <c r="K577" s="7" t="str">
        <f>"鉄骨造"</f>
        <v>鉄骨造</v>
      </c>
      <c r="L577" s="7" t="str">
        <f t="shared" si="208"/>
        <v>S25.01.01</v>
      </c>
      <c r="M577" s="7">
        <v>22.79</v>
      </c>
      <c r="N577" s="7">
        <v>3540000</v>
      </c>
      <c r="O577" s="7">
        <v>3539999</v>
      </c>
      <c r="P577" s="7">
        <v>0</v>
      </c>
      <c r="Q577" s="7" t="str">
        <f t="shared" si="206"/>
        <v>環境農林水産部</v>
      </c>
      <c r="R577" s="7" t="str">
        <f t="shared" si="205"/>
        <v>環境管理室</v>
      </c>
    </row>
    <row r="578" spans="1:18" s="1" customFormat="1" x14ac:dyDescent="0.45">
      <c r="A578" s="7" t="str">
        <f>"06171003007"</f>
        <v>06171003007</v>
      </c>
      <c r="B578" s="7" t="str">
        <f>"府立修徳学院大気汚染測定局"</f>
        <v>府立修徳学院大気汚染測定局</v>
      </c>
      <c r="C578" s="7" t="str">
        <f t="shared" si="201"/>
        <v>行政財産</v>
      </c>
      <c r="D578" s="7" t="str">
        <f t="shared" si="204"/>
        <v>その他（行政機関）の施設</v>
      </c>
      <c r="E578" s="7" t="str">
        <f>"大阪府柏原市大字高井田"</f>
        <v>大阪府柏原市大字高井田</v>
      </c>
      <c r="F578" s="7"/>
      <c r="G578" s="7" t="str">
        <f t="shared" si="203"/>
        <v>事業用資産</v>
      </c>
      <c r="H578" s="7" t="str">
        <f t="shared" si="189"/>
        <v>棚卸以外</v>
      </c>
      <c r="I578" s="7">
        <v>1</v>
      </c>
      <c r="J578" s="7" t="str">
        <f>"府立修徳学院大気汚染測定局"</f>
        <v>府立修徳学院大気汚染測定局</v>
      </c>
      <c r="K578" s="7" t="str">
        <f>"鉄筋コンクリート造"</f>
        <v>鉄筋コンクリート造</v>
      </c>
      <c r="L578" s="7" t="str">
        <f t="shared" si="208"/>
        <v>S25.01.01</v>
      </c>
      <c r="M578" s="7">
        <v>20</v>
      </c>
      <c r="N578" s="7">
        <v>4134000</v>
      </c>
      <c r="O578" s="7">
        <v>3954860</v>
      </c>
      <c r="P578" s="7">
        <v>0</v>
      </c>
      <c r="Q578" s="7" t="str">
        <f t="shared" si="206"/>
        <v>環境農林水産部</v>
      </c>
      <c r="R578" s="7" t="str">
        <f t="shared" si="205"/>
        <v>環境管理室</v>
      </c>
    </row>
    <row r="579" spans="1:18" s="1" customFormat="1" x14ac:dyDescent="0.45">
      <c r="A579" s="7" t="str">
        <f>"06171003008"</f>
        <v>06171003008</v>
      </c>
      <c r="B579" s="7" t="str">
        <f>"貝塚市消防署大気汚染測定局"</f>
        <v>貝塚市消防署大気汚染測定局</v>
      </c>
      <c r="C579" s="7" t="str">
        <f t="shared" si="201"/>
        <v>行政財産</v>
      </c>
      <c r="D579" s="7" t="str">
        <f t="shared" si="204"/>
        <v>その他（行政機関）の施設</v>
      </c>
      <c r="E579" s="7" t="str">
        <f>"大阪府貝塚市鳥羽"</f>
        <v>大阪府貝塚市鳥羽</v>
      </c>
      <c r="F579" s="7"/>
      <c r="G579" s="7" t="str">
        <f t="shared" si="203"/>
        <v>事業用資産</v>
      </c>
      <c r="H579" s="7" t="str">
        <f t="shared" si="189"/>
        <v>棚卸以外</v>
      </c>
      <c r="I579" s="7">
        <v>1</v>
      </c>
      <c r="J579" s="7" t="str">
        <f>"貝塚市消防署大気汚染測定局"</f>
        <v>貝塚市消防署大気汚染測定局</v>
      </c>
      <c r="K579" s="7" t="str">
        <f>"鉄骨造"</f>
        <v>鉄骨造</v>
      </c>
      <c r="L579" s="7" t="str">
        <f t="shared" si="208"/>
        <v>S25.01.01</v>
      </c>
      <c r="M579" s="7">
        <v>19.61</v>
      </c>
      <c r="N579" s="7">
        <v>4500000</v>
      </c>
      <c r="O579" s="7">
        <v>4499999</v>
      </c>
      <c r="P579" s="7">
        <v>0</v>
      </c>
      <c r="Q579" s="7" t="str">
        <f t="shared" si="206"/>
        <v>環境農林水産部</v>
      </c>
      <c r="R579" s="7" t="str">
        <f t="shared" si="205"/>
        <v>環境管理室</v>
      </c>
    </row>
    <row r="580" spans="1:18" s="1" customFormat="1" x14ac:dyDescent="0.45">
      <c r="A580" s="7" t="str">
        <f>"06171003009"</f>
        <v>06171003009</v>
      </c>
      <c r="B580" s="7" t="str">
        <f>"泉南市役所大気汚染測定局"</f>
        <v>泉南市役所大気汚染測定局</v>
      </c>
      <c r="C580" s="7" t="str">
        <f t="shared" si="201"/>
        <v>行政財産</v>
      </c>
      <c r="D580" s="7" t="str">
        <f t="shared" si="204"/>
        <v>その他（行政機関）の施設</v>
      </c>
      <c r="E580" s="7" t="str">
        <f>"大阪府泉南市樽井"</f>
        <v>大阪府泉南市樽井</v>
      </c>
      <c r="F580" s="7"/>
      <c r="G580" s="7" t="str">
        <f t="shared" si="203"/>
        <v>事業用資産</v>
      </c>
      <c r="H580" s="7" t="str">
        <f t="shared" ref="H580:H643" si="209">"棚卸以外"</f>
        <v>棚卸以外</v>
      </c>
      <c r="I580" s="7">
        <v>1</v>
      </c>
      <c r="J580" s="7" t="str">
        <f>"泉南市役所大気汚染測定局"</f>
        <v>泉南市役所大気汚染測定局</v>
      </c>
      <c r="K580" s="7" t="str">
        <f>"鉄筋コンクリート造"</f>
        <v>鉄筋コンクリート造</v>
      </c>
      <c r="L580" s="7" t="str">
        <f t="shared" si="208"/>
        <v>S25.01.01</v>
      </c>
      <c r="M580" s="7">
        <v>20</v>
      </c>
      <c r="N580" s="7">
        <v>3450000</v>
      </c>
      <c r="O580" s="7">
        <v>3300500</v>
      </c>
      <c r="P580" s="7">
        <v>0</v>
      </c>
      <c r="Q580" s="7" t="str">
        <f t="shared" si="206"/>
        <v>環境農林水産部</v>
      </c>
      <c r="R580" s="7" t="str">
        <f t="shared" si="205"/>
        <v>環境管理室</v>
      </c>
    </row>
    <row r="581" spans="1:18" s="1" customFormat="1" x14ac:dyDescent="0.45">
      <c r="A581" s="7" t="str">
        <f>"06171003011"</f>
        <v>06171003011</v>
      </c>
      <c r="B581" s="7" t="str">
        <f>"天の川下水ポンプ場大気汚染測定局"</f>
        <v>天の川下水ポンプ場大気汚染測定局</v>
      </c>
      <c r="C581" s="7" t="str">
        <f t="shared" si="201"/>
        <v>行政財産</v>
      </c>
      <c r="D581" s="7" t="str">
        <f t="shared" si="204"/>
        <v>その他（行政機関）の施設</v>
      </c>
      <c r="E581" s="7" t="str">
        <f>"大阪府岸和田市春木大国町"</f>
        <v>大阪府岸和田市春木大国町</v>
      </c>
      <c r="F581" s="7"/>
      <c r="G581" s="7" t="str">
        <f t="shared" si="203"/>
        <v>事業用資産</v>
      </c>
      <c r="H581" s="7" t="str">
        <f t="shared" si="209"/>
        <v>棚卸以外</v>
      </c>
      <c r="I581" s="7">
        <v>1</v>
      </c>
      <c r="J581" s="7" t="str">
        <f>"天ノ川下水ポンプ場大気汚染測定局"</f>
        <v>天ノ川下水ポンプ場大気汚染測定局</v>
      </c>
      <c r="K581" s="7" t="str">
        <f>"鉄筋コンクリート造"</f>
        <v>鉄筋コンクリート造</v>
      </c>
      <c r="L581" s="7" t="str">
        <f t="shared" si="208"/>
        <v>S25.01.01</v>
      </c>
      <c r="M581" s="7">
        <v>16.489999999999998</v>
      </c>
      <c r="N581" s="7">
        <v>3745000</v>
      </c>
      <c r="O581" s="7">
        <v>2471832</v>
      </c>
      <c r="P581" s="7">
        <v>0</v>
      </c>
      <c r="Q581" s="7" t="str">
        <f t="shared" si="206"/>
        <v>環境農林水産部</v>
      </c>
      <c r="R581" s="7" t="str">
        <f t="shared" si="205"/>
        <v>環境管理室</v>
      </c>
    </row>
    <row r="582" spans="1:18" s="1" customFormat="1" x14ac:dyDescent="0.45">
      <c r="A582" s="7" t="str">
        <f>"06171003012"</f>
        <v>06171003012</v>
      </c>
      <c r="B582" s="7" t="str">
        <f>"緑ケ丘小学校大気汚染測定局"</f>
        <v>緑ケ丘小学校大気汚染測定局</v>
      </c>
      <c r="C582" s="7" t="str">
        <f t="shared" ref="C582:C613" si="210">"行政財産"</f>
        <v>行政財産</v>
      </c>
      <c r="D582" s="7" t="str">
        <f t="shared" si="204"/>
        <v>その他（行政機関）の施設</v>
      </c>
      <c r="E582" s="7" t="str">
        <f>"大阪府和泉市緑ケ丘１丁目"</f>
        <v>大阪府和泉市緑ケ丘１丁目</v>
      </c>
      <c r="F582" s="7"/>
      <c r="G582" s="7" t="str">
        <f t="shared" si="203"/>
        <v>事業用資産</v>
      </c>
      <c r="H582" s="7" t="str">
        <f t="shared" si="209"/>
        <v>棚卸以外</v>
      </c>
      <c r="I582" s="7">
        <v>1</v>
      </c>
      <c r="J582" s="7" t="str">
        <f>"緑ケ丘小学校大気汚染測定局"</f>
        <v>緑ケ丘小学校大気汚染測定局</v>
      </c>
      <c r="K582" s="7" t="str">
        <f>"コンクリートブロック造"</f>
        <v>コンクリートブロック造</v>
      </c>
      <c r="L582" s="7" t="str">
        <f t="shared" si="208"/>
        <v>S25.01.01</v>
      </c>
      <c r="M582" s="7">
        <v>20</v>
      </c>
      <c r="N582" s="7">
        <v>5154000</v>
      </c>
      <c r="O582" s="7">
        <v>4064688</v>
      </c>
      <c r="P582" s="7">
        <v>0</v>
      </c>
      <c r="Q582" s="7" t="str">
        <f t="shared" si="206"/>
        <v>環境農林水産部</v>
      </c>
      <c r="R582" s="7" t="str">
        <f t="shared" si="205"/>
        <v>環境管理室</v>
      </c>
    </row>
    <row r="583" spans="1:18" s="1" customFormat="1" x14ac:dyDescent="0.45">
      <c r="A583" s="7" t="str">
        <f>"06171003013"</f>
        <v>06171003013</v>
      </c>
      <c r="B583" s="7" t="str">
        <f>"外環河内長野大気汚染測定局"</f>
        <v>外環河内長野大気汚染測定局</v>
      </c>
      <c r="C583" s="7" t="str">
        <f t="shared" si="210"/>
        <v>行政財産</v>
      </c>
      <c r="D583" s="7" t="str">
        <f t="shared" si="204"/>
        <v>その他（行政機関）の施設</v>
      </c>
      <c r="E583" s="7" t="str">
        <f>"大阪府河内長野市西之山町"</f>
        <v>大阪府河内長野市西之山町</v>
      </c>
      <c r="F583" s="7"/>
      <c r="G583" s="7" t="str">
        <f t="shared" si="203"/>
        <v>事業用資産</v>
      </c>
      <c r="H583" s="7" t="str">
        <f t="shared" si="209"/>
        <v>棚卸以外</v>
      </c>
      <c r="I583" s="7">
        <v>1</v>
      </c>
      <c r="J583" s="7" t="str">
        <f>"外環河内長野大気汚染測定局"</f>
        <v>外環河内長野大気汚染測定局</v>
      </c>
      <c r="K583" s="7" t="str">
        <f>"鉄筋コンクリート造"</f>
        <v>鉄筋コンクリート造</v>
      </c>
      <c r="L583" s="7" t="str">
        <f t="shared" si="208"/>
        <v>S25.01.01</v>
      </c>
      <c r="M583" s="7">
        <v>16.47</v>
      </c>
      <c r="N583" s="7">
        <v>4730000</v>
      </c>
      <c r="O583" s="7">
        <v>3027456</v>
      </c>
      <c r="P583" s="7">
        <v>0</v>
      </c>
      <c r="Q583" s="7" t="str">
        <f t="shared" si="206"/>
        <v>環境農林水産部</v>
      </c>
      <c r="R583" s="7" t="str">
        <f t="shared" si="205"/>
        <v>環境管理室</v>
      </c>
    </row>
    <row r="584" spans="1:18" s="1" customFormat="1" x14ac:dyDescent="0.45">
      <c r="A584" s="7" t="str">
        <f>"06171003014"</f>
        <v>06171003014</v>
      </c>
      <c r="B584" s="7" t="str">
        <f>"カモドールＭＢＳ大気汚染測定局"</f>
        <v>カモドールＭＢＳ大気汚染測定局</v>
      </c>
      <c r="C584" s="7" t="str">
        <f t="shared" si="210"/>
        <v>行政財産</v>
      </c>
      <c r="D584" s="7" t="str">
        <f t="shared" si="204"/>
        <v>その他（行政機関）の施設</v>
      </c>
      <c r="E584" s="7" t="str">
        <f>"大阪府高石市西取石６丁目"</f>
        <v>大阪府高石市西取石６丁目</v>
      </c>
      <c r="F584" s="7"/>
      <c r="G584" s="7" t="str">
        <f t="shared" si="203"/>
        <v>事業用資産</v>
      </c>
      <c r="H584" s="7" t="str">
        <f t="shared" si="209"/>
        <v>棚卸以外</v>
      </c>
      <c r="I584" s="7">
        <v>1</v>
      </c>
      <c r="J584" s="7" t="str">
        <f>"カモドールＭＢＳ大気汚染測定局"</f>
        <v>カモドールＭＢＳ大気汚染測定局</v>
      </c>
      <c r="K584" s="7" t="str">
        <f>"鉄筋コンクリート造"</f>
        <v>鉄筋コンクリート造</v>
      </c>
      <c r="L584" s="7" t="str">
        <f t="shared" si="208"/>
        <v>S25.01.01</v>
      </c>
      <c r="M584" s="7">
        <v>17.97</v>
      </c>
      <c r="N584" s="7">
        <v>5026000</v>
      </c>
      <c r="O584" s="7">
        <v>3141375</v>
      </c>
      <c r="P584" s="7">
        <v>0</v>
      </c>
      <c r="Q584" s="7" t="str">
        <f t="shared" si="206"/>
        <v>環境農林水産部</v>
      </c>
      <c r="R584" s="7" t="str">
        <f t="shared" si="205"/>
        <v>環境管理室</v>
      </c>
    </row>
    <row r="585" spans="1:18" s="1" customFormat="1" x14ac:dyDescent="0.45">
      <c r="A585" s="7" t="str">
        <f>"06171003015"</f>
        <v>06171003015</v>
      </c>
      <c r="B585" s="7" t="str">
        <f>"三日市公民館大気汚染測定局"</f>
        <v>三日市公民館大気汚染測定局</v>
      </c>
      <c r="C585" s="7" t="str">
        <f t="shared" si="210"/>
        <v>行政財産</v>
      </c>
      <c r="D585" s="7" t="str">
        <f t="shared" si="204"/>
        <v>その他（行政機関）の施設</v>
      </c>
      <c r="E585" s="7" t="str">
        <f>"大阪府河内長野市三日市町"</f>
        <v>大阪府河内長野市三日市町</v>
      </c>
      <c r="F585" s="7"/>
      <c r="G585" s="7" t="str">
        <f t="shared" si="203"/>
        <v>事業用資産</v>
      </c>
      <c r="H585" s="7" t="str">
        <f t="shared" si="209"/>
        <v>棚卸以外</v>
      </c>
      <c r="I585" s="7">
        <v>1</v>
      </c>
      <c r="J585" s="7" t="str">
        <f>"三日市公民館大気汚染測定局"</f>
        <v>三日市公民館大気汚染測定局</v>
      </c>
      <c r="K585" s="7" t="str">
        <f>"鉄筋コンクリート造"</f>
        <v>鉄筋コンクリート造</v>
      </c>
      <c r="L585" s="7" t="str">
        <f t="shared" si="208"/>
        <v>S25.01.01</v>
      </c>
      <c r="M585" s="7">
        <v>15</v>
      </c>
      <c r="N585" s="7">
        <v>4211000</v>
      </c>
      <c r="O585" s="7">
        <v>2625106</v>
      </c>
      <c r="P585" s="7">
        <v>0</v>
      </c>
      <c r="Q585" s="7" t="str">
        <f t="shared" si="206"/>
        <v>環境農林水産部</v>
      </c>
      <c r="R585" s="7" t="str">
        <f t="shared" si="205"/>
        <v>環境管理室</v>
      </c>
    </row>
    <row r="586" spans="1:18" s="1" customFormat="1" x14ac:dyDescent="0.45">
      <c r="A586" s="7" t="str">
        <f>"06171003016"</f>
        <v>06171003016</v>
      </c>
      <c r="B586" s="7" t="str">
        <f>"末広公園大気汚染測定局"</f>
        <v>末広公園大気汚染測定局</v>
      </c>
      <c r="C586" s="7" t="str">
        <f t="shared" si="210"/>
        <v>行政財産</v>
      </c>
      <c r="D586" s="7" t="str">
        <f t="shared" si="204"/>
        <v>その他（行政機関）の施設</v>
      </c>
      <c r="E586" s="7" t="str">
        <f>"大阪府泉佐野市新安松１丁目"</f>
        <v>大阪府泉佐野市新安松１丁目</v>
      </c>
      <c r="F586" s="7"/>
      <c r="G586" s="7" t="str">
        <f t="shared" si="203"/>
        <v>事業用資産</v>
      </c>
      <c r="H586" s="7" t="str">
        <f t="shared" si="209"/>
        <v>棚卸以外</v>
      </c>
      <c r="I586" s="7">
        <v>1</v>
      </c>
      <c r="J586" s="7" t="str">
        <f>"末広公園大気汚染測定局"</f>
        <v>末広公園大気汚染測定局</v>
      </c>
      <c r="K586" s="7" t="str">
        <f>"コンクリートブロック造"</f>
        <v>コンクリートブロック造</v>
      </c>
      <c r="L586" s="7" t="str">
        <f t="shared" si="208"/>
        <v>S25.01.01</v>
      </c>
      <c r="M586" s="7">
        <v>19.62</v>
      </c>
      <c r="N586" s="7">
        <v>4410000</v>
      </c>
      <c r="O586" s="7">
        <v>3657312</v>
      </c>
      <c r="P586" s="7">
        <v>0</v>
      </c>
      <c r="Q586" s="7" t="str">
        <f t="shared" si="206"/>
        <v>環境農林水産部</v>
      </c>
      <c r="R586" s="7" t="str">
        <f t="shared" si="205"/>
        <v>環境管理室</v>
      </c>
    </row>
    <row r="587" spans="1:18" s="1" customFormat="1" x14ac:dyDescent="0.45">
      <c r="A587" s="7" t="str">
        <f>"06171003017"</f>
        <v>06171003017</v>
      </c>
      <c r="B587" s="7" t="str">
        <f>"摂津市役所大気汚染測定局"</f>
        <v>摂津市役所大気汚染測定局</v>
      </c>
      <c r="C587" s="7" t="str">
        <f t="shared" si="210"/>
        <v>行政財産</v>
      </c>
      <c r="D587" s="7" t="str">
        <f t="shared" si="204"/>
        <v>その他（行政機関）の施設</v>
      </c>
      <c r="E587" s="7" t="str">
        <f>"大阪府摂津市三島１丁目"</f>
        <v>大阪府摂津市三島１丁目</v>
      </c>
      <c r="F587" s="7"/>
      <c r="G587" s="7" t="str">
        <f t="shared" si="203"/>
        <v>事業用資産</v>
      </c>
      <c r="H587" s="7" t="str">
        <f t="shared" si="209"/>
        <v>棚卸以外</v>
      </c>
      <c r="I587" s="7">
        <v>1</v>
      </c>
      <c r="J587" s="7" t="str">
        <f>"摂津市役所大気汚染測定局"</f>
        <v>摂津市役所大気汚染測定局</v>
      </c>
      <c r="K587" s="7" t="str">
        <f>"コンクリートブロック造"</f>
        <v>コンクリートブロック造</v>
      </c>
      <c r="L587" s="7" t="str">
        <f t="shared" si="208"/>
        <v>S25.01.01</v>
      </c>
      <c r="M587" s="7">
        <v>16.5</v>
      </c>
      <c r="N587" s="7">
        <v>7440000</v>
      </c>
      <c r="O587" s="7">
        <v>5625384</v>
      </c>
      <c r="P587" s="7">
        <v>0</v>
      </c>
      <c r="Q587" s="7" t="str">
        <f t="shared" si="206"/>
        <v>環境農林水産部</v>
      </c>
      <c r="R587" s="7" t="str">
        <f t="shared" si="205"/>
        <v>環境管理室</v>
      </c>
    </row>
    <row r="588" spans="1:18" s="1" customFormat="1" x14ac:dyDescent="0.45">
      <c r="A588" s="7" t="str">
        <f>"06171003018"</f>
        <v>06171003018</v>
      </c>
      <c r="B588" s="7" t="str">
        <f>"松原北小学校大気汚染測定局"</f>
        <v>松原北小学校大気汚染測定局</v>
      </c>
      <c r="C588" s="7" t="str">
        <f t="shared" si="210"/>
        <v>行政財産</v>
      </c>
      <c r="D588" s="7" t="str">
        <f t="shared" si="204"/>
        <v>その他（行政機関）の施設</v>
      </c>
      <c r="E588" s="7" t="str">
        <f>"大阪府松原市阿保１丁目"</f>
        <v>大阪府松原市阿保１丁目</v>
      </c>
      <c r="F588" s="7"/>
      <c r="G588" s="7" t="str">
        <f t="shared" si="203"/>
        <v>事業用資産</v>
      </c>
      <c r="H588" s="7" t="str">
        <f t="shared" si="209"/>
        <v>棚卸以外</v>
      </c>
      <c r="I588" s="7">
        <v>1</v>
      </c>
      <c r="J588" s="7" t="str">
        <f>"松原北小学校大気汚染測定局"</f>
        <v>松原北小学校大気汚染測定局</v>
      </c>
      <c r="K588" s="7" t="str">
        <f>"鉄筋コンクリート造"</f>
        <v>鉄筋コンクリート造</v>
      </c>
      <c r="L588" s="7" t="str">
        <f>"H04.12.02"</f>
        <v>H04.12.02</v>
      </c>
      <c r="M588" s="7">
        <v>14.95</v>
      </c>
      <c r="N588" s="7">
        <v>4719000</v>
      </c>
      <c r="O588" s="7">
        <v>2854995</v>
      </c>
      <c r="P588" s="7">
        <v>0</v>
      </c>
      <c r="Q588" s="7" t="str">
        <f t="shared" si="206"/>
        <v>環境農林水産部</v>
      </c>
      <c r="R588" s="7" t="str">
        <f t="shared" si="205"/>
        <v>環境管理室</v>
      </c>
    </row>
    <row r="589" spans="1:18" s="1" customFormat="1" x14ac:dyDescent="0.45">
      <c r="A589" s="7" t="str">
        <f>"06171003019"</f>
        <v>06171003019</v>
      </c>
      <c r="B589" s="7" t="str">
        <f>"南海団地大気汚染測定局"</f>
        <v>南海団地大気汚染測定局</v>
      </c>
      <c r="C589" s="7" t="str">
        <f t="shared" si="210"/>
        <v>行政財産</v>
      </c>
      <c r="D589" s="7" t="str">
        <f t="shared" si="204"/>
        <v>その他（行政機関）の施設</v>
      </c>
      <c r="E589" s="7" t="str">
        <f>"大阪府阪南市舞４丁目"</f>
        <v>大阪府阪南市舞４丁目</v>
      </c>
      <c r="F589" s="7"/>
      <c r="G589" s="7" t="str">
        <f t="shared" si="203"/>
        <v>事業用資産</v>
      </c>
      <c r="H589" s="7" t="str">
        <f t="shared" si="209"/>
        <v>棚卸以外</v>
      </c>
      <c r="I589" s="7">
        <v>1</v>
      </c>
      <c r="J589" s="7" t="str">
        <f>"南海団地大気汚染測定局"</f>
        <v>南海団地大気汚染測定局</v>
      </c>
      <c r="K589" s="7" t="str">
        <f>"コンクリートブロック造"</f>
        <v>コンクリートブロック造</v>
      </c>
      <c r="L589" s="7" t="str">
        <f>"S62.02.28"</f>
        <v>S62.02.28</v>
      </c>
      <c r="M589" s="7">
        <v>23.4</v>
      </c>
      <c r="N589" s="7">
        <v>2984000</v>
      </c>
      <c r="O589" s="7">
        <v>2104902</v>
      </c>
      <c r="P589" s="7">
        <v>0</v>
      </c>
      <c r="Q589" s="7" t="str">
        <f t="shared" si="206"/>
        <v>環境農林水産部</v>
      </c>
      <c r="R589" s="7" t="str">
        <f t="shared" si="205"/>
        <v>環境管理室</v>
      </c>
    </row>
    <row r="590" spans="1:18" s="1" customFormat="1" x14ac:dyDescent="0.45">
      <c r="A590" s="7" t="str">
        <f>"06171003020"</f>
        <v>06171003020</v>
      </c>
      <c r="B590" s="7" t="str">
        <f>"岸和田中央公園大気汚染測定局"</f>
        <v>岸和田中央公園大気汚染測定局</v>
      </c>
      <c r="C590" s="7" t="str">
        <f t="shared" si="210"/>
        <v>行政財産</v>
      </c>
      <c r="D590" s="7" t="str">
        <f t="shared" si="204"/>
        <v>その他（行政機関）の施設</v>
      </c>
      <c r="E590" s="7" t="str">
        <f>"大阪府岸和田市西之内町"</f>
        <v>大阪府岸和田市西之内町</v>
      </c>
      <c r="F590" s="7"/>
      <c r="G590" s="7" t="str">
        <f t="shared" si="203"/>
        <v>事業用資産</v>
      </c>
      <c r="H590" s="7" t="str">
        <f t="shared" si="209"/>
        <v>棚卸以外</v>
      </c>
      <c r="I590" s="7">
        <v>1</v>
      </c>
      <c r="J590" s="7" t="str">
        <f>"岸和田中央公園大気汚染測定局"</f>
        <v>岸和田中央公園大気汚染測定局</v>
      </c>
      <c r="K590" s="7" t="str">
        <f>"鉄骨造"</f>
        <v>鉄骨造</v>
      </c>
      <c r="L590" s="7" t="str">
        <f>"H10.02.09"</f>
        <v>H10.02.09</v>
      </c>
      <c r="M590" s="7">
        <v>20</v>
      </c>
      <c r="N590" s="7">
        <v>8152000</v>
      </c>
      <c r="O590" s="7">
        <v>5381278</v>
      </c>
      <c r="P590" s="7">
        <v>0</v>
      </c>
      <c r="Q590" s="7" t="str">
        <f t="shared" si="206"/>
        <v>環境農林水産部</v>
      </c>
      <c r="R590" s="7" t="str">
        <f t="shared" si="205"/>
        <v>環境管理室</v>
      </c>
    </row>
    <row r="591" spans="1:18" s="1" customFormat="1" x14ac:dyDescent="0.45">
      <c r="A591" s="7" t="str">
        <f>"06171003021"</f>
        <v>06171003021</v>
      </c>
      <c r="B591" s="7" t="str">
        <f>"佐野中学校大気汚染測定局"</f>
        <v>佐野中学校大気汚染測定局</v>
      </c>
      <c r="C591" s="7" t="str">
        <f t="shared" si="210"/>
        <v>行政財産</v>
      </c>
      <c r="D591" s="7" t="str">
        <f t="shared" si="204"/>
        <v>その他（行政機関）の施設</v>
      </c>
      <c r="E591" s="7" t="str">
        <f>"大阪府泉佐野市羽倉崎４丁目"</f>
        <v>大阪府泉佐野市羽倉崎４丁目</v>
      </c>
      <c r="F591" s="7"/>
      <c r="G591" s="7" t="str">
        <f t="shared" si="203"/>
        <v>事業用資産</v>
      </c>
      <c r="H591" s="7" t="str">
        <f t="shared" si="209"/>
        <v>棚卸以外</v>
      </c>
      <c r="I591" s="7">
        <v>1</v>
      </c>
      <c r="J591" s="7" t="str">
        <f>"佐野中学校大気汚染測定局"</f>
        <v>佐野中学校大気汚染測定局</v>
      </c>
      <c r="K591" s="7" t="str">
        <f>"鉄骨造"</f>
        <v>鉄骨造</v>
      </c>
      <c r="L591" s="7" t="str">
        <f>"H10.10.29"</f>
        <v>H10.10.29</v>
      </c>
      <c r="M591" s="7">
        <v>12.5</v>
      </c>
      <c r="N591" s="7">
        <v>4399000</v>
      </c>
      <c r="O591" s="7">
        <v>2826571</v>
      </c>
      <c r="P591" s="7">
        <v>0</v>
      </c>
      <c r="Q591" s="7" t="str">
        <f t="shared" si="206"/>
        <v>環境農林水産部</v>
      </c>
      <c r="R591" s="7" t="str">
        <f t="shared" si="205"/>
        <v>環境管理室</v>
      </c>
    </row>
    <row r="592" spans="1:18" s="1" customFormat="1" x14ac:dyDescent="0.45">
      <c r="A592" s="7" t="str">
        <f>"06176000002"</f>
        <v>06176000002</v>
      </c>
      <c r="B592" s="7" t="str">
        <f>"ため池防災テレメータ観測局舎（五藤池）"</f>
        <v>ため池防災テレメータ観測局舎（五藤池）</v>
      </c>
      <c r="C592" s="7" t="str">
        <f t="shared" si="210"/>
        <v>行政財産</v>
      </c>
      <c r="D592" s="7" t="str">
        <f t="shared" si="204"/>
        <v>その他（行政機関）の施設</v>
      </c>
      <c r="E592" s="7" t="str">
        <f>"大阪府箕面市白島３丁目"</f>
        <v>大阪府箕面市白島３丁目</v>
      </c>
      <c r="F592" s="7"/>
      <c r="G592" s="7" t="str">
        <f>"インフラ資産"</f>
        <v>インフラ資産</v>
      </c>
      <c r="H592" s="7" t="str">
        <f t="shared" si="209"/>
        <v>棚卸以外</v>
      </c>
      <c r="I592" s="7">
        <v>1</v>
      </c>
      <c r="J592" s="7" t="str">
        <f>"五藤池テレメータ観測局舎"</f>
        <v>五藤池テレメータ観測局舎</v>
      </c>
      <c r="K592" s="7" t="str">
        <f>"鉄骨造"</f>
        <v>鉄骨造</v>
      </c>
      <c r="L592" s="7" t="str">
        <f>"H03.03.15"</f>
        <v>H03.03.15</v>
      </c>
      <c r="M592" s="7">
        <v>3.6</v>
      </c>
      <c r="N592" s="7">
        <v>1694000</v>
      </c>
      <c r="O592" s="7">
        <v>1426560</v>
      </c>
      <c r="P592" s="7">
        <v>0</v>
      </c>
      <c r="Q592" s="7" t="str">
        <f t="shared" si="206"/>
        <v>環境農林水産部</v>
      </c>
      <c r="R592" s="7" t="str">
        <f t="shared" ref="R592:R613" si="211">"北部農と緑の総合事務所"</f>
        <v>北部農と緑の総合事務所</v>
      </c>
    </row>
    <row r="593" spans="1:18" s="1" customFormat="1" ht="26.4" x14ac:dyDescent="0.45">
      <c r="A593" s="7" t="str">
        <f>"06176000003"</f>
        <v>06176000003</v>
      </c>
      <c r="B593" s="7" t="str">
        <f>"ため池防災テレメータ観測局舎（才ヶ原池）"</f>
        <v>ため池防災テレメータ観測局舎（才ヶ原池）</v>
      </c>
      <c r="C593" s="7" t="str">
        <f t="shared" si="210"/>
        <v>行政財産</v>
      </c>
      <c r="D593" s="7" t="str">
        <f t="shared" si="204"/>
        <v>その他（行政機関）の施設</v>
      </c>
      <c r="E593" s="7" t="str">
        <f>"大阪府箕面市芝"</f>
        <v>大阪府箕面市芝</v>
      </c>
      <c r="F593" s="7"/>
      <c r="G593" s="7" t="str">
        <f>"インフラ資産"</f>
        <v>インフラ資産</v>
      </c>
      <c r="H593" s="7" t="str">
        <f t="shared" si="209"/>
        <v>棚卸以外</v>
      </c>
      <c r="I593" s="7">
        <v>2</v>
      </c>
      <c r="J593" s="7" t="str">
        <f>"才ヶ原池テレメータ観測局舎"</f>
        <v>才ヶ原池テレメータ観測局舎</v>
      </c>
      <c r="K593" s="7" t="str">
        <f>"鉄骨造"</f>
        <v>鉄骨造</v>
      </c>
      <c r="L593" s="7" t="str">
        <f>"H03.03.15"</f>
        <v>H03.03.15</v>
      </c>
      <c r="M593" s="7">
        <v>3.6</v>
      </c>
      <c r="N593" s="7">
        <v>1663000</v>
      </c>
      <c r="O593" s="7">
        <v>1400448</v>
      </c>
      <c r="P593" s="7">
        <v>0</v>
      </c>
      <c r="Q593" s="7" t="str">
        <f t="shared" si="206"/>
        <v>環境農林水産部</v>
      </c>
      <c r="R593" s="7" t="str">
        <f t="shared" si="211"/>
        <v>北部農と緑の総合事務所</v>
      </c>
    </row>
    <row r="594" spans="1:18" s="1" customFormat="1" ht="26.4" x14ac:dyDescent="0.45">
      <c r="A594" s="7" t="str">
        <f>"06176000004"</f>
        <v>06176000004</v>
      </c>
      <c r="B594" s="7" t="str">
        <f>"ため池防災テレメータ観測局舎（見立ダム）"</f>
        <v>ため池防災テレメータ観測局舎（見立ダム）</v>
      </c>
      <c r="C594" s="7" t="str">
        <f t="shared" si="210"/>
        <v>行政財産</v>
      </c>
      <c r="D594" s="7" t="str">
        <f t="shared" si="204"/>
        <v>その他（行政機関）の施設</v>
      </c>
      <c r="E594" s="7" t="str">
        <f>"大阪府茨木市大字銭原"</f>
        <v>大阪府茨木市大字銭原</v>
      </c>
      <c r="F594" s="7"/>
      <c r="G594" s="7" t="str">
        <f>"インフラ資産"</f>
        <v>インフラ資産</v>
      </c>
      <c r="H594" s="7" t="str">
        <f t="shared" si="209"/>
        <v>棚卸以外</v>
      </c>
      <c r="I594" s="7">
        <v>1</v>
      </c>
      <c r="J594" s="7" t="str">
        <f>"見立ダムテレメータ観測局舎"</f>
        <v>見立ダムテレメータ観測局舎</v>
      </c>
      <c r="K594" s="7" t="str">
        <f>"鉄骨造"</f>
        <v>鉄骨造</v>
      </c>
      <c r="L594" s="7" t="str">
        <f>"H04.03.16"</f>
        <v>H04.03.16</v>
      </c>
      <c r="M594" s="7">
        <v>3.6</v>
      </c>
      <c r="N594" s="7">
        <v>2029000</v>
      </c>
      <c r="O594" s="7">
        <v>1655400</v>
      </c>
      <c r="P594" s="7">
        <v>0</v>
      </c>
      <c r="Q594" s="7" t="str">
        <f t="shared" si="206"/>
        <v>環境農林水産部</v>
      </c>
      <c r="R594" s="7" t="str">
        <f t="shared" si="211"/>
        <v>北部農と緑の総合事務所</v>
      </c>
    </row>
    <row r="595" spans="1:18" s="1" customFormat="1" x14ac:dyDescent="0.45">
      <c r="A595" s="7" t="str">
        <f>"06176000005"</f>
        <v>06176000005</v>
      </c>
      <c r="B595" s="7" t="str">
        <f>"明治の森箕面国定公園"</f>
        <v>明治の森箕面国定公園</v>
      </c>
      <c r="C595" s="7" t="str">
        <f t="shared" si="210"/>
        <v>行政財産</v>
      </c>
      <c r="D595" s="7" t="str">
        <f>"公園"</f>
        <v>公園</v>
      </c>
      <c r="E595" s="7" t="str">
        <f>"大阪府箕面市箕面"</f>
        <v>大阪府箕面市箕面</v>
      </c>
      <c r="F595" s="7"/>
      <c r="G595" s="7" t="str">
        <f>"事業用資産"</f>
        <v>事業用資産</v>
      </c>
      <c r="H595" s="7" t="str">
        <f t="shared" si="209"/>
        <v>棚卸以外</v>
      </c>
      <c r="I595" s="7">
        <v>1</v>
      </c>
      <c r="J595" s="7" t="str">
        <f>"ビジターセンター"</f>
        <v>ビジターセンター</v>
      </c>
      <c r="K595" s="7" t="str">
        <f>"木造"</f>
        <v>木造</v>
      </c>
      <c r="L595" s="7" t="str">
        <f>"H05.03.29"</f>
        <v>H05.03.29</v>
      </c>
      <c r="M595" s="7">
        <v>452.18</v>
      </c>
      <c r="N595" s="7">
        <v>39168551</v>
      </c>
      <c r="O595" s="7">
        <v>22007833</v>
      </c>
      <c r="P595" s="7">
        <v>0</v>
      </c>
      <c r="Q595" s="7" t="str">
        <f t="shared" si="206"/>
        <v>環境農林水産部</v>
      </c>
      <c r="R595" s="7" t="str">
        <f t="shared" si="211"/>
        <v>北部農と緑の総合事務所</v>
      </c>
    </row>
    <row r="596" spans="1:18" s="1" customFormat="1" ht="26.4" x14ac:dyDescent="0.45">
      <c r="A596" s="7" t="str">
        <f>"06176000005"</f>
        <v>06176000005</v>
      </c>
      <c r="B596" s="7" t="str">
        <f>"明治の森箕面国定公園"</f>
        <v>明治の森箕面国定公園</v>
      </c>
      <c r="C596" s="7" t="str">
        <f t="shared" si="210"/>
        <v>行政財産</v>
      </c>
      <c r="D596" s="7" t="str">
        <f>"公園"</f>
        <v>公園</v>
      </c>
      <c r="E596" s="7" t="str">
        <f>"大阪府箕面市箕面"</f>
        <v>大阪府箕面市箕面</v>
      </c>
      <c r="F596" s="7"/>
      <c r="G596" s="7" t="str">
        <f>"事業用資産"</f>
        <v>事業用資産</v>
      </c>
      <c r="H596" s="7" t="str">
        <f t="shared" si="209"/>
        <v>棚卸以外</v>
      </c>
      <c r="I596" s="7">
        <v>8</v>
      </c>
      <c r="J596" s="7" t="str">
        <f>"みのお記念の森管理事務所兼公衆便所"</f>
        <v>みのお記念の森管理事務所兼公衆便所</v>
      </c>
      <c r="K596" s="7" t="str">
        <f>"木造"</f>
        <v>木造</v>
      </c>
      <c r="L596" s="7" t="str">
        <f>"H05.03.29"</f>
        <v>H05.03.29</v>
      </c>
      <c r="M596" s="7">
        <v>49.5</v>
      </c>
      <c r="N596" s="7">
        <v>36918000</v>
      </c>
      <c r="O596" s="7">
        <v>36917999</v>
      </c>
      <c r="P596" s="7">
        <v>0</v>
      </c>
      <c r="Q596" s="7" t="str">
        <f t="shared" si="206"/>
        <v>環境農林水産部</v>
      </c>
      <c r="R596" s="7" t="str">
        <f t="shared" si="211"/>
        <v>北部農と緑の総合事務所</v>
      </c>
    </row>
    <row r="597" spans="1:18" s="1" customFormat="1" x14ac:dyDescent="0.45">
      <c r="A597" s="7" t="str">
        <f>"06176000005"</f>
        <v>06176000005</v>
      </c>
      <c r="B597" s="7" t="str">
        <f>"明治の森箕面国定公園"</f>
        <v>明治の森箕面国定公園</v>
      </c>
      <c r="C597" s="7" t="str">
        <f t="shared" si="210"/>
        <v>行政財産</v>
      </c>
      <c r="D597" s="7" t="str">
        <f>"公園"</f>
        <v>公園</v>
      </c>
      <c r="E597" s="7" t="str">
        <f>"大阪府箕面市箕面"</f>
        <v>大阪府箕面市箕面</v>
      </c>
      <c r="F597" s="7"/>
      <c r="G597" s="7" t="str">
        <f>"事業用資産"</f>
        <v>事業用資産</v>
      </c>
      <c r="H597" s="7" t="str">
        <f t="shared" si="209"/>
        <v>棚卸以外</v>
      </c>
      <c r="I597" s="7">
        <v>9</v>
      </c>
      <c r="J597" s="7" t="str">
        <f>"みのお記念の森公衆便所"</f>
        <v>みのお記念の森公衆便所</v>
      </c>
      <c r="K597" s="7" t="str">
        <f>"木造"</f>
        <v>木造</v>
      </c>
      <c r="L597" s="7" t="str">
        <f>"H05.03.29"</f>
        <v>H05.03.29</v>
      </c>
      <c r="M597" s="7">
        <v>24</v>
      </c>
      <c r="N597" s="7">
        <v>15522000</v>
      </c>
      <c r="O597" s="7">
        <v>15521999</v>
      </c>
      <c r="P597" s="7">
        <v>0</v>
      </c>
      <c r="Q597" s="7" t="str">
        <f t="shared" si="206"/>
        <v>環境農林水産部</v>
      </c>
      <c r="R597" s="7" t="str">
        <f t="shared" si="211"/>
        <v>北部農と緑の総合事務所</v>
      </c>
    </row>
    <row r="598" spans="1:18" s="1" customFormat="1" x14ac:dyDescent="0.45">
      <c r="A598" s="7" t="str">
        <f>"06176000005"</f>
        <v>06176000005</v>
      </c>
      <c r="B598" s="7" t="str">
        <f>"明治の森箕面国定公園"</f>
        <v>明治の森箕面国定公園</v>
      </c>
      <c r="C598" s="7" t="str">
        <f t="shared" si="210"/>
        <v>行政財産</v>
      </c>
      <c r="D598" s="7" t="str">
        <f>"公園"</f>
        <v>公園</v>
      </c>
      <c r="E598" s="7" t="str">
        <f>"大阪府箕面市箕面"</f>
        <v>大阪府箕面市箕面</v>
      </c>
      <c r="F598" s="7"/>
      <c r="G598" s="7" t="str">
        <f>"事業用資産"</f>
        <v>事業用資産</v>
      </c>
      <c r="H598" s="7" t="str">
        <f t="shared" si="209"/>
        <v>棚卸以外</v>
      </c>
      <c r="I598" s="7">
        <v>10</v>
      </c>
      <c r="J598" s="7" t="str">
        <f>"政の茶屋公衆便所"</f>
        <v>政の茶屋公衆便所</v>
      </c>
      <c r="K598" s="7" t="str">
        <f>"木造"</f>
        <v>木造</v>
      </c>
      <c r="L598" s="7" t="str">
        <f>"H04.03.31"</f>
        <v>H04.03.31</v>
      </c>
      <c r="M598" s="7">
        <v>54.84</v>
      </c>
      <c r="N598" s="7">
        <v>28474000</v>
      </c>
      <c r="O598" s="7">
        <v>28473999</v>
      </c>
      <c r="P598" s="7">
        <v>0</v>
      </c>
      <c r="Q598" s="7" t="str">
        <f t="shared" si="206"/>
        <v>環境農林水産部</v>
      </c>
      <c r="R598" s="7" t="str">
        <f t="shared" si="211"/>
        <v>北部農と緑の総合事務所</v>
      </c>
    </row>
    <row r="599" spans="1:18" s="1" customFormat="1" x14ac:dyDescent="0.45">
      <c r="A599" s="7" t="str">
        <f>"06176000008"</f>
        <v>06176000008</v>
      </c>
      <c r="B599" s="7" t="str">
        <f>"淀川右岸今戸排水機場敷地"</f>
        <v>淀川右岸今戸排水機場敷地</v>
      </c>
      <c r="C599" s="7" t="str">
        <f t="shared" si="210"/>
        <v>行政財産</v>
      </c>
      <c r="D599" s="7" t="str">
        <f t="shared" ref="D599:D605" si="212">"その他（公共用）の施設"</f>
        <v>その他（公共用）の施設</v>
      </c>
      <c r="E599" s="7" t="str">
        <f>"大阪府高槻市道鵜町５丁目"</f>
        <v>大阪府高槻市道鵜町５丁目</v>
      </c>
      <c r="F599" s="7"/>
      <c r="G599" s="7" t="str">
        <f>"インフラ資産"</f>
        <v>インフラ資産</v>
      </c>
      <c r="H599" s="7" t="str">
        <f t="shared" si="209"/>
        <v>棚卸以外</v>
      </c>
      <c r="I599" s="7">
        <v>1</v>
      </c>
      <c r="J599" s="7" t="str">
        <f>"排水機場上屋"</f>
        <v>排水機場上屋</v>
      </c>
      <c r="K599" s="7" t="str">
        <f>"木造"</f>
        <v>木造</v>
      </c>
      <c r="L599" s="7" t="str">
        <f>"S32.02.28"</f>
        <v>S32.02.28</v>
      </c>
      <c r="M599" s="7">
        <v>191.07</v>
      </c>
      <c r="N599" s="7">
        <v>923000</v>
      </c>
      <c r="O599" s="7">
        <v>922999</v>
      </c>
      <c r="P599" s="7">
        <v>0</v>
      </c>
      <c r="Q599" s="7" t="str">
        <f t="shared" si="206"/>
        <v>環境農林水産部</v>
      </c>
      <c r="R599" s="7" t="str">
        <f t="shared" si="211"/>
        <v>北部農と緑の総合事務所</v>
      </c>
    </row>
    <row r="600" spans="1:18" s="1" customFormat="1" x14ac:dyDescent="0.45">
      <c r="A600" s="7" t="str">
        <f>"06176000009"</f>
        <v>06176000009</v>
      </c>
      <c r="B600" s="7" t="str">
        <f>"三箇牧浄水機場"</f>
        <v>三箇牧浄水機場</v>
      </c>
      <c r="C600" s="7" t="str">
        <f t="shared" si="210"/>
        <v>行政財産</v>
      </c>
      <c r="D600" s="7" t="str">
        <f t="shared" si="212"/>
        <v>その他（公共用）の施設</v>
      </c>
      <c r="E600" s="7" t="str">
        <f>"大阪府高槻市唐崎南３丁目"</f>
        <v>大阪府高槻市唐崎南３丁目</v>
      </c>
      <c r="F600" s="7"/>
      <c r="G600" s="7" t="str">
        <f>"インフラ資産"</f>
        <v>インフラ資産</v>
      </c>
      <c r="H600" s="7" t="str">
        <f t="shared" si="209"/>
        <v>棚卸以外</v>
      </c>
      <c r="I600" s="7">
        <v>1</v>
      </c>
      <c r="J600" s="7" t="str">
        <f>"三箇牧浄水機場上屋"</f>
        <v>三箇牧浄水機場上屋</v>
      </c>
      <c r="K600" s="7" t="str">
        <f>"鉄骨造"</f>
        <v>鉄骨造</v>
      </c>
      <c r="L600" s="7" t="str">
        <f>"S58.07.18"</f>
        <v>S58.07.18</v>
      </c>
      <c r="M600" s="7">
        <v>1594.99</v>
      </c>
      <c r="N600" s="7">
        <v>777126000</v>
      </c>
      <c r="O600" s="7">
        <v>777125999</v>
      </c>
      <c r="P600" s="7">
        <v>0</v>
      </c>
      <c r="Q600" s="7" t="str">
        <f t="shared" si="206"/>
        <v>環境農林水産部</v>
      </c>
      <c r="R600" s="7" t="str">
        <f t="shared" si="211"/>
        <v>北部農と緑の総合事務所</v>
      </c>
    </row>
    <row r="601" spans="1:18" s="1" customFormat="1" x14ac:dyDescent="0.45">
      <c r="A601" s="7" t="str">
        <f>"06176000011"</f>
        <v>06176000011</v>
      </c>
      <c r="B601" s="7" t="str">
        <f>"明治の森箕面国定公園"</f>
        <v>明治の森箕面国定公園</v>
      </c>
      <c r="C601" s="7" t="str">
        <f t="shared" si="210"/>
        <v>行政財産</v>
      </c>
      <c r="D601" s="7" t="str">
        <f t="shared" si="212"/>
        <v>その他（公共用）の施設</v>
      </c>
      <c r="E601" s="7" t="str">
        <f>"大阪府箕面市箕面"</f>
        <v>大阪府箕面市箕面</v>
      </c>
      <c r="F601" s="7"/>
      <c r="G601" s="7" t="str">
        <f>"事業用資産"</f>
        <v>事業用資産</v>
      </c>
      <c r="H601" s="7" t="str">
        <f t="shared" si="209"/>
        <v>棚卸以外</v>
      </c>
      <c r="I601" s="7">
        <v>1</v>
      </c>
      <c r="J601" s="7" t="str">
        <f>"箕面国定公園大日園地公衆便所"</f>
        <v>箕面国定公園大日園地公衆便所</v>
      </c>
      <c r="K601" s="7" t="str">
        <f>"木造"</f>
        <v>木造</v>
      </c>
      <c r="L601" s="7" t="str">
        <f>"H15.10.28"</f>
        <v>H15.10.28</v>
      </c>
      <c r="M601" s="7">
        <v>56.98</v>
      </c>
      <c r="N601" s="7">
        <v>34575000</v>
      </c>
      <c r="O601" s="7">
        <v>33985285</v>
      </c>
      <c r="P601" s="7">
        <v>0</v>
      </c>
      <c r="Q601" s="7" t="str">
        <f t="shared" si="206"/>
        <v>環境農林水産部</v>
      </c>
      <c r="R601" s="7" t="str">
        <f t="shared" si="211"/>
        <v>北部農と緑の総合事務所</v>
      </c>
    </row>
    <row r="602" spans="1:18" s="1" customFormat="1" x14ac:dyDescent="0.45">
      <c r="A602" s="7" t="str">
        <f>"06176000012"</f>
        <v>06176000012</v>
      </c>
      <c r="B602" s="7" t="str">
        <f>"東海自然歩道"</f>
        <v>東海自然歩道</v>
      </c>
      <c r="C602" s="7" t="str">
        <f t="shared" si="210"/>
        <v>行政財産</v>
      </c>
      <c r="D602" s="7" t="str">
        <f t="shared" si="212"/>
        <v>その他（公共用）の施設</v>
      </c>
      <c r="E602" s="7" t="str">
        <f>"大阪府茨木市大字忍頂寺"</f>
        <v>大阪府茨木市大字忍頂寺</v>
      </c>
      <c r="F602" s="7" t="str">
        <f>"３０６"</f>
        <v>３０６</v>
      </c>
      <c r="G602" s="7" t="str">
        <f>"事業用資産"</f>
        <v>事業用資産</v>
      </c>
      <c r="H602" s="7" t="str">
        <f t="shared" si="209"/>
        <v>棚卸以外</v>
      </c>
      <c r="I602" s="7">
        <v>1</v>
      </c>
      <c r="J602" s="7" t="str">
        <f>"東海自然歩道公衆便所（忍頂寺）"</f>
        <v>東海自然歩道公衆便所（忍頂寺）</v>
      </c>
      <c r="K602" s="7" t="str">
        <f>"木造"</f>
        <v>木造</v>
      </c>
      <c r="L602" s="7" t="str">
        <f>"H15.12.24"</f>
        <v>H15.12.24</v>
      </c>
      <c r="M602" s="7">
        <v>17.16</v>
      </c>
      <c r="N602" s="7">
        <v>9243000</v>
      </c>
      <c r="O602" s="7">
        <v>9242997</v>
      </c>
      <c r="P602" s="7">
        <v>0</v>
      </c>
      <c r="Q602" s="7" t="str">
        <f t="shared" si="206"/>
        <v>環境農林水産部</v>
      </c>
      <c r="R602" s="7" t="str">
        <f t="shared" si="211"/>
        <v>北部農と緑の総合事務所</v>
      </c>
    </row>
    <row r="603" spans="1:18" s="1" customFormat="1" x14ac:dyDescent="0.45">
      <c r="A603" s="7" t="str">
        <f>"06176000013"</f>
        <v>06176000013</v>
      </c>
      <c r="B603" s="7" t="str">
        <f>"竜王山地区府立自然公園"</f>
        <v>竜王山地区府立自然公園</v>
      </c>
      <c r="C603" s="7" t="str">
        <f t="shared" si="210"/>
        <v>行政財産</v>
      </c>
      <c r="D603" s="7" t="str">
        <f t="shared" si="212"/>
        <v>その他（公共用）の施設</v>
      </c>
      <c r="E603" s="7" t="str">
        <f>"大阪府茨木市大字車作"</f>
        <v>大阪府茨木市大字車作</v>
      </c>
      <c r="F603" s="7" t="str">
        <f>"３２８－２"</f>
        <v>３２８－２</v>
      </c>
      <c r="G603" s="7" t="str">
        <f>"事業用資産"</f>
        <v>事業用資産</v>
      </c>
      <c r="H603" s="7" t="str">
        <f t="shared" si="209"/>
        <v>棚卸以外</v>
      </c>
      <c r="I603" s="7">
        <v>1</v>
      </c>
      <c r="J603" s="7" t="str">
        <f>"車作林内作業小屋"</f>
        <v>車作林内作業小屋</v>
      </c>
      <c r="K603" s="7" t="str">
        <f>"木造"</f>
        <v>木造</v>
      </c>
      <c r="L603" s="7" t="str">
        <f>"H15.06.06"</f>
        <v>H15.06.06</v>
      </c>
      <c r="M603" s="7">
        <v>46.36</v>
      </c>
      <c r="N603" s="7">
        <v>8169000</v>
      </c>
      <c r="O603" s="7">
        <v>8096549</v>
      </c>
      <c r="P603" s="7">
        <v>0</v>
      </c>
      <c r="Q603" s="7" t="str">
        <f t="shared" si="206"/>
        <v>環境農林水産部</v>
      </c>
      <c r="R603" s="7" t="str">
        <f t="shared" si="211"/>
        <v>北部農と緑の総合事務所</v>
      </c>
    </row>
    <row r="604" spans="1:18" s="1" customFormat="1" x14ac:dyDescent="0.45">
      <c r="A604" s="7" t="str">
        <f>"06176000014"</f>
        <v>06176000014</v>
      </c>
      <c r="B604" s="7" t="str">
        <f>"前島排水機場"</f>
        <v>前島排水機場</v>
      </c>
      <c r="C604" s="7" t="str">
        <f t="shared" si="210"/>
        <v>行政財産</v>
      </c>
      <c r="D604" s="7" t="str">
        <f t="shared" si="212"/>
        <v>その他（公共用）の施設</v>
      </c>
      <c r="E604" s="7" t="str">
        <f>"大阪府高槻市大字前島"</f>
        <v>大阪府高槻市大字前島</v>
      </c>
      <c r="F604" s="7"/>
      <c r="G604" s="7" t="str">
        <f>"インフラ資産"</f>
        <v>インフラ資産</v>
      </c>
      <c r="H604" s="7" t="str">
        <f t="shared" si="209"/>
        <v>棚卸以外</v>
      </c>
      <c r="I604" s="7">
        <v>1</v>
      </c>
      <c r="J604" s="7" t="str">
        <f>"前島排水機場上屋"</f>
        <v>前島排水機場上屋</v>
      </c>
      <c r="K604" s="7" t="str">
        <f>"鉄筋コンクリート造"</f>
        <v>鉄筋コンクリート造</v>
      </c>
      <c r="L604" s="7" t="str">
        <f>"S46.03.28"</f>
        <v>S46.03.28</v>
      </c>
      <c r="M604" s="7">
        <v>624.16</v>
      </c>
      <c r="N604" s="7">
        <v>46133000</v>
      </c>
      <c r="O604" s="7">
        <v>35336847</v>
      </c>
      <c r="P604" s="7">
        <v>0</v>
      </c>
      <c r="Q604" s="7" t="str">
        <f t="shared" si="206"/>
        <v>環境農林水産部</v>
      </c>
      <c r="R604" s="7" t="str">
        <f t="shared" si="211"/>
        <v>北部農と緑の総合事務所</v>
      </c>
    </row>
    <row r="605" spans="1:18" s="1" customFormat="1" x14ac:dyDescent="0.45">
      <c r="A605" s="7" t="str">
        <f>"06176000015"</f>
        <v>06176000015</v>
      </c>
      <c r="B605" s="7" t="str">
        <f>"第２前島排水機場"</f>
        <v>第２前島排水機場</v>
      </c>
      <c r="C605" s="7" t="str">
        <f t="shared" si="210"/>
        <v>行政財産</v>
      </c>
      <c r="D605" s="7" t="str">
        <f t="shared" si="212"/>
        <v>その他（公共用）の施設</v>
      </c>
      <c r="E605" s="7" t="str">
        <f>"大阪府高槻市前島３丁目"</f>
        <v>大阪府高槻市前島３丁目</v>
      </c>
      <c r="F605" s="7"/>
      <c r="G605" s="7" t="str">
        <f>"インフラ資産"</f>
        <v>インフラ資産</v>
      </c>
      <c r="H605" s="7" t="str">
        <f t="shared" si="209"/>
        <v>棚卸以外</v>
      </c>
      <c r="I605" s="7">
        <v>1</v>
      </c>
      <c r="J605" s="7" t="str">
        <f>"第２前島排水機場"</f>
        <v>第２前島排水機場</v>
      </c>
      <c r="K605" s="7" t="str">
        <f>"鉄骨造"</f>
        <v>鉄骨造</v>
      </c>
      <c r="L605" s="7" t="str">
        <f>"H01.03.31"</f>
        <v>H01.03.31</v>
      </c>
      <c r="M605" s="7">
        <v>1024.57</v>
      </c>
      <c r="N605" s="7">
        <v>389665000</v>
      </c>
      <c r="O605" s="7">
        <v>389664999</v>
      </c>
      <c r="P605" s="7">
        <v>0</v>
      </c>
      <c r="Q605" s="7" t="str">
        <f t="shared" si="206"/>
        <v>環境農林水産部</v>
      </c>
      <c r="R605" s="7" t="str">
        <f t="shared" si="211"/>
        <v>北部農と緑の総合事務所</v>
      </c>
    </row>
    <row r="606" spans="1:18" s="1" customFormat="1" x14ac:dyDescent="0.45">
      <c r="A606" s="7" t="str">
        <f>"06176000019"</f>
        <v>06176000019</v>
      </c>
      <c r="B606" s="7" t="str">
        <f>"山辺地区環状自然歩道"</f>
        <v>山辺地区環状自然歩道</v>
      </c>
      <c r="C606" s="7" t="str">
        <f t="shared" si="210"/>
        <v>行政財産</v>
      </c>
      <c r="D606" s="7" t="str">
        <f>"その他"</f>
        <v>その他</v>
      </c>
      <c r="E606" s="7" t="str">
        <f>"大阪府豊能郡　能勢町山辺"</f>
        <v>大阪府豊能郡　能勢町山辺</v>
      </c>
      <c r="F606" s="7"/>
      <c r="G606" s="7" t="str">
        <f t="shared" ref="G606:G611" si="213">"事業用資産"</f>
        <v>事業用資産</v>
      </c>
      <c r="H606" s="7" t="str">
        <f t="shared" si="209"/>
        <v>棚卸以外</v>
      </c>
      <c r="I606" s="7">
        <v>1</v>
      </c>
      <c r="J606" s="7" t="str">
        <f>"山辺地区環状自然歩道地区便所"</f>
        <v>山辺地区環状自然歩道地区便所</v>
      </c>
      <c r="K606" s="7" t="str">
        <f>"木造"</f>
        <v>木造</v>
      </c>
      <c r="L606" s="7" t="str">
        <f>"H07.03.28"</f>
        <v>H07.03.28</v>
      </c>
      <c r="M606" s="7">
        <v>9.99</v>
      </c>
      <c r="N606" s="7">
        <v>11754000</v>
      </c>
      <c r="O606" s="7">
        <v>11753999</v>
      </c>
      <c r="P606" s="7">
        <v>0</v>
      </c>
      <c r="Q606" s="7" t="str">
        <f t="shared" si="206"/>
        <v>環境農林水産部</v>
      </c>
      <c r="R606" s="7" t="str">
        <f t="shared" si="211"/>
        <v>北部農と緑の総合事務所</v>
      </c>
    </row>
    <row r="607" spans="1:18" s="1" customFormat="1" x14ac:dyDescent="0.45">
      <c r="A607" s="7" t="str">
        <f>"06176000040"</f>
        <v>06176000040</v>
      </c>
      <c r="B607" s="7" t="str">
        <f>"東海自然歩道"</f>
        <v>東海自然歩道</v>
      </c>
      <c r="C607" s="7" t="str">
        <f t="shared" si="210"/>
        <v>行政財産</v>
      </c>
      <c r="D607" s="7" t="str">
        <f>"その他（公共用）の施設"</f>
        <v>その他（公共用）の施設</v>
      </c>
      <c r="E607" s="7" t="str">
        <f>"大阪府高槻市大字原"</f>
        <v>大阪府高槻市大字原</v>
      </c>
      <c r="F607" s="7"/>
      <c r="G607" s="7" t="str">
        <f t="shared" si="213"/>
        <v>事業用資産</v>
      </c>
      <c r="H607" s="7" t="str">
        <f t="shared" si="209"/>
        <v>棚卸以外</v>
      </c>
      <c r="I607" s="7">
        <v>1</v>
      </c>
      <c r="J607" s="7" t="str">
        <f>"東海自然歩道公衆便所(本山寺）"</f>
        <v>東海自然歩道公衆便所(本山寺）</v>
      </c>
      <c r="K607" s="7" t="str">
        <f>"鉄筋コンクリート造"</f>
        <v>鉄筋コンクリート造</v>
      </c>
      <c r="L607" s="7" t="str">
        <f>"H18.03.20"</f>
        <v>H18.03.20</v>
      </c>
      <c r="M607" s="7">
        <v>73.33</v>
      </c>
      <c r="N607" s="7">
        <v>28307588</v>
      </c>
      <c r="O607" s="7">
        <v>16116475</v>
      </c>
      <c r="P607" s="7">
        <v>0</v>
      </c>
      <c r="Q607" s="7" t="str">
        <f t="shared" si="206"/>
        <v>環境農林水産部</v>
      </c>
      <c r="R607" s="7" t="str">
        <f t="shared" si="211"/>
        <v>北部農と緑の総合事務所</v>
      </c>
    </row>
    <row r="608" spans="1:18" s="1" customFormat="1" x14ac:dyDescent="0.45">
      <c r="A608" s="7" t="str">
        <f>"06176000063"</f>
        <v>06176000063</v>
      </c>
      <c r="B608" s="7" t="str">
        <f>"広瀬地区環状自然歩道"</f>
        <v>広瀬地区環状自然歩道</v>
      </c>
      <c r="C608" s="7" t="str">
        <f t="shared" si="210"/>
        <v>行政財産</v>
      </c>
      <c r="D608" s="7" t="str">
        <f>"その他"</f>
        <v>その他</v>
      </c>
      <c r="E608" s="7" t="str">
        <f>"大阪府三島郡　島本町大字広瀬"</f>
        <v>大阪府三島郡　島本町大字広瀬</v>
      </c>
      <c r="F608" s="7"/>
      <c r="G608" s="7" t="str">
        <f t="shared" si="213"/>
        <v>事業用資産</v>
      </c>
      <c r="H608" s="7" t="str">
        <f t="shared" si="209"/>
        <v>棚卸以外</v>
      </c>
      <c r="I608" s="7">
        <v>1</v>
      </c>
      <c r="J608" s="7" t="str">
        <f>"広瀬地区環状自然歩道公衆便所"</f>
        <v>広瀬地区環状自然歩道公衆便所</v>
      </c>
      <c r="K608" s="7" t="str">
        <f>"木造"</f>
        <v>木造</v>
      </c>
      <c r="L608" s="7" t="str">
        <f>"H08.03.28"</f>
        <v>H08.03.28</v>
      </c>
      <c r="M608" s="7">
        <v>9.99</v>
      </c>
      <c r="N608" s="7">
        <v>11729000</v>
      </c>
      <c r="O608" s="7">
        <v>11728999</v>
      </c>
      <c r="P608" s="7">
        <v>0</v>
      </c>
      <c r="Q608" s="7" t="str">
        <f t="shared" si="206"/>
        <v>環境農林水産部</v>
      </c>
      <c r="R608" s="7" t="str">
        <f t="shared" si="211"/>
        <v>北部農と緑の総合事務所</v>
      </c>
    </row>
    <row r="609" spans="1:18" s="1" customFormat="1" x14ac:dyDescent="0.45">
      <c r="A609" s="7" t="str">
        <f>"06176000065"</f>
        <v>06176000065</v>
      </c>
      <c r="B609" s="7" t="str">
        <f>"北摂地区環状自然歩道"</f>
        <v>北摂地区環状自然歩道</v>
      </c>
      <c r="C609" s="7" t="str">
        <f t="shared" si="210"/>
        <v>行政財産</v>
      </c>
      <c r="D609" s="7" t="str">
        <f>"その他"</f>
        <v>その他</v>
      </c>
      <c r="E609" s="7" t="str">
        <f>"大阪府三島郡　島本町大字大沢"</f>
        <v>大阪府三島郡　島本町大字大沢</v>
      </c>
      <c r="F609" s="7"/>
      <c r="G609" s="7" t="str">
        <f t="shared" si="213"/>
        <v>事業用資産</v>
      </c>
      <c r="H609" s="7" t="str">
        <f t="shared" si="209"/>
        <v>棚卸以外</v>
      </c>
      <c r="I609" s="7">
        <v>1</v>
      </c>
      <c r="J609" s="7" t="str">
        <f>"大沢環状自然歩道公衆便所"</f>
        <v>大沢環状自然歩道公衆便所</v>
      </c>
      <c r="K609" s="7" t="str">
        <f>"木造"</f>
        <v>木造</v>
      </c>
      <c r="L609" s="7" t="str">
        <f>"H11.03.31"</f>
        <v>H11.03.31</v>
      </c>
      <c r="M609" s="7">
        <v>9.99</v>
      </c>
      <c r="N609" s="7">
        <v>16380000</v>
      </c>
      <c r="O609" s="7">
        <v>16379999</v>
      </c>
      <c r="P609" s="7">
        <v>0</v>
      </c>
      <c r="Q609" s="7" t="str">
        <f t="shared" si="206"/>
        <v>環境農林水産部</v>
      </c>
      <c r="R609" s="7" t="str">
        <f t="shared" si="211"/>
        <v>北部農と緑の総合事務所</v>
      </c>
    </row>
    <row r="610" spans="1:18" s="1" customFormat="1" x14ac:dyDescent="0.45">
      <c r="A610" s="7" t="str">
        <f>"06176000070"</f>
        <v>06176000070</v>
      </c>
      <c r="B610" s="7" t="str">
        <f>"地黄地区環状自然歩道"</f>
        <v>地黄地区環状自然歩道</v>
      </c>
      <c r="C610" s="7" t="str">
        <f t="shared" si="210"/>
        <v>行政財産</v>
      </c>
      <c r="D610" s="7" t="str">
        <f>"その他（公共用）の施設"</f>
        <v>その他（公共用）の施設</v>
      </c>
      <c r="E610" s="7" t="str">
        <f>"大阪府豊能郡　能勢町地黄"</f>
        <v>大阪府豊能郡　能勢町地黄</v>
      </c>
      <c r="F610" s="7"/>
      <c r="G610" s="7" t="str">
        <f t="shared" si="213"/>
        <v>事業用資産</v>
      </c>
      <c r="H610" s="7" t="str">
        <f t="shared" si="209"/>
        <v>棚卸以外</v>
      </c>
      <c r="I610" s="7">
        <v>1</v>
      </c>
      <c r="J610" s="7" t="str">
        <f>"地黄地区環状自然歩道便所"</f>
        <v>地黄地区環状自然歩道便所</v>
      </c>
      <c r="K610" s="7" t="str">
        <f>"木造"</f>
        <v>木造</v>
      </c>
      <c r="L610" s="7" t="str">
        <f>"H15.03.31"</f>
        <v>H15.03.31</v>
      </c>
      <c r="M610" s="7">
        <v>9.85</v>
      </c>
      <c r="N610" s="7">
        <v>10710000</v>
      </c>
      <c r="O610" s="7">
        <v>10709999</v>
      </c>
      <c r="P610" s="7">
        <v>0</v>
      </c>
      <c r="Q610" s="7" t="str">
        <f t="shared" si="206"/>
        <v>環境農林水産部</v>
      </c>
      <c r="R610" s="7" t="str">
        <f t="shared" si="211"/>
        <v>北部農と緑の総合事務所</v>
      </c>
    </row>
    <row r="611" spans="1:18" s="1" customFormat="1" x14ac:dyDescent="0.45">
      <c r="A611" s="7" t="str">
        <f>"06176000071"</f>
        <v>06176000071</v>
      </c>
      <c r="B611" s="7" t="str">
        <f>"地黄地区生活環境保全林作業拠点施設"</f>
        <v>地黄地区生活環境保全林作業拠点施設</v>
      </c>
      <c r="C611" s="7" t="str">
        <f t="shared" si="210"/>
        <v>行政財産</v>
      </c>
      <c r="D611" s="7" t="str">
        <f>"その他（公共用）の施設"</f>
        <v>その他（公共用）の施設</v>
      </c>
      <c r="E611" s="7" t="str">
        <f>"大阪府豊能郡　能勢町地黄"</f>
        <v>大阪府豊能郡　能勢町地黄</v>
      </c>
      <c r="F611" s="7"/>
      <c r="G611" s="7" t="str">
        <f t="shared" si="213"/>
        <v>事業用資産</v>
      </c>
      <c r="H611" s="7" t="str">
        <f t="shared" si="209"/>
        <v>棚卸以外</v>
      </c>
      <c r="I611" s="7">
        <v>1</v>
      </c>
      <c r="J611" s="7" t="str">
        <f>"地黄地区生活環境保全作業拠点"</f>
        <v>地黄地区生活環境保全作業拠点</v>
      </c>
      <c r="K611" s="7" t="str">
        <f>"木造"</f>
        <v>木造</v>
      </c>
      <c r="L611" s="7" t="str">
        <f>"H15.06.06"</f>
        <v>H15.06.06</v>
      </c>
      <c r="M611" s="7">
        <v>76.25</v>
      </c>
      <c r="N611" s="7">
        <v>18585000</v>
      </c>
      <c r="O611" s="7">
        <v>18584999</v>
      </c>
      <c r="P611" s="7">
        <v>0</v>
      </c>
      <c r="Q611" s="7" t="str">
        <f t="shared" si="206"/>
        <v>環境農林水産部</v>
      </c>
      <c r="R611" s="7" t="str">
        <f t="shared" si="211"/>
        <v>北部農と緑の総合事務所</v>
      </c>
    </row>
    <row r="612" spans="1:18" s="1" customFormat="1" x14ac:dyDescent="0.45">
      <c r="A612" s="7" t="str">
        <f>"06176001007"</f>
        <v>06176001007</v>
      </c>
      <c r="B612" s="7" t="str">
        <f>"玉島浄水機場"</f>
        <v>玉島浄水機場</v>
      </c>
      <c r="C612" s="7" t="str">
        <f t="shared" si="210"/>
        <v>行政財産</v>
      </c>
      <c r="D612" s="7" t="str">
        <f>"その他（公共用）の施設"</f>
        <v>その他（公共用）の施設</v>
      </c>
      <c r="E612" s="7" t="str">
        <f>"大阪府茨木市野々宮１丁目"</f>
        <v>大阪府茨木市野々宮１丁目</v>
      </c>
      <c r="F612" s="7"/>
      <c r="G612" s="7" t="str">
        <f t="shared" ref="G612:G617" si="214">"インフラ資産"</f>
        <v>インフラ資産</v>
      </c>
      <c r="H612" s="7" t="str">
        <f t="shared" si="209"/>
        <v>棚卸以外</v>
      </c>
      <c r="I612" s="7">
        <v>1</v>
      </c>
      <c r="J612" s="7" t="str">
        <f>"玉島浄水機場上屋"</f>
        <v>玉島浄水機場上屋</v>
      </c>
      <c r="K612" s="7" t="str">
        <f>"鉄骨造"</f>
        <v>鉄骨造</v>
      </c>
      <c r="L612" s="7" t="str">
        <f>"S61.09.04"</f>
        <v>S61.09.04</v>
      </c>
      <c r="M612" s="7">
        <v>523.37</v>
      </c>
      <c r="N612" s="7">
        <v>375380000</v>
      </c>
      <c r="O612" s="7">
        <v>375379995</v>
      </c>
      <c r="P612" s="7">
        <v>0</v>
      </c>
      <c r="Q612" s="7" t="str">
        <f t="shared" si="206"/>
        <v>環境農林水産部</v>
      </c>
      <c r="R612" s="7" t="str">
        <f t="shared" si="211"/>
        <v>北部農と緑の総合事務所</v>
      </c>
    </row>
    <row r="613" spans="1:18" s="1" customFormat="1" x14ac:dyDescent="0.45">
      <c r="A613" s="7" t="str">
        <f>"06176001010"</f>
        <v>06176001010</v>
      </c>
      <c r="B613" s="7" t="str">
        <f>"五領揚水機場"</f>
        <v>五領揚水機場</v>
      </c>
      <c r="C613" s="7" t="str">
        <f t="shared" si="210"/>
        <v>行政財産</v>
      </c>
      <c r="D613" s="7" t="str">
        <f>"その他（公共用）の施設"</f>
        <v>その他（公共用）の施設</v>
      </c>
      <c r="E613" s="7" t="str">
        <f>"大阪府高槻市大字上牧"</f>
        <v>大阪府高槻市大字上牧</v>
      </c>
      <c r="F613" s="7"/>
      <c r="G613" s="7" t="str">
        <f t="shared" si="214"/>
        <v>インフラ資産</v>
      </c>
      <c r="H613" s="7" t="str">
        <f t="shared" si="209"/>
        <v>棚卸以外</v>
      </c>
      <c r="I613" s="7">
        <v>2</v>
      </c>
      <c r="J613" s="7" t="str">
        <f>"揚水機場上屋"</f>
        <v>揚水機場上屋</v>
      </c>
      <c r="K613" s="7" t="str">
        <f>"鉄骨造"</f>
        <v>鉄骨造</v>
      </c>
      <c r="L613" s="7" t="str">
        <f>"S46.03.28"</f>
        <v>S46.03.28</v>
      </c>
      <c r="M613" s="7">
        <v>223.25</v>
      </c>
      <c r="N613" s="7">
        <v>159233460</v>
      </c>
      <c r="O613" s="7">
        <v>149884033</v>
      </c>
      <c r="P613" s="7">
        <v>0</v>
      </c>
      <c r="Q613" s="7" t="str">
        <f t="shared" si="206"/>
        <v>環境農林水産部</v>
      </c>
      <c r="R613" s="7" t="str">
        <f t="shared" si="211"/>
        <v>北部農と緑の総合事務所</v>
      </c>
    </row>
    <row r="614" spans="1:18" s="1" customFormat="1" x14ac:dyDescent="0.45">
      <c r="A614" s="7" t="str">
        <f>"06177000001"</f>
        <v>06177000001</v>
      </c>
      <c r="B614" s="7" t="str">
        <f>"ため池防災テレメータ観測局舎（惣喜池）"</f>
        <v>ため池防災テレメータ観測局舎（惣喜池）</v>
      </c>
      <c r="C614" s="7" t="str">
        <f t="shared" ref="C614:C645" si="215">"行政財産"</f>
        <v>行政財産</v>
      </c>
      <c r="D614" s="7" t="str">
        <f>"その他（行政機関）の施設"</f>
        <v>その他（行政機関）の施設</v>
      </c>
      <c r="E614" s="7" t="str">
        <f>"大阪府枚方市津田北町３丁目"</f>
        <v>大阪府枚方市津田北町３丁目</v>
      </c>
      <c r="F614" s="7"/>
      <c r="G614" s="7" t="str">
        <f t="shared" si="214"/>
        <v>インフラ資産</v>
      </c>
      <c r="H614" s="7" t="str">
        <f t="shared" si="209"/>
        <v>棚卸以外</v>
      </c>
      <c r="I614" s="7">
        <v>1</v>
      </c>
      <c r="J614" s="7" t="str">
        <f>"惣喜池テレメータ観測局舎"</f>
        <v>惣喜池テレメータ観測局舎</v>
      </c>
      <c r="K614" s="7" t="str">
        <f>"鉄骨コンクリート造"</f>
        <v>鉄骨コンクリート造</v>
      </c>
      <c r="L614" s="7" t="str">
        <f>"H02.10.31"</f>
        <v>H02.10.31</v>
      </c>
      <c r="M614" s="7">
        <v>3.23</v>
      </c>
      <c r="N614" s="7">
        <v>1161000</v>
      </c>
      <c r="O614" s="7">
        <v>990783</v>
      </c>
      <c r="P614" s="7">
        <v>0</v>
      </c>
      <c r="Q614" s="7" t="str">
        <f t="shared" si="206"/>
        <v>環境農林水産部</v>
      </c>
      <c r="R614" s="7" t="str">
        <f t="shared" ref="R614:R645" si="216">"中部農と緑の総合事務所"</f>
        <v>中部農と緑の総合事務所</v>
      </c>
    </row>
    <row r="615" spans="1:18" s="1" customFormat="1" x14ac:dyDescent="0.45">
      <c r="A615" s="7" t="str">
        <f>"06177000002"</f>
        <v>06177000002</v>
      </c>
      <c r="B615" s="7" t="str">
        <f>"ため池防災テレメータ観測局舎（寒谷池）"</f>
        <v>ため池防災テレメータ観測局舎（寒谷池）</v>
      </c>
      <c r="C615" s="7" t="str">
        <f t="shared" si="215"/>
        <v>行政財産</v>
      </c>
      <c r="D615" s="7" t="str">
        <f>"その他（行政機関）の施設"</f>
        <v>その他（行政機関）の施設</v>
      </c>
      <c r="E615" s="7" t="str">
        <f>"大阪府四條畷市大字下田原"</f>
        <v>大阪府四條畷市大字下田原</v>
      </c>
      <c r="F615" s="7"/>
      <c r="G615" s="7" t="str">
        <f t="shared" si="214"/>
        <v>インフラ資産</v>
      </c>
      <c r="H615" s="7" t="str">
        <f t="shared" si="209"/>
        <v>棚卸以外</v>
      </c>
      <c r="I615" s="7">
        <v>1</v>
      </c>
      <c r="J615" s="7" t="str">
        <f>"寒谷池テレメータ観測局舎"</f>
        <v>寒谷池テレメータ観測局舎</v>
      </c>
      <c r="K615" s="7" t="str">
        <f>"鉄骨コンクリート造"</f>
        <v>鉄骨コンクリート造</v>
      </c>
      <c r="L615" s="7" t="str">
        <f>"H04.03.31"</f>
        <v>H04.03.31</v>
      </c>
      <c r="M615" s="7">
        <v>3.99</v>
      </c>
      <c r="N615" s="7">
        <v>2021000</v>
      </c>
      <c r="O615" s="7">
        <v>1649076</v>
      </c>
      <c r="P615" s="7">
        <v>0</v>
      </c>
      <c r="Q615" s="7" t="str">
        <f t="shared" si="206"/>
        <v>環境農林水産部</v>
      </c>
      <c r="R615" s="7" t="str">
        <f t="shared" si="216"/>
        <v>中部農と緑の総合事務所</v>
      </c>
    </row>
    <row r="616" spans="1:18" s="1" customFormat="1" ht="26.4" x14ac:dyDescent="0.45">
      <c r="A616" s="7" t="str">
        <f>"06177000004"</f>
        <v>06177000004</v>
      </c>
      <c r="B616" s="7" t="str">
        <f>"ため池防災テレメータ観測局舎（日下新池）"</f>
        <v>ため池防災テレメータ観測局舎（日下新池）</v>
      </c>
      <c r="C616" s="7" t="str">
        <f t="shared" si="215"/>
        <v>行政財産</v>
      </c>
      <c r="D616" s="7" t="str">
        <f>"その他（行政機関）の施設"</f>
        <v>その他（行政機関）の施設</v>
      </c>
      <c r="E616" s="7" t="str">
        <f>"大阪府東大阪市日下町１丁目"</f>
        <v>大阪府東大阪市日下町１丁目</v>
      </c>
      <c r="F616" s="7"/>
      <c r="G616" s="7" t="str">
        <f t="shared" si="214"/>
        <v>インフラ資産</v>
      </c>
      <c r="H616" s="7" t="str">
        <f t="shared" si="209"/>
        <v>棚卸以外</v>
      </c>
      <c r="I616" s="7">
        <v>1</v>
      </c>
      <c r="J616" s="7" t="str">
        <f>"日下新池テレメータ観測局舎"</f>
        <v>日下新池テレメータ観測局舎</v>
      </c>
      <c r="K616" s="7" t="str">
        <f>"鉄骨コンクリート造"</f>
        <v>鉄骨コンクリート造</v>
      </c>
      <c r="L616" s="7" t="str">
        <f>"H04.12.16"</f>
        <v>H04.12.16</v>
      </c>
      <c r="M616" s="7">
        <v>3.6</v>
      </c>
      <c r="N616" s="7">
        <v>2027000</v>
      </c>
      <c r="O616" s="7">
        <v>1613898</v>
      </c>
      <c r="P616" s="7">
        <v>0</v>
      </c>
      <c r="Q616" s="7" t="str">
        <f t="shared" si="206"/>
        <v>環境農林水産部</v>
      </c>
      <c r="R616" s="7" t="str">
        <f t="shared" si="216"/>
        <v>中部農と緑の総合事務所</v>
      </c>
    </row>
    <row r="617" spans="1:18" s="1" customFormat="1" ht="26.4" x14ac:dyDescent="0.45">
      <c r="A617" s="7" t="str">
        <f>"06177000005"</f>
        <v>06177000005</v>
      </c>
      <c r="B617" s="7" t="str">
        <f>"ため池防災テレメータ観測局舎（豊浦山池）"</f>
        <v>ため池防災テレメータ観測局舎（豊浦山池）</v>
      </c>
      <c r="C617" s="7" t="str">
        <f t="shared" si="215"/>
        <v>行政財産</v>
      </c>
      <c r="D617" s="7" t="str">
        <f>"その他（行政機関）の施設"</f>
        <v>その他（行政機関）の施設</v>
      </c>
      <c r="E617" s="7" t="str">
        <f>"大阪府東大阪市東豊浦町"</f>
        <v>大阪府東大阪市東豊浦町</v>
      </c>
      <c r="F617" s="7"/>
      <c r="G617" s="7" t="str">
        <f t="shared" si="214"/>
        <v>インフラ資産</v>
      </c>
      <c r="H617" s="7" t="str">
        <f t="shared" si="209"/>
        <v>棚卸以外</v>
      </c>
      <c r="I617" s="7">
        <v>1</v>
      </c>
      <c r="J617" s="7" t="str">
        <f>"豊浦山池テレメータ観測局舎"</f>
        <v>豊浦山池テレメータ観測局舎</v>
      </c>
      <c r="K617" s="7" t="str">
        <f>"鉄骨コンクリート造"</f>
        <v>鉄骨コンクリート造</v>
      </c>
      <c r="L617" s="7" t="str">
        <f>"H05.03.25"</f>
        <v>H05.03.25</v>
      </c>
      <c r="M617" s="7">
        <v>3.6</v>
      </c>
      <c r="N617" s="7">
        <v>2873000</v>
      </c>
      <c r="O617" s="7">
        <v>2268360</v>
      </c>
      <c r="P617" s="7">
        <v>0</v>
      </c>
      <c r="Q617" s="7" t="str">
        <f t="shared" si="206"/>
        <v>環境農林水産部</v>
      </c>
      <c r="R617" s="7" t="str">
        <f t="shared" si="216"/>
        <v>中部農と緑の総合事務所</v>
      </c>
    </row>
    <row r="618" spans="1:18" s="1" customFormat="1" x14ac:dyDescent="0.45">
      <c r="A618" s="7" t="str">
        <f t="shared" ref="A618:A623" si="217">"06177000006"</f>
        <v>06177000006</v>
      </c>
      <c r="B618" s="7" t="str">
        <f t="shared" ref="B618:B623" si="218">"室池集団施設"</f>
        <v>室池集団施設</v>
      </c>
      <c r="C618" s="7" t="str">
        <f t="shared" si="215"/>
        <v>行政財産</v>
      </c>
      <c r="D618" s="7" t="str">
        <f t="shared" ref="D618:D623" si="219">"公園"</f>
        <v>公園</v>
      </c>
      <c r="E618" s="7" t="str">
        <f t="shared" ref="E618:E623" si="220">"大阪府四條畷市大字南野"</f>
        <v>大阪府四條畷市大字南野</v>
      </c>
      <c r="F618" s="7"/>
      <c r="G618" s="7" t="str">
        <f t="shared" ref="G618:G662" si="221">"事業用資産"</f>
        <v>事業用資産</v>
      </c>
      <c r="H618" s="7" t="str">
        <f t="shared" si="209"/>
        <v>棚卸以外</v>
      </c>
      <c r="I618" s="7">
        <v>1</v>
      </c>
      <c r="J618" s="7" t="str">
        <f>"展望休憩所新池"</f>
        <v>展望休憩所新池</v>
      </c>
      <c r="K618" s="7" t="str">
        <f>"鉄筋コンクリート造"</f>
        <v>鉄筋コンクリート造</v>
      </c>
      <c r="L618" s="7" t="str">
        <f>"S53.03.29"</f>
        <v>S53.03.29</v>
      </c>
      <c r="M618" s="7">
        <v>27</v>
      </c>
      <c r="N618" s="7">
        <v>3287000</v>
      </c>
      <c r="O618" s="7">
        <v>2958660</v>
      </c>
      <c r="P618" s="7">
        <v>0</v>
      </c>
      <c r="Q618" s="7" t="str">
        <f t="shared" si="206"/>
        <v>環境農林水産部</v>
      </c>
      <c r="R618" s="7" t="str">
        <f t="shared" si="216"/>
        <v>中部農と緑の総合事務所</v>
      </c>
    </row>
    <row r="619" spans="1:18" s="1" customFormat="1" x14ac:dyDescent="0.45">
      <c r="A619" s="7" t="str">
        <f t="shared" si="217"/>
        <v>06177000006</v>
      </c>
      <c r="B619" s="7" t="str">
        <f t="shared" si="218"/>
        <v>室池集団施設</v>
      </c>
      <c r="C619" s="7" t="str">
        <f t="shared" si="215"/>
        <v>行政財産</v>
      </c>
      <c r="D619" s="7" t="str">
        <f t="shared" si="219"/>
        <v>公園</v>
      </c>
      <c r="E619" s="7" t="str">
        <f t="shared" si="220"/>
        <v>大阪府四條畷市大字南野</v>
      </c>
      <c r="F619" s="7"/>
      <c r="G619" s="7" t="str">
        <f t="shared" si="221"/>
        <v>事業用資産</v>
      </c>
      <c r="H619" s="7" t="str">
        <f t="shared" si="209"/>
        <v>棚卸以外</v>
      </c>
      <c r="I619" s="7">
        <v>2</v>
      </c>
      <c r="J619" s="7" t="str">
        <f>"展望休憩所古池"</f>
        <v>展望休憩所古池</v>
      </c>
      <c r="K619" s="7" t="str">
        <f>"鉄筋コンクリート造"</f>
        <v>鉄筋コンクリート造</v>
      </c>
      <c r="L619" s="7" t="str">
        <f>"S53.03.29"</f>
        <v>S53.03.29</v>
      </c>
      <c r="M619" s="7">
        <v>27</v>
      </c>
      <c r="N619" s="7">
        <v>2725000</v>
      </c>
      <c r="O619" s="7">
        <v>2452680</v>
      </c>
      <c r="P619" s="7">
        <v>0</v>
      </c>
      <c r="Q619" s="7" t="str">
        <f t="shared" si="206"/>
        <v>環境農林水産部</v>
      </c>
      <c r="R619" s="7" t="str">
        <f t="shared" si="216"/>
        <v>中部農と緑の総合事務所</v>
      </c>
    </row>
    <row r="620" spans="1:18" s="1" customFormat="1" x14ac:dyDescent="0.45">
      <c r="A620" s="7" t="str">
        <f t="shared" si="217"/>
        <v>06177000006</v>
      </c>
      <c r="B620" s="7" t="str">
        <f t="shared" si="218"/>
        <v>室池集団施設</v>
      </c>
      <c r="C620" s="7" t="str">
        <f t="shared" si="215"/>
        <v>行政財産</v>
      </c>
      <c r="D620" s="7" t="str">
        <f t="shared" si="219"/>
        <v>公園</v>
      </c>
      <c r="E620" s="7" t="str">
        <f t="shared" si="220"/>
        <v>大阪府四條畷市大字南野</v>
      </c>
      <c r="F620" s="7"/>
      <c r="G620" s="7" t="str">
        <f t="shared" si="221"/>
        <v>事業用資産</v>
      </c>
      <c r="H620" s="7" t="str">
        <f t="shared" si="209"/>
        <v>棚卸以外</v>
      </c>
      <c r="I620" s="7">
        <v>4</v>
      </c>
      <c r="J620" s="7" t="str">
        <f>"管理事務所"</f>
        <v>管理事務所</v>
      </c>
      <c r="K620" s="7" t="str">
        <f>"木造"</f>
        <v>木造</v>
      </c>
      <c r="L620" s="7" t="str">
        <f>"S54.03.26"</f>
        <v>S54.03.26</v>
      </c>
      <c r="M620" s="7">
        <v>58.9</v>
      </c>
      <c r="N620" s="7">
        <v>12214000</v>
      </c>
      <c r="O620" s="7">
        <v>12213999</v>
      </c>
      <c r="P620" s="7">
        <v>0</v>
      </c>
      <c r="Q620" s="7" t="str">
        <f t="shared" si="206"/>
        <v>環境農林水産部</v>
      </c>
      <c r="R620" s="7" t="str">
        <f t="shared" si="216"/>
        <v>中部農と緑の総合事務所</v>
      </c>
    </row>
    <row r="621" spans="1:18" s="1" customFormat="1" x14ac:dyDescent="0.45">
      <c r="A621" s="7" t="str">
        <f t="shared" si="217"/>
        <v>06177000006</v>
      </c>
      <c r="B621" s="7" t="str">
        <f t="shared" si="218"/>
        <v>室池集団施設</v>
      </c>
      <c r="C621" s="7" t="str">
        <f t="shared" si="215"/>
        <v>行政財産</v>
      </c>
      <c r="D621" s="7" t="str">
        <f t="shared" si="219"/>
        <v>公園</v>
      </c>
      <c r="E621" s="7" t="str">
        <f t="shared" si="220"/>
        <v>大阪府四條畷市大字南野</v>
      </c>
      <c r="F621" s="7"/>
      <c r="G621" s="7" t="str">
        <f t="shared" si="221"/>
        <v>事業用資産</v>
      </c>
      <c r="H621" s="7" t="str">
        <f t="shared" si="209"/>
        <v>棚卸以外</v>
      </c>
      <c r="I621" s="7">
        <v>7</v>
      </c>
      <c r="J621" s="7" t="str">
        <f>"森の工作館前便所"</f>
        <v>森の工作館前便所</v>
      </c>
      <c r="K621" s="7" t="str">
        <f>"木造"</f>
        <v>木造</v>
      </c>
      <c r="L621" s="7" t="str">
        <f>"H05.03.31"</f>
        <v>H05.03.31</v>
      </c>
      <c r="M621" s="7">
        <v>56.4</v>
      </c>
      <c r="N621" s="7">
        <v>38419000</v>
      </c>
      <c r="O621" s="7">
        <v>38418999</v>
      </c>
      <c r="P621" s="7">
        <v>0</v>
      </c>
      <c r="Q621" s="7" t="str">
        <f t="shared" si="206"/>
        <v>環境農林水産部</v>
      </c>
      <c r="R621" s="7" t="str">
        <f t="shared" si="216"/>
        <v>中部農と緑の総合事務所</v>
      </c>
    </row>
    <row r="622" spans="1:18" s="1" customFormat="1" x14ac:dyDescent="0.45">
      <c r="A622" s="7" t="str">
        <f t="shared" si="217"/>
        <v>06177000006</v>
      </c>
      <c r="B622" s="7" t="str">
        <f t="shared" si="218"/>
        <v>室池集団施設</v>
      </c>
      <c r="C622" s="7" t="str">
        <f t="shared" si="215"/>
        <v>行政財産</v>
      </c>
      <c r="D622" s="7" t="str">
        <f t="shared" si="219"/>
        <v>公園</v>
      </c>
      <c r="E622" s="7" t="str">
        <f t="shared" si="220"/>
        <v>大阪府四條畷市大字南野</v>
      </c>
      <c r="F622" s="7"/>
      <c r="G622" s="7" t="str">
        <f t="shared" si="221"/>
        <v>事業用資産</v>
      </c>
      <c r="H622" s="7" t="str">
        <f t="shared" si="209"/>
        <v>棚卸以外</v>
      </c>
      <c r="I622" s="7">
        <v>8</v>
      </c>
      <c r="J622" s="7" t="str">
        <f>"森の工作館"</f>
        <v>森の工作館</v>
      </c>
      <c r="K622" s="7" t="str">
        <f>"木造"</f>
        <v>木造</v>
      </c>
      <c r="L622" s="7" t="str">
        <f>"H06.03.31"</f>
        <v>H06.03.31</v>
      </c>
      <c r="M622" s="7">
        <v>370.62</v>
      </c>
      <c r="N622" s="7">
        <v>205666000</v>
      </c>
      <c r="O622" s="7">
        <v>205665999</v>
      </c>
      <c r="P622" s="7">
        <v>0</v>
      </c>
      <c r="Q622" s="7" t="str">
        <f t="shared" si="206"/>
        <v>環境農林水産部</v>
      </c>
      <c r="R622" s="7" t="str">
        <f t="shared" si="216"/>
        <v>中部農と緑の総合事務所</v>
      </c>
    </row>
    <row r="623" spans="1:18" s="1" customFormat="1" x14ac:dyDescent="0.45">
      <c r="A623" s="7" t="str">
        <f t="shared" si="217"/>
        <v>06177000006</v>
      </c>
      <c r="B623" s="7" t="str">
        <f t="shared" si="218"/>
        <v>室池集団施設</v>
      </c>
      <c r="C623" s="7" t="str">
        <f t="shared" si="215"/>
        <v>行政財産</v>
      </c>
      <c r="D623" s="7" t="str">
        <f t="shared" si="219"/>
        <v>公園</v>
      </c>
      <c r="E623" s="7" t="str">
        <f t="shared" si="220"/>
        <v>大阪府四條畷市大字南野</v>
      </c>
      <c r="F623" s="7"/>
      <c r="G623" s="7" t="str">
        <f t="shared" si="221"/>
        <v>事業用資産</v>
      </c>
      <c r="H623" s="7" t="str">
        <f t="shared" si="209"/>
        <v>棚卸以外</v>
      </c>
      <c r="I623" s="7">
        <v>15</v>
      </c>
      <c r="J623" s="7" t="str">
        <f>"水辺自然園便所"</f>
        <v>水辺自然園便所</v>
      </c>
      <c r="K623" s="7" t="str">
        <f>"木造"</f>
        <v>木造</v>
      </c>
      <c r="L623" s="7" t="str">
        <f>"H07.03.31"</f>
        <v>H07.03.31</v>
      </c>
      <c r="M623" s="7">
        <v>36.06</v>
      </c>
      <c r="N623" s="7">
        <v>36883000</v>
      </c>
      <c r="O623" s="7">
        <v>36882999</v>
      </c>
      <c r="P623" s="7">
        <v>0</v>
      </c>
      <c r="Q623" s="7" t="str">
        <f t="shared" si="206"/>
        <v>環境農林水産部</v>
      </c>
      <c r="R623" s="7" t="str">
        <f t="shared" si="216"/>
        <v>中部農と緑の総合事務所</v>
      </c>
    </row>
    <row r="624" spans="1:18" s="1" customFormat="1" x14ac:dyDescent="0.45">
      <c r="A624" s="7" t="str">
        <f t="shared" ref="A624:A640" si="222">"06177000009"</f>
        <v>06177000009</v>
      </c>
      <c r="B624" s="7" t="str">
        <f t="shared" ref="B624:B640" si="223">"府民の森上四条地区"</f>
        <v>府民の森上四条地区</v>
      </c>
      <c r="C624" s="7" t="str">
        <f t="shared" si="215"/>
        <v>行政財産</v>
      </c>
      <c r="D624" s="7" t="str">
        <f t="shared" ref="D624:D661" si="224">"その他（公共用）の施設"</f>
        <v>その他（公共用）の施設</v>
      </c>
      <c r="E624" s="7" t="str">
        <f t="shared" ref="E624:E640" si="225">"大阪府東大阪市上四条町"</f>
        <v>大阪府東大阪市上四条町</v>
      </c>
      <c r="F624" s="7"/>
      <c r="G624" s="7" t="str">
        <f t="shared" si="221"/>
        <v>事業用資産</v>
      </c>
      <c r="H624" s="7" t="str">
        <f t="shared" si="209"/>
        <v>棚卸以外</v>
      </c>
      <c r="I624" s="7">
        <v>2</v>
      </c>
      <c r="J624" s="7" t="str">
        <f>"ポンプ室"</f>
        <v>ポンプ室</v>
      </c>
      <c r="K624" s="7" t="str">
        <f>"コンクリートブロック造"</f>
        <v>コンクリートブロック造</v>
      </c>
      <c r="L624" s="7" t="str">
        <f>"S44.03.15"</f>
        <v>S44.03.15</v>
      </c>
      <c r="M624" s="7">
        <v>12.16</v>
      </c>
      <c r="N624" s="7">
        <v>581000</v>
      </c>
      <c r="O624" s="7">
        <v>580999</v>
      </c>
      <c r="P624" s="7">
        <v>0</v>
      </c>
      <c r="Q624" s="7" t="str">
        <f t="shared" si="206"/>
        <v>環境農林水産部</v>
      </c>
      <c r="R624" s="7" t="str">
        <f t="shared" si="216"/>
        <v>中部農と緑の総合事務所</v>
      </c>
    </row>
    <row r="625" spans="1:18" s="1" customFormat="1" x14ac:dyDescent="0.45">
      <c r="A625" s="7" t="str">
        <f t="shared" si="222"/>
        <v>06177000009</v>
      </c>
      <c r="B625" s="7" t="str">
        <f t="shared" si="223"/>
        <v>府民の森上四条地区</v>
      </c>
      <c r="C625" s="7" t="str">
        <f t="shared" si="215"/>
        <v>行政財産</v>
      </c>
      <c r="D625" s="7" t="str">
        <f t="shared" si="224"/>
        <v>その他（公共用）の施設</v>
      </c>
      <c r="E625" s="7" t="str">
        <f t="shared" si="225"/>
        <v>大阪府東大阪市上四条町</v>
      </c>
      <c r="F625" s="7"/>
      <c r="G625" s="7" t="str">
        <f t="shared" si="221"/>
        <v>事業用資産</v>
      </c>
      <c r="H625" s="7" t="str">
        <f t="shared" si="209"/>
        <v>棚卸以外</v>
      </c>
      <c r="I625" s="7">
        <v>4</v>
      </c>
      <c r="J625" s="7" t="str">
        <f>"倉庫"</f>
        <v>倉庫</v>
      </c>
      <c r="K625" s="7" t="str">
        <f>"軽量鉄骨造"</f>
        <v>軽量鉄骨造</v>
      </c>
      <c r="L625" s="7" t="str">
        <f>"S47.10.30"</f>
        <v>S47.10.30</v>
      </c>
      <c r="M625" s="7">
        <v>33.33</v>
      </c>
      <c r="N625" s="7">
        <v>880000</v>
      </c>
      <c r="O625" s="7">
        <v>879999</v>
      </c>
      <c r="P625" s="7">
        <v>0</v>
      </c>
      <c r="Q625" s="7" t="str">
        <f t="shared" si="206"/>
        <v>環境農林水産部</v>
      </c>
      <c r="R625" s="7" t="str">
        <f t="shared" si="216"/>
        <v>中部農と緑の総合事務所</v>
      </c>
    </row>
    <row r="626" spans="1:18" s="1" customFormat="1" x14ac:dyDescent="0.45">
      <c r="A626" s="7" t="str">
        <f t="shared" si="222"/>
        <v>06177000009</v>
      </c>
      <c r="B626" s="7" t="str">
        <f t="shared" si="223"/>
        <v>府民の森上四条地区</v>
      </c>
      <c r="C626" s="7" t="str">
        <f t="shared" si="215"/>
        <v>行政財産</v>
      </c>
      <c r="D626" s="7" t="str">
        <f t="shared" si="224"/>
        <v>その他（公共用）の施設</v>
      </c>
      <c r="E626" s="7" t="str">
        <f t="shared" si="225"/>
        <v>大阪府東大阪市上四条町</v>
      </c>
      <c r="F626" s="7"/>
      <c r="G626" s="7" t="str">
        <f t="shared" si="221"/>
        <v>事業用資産</v>
      </c>
      <c r="H626" s="7" t="str">
        <f t="shared" si="209"/>
        <v>棚卸以外</v>
      </c>
      <c r="I626" s="7">
        <v>6</v>
      </c>
      <c r="J626" s="7" t="str">
        <f>"便所　弘法の水"</f>
        <v>便所　弘法の水</v>
      </c>
      <c r="K626" s="7" t="str">
        <f>"軽量鉄骨造"</f>
        <v>軽量鉄骨造</v>
      </c>
      <c r="L626" s="7" t="str">
        <f>"S48.11.20"</f>
        <v>S48.11.20</v>
      </c>
      <c r="M626" s="7">
        <v>2</v>
      </c>
      <c r="N626" s="7">
        <v>246000</v>
      </c>
      <c r="O626" s="7">
        <v>245999</v>
      </c>
      <c r="P626" s="7">
        <v>0</v>
      </c>
      <c r="Q626" s="7" t="str">
        <f t="shared" si="206"/>
        <v>環境農林水産部</v>
      </c>
      <c r="R626" s="7" t="str">
        <f t="shared" si="216"/>
        <v>中部農と緑の総合事務所</v>
      </c>
    </row>
    <row r="627" spans="1:18" s="1" customFormat="1" x14ac:dyDescent="0.45">
      <c r="A627" s="7" t="str">
        <f t="shared" si="222"/>
        <v>06177000009</v>
      </c>
      <c r="B627" s="7" t="str">
        <f t="shared" si="223"/>
        <v>府民の森上四条地区</v>
      </c>
      <c r="C627" s="7" t="str">
        <f t="shared" si="215"/>
        <v>行政財産</v>
      </c>
      <c r="D627" s="7" t="str">
        <f t="shared" si="224"/>
        <v>その他（公共用）の施設</v>
      </c>
      <c r="E627" s="7" t="str">
        <f t="shared" si="225"/>
        <v>大阪府東大阪市上四条町</v>
      </c>
      <c r="F627" s="7"/>
      <c r="G627" s="7" t="str">
        <f t="shared" si="221"/>
        <v>事業用資産</v>
      </c>
      <c r="H627" s="7" t="str">
        <f t="shared" si="209"/>
        <v>棚卸以外</v>
      </c>
      <c r="I627" s="7">
        <v>11</v>
      </c>
      <c r="J627" s="7" t="str">
        <f>"森のレストハウス"</f>
        <v>森のレストハウス</v>
      </c>
      <c r="K627" s="7" t="str">
        <f>"鉄筋コンクリート造"</f>
        <v>鉄筋コンクリート造</v>
      </c>
      <c r="L627" s="7" t="str">
        <f>"S55.03.31"</f>
        <v>S55.03.31</v>
      </c>
      <c r="M627" s="7">
        <v>441.5</v>
      </c>
      <c r="N627" s="7">
        <v>113148000</v>
      </c>
      <c r="O627" s="7">
        <v>97307280</v>
      </c>
      <c r="P627" s="7">
        <v>0</v>
      </c>
      <c r="Q627" s="7" t="str">
        <f t="shared" si="206"/>
        <v>環境農林水産部</v>
      </c>
      <c r="R627" s="7" t="str">
        <f t="shared" si="216"/>
        <v>中部農と緑の総合事務所</v>
      </c>
    </row>
    <row r="628" spans="1:18" s="1" customFormat="1" x14ac:dyDescent="0.45">
      <c r="A628" s="7" t="str">
        <f t="shared" si="222"/>
        <v>06177000009</v>
      </c>
      <c r="B628" s="7" t="str">
        <f t="shared" si="223"/>
        <v>府民の森上四条地区</v>
      </c>
      <c r="C628" s="7" t="str">
        <f t="shared" si="215"/>
        <v>行政財産</v>
      </c>
      <c r="D628" s="7" t="str">
        <f t="shared" si="224"/>
        <v>その他（公共用）の施設</v>
      </c>
      <c r="E628" s="7" t="str">
        <f t="shared" si="225"/>
        <v>大阪府東大阪市上四条町</v>
      </c>
      <c r="F628" s="7"/>
      <c r="G628" s="7" t="str">
        <f t="shared" si="221"/>
        <v>事業用資産</v>
      </c>
      <c r="H628" s="7" t="str">
        <f t="shared" si="209"/>
        <v>棚卸以外</v>
      </c>
      <c r="I628" s="7">
        <v>16</v>
      </c>
      <c r="J628" s="7" t="str">
        <f>"なるかわ園地休憩所"</f>
        <v>なるかわ園地休憩所</v>
      </c>
      <c r="K628" s="7" t="str">
        <f>"木造"</f>
        <v>木造</v>
      </c>
      <c r="L628" s="7" t="str">
        <f>"S61.03.31"</f>
        <v>S61.03.31</v>
      </c>
      <c r="M628" s="7">
        <v>45.36</v>
      </c>
      <c r="N628" s="7">
        <v>5556000</v>
      </c>
      <c r="O628" s="7">
        <v>5555999</v>
      </c>
      <c r="P628" s="7">
        <v>0</v>
      </c>
      <c r="Q628" s="7" t="str">
        <f t="shared" ref="Q628:Q691" si="226">"環境農林水産部"</f>
        <v>環境農林水産部</v>
      </c>
      <c r="R628" s="7" t="str">
        <f t="shared" si="216"/>
        <v>中部農と緑の総合事務所</v>
      </c>
    </row>
    <row r="629" spans="1:18" s="1" customFormat="1" x14ac:dyDescent="0.45">
      <c r="A629" s="7" t="str">
        <f t="shared" si="222"/>
        <v>06177000009</v>
      </c>
      <c r="B629" s="7" t="str">
        <f t="shared" si="223"/>
        <v>府民の森上四条地区</v>
      </c>
      <c r="C629" s="7" t="str">
        <f t="shared" si="215"/>
        <v>行政財産</v>
      </c>
      <c r="D629" s="7" t="str">
        <f t="shared" si="224"/>
        <v>その他（公共用）の施設</v>
      </c>
      <c r="E629" s="7" t="str">
        <f t="shared" si="225"/>
        <v>大阪府東大阪市上四条町</v>
      </c>
      <c r="F629" s="7"/>
      <c r="G629" s="7" t="str">
        <f t="shared" si="221"/>
        <v>事業用資産</v>
      </c>
      <c r="H629" s="7" t="str">
        <f t="shared" si="209"/>
        <v>棚卸以外</v>
      </c>
      <c r="I629" s="7">
        <v>17</v>
      </c>
      <c r="J629" s="7" t="str">
        <f>"倉庫"</f>
        <v>倉庫</v>
      </c>
      <c r="K629" s="7" t="str">
        <f>"軽量鉄骨造"</f>
        <v>軽量鉄骨造</v>
      </c>
      <c r="L629" s="7" t="str">
        <f>"S61.03.31"</f>
        <v>S61.03.31</v>
      </c>
      <c r="M629" s="7">
        <v>67.34</v>
      </c>
      <c r="N629" s="7">
        <v>1136000</v>
      </c>
      <c r="O629" s="7">
        <v>1135999</v>
      </c>
      <c r="P629" s="7">
        <v>0</v>
      </c>
      <c r="Q629" s="7" t="str">
        <f t="shared" si="226"/>
        <v>環境農林水産部</v>
      </c>
      <c r="R629" s="7" t="str">
        <f t="shared" si="216"/>
        <v>中部農と緑の総合事務所</v>
      </c>
    </row>
    <row r="630" spans="1:18" s="1" customFormat="1" x14ac:dyDescent="0.45">
      <c r="A630" s="7" t="str">
        <f t="shared" si="222"/>
        <v>06177000009</v>
      </c>
      <c r="B630" s="7" t="str">
        <f t="shared" si="223"/>
        <v>府民の森上四条地区</v>
      </c>
      <c r="C630" s="7" t="str">
        <f t="shared" si="215"/>
        <v>行政財産</v>
      </c>
      <c r="D630" s="7" t="str">
        <f t="shared" si="224"/>
        <v>その他（公共用）の施設</v>
      </c>
      <c r="E630" s="7" t="str">
        <f t="shared" si="225"/>
        <v>大阪府東大阪市上四条町</v>
      </c>
      <c r="F630" s="7"/>
      <c r="G630" s="7" t="str">
        <f t="shared" si="221"/>
        <v>事業用資産</v>
      </c>
      <c r="H630" s="7" t="str">
        <f t="shared" si="209"/>
        <v>棚卸以外</v>
      </c>
      <c r="I630" s="7">
        <v>18</v>
      </c>
      <c r="J630" s="7" t="str">
        <f>"休憩所前便所"</f>
        <v>休憩所前便所</v>
      </c>
      <c r="K630" s="7" t="str">
        <f t="shared" ref="K630:K636" si="227">"木造"</f>
        <v>木造</v>
      </c>
      <c r="L630" s="7" t="str">
        <f>"H05.03.31"</f>
        <v>H05.03.31</v>
      </c>
      <c r="M630" s="7">
        <v>49.85</v>
      </c>
      <c r="N630" s="7">
        <v>30076000</v>
      </c>
      <c r="O630" s="7">
        <v>30075999</v>
      </c>
      <c r="P630" s="7">
        <v>0</v>
      </c>
      <c r="Q630" s="7" t="str">
        <f t="shared" si="226"/>
        <v>環境農林水産部</v>
      </c>
      <c r="R630" s="7" t="str">
        <f t="shared" si="216"/>
        <v>中部農と緑の総合事務所</v>
      </c>
    </row>
    <row r="631" spans="1:18" s="1" customFormat="1" x14ac:dyDescent="0.45">
      <c r="A631" s="7" t="str">
        <f t="shared" si="222"/>
        <v>06177000009</v>
      </c>
      <c r="B631" s="7" t="str">
        <f t="shared" si="223"/>
        <v>府民の森上四条地区</v>
      </c>
      <c r="C631" s="7" t="str">
        <f t="shared" si="215"/>
        <v>行政財産</v>
      </c>
      <c r="D631" s="7" t="str">
        <f t="shared" si="224"/>
        <v>その他（公共用）の施設</v>
      </c>
      <c r="E631" s="7" t="str">
        <f t="shared" si="225"/>
        <v>大阪府東大阪市上四条町</v>
      </c>
      <c r="F631" s="7"/>
      <c r="G631" s="7" t="str">
        <f t="shared" si="221"/>
        <v>事業用資産</v>
      </c>
      <c r="H631" s="7" t="str">
        <f t="shared" si="209"/>
        <v>棚卸以外</v>
      </c>
      <c r="I631" s="7">
        <v>19</v>
      </c>
      <c r="J631" s="7" t="str">
        <f>"森のレストハウス前便所"</f>
        <v>森のレストハウス前便所</v>
      </c>
      <c r="K631" s="7" t="str">
        <f t="shared" si="227"/>
        <v>木造</v>
      </c>
      <c r="L631" s="7" t="str">
        <f>"H06.03.31"</f>
        <v>H06.03.31</v>
      </c>
      <c r="M631" s="7">
        <v>89.36</v>
      </c>
      <c r="N631" s="7">
        <v>21679000</v>
      </c>
      <c r="O631" s="7">
        <v>21678999</v>
      </c>
      <c r="P631" s="7">
        <v>0</v>
      </c>
      <c r="Q631" s="7" t="str">
        <f t="shared" si="226"/>
        <v>環境農林水産部</v>
      </c>
      <c r="R631" s="7" t="str">
        <f t="shared" si="216"/>
        <v>中部農と緑の総合事務所</v>
      </c>
    </row>
    <row r="632" spans="1:18" s="1" customFormat="1" x14ac:dyDescent="0.45">
      <c r="A632" s="7" t="str">
        <f t="shared" si="222"/>
        <v>06177000009</v>
      </c>
      <c r="B632" s="7" t="str">
        <f t="shared" si="223"/>
        <v>府民の森上四条地区</v>
      </c>
      <c r="C632" s="7" t="str">
        <f t="shared" si="215"/>
        <v>行政財産</v>
      </c>
      <c r="D632" s="7" t="str">
        <f t="shared" si="224"/>
        <v>その他（公共用）の施設</v>
      </c>
      <c r="E632" s="7" t="str">
        <f t="shared" si="225"/>
        <v>大阪府東大阪市上四条町</v>
      </c>
      <c r="F632" s="7"/>
      <c r="G632" s="7" t="str">
        <f t="shared" si="221"/>
        <v>事業用資産</v>
      </c>
      <c r="H632" s="7" t="str">
        <f t="shared" si="209"/>
        <v>棚卸以外</v>
      </c>
      <c r="I632" s="7">
        <v>20</v>
      </c>
      <c r="J632" s="7" t="str">
        <f>"ぼくらの広場便所"</f>
        <v>ぼくらの広場便所</v>
      </c>
      <c r="K632" s="7" t="str">
        <f t="shared" si="227"/>
        <v>木造</v>
      </c>
      <c r="L632" s="7" t="str">
        <f>"H06.03.31"</f>
        <v>H06.03.31</v>
      </c>
      <c r="M632" s="7">
        <v>48.03</v>
      </c>
      <c r="N632" s="7">
        <v>32499000</v>
      </c>
      <c r="O632" s="7">
        <v>32498999</v>
      </c>
      <c r="P632" s="7">
        <v>0</v>
      </c>
      <c r="Q632" s="7" t="str">
        <f t="shared" si="226"/>
        <v>環境農林水産部</v>
      </c>
      <c r="R632" s="7" t="str">
        <f t="shared" si="216"/>
        <v>中部農と緑の総合事務所</v>
      </c>
    </row>
    <row r="633" spans="1:18" s="1" customFormat="1" x14ac:dyDescent="0.45">
      <c r="A633" s="7" t="str">
        <f t="shared" si="222"/>
        <v>06177000009</v>
      </c>
      <c r="B633" s="7" t="str">
        <f t="shared" si="223"/>
        <v>府民の森上四条地区</v>
      </c>
      <c r="C633" s="7" t="str">
        <f t="shared" si="215"/>
        <v>行政財産</v>
      </c>
      <c r="D633" s="7" t="str">
        <f t="shared" si="224"/>
        <v>その他（公共用）の施設</v>
      </c>
      <c r="E633" s="7" t="str">
        <f t="shared" si="225"/>
        <v>大阪府東大阪市上四条町</v>
      </c>
      <c r="F633" s="7"/>
      <c r="G633" s="7" t="str">
        <f t="shared" si="221"/>
        <v>事業用資産</v>
      </c>
      <c r="H633" s="7" t="str">
        <f t="shared" si="209"/>
        <v>棚卸以外</v>
      </c>
      <c r="I633" s="7">
        <v>21</v>
      </c>
      <c r="J633" s="7" t="str">
        <f>"らくらく中間便所"</f>
        <v>らくらく中間便所</v>
      </c>
      <c r="K633" s="7" t="str">
        <f t="shared" si="227"/>
        <v>木造</v>
      </c>
      <c r="L633" s="7" t="str">
        <f>"H07.03.10"</f>
        <v>H07.03.10</v>
      </c>
      <c r="M633" s="7">
        <v>7.5</v>
      </c>
      <c r="N633" s="7">
        <v>5851000</v>
      </c>
      <c r="O633" s="7">
        <v>5850999</v>
      </c>
      <c r="P633" s="7">
        <v>0</v>
      </c>
      <c r="Q633" s="7" t="str">
        <f t="shared" si="226"/>
        <v>環境農林水産部</v>
      </c>
      <c r="R633" s="7" t="str">
        <f t="shared" si="216"/>
        <v>中部農と緑の総合事務所</v>
      </c>
    </row>
    <row r="634" spans="1:18" s="1" customFormat="1" x14ac:dyDescent="0.45">
      <c r="A634" s="7" t="str">
        <f t="shared" si="222"/>
        <v>06177000009</v>
      </c>
      <c r="B634" s="7" t="str">
        <f t="shared" si="223"/>
        <v>府民の森上四条地区</v>
      </c>
      <c r="C634" s="7" t="str">
        <f t="shared" si="215"/>
        <v>行政財産</v>
      </c>
      <c r="D634" s="7" t="str">
        <f t="shared" si="224"/>
        <v>その他（公共用）の施設</v>
      </c>
      <c r="E634" s="7" t="str">
        <f t="shared" si="225"/>
        <v>大阪府東大阪市上四条町</v>
      </c>
      <c r="F634" s="7"/>
      <c r="G634" s="7" t="str">
        <f t="shared" si="221"/>
        <v>事業用資産</v>
      </c>
      <c r="H634" s="7" t="str">
        <f t="shared" si="209"/>
        <v>棚卸以外</v>
      </c>
      <c r="I634" s="7">
        <v>22</v>
      </c>
      <c r="J634" s="7" t="str">
        <f>"らくらくセンターハウス"</f>
        <v>らくらくセンターハウス</v>
      </c>
      <c r="K634" s="7" t="str">
        <f t="shared" si="227"/>
        <v>木造</v>
      </c>
      <c r="L634" s="7" t="str">
        <f>"H07.03.10"</f>
        <v>H07.03.10</v>
      </c>
      <c r="M634" s="7">
        <v>224.3</v>
      </c>
      <c r="N634" s="7">
        <v>111350424</v>
      </c>
      <c r="O634" s="7">
        <v>107701007</v>
      </c>
      <c r="P634" s="7">
        <v>0</v>
      </c>
      <c r="Q634" s="7" t="str">
        <f t="shared" si="226"/>
        <v>環境農林水産部</v>
      </c>
      <c r="R634" s="7" t="str">
        <f t="shared" si="216"/>
        <v>中部農と緑の総合事務所</v>
      </c>
    </row>
    <row r="635" spans="1:18" s="1" customFormat="1" x14ac:dyDescent="0.45">
      <c r="A635" s="7" t="str">
        <f t="shared" si="222"/>
        <v>06177000009</v>
      </c>
      <c r="B635" s="7" t="str">
        <f t="shared" si="223"/>
        <v>府民の森上四条地区</v>
      </c>
      <c r="C635" s="7" t="str">
        <f t="shared" si="215"/>
        <v>行政財産</v>
      </c>
      <c r="D635" s="7" t="str">
        <f t="shared" si="224"/>
        <v>その他（公共用）の施設</v>
      </c>
      <c r="E635" s="7" t="str">
        <f t="shared" si="225"/>
        <v>大阪府東大阪市上四条町</v>
      </c>
      <c r="F635" s="7"/>
      <c r="G635" s="7" t="str">
        <f t="shared" si="221"/>
        <v>事業用資産</v>
      </c>
      <c r="H635" s="7" t="str">
        <f t="shared" si="209"/>
        <v>棚卸以外</v>
      </c>
      <c r="I635" s="7">
        <v>23</v>
      </c>
      <c r="J635" s="7" t="str">
        <f>"らくらくセンターハウス前便所"</f>
        <v>らくらくセンターハウス前便所</v>
      </c>
      <c r="K635" s="7" t="str">
        <f t="shared" si="227"/>
        <v>木造</v>
      </c>
      <c r="L635" s="7" t="str">
        <f>"H07.03.10"</f>
        <v>H07.03.10</v>
      </c>
      <c r="M635" s="7">
        <v>94.5</v>
      </c>
      <c r="N635" s="7">
        <v>37608777</v>
      </c>
      <c r="O635" s="7">
        <v>36582971</v>
      </c>
      <c r="P635" s="7">
        <v>0</v>
      </c>
      <c r="Q635" s="7" t="str">
        <f t="shared" si="226"/>
        <v>環境農林水産部</v>
      </c>
      <c r="R635" s="7" t="str">
        <f t="shared" si="216"/>
        <v>中部農と緑の総合事務所</v>
      </c>
    </row>
    <row r="636" spans="1:18" s="1" customFormat="1" x14ac:dyDescent="0.45">
      <c r="A636" s="7" t="str">
        <f t="shared" si="222"/>
        <v>06177000009</v>
      </c>
      <c r="B636" s="7" t="str">
        <f t="shared" si="223"/>
        <v>府民の森上四条地区</v>
      </c>
      <c r="C636" s="7" t="str">
        <f t="shared" si="215"/>
        <v>行政財産</v>
      </c>
      <c r="D636" s="7" t="str">
        <f t="shared" si="224"/>
        <v>その他（公共用）の施設</v>
      </c>
      <c r="E636" s="7" t="str">
        <f t="shared" si="225"/>
        <v>大阪府東大阪市上四条町</v>
      </c>
      <c r="F636" s="7"/>
      <c r="G636" s="7" t="str">
        <f t="shared" si="221"/>
        <v>事業用資産</v>
      </c>
      <c r="H636" s="7" t="str">
        <f t="shared" si="209"/>
        <v>棚卸以外</v>
      </c>
      <c r="I636" s="7">
        <v>24</v>
      </c>
      <c r="J636" s="7" t="str">
        <f>"らくらくみはらし休憩所"</f>
        <v>らくらくみはらし休憩所</v>
      </c>
      <c r="K636" s="7" t="str">
        <f t="shared" si="227"/>
        <v>木造</v>
      </c>
      <c r="L636" s="7" t="str">
        <f>"H07.03.10"</f>
        <v>H07.03.10</v>
      </c>
      <c r="M636" s="7">
        <v>75</v>
      </c>
      <c r="N636" s="7">
        <v>35124000</v>
      </c>
      <c r="O636" s="7">
        <v>35123999</v>
      </c>
      <c r="P636" s="7">
        <v>0</v>
      </c>
      <c r="Q636" s="7" t="str">
        <f t="shared" si="226"/>
        <v>環境農林水産部</v>
      </c>
      <c r="R636" s="7" t="str">
        <f t="shared" si="216"/>
        <v>中部農と緑の総合事務所</v>
      </c>
    </row>
    <row r="637" spans="1:18" s="1" customFormat="1" x14ac:dyDescent="0.45">
      <c r="A637" s="7" t="str">
        <f t="shared" si="222"/>
        <v>06177000009</v>
      </c>
      <c r="B637" s="7" t="str">
        <f t="shared" si="223"/>
        <v>府民の森上四条地区</v>
      </c>
      <c r="C637" s="7" t="str">
        <f t="shared" si="215"/>
        <v>行政財産</v>
      </c>
      <c r="D637" s="7" t="str">
        <f t="shared" si="224"/>
        <v>その他（公共用）の施設</v>
      </c>
      <c r="E637" s="7" t="str">
        <f t="shared" si="225"/>
        <v>大阪府東大阪市上四条町</v>
      </c>
      <c r="F637" s="7"/>
      <c r="G637" s="7" t="str">
        <f t="shared" si="221"/>
        <v>事業用資産</v>
      </c>
      <c r="H637" s="7" t="str">
        <f t="shared" si="209"/>
        <v>棚卸以外</v>
      </c>
      <c r="I637" s="7">
        <v>26</v>
      </c>
      <c r="J637" s="7" t="str">
        <f>"らくらく機械室"</f>
        <v>らくらく機械室</v>
      </c>
      <c r="K637" s="7" t="str">
        <f>"コンクリートブロック造"</f>
        <v>コンクリートブロック造</v>
      </c>
      <c r="L637" s="7" t="str">
        <f>"H07.03.10"</f>
        <v>H07.03.10</v>
      </c>
      <c r="M637" s="7">
        <v>6.4</v>
      </c>
      <c r="N637" s="7">
        <v>1090000</v>
      </c>
      <c r="O637" s="7">
        <v>897792</v>
      </c>
      <c r="P637" s="7">
        <v>0</v>
      </c>
      <c r="Q637" s="7" t="str">
        <f t="shared" si="226"/>
        <v>環境農林水産部</v>
      </c>
      <c r="R637" s="7" t="str">
        <f t="shared" si="216"/>
        <v>中部農と緑の総合事務所</v>
      </c>
    </row>
    <row r="638" spans="1:18" s="1" customFormat="1" x14ac:dyDescent="0.45">
      <c r="A638" s="7" t="str">
        <f t="shared" si="222"/>
        <v>06177000009</v>
      </c>
      <c r="B638" s="7" t="str">
        <f t="shared" si="223"/>
        <v>府民の森上四条地区</v>
      </c>
      <c r="C638" s="7" t="str">
        <f t="shared" si="215"/>
        <v>行政財産</v>
      </c>
      <c r="D638" s="7" t="str">
        <f t="shared" si="224"/>
        <v>その他（公共用）の施設</v>
      </c>
      <c r="E638" s="7" t="str">
        <f t="shared" si="225"/>
        <v>大阪府東大阪市上四条町</v>
      </c>
      <c r="F638" s="7"/>
      <c r="G638" s="7" t="str">
        <f t="shared" si="221"/>
        <v>事業用資産</v>
      </c>
      <c r="H638" s="7" t="str">
        <f t="shared" si="209"/>
        <v>棚卸以外</v>
      </c>
      <c r="I638" s="7">
        <v>27</v>
      </c>
      <c r="J638" s="7" t="str">
        <f>"らくらく神津嶽便所"</f>
        <v>らくらく神津嶽便所</v>
      </c>
      <c r="K638" s="7" t="str">
        <f>"木造"</f>
        <v>木造</v>
      </c>
      <c r="L638" s="7" t="str">
        <f>"H08.03.28"</f>
        <v>H08.03.28</v>
      </c>
      <c r="M638" s="7">
        <v>37.630000000000003</v>
      </c>
      <c r="N638" s="7">
        <v>21902414</v>
      </c>
      <c r="O638" s="7">
        <v>21578943</v>
      </c>
      <c r="P638" s="7">
        <v>0</v>
      </c>
      <c r="Q638" s="7" t="str">
        <f t="shared" si="226"/>
        <v>環境農林水産部</v>
      </c>
      <c r="R638" s="7" t="str">
        <f t="shared" si="216"/>
        <v>中部農と緑の総合事務所</v>
      </c>
    </row>
    <row r="639" spans="1:18" s="1" customFormat="1" x14ac:dyDescent="0.45">
      <c r="A639" s="7" t="str">
        <f t="shared" si="222"/>
        <v>06177000009</v>
      </c>
      <c r="B639" s="7" t="str">
        <f t="shared" si="223"/>
        <v>府民の森上四条地区</v>
      </c>
      <c r="C639" s="7" t="str">
        <f t="shared" si="215"/>
        <v>行政財産</v>
      </c>
      <c r="D639" s="7" t="str">
        <f t="shared" si="224"/>
        <v>その他（公共用）の施設</v>
      </c>
      <c r="E639" s="7" t="str">
        <f t="shared" si="225"/>
        <v>大阪府東大阪市上四条町</v>
      </c>
      <c r="F639" s="7"/>
      <c r="G639" s="7" t="str">
        <f t="shared" si="221"/>
        <v>事業用資産</v>
      </c>
      <c r="H639" s="7" t="str">
        <f t="shared" si="209"/>
        <v>棚卸以外</v>
      </c>
      <c r="I639" s="7">
        <v>28</v>
      </c>
      <c r="J639" s="7" t="str">
        <f>"らくらく倉庫兼車庫"</f>
        <v>らくらく倉庫兼車庫</v>
      </c>
      <c r="K639" s="7" t="str">
        <f>"木造"</f>
        <v>木造</v>
      </c>
      <c r="L639" s="7" t="str">
        <f>"H08.03.28"</f>
        <v>H08.03.28</v>
      </c>
      <c r="M639" s="7">
        <v>24.36</v>
      </c>
      <c r="N639" s="7">
        <v>6287006</v>
      </c>
      <c r="O639" s="7">
        <v>5986583</v>
      </c>
      <c r="P639" s="7">
        <v>0</v>
      </c>
      <c r="Q639" s="7" t="str">
        <f t="shared" si="226"/>
        <v>環境農林水産部</v>
      </c>
      <c r="R639" s="7" t="str">
        <f t="shared" si="216"/>
        <v>中部農と緑の総合事務所</v>
      </c>
    </row>
    <row r="640" spans="1:18" s="1" customFormat="1" x14ac:dyDescent="0.45">
      <c r="A640" s="7" t="str">
        <f t="shared" si="222"/>
        <v>06177000009</v>
      </c>
      <c r="B640" s="7" t="str">
        <f t="shared" si="223"/>
        <v>府民の森上四条地区</v>
      </c>
      <c r="C640" s="7" t="str">
        <f t="shared" si="215"/>
        <v>行政財産</v>
      </c>
      <c r="D640" s="7" t="str">
        <f t="shared" si="224"/>
        <v>その他（公共用）の施設</v>
      </c>
      <c r="E640" s="7" t="str">
        <f t="shared" si="225"/>
        <v>大阪府東大阪市上四条町</v>
      </c>
      <c r="F640" s="7"/>
      <c r="G640" s="7" t="str">
        <f t="shared" si="221"/>
        <v>事業用資産</v>
      </c>
      <c r="H640" s="7" t="str">
        <f t="shared" si="209"/>
        <v>棚卸以外</v>
      </c>
      <c r="I640" s="7">
        <v>29</v>
      </c>
      <c r="J640" s="7" t="str">
        <f>"らくらくみはらし便所"</f>
        <v>らくらくみはらし便所</v>
      </c>
      <c r="K640" s="7" t="str">
        <f>"木造"</f>
        <v>木造</v>
      </c>
      <c r="L640" s="7" t="str">
        <f>"H21.05.20"</f>
        <v>H21.05.20</v>
      </c>
      <c r="M640" s="7">
        <v>23.76</v>
      </c>
      <c r="N640" s="7">
        <v>20377000</v>
      </c>
      <c r="O640" s="7">
        <v>18792196</v>
      </c>
      <c r="P640" s="7">
        <v>0</v>
      </c>
      <c r="Q640" s="7" t="str">
        <f t="shared" si="226"/>
        <v>環境農林水産部</v>
      </c>
      <c r="R640" s="7" t="str">
        <f t="shared" si="216"/>
        <v>中部農と緑の総合事務所</v>
      </c>
    </row>
    <row r="641" spans="1:18" s="1" customFormat="1" x14ac:dyDescent="0.45">
      <c r="A641" s="7" t="str">
        <f>"06177000010"</f>
        <v>06177000010</v>
      </c>
      <c r="B641" s="7" t="str">
        <f>"府民の森上石切地区"</f>
        <v>府民の森上石切地区</v>
      </c>
      <c r="C641" s="7" t="str">
        <f t="shared" si="215"/>
        <v>行政財産</v>
      </c>
      <c r="D641" s="7" t="str">
        <f t="shared" si="224"/>
        <v>その他（公共用）の施設</v>
      </c>
      <c r="E641" s="7" t="str">
        <f>"大阪府東大阪市上石切町２丁目"</f>
        <v>大阪府東大阪市上石切町２丁目</v>
      </c>
      <c r="F641" s="7"/>
      <c r="G641" s="7" t="str">
        <f t="shared" si="221"/>
        <v>事業用資産</v>
      </c>
      <c r="H641" s="7" t="str">
        <f t="shared" si="209"/>
        <v>棚卸以外</v>
      </c>
      <c r="I641" s="7">
        <v>1</v>
      </c>
      <c r="J641" s="7" t="str">
        <f>"ぬかた園地便所　１"</f>
        <v>ぬかた園地便所　１</v>
      </c>
      <c r="K641" s="7" t="str">
        <f>"コンクリートブロック造"</f>
        <v>コンクリートブロック造</v>
      </c>
      <c r="L641" s="7" t="str">
        <f>"H04.03.31"</f>
        <v>H04.03.31</v>
      </c>
      <c r="M641" s="7">
        <v>15.44</v>
      </c>
      <c r="N641" s="7">
        <v>8000000</v>
      </c>
      <c r="O641" s="7">
        <v>7294176</v>
      </c>
      <c r="P641" s="7">
        <v>0</v>
      </c>
      <c r="Q641" s="7" t="str">
        <f t="shared" si="226"/>
        <v>環境農林水産部</v>
      </c>
      <c r="R641" s="7" t="str">
        <f t="shared" si="216"/>
        <v>中部農と緑の総合事務所</v>
      </c>
    </row>
    <row r="642" spans="1:18" s="1" customFormat="1" x14ac:dyDescent="0.45">
      <c r="A642" s="7" t="str">
        <f t="shared" ref="A642:A655" si="228">"06177000011"</f>
        <v>06177000011</v>
      </c>
      <c r="B642" s="7" t="str">
        <f t="shared" ref="B642:B655" si="229">"府民の森交野地区"</f>
        <v>府民の森交野地区</v>
      </c>
      <c r="C642" s="7" t="str">
        <f t="shared" si="215"/>
        <v>行政財産</v>
      </c>
      <c r="D642" s="7" t="str">
        <f t="shared" si="224"/>
        <v>その他（公共用）の施設</v>
      </c>
      <c r="E642" s="7" t="str">
        <f t="shared" ref="E642:E655" si="230">"大阪府交野市大字私部"</f>
        <v>大阪府交野市大字私部</v>
      </c>
      <c r="F642" s="7"/>
      <c r="G642" s="7" t="str">
        <f t="shared" si="221"/>
        <v>事業用資産</v>
      </c>
      <c r="H642" s="7" t="str">
        <f t="shared" si="209"/>
        <v>棚卸以外</v>
      </c>
      <c r="I642" s="7">
        <v>3</v>
      </c>
      <c r="J642" s="7" t="str">
        <f>"くろんど園地野営場管理棟"</f>
        <v>くろんど園地野営場管理棟</v>
      </c>
      <c r="K642" s="7" t="str">
        <f>"木造"</f>
        <v>木造</v>
      </c>
      <c r="L642" s="7" t="str">
        <f>"S55.03.31"</f>
        <v>S55.03.31</v>
      </c>
      <c r="M642" s="7">
        <v>154.02000000000001</v>
      </c>
      <c r="N642" s="7">
        <v>46570000</v>
      </c>
      <c r="O642" s="7">
        <v>46569998</v>
      </c>
      <c r="P642" s="7">
        <v>0</v>
      </c>
      <c r="Q642" s="7" t="str">
        <f t="shared" si="226"/>
        <v>環境農林水産部</v>
      </c>
      <c r="R642" s="7" t="str">
        <f t="shared" si="216"/>
        <v>中部農と緑の総合事務所</v>
      </c>
    </row>
    <row r="643" spans="1:18" s="1" customFormat="1" x14ac:dyDescent="0.45">
      <c r="A643" s="7" t="str">
        <f t="shared" si="228"/>
        <v>06177000011</v>
      </c>
      <c r="B643" s="7" t="str">
        <f t="shared" si="229"/>
        <v>府民の森交野地区</v>
      </c>
      <c r="C643" s="7" t="str">
        <f t="shared" si="215"/>
        <v>行政財産</v>
      </c>
      <c r="D643" s="7" t="str">
        <f t="shared" si="224"/>
        <v>その他（公共用）の施設</v>
      </c>
      <c r="E643" s="7" t="str">
        <f t="shared" si="230"/>
        <v>大阪府交野市大字私部</v>
      </c>
      <c r="F643" s="7"/>
      <c r="G643" s="7" t="str">
        <f t="shared" si="221"/>
        <v>事業用資産</v>
      </c>
      <c r="H643" s="7" t="str">
        <f t="shared" si="209"/>
        <v>棚卸以外</v>
      </c>
      <c r="I643" s="7">
        <v>6</v>
      </c>
      <c r="J643" s="7" t="str">
        <f>"くろんど園地倉庫"</f>
        <v>くろんど園地倉庫</v>
      </c>
      <c r="K643" s="7" t="str">
        <f>"コンクリートブロック造"</f>
        <v>コンクリートブロック造</v>
      </c>
      <c r="L643" s="7" t="str">
        <f>"S55.03.31"</f>
        <v>S55.03.31</v>
      </c>
      <c r="M643" s="7">
        <v>16</v>
      </c>
      <c r="N643" s="7">
        <v>1255000</v>
      </c>
      <c r="O643" s="7">
        <v>1254999</v>
      </c>
      <c r="P643" s="7">
        <v>0</v>
      </c>
      <c r="Q643" s="7" t="str">
        <f t="shared" si="226"/>
        <v>環境農林水産部</v>
      </c>
      <c r="R643" s="7" t="str">
        <f t="shared" si="216"/>
        <v>中部農と緑の総合事務所</v>
      </c>
    </row>
    <row r="644" spans="1:18" s="1" customFormat="1" x14ac:dyDescent="0.45">
      <c r="A644" s="7" t="str">
        <f t="shared" si="228"/>
        <v>06177000011</v>
      </c>
      <c r="B644" s="7" t="str">
        <f t="shared" si="229"/>
        <v>府民の森交野地区</v>
      </c>
      <c r="C644" s="7" t="str">
        <f t="shared" si="215"/>
        <v>行政財産</v>
      </c>
      <c r="D644" s="7" t="str">
        <f t="shared" si="224"/>
        <v>その他（公共用）の施設</v>
      </c>
      <c r="E644" s="7" t="str">
        <f t="shared" si="230"/>
        <v>大阪府交野市大字私部</v>
      </c>
      <c r="F644" s="7"/>
      <c r="G644" s="7" t="str">
        <f t="shared" si="221"/>
        <v>事業用資産</v>
      </c>
      <c r="H644" s="7" t="str">
        <f t="shared" ref="H644:H707" si="231">"棚卸以外"</f>
        <v>棚卸以外</v>
      </c>
      <c r="I644" s="7">
        <v>7</v>
      </c>
      <c r="J644" s="7" t="str">
        <f>"ほしだ園地ポンプ室"</f>
        <v>ほしだ園地ポンプ室</v>
      </c>
      <c r="K644" s="7" t="str">
        <f>"鉄筋コンクリート造"</f>
        <v>鉄筋コンクリート造</v>
      </c>
      <c r="L644" s="7" t="str">
        <f>"S56.12.15"</f>
        <v>S56.12.15</v>
      </c>
      <c r="M644" s="7">
        <v>22.05</v>
      </c>
      <c r="N644" s="7">
        <v>7500000</v>
      </c>
      <c r="O644" s="7">
        <v>7499999</v>
      </c>
      <c r="P644" s="7">
        <v>0</v>
      </c>
      <c r="Q644" s="7" t="str">
        <f t="shared" si="226"/>
        <v>環境農林水産部</v>
      </c>
      <c r="R644" s="7" t="str">
        <f t="shared" si="216"/>
        <v>中部農と緑の総合事務所</v>
      </c>
    </row>
    <row r="645" spans="1:18" s="1" customFormat="1" x14ac:dyDescent="0.45">
      <c r="A645" s="7" t="str">
        <f t="shared" si="228"/>
        <v>06177000011</v>
      </c>
      <c r="B645" s="7" t="str">
        <f t="shared" si="229"/>
        <v>府民の森交野地区</v>
      </c>
      <c r="C645" s="7" t="str">
        <f t="shared" si="215"/>
        <v>行政財産</v>
      </c>
      <c r="D645" s="7" t="str">
        <f t="shared" si="224"/>
        <v>その他（公共用）の施設</v>
      </c>
      <c r="E645" s="7" t="str">
        <f t="shared" si="230"/>
        <v>大阪府交野市大字私部</v>
      </c>
      <c r="F645" s="7"/>
      <c r="G645" s="7" t="str">
        <f t="shared" si="221"/>
        <v>事業用資産</v>
      </c>
      <c r="H645" s="7" t="str">
        <f t="shared" si="231"/>
        <v>棚卸以外</v>
      </c>
      <c r="I645" s="7">
        <v>8</v>
      </c>
      <c r="J645" s="7" t="str">
        <f>"ほしだ園地ピトンの小屋"</f>
        <v>ほしだ園地ピトンの小屋</v>
      </c>
      <c r="K645" s="7" t="str">
        <f>"鉄筋コンクリート造"</f>
        <v>鉄筋コンクリート造</v>
      </c>
      <c r="L645" s="7" t="str">
        <f>"S58.03.31"</f>
        <v>S58.03.31</v>
      </c>
      <c r="M645" s="7">
        <v>172.04</v>
      </c>
      <c r="N645" s="7">
        <v>51711000</v>
      </c>
      <c r="O645" s="7">
        <v>38262840</v>
      </c>
      <c r="P645" s="7">
        <v>0</v>
      </c>
      <c r="Q645" s="7" t="str">
        <f t="shared" si="226"/>
        <v>環境農林水産部</v>
      </c>
      <c r="R645" s="7" t="str">
        <f t="shared" si="216"/>
        <v>中部農と緑の総合事務所</v>
      </c>
    </row>
    <row r="646" spans="1:18" s="1" customFormat="1" x14ac:dyDescent="0.45">
      <c r="A646" s="7" t="str">
        <f t="shared" si="228"/>
        <v>06177000011</v>
      </c>
      <c r="B646" s="7" t="str">
        <f t="shared" si="229"/>
        <v>府民の森交野地区</v>
      </c>
      <c r="C646" s="7" t="str">
        <f t="shared" ref="C646:C677" si="232">"行政財産"</f>
        <v>行政財産</v>
      </c>
      <c r="D646" s="7" t="str">
        <f t="shared" si="224"/>
        <v>その他（公共用）の施設</v>
      </c>
      <c r="E646" s="7" t="str">
        <f t="shared" si="230"/>
        <v>大阪府交野市大字私部</v>
      </c>
      <c r="F646" s="7"/>
      <c r="G646" s="7" t="str">
        <f t="shared" si="221"/>
        <v>事業用資産</v>
      </c>
      <c r="H646" s="7" t="str">
        <f t="shared" si="231"/>
        <v>棚卸以外</v>
      </c>
      <c r="I646" s="7">
        <v>9</v>
      </c>
      <c r="J646" s="7" t="str">
        <f>"くろんど園地ポンプ室"</f>
        <v>くろんど園地ポンプ室</v>
      </c>
      <c r="K646" s="7" t="str">
        <f>"鉄筋コンクリート造"</f>
        <v>鉄筋コンクリート造</v>
      </c>
      <c r="L646" s="7" t="str">
        <f>"S58.03.31"</f>
        <v>S58.03.31</v>
      </c>
      <c r="M646" s="7">
        <v>12</v>
      </c>
      <c r="N646" s="7">
        <v>11668000</v>
      </c>
      <c r="O646" s="7">
        <v>11667999</v>
      </c>
      <c r="P646" s="7">
        <v>0</v>
      </c>
      <c r="Q646" s="7" t="str">
        <f t="shared" si="226"/>
        <v>環境農林水産部</v>
      </c>
      <c r="R646" s="7" t="str">
        <f t="shared" ref="R646:R662" si="233">"中部農と緑の総合事務所"</f>
        <v>中部農と緑の総合事務所</v>
      </c>
    </row>
    <row r="647" spans="1:18" s="1" customFormat="1" x14ac:dyDescent="0.45">
      <c r="A647" s="7" t="str">
        <f t="shared" si="228"/>
        <v>06177000011</v>
      </c>
      <c r="B647" s="7" t="str">
        <f t="shared" si="229"/>
        <v>府民の森交野地区</v>
      </c>
      <c r="C647" s="7" t="str">
        <f t="shared" si="232"/>
        <v>行政財産</v>
      </c>
      <c r="D647" s="7" t="str">
        <f t="shared" si="224"/>
        <v>その他（公共用）の施設</v>
      </c>
      <c r="E647" s="7" t="str">
        <f t="shared" si="230"/>
        <v>大阪府交野市大字私部</v>
      </c>
      <c r="F647" s="7"/>
      <c r="G647" s="7" t="str">
        <f t="shared" si="221"/>
        <v>事業用資産</v>
      </c>
      <c r="H647" s="7" t="str">
        <f t="shared" si="231"/>
        <v>棚卸以外</v>
      </c>
      <c r="I647" s="7">
        <v>10</v>
      </c>
      <c r="J647" s="7" t="str">
        <f>"ほしだ園地車庫"</f>
        <v>ほしだ園地車庫</v>
      </c>
      <c r="K647" s="7" t="str">
        <f>"軽量鉄骨造"</f>
        <v>軽量鉄骨造</v>
      </c>
      <c r="L647" s="7" t="str">
        <f>"S58.03.31"</f>
        <v>S58.03.31</v>
      </c>
      <c r="M647" s="7">
        <v>25</v>
      </c>
      <c r="N647" s="7">
        <v>1292000</v>
      </c>
      <c r="O647" s="7">
        <v>1291999</v>
      </c>
      <c r="P647" s="7">
        <v>0</v>
      </c>
      <c r="Q647" s="7" t="str">
        <f t="shared" si="226"/>
        <v>環境農林水産部</v>
      </c>
      <c r="R647" s="7" t="str">
        <f t="shared" si="233"/>
        <v>中部農と緑の総合事務所</v>
      </c>
    </row>
    <row r="648" spans="1:18" s="1" customFormat="1" x14ac:dyDescent="0.45">
      <c r="A648" s="7" t="str">
        <f t="shared" si="228"/>
        <v>06177000011</v>
      </c>
      <c r="B648" s="7" t="str">
        <f t="shared" si="229"/>
        <v>府民の森交野地区</v>
      </c>
      <c r="C648" s="7" t="str">
        <f t="shared" si="232"/>
        <v>行政財産</v>
      </c>
      <c r="D648" s="7" t="str">
        <f t="shared" si="224"/>
        <v>その他（公共用）の施設</v>
      </c>
      <c r="E648" s="7" t="str">
        <f t="shared" si="230"/>
        <v>大阪府交野市大字私部</v>
      </c>
      <c r="F648" s="7"/>
      <c r="G648" s="7" t="str">
        <f t="shared" si="221"/>
        <v>事業用資産</v>
      </c>
      <c r="H648" s="7" t="str">
        <f t="shared" si="231"/>
        <v>棚卸以外</v>
      </c>
      <c r="I648" s="7">
        <v>12</v>
      </c>
      <c r="J648" s="7" t="str">
        <f>"くろんど園地休憩所"</f>
        <v>くろんど園地休憩所</v>
      </c>
      <c r="K648" s="7" t="str">
        <f>"木造"</f>
        <v>木造</v>
      </c>
      <c r="L648" s="7" t="str">
        <f>"H03.03.30"</f>
        <v>H03.03.30</v>
      </c>
      <c r="M648" s="7">
        <v>72</v>
      </c>
      <c r="N648" s="7">
        <v>49723468</v>
      </c>
      <c r="O648" s="7">
        <v>42252007</v>
      </c>
      <c r="P648" s="7">
        <v>0</v>
      </c>
      <c r="Q648" s="7" t="str">
        <f t="shared" si="226"/>
        <v>環境農林水産部</v>
      </c>
      <c r="R648" s="7" t="str">
        <f t="shared" si="233"/>
        <v>中部農と緑の総合事務所</v>
      </c>
    </row>
    <row r="649" spans="1:18" s="1" customFormat="1" x14ac:dyDescent="0.45">
      <c r="A649" s="7" t="str">
        <f t="shared" si="228"/>
        <v>06177000011</v>
      </c>
      <c r="B649" s="7" t="str">
        <f t="shared" si="229"/>
        <v>府民の森交野地区</v>
      </c>
      <c r="C649" s="7" t="str">
        <f t="shared" si="232"/>
        <v>行政財産</v>
      </c>
      <c r="D649" s="7" t="str">
        <f t="shared" si="224"/>
        <v>その他（公共用）の施設</v>
      </c>
      <c r="E649" s="7" t="str">
        <f t="shared" si="230"/>
        <v>大阪府交野市大字私部</v>
      </c>
      <c r="F649" s="7"/>
      <c r="G649" s="7" t="str">
        <f t="shared" si="221"/>
        <v>事業用資産</v>
      </c>
      <c r="H649" s="7" t="str">
        <f t="shared" si="231"/>
        <v>棚卸以外</v>
      </c>
      <c r="I649" s="7">
        <v>14</v>
      </c>
      <c r="J649" s="7" t="str">
        <f>"くろんど草原広場便所"</f>
        <v>くろんど草原広場便所</v>
      </c>
      <c r="K649" s="7" t="str">
        <f>"コンクリートブロック造"</f>
        <v>コンクリートブロック造</v>
      </c>
      <c r="L649" s="7" t="str">
        <f>"H03.03.30"</f>
        <v>H03.03.30</v>
      </c>
      <c r="M649" s="7">
        <v>13.16</v>
      </c>
      <c r="N649" s="7">
        <v>4673000</v>
      </c>
      <c r="O649" s="7">
        <v>4398336</v>
      </c>
      <c r="P649" s="7">
        <v>0</v>
      </c>
      <c r="Q649" s="7" t="str">
        <f t="shared" si="226"/>
        <v>環境農林水産部</v>
      </c>
      <c r="R649" s="7" t="str">
        <f t="shared" si="233"/>
        <v>中部農と緑の総合事務所</v>
      </c>
    </row>
    <row r="650" spans="1:18" s="1" customFormat="1" x14ac:dyDescent="0.45">
      <c r="A650" s="7" t="str">
        <f t="shared" si="228"/>
        <v>06177000011</v>
      </c>
      <c r="B650" s="7" t="str">
        <f t="shared" si="229"/>
        <v>府民の森交野地区</v>
      </c>
      <c r="C650" s="7" t="str">
        <f t="shared" si="232"/>
        <v>行政財産</v>
      </c>
      <c r="D650" s="7" t="str">
        <f t="shared" si="224"/>
        <v>その他（公共用）の施設</v>
      </c>
      <c r="E650" s="7" t="str">
        <f t="shared" si="230"/>
        <v>大阪府交野市大字私部</v>
      </c>
      <c r="F650" s="7"/>
      <c r="G650" s="7" t="str">
        <f t="shared" si="221"/>
        <v>事業用資産</v>
      </c>
      <c r="H650" s="7" t="str">
        <f t="shared" si="231"/>
        <v>棚卸以外</v>
      </c>
      <c r="I650" s="7">
        <v>15</v>
      </c>
      <c r="J650" s="7" t="str">
        <f>"くろんどすいれん池便所"</f>
        <v>くろんどすいれん池便所</v>
      </c>
      <c r="K650" s="7" t="str">
        <f t="shared" ref="K650:K657" si="234">"木造"</f>
        <v>木造</v>
      </c>
      <c r="L650" s="7" t="str">
        <f>"H06.03.31"</f>
        <v>H06.03.31</v>
      </c>
      <c r="M650" s="7">
        <v>57.18</v>
      </c>
      <c r="N650" s="7">
        <v>40685000</v>
      </c>
      <c r="O650" s="7">
        <v>40684999</v>
      </c>
      <c r="P650" s="7">
        <v>0</v>
      </c>
      <c r="Q650" s="7" t="str">
        <f t="shared" si="226"/>
        <v>環境農林水産部</v>
      </c>
      <c r="R650" s="7" t="str">
        <f t="shared" si="233"/>
        <v>中部農と緑の総合事務所</v>
      </c>
    </row>
    <row r="651" spans="1:18" s="1" customFormat="1" x14ac:dyDescent="0.45">
      <c r="A651" s="7" t="str">
        <f t="shared" si="228"/>
        <v>06177000011</v>
      </c>
      <c r="B651" s="7" t="str">
        <f t="shared" si="229"/>
        <v>府民の森交野地区</v>
      </c>
      <c r="C651" s="7" t="str">
        <f t="shared" si="232"/>
        <v>行政財産</v>
      </c>
      <c r="D651" s="7" t="str">
        <f t="shared" si="224"/>
        <v>その他（公共用）の施設</v>
      </c>
      <c r="E651" s="7" t="str">
        <f t="shared" si="230"/>
        <v>大阪府交野市大字私部</v>
      </c>
      <c r="F651" s="7"/>
      <c r="G651" s="7" t="str">
        <f t="shared" si="221"/>
        <v>事業用資産</v>
      </c>
      <c r="H651" s="7" t="str">
        <f t="shared" si="231"/>
        <v>棚卸以外</v>
      </c>
      <c r="I651" s="7">
        <v>16</v>
      </c>
      <c r="J651" s="7" t="str">
        <f>"くろんど野営場第１便所"</f>
        <v>くろんど野営場第１便所</v>
      </c>
      <c r="K651" s="7" t="str">
        <f t="shared" si="234"/>
        <v>木造</v>
      </c>
      <c r="L651" s="7" t="str">
        <f>"H06.03.31"</f>
        <v>H06.03.31</v>
      </c>
      <c r="M651" s="7">
        <v>60.27</v>
      </c>
      <c r="N651" s="7">
        <v>37595000</v>
      </c>
      <c r="O651" s="7">
        <v>37594999</v>
      </c>
      <c r="P651" s="7">
        <v>0</v>
      </c>
      <c r="Q651" s="7" t="str">
        <f t="shared" si="226"/>
        <v>環境農林水産部</v>
      </c>
      <c r="R651" s="7" t="str">
        <f t="shared" si="233"/>
        <v>中部農と緑の総合事務所</v>
      </c>
    </row>
    <row r="652" spans="1:18" s="1" customFormat="1" x14ac:dyDescent="0.45">
      <c r="A652" s="7" t="str">
        <f t="shared" si="228"/>
        <v>06177000011</v>
      </c>
      <c r="B652" s="7" t="str">
        <f t="shared" si="229"/>
        <v>府民の森交野地区</v>
      </c>
      <c r="C652" s="7" t="str">
        <f t="shared" si="232"/>
        <v>行政財産</v>
      </c>
      <c r="D652" s="7" t="str">
        <f t="shared" si="224"/>
        <v>その他（公共用）の施設</v>
      </c>
      <c r="E652" s="7" t="str">
        <f t="shared" si="230"/>
        <v>大阪府交野市大字私部</v>
      </c>
      <c r="F652" s="7"/>
      <c r="G652" s="7" t="str">
        <f t="shared" si="221"/>
        <v>事業用資産</v>
      </c>
      <c r="H652" s="7" t="str">
        <f t="shared" si="231"/>
        <v>棚卸以外</v>
      </c>
      <c r="I652" s="7">
        <v>17</v>
      </c>
      <c r="J652" s="7" t="str">
        <f>"ほしだ園地案内所横便所"</f>
        <v>ほしだ園地案内所横便所</v>
      </c>
      <c r="K652" s="7" t="str">
        <f t="shared" si="234"/>
        <v>木造</v>
      </c>
      <c r="L652" s="7" t="str">
        <f>"H08.03.28"</f>
        <v>H08.03.28</v>
      </c>
      <c r="M652" s="7">
        <v>37.840000000000003</v>
      </c>
      <c r="N652" s="7">
        <v>20182250</v>
      </c>
      <c r="O652" s="7">
        <v>14255024</v>
      </c>
      <c r="P652" s="7">
        <v>0</v>
      </c>
      <c r="Q652" s="7" t="str">
        <f t="shared" si="226"/>
        <v>環境農林水産部</v>
      </c>
      <c r="R652" s="7" t="str">
        <f t="shared" si="233"/>
        <v>中部農と緑の総合事務所</v>
      </c>
    </row>
    <row r="653" spans="1:18" s="1" customFormat="1" x14ac:dyDescent="0.45">
      <c r="A653" s="7" t="str">
        <f t="shared" si="228"/>
        <v>06177000011</v>
      </c>
      <c r="B653" s="7" t="str">
        <f t="shared" si="229"/>
        <v>府民の森交野地区</v>
      </c>
      <c r="C653" s="7" t="str">
        <f t="shared" si="232"/>
        <v>行政財産</v>
      </c>
      <c r="D653" s="7" t="str">
        <f t="shared" si="224"/>
        <v>その他（公共用）の施設</v>
      </c>
      <c r="E653" s="7" t="str">
        <f t="shared" si="230"/>
        <v>大阪府交野市大字私部</v>
      </c>
      <c r="F653" s="7"/>
      <c r="G653" s="7" t="str">
        <f t="shared" si="221"/>
        <v>事業用資産</v>
      </c>
      <c r="H653" s="7" t="str">
        <f t="shared" si="231"/>
        <v>棚卸以外</v>
      </c>
      <c r="I653" s="7">
        <v>18</v>
      </c>
      <c r="J653" s="7" t="str">
        <f>"ほしだ園地やまびこ広場便所"</f>
        <v>ほしだ園地やまびこ広場便所</v>
      </c>
      <c r="K653" s="7" t="str">
        <f t="shared" si="234"/>
        <v>木造</v>
      </c>
      <c r="L653" s="7" t="str">
        <f>"H08.03.28"</f>
        <v>H08.03.28</v>
      </c>
      <c r="M653" s="7">
        <v>26.25</v>
      </c>
      <c r="N653" s="7">
        <v>19154250</v>
      </c>
      <c r="O653" s="7">
        <v>13227024</v>
      </c>
      <c r="P653" s="7">
        <v>0</v>
      </c>
      <c r="Q653" s="7" t="str">
        <f t="shared" si="226"/>
        <v>環境農林水産部</v>
      </c>
      <c r="R653" s="7" t="str">
        <f t="shared" si="233"/>
        <v>中部農と緑の総合事務所</v>
      </c>
    </row>
    <row r="654" spans="1:18" s="1" customFormat="1" x14ac:dyDescent="0.45">
      <c r="A654" s="7" t="str">
        <f t="shared" si="228"/>
        <v>06177000011</v>
      </c>
      <c r="B654" s="7" t="str">
        <f t="shared" si="229"/>
        <v>府民の森交野地区</v>
      </c>
      <c r="C654" s="7" t="str">
        <f t="shared" si="232"/>
        <v>行政財産</v>
      </c>
      <c r="D654" s="7" t="str">
        <f t="shared" si="224"/>
        <v>その他（公共用）の施設</v>
      </c>
      <c r="E654" s="7" t="str">
        <f t="shared" si="230"/>
        <v>大阪府交野市大字私部</v>
      </c>
      <c r="F654" s="7"/>
      <c r="G654" s="7" t="str">
        <f t="shared" si="221"/>
        <v>事業用資産</v>
      </c>
      <c r="H654" s="7" t="str">
        <f t="shared" si="231"/>
        <v>棚卸以外</v>
      </c>
      <c r="I654" s="7">
        <v>19</v>
      </c>
      <c r="J654" s="7" t="str">
        <f>"くろんど野営場第２便所"</f>
        <v>くろんど野営場第２便所</v>
      </c>
      <c r="K654" s="7" t="str">
        <f t="shared" si="234"/>
        <v>木造</v>
      </c>
      <c r="L654" s="7" t="str">
        <f>"H22.06.10"</f>
        <v>H22.06.10</v>
      </c>
      <c r="M654" s="7">
        <v>21.24</v>
      </c>
      <c r="N654" s="7">
        <v>19449000</v>
      </c>
      <c r="O654" s="7">
        <v>16531650</v>
      </c>
      <c r="P654" s="7">
        <v>0</v>
      </c>
      <c r="Q654" s="7" t="str">
        <f t="shared" si="226"/>
        <v>環境農林水産部</v>
      </c>
      <c r="R654" s="7" t="str">
        <f t="shared" si="233"/>
        <v>中部農と緑の総合事務所</v>
      </c>
    </row>
    <row r="655" spans="1:18" s="1" customFormat="1" x14ac:dyDescent="0.45">
      <c r="A655" s="7" t="str">
        <f t="shared" si="228"/>
        <v>06177000011</v>
      </c>
      <c r="B655" s="7" t="str">
        <f t="shared" si="229"/>
        <v>府民の森交野地区</v>
      </c>
      <c r="C655" s="7" t="str">
        <f t="shared" si="232"/>
        <v>行政財産</v>
      </c>
      <c r="D655" s="7" t="str">
        <f t="shared" si="224"/>
        <v>その他（公共用）の施設</v>
      </c>
      <c r="E655" s="7" t="str">
        <f t="shared" si="230"/>
        <v>大阪府交野市大字私部</v>
      </c>
      <c r="F655" s="7"/>
      <c r="G655" s="7" t="str">
        <f t="shared" si="221"/>
        <v>事業用資産</v>
      </c>
      <c r="H655" s="7" t="str">
        <f t="shared" si="231"/>
        <v>棚卸以外</v>
      </c>
      <c r="I655" s="7">
        <v>20</v>
      </c>
      <c r="J655" s="7" t="str">
        <f>"ほしだ園地案内所横第２便所"</f>
        <v>ほしだ園地案内所横第２便所</v>
      </c>
      <c r="K655" s="7" t="str">
        <f t="shared" si="234"/>
        <v>木造</v>
      </c>
      <c r="L655" s="7" t="str">
        <f>"R02.04.24"</f>
        <v>R02.04.24</v>
      </c>
      <c r="M655" s="7">
        <v>17</v>
      </c>
      <c r="N655" s="7">
        <v>23610400</v>
      </c>
      <c r="O655" s="7">
        <v>4590915</v>
      </c>
      <c r="P655" s="7">
        <v>0</v>
      </c>
      <c r="Q655" s="7" t="str">
        <f t="shared" si="226"/>
        <v>環境農林水産部</v>
      </c>
      <c r="R655" s="7" t="str">
        <f t="shared" si="233"/>
        <v>中部農と緑の総合事務所</v>
      </c>
    </row>
    <row r="656" spans="1:18" s="1" customFormat="1" x14ac:dyDescent="0.45">
      <c r="A656" s="7" t="str">
        <f>"06177000012"</f>
        <v>06177000012</v>
      </c>
      <c r="B656" s="7" t="str">
        <f>"府民の森山手地区"</f>
        <v>府民の森山手地区</v>
      </c>
      <c r="C656" s="7" t="str">
        <f t="shared" si="232"/>
        <v>行政財産</v>
      </c>
      <c r="D656" s="7" t="str">
        <f t="shared" si="224"/>
        <v>その他（公共用）の施設</v>
      </c>
      <c r="E656" s="7" t="str">
        <f>"大阪府東大阪市山手町"</f>
        <v>大阪府東大阪市山手町</v>
      </c>
      <c r="F656" s="7"/>
      <c r="G656" s="7" t="str">
        <f t="shared" si="221"/>
        <v>事業用資産</v>
      </c>
      <c r="H656" s="7" t="str">
        <f t="shared" si="231"/>
        <v>棚卸以外</v>
      </c>
      <c r="I656" s="7">
        <v>1</v>
      </c>
      <c r="J656" s="7" t="str">
        <f>"ぬかた園地案内所"</f>
        <v>ぬかた園地案内所</v>
      </c>
      <c r="K656" s="7" t="str">
        <f t="shared" si="234"/>
        <v>木造</v>
      </c>
      <c r="L656" s="7" t="str">
        <f>"H06.03.31"</f>
        <v>H06.03.31</v>
      </c>
      <c r="M656" s="7">
        <v>29.69</v>
      </c>
      <c r="N656" s="7">
        <v>8000000</v>
      </c>
      <c r="O656" s="7">
        <v>7999999</v>
      </c>
      <c r="P656" s="7">
        <v>0</v>
      </c>
      <c r="Q656" s="7" t="str">
        <f t="shared" si="226"/>
        <v>環境農林水産部</v>
      </c>
      <c r="R656" s="7" t="str">
        <f t="shared" si="233"/>
        <v>中部農と緑の総合事務所</v>
      </c>
    </row>
    <row r="657" spans="1:18" s="1" customFormat="1" x14ac:dyDescent="0.45">
      <c r="A657" s="7" t="str">
        <f>"06177000012"</f>
        <v>06177000012</v>
      </c>
      <c r="B657" s="7" t="str">
        <f>"府民の森山手地区"</f>
        <v>府民の森山手地区</v>
      </c>
      <c r="C657" s="7" t="str">
        <f t="shared" si="232"/>
        <v>行政財産</v>
      </c>
      <c r="D657" s="7" t="str">
        <f t="shared" si="224"/>
        <v>その他（公共用）の施設</v>
      </c>
      <c r="E657" s="7" t="str">
        <f>"大阪府東大阪市山手町"</f>
        <v>大阪府東大阪市山手町</v>
      </c>
      <c r="F657" s="7"/>
      <c r="G657" s="7" t="str">
        <f t="shared" si="221"/>
        <v>事業用資産</v>
      </c>
      <c r="H657" s="7" t="str">
        <f t="shared" si="231"/>
        <v>棚卸以外</v>
      </c>
      <c r="I657" s="7">
        <v>3</v>
      </c>
      <c r="J657" s="7" t="str">
        <f>"ぬかた園地あじさい園便所"</f>
        <v>ぬかた園地あじさい園便所</v>
      </c>
      <c r="K657" s="7" t="str">
        <f t="shared" si="234"/>
        <v>木造</v>
      </c>
      <c r="L657" s="7" t="str">
        <f>"H24.03.30"</f>
        <v>H24.03.30</v>
      </c>
      <c r="M657" s="7">
        <v>33.369999999999997</v>
      </c>
      <c r="N657" s="7">
        <v>22136192</v>
      </c>
      <c r="O657" s="7">
        <v>16233228</v>
      </c>
      <c r="P657" s="7">
        <v>0</v>
      </c>
      <c r="Q657" s="7" t="str">
        <f t="shared" si="226"/>
        <v>環境農林水産部</v>
      </c>
      <c r="R657" s="7" t="str">
        <f t="shared" si="233"/>
        <v>中部農と緑の総合事務所</v>
      </c>
    </row>
    <row r="658" spans="1:18" s="1" customFormat="1" x14ac:dyDescent="0.45">
      <c r="A658" s="7" t="str">
        <f>"06177000016"</f>
        <v>06177000016</v>
      </c>
      <c r="B658" s="7" t="str">
        <f>"府民の森八尾地区"</f>
        <v>府民の森八尾地区</v>
      </c>
      <c r="C658" s="7" t="str">
        <f t="shared" si="232"/>
        <v>行政財産</v>
      </c>
      <c r="D658" s="7" t="str">
        <f t="shared" si="224"/>
        <v>その他（公共用）の施設</v>
      </c>
      <c r="E658" s="7" t="str">
        <f>"大阪府八尾市大字楽音寺"</f>
        <v>大阪府八尾市大字楽音寺</v>
      </c>
      <c r="F658" s="7"/>
      <c r="G658" s="7" t="str">
        <f t="shared" si="221"/>
        <v>事業用資産</v>
      </c>
      <c r="H658" s="7" t="str">
        <f t="shared" si="231"/>
        <v>棚卸以外</v>
      </c>
      <c r="I658" s="7">
        <v>1</v>
      </c>
      <c r="J658" s="7" t="str">
        <f>"みずのみ園地便所"</f>
        <v>みずのみ園地便所</v>
      </c>
      <c r="K658" s="7" t="str">
        <f>"コンクリートブロック造"</f>
        <v>コンクリートブロック造</v>
      </c>
      <c r="L658" s="7" t="str">
        <f>"H02.03.31"</f>
        <v>H02.03.31</v>
      </c>
      <c r="M658" s="7">
        <v>31.75</v>
      </c>
      <c r="N658" s="7">
        <v>9579000</v>
      </c>
      <c r="O658" s="7">
        <v>9297288</v>
      </c>
      <c r="P658" s="7">
        <v>0</v>
      </c>
      <c r="Q658" s="7" t="str">
        <f t="shared" si="226"/>
        <v>環境農林水産部</v>
      </c>
      <c r="R658" s="7" t="str">
        <f t="shared" si="233"/>
        <v>中部農と緑の総合事務所</v>
      </c>
    </row>
    <row r="659" spans="1:18" s="1" customFormat="1" x14ac:dyDescent="0.45">
      <c r="A659" s="7" t="str">
        <f>"06177000020"</f>
        <v>06177000020</v>
      </c>
      <c r="B659" s="7" t="str">
        <f>"緑の文化園整備亊業用地"</f>
        <v>緑の文化園整備亊業用地</v>
      </c>
      <c r="C659" s="7" t="str">
        <f t="shared" si="232"/>
        <v>行政財産</v>
      </c>
      <c r="D659" s="7" t="str">
        <f t="shared" si="224"/>
        <v>その他（公共用）の施設</v>
      </c>
      <c r="E659" s="7" t="str">
        <f>"大阪府四條畷市大字逢阪"</f>
        <v>大阪府四條畷市大字逢阪</v>
      </c>
      <c r="F659" s="7"/>
      <c r="G659" s="7" t="str">
        <f t="shared" si="221"/>
        <v>事業用資産</v>
      </c>
      <c r="H659" s="7" t="str">
        <f t="shared" si="231"/>
        <v>棚卸以外</v>
      </c>
      <c r="I659" s="7">
        <v>1</v>
      </c>
      <c r="J659" s="7" t="str">
        <f>"森の宝島案内所"</f>
        <v>森の宝島案内所</v>
      </c>
      <c r="K659" s="7" t="str">
        <f>"木造"</f>
        <v>木造</v>
      </c>
      <c r="L659" s="7" t="str">
        <f>"H02.03.30"</f>
        <v>H02.03.30</v>
      </c>
      <c r="M659" s="7">
        <v>80</v>
      </c>
      <c r="N659" s="7">
        <v>32750000</v>
      </c>
      <c r="O659" s="7">
        <v>32749999</v>
      </c>
      <c r="P659" s="7">
        <v>0</v>
      </c>
      <c r="Q659" s="7" t="str">
        <f t="shared" si="226"/>
        <v>環境農林水産部</v>
      </c>
      <c r="R659" s="7" t="str">
        <f t="shared" si="233"/>
        <v>中部農と緑の総合事務所</v>
      </c>
    </row>
    <row r="660" spans="1:18" s="1" customFormat="1" x14ac:dyDescent="0.45">
      <c r="A660" s="7" t="str">
        <f>"06177000020"</f>
        <v>06177000020</v>
      </c>
      <c r="B660" s="7" t="str">
        <f>"緑の文化園整備亊業用地"</f>
        <v>緑の文化園整備亊業用地</v>
      </c>
      <c r="C660" s="7" t="str">
        <f t="shared" si="232"/>
        <v>行政財産</v>
      </c>
      <c r="D660" s="7" t="str">
        <f t="shared" si="224"/>
        <v>その他（公共用）の施設</v>
      </c>
      <c r="E660" s="7" t="str">
        <f>"大阪府四條畷市大字逢阪"</f>
        <v>大阪府四條畷市大字逢阪</v>
      </c>
      <c r="F660" s="7"/>
      <c r="G660" s="7" t="str">
        <f t="shared" si="221"/>
        <v>事業用資産</v>
      </c>
      <c r="H660" s="7" t="str">
        <f t="shared" si="231"/>
        <v>棚卸以外</v>
      </c>
      <c r="I660" s="7">
        <v>2</v>
      </c>
      <c r="J660" s="7" t="str">
        <f>"森の宝島便所１"</f>
        <v>森の宝島便所１</v>
      </c>
      <c r="K660" s="7" t="str">
        <f>"木造"</f>
        <v>木造</v>
      </c>
      <c r="L660" s="7" t="str">
        <f>"H02.03.30"</f>
        <v>H02.03.30</v>
      </c>
      <c r="M660" s="7">
        <v>31.68</v>
      </c>
      <c r="N660" s="7">
        <v>10481000</v>
      </c>
      <c r="O660" s="7">
        <v>10480999</v>
      </c>
      <c r="P660" s="7">
        <v>0</v>
      </c>
      <c r="Q660" s="7" t="str">
        <f t="shared" si="226"/>
        <v>環境農林水産部</v>
      </c>
      <c r="R660" s="7" t="str">
        <f t="shared" si="233"/>
        <v>中部農と緑の総合事務所</v>
      </c>
    </row>
    <row r="661" spans="1:18" s="1" customFormat="1" x14ac:dyDescent="0.45">
      <c r="A661" s="7" t="str">
        <f>"06177000020"</f>
        <v>06177000020</v>
      </c>
      <c r="B661" s="7" t="str">
        <f>"緑の文化園整備亊業用地"</f>
        <v>緑の文化園整備亊業用地</v>
      </c>
      <c r="C661" s="7" t="str">
        <f t="shared" si="232"/>
        <v>行政財産</v>
      </c>
      <c r="D661" s="7" t="str">
        <f t="shared" si="224"/>
        <v>その他（公共用）の施設</v>
      </c>
      <c r="E661" s="7" t="str">
        <f>"大阪府四條畷市大字逢阪"</f>
        <v>大阪府四條畷市大字逢阪</v>
      </c>
      <c r="F661" s="7"/>
      <c r="G661" s="7" t="str">
        <f t="shared" si="221"/>
        <v>事業用資産</v>
      </c>
      <c r="H661" s="7" t="str">
        <f t="shared" si="231"/>
        <v>棚卸以外</v>
      </c>
      <c r="I661" s="7">
        <v>3</v>
      </c>
      <c r="J661" s="7" t="str">
        <f>"森の宝島便所２"</f>
        <v>森の宝島便所２</v>
      </c>
      <c r="K661" s="7" t="str">
        <f>"木造"</f>
        <v>木造</v>
      </c>
      <c r="L661" s="7" t="str">
        <f>"H02.03.30"</f>
        <v>H02.03.30</v>
      </c>
      <c r="M661" s="7">
        <v>27.45</v>
      </c>
      <c r="N661" s="7">
        <v>9504000</v>
      </c>
      <c r="O661" s="7">
        <v>9503999</v>
      </c>
      <c r="P661" s="7">
        <v>0</v>
      </c>
      <c r="Q661" s="7" t="str">
        <f t="shared" si="226"/>
        <v>環境農林水産部</v>
      </c>
      <c r="R661" s="7" t="str">
        <f t="shared" si="233"/>
        <v>中部農と緑の総合事務所</v>
      </c>
    </row>
    <row r="662" spans="1:18" s="1" customFormat="1" x14ac:dyDescent="0.45">
      <c r="A662" s="7" t="str">
        <f>"06177000091"</f>
        <v>06177000091</v>
      </c>
      <c r="B662" s="7" t="str">
        <f>"府民参加の森柏原市大県地区"</f>
        <v>府民参加の森柏原市大県地区</v>
      </c>
      <c r="C662" s="7" t="str">
        <f t="shared" si="232"/>
        <v>行政財産</v>
      </c>
      <c r="D662" s="7" t="str">
        <f>"山林"</f>
        <v>山林</v>
      </c>
      <c r="E662" s="7" t="str">
        <f>"大阪府柏原市大県４丁目"</f>
        <v>大阪府柏原市大県４丁目</v>
      </c>
      <c r="F662" s="7"/>
      <c r="G662" s="7" t="str">
        <f t="shared" si="221"/>
        <v>事業用資産</v>
      </c>
      <c r="H662" s="7" t="str">
        <f t="shared" si="231"/>
        <v>棚卸以外</v>
      </c>
      <c r="I662" s="7">
        <v>2</v>
      </c>
      <c r="J662" s="7" t="str">
        <f>"高尾山創造の森便所"</f>
        <v>高尾山創造の森便所</v>
      </c>
      <c r="K662" s="7" t="str">
        <f>"木造"</f>
        <v>木造</v>
      </c>
      <c r="L662" s="7" t="str">
        <f>"H11.03.11"</f>
        <v>H11.03.11</v>
      </c>
      <c r="M662" s="7">
        <v>20</v>
      </c>
      <c r="N662" s="7">
        <v>20790000</v>
      </c>
      <c r="O662" s="7">
        <v>20789999</v>
      </c>
      <c r="P662" s="7">
        <v>0</v>
      </c>
      <c r="Q662" s="7" t="str">
        <f t="shared" si="226"/>
        <v>環境農林水産部</v>
      </c>
      <c r="R662" s="7" t="str">
        <f t="shared" si="233"/>
        <v>中部農と緑の総合事務所</v>
      </c>
    </row>
    <row r="663" spans="1:18" s="1" customFormat="1" x14ac:dyDescent="0.45">
      <c r="A663" s="7" t="str">
        <f t="shared" ref="A663:A669" si="235">"06161001010"</f>
        <v>06161001010</v>
      </c>
      <c r="B663" s="7" t="str">
        <f t="shared" ref="B663:B669" si="236">"滝畑ダム管理地"</f>
        <v>滝畑ダム管理地</v>
      </c>
      <c r="C663" s="7" t="str">
        <f t="shared" si="232"/>
        <v>行政財産</v>
      </c>
      <c r="D663" s="7" t="str">
        <f t="shared" ref="D663:D669" si="237">"その他（公共用）の施設"</f>
        <v>その他（公共用）の施設</v>
      </c>
      <c r="E663" s="7" t="str">
        <f t="shared" ref="E663:E669" si="238">"大阪府河内長野市滝畑"</f>
        <v>大阪府河内長野市滝畑</v>
      </c>
      <c r="F663" s="7"/>
      <c r="G663" s="7" t="str">
        <f t="shared" ref="G663:G669" si="239">"インフラ資産"</f>
        <v>インフラ資産</v>
      </c>
      <c r="H663" s="7" t="str">
        <f t="shared" si="231"/>
        <v>棚卸以外</v>
      </c>
      <c r="I663" s="7">
        <v>2</v>
      </c>
      <c r="J663" s="7" t="str">
        <f>"車庫"</f>
        <v>車庫</v>
      </c>
      <c r="K663" s="7" t="str">
        <f>"鉄骨造"</f>
        <v>鉄骨造</v>
      </c>
      <c r="L663" s="7" t="str">
        <f>"S55.03.31"</f>
        <v>S55.03.31</v>
      </c>
      <c r="M663" s="7">
        <v>33.51</v>
      </c>
      <c r="N663" s="7">
        <v>2537000</v>
      </c>
      <c r="O663" s="7">
        <v>2536999</v>
      </c>
      <c r="P663" s="7">
        <v>0</v>
      </c>
      <c r="Q663" s="7" t="str">
        <f t="shared" si="226"/>
        <v>環境農林水産部</v>
      </c>
      <c r="R663" s="7" t="str">
        <f t="shared" ref="R663:R694" si="240">"南河内農と緑の総合事務所"</f>
        <v>南河内農と緑の総合事務所</v>
      </c>
    </row>
    <row r="664" spans="1:18" s="1" customFormat="1" x14ac:dyDescent="0.45">
      <c r="A664" s="7" t="str">
        <f t="shared" si="235"/>
        <v>06161001010</v>
      </c>
      <c r="B664" s="7" t="str">
        <f t="shared" si="236"/>
        <v>滝畑ダム管理地</v>
      </c>
      <c r="C664" s="7" t="str">
        <f t="shared" si="232"/>
        <v>行政財産</v>
      </c>
      <c r="D664" s="7" t="str">
        <f t="shared" si="237"/>
        <v>その他（公共用）の施設</v>
      </c>
      <c r="E664" s="7" t="str">
        <f t="shared" si="238"/>
        <v>大阪府河内長野市滝畑</v>
      </c>
      <c r="F664" s="7"/>
      <c r="G664" s="7" t="str">
        <f t="shared" si="239"/>
        <v>インフラ資産</v>
      </c>
      <c r="H664" s="7" t="str">
        <f t="shared" si="231"/>
        <v>棚卸以外</v>
      </c>
      <c r="I664" s="7">
        <v>3</v>
      </c>
      <c r="J664" s="7" t="str">
        <f>"管理事務所"</f>
        <v>管理事務所</v>
      </c>
      <c r="K664" s="7" t="str">
        <f>"鉄筋コンクリート造"</f>
        <v>鉄筋コンクリート造</v>
      </c>
      <c r="L664" s="7" t="str">
        <f>"S55.03.31"</f>
        <v>S55.03.31</v>
      </c>
      <c r="M664" s="7">
        <v>231.08</v>
      </c>
      <c r="N664" s="7">
        <v>36585000</v>
      </c>
      <c r="O664" s="7">
        <v>31241010</v>
      </c>
      <c r="P664" s="7">
        <v>0</v>
      </c>
      <c r="Q664" s="7" t="str">
        <f t="shared" si="226"/>
        <v>環境農林水産部</v>
      </c>
      <c r="R664" s="7" t="str">
        <f t="shared" si="240"/>
        <v>南河内農と緑の総合事務所</v>
      </c>
    </row>
    <row r="665" spans="1:18" s="1" customFormat="1" x14ac:dyDescent="0.45">
      <c r="A665" s="7" t="str">
        <f t="shared" si="235"/>
        <v>06161001010</v>
      </c>
      <c r="B665" s="7" t="str">
        <f t="shared" si="236"/>
        <v>滝畑ダム管理地</v>
      </c>
      <c r="C665" s="7" t="str">
        <f t="shared" si="232"/>
        <v>行政財産</v>
      </c>
      <c r="D665" s="7" t="str">
        <f t="shared" si="237"/>
        <v>その他（公共用）の施設</v>
      </c>
      <c r="E665" s="7" t="str">
        <f t="shared" si="238"/>
        <v>大阪府河内長野市滝畑</v>
      </c>
      <c r="F665" s="7"/>
      <c r="G665" s="7" t="str">
        <f t="shared" si="239"/>
        <v>インフラ資産</v>
      </c>
      <c r="H665" s="7" t="str">
        <f t="shared" si="231"/>
        <v>棚卸以外</v>
      </c>
      <c r="I665" s="7">
        <v>4</v>
      </c>
      <c r="J665" s="7" t="str">
        <f>"倉庫"</f>
        <v>倉庫</v>
      </c>
      <c r="K665" s="7" t="str">
        <f>"鉄骨造"</f>
        <v>鉄骨造</v>
      </c>
      <c r="L665" s="7" t="str">
        <f>"S57.03.03"</f>
        <v>S57.03.03</v>
      </c>
      <c r="M665" s="7">
        <v>50</v>
      </c>
      <c r="N665" s="7">
        <v>5284000</v>
      </c>
      <c r="O665" s="7">
        <v>5283999</v>
      </c>
      <c r="P665" s="7">
        <v>0</v>
      </c>
      <c r="Q665" s="7" t="str">
        <f t="shared" si="226"/>
        <v>環境農林水産部</v>
      </c>
      <c r="R665" s="7" t="str">
        <f t="shared" si="240"/>
        <v>南河内農と緑の総合事務所</v>
      </c>
    </row>
    <row r="666" spans="1:18" s="1" customFormat="1" x14ac:dyDescent="0.45">
      <c r="A666" s="7" t="str">
        <f t="shared" si="235"/>
        <v>06161001010</v>
      </c>
      <c r="B666" s="7" t="str">
        <f t="shared" si="236"/>
        <v>滝畑ダム管理地</v>
      </c>
      <c r="C666" s="7" t="str">
        <f t="shared" si="232"/>
        <v>行政財産</v>
      </c>
      <c r="D666" s="7" t="str">
        <f t="shared" si="237"/>
        <v>その他（公共用）の施設</v>
      </c>
      <c r="E666" s="7" t="str">
        <f t="shared" si="238"/>
        <v>大阪府河内長野市滝畑</v>
      </c>
      <c r="F666" s="7"/>
      <c r="G666" s="7" t="str">
        <f t="shared" si="239"/>
        <v>インフラ資産</v>
      </c>
      <c r="H666" s="7" t="str">
        <f t="shared" si="231"/>
        <v>棚卸以外</v>
      </c>
      <c r="I666" s="7">
        <v>5</v>
      </c>
      <c r="J666" s="7" t="str">
        <f>"公衆便所"</f>
        <v>公衆便所</v>
      </c>
      <c r="K666" s="7" t="str">
        <f>"鉄骨造"</f>
        <v>鉄骨造</v>
      </c>
      <c r="L666" s="7" t="str">
        <f>"S56.02.10"</f>
        <v>S56.02.10</v>
      </c>
      <c r="M666" s="7">
        <v>43.5</v>
      </c>
      <c r="N666" s="7">
        <v>10490000</v>
      </c>
      <c r="O666" s="7">
        <v>8281555</v>
      </c>
      <c r="P666" s="7">
        <v>0</v>
      </c>
      <c r="Q666" s="7" t="str">
        <f t="shared" si="226"/>
        <v>環境農林水産部</v>
      </c>
      <c r="R666" s="7" t="str">
        <f t="shared" si="240"/>
        <v>南河内農と緑の総合事務所</v>
      </c>
    </row>
    <row r="667" spans="1:18" s="1" customFormat="1" x14ac:dyDescent="0.45">
      <c r="A667" s="7" t="str">
        <f t="shared" si="235"/>
        <v>06161001010</v>
      </c>
      <c r="B667" s="7" t="str">
        <f t="shared" si="236"/>
        <v>滝畑ダム管理地</v>
      </c>
      <c r="C667" s="7" t="str">
        <f t="shared" si="232"/>
        <v>行政財産</v>
      </c>
      <c r="D667" s="7" t="str">
        <f t="shared" si="237"/>
        <v>その他（公共用）の施設</v>
      </c>
      <c r="E667" s="7" t="str">
        <f t="shared" si="238"/>
        <v>大阪府河内長野市滝畑</v>
      </c>
      <c r="F667" s="7"/>
      <c r="G667" s="7" t="str">
        <f t="shared" si="239"/>
        <v>インフラ資産</v>
      </c>
      <c r="H667" s="7" t="str">
        <f t="shared" si="231"/>
        <v>棚卸以外</v>
      </c>
      <c r="I667" s="7">
        <v>6</v>
      </c>
      <c r="J667" s="7" t="str">
        <f>"ボート庫"</f>
        <v>ボート庫</v>
      </c>
      <c r="K667" s="7" t="str">
        <f>"鉄筋コンクリート造"</f>
        <v>鉄筋コンクリート造</v>
      </c>
      <c r="L667" s="7" t="str">
        <f>"S56.02.10"</f>
        <v>S56.02.10</v>
      </c>
      <c r="M667" s="7">
        <v>33.799999999999997</v>
      </c>
      <c r="N667" s="7">
        <v>16872000</v>
      </c>
      <c r="O667" s="7">
        <v>16871999</v>
      </c>
      <c r="P667" s="7">
        <v>0</v>
      </c>
      <c r="Q667" s="7" t="str">
        <f t="shared" si="226"/>
        <v>環境農林水産部</v>
      </c>
      <c r="R667" s="7" t="str">
        <f t="shared" si="240"/>
        <v>南河内農と緑の総合事務所</v>
      </c>
    </row>
    <row r="668" spans="1:18" s="1" customFormat="1" x14ac:dyDescent="0.45">
      <c r="A668" s="7" t="str">
        <f t="shared" si="235"/>
        <v>06161001010</v>
      </c>
      <c r="B668" s="7" t="str">
        <f t="shared" si="236"/>
        <v>滝畑ダム管理地</v>
      </c>
      <c r="C668" s="7" t="str">
        <f t="shared" si="232"/>
        <v>行政財産</v>
      </c>
      <c r="D668" s="7" t="str">
        <f t="shared" si="237"/>
        <v>その他（公共用）の施設</v>
      </c>
      <c r="E668" s="7" t="str">
        <f t="shared" si="238"/>
        <v>大阪府河内長野市滝畑</v>
      </c>
      <c r="F668" s="7"/>
      <c r="G668" s="7" t="str">
        <f t="shared" si="239"/>
        <v>インフラ資産</v>
      </c>
      <c r="H668" s="7" t="str">
        <f t="shared" si="231"/>
        <v>棚卸以外</v>
      </c>
      <c r="I668" s="7">
        <v>7</v>
      </c>
      <c r="J668" s="7" t="str">
        <f>"空気圧縮機室"</f>
        <v>空気圧縮機室</v>
      </c>
      <c r="K668" s="7" t="str">
        <f>"鉄筋コンクリート造"</f>
        <v>鉄筋コンクリート造</v>
      </c>
      <c r="L668" s="7" t="str">
        <f>"S61.03.28"</f>
        <v>S61.03.28</v>
      </c>
      <c r="M668" s="7">
        <v>18</v>
      </c>
      <c r="N668" s="7">
        <v>3547000</v>
      </c>
      <c r="O668" s="7">
        <v>3453876</v>
      </c>
      <c r="P668" s="7">
        <v>0</v>
      </c>
      <c r="Q668" s="7" t="str">
        <f t="shared" si="226"/>
        <v>環境農林水産部</v>
      </c>
      <c r="R668" s="7" t="str">
        <f t="shared" si="240"/>
        <v>南河内農と緑の総合事務所</v>
      </c>
    </row>
    <row r="669" spans="1:18" s="1" customFormat="1" x14ac:dyDescent="0.45">
      <c r="A669" s="7" t="str">
        <f t="shared" si="235"/>
        <v>06161001010</v>
      </c>
      <c r="B669" s="7" t="str">
        <f t="shared" si="236"/>
        <v>滝畑ダム管理地</v>
      </c>
      <c r="C669" s="7" t="str">
        <f t="shared" si="232"/>
        <v>行政財産</v>
      </c>
      <c r="D669" s="7" t="str">
        <f t="shared" si="237"/>
        <v>その他（公共用）の施設</v>
      </c>
      <c r="E669" s="7" t="str">
        <f t="shared" si="238"/>
        <v>大阪府河内長野市滝畑</v>
      </c>
      <c r="F669" s="7"/>
      <c r="G669" s="7" t="str">
        <f t="shared" si="239"/>
        <v>インフラ資産</v>
      </c>
      <c r="H669" s="7" t="str">
        <f t="shared" si="231"/>
        <v>棚卸以外</v>
      </c>
      <c r="I669" s="7">
        <v>8</v>
      </c>
      <c r="J669" s="7" t="str">
        <f>"身障者用便所"</f>
        <v>身障者用便所</v>
      </c>
      <c r="K669" s="7" t="str">
        <f>"コンクリートブロック造"</f>
        <v>コンクリートブロック造</v>
      </c>
      <c r="L669" s="7" t="str">
        <f>"H17.01.17"</f>
        <v>H17.01.17</v>
      </c>
      <c r="M669" s="7">
        <v>7.01</v>
      </c>
      <c r="N669" s="7">
        <v>2284000</v>
      </c>
      <c r="O669" s="7">
        <v>1220582</v>
      </c>
      <c r="P669" s="7">
        <v>0</v>
      </c>
      <c r="Q669" s="7" t="str">
        <f t="shared" si="226"/>
        <v>環境農林水産部</v>
      </c>
      <c r="R669" s="7" t="str">
        <f t="shared" si="240"/>
        <v>南河内農と緑の総合事務所</v>
      </c>
    </row>
    <row r="670" spans="1:18" s="1" customFormat="1" x14ac:dyDescent="0.45">
      <c r="A670" s="7" t="str">
        <f t="shared" ref="A670:A684" si="241">"06178000001"</f>
        <v>06178000001</v>
      </c>
      <c r="B670" s="7" t="str">
        <f t="shared" ref="B670:B684" si="242">"府民の森千早地区"</f>
        <v>府民の森千早地区</v>
      </c>
      <c r="C670" s="7" t="str">
        <f t="shared" si="232"/>
        <v>行政財産</v>
      </c>
      <c r="D670" s="7" t="str">
        <f t="shared" ref="D670:D684" si="243">"公園"</f>
        <v>公園</v>
      </c>
      <c r="E670" s="7" t="str">
        <f t="shared" ref="E670:E684" si="244">"大阪府南河内郡　千早赤阪村大字千早"</f>
        <v>大阪府南河内郡　千早赤阪村大字千早</v>
      </c>
      <c r="F670" s="7"/>
      <c r="G670" s="7" t="str">
        <f t="shared" ref="G670:G686" si="245">"事業用資産"</f>
        <v>事業用資産</v>
      </c>
      <c r="H670" s="7" t="str">
        <f t="shared" si="231"/>
        <v>棚卸以外</v>
      </c>
      <c r="I670" s="7">
        <v>2</v>
      </c>
      <c r="J670" s="7" t="str">
        <f>"金剛山展望休憩所"</f>
        <v>金剛山展望休憩所</v>
      </c>
      <c r="K670" s="7" t="str">
        <f>"鉄骨コンクリート造"</f>
        <v>鉄骨コンクリート造</v>
      </c>
      <c r="L670" s="7" t="str">
        <f>"S48.04.01"</f>
        <v>S48.04.01</v>
      </c>
      <c r="M670" s="7">
        <v>177.08</v>
      </c>
      <c r="N670" s="7">
        <v>8294000</v>
      </c>
      <c r="O670" s="7">
        <v>8293999</v>
      </c>
      <c r="P670" s="7">
        <v>0</v>
      </c>
      <c r="Q670" s="7" t="str">
        <f t="shared" si="226"/>
        <v>環境農林水産部</v>
      </c>
      <c r="R670" s="7" t="str">
        <f t="shared" si="240"/>
        <v>南河内農と緑の総合事務所</v>
      </c>
    </row>
    <row r="671" spans="1:18" s="1" customFormat="1" x14ac:dyDescent="0.45">
      <c r="A671" s="7" t="str">
        <f t="shared" si="241"/>
        <v>06178000001</v>
      </c>
      <c r="B671" s="7" t="str">
        <f t="shared" si="242"/>
        <v>府民の森千早地区</v>
      </c>
      <c r="C671" s="7" t="str">
        <f t="shared" si="232"/>
        <v>行政財産</v>
      </c>
      <c r="D671" s="7" t="str">
        <f t="shared" si="243"/>
        <v>公園</v>
      </c>
      <c r="E671" s="7" t="str">
        <f t="shared" si="244"/>
        <v>大阪府南河内郡　千早赤阪村大字千早</v>
      </c>
      <c r="F671" s="7"/>
      <c r="G671" s="7" t="str">
        <f t="shared" si="245"/>
        <v>事業用資産</v>
      </c>
      <c r="H671" s="7" t="str">
        <f t="shared" si="231"/>
        <v>棚卸以外</v>
      </c>
      <c r="I671" s="7">
        <v>20</v>
      </c>
      <c r="J671" s="7" t="str">
        <f>"キャンプ場便所１"</f>
        <v>キャンプ場便所１</v>
      </c>
      <c r="K671" s="7" t="str">
        <f t="shared" ref="K671:K676" si="246">"鉄筋コンクリート造"</f>
        <v>鉄筋コンクリート造</v>
      </c>
      <c r="L671" s="7" t="str">
        <f>"S58.03.31"</f>
        <v>S58.03.31</v>
      </c>
      <c r="M671" s="7">
        <v>33</v>
      </c>
      <c r="N671" s="7">
        <v>7743000</v>
      </c>
      <c r="O671" s="7">
        <v>7742999</v>
      </c>
      <c r="P671" s="7">
        <v>0</v>
      </c>
      <c r="Q671" s="7" t="str">
        <f t="shared" si="226"/>
        <v>環境農林水産部</v>
      </c>
      <c r="R671" s="7" t="str">
        <f t="shared" si="240"/>
        <v>南河内農と緑の総合事務所</v>
      </c>
    </row>
    <row r="672" spans="1:18" s="1" customFormat="1" x14ac:dyDescent="0.45">
      <c r="A672" s="7" t="str">
        <f t="shared" si="241"/>
        <v>06178000001</v>
      </c>
      <c r="B672" s="7" t="str">
        <f t="shared" si="242"/>
        <v>府民の森千早地区</v>
      </c>
      <c r="C672" s="7" t="str">
        <f t="shared" si="232"/>
        <v>行政財産</v>
      </c>
      <c r="D672" s="7" t="str">
        <f t="shared" si="243"/>
        <v>公園</v>
      </c>
      <c r="E672" s="7" t="str">
        <f t="shared" si="244"/>
        <v>大阪府南河内郡　千早赤阪村大字千早</v>
      </c>
      <c r="F672" s="7"/>
      <c r="G672" s="7" t="str">
        <f t="shared" si="245"/>
        <v>事業用資産</v>
      </c>
      <c r="H672" s="7" t="str">
        <f t="shared" si="231"/>
        <v>棚卸以外</v>
      </c>
      <c r="I672" s="7">
        <v>21</v>
      </c>
      <c r="J672" s="7" t="str">
        <f>"炊事棟１"</f>
        <v>炊事棟１</v>
      </c>
      <c r="K672" s="7" t="str">
        <f t="shared" si="246"/>
        <v>鉄筋コンクリート造</v>
      </c>
      <c r="L672" s="7" t="str">
        <f>"S58.03.31"</f>
        <v>S58.03.31</v>
      </c>
      <c r="M672" s="7">
        <v>36</v>
      </c>
      <c r="N672" s="7">
        <v>6467000</v>
      </c>
      <c r="O672" s="7">
        <v>5534780</v>
      </c>
      <c r="P672" s="7">
        <v>0</v>
      </c>
      <c r="Q672" s="7" t="str">
        <f t="shared" si="226"/>
        <v>環境農林水産部</v>
      </c>
      <c r="R672" s="7" t="str">
        <f t="shared" si="240"/>
        <v>南河内農と緑の総合事務所</v>
      </c>
    </row>
    <row r="673" spans="1:18" s="1" customFormat="1" x14ac:dyDescent="0.45">
      <c r="A673" s="7" t="str">
        <f t="shared" si="241"/>
        <v>06178000001</v>
      </c>
      <c r="B673" s="7" t="str">
        <f t="shared" si="242"/>
        <v>府民の森千早地区</v>
      </c>
      <c r="C673" s="7" t="str">
        <f t="shared" si="232"/>
        <v>行政財産</v>
      </c>
      <c r="D673" s="7" t="str">
        <f t="shared" si="243"/>
        <v>公園</v>
      </c>
      <c r="E673" s="7" t="str">
        <f t="shared" si="244"/>
        <v>大阪府南河内郡　千早赤阪村大字千早</v>
      </c>
      <c r="F673" s="7"/>
      <c r="G673" s="7" t="str">
        <f t="shared" si="245"/>
        <v>事業用資産</v>
      </c>
      <c r="H673" s="7" t="str">
        <f t="shared" si="231"/>
        <v>棚卸以外</v>
      </c>
      <c r="I673" s="7">
        <v>22</v>
      </c>
      <c r="J673" s="7" t="str">
        <f>"炊事棟２"</f>
        <v>炊事棟２</v>
      </c>
      <c r="K673" s="7" t="str">
        <f t="shared" si="246"/>
        <v>鉄筋コンクリート造</v>
      </c>
      <c r="L673" s="7" t="str">
        <f>"S58.03.31"</f>
        <v>S58.03.31</v>
      </c>
      <c r="M673" s="7">
        <v>36</v>
      </c>
      <c r="N673" s="7">
        <v>9137000</v>
      </c>
      <c r="O673" s="7">
        <v>7245331</v>
      </c>
      <c r="P673" s="7">
        <v>0</v>
      </c>
      <c r="Q673" s="7" t="str">
        <f t="shared" si="226"/>
        <v>環境農林水産部</v>
      </c>
      <c r="R673" s="7" t="str">
        <f t="shared" si="240"/>
        <v>南河内農と緑の総合事務所</v>
      </c>
    </row>
    <row r="674" spans="1:18" s="1" customFormat="1" x14ac:dyDescent="0.45">
      <c r="A674" s="7" t="str">
        <f t="shared" si="241"/>
        <v>06178000001</v>
      </c>
      <c r="B674" s="7" t="str">
        <f t="shared" si="242"/>
        <v>府民の森千早地区</v>
      </c>
      <c r="C674" s="7" t="str">
        <f t="shared" si="232"/>
        <v>行政財産</v>
      </c>
      <c r="D674" s="7" t="str">
        <f t="shared" si="243"/>
        <v>公園</v>
      </c>
      <c r="E674" s="7" t="str">
        <f t="shared" si="244"/>
        <v>大阪府南河内郡　千早赤阪村大字千早</v>
      </c>
      <c r="F674" s="7"/>
      <c r="G674" s="7" t="str">
        <f t="shared" si="245"/>
        <v>事業用資産</v>
      </c>
      <c r="H674" s="7" t="str">
        <f t="shared" si="231"/>
        <v>棚卸以外</v>
      </c>
      <c r="I674" s="7">
        <v>23</v>
      </c>
      <c r="J674" s="7" t="str">
        <f>"キャンプ場便所２"</f>
        <v>キャンプ場便所２</v>
      </c>
      <c r="K674" s="7" t="str">
        <f t="shared" si="246"/>
        <v>鉄筋コンクリート造</v>
      </c>
      <c r="L674" s="7" t="str">
        <f>"S58.03.31"</f>
        <v>S58.03.31</v>
      </c>
      <c r="M674" s="7">
        <v>33</v>
      </c>
      <c r="N674" s="7">
        <v>8070000</v>
      </c>
      <c r="O674" s="7">
        <v>8069999</v>
      </c>
      <c r="P674" s="7">
        <v>0</v>
      </c>
      <c r="Q674" s="7" t="str">
        <f t="shared" si="226"/>
        <v>環境農林水産部</v>
      </c>
      <c r="R674" s="7" t="str">
        <f t="shared" si="240"/>
        <v>南河内農と緑の総合事務所</v>
      </c>
    </row>
    <row r="675" spans="1:18" s="1" customFormat="1" x14ac:dyDescent="0.45">
      <c r="A675" s="7" t="str">
        <f t="shared" si="241"/>
        <v>06178000001</v>
      </c>
      <c r="B675" s="7" t="str">
        <f t="shared" si="242"/>
        <v>府民の森千早地区</v>
      </c>
      <c r="C675" s="7" t="str">
        <f t="shared" si="232"/>
        <v>行政財産</v>
      </c>
      <c r="D675" s="7" t="str">
        <f t="shared" si="243"/>
        <v>公園</v>
      </c>
      <c r="E675" s="7" t="str">
        <f t="shared" si="244"/>
        <v>大阪府南河内郡　千早赤阪村大字千早</v>
      </c>
      <c r="F675" s="7"/>
      <c r="G675" s="7" t="str">
        <f t="shared" si="245"/>
        <v>事業用資産</v>
      </c>
      <c r="H675" s="7" t="str">
        <f t="shared" si="231"/>
        <v>棚卸以外</v>
      </c>
      <c r="I675" s="7">
        <v>24</v>
      </c>
      <c r="J675" s="7" t="str">
        <f>"管理棟"</f>
        <v>管理棟</v>
      </c>
      <c r="K675" s="7" t="str">
        <f t="shared" si="246"/>
        <v>鉄筋コンクリート造</v>
      </c>
      <c r="L675" s="7" t="str">
        <f>"S58.03.31"</f>
        <v>S58.03.31</v>
      </c>
      <c r="M675" s="7">
        <v>38.75</v>
      </c>
      <c r="N675" s="7">
        <v>18154000</v>
      </c>
      <c r="O675" s="7">
        <v>7641645</v>
      </c>
      <c r="P675" s="7">
        <v>0</v>
      </c>
      <c r="Q675" s="7" t="str">
        <f t="shared" si="226"/>
        <v>環境農林水産部</v>
      </c>
      <c r="R675" s="7" t="str">
        <f t="shared" si="240"/>
        <v>南河内農と緑の総合事務所</v>
      </c>
    </row>
    <row r="676" spans="1:18" s="1" customFormat="1" x14ac:dyDescent="0.45">
      <c r="A676" s="7" t="str">
        <f t="shared" si="241"/>
        <v>06178000001</v>
      </c>
      <c r="B676" s="7" t="str">
        <f t="shared" si="242"/>
        <v>府民の森千早地区</v>
      </c>
      <c r="C676" s="7" t="str">
        <f t="shared" si="232"/>
        <v>行政財産</v>
      </c>
      <c r="D676" s="7" t="str">
        <f t="shared" si="243"/>
        <v>公園</v>
      </c>
      <c r="E676" s="7" t="str">
        <f t="shared" si="244"/>
        <v>大阪府南河内郡　千早赤阪村大字千早</v>
      </c>
      <c r="F676" s="7"/>
      <c r="G676" s="7" t="str">
        <f t="shared" si="245"/>
        <v>事業用資産</v>
      </c>
      <c r="H676" s="7" t="str">
        <f t="shared" si="231"/>
        <v>棚卸以外</v>
      </c>
      <c r="I676" s="7">
        <v>25</v>
      </c>
      <c r="J676" s="7" t="str">
        <f>"炊事棟３"</f>
        <v>炊事棟３</v>
      </c>
      <c r="K676" s="7" t="str">
        <f t="shared" si="246"/>
        <v>鉄筋コンクリート造</v>
      </c>
      <c r="L676" s="7" t="str">
        <f>"S59.03.31"</f>
        <v>S59.03.31</v>
      </c>
      <c r="M676" s="7">
        <v>36</v>
      </c>
      <c r="N676" s="7">
        <v>10127000</v>
      </c>
      <c r="O676" s="7">
        <v>9229338</v>
      </c>
      <c r="P676" s="7">
        <v>0</v>
      </c>
      <c r="Q676" s="7" t="str">
        <f t="shared" si="226"/>
        <v>環境農林水産部</v>
      </c>
      <c r="R676" s="7" t="str">
        <f t="shared" si="240"/>
        <v>南河内農と緑の総合事務所</v>
      </c>
    </row>
    <row r="677" spans="1:18" s="1" customFormat="1" x14ac:dyDescent="0.45">
      <c r="A677" s="7" t="str">
        <f t="shared" si="241"/>
        <v>06178000001</v>
      </c>
      <c r="B677" s="7" t="str">
        <f t="shared" si="242"/>
        <v>府民の森千早地区</v>
      </c>
      <c r="C677" s="7" t="str">
        <f t="shared" si="232"/>
        <v>行政財産</v>
      </c>
      <c r="D677" s="7" t="str">
        <f t="shared" si="243"/>
        <v>公園</v>
      </c>
      <c r="E677" s="7" t="str">
        <f t="shared" si="244"/>
        <v>大阪府南河内郡　千早赤阪村大字千早</v>
      </c>
      <c r="F677" s="7"/>
      <c r="G677" s="7" t="str">
        <f t="shared" si="245"/>
        <v>事業用資産</v>
      </c>
      <c r="H677" s="7" t="str">
        <f t="shared" si="231"/>
        <v>棚卸以外</v>
      </c>
      <c r="I677" s="7">
        <v>28</v>
      </c>
      <c r="J677" s="7" t="str">
        <f>"ちはや園地総合案内所"</f>
        <v>ちはや園地総合案内所</v>
      </c>
      <c r="K677" s="7" t="str">
        <f>"木造"</f>
        <v>木造</v>
      </c>
      <c r="L677" s="7" t="str">
        <f>"H04.03.30"</f>
        <v>H04.03.30</v>
      </c>
      <c r="M677" s="7">
        <v>170.57</v>
      </c>
      <c r="N677" s="7">
        <v>43054000</v>
      </c>
      <c r="O677" s="7">
        <v>43053999</v>
      </c>
      <c r="P677" s="7">
        <v>0</v>
      </c>
      <c r="Q677" s="7" t="str">
        <f t="shared" si="226"/>
        <v>環境農林水産部</v>
      </c>
      <c r="R677" s="7" t="str">
        <f t="shared" si="240"/>
        <v>南河内農と緑の総合事務所</v>
      </c>
    </row>
    <row r="678" spans="1:18" s="1" customFormat="1" x14ac:dyDescent="0.45">
      <c r="A678" s="7" t="str">
        <f t="shared" si="241"/>
        <v>06178000001</v>
      </c>
      <c r="B678" s="7" t="str">
        <f t="shared" si="242"/>
        <v>府民の森千早地区</v>
      </c>
      <c r="C678" s="7" t="str">
        <f t="shared" ref="C678:C693" si="247">"行政財産"</f>
        <v>行政財産</v>
      </c>
      <c r="D678" s="7" t="str">
        <f t="shared" si="243"/>
        <v>公園</v>
      </c>
      <c r="E678" s="7" t="str">
        <f t="shared" si="244"/>
        <v>大阪府南河内郡　千早赤阪村大字千早</v>
      </c>
      <c r="F678" s="7"/>
      <c r="G678" s="7" t="str">
        <f t="shared" si="245"/>
        <v>事業用資産</v>
      </c>
      <c r="H678" s="7" t="str">
        <f t="shared" si="231"/>
        <v>棚卸以外</v>
      </c>
      <c r="I678" s="7">
        <v>29</v>
      </c>
      <c r="J678" s="7" t="str">
        <f>"金剛山上ガレージ"</f>
        <v>金剛山上ガレージ</v>
      </c>
      <c r="K678" s="7" t="str">
        <f>"軽量鉄骨造"</f>
        <v>軽量鉄骨造</v>
      </c>
      <c r="L678" s="7" t="str">
        <f>"H04.03.31"</f>
        <v>H04.03.31</v>
      </c>
      <c r="M678" s="7">
        <v>38.64</v>
      </c>
      <c r="N678" s="7">
        <v>9500000</v>
      </c>
      <c r="O678" s="7">
        <v>9499999</v>
      </c>
      <c r="P678" s="7">
        <v>0</v>
      </c>
      <c r="Q678" s="7" t="str">
        <f t="shared" si="226"/>
        <v>環境農林水産部</v>
      </c>
      <c r="R678" s="7" t="str">
        <f t="shared" si="240"/>
        <v>南河内農と緑の総合事務所</v>
      </c>
    </row>
    <row r="679" spans="1:18" s="1" customFormat="1" x14ac:dyDescent="0.45">
      <c r="A679" s="7" t="str">
        <f t="shared" si="241"/>
        <v>06178000001</v>
      </c>
      <c r="B679" s="7" t="str">
        <f t="shared" si="242"/>
        <v>府民の森千早地区</v>
      </c>
      <c r="C679" s="7" t="str">
        <f t="shared" si="247"/>
        <v>行政財産</v>
      </c>
      <c r="D679" s="7" t="str">
        <f t="shared" si="243"/>
        <v>公園</v>
      </c>
      <c r="E679" s="7" t="str">
        <f t="shared" si="244"/>
        <v>大阪府南河内郡　千早赤阪村大字千早</v>
      </c>
      <c r="F679" s="7"/>
      <c r="G679" s="7" t="str">
        <f t="shared" si="245"/>
        <v>事業用資産</v>
      </c>
      <c r="H679" s="7" t="str">
        <f t="shared" si="231"/>
        <v>棚卸以外</v>
      </c>
      <c r="I679" s="7">
        <v>36</v>
      </c>
      <c r="J679" s="7" t="str">
        <f>"ちはや園地便所"</f>
        <v>ちはや園地便所</v>
      </c>
      <c r="K679" s="7" t="str">
        <f>"木造"</f>
        <v>木造</v>
      </c>
      <c r="L679" s="7" t="str">
        <f>"H09.08.01"</f>
        <v>H09.08.01</v>
      </c>
      <c r="M679" s="7">
        <v>52.1</v>
      </c>
      <c r="N679" s="7">
        <v>31135000</v>
      </c>
      <c r="O679" s="7">
        <v>31134999</v>
      </c>
      <c r="P679" s="7">
        <v>0</v>
      </c>
      <c r="Q679" s="7" t="str">
        <f t="shared" si="226"/>
        <v>環境農林水産部</v>
      </c>
      <c r="R679" s="7" t="str">
        <f t="shared" si="240"/>
        <v>南河内農と緑の総合事務所</v>
      </c>
    </row>
    <row r="680" spans="1:18" s="1" customFormat="1" x14ac:dyDescent="0.45">
      <c r="A680" s="7" t="str">
        <f t="shared" si="241"/>
        <v>06178000001</v>
      </c>
      <c r="B680" s="7" t="str">
        <f t="shared" si="242"/>
        <v>府民の森千早地区</v>
      </c>
      <c r="C680" s="7" t="str">
        <f t="shared" si="247"/>
        <v>行政財産</v>
      </c>
      <c r="D680" s="7" t="str">
        <f t="shared" si="243"/>
        <v>公園</v>
      </c>
      <c r="E680" s="7" t="str">
        <f t="shared" si="244"/>
        <v>大阪府南河内郡　千早赤阪村大字千早</v>
      </c>
      <c r="F680" s="7"/>
      <c r="G680" s="7" t="str">
        <f t="shared" si="245"/>
        <v>事業用資産</v>
      </c>
      <c r="H680" s="7" t="str">
        <f t="shared" si="231"/>
        <v>棚卸以外</v>
      </c>
      <c r="I680" s="7">
        <v>38</v>
      </c>
      <c r="J680" s="7" t="str">
        <f>"金剛山エコミュージアムセンター"</f>
        <v>金剛山エコミュージアムセンター</v>
      </c>
      <c r="K680" s="7" t="str">
        <f>"木造"</f>
        <v>木造</v>
      </c>
      <c r="L680" s="7" t="str">
        <f>"H12.03.28"</f>
        <v>H12.03.28</v>
      </c>
      <c r="M680" s="7">
        <v>499</v>
      </c>
      <c r="N680" s="7">
        <v>272286000</v>
      </c>
      <c r="O680" s="7">
        <v>260940888</v>
      </c>
      <c r="P680" s="7">
        <v>0</v>
      </c>
      <c r="Q680" s="7" t="str">
        <f t="shared" si="226"/>
        <v>環境農林水産部</v>
      </c>
      <c r="R680" s="7" t="str">
        <f t="shared" si="240"/>
        <v>南河内農と緑の総合事務所</v>
      </c>
    </row>
    <row r="681" spans="1:18" s="1" customFormat="1" x14ac:dyDescent="0.45">
      <c r="A681" s="7" t="str">
        <f t="shared" si="241"/>
        <v>06178000001</v>
      </c>
      <c r="B681" s="7" t="str">
        <f t="shared" si="242"/>
        <v>府民の森千早地区</v>
      </c>
      <c r="C681" s="7" t="str">
        <f t="shared" si="247"/>
        <v>行政財産</v>
      </c>
      <c r="D681" s="7" t="str">
        <f t="shared" si="243"/>
        <v>公園</v>
      </c>
      <c r="E681" s="7" t="str">
        <f t="shared" si="244"/>
        <v>大阪府南河内郡　千早赤阪村大字千早</v>
      </c>
      <c r="F681" s="7"/>
      <c r="G681" s="7" t="str">
        <f t="shared" si="245"/>
        <v>事業用資産</v>
      </c>
      <c r="H681" s="7" t="str">
        <f t="shared" si="231"/>
        <v>棚卸以外</v>
      </c>
      <c r="I681" s="7">
        <v>39</v>
      </c>
      <c r="J681" s="7" t="str">
        <f>"大屋根広場"</f>
        <v>大屋根広場</v>
      </c>
      <c r="K681" s="7" t="str">
        <f>"木造"</f>
        <v>木造</v>
      </c>
      <c r="L681" s="7" t="str">
        <f>"H15.03.26"</f>
        <v>H15.03.26</v>
      </c>
      <c r="M681" s="7">
        <v>159.08000000000001</v>
      </c>
      <c r="N681" s="7">
        <v>26921000</v>
      </c>
      <c r="O681" s="7">
        <v>22434240</v>
      </c>
      <c r="P681" s="7">
        <v>0</v>
      </c>
      <c r="Q681" s="7" t="str">
        <f t="shared" si="226"/>
        <v>環境農林水産部</v>
      </c>
      <c r="R681" s="7" t="str">
        <f t="shared" si="240"/>
        <v>南河内農と緑の総合事務所</v>
      </c>
    </row>
    <row r="682" spans="1:18" s="1" customFormat="1" x14ac:dyDescent="0.45">
      <c r="A682" s="7" t="str">
        <f t="shared" si="241"/>
        <v>06178000001</v>
      </c>
      <c r="B682" s="7" t="str">
        <f t="shared" si="242"/>
        <v>府民の森千早地区</v>
      </c>
      <c r="C682" s="7" t="str">
        <f t="shared" si="247"/>
        <v>行政財産</v>
      </c>
      <c r="D682" s="7" t="str">
        <f t="shared" si="243"/>
        <v>公園</v>
      </c>
      <c r="E682" s="7" t="str">
        <f t="shared" si="244"/>
        <v>大阪府南河内郡　千早赤阪村大字千早</v>
      </c>
      <c r="F682" s="7"/>
      <c r="G682" s="7" t="str">
        <f t="shared" si="245"/>
        <v>事業用資産</v>
      </c>
      <c r="H682" s="7" t="str">
        <f t="shared" si="231"/>
        <v>棚卸以外</v>
      </c>
      <c r="I682" s="7">
        <v>40</v>
      </c>
      <c r="J682" s="7" t="str">
        <f>"バンガローＤ－１"</f>
        <v>バンガローＤ－１</v>
      </c>
      <c r="K682" s="7" t="str">
        <f>"木造"</f>
        <v>木造</v>
      </c>
      <c r="L682" s="7" t="str">
        <f>"H15.05.01"</f>
        <v>H15.05.01</v>
      </c>
      <c r="M682" s="7">
        <v>24</v>
      </c>
      <c r="N682" s="7">
        <v>5234000</v>
      </c>
      <c r="O682" s="7">
        <v>5233999</v>
      </c>
      <c r="P682" s="7">
        <v>0</v>
      </c>
      <c r="Q682" s="7" t="str">
        <f t="shared" si="226"/>
        <v>環境農林水産部</v>
      </c>
      <c r="R682" s="7" t="str">
        <f t="shared" si="240"/>
        <v>南河内農と緑の総合事務所</v>
      </c>
    </row>
    <row r="683" spans="1:18" s="1" customFormat="1" x14ac:dyDescent="0.45">
      <c r="A683" s="7" t="str">
        <f t="shared" si="241"/>
        <v>06178000001</v>
      </c>
      <c r="B683" s="7" t="str">
        <f t="shared" si="242"/>
        <v>府民の森千早地区</v>
      </c>
      <c r="C683" s="7" t="str">
        <f t="shared" si="247"/>
        <v>行政財産</v>
      </c>
      <c r="D683" s="7" t="str">
        <f t="shared" si="243"/>
        <v>公園</v>
      </c>
      <c r="E683" s="7" t="str">
        <f t="shared" si="244"/>
        <v>大阪府南河内郡　千早赤阪村大字千早</v>
      </c>
      <c r="F683" s="7"/>
      <c r="G683" s="7" t="str">
        <f t="shared" si="245"/>
        <v>事業用資産</v>
      </c>
      <c r="H683" s="7" t="str">
        <f t="shared" si="231"/>
        <v>棚卸以外</v>
      </c>
      <c r="I683" s="7">
        <v>41</v>
      </c>
      <c r="J683" s="7" t="str">
        <f>"バンガローＤ－２"</f>
        <v>バンガローＤ－２</v>
      </c>
      <c r="K683" s="7" t="str">
        <f>"木造"</f>
        <v>木造</v>
      </c>
      <c r="L683" s="7" t="str">
        <f>"H15.05.01"</f>
        <v>H15.05.01</v>
      </c>
      <c r="M683" s="7">
        <v>24</v>
      </c>
      <c r="N683" s="7">
        <v>5210000</v>
      </c>
      <c r="O683" s="7">
        <v>5209999</v>
      </c>
      <c r="P683" s="7">
        <v>0</v>
      </c>
      <c r="Q683" s="7" t="str">
        <f t="shared" si="226"/>
        <v>環境農林水産部</v>
      </c>
      <c r="R683" s="7" t="str">
        <f t="shared" si="240"/>
        <v>南河内農と緑の総合事務所</v>
      </c>
    </row>
    <row r="684" spans="1:18" s="1" customFormat="1" x14ac:dyDescent="0.45">
      <c r="A684" s="7" t="str">
        <f t="shared" si="241"/>
        <v>06178000001</v>
      </c>
      <c r="B684" s="7" t="str">
        <f t="shared" si="242"/>
        <v>府民の森千早地区</v>
      </c>
      <c r="C684" s="7" t="str">
        <f t="shared" si="247"/>
        <v>行政財産</v>
      </c>
      <c r="D684" s="7" t="str">
        <f t="shared" si="243"/>
        <v>公園</v>
      </c>
      <c r="E684" s="7" t="str">
        <f t="shared" si="244"/>
        <v>大阪府南河内郡　千早赤阪村大字千早</v>
      </c>
      <c r="F684" s="7"/>
      <c r="G684" s="7" t="str">
        <f t="shared" si="245"/>
        <v>事業用資産</v>
      </c>
      <c r="H684" s="7" t="str">
        <f t="shared" si="231"/>
        <v>棚卸以外</v>
      </c>
      <c r="I684" s="7">
        <v>44</v>
      </c>
      <c r="J684" s="7" t="str">
        <f>"ちはや園地燃料保管庫"</f>
        <v>ちはや園地燃料保管庫</v>
      </c>
      <c r="K684" s="7" t="str">
        <f>"土蔵造(簡易建物)"</f>
        <v>土蔵造(簡易建物)</v>
      </c>
      <c r="L684" s="7" t="str">
        <f>"H25.02.20"</f>
        <v>H25.02.20</v>
      </c>
      <c r="M684" s="7">
        <v>3.45</v>
      </c>
      <c r="N684" s="7">
        <v>1205400</v>
      </c>
      <c r="O684" s="7">
        <v>506506</v>
      </c>
      <c r="P684" s="7">
        <v>0</v>
      </c>
      <c r="Q684" s="7" t="str">
        <f t="shared" si="226"/>
        <v>環境農林水産部</v>
      </c>
      <c r="R684" s="7" t="str">
        <f t="shared" si="240"/>
        <v>南河内農と緑の総合事務所</v>
      </c>
    </row>
    <row r="685" spans="1:18" s="1" customFormat="1" x14ac:dyDescent="0.45">
      <c r="A685" s="7" t="str">
        <f>"06178000002"</f>
        <v>06178000002</v>
      </c>
      <c r="B685" s="7" t="str">
        <f>"二上山・万葉の森整備事業用地"</f>
        <v>二上山・万葉の森整備事業用地</v>
      </c>
      <c r="C685" s="7" t="str">
        <f t="shared" si="247"/>
        <v>行政財産</v>
      </c>
      <c r="D685" s="7" t="str">
        <f>"その他（公共用）の施設"</f>
        <v>その他（公共用）の施設</v>
      </c>
      <c r="E685" s="7" t="str">
        <f>"大阪府南河内郡　太子町大字山田"</f>
        <v>大阪府南河内郡　太子町大字山田</v>
      </c>
      <c r="F685" s="7"/>
      <c r="G685" s="7" t="str">
        <f t="shared" si="245"/>
        <v>事業用資産</v>
      </c>
      <c r="H685" s="7" t="str">
        <f t="shared" si="231"/>
        <v>棚卸以外</v>
      </c>
      <c r="I685" s="7">
        <v>2</v>
      </c>
      <c r="J685" s="7" t="str">
        <f>"二上山万葉の森公衆便所"</f>
        <v>二上山万葉の森公衆便所</v>
      </c>
      <c r="K685" s="7" t="str">
        <f>"木造"</f>
        <v>木造</v>
      </c>
      <c r="L685" s="7" t="str">
        <f>"H17.03.29"</f>
        <v>H17.03.29</v>
      </c>
      <c r="M685" s="7">
        <v>34</v>
      </c>
      <c r="N685" s="7">
        <v>40530000</v>
      </c>
      <c r="O685" s="7">
        <v>40529999</v>
      </c>
      <c r="P685" s="7">
        <v>0</v>
      </c>
      <c r="Q685" s="7" t="str">
        <f t="shared" si="226"/>
        <v>環境農林水産部</v>
      </c>
      <c r="R685" s="7" t="str">
        <f t="shared" si="240"/>
        <v>南河内農と緑の総合事務所</v>
      </c>
    </row>
    <row r="686" spans="1:18" s="1" customFormat="1" x14ac:dyDescent="0.45">
      <c r="A686" s="7" t="str">
        <f>"06178000002"</f>
        <v>06178000002</v>
      </c>
      <c r="B686" s="7" t="str">
        <f>"二上山・万葉の森整備事業用地"</f>
        <v>二上山・万葉の森整備事業用地</v>
      </c>
      <c r="C686" s="7" t="str">
        <f t="shared" si="247"/>
        <v>行政財産</v>
      </c>
      <c r="D686" s="7" t="str">
        <f>"その他（公共用）の施設"</f>
        <v>その他（公共用）の施設</v>
      </c>
      <c r="E686" s="7" t="str">
        <f>"大阪府南河内郡　太子町大字山田"</f>
        <v>大阪府南河内郡　太子町大字山田</v>
      </c>
      <c r="F686" s="7"/>
      <c r="G686" s="7" t="str">
        <f t="shared" si="245"/>
        <v>事業用資産</v>
      </c>
      <c r="H686" s="7" t="str">
        <f t="shared" si="231"/>
        <v>棚卸以外</v>
      </c>
      <c r="I686" s="7">
        <v>3</v>
      </c>
      <c r="J686" s="7" t="str">
        <f>"二上山休憩所"</f>
        <v>二上山休憩所</v>
      </c>
      <c r="K686" s="7" t="str">
        <f>"鉄筋コンクリート造"</f>
        <v>鉄筋コンクリート造</v>
      </c>
      <c r="L686" s="7" t="str">
        <f>"S48.04.01"</f>
        <v>S48.04.01</v>
      </c>
      <c r="M686" s="7">
        <v>19.41</v>
      </c>
      <c r="N686" s="7">
        <v>1548000</v>
      </c>
      <c r="O686" s="7">
        <v>1545420</v>
      </c>
      <c r="P686" s="7">
        <v>0</v>
      </c>
      <c r="Q686" s="7" t="str">
        <f t="shared" si="226"/>
        <v>環境農林水産部</v>
      </c>
      <c r="R686" s="7" t="str">
        <f t="shared" si="240"/>
        <v>南河内農と緑の総合事務所</v>
      </c>
    </row>
    <row r="687" spans="1:18" s="1" customFormat="1" x14ac:dyDescent="0.45">
      <c r="A687" s="7" t="str">
        <f>"06178000010"</f>
        <v>06178000010</v>
      </c>
      <c r="B687" s="7" t="str">
        <f>"農地開発事業（河南西部地区）"</f>
        <v>農地開発事業（河南西部地区）</v>
      </c>
      <c r="C687" s="7" t="str">
        <f t="shared" si="247"/>
        <v>行政財産</v>
      </c>
      <c r="D687" s="7" t="str">
        <f>"その他（公共用）の施設"</f>
        <v>その他（公共用）の施設</v>
      </c>
      <c r="E687" s="7" t="str">
        <f>"大阪府南河内郡　河南町大字寛弘寺"</f>
        <v>大阪府南河内郡　河南町大字寛弘寺</v>
      </c>
      <c r="F687" s="7"/>
      <c r="G687" s="7" t="str">
        <f t="shared" ref="G687:G693" si="248">"インフラ資産"</f>
        <v>インフラ資産</v>
      </c>
      <c r="H687" s="7" t="str">
        <f t="shared" si="231"/>
        <v>棚卸以外</v>
      </c>
      <c r="I687" s="7">
        <v>1</v>
      </c>
      <c r="J687" s="7" t="str">
        <f>"河南西部現場事務所"</f>
        <v>河南西部現場事務所</v>
      </c>
      <c r="K687" s="7" t="str">
        <f>"鉄骨造"</f>
        <v>鉄骨造</v>
      </c>
      <c r="L687" s="7" t="str">
        <f>"S63.03.28"</f>
        <v>S63.03.28</v>
      </c>
      <c r="M687" s="7">
        <v>116.8</v>
      </c>
      <c r="N687" s="7">
        <v>12718000</v>
      </c>
      <c r="O687" s="7">
        <v>11714220</v>
      </c>
      <c r="P687" s="7">
        <v>0</v>
      </c>
      <c r="Q687" s="7" t="str">
        <f t="shared" si="226"/>
        <v>環境農林水産部</v>
      </c>
      <c r="R687" s="7" t="str">
        <f t="shared" si="240"/>
        <v>南河内農と緑の総合事務所</v>
      </c>
    </row>
    <row r="688" spans="1:18" s="1" customFormat="1" x14ac:dyDescent="0.45">
      <c r="A688" s="7" t="str">
        <f t="shared" ref="A688:A693" si="249">"06178000012"</f>
        <v>06178000012</v>
      </c>
      <c r="B688" s="7" t="str">
        <f t="shared" ref="B688:B693" si="250">"防災テレメ－タ観測局"</f>
        <v>防災テレメ－タ観測局</v>
      </c>
      <c r="C688" s="7" t="str">
        <f t="shared" si="247"/>
        <v>行政財産</v>
      </c>
      <c r="D688" s="7" t="str">
        <f t="shared" ref="D688:D695" si="251">"その他"</f>
        <v>その他</v>
      </c>
      <c r="E688" s="7" t="str">
        <f t="shared" ref="E688:E693" si="252">"大阪府富田林市大字錦織"</f>
        <v>大阪府富田林市大字錦織</v>
      </c>
      <c r="F688" s="7"/>
      <c r="G688" s="7" t="str">
        <f t="shared" si="248"/>
        <v>インフラ資産</v>
      </c>
      <c r="H688" s="7" t="str">
        <f t="shared" si="231"/>
        <v>棚卸以外</v>
      </c>
      <c r="I688" s="7">
        <v>1</v>
      </c>
      <c r="J688" s="7" t="str">
        <f>"赤穂池観測局舎"</f>
        <v>赤穂池観測局舎</v>
      </c>
      <c r="K688" s="7" t="str">
        <f t="shared" ref="K688:K695" si="253">"鉄筋コンクリート造"</f>
        <v>鉄筋コンクリート造</v>
      </c>
      <c r="L688" s="7" t="str">
        <f>"H02.03.29"</f>
        <v>H02.03.29</v>
      </c>
      <c r="M688" s="7">
        <v>3.6</v>
      </c>
      <c r="N688" s="7">
        <v>1460000</v>
      </c>
      <c r="O688" s="7">
        <v>963864</v>
      </c>
      <c r="P688" s="7">
        <v>0</v>
      </c>
      <c r="Q688" s="7" t="str">
        <f t="shared" si="226"/>
        <v>環境農林水産部</v>
      </c>
      <c r="R688" s="7" t="str">
        <f t="shared" si="240"/>
        <v>南河内農と緑の総合事務所</v>
      </c>
    </row>
    <row r="689" spans="1:18" s="1" customFormat="1" x14ac:dyDescent="0.45">
      <c r="A689" s="7" t="str">
        <f t="shared" si="249"/>
        <v>06178000012</v>
      </c>
      <c r="B689" s="7" t="str">
        <f t="shared" si="250"/>
        <v>防災テレメ－タ観測局</v>
      </c>
      <c r="C689" s="7" t="str">
        <f t="shared" si="247"/>
        <v>行政財産</v>
      </c>
      <c r="D689" s="7" t="str">
        <f t="shared" si="251"/>
        <v>その他</v>
      </c>
      <c r="E689" s="7" t="str">
        <f t="shared" si="252"/>
        <v>大阪府富田林市大字錦織</v>
      </c>
      <c r="F689" s="7"/>
      <c r="G689" s="7" t="str">
        <f t="shared" si="248"/>
        <v>インフラ資産</v>
      </c>
      <c r="H689" s="7" t="str">
        <f t="shared" si="231"/>
        <v>棚卸以外</v>
      </c>
      <c r="I689" s="7">
        <v>2</v>
      </c>
      <c r="J689" s="7" t="str">
        <f>"寺ヶ池観測局舎"</f>
        <v>寺ヶ池観測局舎</v>
      </c>
      <c r="K689" s="7" t="str">
        <f t="shared" si="253"/>
        <v>鉄筋コンクリート造</v>
      </c>
      <c r="L689" s="7" t="str">
        <f>"H03.03.28"</f>
        <v>H03.03.28</v>
      </c>
      <c r="M689" s="7">
        <v>3.6</v>
      </c>
      <c r="N689" s="7">
        <v>1720000</v>
      </c>
      <c r="O689" s="7">
        <v>1100928</v>
      </c>
      <c r="P689" s="7">
        <v>0</v>
      </c>
      <c r="Q689" s="7" t="str">
        <f t="shared" si="226"/>
        <v>環境農林水産部</v>
      </c>
      <c r="R689" s="7" t="str">
        <f t="shared" si="240"/>
        <v>南河内農と緑の総合事務所</v>
      </c>
    </row>
    <row r="690" spans="1:18" s="1" customFormat="1" x14ac:dyDescent="0.45">
      <c r="A690" s="7" t="str">
        <f t="shared" si="249"/>
        <v>06178000012</v>
      </c>
      <c r="B690" s="7" t="str">
        <f t="shared" si="250"/>
        <v>防災テレメ－タ観測局</v>
      </c>
      <c r="C690" s="7" t="str">
        <f t="shared" si="247"/>
        <v>行政財産</v>
      </c>
      <c r="D690" s="7" t="str">
        <f t="shared" si="251"/>
        <v>その他</v>
      </c>
      <c r="E690" s="7" t="str">
        <f t="shared" si="252"/>
        <v>大阪府富田林市大字錦織</v>
      </c>
      <c r="F690" s="7"/>
      <c r="G690" s="7" t="str">
        <f t="shared" si="248"/>
        <v>インフラ資産</v>
      </c>
      <c r="H690" s="7" t="str">
        <f t="shared" si="231"/>
        <v>棚卸以外</v>
      </c>
      <c r="I690" s="7">
        <v>3</v>
      </c>
      <c r="J690" s="7" t="str">
        <f>"夫婦池観測局舎"</f>
        <v>夫婦池観測局舎</v>
      </c>
      <c r="K690" s="7" t="str">
        <f t="shared" si="253"/>
        <v>鉄筋コンクリート造</v>
      </c>
      <c r="L690" s="7" t="str">
        <f>"H04.03.27"</f>
        <v>H04.03.27</v>
      </c>
      <c r="M690" s="7">
        <v>3.6</v>
      </c>
      <c r="N690" s="7">
        <v>2183000</v>
      </c>
      <c r="O690" s="7">
        <v>1353708</v>
      </c>
      <c r="P690" s="7">
        <v>0</v>
      </c>
      <c r="Q690" s="7" t="str">
        <f t="shared" si="226"/>
        <v>環境農林水産部</v>
      </c>
      <c r="R690" s="7" t="str">
        <f t="shared" si="240"/>
        <v>南河内農と緑の総合事務所</v>
      </c>
    </row>
    <row r="691" spans="1:18" s="1" customFormat="1" x14ac:dyDescent="0.45">
      <c r="A691" s="7" t="str">
        <f t="shared" si="249"/>
        <v>06178000012</v>
      </c>
      <c r="B691" s="7" t="str">
        <f t="shared" si="250"/>
        <v>防災テレメ－タ観測局</v>
      </c>
      <c r="C691" s="7" t="str">
        <f t="shared" si="247"/>
        <v>行政財産</v>
      </c>
      <c r="D691" s="7" t="str">
        <f t="shared" si="251"/>
        <v>その他</v>
      </c>
      <c r="E691" s="7" t="str">
        <f t="shared" si="252"/>
        <v>大阪府富田林市大字錦織</v>
      </c>
      <c r="F691" s="7"/>
      <c r="G691" s="7" t="str">
        <f t="shared" si="248"/>
        <v>インフラ資産</v>
      </c>
      <c r="H691" s="7" t="str">
        <f t="shared" si="231"/>
        <v>棚卸以外</v>
      </c>
      <c r="I691" s="7">
        <v>4</v>
      </c>
      <c r="J691" s="7" t="str">
        <f>"垣内池観測局舎"</f>
        <v>垣内池観測局舎</v>
      </c>
      <c r="K691" s="7" t="str">
        <f t="shared" si="253"/>
        <v>鉄筋コンクリート造</v>
      </c>
      <c r="L691" s="7" t="str">
        <f>"H04.08.11"</f>
        <v>H04.08.11</v>
      </c>
      <c r="M691" s="7">
        <v>3.6</v>
      </c>
      <c r="N691" s="7">
        <v>2244000</v>
      </c>
      <c r="O691" s="7">
        <v>1372580</v>
      </c>
      <c r="P691" s="7">
        <v>0</v>
      </c>
      <c r="Q691" s="7" t="str">
        <f t="shared" si="226"/>
        <v>環境農林水産部</v>
      </c>
      <c r="R691" s="7" t="str">
        <f t="shared" si="240"/>
        <v>南河内農と緑の総合事務所</v>
      </c>
    </row>
    <row r="692" spans="1:18" s="1" customFormat="1" x14ac:dyDescent="0.45">
      <c r="A692" s="7" t="str">
        <f t="shared" si="249"/>
        <v>06178000012</v>
      </c>
      <c r="B692" s="7" t="str">
        <f t="shared" si="250"/>
        <v>防災テレメ－タ観測局</v>
      </c>
      <c r="C692" s="7" t="str">
        <f t="shared" si="247"/>
        <v>行政財産</v>
      </c>
      <c r="D692" s="7" t="str">
        <f t="shared" si="251"/>
        <v>その他</v>
      </c>
      <c r="E692" s="7" t="str">
        <f t="shared" si="252"/>
        <v>大阪府富田林市大字錦織</v>
      </c>
      <c r="F692" s="7"/>
      <c r="G692" s="7" t="str">
        <f t="shared" si="248"/>
        <v>インフラ資産</v>
      </c>
      <c r="H692" s="7" t="str">
        <f t="shared" si="231"/>
        <v>棚卸以外</v>
      </c>
      <c r="I692" s="7">
        <v>5</v>
      </c>
      <c r="J692" s="7" t="str">
        <f>"飛鳥新池観測局"</f>
        <v>飛鳥新池観測局</v>
      </c>
      <c r="K692" s="7" t="str">
        <f t="shared" si="253"/>
        <v>鉄筋コンクリート造</v>
      </c>
      <c r="L692" s="7" t="str">
        <f>"H05.03.22"</f>
        <v>H05.03.22</v>
      </c>
      <c r="M692" s="7">
        <v>3.6</v>
      </c>
      <c r="N692" s="7">
        <v>2344000</v>
      </c>
      <c r="O692" s="7">
        <v>1406520</v>
      </c>
      <c r="P692" s="7">
        <v>0</v>
      </c>
      <c r="Q692" s="7" t="str">
        <f t="shared" ref="Q692:Q755" si="254">"環境農林水産部"</f>
        <v>環境農林水産部</v>
      </c>
      <c r="R692" s="7" t="str">
        <f t="shared" si="240"/>
        <v>南河内農と緑の総合事務所</v>
      </c>
    </row>
    <row r="693" spans="1:18" s="1" customFormat="1" x14ac:dyDescent="0.45">
      <c r="A693" s="7" t="str">
        <f t="shared" si="249"/>
        <v>06178000012</v>
      </c>
      <c r="B693" s="7" t="str">
        <f t="shared" si="250"/>
        <v>防災テレメ－タ観測局</v>
      </c>
      <c r="C693" s="7" t="str">
        <f t="shared" si="247"/>
        <v>行政財産</v>
      </c>
      <c r="D693" s="7" t="str">
        <f t="shared" si="251"/>
        <v>その他</v>
      </c>
      <c r="E693" s="7" t="str">
        <f t="shared" si="252"/>
        <v>大阪府富田林市大字錦織</v>
      </c>
      <c r="F693" s="7"/>
      <c r="G693" s="7" t="str">
        <f t="shared" si="248"/>
        <v>インフラ資産</v>
      </c>
      <c r="H693" s="7" t="str">
        <f t="shared" si="231"/>
        <v>棚卸以外</v>
      </c>
      <c r="I693" s="7">
        <v>6</v>
      </c>
      <c r="J693" s="7" t="str">
        <f>"北今池観測局"</f>
        <v>北今池観測局</v>
      </c>
      <c r="K693" s="7" t="str">
        <f t="shared" si="253"/>
        <v>鉄筋コンクリート造</v>
      </c>
      <c r="L693" s="7" t="str">
        <f>"H05.03.22"</f>
        <v>H05.03.22</v>
      </c>
      <c r="M693" s="7">
        <v>3.6</v>
      </c>
      <c r="N693" s="7">
        <v>2481000</v>
      </c>
      <c r="O693" s="7">
        <v>1488600</v>
      </c>
      <c r="P693" s="7">
        <v>0</v>
      </c>
      <c r="Q693" s="7" t="str">
        <f t="shared" si="254"/>
        <v>環境農林水産部</v>
      </c>
      <c r="R693" s="7" t="str">
        <f t="shared" si="240"/>
        <v>南河内農と緑の総合事務所</v>
      </c>
    </row>
    <row r="694" spans="1:18" s="1" customFormat="1" x14ac:dyDescent="0.45">
      <c r="A694" s="7" t="str">
        <f>"06178000013"</f>
        <v>06178000013</v>
      </c>
      <c r="B694" s="7" t="str">
        <f>"金剛山宿泊施設香楠荘"</f>
        <v>金剛山宿泊施設香楠荘</v>
      </c>
      <c r="C694" s="7" t="str">
        <f>"普通財産"</f>
        <v>普通財産</v>
      </c>
      <c r="D694" s="7" t="str">
        <f t="shared" si="251"/>
        <v>その他</v>
      </c>
      <c r="E694" s="7" t="str">
        <f>"大阪府南河内郡　千早赤阪村大字千早"</f>
        <v>大阪府南河内郡　千早赤阪村大字千早</v>
      </c>
      <c r="F694" s="7"/>
      <c r="G694" s="7" t="str">
        <f t="shared" ref="G694:G712" si="255">"事業用資産"</f>
        <v>事業用資産</v>
      </c>
      <c r="H694" s="7" t="str">
        <f t="shared" si="231"/>
        <v>棚卸以外</v>
      </c>
      <c r="I694" s="7">
        <v>1</v>
      </c>
      <c r="J694" s="7" t="str">
        <f>"宿泊施設香楠荘"</f>
        <v>宿泊施設香楠荘</v>
      </c>
      <c r="K694" s="7" t="str">
        <f t="shared" si="253"/>
        <v>鉄筋コンクリート造</v>
      </c>
      <c r="L694" s="7" t="str">
        <f>"S45.07.15"</f>
        <v>S45.07.15</v>
      </c>
      <c r="M694" s="7">
        <v>1621.72</v>
      </c>
      <c r="N694" s="7">
        <v>509252000</v>
      </c>
      <c r="O694" s="7">
        <v>495014066</v>
      </c>
      <c r="P694" s="7">
        <v>0</v>
      </c>
      <c r="Q694" s="7" t="str">
        <f t="shared" si="254"/>
        <v>環境農林水産部</v>
      </c>
      <c r="R694" s="7" t="str">
        <f t="shared" si="240"/>
        <v>南河内農と緑の総合事務所</v>
      </c>
    </row>
    <row r="695" spans="1:18" s="1" customFormat="1" x14ac:dyDescent="0.45">
      <c r="A695" s="7" t="str">
        <f>"06178000013"</f>
        <v>06178000013</v>
      </c>
      <c r="B695" s="7" t="str">
        <f>"金剛山宿泊施設香楠荘"</f>
        <v>金剛山宿泊施設香楠荘</v>
      </c>
      <c r="C695" s="7" t="str">
        <f>"普通財産"</f>
        <v>普通財産</v>
      </c>
      <c r="D695" s="7" t="str">
        <f t="shared" si="251"/>
        <v>その他</v>
      </c>
      <c r="E695" s="7" t="str">
        <f>"大阪府南河内郡　千早赤阪村大字千早"</f>
        <v>大阪府南河内郡　千早赤阪村大字千早</v>
      </c>
      <c r="F695" s="7"/>
      <c r="G695" s="7" t="str">
        <f t="shared" si="255"/>
        <v>事業用資産</v>
      </c>
      <c r="H695" s="7" t="str">
        <f t="shared" si="231"/>
        <v>棚卸以外</v>
      </c>
      <c r="I695" s="7">
        <v>2</v>
      </c>
      <c r="J695" s="7" t="str">
        <f>"従業員宿舎"</f>
        <v>従業員宿舎</v>
      </c>
      <c r="K695" s="7" t="str">
        <f t="shared" si="253"/>
        <v>鉄筋コンクリート造</v>
      </c>
      <c r="L695" s="7" t="str">
        <f>"S45.07.15"</f>
        <v>S45.07.15</v>
      </c>
      <c r="M695" s="7">
        <v>320.97000000000003</v>
      </c>
      <c r="N695" s="7">
        <v>40449000</v>
      </c>
      <c r="O695" s="7">
        <v>40448999</v>
      </c>
      <c r="P695" s="7">
        <v>0</v>
      </c>
      <c r="Q695" s="7" t="str">
        <f t="shared" si="254"/>
        <v>環境農林水産部</v>
      </c>
      <c r="R695" s="7" t="str">
        <f t="shared" ref="R695:R712" si="256">"南河内農と緑の総合事務所"</f>
        <v>南河内農と緑の総合事務所</v>
      </c>
    </row>
    <row r="696" spans="1:18" s="1" customFormat="1" x14ac:dyDescent="0.45">
      <c r="A696" s="7" t="str">
        <f>"06178000039"</f>
        <v>06178000039</v>
      </c>
      <c r="B696" s="7" t="str">
        <f>"弘川寺歴史と文化の森整備事業地"</f>
        <v>弘川寺歴史と文化の森整備事業地</v>
      </c>
      <c r="C696" s="7" t="str">
        <f t="shared" ref="C696:C759" si="257">"行政財産"</f>
        <v>行政財産</v>
      </c>
      <c r="D696" s="7" t="str">
        <f>"公園"</f>
        <v>公園</v>
      </c>
      <c r="E696" s="7" t="str">
        <f>"大阪府南河内郡　河南町大字弘川"</f>
        <v>大阪府南河内郡　河南町大字弘川</v>
      </c>
      <c r="F696" s="7"/>
      <c r="G696" s="7" t="str">
        <f t="shared" si="255"/>
        <v>事業用資産</v>
      </c>
      <c r="H696" s="7" t="str">
        <f t="shared" si="231"/>
        <v>棚卸以外</v>
      </c>
      <c r="I696" s="7">
        <v>1</v>
      </c>
      <c r="J696" s="7" t="str">
        <f>"弘川寺公衆便所"</f>
        <v>弘川寺公衆便所</v>
      </c>
      <c r="K696" s="7" t="str">
        <f>"木造"</f>
        <v>木造</v>
      </c>
      <c r="L696" s="7" t="str">
        <f>"H09.03.31"</f>
        <v>H09.03.31</v>
      </c>
      <c r="M696" s="7">
        <v>29.25</v>
      </c>
      <c r="N696" s="7">
        <v>21212000</v>
      </c>
      <c r="O696" s="7">
        <v>21211999</v>
      </c>
      <c r="P696" s="7">
        <v>0</v>
      </c>
      <c r="Q696" s="7" t="str">
        <f t="shared" si="254"/>
        <v>環境農林水産部</v>
      </c>
      <c r="R696" s="7" t="str">
        <f t="shared" si="256"/>
        <v>南河内農と緑の総合事務所</v>
      </c>
    </row>
    <row r="697" spans="1:18" s="1" customFormat="1" x14ac:dyDescent="0.45">
      <c r="A697" s="7" t="str">
        <f>"06178003001"</f>
        <v>06178003001</v>
      </c>
      <c r="B697" s="7" t="str">
        <f>"金剛千早城跡休憩所"</f>
        <v>金剛千早城跡休憩所</v>
      </c>
      <c r="C697" s="7" t="str">
        <f t="shared" si="257"/>
        <v>行政財産</v>
      </c>
      <c r="D697" s="7" t="str">
        <f t="shared" ref="D697:D712" si="258">"その他（公共用）の施設"</f>
        <v>その他（公共用）の施設</v>
      </c>
      <c r="E697" s="7" t="str">
        <f>"大阪府南河内郡　千早赤阪村大字千早"</f>
        <v>大阪府南河内郡　千早赤阪村大字千早</v>
      </c>
      <c r="F697" s="7"/>
      <c r="G697" s="7" t="str">
        <f t="shared" si="255"/>
        <v>事業用資産</v>
      </c>
      <c r="H697" s="7" t="str">
        <f t="shared" si="231"/>
        <v>棚卸以外</v>
      </c>
      <c r="I697" s="7">
        <v>1</v>
      </c>
      <c r="J697" s="7" t="str">
        <f>"金剛山千早城跡休憩所"</f>
        <v>金剛山千早城跡休憩所</v>
      </c>
      <c r="K697" s="7" t="str">
        <f>"鉄筋コンクリート造"</f>
        <v>鉄筋コンクリート造</v>
      </c>
      <c r="L697" s="7" t="str">
        <f>"S48.04.01"</f>
        <v>S48.04.01</v>
      </c>
      <c r="M697" s="7">
        <v>63.36</v>
      </c>
      <c r="N697" s="7">
        <v>2204000</v>
      </c>
      <c r="O697" s="7">
        <v>2200726</v>
      </c>
      <c r="P697" s="7">
        <v>0</v>
      </c>
      <c r="Q697" s="7" t="str">
        <f t="shared" si="254"/>
        <v>環境農林水産部</v>
      </c>
      <c r="R697" s="7" t="str">
        <f t="shared" si="256"/>
        <v>南河内農と緑の総合事務所</v>
      </c>
    </row>
    <row r="698" spans="1:18" s="1" customFormat="1" x14ac:dyDescent="0.45">
      <c r="A698" s="7" t="str">
        <f>"06178003001"</f>
        <v>06178003001</v>
      </c>
      <c r="B698" s="7" t="str">
        <f>"金剛千早城跡休憩所"</f>
        <v>金剛千早城跡休憩所</v>
      </c>
      <c r="C698" s="7" t="str">
        <f t="shared" si="257"/>
        <v>行政財産</v>
      </c>
      <c r="D698" s="7" t="str">
        <f t="shared" si="258"/>
        <v>その他（公共用）の施設</v>
      </c>
      <c r="E698" s="7" t="str">
        <f>"大阪府南河内郡　千早赤阪村大字千早"</f>
        <v>大阪府南河内郡　千早赤阪村大字千早</v>
      </c>
      <c r="F698" s="7"/>
      <c r="G698" s="7" t="str">
        <f t="shared" si="255"/>
        <v>事業用資産</v>
      </c>
      <c r="H698" s="7" t="str">
        <f t="shared" si="231"/>
        <v>棚卸以外</v>
      </c>
      <c r="I698" s="7">
        <v>2</v>
      </c>
      <c r="J698" s="7" t="str">
        <f>"金剛山千早城跡便所"</f>
        <v>金剛山千早城跡便所</v>
      </c>
      <c r="K698" s="7" t="str">
        <f>"木造"</f>
        <v>木造</v>
      </c>
      <c r="L698" s="7" t="str">
        <f>"S48.04.01"</f>
        <v>S48.04.01</v>
      </c>
      <c r="M698" s="7">
        <v>19.100000000000001</v>
      </c>
      <c r="N698" s="7">
        <v>728000</v>
      </c>
      <c r="O698" s="7">
        <v>727999</v>
      </c>
      <c r="P698" s="7">
        <v>0</v>
      </c>
      <c r="Q698" s="7" t="str">
        <f t="shared" si="254"/>
        <v>環境農林水産部</v>
      </c>
      <c r="R698" s="7" t="str">
        <f t="shared" si="256"/>
        <v>南河内農と緑の総合事務所</v>
      </c>
    </row>
    <row r="699" spans="1:18" s="1" customFormat="1" x14ac:dyDescent="0.45">
      <c r="A699" s="7" t="str">
        <f>"06178003002"</f>
        <v>06178003002</v>
      </c>
      <c r="B699" s="7" t="str">
        <f>"かつらぎ山休憩所"</f>
        <v>かつらぎ山休憩所</v>
      </c>
      <c r="C699" s="7" t="str">
        <f t="shared" si="257"/>
        <v>行政財産</v>
      </c>
      <c r="D699" s="7" t="str">
        <f t="shared" si="258"/>
        <v>その他（公共用）の施設</v>
      </c>
      <c r="E699" s="7" t="str">
        <f>"大阪府南河内郡　千早赤阪村大字水分"</f>
        <v>大阪府南河内郡　千早赤阪村大字水分</v>
      </c>
      <c r="F699" s="7"/>
      <c r="G699" s="7" t="str">
        <f t="shared" si="255"/>
        <v>事業用資産</v>
      </c>
      <c r="H699" s="7" t="str">
        <f t="shared" si="231"/>
        <v>棚卸以外</v>
      </c>
      <c r="I699" s="7">
        <v>1</v>
      </c>
      <c r="J699" s="7" t="str">
        <f>"かつらぎ山休憩所"</f>
        <v>かつらぎ山休憩所</v>
      </c>
      <c r="K699" s="7" t="str">
        <f>"鉄筋コンクリート造"</f>
        <v>鉄筋コンクリート造</v>
      </c>
      <c r="L699" s="7" t="str">
        <f>"S48.04.01"</f>
        <v>S48.04.01</v>
      </c>
      <c r="M699" s="7">
        <v>77</v>
      </c>
      <c r="N699" s="7">
        <v>1099000</v>
      </c>
      <c r="O699" s="7">
        <v>1097368</v>
      </c>
      <c r="P699" s="7">
        <v>0</v>
      </c>
      <c r="Q699" s="7" t="str">
        <f t="shared" si="254"/>
        <v>環境農林水産部</v>
      </c>
      <c r="R699" s="7" t="str">
        <f t="shared" si="256"/>
        <v>南河内農と緑の総合事務所</v>
      </c>
    </row>
    <row r="700" spans="1:18" s="1" customFormat="1" x14ac:dyDescent="0.45">
      <c r="A700" s="7" t="str">
        <f>"06178003003"</f>
        <v>06178003003</v>
      </c>
      <c r="B700" s="7" t="str">
        <f>"金剛登山道駐車場"</f>
        <v>金剛登山道駐車場</v>
      </c>
      <c r="C700" s="7" t="str">
        <f t="shared" si="257"/>
        <v>行政財産</v>
      </c>
      <c r="D700" s="7" t="str">
        <f t="shared" si="258"/>
        <v>その他（公共用）の施設</v>
      </c>
      <c r="E700" s="7" t="str">
        <f>"大阪府南河内郡　千早赤阪村大字千早"</f>
        <v>大阪府南河内郡　千早赤阪村大字千早</v>
      </c>
      <c r="F700" s="7"/>
      <c r="G700" s="7" t="str">
        <f t="shared" si="255"/>
        <v>事業用資産</v>
      </c>
      <c r="H700" s="7" t="str">
        <f t="shared" si="231"/>
        <v>棚卸以外</v>
      </c>
      <c r="I700" s="7">
        <v>1</v>
      </c>
      <c r="J700" s="7" t="str">
        <f>"金剛山駐車場管理棟"</f>
        <v>金剛山駐車場管理棟</v>
      </c>
      <c r="K700" s="7" t="str">
        <f>"軽量鉄骨造"</f>
        <v>軽量鉄骨造</v>
      </c>
      <c r="L700" s="7" t="str">
        <f>"S50.02.28"</f>
        <v>S50.02.28</v>
      </c>
      <c r="M700" s="7">
        <v>20.420000000000002</v>
      </c>
      <c r="N700" s="7">
        <v>1800000</v>
      </c>
      <c r="O700" s="7">
        <v>1799999</v>
      </c>
      <c r="P700" s="7">
        <v>0</v>
      </c>
      <c r="Q700" s="7" t="str">
        <f t="shared" si="254"/>
        <v>環境農林水産部</v>
      </c>
      <c r="R700" s="7" t="str">
        <f t="shared" si="256"/>
        <v>南河内農と緑の総合事務所</v>
      </c>
    </row>
    <row r="701" spans="1:18" s="1" customFormat="1" x14ac:dyDescent="0.45">
      <c r="A701" s="7" t="str">
        <f>"06178003003"</f>
        <v>06178003003</v>
      </c>
      <c r="B701" s="7" t="str">
        <f>"金剛登山道駐車場"</f>
        <v>金剛登山道駐車場</v>
      </c>
      <c r="C701" s="7" t="str">
        <f t="shared" si="257"/>
        <v>行政財産</v>
      </c>
      <c r="D701" s="7" t="str">
        <f t="shared" si="258"/>
        <v>その他（公共用）の施設</v>
      </c>
      <c r="E701" s="7" t="str">
        <f>"大阪府南河内郡　千早赤阪村大字千早"</f>
        <v>大阪府南河内郡　千早赤阪村大字千早</v>
      </c>
      <c r="F701" s="7"/>
      <c r="G701" s="7" t="str">
        <f t="shared" si="255"/>
        <v>事業用資産</v>
      </c>
      <c r="H701" s="7" t="str">
        <f t="shared" si="231"/>
        <v>棚卸以外</v>
      </c>
      <c r="I701" s="7">
        <v>4</v>
      </c>
      <c r="J701" s="7" t="str">
        <f>"料金徴収所"</f>
        <v>料金徴収所</v>
      </c>
      <c r="K701" s="7" t="str">
        <f>"軽量鉄骨造"</f>
        <v>軽量鉄骨造</v>
      </c>
      <c r="L701" s="7" t="str">
        <f>"S55.03.29"</f>
        <v>S55.03.29</v>
      </c>
      <c r="M701" s="7">
        <v>3.1</v>
      </c>
      <c r="N701" s="7">
        <v>974000</v>
      </c>
      <c r="O701" s="7">
        <v>973999</v>
      </c>
      <c r="P701" s="7">
        <v>0</v>
      </c>
      <c r="Q701" s="7" t="str">
        <f t="shared" si="254"/>
        <v>環境農林水産部</v>
      </c>
      <c r="R701" s="7" t="str">
        <f t="shared" si="256"/>
        <v>南河内農と緑の総合事務所</v>
      </c>
    </row>
    <row r="702" spans="1:18" s="1" customFormat="1" x14ac:dyDescent="0.45">
      <c r="A702" s="7" t="str">
        <f>"06178003003"</f>
        <v>06178003003</v>
      </c>
      <c r="B702" s="7" t="str">
        <f>"金剛登山道駐車場"</f>
        <v>金剛登山道駐車場</v>
      </c>
      <c r="C702" s="7" t="str">
        <f t="shared" si="257"/>
        <v>行政財産</v>
      </c>
      <c r="D702" s="7" t="str">
        <f t="shared" si="258"/>
        <v>その他（公共用）の施設</v>
      </c>
      <c r="E702" s="7" t="str">
        <f>"大阪府南河内郡　千早赤阪村大字千早"</f>
        <v>大阪府南河内郡　千早赤阪村大字千早</v>
      </c>
      <c r="F702" s="7"/>
      <c r="G702" s="7" t="str">
        <f t="shared" si="255"/>
        <v>事業用資産</v>
      </c>
      <c r="H702" s="7" t="str">
        <f t="shared" si="231"/>
        <v>棚卸以外</v>
      </c>
      <c r="I702" s="7">
        <v>6</v>
      </c>
      <c r="J702" s="7" t="str">
        <f>"金剛登山道第２駐車場便所"</f>
        <v>金剛登山道第２駐車場便所</v>
      </c>
      <c r="K702" s="7" t="str">
        <f t="shared" ref="K702:K707" si="259">"木造"</f>
        <v>木造</v>
      </c>
      <c r="L702" s="7" t="str">
        <f>"H23.03.30"</f>
        <v>H23.03.30</v>
      </c>
      <c r="M702" s="7">
        <v>64.400000000000006</v>
      </c>
      <c r="N702" s="7">
        <v>34023000</v>
      </c>
      <c r="O702" s="7">
        <v>27218448</v>
      </c>
      <c r="P702" s="7">
        <v>0</v>
      </c>
      <c r="Q702" s="7" t="str">
        <f t="shared" si="254"/>
        <v>環境農林水産部</v>
      </c>
      <c r="R702" s="7" t="str">
        <f t="shared" si="256"/>
        <v>南河内農と緑の総合事務所</v>
      </c>
    </row>
    <row r="703" spans="1:18" s="1" customFormat="1" x14ac:dyDescent="0.45">
      <c r="A703" s="7" t="str">
        <f>"06178003003"</f>
        <v>06178003003</v>
      </c>
      <c r="B703" s="7" t="str">
        <f>"金剛登山道駐車場"</f>
        <v>金剛登山道駐車場</v>
      </c>
      <c r="C703" s="7" t="str">
        <f t="shared" si="257"/>
        <v>行政財産</v>
      </c>
      <c r="D703" s="7" t="str">
        <f t="shared" si="258"/>
        <v>その他（公共用）の施設</v>
      </c>
      <c r="E703" s="7" t="str">
        <f>"大阪府南河内郡　千早赤阪村大字千早"</f>
        <v>大阪府南河内郡　千早赤阪村大字千早</v>
      </c>
      <c r="F703" s="7"/>
      <c r="G703" s="7" t="str">
        <f t="shared" si="255"/>
        <v>事業用資産</v>
      </c>
      <c r="H703" s="7" t="str">
        <f t="shared" si="231"/>
        <v>棚卸以外</v>
      </c>
      <c r="I703" s="7">
        <v>7</v>
      </c>
      <c r="J703" s="7" t="str">
        <f>"金剛登山道第１駐車場便所"</f>
        <v>金剛登山道第１駐車場便所</v>
      </c>
      <c r="K703" s="7" t="str">
        <f t="shared" si="259"/>
        <v>木造</v>
      </c>
      <c r="L703" s="7" t="str">
        <f>"H25.03.29"</f>
        <v>H25.03.29</v>
      </c>
      <c r="M703" s="7">
        <v>43.56</v>
      </c>
      <c r="N703" s="7">
        <v>37607850</v>
      </c>
      <c r="O703" s="7">
        <v>25071960</v>
      </c>
      <c r="P703" s="7">
        <v>0</v>
      </c>
      <c r="Q703" s="7" t="str">
        <f t="shared" si="254"/>
        <v>環境農林水産部</v>
      </c>
      <c r="R703" s="7" t="str">
        <f t="shared" si="256"/>
        <v>南河内農と緑の総合事務所</v>
      </c>
    </row>
    <row r="704" spans="1:18" s="1" customFormat="1" x14ac:dyDescent="0.45">
      <c r="A704" s="7" t="str">
        <f>"06178003004"</f>
        <v>06178003004</v>
      </c>
      <c r="B704" s="7" t="str">
        <f>"金剛表登山道便所"</f>
        <v>金剛表登山道便所</v>
      </c>
      <c r="C704" s="7" t="str">
        <f t="shared" si="257"/>
        <v>行政財産</v>
      </c>
      <c r="D704" s="7" t="str">
        <f t="shared" si="258"/>
        <v>その他（公共用）の施設</v>
      </c>
      <c r="E704" s="7" t="str">
        <f>"大阪府南河内郡　千早赤阪村大字千早"</f>
        <v>大阪府南河内郡　千早赤阪村大字千早</v>
      </c>
      <c r="F704" s="7"/>
      <c r="G704" s="7" t="str">
        <f t="shared" si="255"/>
        <v>事業用資産</v>
      </c>
      <c r="H704" s="7" t="str">
        <f t="shared" si="231"/>
        <v>棚卸以外</v>
      </c>
      <c r="I704" s="7">
        <v>1</v>
      </c>
      <c r="J704" s="7" t="str">
        <f>"金剛表登山道便所"</f>
        <v>金剛表登山道便所</v>
      </c>
      <c r="K704" s="7" t="str">
        <f t="shared" si="259"/>
        <v>木造</v>
      </c>
      <c r="L704" s="7" t="str">
        <f>"H05.03.31"</f>
        <v>H05.03.31</v>
      </c>
      <c r="M704" s="7">
        <v>44.77</v>
      </c>
      <c r="N704" s="7">
        <v>29252000</v>
      </c>
      <c r="O704" s="7">
        <v>29251999</v>
      </c>
      <c r="P704" s="7">
        <v>0</v>
      </c>
      <c r="Q704" s="7" t="str">
        <f t="shared" si="254"/>
        <v>環境農林水産部</v>
      </c>
      <c r="R704" s="7" t="str">
        <f t="shared" si="256"/>
        <v>南河内農と緑の総合事務所</v>
      </c>
    </row>
    <row r="705" spans="1:18" s="1" customFormat="1" x14ac:dyDescent="0.45">
      <c r="A705" s="7" t="str">
        <f>"06178003005"</f>
        <v>06178003005</v>
      </c>
      <c r="B705" s="7" t="str">
        <f>"岩湧山森林利用活動拠点（岩湧の森）"</f>
        <v>岩湧山森林利用活動拠点（岩湧の森）</v>
      </c>
      <c r="C705" s="7" t="str">
        <f t="shared" si="257"/>
        <v>行政財産</v>
      </c>
      <c r="D705" s="7" t="str">
        <f t="shared" si="258"/>
        <v>その他（公共用）の施設</v>
      </c>
      <c r="E705" s="7" t="str">
        <f>"大阪府河内長野市加賀田"</f>
        <v>大阪府河内長野市加賀田</v>
      </c>
      <c r="F705" s="7"/>
      <c r="G705" s="7" t="str">
        <f t="shared" si="255"/>
        <v>事業用資産</v>
      </c>
      <c r="H705" s="7" t="str">
        <f t="shared" si="231"/>
        <v>棚卸以外</v>
      </c>
      <c r="I705" s="7">
        <v>1</v>
      </c>
      <c r="J705" s="7" t="str">
        <f>"岩湧の森センターハウス"</f>
        <v>岩湧の森センターハウス</v>
      </c>
      <c r="K705" s="7" t="str">
        <f t="shared" si="259"/>
        <v>木造</v>
      </c>
      <c r="L705" s="7" t="str">
        <f>"H06.03.30"</f>
        <v>H06.03.30</v>
      </c>
      <c r="M705" s="7">
        <v>261.7</v>
      </c>
      <c r="N705" s="7">
        <v>67078000</v>
      </c>
      <c r="O705" s="7">
        <v>67077999</v>
      </c>
      <c r="P705" s="7">
        <v>0</v>
      </c>
      <c r="Q705" s="7" t="str">
        <f t="shared" si="254"/>
        <v>環境農林水産部</v>
      </c>
      <c r="R705" s="7" t="str">
        <f t="shared" si="256"/>
        <v>南河内農と緑の総合事務所</v>
      </c>
    </row>
    <row r="706" spans="1:18" s="1" customFormat="1" x14ac:dyDescent="0.45">
      <c r="A706" s="7" t="str">
        <f>"06178003005"</f>
        <v>06178003005</v>
      </c>
      <c r="B706" s="7" t="str">
        <f>"岩湧山森林利用活動拠点（岩湧の森）"</f>
        <v>岩湧山森林利用活動拠点（岩湧の森）</v>
      </c>
      <c r="C706" s="7" t="str">
        <f t="shared" si="257"/>
        <v>行政財産</v>
      </c>
      <c r="D706" s="7" t="str">
        <f t="shared" si="258"/>
        <v>その他（公共用）の施設</v>
      </c>
      <c r="E706" s="7" t="str">
        <f>"大阪府河内長野市加賀田"</f>
        <v>大阪府河内長野市加賀田</v>
      </c>
      <c r="F706" s="7"/>
      <c r="G706" s="7" t="str">
        <f t="shared" si="255"/>
        <v>事業用資産</v>
      </c>
      <c r="H706" s="7" t="str">
        <f t="shared" si="231"/>
        <v>棚卸以外</v>
      </c>
      <c r="I706" s="7">
        <v>2</v>
      </c>
      <c r="J706" s="7" t="str">
        <f>"岩湧の森便所"</f>
        <v>岩湧の森便所</v>
      </c>
      <c r="K706" s="7" t="str">
        <f t="shared" si="259"/>
        <v>木造</v>
      </c>
      <c r="L706" s="7" t="str">
        <f>"H06.03.30"</f>
        <v>H06.03.30</v>
      </c>
      <c r="M706" s="7">
        <v>54.4</v>
      </c>
      <c r="N706" s="7">
        <v>29280000</v>
      </c>
      <c r="O706" s="7">
        <v>29279999</v>
      </c>
      <c r="P706" s="7">
        <v>0</v>
      </c>
      <c r="Q706" s="7" t="str">
        <f t="shared" si="254"/>
        <v>環境農林水産部</v>
      </c>
      <c r="R706" s="7" t="str">
        <f t="shared" si="256"/>
        <v>南河内農と緑の総合事務所</v>
      </c>
    </row>
    <row r="707" spans="1:18" s="1" customFormat="1" x14ac:dyDescent="0.45">
      <c r="A707" s="7" t="str">
        <f>"06178003005"</f>
        <v>06178003005</v>
      </c>
      <c r="B707" s="7" t="str">
        <f>"岩湧山森林利用活動拠点（岩湧の森）"</f>
        <v>岩湧山森林利用活動拠点（岩湧の森）</v>
      </c>
      <c r="C707" s="7" t="str">
        <f t="shared" si="257"/>
        <v>行政財産</v>
      </c>
      <c r="D707" s="7" t="str">
        <f t="shared" si="258"/>
        <v>その他（公共用）の施設</v>
      </c>
      <c r="E707" s="7" t="str">
        <f>"大阪府河内長野市加賀田"</f>
        <v>大阪府河内長野市加賀田</v>
      </c>
      <c r="F707" s="7"/>
      <c r="G707" s="7" t="str">
        <f t="shared" si="255"/>
        <v>事業用資産</v>
      </c>
      <c r="H707" s="7" t="str">
        <f t="shared" si="231"/>
        <v>棚卸以外</v>
      </c>
      <c r="I707" s="7">
        <v>3</v>
      </c>
      <c r="J707" s="7" t="str">
        <f>"岩湧の森車庫"</f>
        <v>岩湧の森車庫</v>
      </c>
      <c r="K707" s="7" t="str">
        <f t="shared" si="259"/>
        <v>木造</v>
      </c>
      <c r="L707" s="7" t="str">
        <f>"H07.03.24"</f>
        <v>H07.03.24</v>
      </c>
      <c r="M707" s="7">
        <v>20</v>
      </c>
      <c r="N707" s="7">
        <v>4038000</v>
      </c>
      <c r="O707" s="7">
        <v>4037999</v>
      </c>
      <c r="P707" s="7">
        <v>0</v>
      </c>
      <c r="Q707" s="7" t="str">
        <f t="shared" si="254"/>
        <v>環境農林水産部</v>
      </c>
      <c r="R707" s="7" t="str">
        <f t="shared" si="256"/>
        <v>南河内農と緑の総合事務所</v>
      </c>
    </row>
    <row r="708" spans="1:18" s="1" customFormat="1" x14ac:dyDescent="0.45">
      <c r="A708" s="7" t="str">
        <f>"06178003006"</f>
        <v>06178003006</v>
      </c>
      <c r="B708" s="7" t="str">
        <f>"青崩便所"</f>
        <v>青崩便所</v>
      </c>
      <c r="C708" s="7" t="str">
        <f t="shared" si="257"/>
        <v>行政財産</v>
      </c>
      <c r="D708" s="7" t="str">
        <f t="shared" si="258"/>
        <v>その他（公共用）の施設</v>
      </c>
      <c r="E708" s="7" t="str">
        <f>"大阪府南河内郡　河南町"</f>
        <v>大阪府南河内郡　河南町</v>
      </c>
      <c r="F708" s="7"/>
      <c r="G708" s="7" t="str">
        <f t="shared" si="255"/>
        <v>事業用資産</v>
      </c>
      <c r="H708" s="7" t="str">
        <f t="shared" ref="H708:H771" si="260">"棚卸以外"</f>
        <v>棚卸以外</v>
      </c>
      <c r="I708" s="7">
        <v>1</v>
      </c>
      <c r="J708" s="7" t="str">
        <f>"青崩便所"</f>
        <v>青崩便所</v>
      </c>
      <c r="K708" s="7" t="str">
        <f>"鉄筋コンクリート造"</f>
        <v>鉄筋コンクリート造</v>
      </c>
      <c r="L708" s="7" t="str">
        <f>"H09.06.02"</f>
        <v>H09.06.02</v>
      </c>
      <c r="M708" s="7">
        <v>22.23</v>
      </c>
      <c r="N708" s="7">
        <v>18952000</v>
      </c>
      <c r="O708" s="7">
        <v>12842658</v>
      </c>
      <c r="P708" s="7">
        <v>0</v>
      </c>
      <c r="Q708" s="7" t="str">
        <f t="shared" si="254"/>
        <v>環境農林水産部</v>
      </c>
      <c r="R708" s="7" t="str">
        <f t="shared" si="256"/>
        <v>南河内農と緑の総合事務所</v>
      </c>
    </row>
    <row r="709" spans="1:18" s="1" customFormat="1" x14ac:dyDescent="0.45">
      <c r="A709" s="7" t="str">
        <f>"06178003007"</f>
        <v>06178003007</v>
      </c>
      <c r="B709" s="7" t="str">
        <f>"岩湧山園地"</f>
        <v>岩湧山園地</v>
      </c>
      <c r="C709" s="7" t="str">
        <f t="shared" si="257"/>
        <v>行政財産</v>
      </c>
      <c r="D709" s="7" t="str">
        <f t="shared" si="258"/>
        <v>その他（公共用）の施設</v>
      </c>
      <c r="E709" s="7" t="str">
        <f>"大阪府河内長野市加賀田"</f>
        <v>大阪府河内長野市加賀田</v>
      </c>
      <c r="F709" s="7"/>
      <c r="G709" s="7" t="str">
        <f t="shared" si="255"/>
        <v>事業用資産</v>
      </c>
      <c r="H709" s="7" t="str">
        <f t="shared" si="260"/>
        <v>棚卸以外</v>
      </c>
      <c r="I709" s="7">
        <v>1</v>
      </c>
      <c r="J709" s="7" t="str">
        <f>"岩湧山園地公衆便所"</f>
        <v>岩湧山園地公衆便所</v>
      </c>
      <c r="K709" s="7" t="str">
        <f>"木造"</f>
        <v>木造</v>
      </c>
      <c r="L709" s="7" t="str">
        <f>"H19.03.22"</f>
        <v>H19.03.22</v>
      </c>
      <c r="M709" s="7">
        <v>21.6</v>
      </c>
      <c r="N709" s="7">
        <v>35559300</v>
      </c>
      <c r="O709" s="7">
        <v>35559299</v>
      </c>
      <c r="P709" s="7">
        <v>0</v>
      </c>
      <c r="Q709" s="7" t="str">
        <f t="shared" si="254"/>
        <v>環境農林水産部</v>
      </c>
      <c r="R709" s="7" t="str">
        <f t="shared" si="256"/>
        <v>南河内農と緑の総合事務所</v>
      </c>
    </row>
    <row r="710" spans="1:18" s="1" customFormat="1" x14ac:dyDescent="0.45">
      <c r="A710" s="7" t="str">
        <f>"06178003008"</f>
        <v>06178003008</v>
      </c>
      <c r="B710" s="7" t="str">
        <f>"紀見峠公衆トイレ"</f>
        <v>紀見峠公衆トイレ</v>
      </c>
      <c r="C710" s="7" t="str">
        <f t="shared" si="257"/>
        <v>行政財産</v>
      </c>
      <c r="D710" s="7" t="str">
        <f t="shared" si="258"/>
        <v>その他（公共用）の施設</v>
      </c>
      <c r="E710" s="7" t="str">
        <f>"大阪府河内長野市天見"</f>
        <v>大阪府河内長野市天見</v>
      </c>
      <c r="F710" s="7"/>
      <c r="G710" s="7" t="str">
        <f t="shared" si="255"/>
        <v>事業用資産</v>
      </c>
      <c r="H710" s="7" t="str">
        <f t="shared" si="260"/>
        <v>棚卸以外</v>
      </c>
      <c r="I710" s="7">
        <v>1</v>
      </c>
      <c r="J710" s="7" t="str">
        <f>"紀見峠公衆トイレ"</f>
        <v>紀見峠公衆トイレ</v>
      </c>
      <c r="K710" s="7" t="str">
        <f>"木造"</f>
        <v>木造</v>
      </c>
      <c r="L710" s="7" t="str">
        <f>"H24.03.30"</f>
        <v>H24.03.30</v>
      </c>
      <c r="M710" s="7">
        <v>12.74</v>
      </c>
      <c r="N710" s="7">
        <v>14493415</v>
      </c>
      <c r="O710" s="7">
        <v>10623740</v>
      </c>
      <c r="P710" s="7">
        <v>0</v>
      </c>
      <c r="Q710" s="7" t="str">
        <f t="shared" si="254"/>
        <v>環境農林水産部</v>
      </c>
      <c r="R710" s="7" t="str">
        <f t="shared" si="256"/>
        <v>南河内農と緑の総合事務所</v>
      </c>
    </row>
    <row r="711" spans="1:18" s="1" customFormat="1" x14ac:dyDescent="0.45">
      <c r="A711" s="7" t="str">
        <f>"06178003009"</f>
        <v>06178003009</v>
      </c>
      <c r="B711" s="7" t="str">
        <f>"千早本道公衆トイレ"</f>
        <v>千早本道公衆トイレ</v>
      </c>
      <c r="C711" s="7" t="str">
        <f t="shared" si="257"/>
        <v>行政財産</v>
      </c>
      <c r="D711" s="7" t="str">
        <f t="shared" si="258"/>
        <v>その他（公共用）の施設</v>
      </c>
      <c r="E711" s="7" t="str">
        <f>"大阪府南河内郡　千早赤阪村大字千早"</f>
        <v>大阪府南河内郡　千早赤阪村大字千早</v>
      </c>
      <c r="F711" s="7"/>
      <c r="G711" s="7" t="str">
        <f t="shared" si="255"/>
        <v>事業用資産</v>
      </c>
      <c r="H711" s="7" t="str">
        <f t="shared" si="260"/>
        <v>棚卸以外</v>
      </c>
      <c r="I711" s="7">
        <v>1</v>
      </c>
      <c r="J711" s="7" t="str">
        <f>"千早本道公衆トイレ"</f>
        <v>千早本道公衆トイレ</v>
      </c>
      <c r="K711" s="7" t="str">
        <f>"軽量鉄骨造"</f>
        <v>軽量鉄骨造</v>
      </c>
      <c r="L711" s="7" t="str">
        <f>"H24.03.30"</f>
        <v>H24.03.30</v>
      </c>
      <c r="M711" s="7">
        <v>2.38</v>
      </c>
      <c r="N711" s="7">
        <v>8993388</v>
      </c>
      <c r="O711" s="7">
        <v>4122228</v>
      </c>
      <c r="P711" s="7">
        <v>0</v>
      </c>
      <c r="Q711" s="7" t="str">
        <f t="shared" si="254"/>
        <v>環境農林水産部</v>
      </c>
      <c r="R711" s="7" t="str">
        <f t="shared" si="256"/>
        <v>南河内農と緑の総合事務所</v>
      </c>
    </row>
    <row r="712" spans="1:18" s="1" customFormat="1" x14ac:dyDescent="0.45">
      <c r="A712" s="7" t="str">
        <f>"06178003010"</f>
        <v>06178003010</v>
      </c>
      <c r="B712" s="7" t="str">
        <f>"平石（富高山）公衆トイレ"</f>
        <v>平石（富高山）公衆トイレ</v>
      </c>
      <c r="C712" s="7" t="str">
        <f t="shared" si="257"/>
        <v>行政財産</v>
      </c>
      <c r="D712" s="7" t="str">
        <f t="shared" si="258"/>
        <v>その他（公共用）の施設</v>
      </c>
      <c r="E712" s="7" t="str">
        <f>"大阪府南河内郡　河南町大字平石"</f>
        <v>大阪府南河内郡　河南町大字平石</v>
      </c>
      <c r="F712" s="7" t="str">
        <f>"928番14"</f>
        <v>928番14</v>
      </c>
      <c r="G712" s="7" t="str">
        <f t="shared" si="255"/>
        <v>事業用資産</v>
      </c>
      <c r="H712" s="7" t="str">
        <f t="shared" si="260"/>
        <v>棚卸以外</v>
      </c>
      <c r="I712" s="7">
        <v>1</v>
      </c>
      <c r="J712" s="7" t="str">
        <f>"平石（富高山）公衆トイレ"</f>
        <v>平石（富高山）公衆トイレ</v>
      </c>
      <c r="K712" s="7" t="str">
        <f>"木造"</f>
        <v>木造</v>
      </c>
      <c r="L712" s="7" t="str">
        <f>"H24.04.25"</f>
        <v>H24.04.25</v>
      </c>
      <c r="M712" s="7">
        <v>12.74</v>
      </c>
      <c r="N712" s="7">
        <v>14788847</v>
      </c>
      <c r="O712" s="7">
        <v>10763091</v>
      </c>
      <c r="P712" s="7">
        <v>0</v>
      </c>
      <c r="Q712" s="7" t="str">
        <f t="shared" si="254"/>
        <v>環境農林水産部</v>
      </c>
      <c r="R712" s="7" t="str">
        <f t="shared" si="256"/>
        <v>南河内農と緑の総合事務所</v>
      </c>
    </row>
    <row r="713" spans="1:18" s="1" customFormat="1" x14ac:dyDescent="0.45">
      <c r="A713" s="7" t="str">
        <f>"06179000000"</f>
        <v>06179000000</v>
      </c>
      <c r="B713" s="7" t="str">
        <f>"堀河池管理事務所"</f>
        <v>堀河池管理事務所</v>
      </c>
      <c r="C713" s="7" t="str">
        <f t="shared" si="257"/>
        <v>行政財産</v>
      </c>
      <c r="D713" s="7" t="str">
        <f t="shared" ref="D713:D742" si="261">"その他（行政機関）の施設"</f>
        <v>その他（行政機関）の施設</v>
      </c>
      <c r="E713" s="7" t="str">
        <f>"大阪府泉南市北野"</f>
        <v>大阪府泉南市北野</v>
      </c>
      <c r="F713" s="7"/>
      <c r="G713" s="7" t="str">
        <f t="shared" ref="G713:G746" si="262">"インフラ資産"</f>
        <v>インフラ資産</v>
      </c>
      <c r="H713" s="7" t="str">
        <f t="shared" si="260"/>
        <v>棚卸以外</v>
      </c>
      <c r="I713" s="7">
        <v>1</v>
      </c>
      <c r="J713" s="7" t="str">
        <f>"堀河池管理事務所"</f>
        <v>堀河池管理事務所</v>
      </c>
      <c r="K713" s="7" t="str">
        <f t="shared" ref="K713:K745" si="263">"鉄筋コンクリート造"</f>
        <v>鉄筋コンクリート造</v>
      </c>
      <c r="L713" s="7" t="str">
        <f>"S46.03.28"</f>
        <v>S46.03.28</v>
      </c>
      <c r="M713" s="7">
        <v>64.12</v>
      </c>
      <c r="N713" s="7">
        <v>3800000</v>
      </c>
      <c r="O713" s="7">
        <v>3799999</v>
      </c>
      <c r="P713" s="7">
        <v>0</v>
      </c>
      <c r="Q713" s="7" t="str">
        <f t="shared" si="254"/>
        <v>環境農林水産部</v>
      </c>
      <c r="R713" s="7" t="str">
        <f t="shared" ref="R713:R744" si="264">"泉州農と緑の総合事務所"</f>
        <v>泉州農と緑の総合事務所</v>
      </c>
    </row>
    <row r="714" spans="1:18" s="1" customFormat="1" x14ac:dyDescent="0.45">
      <c r="A714" s="7" t="str">
        <f>"06179000001"</f>
        <v>06179000001</v>
      </c>
      <c r="B714" s="7" t="str">
        <f>"ため池防災テレメータ観測局（久米田池）"</f>
        <v>ため池防災テレメータ観測局（久米田池）</v>
      </c>
      <c r="C714" s="7" t="str">
        <f t="shared" si="257"/>
        <v>行政財産</v>
      </c>
      <c r="D714" s="7" t="str">
        <f t="shared" si="261"/>
        <v>その他（行政機関）の施設</v>
      </c>
      <c r="E714" s="7" t="str">
        <f>"大阪府岸和田市池尻町"</f>
        <v>大阪府岸和田市池尻町</v>
      </c>
      <c r="F714" s="7"/>
      <c r="G714" s="7" t="str">
        <f t="shared" si="262"/>
        <v>インフラ資産</v>
      </c>
      <c r="H714" s="7" t="str">
        <f t="shared" si="260"/>
        <v>棚卸以外</v>
      </c>
      <c r="I714" s="7">
        <v>1</v>
      </c>
      <c r="J714" s="7" t="str">
        <f>"久米田池観測局舎"</f>
        <v>久米田池観測局舎</v>
      </c>
      <c r="K714" s="7" t="str">
        <f t="shared" si="263"/>
        <v>鉄筋コンクリート造</v>
      </c>
      <c r="L714" s="7" t="str">
        <f>"H01.03.29"</f>
        <v>H01.03.29</v>
      </c>
      <c r="M714" s="7">
        <v>3.6</v>
      </c>
      <c r="N714" s="7">
        <v>1067000</v>
      </c>
      <c r="O714" s="7">
        <v>725832</v>
      </c>
      <c r="P714" s="7">
        <v>0</v>
      </c>
      <c r="Q714" s="7" t="str">
        <f t="shared" si="254"/>
        <v>環境農林水産部</v>
      </c>
      <c r="R714" s="7" t="str">
        <f t="shared" si="264"/>
        <v>泉州農と緑の総合事務所</v>
      </c>
    </row>
    <row r="715" spans="1:18" s="1" customFormat="1" x14ac:dyDescent="0.45">
      <c r="A715" s="7" t="str">
        <f>"06179000002"</f>
        <v>06179000002</v>
      </c>
      <c r="B715" s="7" t="str">
        <f>"ため池防災テレメータ観測局（入野池）"</f>
        <v>ため池防災テレメータ観測局（入野池）</v>
      </c>
      <c r="C715" s="7" t="str">
        <f t="shared" si="257"/>
        <v>行政財産</v>
      </c>
      <c r="D715" s="7" t="str">
        <f t="shared" si="261"/>
        <v>その他（行政機関）の施設</v>
      </c>
      <c r="E715" s="7" t="str">
        <f>"大阪府泉南市信達牧野"</f>
        <v>大阪府泉南市信達牧野</v>
      </c>
      <c r="F715" s="7"/>
      <c r="G715" s="7" t="str">
        <f t="shared" si="262"/>
        <v>インフラ資産</v>
      </c>
      <c r="H715" s="7" t="str">
        <f t="shared" si="260"/>
        <v>棚卸以外</v>
      </c>
      <c r="I715" s="7">
        <v>1</v>
      </c>
      <c r="J715" s="7" t="str">
        <f>"入野池観測局舎"</f>
        <v>入野池観測局舎</v>
      </c>
      <c r="K715" s="7" t="str">
        <f t="shared" si="263"/>
        <v>鉄筋コンクリート造</v>
      </c>
      <c r="L715" s="7" t="str">
        <f>"H02.03.29"</f>
        <v>H02.03.29</v>
      </c>
      <c r="M715" s="7">
        <v>3.6</v>
      </c>
      <c r="N715" s="7">
        <v>1165000</v>
      </c>
      <c r="O715" s="7">
        <v>769032</v>
      </c>
      <c r="P715" s="7">
        <v>0</v>
      </c>
      <c r="Q715" s="7" t="str">
        <f t="shared" si="254"/>
        <v>環境農林水産部</v>
      </c>
      <c r="R715" s="7" t="str">
        <f t="shared" si="264"/>
        <v>泉州農と緑の総合事務所</v>
      </c>
    </row>
    <row r="716" spans="1:18" s="1" customFormat="1" x14ac:dyDescent="0.45">
      <c r="A716" s="7" t="str">
        <f>"06179000003"</f>
        <v>06179000003</v>
      </c>
      <c r="B716" s="7" t="str">
        <f>"ため池防災テレメータ観測局（光明池）"</f>
        <v>ため池防災テレメータ観測局（光明池）</v>
      </c>
      <c r="C716" s="7" t="str">
        <f t="shared" si="257"/>
        <v>行政財産</v>
      </c>
      <c r="D716" s="7" t="str">
        <f t="shared" si="261"/>
        <v>その他（行政機関）の施設</v>
      </c>
      <c r="E716" s="7" t="str">
        <f>"大阪府和泉市和田町"</f>
        <v>大阪府和泉市和田町</v>
      </c>
      <c r="F716" s="7"/>
      <c r="G716" s="7" t="str">
        <f t="shared" si="262"/>
        <v>インフラ資産</v>
      </c>
      <c r="H716" s="7" t="str">
        <f t="shared" si="260"/>
        <v>棚卸以外</v>
      </c>
      <c r="I716" s="7">
        <v>1</v>
      </c>
      <c r="J716" s="7" t="str">
        <f>"光明池観測局舎"</f>
        <v>光明池観測局舎</v>
      </c>
      <c r="K716" s="7" t="str">
        <f t="shared" si="263"/>
        <v>鉄筋コンクリート造</v>
      </c>
      <c r="L716" s="7" t="str">
        <f>"H03.03.20"</f>
        <v>H03.03.20</v>
      </c>
      <c r="M716" s="7">
        <v>3.6</v>
      </c>
      <c r="N716" s="7">
        <v>1171000</v>
      </c>
      <c r="O716" s="7">
        <v>749568</v>
      </c>
      <c r="P716" s="7">
        <v>0</v>
      </c>
      <c r="Q716" s="7" t="str">
        <f t="shared" si="254"/>
        <v>環境農林水産部</v>
      </c>
      <c r="R716" s="7" t="str">
        <f t="shared" si="264"/>
        <v>泉州農と緑の総合事務所</v>
      </c>
    </row>
    <row r="717" spans="1:18" s="1" customFormat="1" x14ac:dyDescent="0.45">
      <c r="A717" s="7" t="str">
        <f>"06179000004"</f>
        <v>06179000004</v>
      </c>
      <c r="B717" s="7" t="str">
        <f>"ため池防災テレメータ観測局（大野池）"</f>
        <v>ため池防災テレメータ観測局（大野池）</v>
      </c>
      <c r="C717" s="7" t="str">
        <f t="shared" si="257"/>
        <v>行政財産</v>
      </c>
      <c r="D717" s="7" t="str">
        <f t="shared" si="261"/>
        <v>その他（行政機関）の施設</v>
      </c>
      <c r="E717" s="7" t="str">
        <f>"大阪府和泉市尾井町"</f>
        <v>大阪府和泉市尾井町</v>
      </c>
      <c r="F717" s="7"/>
      <c r="G717" s="7" t="str">
        <f t="shared" si="262"/>
        <v>インフラ資産</v>
      </c>
      <c r="H717" s="7" t="str">
        <f t="shared" si="260"/>
        <v>棚卸以外</v>
      </c>
      <c r="I717" s="7">
        <v>1</v>
      </c>
      <c r="J717" s="7" t="str">
        <f>"大野池観測局舎"</f>
        <v>大野池観測局舎</v>
      </c>
      <c r="K717" s="7" t="str">
        <f t="shared" si="263"/>
        <v>鉄筋コンクリート造</v>
      </c>
      <c r="L717" s="7" t="str">
        <f>"H03.03.20"</f>
        <v>H03.03.20</v>
      </c>
      <c r="M717" s="7">
        <v>3.6</v>
      </c>
      <c r="N717" s="7">
        <v>1171000</v>
      </c>
      <c r="O717" s="7">
        <v>749568</v>
      </c>
      <c r="P717" s="7">
        <v>0</v>
      </c>
      <c r="Q717" s="7" t="str">
        <f t="shared" si="254"/>
        <v>環境農林水産部</v>
      </c>
      <c r="R717" s="7" t="str">
        <f t="shared" si="264"/>
        <v>泉州農と緑の総合事務所</v>
      </c>
    </row>
    <row r="718" spans="1:18" s="1" customFormat="1" x14ac:dyDescent="0.45">
      <c r="A718" s="7" t="str">
        <f>"06179000005"</f>
        <v>06179000005</v>
      </c>
      <c r="B718" s="7" t="str">
        <f>"ため池防災テレメータ観測局（蓮池）"</f>
        <v>ため池防災テレメータ観測局（蓮池）</v>
      </c>
      <c r="C718" s="7" t="str">
        <f t="shared" si="257"/>
        <v>行政財産</v>
      </c>
      <c r="D718" s="7" t="str">
        <f t="shared" si="261"/>
        <v>その他（行政機関）の施設</v>
      </c>
      <c r="E718" s="7" t="str">
        <f>"大阪府阪南市石田"</f>
        <v>大阪府阪南市石田</v>
      </c>
      <c r="F718" s="7"/>
      <c r="G718" s="7" t="str">
        <f t="shared" si="262"/>
        <v>インフラ資産</v>
      </c>
      <c r="H718" s="7" t="str">
        <f t="shared" si="260"/>
        <v>棚卸以外</v>
      </c>
      <c r="I718" s="7">
        <v>1</v>
      </c>
      <c r="J718" s="7" t="str">
        <f>"蓮池観測局舎"</f>
        <v>蓮池観測局舎</v>
      </c>
      <c r="K718" s="7" t="str">
        <f t="shared" si="263"/>
        <v>鉄筋コンクリート造</v>
      </c>
      <c r="L718" s="7" t="str">
        <f>"H03.03.29"</f>
        <v>H03.03.29</v>
      </c>
      <c r="M718" s="7">
        <v>3.6</v>
      </c>
      <c r="N718" s="7">
        <v>1200000</v>
      </c>
      <c r="O718" s="7">
        <v>768000</v>
      </c>
      <c r="P718" s="7">
        <v>0</v>
      </c>
      <c r="Q718" s="7" t="str">
        <f t="shared" si="254"/>
        <v>環境農林水産部</v>
      </c>
      <c r="R718" s="7" t="str">
        <f t="shared" si="264"/>
        <v>泉州農と緑の総合事務所</v>
      </c>
    </row>
    <row r="719" spans="1:18" s="1" customFormat="1" x14ac:dyDescent="0.45">
      <c r="A719" s="7" t="str">
        <f>"06179000006"</f>
        <v>06179000006</v>
      </c>
      <c r="B719" s="7" t="str">
        <f>"ため池防災テレメータ観測局（傍示池）"</f>
        <v>ため池防災テレメータ観測局（傍示池）</v>
      </c>
      <c r="C719" s="7" t="str">
        <f t="shared" si="257"/>
        <v>行政財産</v>
      </c>
      <c r="D719" s="7" t="str">
        <f t="shared" si="261"/>
        <v>その他（行政機関）の施設</v>
      </c>
      <c r="E719" s="7" t="str">
        <f>"大阪府岸和田市尾生町"</f>
        <v>大阪府岸和田市尾生町</v>
      </c>
      <c r="F719" s="7"/>
      <c r="G719" s="7" t="str">
        <f t="shared" si="262"/>
        <v>インフラ資産</v>
      </c>
      <c r="H719" s="7" t="str">
        <f t="shared" si="260"/>
        <v>棚卸以外</v>
      </c>
      <c r="I719" s="7">
        <v>1</v>
      </c>
      <c r="J719" s="7" t="str">
        <f>"傍示池観測局舎"</f>
        <v>傍示池観測局舎</v>
      </c>
      <c r="K719" s="7" t="str">
        <f t="shared" si="263"/>
        <v>鉄筋コンクリート造</v>
      </c>
      <c r="L719" s="7" t="str">
        <f>"H03.03.29"</f>
        <v>H03.03.29</v>
      </c>
      <c r="M719" s="7">
        <v>3.6</v>
      </c>
      <c r="N719" s="7">
        <v>1200000</v>
      </c>
      <c r="O719" s="7">
        <v>768000</v>
      </c>
      <c r="P719" s="7">
        <v>0</v>
      </c>
      <c r="Q719" s="7" t="str">
        <f t="shared" si="254"/>
        <v>環境農林水産部</v>
      </c>
      <c r="R719" s="7" t="str">
        <f t="shared" si="264"/>
        <v>泉州農と緑の総合事務所</v>
      </c>
    </row>
    <row r="720" spans="1:18" s="1" customFormat="1" x14ac:dyDescent="0.45">
      <c r="A720" s="7" t="str">
        <f>"06179000007"</f>
        <v>06179000007</v>
      </c>
      <c r="B720" s="7" t="str">
        <f>"ため池防災テレメータ観測局（郷之池）"</f>
        <v>ため池防災テレメータ観測局（郷之池）</v>
      </c>
      <c r="C720" s="7" t="str">
        <f t="shared" si="257"/>
        <v>行政財産</v>
      </c>
      <c r="D720" s="7" t="str">
        <f t="shared" si="261"/>
        <v>その他（行政機関）の施設</v>
      </c>
      <c r="E720" s="7" t="str">
        <f>"大阪府泉佐野市日根野"</f>
        <v>大阪府泉佐野市日根野</v>
      </c>
      <c r="F720" s="7"/>
      <c r="G720" s="7" t="str">
        <f t="shared" si="262"/>
        <v>インフラ資産</v>
      </c>
      <c r="H720" s="7" t="str">
        <f t="shared" si="260"/>
        <v>棚卸以外</v>
      </c>
      <c r="I720" s="7">
        <v>1</v>
      </c>
      <c r="J720" s="7" t="str">
        <f>"郷之池観測局舎"</f>
        <v>郷之池観測局舎</v>
      </c>
      <c r="K720" s="7" t="str">
        <f t="shared" si="263"/>
        <v>鉄筋コンクリート造</v>
      </c>
      <c r="L720" s="7" t="str">
        <f>"H03.03.29"</f>
        <v>H03.03.29</v>
      </c>
      <c r="M720" s="7">
        <v>3.6</v>
      </c>
      <c r="N720" s="7">
        <v>1200000</v>
      </c>
      <c r="O720" s="7">
        <v>768000</v>
      </c>
      <c r="P720" s="7">
        <v>0</v>
      </c>
      <c r="Q720" s="7" t="str">
        <f t="shared" si="254"/>
        <v>環境農林水産部</v>
      </c>
      <c r="R720" s="7" t="str">
        <f t="shared" si="264"/>
        <v>泉州農と緑の総合事務所</v>
      </c>
    </row>
    <row r="721" spans="1:18" s="1" customFormat="1" x14ac:dyDescent="0.45">
      <c r="A721" s="7" t="str">
        <f>"06179000008"</f>
        <v>06179000008</v>
      </c>
      <c r="B721" s="7" t="str">
        <f>"ため池防災テレメータ観測局（永楽池）"</f>
        <v>ため池防災テレメータ観測局（永楽池）</v>
      </c>
      <c r="C721" s="7" t="str">
        <f t="shared" si="257"/>
        <v>行政財産</v>
      </c>
      <c r="D721" s="7" t="str">
        <f t="shared" si="261"/>
        <v>その他（行政機関）の施設</v>
      </c>
      <c r="E721" s="7" t="str">
        <f>"大阪府泉南郡　熊取町大字久保"</f>
        <v>大阪府泉南郡　熊取町大字久保</v>
      </c>
      <c r="F721" s="7"/>
      <c r="G721" s="7" t="str">
        <f t="shared" si="262"/>
        <v>インフラ資産</v>
      </c>
      <c r="H721" s="7" t="str">
        <f t="shared" si="260"/>
        <v>棚卸以外</v>
      </c>
      <c r="I721" s="7">
        <v>1</v>
      </c>
      <c r="J721" s="7" t="str">
        <f>"永楽池観測局舎"</f>
        <v>永楽池観測局舎</v>
      </c>
      <c r="K721" s="7" t="str">
        <f t="shared" si="263"/>
        <v>鉄筋コンクリート造</v>
      </c>
      <c r="L721" s="7" t="str">
        <f>"H03.03.29"</f>
        <v>H03.03.29</v>
      </c>
      <c r="M721" s="7">
        <v>3.6</v>
      </c>
      <c r="N721" s="7">
        <v>1200000</v>
      </c>
      <c r="O721" s="7">
        <v>768000</v>
      </c>
      <c r="P721" s="7">
        <v>0</v>
      </c>
      <c r="Q721" s="7" t="str">
        <f t="shared" si="254"/>
        <v>環境農林水産部</v>
      </c>
      <c r="R721" s="7" t="str">
        <f t="shared" si="264"/>
        <v>泉州農と緑の総合事務所</v>
      </c>
    </row>
    <row r="722" spans="1:18" s="1" customFormat="1" x14ac:dyDescent="0.45">
      <c r="A722" s="7" t="str">
        <f>"06179000009"</f>
        <v>06179000009</v>
      </c>
      <c r="B722" s="7" t="str">
        <f>"ため池防災テレメータ観測局（黒石大池）"</f>
        <v>ため池防災テレメータ観測局（黒石大池）</v>
      </c>
      <c r="C722" s="7" t="str">
        <f t="shared" si="257"/>
        <v>行政財産</v>
      </c>
      <c r="D722" s="7" t="str">
        <f t="shared" si="261"/>
        <v>その他（行政機関）の施設</v>
      </c>
      <c r="E722" s="7" t="str">
        <f>"大阪府和泉市黒石町"</f>
        <v>大阪府和泉市黒石町</v>
      </c>
      <c r="F722" s="7"/>
      <c r="G722" s="7" t="str">
        <f t="shared" si="262"/>
        <v>インフラ資産</v>
      </c>
      <c r="H722" s="7" t="str">
        <f t="shared" si="260"/>
        <v>棚卸以外</v>
      </c>
      <c r="I722" s="7">
        <v>1</v>
      </c>
      <c r="J722" s="7" t="str">
        <f>"黒石大池観測局舎"</f>
        <v>黒石大池観測局舎</v>
      </c>
      <c r="K722" s="7" t="str">
        <f t="shared" si="263"/>
        <v>鉄筋コンクリート造</v>
      </c>
      <c r="L722" s="7" t="str">
        <f>"H04.03.19"</f>
        <v>H04.03.19</v>
      </c>
      <c r="M722" s="7">
        <v>3.6</v>
      </c>
      <c r="N722" s="7">
        <v>2029000</v>
      </c>
      <c r="O722" s="7">
        <v>1258104</v>
      </c>
      <c r="P722" s="7">
        <v>0</v>
      </c>
      <c r="Q722" s="7" t="str">
        <f t="shared" si="254"/>
        <v>環境農林水産部</v>
      </c>
      <c r="R722" s="7" t="str">
        <f t="shared" si="264"/>
        <v>泉州農と緑の総合事務所</v>
      </c>
    </row>
    <row r="723" spans="1:18" s="1" customFormat="1" x14ac:dyDescent="0.45">
      <c r="A723" s="7" t="str">
        <f>"06179000010"</f>
        <v>06179000010</v>
      </c>
      <c r="B723" s="7" t="str">
        <f>"ため池防災テレメータ観測局（熊取大池）"</f>
        <v>ため池防災テレメータ観測局（熊取大池）</v>
      </c>
      <c r="C723" s="7" t="str">
        <f t="shared" si="257"/>
        <v>行政財産</v>
      </c>
      <c r="D723" s="7" t="str">
        <f t="shared" si="261"/>
        <v>その他（行政機関）の施設</v>
      </c>
      <c r="E723" s="7" t="str">
        <f>"大阪府泉南郡　熊取町大字久保"</f>
        <v>大阪府泉南郡　熊取町大字久保</v>
      </c>
      <c r="F723" s="7"/>
      <c r="G723" s="7" t="str">
        <f t="shared" si="262"/>
        <v>インフラ資産</v>
      </c>
      <c r="H723" s="7" t="str">
        <f t="shared" si="260"/>
        <v>棚卸以外</v>
      </c>
      <c r="I723" s="7">
        <v>1</v>
      </c>
      <c r="J723" s="7" t="str">
        <f>"熊取大池観測局舎"</f>
        <v>熊取大池観測局舎</v>
      </c>
      <c r="K723" s="7" t="str">
        <f t="shared" si="263"/>
        <v>鉄筋コンクリート造</v>
      </c>
      <c r="L723" s="7" t="str">
        <f>"H04.03.26"</f>
        <v>H04.03.26</v>
      </c>
      <c r="M723" s="7">
        <v>3.6</v>
      </c>
      <c r="N723" s="7">
        <v>2037000</v>
      </c>
      <c r="O723" s="7">
        <v>1262940</v>
      </c>
      <c r="P723" s="7">
        <v>0</v>
      </c>
      <c r="Q723" s="7" t="str">
        <f t="shared" si="254"/>
        <v>環境農林水産部</v>
      </c>
      <c r="R723" s="7" t="str">
        <f t="shared" si="264"/>
        <v>泉州農と緑の総合事務所</v>
      </c>
    </row>
    <row r="724" spans="1:18" s="1" customFormat="1" x14ac:dyDescent="0.45">
      <c r="A724" s="7" t="str">
        <f>"06179000011"</f>
        <v>06179000011</v>
      </c>
      <c r="B724" s="7" t="str">
        <f>"ため池防災テレメータ観測局（妙ノ池）"</f>
        <v>ため池防災テレメータ観測局（妙ノ池）</v>
      </c>
      <c r="C724" s="7" t="str">
        <f t="shared" si="257"/>
        <v>行政財産</v>
      </c>
      <c r="D724" s="7" t="str">
        <f t="shared" si="261"/>
        <v>その他（行政機関）の施設</v>
      </c>
      <c r="E724" s="7" t="str">
        <f>"大阪府岸和田市阿間河滝町"</f>
        <v>大阪府岸和田市阿間河滝町</v>
      </c>
      <c r="F724" s="7"/>
      <c r="G724" s="7" t="str">
        <f t="shared" si="262"/>
        <v>インフラ資産</v>
      </c>
      <c r="H724" s="7" t="str">
        <f t="shared" si="260"/>
        <v>棚卸以外</v>
      </c>
      <c r="I724" s="7">
        <v>1</v>
      </c>
      <c r="J724" s="7" t="str">
        <f>"妙ノ池観測局舎"</f>
        <v>妙ノ池観測局舎</v>
      </c>
      <c r="K724" s="7" t="str">
        <f t="shared" si="263"/>
        <v>鉄筋コンクリート造</v>
      </c>
      <c r="L724" s="7" t="str">
        <f>"H04.03.26"</f>
        <v>H04.03.26</v>
      </c>
      <c r="M724" s="7">
        <v>3.6</v>
      </c>
      <c r="N724" s="7">
        <v>2037000</v>
      </c>
      <c r="O724" s="7">
        <v>1262940</v>
      </c>
      <c r="P724" s="7">
        <v>0</v>
      </c>
      <c r="Q724" s="7" t="str">
        <f t="shared" si="254"/>
        <v>環境農林水産部</v>
      </c>
      <c r="R724" s="7" t="str">
        <f t="shared" si="264"/>
        <v>泉州農と緑の総合事務所</v>
      </c>
    </row>
    <row r="725" spans="1:18" s="1" customFormat="1" x14ac:dyDescent="0.45">
      <c r="A725" s="7" t="str">
        <f>"06179000012"</f>
        <v>06179000012</v>
      </c>
      <c r="B725" s="7" t="str">
        <f>"ため池防災テレメータ観測局（海営宮池）"</f>
        <v>ため池防災テレメータ観測局（海営宮池）</v>
      </c>
      <c r="C725" s="7" t="str">
        <f t="shared" si="257"/>
        <v>行政財産</v>
      </c>
      <c r="D725" s="7" t="str">
        <f t="shared" si="261"/>
        <v>その他（行政機関）の施設</v>
      </c>
      <c r="E725" s="7" t="str">
        <f>"大阪府泉南市信達大苗代"</f>
        <v>大阪府泉南市信達大苗代</v>
      </c>
      <c r="F725" s="7"/>
      <c r="G725" s="7" t="str">
        <f t="shared" si="262"/>
        <v>インフラ資産</v>
      </c>
      <c r="H725" s="7" t="str">
        <f t="shared" si="260"/>
        <v>棚卸以外</v>
      </c>
      <c r="I725" s="7">
        <v>1</v>
      </c>
      <c r="J725" s="7" t="str">
        <f>"海営宮池観測局舎"</f>
        <v>海営宮池観測局舎</v>
      </c>
      <c r="K725" s="7" t="str">
        <f t="shared" si="263"/>
        <v>鉄筋コンクリート造</v>
      </c>
      <c r="L725" s="7" t="str">
        <f>"H04.03.26"</f>
        <v>H04.03.26</v>
      </c>
      <c r="M725" s="7">
        <v>3.6</v>
      </c>
      <c r="N725" s="7">
        <v>2037000</v>
      </c>
      <c r="O725" s="7">
        <v>1262940</v>
      </c>
      <c r="P725" s="7">
        <v>0</v>
      </c>
      <c r="Q725" s="7" t="str">
        <f t="shared" si="254"/>
        <v>環境農林水産部</v>
      </c>
      <c r="R725" s="7" t="str">
        <f t="shared" si="264"/>
        <v>泉州農と緑の総合事務所</v>
      </c>
    </row>
    <row r="726" spans="1:18" s="1" customFormat="1" ht="26.4" x14ac:dyDescent="0.45">
      <c r="A726" s="7" t="str">
        <f>"06179000013"</f>
        <v>06179000013</v>
      </c>
      <c r="B726" s="7" t="str">
        <f>"ため池防災テレメータ観測局（自然田新池）"</f>
        <v>ため池防災テレメータ観測局（自然田新池）</v>
      </c>
      <c r="C726" s="7" t="str">
        <f t="shared" si="257"/>
        <v>行政財産</v>
      </c>
      <c r="D726" s="7" t="str">
        <f t="shared" si="261"/>
        <v>その他（行政機関）の施設</v>
      </c>
      <c r="E726" s="7" t="str">
        <f>"大阪府阪南市石田"</f>
        <v>大阪府阪南市石田</v>
      </c>
      <c r="F726" s="7"/>
      <c r="G726" s="7" t="str">
        <f t="shared" si="262"/>
        <v>インフラ資産</v>
      </c>
      <c r="H726" s="7" t="str">
        <f t="shared" si="260"/>
        <v>棚卸以外</v>
      </c>
      <c r="I726" s="7">
        <v>1</v>
      </c>
      <c r="J726" s="7" t="str">
        <f>"自然田新池観測局舎"</f>
        <v>自然田新池観測局舎</v>
      </c>
      <c r="K726" s="7" t="str">
        <f t="shared" si="263"/>
        <v>鉄筋コンクリート造</v>
      </c>
      <c r="L726" s="7" t="str">
        <f>"H04.03.26"</f>
        <v>H04.03.26</v>
      </c>
      <c r="M726" s="7">
        <v>3.6</v>
      </c>
      <c r="N726" s="7">
        <v>2037000</v>
      </c>
      <c r="O726" s="7">
        <v>1262940</v>
      </c>
      <c r="P726" s="7">
        <v>0</v>
      </c>
      <c r="Q726" s="7" t="str">
        <f t="shared" si="254"/>
        <v>環境農林水産部</v>
      </c>
      <c r="R726" s="7" t="str">
        <f t="shared" si="264"/>
        <v>泉州農と緑の総合事務所</v>
      </c>
    </row>
    <row r="727" spans="1:18" s="1" customFormat="1" x14ac:dyDescent="0.45">
      <c r="A727" s="7" t="str">
        <f>"06179000014"</f>
        <v>06179000014</v>
      </c>
      <c r="B727" s="7" t="str">
        <f>"ため池防災テレメータ観測局（ニゴリ池）"</f>
        <v>ため池防災テレメータ観測局（ニゴリ池）</v>
      </c>
      <c r="C727" s="7" t="str">
        <f t="shared" si="257"/>
        <v>行政財産</v>
      </c>
      <c r="D727" s="7" t="str">
        <f t="shared" si="261"/>
        <v>その他（行政機関）の施設</v>
      </c>
      <c r="E727" s="7" t="str">
        <f>"大阪府和泉市唐国町"</f>
        <v>大阪府和泉市唐国町</v>
      </c>
      <c r="F727" s="7"/>
      <c r="G727" s="7" t="str">
        <f t="shared" si="262"/>
        <v>インフラ資産</v>
      </c>
      <c r="H727" s="7" t="str">
        <f t="shared" si="260"/>
        <v>棚卸以外</v>
      </c>
      <c r="I727" s="7">
        <v>1</v>
      </c>
      <c r="J727" s="7" t="str">
        <f>"ニゴリ池観測局舎"</f>
        <v>ニゴリ池観測局舎</v>
      </c>
      <c r="K727" s="7" t="str">
        <f t="shared" si="263"/>
        <v>鉄筋コンクリート造</v>
      </c>
      <c r="L727" s="7" t="str">
        <f>"H05.01.11"</f>
        <v>H05.01.11</v>
      </c>
      <c r="M727" s="7">
        <v>3.6</v>
      </c>
      <c r="N727" s="7">
        <v>2037000</v>
      </c>
      <c r="O727" s="7">
        <v>1228990</v>
      </c>
      <c r="P727" s="7">
        <v>0</v>
      </c>
      <c r="Q727" s="7" t="str">
        <f t="shared" si="254"/>
        <v>環境農林水産部</v>
      </c>
      <c r="R727" s="7" t="str">
        <f t="shared" si="264"/>
        <v>泉州農と緑の総合事務所</v>
      </c>
    </row>
    <row r="728" spans="1:18" s="1" customFormat="1" x14ac:dyDescent="0.45">
      <c r="A728" s="7" t="str">
        <f>"06179000015"</f>
        <v>06179000015</v>
      </c>
      <c r="B728" s="7" t="str">
        <f>"ため池防災テレメータ観測局（梨本池）"</f>
        <v>ため池防災テレメータ観測局（梨本池）</v>
      </c>
      <c r="C728" s="7" t="str">
        <f t="shared" si="257"/>
        <v>行政財産</v>
      </c>
      <c r="D728" s="7" t="str">
        <f t="shared" si="261"/>
        <v>その他（行政機関）の施設</v>
      </c>
      <c r="E728" s="7" t="str">
        <f>"大阪府和泉市鍛治屋町"</f>
        <v>大阪府和泉市鍛治屋町</v>
      </c>
      <c r="F728" s="7"/>
      <c r="G728" s="7" t="str">
        <f t="shared" si="262"/>
        <v>インフラ資産</v>
      </c>
      <c r="H728" s="7" t="str">
        <f t="shared" si="260"/>
        <v>棚卸以外</v>
      </c>
      <c r="I728" s="7">
        <v>1</v>
      </c>
      <c r="J728" s="7" t="str">
        <f>"梨本池観測局舎"</f>
        <v>梨本池観測局舎</v>
      </c>
      <c r="K728" s="7" t="str">
        <f t="shared" si="263"/>
        <v>鉄筋コンクリート造</v>
      </c>
      <c r="L728" s="7" t="str">
        <f>"H05.02.04"</f>
        <v>H05.02.04</v>
      </c>
      <c r="M728" s="7">
        <v>3.6</v>
      </c>
      <c r="N728" s="7">
        <v>2113000</v>
      </c>
      <c r="O728" s="7">
        <v>1271442</v>
      </c>
      <c r="P728" s="7">
        <v>0</v>
      </c>
      <c r="Q728" s="7" t="str">
        <f t="shared" si="254"/>
        <v>環境農林水産部</v>
      </c>
      <c r="R728" s="7" t="str">
        <f t="shared" si="264"/>
        <v>泉州農と緑の総合事務所</v>
      </c>
    </row>
    <row r="729" spans="1:18" s="1" customFormat="1" x14ac:dyDescent="0.45">
      <c r="A729" s="7" t="str">
        <f>"06179000016"</f>
        <v>06179000016</v>
      </c>
      <c r="B729" s="7" t="str">
        <f>"ため池防災テレメータ観測局（鳥取池）"</f>
        <v>ため池防災テレメータ観測局（鳥取池）</v>
      </c>
      <c r="C729" s="7" t="str">
        <f t="shared" si="257"/>
        <v>行政財産</v>
      </c>
      <c r="D729" s="7" t="str">
        <f t="shared" si="261"/>
        <v>その他（行政機関）の施設</v>
      </c>
      <c r="E729" s="7" t="str">
        <f>"大阪府阪南市桑畑"</f>
        <v>大阪府阪南市桑畑</v>
      </c>
      <c r="F729" s="7"/>
      <c r="G729" s="7" t="str">
        <f t="shared" si="262"/>
        <v>インフラ資産</v>
      </c>
      <c r="H729" s="7" t="str">
        <f t="shared" si="260"/>
        <v>棚卸以外</v>
      </c>
      <c r="I729" s="7">
        <v>1</v>
      </c>
      <c r="J729" s="7" t="str">
        <f>"鳥取池観測局舎"</f>
        <v>鳥取池観測局舎</v>
      </c>
      <c r="K729" s="7" t="str">
        <f t="shared" si="263"/>
        <v>鉄筋コンクリート造</v>
      </c>
      <c r="L729" s="7" t="str">
        <f>"H05.03.26"</f>
        <v>H05.03.26</v>
      </c>
      <c r="M729" s="7">
        <v>3.6</v>
      </c>
      <c r="N729" s="7">
        <v>2009000</v>
      </c>
      <c r="O729" s="7">
        <v>1205640</v>
      </c>
      <c r="P729" s="7">
        <v>0</v>
      </c>
      <c r="Q729" s="7" t="str">
        <f t="shared" si="254"/>
        <v>環境農林水産部</v>
      </c>
      <c r="R729" s="7" t="str">
        <f t="shared" si="264"/>
        <v>泉州農と緑の総合事務所</v>
      </c>
    </row>
    <row r="730" spans="1:18" s="1" customFormat="1" x14ac:dyDescent="0.45">
      <c r="A730" s="7" t="str">
        <f>"06179000017"</f>
        <v>06179000017</v>
      </c>
      <c r="B730" s="7" t="str">
        <f>"ため池防災テレメータ観測局（流木今池）"</f>
        <v>ため池防災テレメータ観測局（流木今池）</v>
      </c>
      <c r="C730" s="7" t="str">
        <f t="shared" si="257"/>
        <v>行政財産</v>
      </c>
      <c r="D730" s="7" t="str">
        <f t="shared" si="261"/>
        <v>その他（行政機関）の施設</v>
      </c>
      <c r="E730" s="7" t="str">
        <f>"大阪府岸和田市流木町"</f>
        <v>大阪府岸和田市流木町</v>
      </c>
      <c r="F730" s="7"/>
      <c r="G730" s="7" t="str">
        <f t="shared" si="262"/>
        <v>インフラ資産</v>
      </c>
      <c r="H730" s="7" t="str">
        <f t="shared" si="260"/>
        <v>棚卸以外</v>
      </c>
      <c r="I730" s="7">
        <v>1</v>
      </c>
      <c r="J730" s="7" t="str">
        <f>"流木今池観測局舎"</f>
        <v>流木今池観測局舎</v>
      </c>
      <c r="K730" s="7" t="str">
        <f t="shared" si="263"/>
        <v>鉄筋コンクリート造</v>
      </c>
      <c r="L730" s="7" t="str">
        <f>"H05.03.26"</f>
        <v>H05.03.26</v>
      </c>
      <c r="M730" s="7">
        <v>3.6</v>
      </c>
      <c r="N730" s="7">
        <v>2009000</v>
      </c>
      <c r="O730" s="7">
        <v>1205640</v>
      </c>
      <c r="P730" s="7">
        <v>0</v>
      </c>
      <c r="Q730" s="7" t="str">
        <f t="shared" si="254"/>
        <v>環境農林水産部</v>
      </c>
      <c r="R730" s="7" t="str">
        <f t="shared" si="264"/>
        <v>泉州農と緑の総合事務所</v>
      </c>
    </row>
    <row r="731" spans="1:18" s="1" customFormat="1" x14ac:dyDescent="0.45">
      <c r="A731" s="7" t="str">
        <f>"06179000018"</f>
        <v>06179000018</v>
      </c>
      <c r="B731" s="7" t="str">
        <f>"ため池防災テレメータ観測局（大谷池）"</f>
        <v>ため池防災テレメータ観測局（大谷池）</v>
      </c>
      <c r="C731" s="7" t="str">
        <f t="shared" si="257"/>
        <v>行政財産</v>
      </c>
      <c r="D731" s="7" t="str">
        <f t="shared" si="261"/>
        <v>その他（行政機関）の施設</v>
      </c>
      <c r="E731" s="7" t="str">
        <f>"大阪府泉南郡　熊取町大字大久保"</f>
        <v>大阪府泉南郡　熊取町大字大久保</v>
      </c>
      <c r="F731" s="7"/>
      <c r="G731" s="7" t="str">
        <f t="shared" si="262"/>
        <v>インフラ資産</v>
      </c>
      <c r="H731" s="7" t="str">
        <f t="shared" si="260"/>
        <v>棚卸以外</v>
      </c>
      <c r="I731" s="7">
        <v>1</v>
      </c>
      <c r="J731" s="7" t="str">
        <f>"大谷池観測局舎"</f>
        <v>大谷池観測局舎</v>
      </c>
      <c r="K731" s="7" t="str">
        <f t="shared" si="263"/>
        <v>鉄筋コンクリート造</v>
      </c>
      <c r="L731" s="7" t="str">
        <f>"H05.03.26"</f>
        <v>H05.03.26</v>
      </c>
      <c r="M731" s="7">
        <v>3.6</v>
      </c>
      <c r="N731" s="7">
        <v>2009000</v>
      </c>
      <c r="O731" s="7">
        <v>1205640</v>
      </c>
      <c r="P731" s="7">
        <v>0</v>
      </c>
      <c r="Q731" s="7" t="str">
        <f t="shared" si="254"/>
        <v>環境農林水産部</v>
      </c>
      <c r="R731" s="7" t="str">
        <f t="shared" si="264"/>
        <v>泉州農と緑の総合事務所</v>
      </c>
    </row>
    <row r="732" spans="1:18" s="1" customFormat="1" x14ac:dyDescent="0.45">
      <c r="A732" s="7" t="str">
        <f>"06179000019"</f>
        <v>06179000019</v>
      </c>
      <c r="B732" s="7" t="str">
        <f>"ため池防災テレメータ観測局（隣徳池）"</f>
        <v>ため池防災テレメータ観測局（隣徳池）</v>
      </c>
      <c r="C732" s="7" t="str">
        <f t="shared" si="257"/>
        <v>行政財産</v>
      </c>
      <c r="D732" s="7" t="str">
        <f t="shared" si="261"/>
        <v>その他（行政機関）の施設</v>
      </c>
      <c r="E732" s="7" t="str">
        <f>"大阪府岸和田市尾生町"</f>
        <v>大阪府岸和田市尾生町</v>
      </c>
      <c r="F732" s="7"/>
      <c r="G732" s="7" t="str">
        <f t="shared" si="262"/>
        <v>インフラ資産</v>
      </c>
      <c r="H732" s="7" t="str">
        <f t="shared" si="260"/>
        <v>棚卸以外</v>
      </c>
      <c r="I732" s="7">
        <v>1</v>
      </c>
      <c r="J732" s="7" t="str">
        <f>"隣徳池観測局舎"</f>
        <v>隣徳池観測局舎</v>
      </c>
      <c r="K732" s="7" t="str">
        <f t="shared" si="263"/>
        <v>鉄筋コンクリート造</v>
      </c>
      <c r="L732" s="7" t="str">
        <f t="shared" ref="L732:L740" si="265">"H05.03.30"</f>
        <v>H05.03.30</v>
      </c>
      <c r="M732" s="7">
        <v>3.6</v>
      </c>
      <c r="N732" s="7">
        <v>2126000</v>
      </c>
      <c r="O732" s="7">
        <v>1275840</v>
      </c>
      <c r="P732" s="7">
        <v>0</v>
      </c>
      <c r="Q732" s="7" t="str">
        <f t="shared" si="254"/>
        <v>環境農林水産部</v>
      </c>
      <c r="R732" s="7" t="str">
        <f t="shared" si="264"/>
        <v>泉州農と緑の総合事務所</v>
      </c>
    </row>
    <row r="733" spans="1:18" s="1" customFormat="1" x14ac:dyDescent="0.45">
      <c r="A733" s="7" t="str">
        <f>"06179000020"</f>
        <v>06179000020</v>
      </c>
      <c r="B733" s="7" t="str">
        <f>"ため池防災テレメータ観測局（真ノ池）"</f>
        <v>ため池防災テレメータ観測局（真ノ池）</v>
      </c>
      <c r="C733" s="7" t="str">
        <f t="shared" si="257"/>
        <v>行政財産</v>
      </c>
      <c r="D733" s="7" t="str">
        <f t="shared" si="261"/>
        <v>その他（行政機関）の施設</v>
      </c>
      <c r="E733" s="7" t="str">
        <f>"大阪府岸和田市土生滝町"</f>
        <v>大阪府岸和田市土生滝町</v>
      </c>
      <c r="F733" s="7"/>
      <c r="G733" s="7" t="str">
        <f t="shared" si="262"/>
        <v>インフラ資産</v>
      </c>
      <c r="H733" s="7" t="str">
        <f t="shared" si="260"/>
        <v>棚卸以外</v>
      </c>
      <c r="I733" s="7">
        <v>1</v>
      </c>
      <c r="J733" s="7" t="str">
        <f>"真ノ池観測局舎"</f>
        <v>真ノ池観測局舎</v>
      </c>
      <c r="K733" s="7" t="str">
        <f t="shared" si="263"/>
        <v>鉄筋コンクリート造</v>
      </c>
      <c r="L733" s="7" t="str">
        <f t="shared" si="265"/>
        <v>H05.03.30</v>
      </c>
      <c r="M733" s="7">
        <v>3.6</v>
      </c>
      <c r="N733" s="7">
        <v>2126000</v>
      </c>
      <c r="O733" s="7">
        <v>1275840</v>
      </c>
      <c r="P733" s="7">
        <v>0</v>
      </c>
      <c r="Q733" s="7" t="str">
        <f t="shared" si="254"/>
        <v>環境農林水産部</v>
      </c>
      <c r="R733" s="7" t="str">
        <f t="shared" si="264"/>
        <v>泉州農と緑の総合事務所</v>
      </c>
    </row>
    <row r="734" spans="1:18" s="1" customFormat="1" x14ac:dyDescent="0.45">
      <c r="A734" s="7" t="str">
        <f>"06179000021"</f>
        <v>06179000021</v>
      </c>
      <c r="B734" s="7" t="str">
        <f>"ため池防災テレメータ観測局（永寿池）"</f>
        <v>ため池防災テレメータ観測局（永寿池）</v>
      </c>
      <c r="C734" s="7" t="str">
        <f t="shared" si="257"/>
        <v>行政財産</v>
      </c>
      <c r="D734" s="7" t="str">
        <f t="shared" si="261"/>
        <v>その他（行政機関）の施設</v>
      </c>
      <c r="E734" s="7" t="str">
        <f>"大阪府貝塚市三ツ松"</f>
        <v>大阪府貝塚市三ツ松</v>
      </c>
      <c r="F734" s="7"/>
      <c r="G734" s="7" t="str">
        <f t="shared" si="262"/>
        <v>インフラ資産</v>
      </c>
      <c r="H734" s="7" t="str">
        <f t="shared" si="260"/>
        <v>棚卸以外</v>
      </c>
      <c r="I734" s="7">
        <v>1</v>
      </c>
      <c r="J734" s="7" t="str">
        <f>"永寿池観測局舎"</f>
        <v>永寿池観測局舎</v>
      </c>
      <c r="K734" s="7" t="str">
        <f t="shared" si="263"/>
        <v>鉄筋コンクリート造</v>
      </c>
      <c r="L734" s="7" t="str">
        <f t="shared" si="265"/>
        <v>H05.03.30</v>
      </c>
      <c r="M734" s="7">
        <v>3.6</v>
      </c>
      <c r="N734" s="7">
        <v>2126000</v>
      </c>
      <c r="O734" s="7">
        <v>1275840</v>
      </c>
      <c r="P734" s="7">
        <v>0</v>
      </c>
      <c r="Q734" s="7" t="str">
        <f t="shared" si="254"/>
        <v>環境農林水産部</v>
      </c>
      <c r="R734" s="7" t="str">
        <f t="shared" si="264"/>
        <v>泉州農と緑の総合事務所</v>
      </c>
    </row>
    <row r="735" spans="1:18" s="1" customFormat="1" x14ac:dyDescent="0.45">
      <c r="A735" s="7" t="str">
        <f>"06179000022"</f>
        <v>06179000022</v>
      </c>
      <c r="B735" s="7" t="str">
        <f>"ため池防災テレメータ観測局（弘法池）"</f>
        <v>ため池防災テレメータ観測局（弘法池）</v>
      </c>
      <c r="C735" s="7" t="str">
        <f t="shared" si="257"/>
        <v>行政財産</v>
      </c>
      <c r="D735" s="7" t="str">
        <f t="shared" si="261"/>
        <v>その他（行政機関）の施設</v>
      </c>
      <c r="E735" s="7" t="str">
        <f>"大阪府泉南郡　熊取町大字野田"</f>
        <v>大阪府泉南郡　熊取町大字野田</v>
      </c>
      <c r="F735" s="7"/>
      <c r="G735" s="7" t="str">
        <f t="shared" si="262"/>
        <v>インフラ資産</v>
      </c>
      <c r="H735" s="7" t="str">
        <f t="shared" si="260"/>
        <v>棚卸以外</v>
      </c>
      <c r="I735" s="7">
        <v>1</v>
      </c>
      <c r="J735" s="7" t="str">
        <f>"弘法池観測局舎"</f>
        <v>弘法池観測局舎</v>
      </c>
      <c r="K735" s="7" t="str">
        <f t="shared" si="263"/>
        <v>鉄筋コンクリート造</v>
      </c>
      <c r="L735" s="7" t="str">
        <f t="shared" si="265"/>
        <v>H05.03.30</v>
      </c>
      <c r="M735" s="7">
        <v>3.6</v>
      </c>
      <c r="N735" s="7">
        <v>2126000</v>
      </c>
      <c r="O735" s="7">
        <v>1275840</v>
      </c>
      <c r="P735" s="7">
        <v>0</v>
      </c>
      <c r="Q735" s="7" t="str">
        <f t="shared" si="254"/>
        <v>環境農林水産部</v>
      </c>
      <c r="R735" s="7" t="str">
        <f t="shared" si="264"/>
        <v>泉州農と緑の総合事務所</v>
      </c>
    </row>
    <row r="736" spans="1:18" s="1" customFormat="1" x14ac:dyDescent="0.45">
      <c r="A736" s="7" t="str">
        <f>"06179000023"</f>
        <v>06179000023</v>
      </c>
      <c r="B736" s="7" t="str">
        <f>"ため池防災テレメータ観測局（新家大池）"</f>
        <v>ため池防災テレメータ観測局（新家大池）</v>
      </c>
      <c r="C736" s="7" t="str">
        <f t="shared" si="257"/>
        <v>行政財産</v>
      </c>
      <c r="D736" s="7" t="str">
        <f t="shared" si="261"/>
        <v>その他（行政機関）の施設</v>
      </c>
      <c r="E736" s="7" t="str">
        <f>"大阪府泉南市新家"</f>
        <v>大阪府泉南市新家</v>
      </c>
      <c r="F736" s="7"/>
      <c r="G736" s="7" t="str">
        <f t="shared" si="262"/>
        <v>インフラ資産</v>
      </c>
      <c r="H736" s="7" t="str">
        <f t="shared" si="260"/>
        <v>棚卸以外</v>
      </c>
      <c r="I736" s="7">
        <v>1</v>
      </c>
      <c r="J736" s="7" t="str">
        <f>"新家大池観測局舎"</f>
        <v>新家大池観測局舎</v>
      </c>
      <c r="K736" s="7" t="str">
        <f t="shared" si="263"/>
        <v>鉄筋コンクリート造</v>
      </c>
      <c r="L736" s="7" t="str">
        <f t="shared" si="265"/>
        <v>H05.03.30</v>
      </c>
      <c r="M736" s="7">
        <v>3.6</v>
      </c>
      <c r="N736" s="7">
        <v>2126000</v>
      </c>
      <c r="O736" s="7">
        <v>1275840</v>
      </c>
      <c r="P736" s="7">
        <v>0</v>
      </c>
      <c r="Q736" s="7" t="str">
        <f t="shared" si="254"/>
        <v>環境農林水産部</v>
      </c>
      <c r="R736" s="7" t="str">
        <f t="shared" si="264"/>
        <v>泉州農と緑の総合事務所</v>
      </c>
    </row>
    <row r="737" spans="1:18" s="1" customFormat="1" x14ac:dyDescent="0.45">
      <c r="A737" s="7" t="str">
        <f>"06179000024"</f>
        <v>06179000024</v>
      </c>
      <c r="B737" s="7" t="str">
        <f>"ため池防災テレメータ観測局（昭和池）"</f>
        <v>ため池防災テレメータ観測局（昭和池）</v>
      </c>
      <c r="C737" s="7" t="str">
        <f t="shared" si="257"/>
        <v>行政財産</v>
      </c>
      <c r="D737" s="7" t="str">
        <f t="shared" si="261"/>
        <v>その他（行政機関）の施設</v>
      </c>
      <c r="E737" s="7" t="str">
        <f>"大阪府泉南市新家"</f>
        <v>大阪府泉南市新家</v>
      </c>
      <c r="F737" s="7"/>
      <c r="G737" s="7" t="str">
        <f t="shared" si="262"/>
        <v>インフラ資産</v>
      </c>
      <c r="H737" s="7" t="str">
        <f t="shared" si="260"/>
        <v>棚卸以外</v>
      </c>
      <c r="I737" s="7">
        <v>1</v>
      </c>
      <c r="J737" s="7" t="str">
        <f>"昭和池観測局舎"</f>
        <v>昭和池観測局舎</v>
      </c>
      <c r="K737" s="7" t="str">
        <f t="shared" si="263"/>
        <v>鉄筋コンクリート造</v>
      </c>
      <c r="L737" s="7" t="str">
        <f t="shared" si="265"/>
        <v>H05.03.30</v>
      </c>
      <c r="M737" s="7">
        <v>3.6</v>
      </c>
      <c r="N737" s="7">
        <v>2126000</v>
      </c>
      <c r="O737" s="7">
        <v>1275840</v>
      </c>
      <c r="P737" s="7">
        <v>0</v>
      </c>
      <c r="Q737" s="7" t="str">
        <f t="shared" si="254"/>
        <v>環境農林水産部</v>
      </c>
      <c r="R737" s="7" t="str">
        <f t="shared" si="264"/>
        <v>泉州農と緑の総合事務所</v>
      </c>
    </row>
    <row r="738" spans="1:18" s="1" customFormat="1" x14ac:dyDescent="0.45">
      <c r="A738" s="7" t="str">
        <f>"06179000025"</f>
        <v>06179000025</v>
      </c>
      <c r="B738" s="7" t="str">
        <f>"ため池防災テレメータ観測局（東新池）"</f>
        <v>ため池防災テレメータ観測局（東新池）</v>
      </c>
      <c r="C738" s="7" t="str">
        <f t="shared" si="257"/>
        <v>行政財産</v>
      </c>
      <c r="D738" s="7" t="str">
        <f t="shared" si="261"/>
        <v>その他（行政機関）の施設</v>
      </c>
      <c r="E738" s="7" t="str">
        <f>"大阪府阪南市箱作"</f>
        <v>大阪府阪南市箱作</v>
      </c>
      <c r="F738" s="7"/>
      <c r="G738" s="7" t="str">
        <f t="shared" si="262"/>
        <v>インフラ資産</v>
      </c>
      <c r="H738" s="7" t="str">
        <f t="shared" si="260"/>
        <v>棚卸以外</v>
      </c>
      <c r="I738" s="7">
        <v>1</v>
      </c>
      <c r="J738" s="7" t="str">
        <f>"東新池観測局舎"</f>
        <v>東新池観測局舎</v>
      </c>
      <c r="K738" s="7" t="str">
        <f t="shared" si="263"/>
        <v>鉄筋コンクリート造</v>
      </c>
      <c r="L738" s="7" t="str">
        <f t="shared" si="265"/>
        <v>H05.03.30</v>
      </c>
      <c r="M738" s="7">
        <v>3.6</v>
      </c>
      <c r="N738" s="7">
        <v>2126000</v>
      </c>
      <c r="O738" s="7">
        <v>1275840</v>
      </c>
      <c r="P738" s="7">
        <v>0</v>
      </c>
      <c r="Q738" s="7" t="str">
        <f t="shared" si="254"/>
        <v>環境農林水産部</v>
      </c>
      <c r="R738" s="7" t="str">
        <f t="shared" si="264"/>
        <v>泉州農と緑の総合事務所</v>
      </c>
    </row>
    <row r="739" spans="1:18" s="1" customFormat="1" x14ac:dyDescent="0.45">
      <c r="A739" s="7" t="str">
        <f>"06179000026"</f>
        <v>06179000026</v>
      </c>
      <c r="B739" s="7" t="str">
        <f>"ため池防災テレメータ観測局（音羽池）"</f>
        <v>ため池防災テレメータ観測局（音羽池）</v>
      </c>
      <c r="C739" s="7" t="str">
        <f t="shared" si="257"/>
        <v>行政財産</v>
      </c>
      <c r="D739" s="7" t="str">
        <f t="shared" si="261"/>
        <v>その他（行政機関）の施設</v>
      </c>
      <c r="E739" s="7" t="str">
        <f>"大阪府阪南市和泉鳥取"</f>
        <v>大阪府阪南市和泉鳥取</v>
      </c>
      <c r="F739" s="7"/>
      <c r="G739" s="7" t="str">
        <f t="shared" si="262"/>
        <v>インフラ資産</v>
      </c>
      <c r="H739" s="7" t="str">
        <f t="shared" si="260"/>
        <v>棚卸以外</v>
      </c>
      <c r="I739" s="7">
        <v>1</v>
      </c>
      <c r="J739" s="7" t="str">
        <f>"音羽池観測局舎"</f>
        <v>音羽池観測局舎</v>
      </c>
      <c r="K739" s="7" t="str">
        <f t="shared" si="263"/>
        <v>鉄筋コンクリート造</v>
      </c>
      <c r="L739" s="7" t="str">
        <f t="shared" si="265"/>
        <v>H05.03.30</v>
      </c>
      <c r="M739" s="7">
        <v>3.6</v>
      </c>
      <c r="N739" s="7">
        <v>2126000</v>
      </c>
      <c r="O739" s="7">
        <v>1275840</v>
      </c>
      <c r="P739" s="7">
        <v>0</v>
      </c>
      <c r="Q739" s="7" t="str">
        <f t="shared" si="254"/>
        <v>環境農林水産部</v>
      </c>
      <c r="R739" s="7" t="str">
        <f t="shared" si="264"/>
        <v>泉州農と緑の総合事務所</v>
      </c>
    </row>
    <row r="740" spans="1:18" s="1" customFormat="1" x14ac:dyDescent="0.45">
      <c r="A740" s="7" t="str">
        <f>"06179000027"</f>
        <v>06179000027</v>
      </c>
      <c r="B740" s="7" t="str">
        <f>"ため池防災テレメータ観測局（狐池）"</f>
        <v>ため池防災テレメータ観測局（狐池）</v>
      </c>
      <c r="C740" s="7" t="str">
        <f t="shared" si="257"/>
        <v>行政財産</v>
      </c>
      <c r="D740" s="7" t="str">
        <f t="shared" si="261"/>
        <v>その他（行政機関）の施設</v>
      </c>
      <c r="E740" s="7" t="str">
        <f>"大阪府泉南市信達大苗代"</f>
        <v>大阪府泉南市信達大苗代</v>
      </c>
      <c r="F740" s="7"/>
      <c r="G740" s="7" t="str">
        <f t="shared" si="262"/>
        <v>インフラ資産</v>
      </c>
      <c r="H740" s="7" t="str">
        <f t="shared" si="260"/>
        <v>棚卸以外</v>
      </c>
      <c r="I740" s="7">
        <v>1</v>
      </c>
      <c r="J740" s="7" t="str">
        <f>"狐池観測局舎"</f>
        <v>狐池観測局舎</v>
      </c>
      <c r="K740" s="7" t="str">
        <f t="shared" si="263"/>
        <v>鉄筋コンクリート造</v>
      </c>
      <c r="L740" s="7" t="str">
        <f t="shared" si="265"/>
        <v>H05.03.30</v>
      </c>
      <c r="M740" s="7">
        <v>3.6</v>
      </c>
      <c r="N740" s="7">
        <v>2126000</v>
      </c>
      <c r="O740" s="7">
        <v>1275840</v>
      </c>
      <c r="P740" s="7">
        <v>0</v>
      </c>
      <c r="Q740" s="7" t="str">
        <f t="shared" si="254"/>
        <v>環境農林水産部</v>
      </c>
      <c r="R740" s="7" t="str">
        <f t="shared" si="264"/>
        <v>泉州農と緑の総合事務所</v>
      </c>
    </row>
    <row r="741" spans="1:18" s="1" customFormat="1" x14ac:dyDescent="0.45">
      <c r="A741" s="7" t="str">
        <f>"06179000031"</f>
        <v>06179000031</v>
      </c>
      <c r="B741" s="7" t="str">
        <f>"ため池防災テレメータ観測局（タブサ池）"</f>
        <v>ため池防災テレメータ観測局（タブサ池）</v>
      </c>
      <c r="C741" s="7" t="str">
        <f t="shared" si="257"/>
        <v>行政財産</v>
      </c>
      <c r="D741" s="7" t="str">
        <f t="shared" si="261"/>
        <v>その他（行政機関）の施設</v>
      </c>
      <c r="E741" s="7" t="str">
        <f>"大阪府泉南市兎田"</f>
        <v>大阪府泉南市兎田</v>
      </c>
      <c r="F741" s="7"/>
      <c r="G741" s="7" t="str">
        <f t="shared" si="262"/>
        <v>インフラ資産</v>
      </c>
      <c r="H741" s="7" t="str">
        <f t="shared" si="260"/>
        <v>棚卸以外</v>
      </c>
      <c r="I741" s="7">
        <v>1</v>
      </c>
      <c r="J741" s="7" t="str">
        <f>"タブサ池観測局舎"</f>
        <v>タブサ池観測局舎</v>
      </c>
      <c r="K741" s="7" t="str">
        <f t="shared" si="263"/>
        <v>鉄筋コンクリート造</v>
      </c>
      <c r="L741" s="7" t="str">
        <f>"H06.03.25"</f>
        <v>H06.03.25</v>
      </c>
      <c r="M741" s="7">
        <v>3.6</v>
      </c>
      <c r="N741" s="7">
        <v>2456000</v>
      </c>
      <c r="O741" s="7">
        <v>1424712</v>
      </c>
      <c r="P741" s="7">
        <v>0</v>
      </c>
      <c r="Q741" s="7" t="str">
        <f t="shared" si="254"/>
        <v>環境農林水産部</v>
      </c>
      <c r="R741" s="7" t="str">
        <f t="shared" si="264"/>
        <v>泉州農と緑の総合事務所</v>
      </c>
    </row>
    <row r="742" spans="1:18" s="1" customFormat="1" x14ac:dyDescent="0.45">
      <c r="A742" s="7" t="str">
        <f>"06179000032"</f>
        <v>06179000032</v>
      </c>
      <c r="B742" s="7" t="str">
        <f>"ため池防災テレメータ観測局（狭間池）"</f>
        <v>ため池防災テレメータ観測局（狭間池）</v>
      </c>
      <c r="C742" s="7" t="str">
        <f t="shared" si="257"/>
        <v>行政財産</v>
      </c>
      <c r="D742" s="7" t="str">
        <f t="shared" si="261"/>
        <v>その他（行政機関）の施設</v>
      </c>
      <c r="E742" s="7" t="str">
        <f>"大阪府阪南市鳥取"</f>
        <v>大阪府阪南市鳥取</v>
      </c>
      <c r="F742" s="7"/>
      <c r="G742" s="7" t="str">
        <f t="shared" si="262"/>
        <v>インフラ資産</v>
      </c>
      <c r="H742" s="7" t="str">
        <f t="shared" si="260"/>
        <v>棚卸以外</v>
      </c>
      <c r="I742" s="7">
        <v>1</v>
      </c>
      <c r="J742" s="7" t="str">
        <f>"狭間池観測局舎"</f>
        <v>狭間池観測局舎</v>
      </c>
      <c r="K742" s="7" t="str">
        <f t="shared" si="263"/>
        <v>鉄筋コンクリート造</v>
      </c>
      <c r="L742" s="7" t="str">
        <f>"H06.03.25"</f>
        <v>H06.03.25</v>
      </c>
      <c r="M742" s="7">
        <v>3.6</v>
      </c>
      <c r="N742" s="7">
        <v>2456000</v>
      </c>
      <c r="O742" s="7">
        <v>1424712</v>
      </c>
      <c r="P742" s="7">
        <v>0</v>
      </c>
      <c r="Q742" s="7" t="str">
        <f t="shared" si="254"/>
        <v>環境農林水産部</v>
      </c>
      <c r="R742" s="7" t="str">
        <f t="shared" si="264"/>
        <v>泉州農と緑の総合事務所</v>
      </c>
    </row>
    <row r="743" spans="1:18" s="1" customFormat="1" x14ac:dyDescent="0.45">
      <c r="A743" s="7" t="str">
        <f>"06179000034"</f>
        <v>06179000034</v>
      </c>
      <c r="B743" s="7" t="str">
        <f>"府営土地改良事業「貝塚」地区"</f>
        <v>府営土地改良事業「貝塚」地区</v>
      </c>
      <c r="C743" s="7" t="str">
        <f t="shared" si="257"/>
        <v>行政財産</v>
      </c>
      <c r="D743" s="7" t="str">
        <f t="shared" ref="D743:D777" si="266">"その他（公共用）の施設"</f>
        <v>その他（公共用）の施設</v>
      </c>
      <c r="E743" s="7" t="str">
        <f>"大阪府貝塚市馬場"</f>
        <v>大阪府貝塚市馬場</v>
      </c>
      <c r="F743" s="7"/>
      <c r="G743" s="7" t="str">
        <f t="shared" si="262"/>
        <v>インフラ資産</v>
      </c>
      <c r="H743" s="7" t="str">
        <f t="shared" si="260"/>
        <v>棚卸以外</v>
      </c>
      <c r="I743" s="7">
        <v>1</v>
      </c>
      <c r="J743" s="7" t="str">
        <f>"夏焼揚水機上屋"</f>
        <v>夏焼揚水機上屋</v>
      </c>
      <c r="K743" s="7" t="str">
        <f t="shared" si="263"/>
        <v>鉄筋コンクリート造</v>
      </c>
      <c r="L743" s="7" t="str">
        <f>"H11.07.30"</f>
        <v>H11.07.30</v>
      </c>
      <c r="M743" s="7">
        <v>8.51</v>
      </c>
      <c r="N743" s="7">
        <v>1500000</v>
      </c>
      <c r="O743" s="7">
        <v>901460</v>
      </c>
      <c r="P743" s="7">
        <v>0</v>
      </c>
      <c r="Q743" s="7" t="str">
        <f t="shared" si="254"/>
        <v>環境農林水産部</v>
      </c>
      <c r="R743" s="7" t="str">
        <f t="shared" si="264"/>
        <v>泉州農と緑の総合事務所</v>
      </c>
    </row>
    <row r="744" spans="1:18" s="1" customFormat="1" x14ac:dyDescent="0.45">
      <c r="A744" s="7" t="str">
        <f>"06179000057"</f>
        <v>06179000057</v>
      </c>
      <c r="B744" s="7" t="str">
        <f>"逢帰ダム"</f>
        <v>逢帰ダム</v>
      </c>
      <c r="C744" s="7" t="str">
        <f t="shared" si="257"/>
        <v>行政財産</v>
      </c>
      <c r="D744" s="7" t="str">
        <f t="shared" si="266"/>
        <v>その他（公共用）の施設</v>
      </c>
      <c r="E744" s="7" t="str">
        <f>"大阪府泉南郡　岬町孝子"</f>
        <v>大阪府泉南郡　岬町孝子</v>
      </c>
      <c r="F744" s="7"/>
      <c r="G744" s="7" t="str">
        <f t="shared" si="262"/>
        <v>インフラ資産</v>
      </c>
      <c r="H744" s="7" t="str">
        <f t="shared" si="260"/>
        <v>棚卸以外</v>
      </c>
      <c r="I744" s="7">
        <v>1</v>
      </c>
      <c r="J744" s="7" t="str">
        <f>"ダム管理事務所"</f>
        <v>ダム管理事務所</v>
      </c>
      <c r="K744" s="7" t="str">
        <f t="shared" si="263"/>
        <v>鉄筋コンクリート造</v>
      </c>
      <c r="L744" s="7" t="str">
        <f>"S43.03.15"</f>
        <v>S43.03.15</v>
      </c>
      <c r="M744" s="7">
        <v>37.44</v>
      </c>
      <c r="N744" s="7">
        <v>2178000</v>
      </c>
      <c r="O744" s="7">
        <v>2177999</v>
      </c>
      <c r="P744" s="7">
        <v>0</v>
      </c>
      <c r="Q744" s="7" t="str">
        <f t="shared" si="254"/>
        <v>環境農林水産部</v>
      </c>
      <c r="R744" s="7" t="str">
        <f t="shared" si="264"/>
        <v>泉州農と緑の総合事務所</v>
      </c>
    </row>
    <row r="745" spans="1:18" s="1" customFormat="1" x14ac:dyDescent="0.45">
      <c r="A745" s="7" t="str">
        <f>"06179000057"</f>
        <v>06179000057</v>
      </c>
      <c r="B745" s="7" t="str">
        <f>"逢帰ダム"</f>
        <v>逢帰ダム</v>
      </c>
      <c r="C745" s="7" t="str">
        <f t="shared" si="257"/>
        <v>行政財産</v>
      </c>
      <c r="D745" s="7" t="str">
        <f t="shared" si="266"/>
        <v>その他（公共用）の施設</v>
      </c>
      <c r="E745" s="7" t="str">
        <f>"大阪府泉南郡　岬町孝子"</f>
        <v>大阪府泉南郡　岬町孝子</v>
      </c>
      <c r="F745" s="7"/>
      <c r="G745" s="7" t="str">
        <f t="shared" si="262"/>
        <v>インフラ資産</v>
      </c>
      <c r="H745" s="7" t="str">
        <f t="shared" si="260"/>
        <v>棚卸以外</v>
      </c>
      <c r="I745" s="7">
        <v>2</v>
      </c>
      <c r="J745" s="7" t="str">
        <f>"操作室"</f>
        <v>操作室</v>
      </c>
      <c r="K745" s="7" t="str">
        <f t="shared" si="263"/>
        <v>鉄筋コンクリート造</v>
      </c>
      <c r="L745" s="7" t="str">
        <f>"S42.03.31"</f>
        <v>S42.03.31</v>
      </c>
      <c r="M745" s="7">
        <v>15</v>
      </c>
      <c r="N745" s="7">
        <v>298910</v>
      </c>
      <c r="O745" s="7">
        <v>298909</v>
      </c>
      <c r="P745" s="7">
        <v>0</v>
      </c>
      <c r="Q745" s="7" t="str">
        <f t="shared" si="254"/>
        <v>環境農林水産部</v>
      </c>
      <c r="R745" s="7" t="str">
        <f t="shared" ref="R745:R776" si="267">"泉州農と緑の総合事務所"</f>
        <v>泉州農と緑の総合事務所</v>
      </c>
    </row>
    <row r="746" spans="1:18" s="1" customFormat="1" x14ac:dyDescent="0.45">
      <c r="A746" s="7" t="str">
        <f>"06179000106"</f>
        <v>06179000106</v>
      </c>
      <c r="B746" s="7" t="str">
        <f>"泉佐野かんがい排水事業施設"</f>
        <v>泉佐野かんがい排水事業施設</v>
      </c>
      <c r="C746" s="7" t="str">
        <f t="shared" si="257"/>
        <v>行政財産</v>
      </c>
      <c r="D746" s="7" t="str">
        <f t="shared" si="266"/>
        <v>その他（公共用）の施設</v>
      </c>
      <c r="E746" s="7" t="str">
        <f>"大阪府泉佐野市日根野"</f>
        <v>大阪府泉佐野市日根野</v>
      </c>
      <c r="F746" s="7"/>
      <c r="G746" s="7" t="str">
        <f t="shared" si="262"/>
        <v>インフラ資産</v>
      </c>
      <c r="H746" s="7" t="str">
        <f t="shared" si="260"/>
        <v>棚卸以外</v>
      </c>
      <c r="I746" s="7">
        <v>1</v>
      </c>
      <c r="J746" s="7" t="str">
        <f>"中央管理棟"</f>
        <v>中央管理棟</v>
      </c>
      <c r="K746" s="7" t="str">
        <f>"鉄骨造"</f>
        <v>鉄骨造</v>
      </c>
      <c r="L746" s="7" t="str">
        <f>"H08.03.29"</f>
        <v>H08.03.29</v>
      </c>
      <c r="M746" s="7">
        <v>311.75</v>
      </c>
      <c r="N746" s="7">
        <v>63780000</v>
      </c>
      <c r="O746" s="7">
        <v>45317556</v>
      </c>
      <c r="P746" s="7">
        <v>0</v>
      </c>
      <c r="Q746" s="7" t="str">
        <f t="shared" si="254"/>
        <v>環境農林水産部</v>
      </c>
      <c r="R746" s="7" t="str">
        <f t="shared" si="267"/>
        <v>泉州農と緑の総合事務所</v>
      </c>
    </row>
    <row r="747" spans="1:18" s="1" customFormat="1" x14ac:dyDescent="0.45">
      <c r="A747" s="7" t="str">
        <f>"06179000107"</f>
        <v>06179000107</v>
      </c>
      <c r="B747" s="7" t="str">
        <f>"水と森の学園"</f>
        <v>水と森の学園</v>
      </c>
      <c r="C747" s="7" t="str">
        <f t="shared" si="257"/>
        <v>行政財産</v>
      </c>
      <c r="D747" s="7" t="str">
        <f t="shared" si="266"/>
        <v>その他（公共用）の施設</v>
      </c>
      <c r="E747" s="7" t="str">
        <f>"大阪府泉南市新家"</f>
        <v>大阪府泉南市新家</v>
      </c>
      <c r="F747" s="7"/>
      <c r="G747" s="7" t="str">
        <f t="shared" ref="G747:G777" si="268">"事業用資産"</f>
        <v>事業用資産</v>
      </c>
      <c r="H747" s="7" t="str">
        <f t="shared" si="260"/>
        <v>棚卸以外</v>
      </c>
      <c r="I747" s="7">
        <v>1</v>
      </c>
      <c r="J747" s="7" t="str">
        <f>"野鳥観察舎"</f>
        <v>野鳥観察舎</v>
      </c>
      <c r="K747" s="7" t="str">
        <f t="shared" ref="K747:K764" si="269">"木造"</f>
        <v>木造</v>
      </c>
      <c r="L747" s="7" t="str">
        <f>"H09.03.26"</f>
        <v>H09.03.26</v>
      </c>
      <c r="M747" s="7">
        <v>51</v>
      </c>
      <c r="N747" s="7">
        <v>10982000</v>
      </c>
      <c r="O747" s="7">
        <v>10981999</v>
      </c>
      <c r="P747" s="7">
        <v>0</v>
      </c>
      <c r="Q747" s="7" t="str">
        <f t="shared" si="254"/>
        <v>環境農林水産部</v>
      </c>
      <c r="R747" s="7" t="str">
        <f t="shared" si="267"/>
        <v>泉州農と緑の総合事務所</v>
      </c>
    </row>
    <row r="748" spans="1:18" s="1" customFormat="1" x14ac:dyDescent="0.45">
      <c r="A748" s="7" t="str">
        <f>"06179000107"</f>
        <v>06179000107</v>
      </c>
      <c r="B748" s="7" t="str">
        <f>"水と森の学園"</f>
        <v>水と森の学園</v>
      </c>
      <c r="C748" s="7" t="str">
        <f t="shared" si="257"/>
        <v>行政財産</v>
      </c>
      <c r="D748" s="7" t="str">
        <f t="shared" si="266"/>
        <v>その他（公共用）の施設</v>
      </c>
      <c r="E748" s="7" t="str">
        <f>"大阪府泉南市新家"</f>
        <v>大阪府泉南市新家</v>
      </c>
      <c r="F748" s="7"/>
      <c r="G748" s="7" t="str">
        <f t="shared" si="268"/>
        <v>事業用資産</v>
      </c>
      <c r="H748" s="7" t="str">
        <f t="shared" si="260"/>
        <v>棚卸以外</v>
      </c>
      <c r="I748" s="7">
        <v>2</v>
      </c>
      <c r="J748" s="7" t="str">
        <f>"大屋根教室"</f>
        <v>大屋根教室</v>
      </c>
      <c r="K748" s="7" t="str">
        <f t="shared" si="269"/>
        <v>木造</v>
      </c>
      <c r="L748" s="7" t="str">
        <f>"H10.03.23"</f>
        <v>H10.03.23</v>
      </c>
      <c r="M748" s="7">
        <v>291.64</v>
      </c>
      <c r="N748" s="7">
        <v>56114000</v>
      </c>
      <c r="O748" s="7">
        <v>56113999</v>
      </c>
      <c r="P748" s="7">
        <v>0</v>
      </c>
      <c r="Q748" s="7" t="str">
        <f t="shared" si="254"/>
        <v>環境農林水産部</v>
      </c>
      <c r="R748" s="7" t="str">
        <f t="shared" si="267"/>
        <v>泉州農と緑の総合事務所</v>
      </c>
    </row>
    <row r="749" spans="1:18" s="1" customFormat="1" x14ac:dyDescent="0.45">
      <c r="A749" s="7" t="str">
        <f t="shared" ref="A749:A775" si="270">"06179000110"</f>
        <v>06179000110</v>
      </c>
      <c r="B749" s="7" t="str">
        <f t="shared" ref="B749:B775" si="271">"紀泉わいわい村"</f>
        <v>紀泉わいわい村</v>
      </c>
      <c r="C749" s="7" t="str">
        <f t="shared" si="257"/>
        <v>行政財産</v>
      </c>
      <c r="D749" s="7" t="str">
        <f t="shared" si="266"/>
        <v>その他（公共用）の施設</v>
      </c>
      <c r="E749" s="7" t="str">
        <f t="shared" ref="E749:E775" si="272">"大阪府泉南市信達葛畑"</f>
        <v>大阪府泉南市信達葛畑</v>
      </c>
      <c r="F749" s="7"/>
      <c r="G749" s="7" t="str">
        <f t="shared" si="268"/>
        <v>事業用資産</v>
      </c>
      <c r="H749" s="7" t="str">
        <f t="shared" si="260"/>
        <v>棚卸以外</v>
      </c>
      <c r="I749" s="7">
        <v>1</v>
      </c>
      <c r="J749" s="7" t="str">
        <f>"キャンプ場便所"</f>
        <v>キャンプ場便所</v>
      </c>
      <c r="K749" s="7" t="str">
        <f t="shared" si="269"/>
        <v>木造</v>
      </c>
      <c r="L749" s="7" t="str">
        <f>"H12.12.13"</f>
        <v>H12.12.13</v>
      </c>
      <c r="M749" s="7">
        <v>56.7</v>
      </c>
      <c r="N749" s="7">
        <v>22622000</v>
      </c>
      <c r="O749" s="7">
        <v>22621999</v>
      </c>
      <c r="P749" s="7">
        <v>0</v>
      </c>
      <c r="Q749" s="7" t="str">
        <f t="shared" si="254"/>
        <v>環境農林水産部</v>
      </c>
      <c r="R749" s="7" t="str">
        <f t="shared" si="267"/>
        <v>泉州農と緑の総合事務所</v>
      </c>
    </row>
    <row r="750" spans="1:18" s="1" customFormat="1" x14ac:dyDescent="0.45">
      <c r="A750" s="7" t="str">
        <f t="shared" si="270"/>
        <v>06179000110</v>
      </c>
      <c r="B750" s="7" t="str">
        <f t="shared" si="271"/>
        <v>紀泉わいわい村</v>
      </c>
      <c r="C750" s="7" t="str">
        <f t="shared" si="257"/>
        <v>行政財産</v>
      </c>
      <c r="D750" s="7" t="str">
        <f t="shared" si="266"/>
        <v>その他（公共用）の施設</v>
      </c>
      <c r="E750" s="7" t="str">
        <f t="shared" si="272"/>
        <v>大阪府泉南市信達葛畑</v>
      </c>
      <c r="F750" s="7"/>
      <c r="G750" s="7" t="str">
        <f t="shared" si="268"/>
        <v>事業用資産</v>
      </c>
      <c r="H750" s="7" t="str">
        <f t="shared" si="260"/>
        <v>棚卸以外</v>
      </c>
      <c r="I750" s="7">
        <v>2</v>
      </c>
      <c r="J750" s="7" t="str">
        <f>"キャンプ場四阿"</f>
        <v>キャンプ場四阿</v>
      </c>
      <c r="K750" s="7" t="str">
        <f t="shared" si="269"/>
        <v>木造</v>
      </c>
      <c r="L750" s="7" t="str">
        <f>"H12.12.13"</f>
        <v>H12.12.13</v>
      </c>
      <c r="M750" s="7">
        <v>49.69</v>
      </c>
      <c r="N750" s="7">
        <v>22392000</v>
      </c>
      <c r="O750" s="7">
        <v>22391999</v>
      </c>
      <c r="P750" s="7">
        <v>0</v>
      </c>
      <c r="Q750" s="7" t="str">
        <f t="shared" si="254"/>
        <v>環境農林水産部</v>
      </c>
      <c r="R750" s="7" t="str">
        <f t="shared" si="267"/>
        <v>泉州農と緑の総合事務所</v>
      </c>
    </row>
    <row r="751" spans="1:18" s="1" customFormat="1" x14ac:dyDescent="0.45">
      <c r="A751" s="7" t="str">
        <f t="shared" si="270"/>
        <v>06179000110</v>
      </c>
      <c r="B751" s="7" t="str">
        <f t="shared" si="271"/>
        <v>紀泉わいわい村</v>
      </c>
      <c r="C751" s="7" t="str">
        <f t="shared" si="257"/>
        <v>行政財産</v>
      </c>
      <c r="D751" s="7" t="str">
        <f t="shared" si="266"/>
        <v>その他（公共用）の施設</v>
      </c>
      <c r="E751" s="7" t="str">
        <f t="shared" si="272"/>
        <v>大阪府泉南市信達葛畑</v>
      </c>
      <c r="F751" s="7"/>
      <c r="G751" s="7" t="str">
        <f t="shared" si="268"/>
        <v>事業用資産</v>
      </c>
      <c r="H751" s="7" t="str">
        <f t="shared" si="260"/>
        <v>棚卸以外</v>
      </c>
      <c r="I751" s="7">
        <v>3</v>
      </c>
      <c r="J751" s="7" t="str">
        <f>"キャンプ場炊事場１"</f>
        <v>キャンプ場炊事場１</v>
      </c>
      <c r="K751" s="7" t="str">
        <f t="shared" si="269"/>
        <v>木造</v>
      </c>
      <c r="L751" s="7" t="str">
        <f>"H12.12.13"</f>
        <v>H12.12.13</v>
      </c>
      <c r="M751" s="7">
        <v>49.63</v>
      </c>
      <c r="N751" s="7">
        <v>8418000</v>
      </c>
      <c r="O751" s="7">
        <v>8417999</v>
      </c>
      <c r="P751" s="7">
        <v>0</v>
      </c>
      <c r="Q751" s="7" t="str">
        <f t="shared" si="254"/>
        <v>環境農林水産部</v>
      </c>
      <c r="R751" s="7" t="str">
        <f t="shared" si="267"/>
        <v>泉州農と緑の総合事務所</v>
      </c>
    </row>
    <row r="752" spans="1:18" s="1" customFormat="1" x14ac:dyDescent="0.45">
      <c r="A752" s="7" t="str">
        <f t="shared" si="270"/>
        <v>06179000110</v>
      </c>
      <c r="B752" s="7" t="str">
        <f t="shared" si="271"/>
        <v>紀泉わいわい村</v>
      </c>
      <c r="C752" s="7" t="str">
        <f t="shared" si="257"/>
        <v>行政財産</v>
      </c>
      <c r="D752" s="7" t="str">
        <f t="shared" si="266"/>
        <v>その他（公共用）の施設</v>
      </c>
      <c r="E752" s="7" t="str">
        <f t="shared" si="272"/>
        <v>大阪府泉南市信達葛畑</v>
      </c>
      <c r="F752" s="7"/>
      <c r="G752" s="7" t="str">
        <f t="shared" si="268"/>
        <v>事業用資産</v>
      </c>
      <c r="H752" s="7" t="str">
        <f t="shared" si="260"/>
        <v>棚卸以外</v>
      </c>
      <c r="I752" s="7">
        <v>4</v>
      </c>
      <c r="J752" s="7" t="str">
        <f>"キャンプ場炊事場２"</f>
        <v>キャンプ場炊事場２</v>
      </c>
      <c r="K752" s="7" t="str">
        <f t="shared" si="269"/>
        <v>木造</v>
      </c>
      <c r="L752" s="7" t="str">
        <f>"H12.12.13"</f>
        <v>H12.12.13</v>
      </c>
      <c r="M752" s="7">
        <v>43.68</v>
      </c>
      <c r="N752" s="7">
        <v>7884000</v>
      </c>
      <c r="O752" s="7">
        <v>7883999</v>
      </c>
      <c r="P752" s="7">
        <v>0</v>
      </c>
      <c r="Q752" s="7" t="str">
        <f t="shared" si="254"/>
        <v>環境農林水産部</v>
      </c>
      <c r="R752" s="7" t="str">
        <f t="shared" si="267"/>
        <v>泉州農と緑の総合事務所</v>
      </c>
    </row>
    <row r="753" spans="1:18" s="1" customFormat="1" x14ac:dyDescent="0.45">
      <c r="A753" s="7" t="str">
        <f t="shared" si="270"/>
        <v>06179000110</v>
      </c>
      <c r="B753" s="7" t="str">
        <f t="shared" si="271"/>
        <v>紀泉わいわい村</v>
      </c>
      <c r="C753" s="7" t="str">
        <f t="shared" si="257"/>
        <v>行政財産</v>
      </c>
      <c r="D753" s="7" t="str">
        <f t="shared" si="266"/>
        <v>その他（公共用）の施設</v>
      </c>
      <c r="E753" s="7" t="str">
        <f t="shared" si="272"/>
        <v>大阪府泉南市信達葛畑</v>
      </c>
      <c r="F753" s="7"/>
      <c r="G753" s="7" t="str">
        <f t="shared" si="268"/>
        <v>事業用資産</v>
      </c>
      <c r="H753" s="7" t="str">
        <f t="shared" si="260"/>
        <v>棚卸以外</v>
      </c>
      <c r="I753" s="7">
        <v>5</v>
      </c>
      <c r="J753" s="7" t="str">
        <f>"キャンプ場炊事場３"</f>
        <v>キャンプ場炊事場３</v>
      </c>
      <c r="K753" s="7" t="str">
        <f t="shared" si="269"/>
        <v>木造</v>
      </c>
      <c r="L753" s="7" t="str">
        <f>"H12.12.13"</f>
        <v>H12.12.13</v>
      </c>
      <c r="M753" s="7">
        <v>43.68</v>
      </c>
      <c r="N753" s="7">
        <v>7847000</v>
      </c>
      <c r="O753" s="7">
        <v>7846999</v>
      </c>
      <c r="P753" s="7">
        <v>0</v>
      </c>
      <c r="Q753" s="7" t="str">
        <f t="shared" si="254"/>
        <v>環境農林水産部</v>
      </c>
      <c r="R753" s="7" t="str">
        <f t="shared" si="267"/>
        <v>泉州農と緑の総合事務所</v>
      </c>
    </row>
    <row r="754" spans="1:18" s="1" customFormat="1" x14ac:dyDescent="0.45">
      <c r="A754" s="7" t="str">
        <f t="shared" si="270"/>
        <v>06179000110</v>
      </c>
      <c r="B754" s="7" t="str">
        <f t="shared" si="271"/>
        <v>紀泉わいわい村</v>
      </c>
      <c r="C754" s="7" t="str">
        <f t="shared" si="257"/>
        <v>行政財産</v>
      </c>
      <c r="D754" s="7" t="str">
        <f t="shared" si="266"/>
        <v>その他（公共用）の施設</v>
      </c>
      <c r="E754" s="7" t="str">
        <f t="shared" si="272"/>
        <v>大阪府泉南市信達葛畑</v>
      </c>
      <c r="F754" s="7"/>
      <c r="G754" s="7" t="str">
        <f t="shared" si="268"/>
        <v>事業用資産</v>
      </c>
      <c r="H754" s="7" t="str">
        <f t="shared" si="260"/>
        <v>棚卸以外</v>
      </c>
      <c r="I754" s="7">
        <v>6</v>
      </c>
      <c r="J754" s="7" t="str">
        <f>"コテージＡ"</f>
        <v>コテージＡ</v>
      </c>
      <c r="K754" s="7" t="str">
        <f t="shared" si="269"/>
        <v>木造</v>
      </c>
      <c r="L754" s="7" t="str">
        <f t="shared" ref="L754:L759" si="273">"H13.08.31"</f>
        <v>H13.08.31</v>
      </c>
      <c r="M754" s="7">
        <v>82</v>
      </c>
      <c r="N754" s="7">
        <v>30061000</v>
      </c>
      <c r="O754" s="7">
        <v>29491812</v>
      </c>
      <c r="P754" s="7">
        <v>0</v>
      </c>
      <c r="Q754" s="7" t="str">
        <f t="shared" si="254"/>
        <v>環境農林水産部</v>
      </c>
      <c r="R754" s="7" t="str">
        <f t="shared" si="267"/>
        <v>泉州農と緑の総合事務所</v>
      </c>
    </row>
    <row r="755" spans="1:18" s="1" customFormat="1" x14ac:dyDescent="0.45">
      <c r="A755" s="7" t="str">
        <f t="shared" si="270"/>
        <v>06179000110</v>
      </c>
      <c r="B755" s="7" t="str">
        <f t="shared" si="271"/>
        <v>紀泉わいわい村</v>
      </c>
      <c r="C755" s="7" t="str">
        <f t="shared" si="257"/>
        <v>行政財産</v>
      </c>
      <c r="D755" s="7" t="str">
        <f t="shared" si="266"/>
        <v>その他（公共用）の施設</v>
      </c>
      <c r="E755" s="7" t="str">
        <f t="shared" si="272"/>
        <v>大阪府泉南市信達葛畑</v>
      </c>
      <c r="F755" s="7"/>
      <c r="G755" s="7" t="str">
        <f t="shared" si="268"/>
        <v>事業用資産</v>
      </c>
      <c r="H755" s="7" t="str">
        <f t="shared" si="260"/>
        <v>棚卸以外</v>
      </c>
      <c r="I755" s="7">
        <v>7</v>
      </c>
      <c r="J755" s="7" t="str">
        <f>"コテージＢ１－１"</f>
        <v>コテージＢ１－１</v>
      </c>
      <c r="K755" s="7" t="str">
        <f t="shared" si="269"/>
        <v>木造</v>
      </c>
      <c r="L755" s="7" t="str">
        <f t="shared" si="273"/>
        <v>H13.08.31</v>
      </c>
      <c r="M755" s="7">
        <v>100</v>
      </c>
      <c r="N755" s="7">
        <v>32579000</v>
      </c>
      <c r="O755" s="7">
        <v>31962154</v>
      </c>
      <c r="P755" s="7">
        <v>0</v>
      </c>
      <c r="Q755" s="7" t="str">
        <f t="shared" si="254"/>
        <v>環境農林水産部</v>
      </c>
      <c r="R755" s="7" t="str">
        <f t="shared" si="267"/>
        <v>泉州農と緑の総合事務所</v>
      </c>
    </row>
    <row r="756" spans="1:18" s="1" customFormat="1" x14ac:dyDescent="0.45">
      <c r="A756" s="7" t="str">
        <f t="shared" si="270"/>
        <v>06179000110</v>
      </c>
      <c r="B756" s="7" t="str">
        <f t="shared" si="271"/>
        <v>紀泉わいわい村</v>
      </c>
      <c r="C756" s="7" t="str">
        <f t="shared" si="257"/>
        <v>行政財産</v>
      </c>
      <c r="D756" s="7" t="str">
        <f t="shared" si="266"/>
        <v>その他（公共用）の施設</v>
      </c>
      <c r="E756" s="7" t="str">
        <f t="shared" si="272"/>
        <v>大阪府泉南市信達葛畑</v>
      </c>
      <c r="F756" s="7"/>
      <c r="G756" s="7" t="str">
        <f t="shared" si="268"/>
        <v>事業用資産</v>
      </c>
      <c r="H756" s="7" t="str">
        <f t="shared" si="260"/>
        <v>棚卸以外</v>
      </c>
      <c r="I756" s="7">
        <v>8</v>
      </c>
      <c r="J756" s="7" t="str">
        <f>"コテージＢ１－２"</f>
        <v>コテージＢ１－２</v>
      </c>
      <c r="K756" s="7" t="str">
        <f t="shared" si="269"/>
        <v>木造</v>
      </c>
      <c r="L756" s="7" t="str">
        <f t="shared" si="273"/>
        <v>H13.08.31</v>
      </c>
      <c r="M756" s="7">
        <v>100</v>
      </c>
      <c r="N756" s="7">
        <v>32889000</v>
      </c>
      <c r="O756" s="7">
        <v>32266220</v>
      </c>
      <c r="P756" s="7">
        <v>0</v>
      </c>
      <c r="Q756" s="7" t="str">
        <f t="shared" ref="Q756:Q794" si="274">"環境農林水産部"</f>
        <v>環境農林水産部</v>
      </c>
      <c r="R756" s="7" t="str">
        <f t="shared" si="267"/>
        <v>泉州農と緑の総合事務所</v>
      </c>
    </row>
    <row r="757" spans="1:18" s="1" customFormat="1" x14ac:dyDescent="0.45">
      <c r="A757" s="7" t="str">
        <f t="shared" si="270"/>
        <v>06179000110</v>
      </c>
      <c r="B757" s="7" t="str">
        <f t="shared" si="271"/>
        <v>紀泉わいわい村</v>
      </c>
      <c r="C757" s="7" t="str">
        <f t="shared" si="257"/>
        <v>行政財産</v>
      </c>
      <c r="D757" s="7" t="str">
        <f t="shared" si="266"/>
        <v>その他（公共用）の施設</v>
      </c>
      <c r="E757" s="7" t="str">
        <f t="shared" si="272"/>
        <v>大阪府泉南市信達葛畑</v>
      </c>
      <c r="F757" s="7"/>
      <c r="G757" s="7" t="str">
        <f t="shared" si="268"/>
        <v>事業用資産</v>
      </c>
      <c r="H757" s="7" t="str">
        <f t="shared" si="260"/>
        <v>棚卸以外</v>
      </c>
      <c r="I757" s="7">
        <v>9</v>
      </c>
      <c r="J757" s="7" t="str">
        <f>"コテージＢ１－３"</f>
        <v>コテージＢ１－３</v>
      </c>
      <c r="K757" s="7" t="str">
        <f t="shared" si="269"/>
        <v>木造</v>
      </c>
      <c r="L757" s="7" t="str">
        <f t="shared" si="273"/>
        <v>H13.08.31</v>
      </c>
      <c r="M757" s="7">
        <v>100</v>
      </c>
      <c r="N757" s="7">
        <v>32693000</v>
      </c>
      <c r="O757" s="7">
        <v>32074042</v>
      </c>
      <c r="P757" s="7">
        <v>0</v>
      </c>
      <c r="Q757" s="7" t="str">
        <f t="shared" si="274"/>
        <v>環境農林水産部</v>
      </c>
      <c r="R757" s="7" t="str">
        <f t="shared" si="267"/>
        <v>泉州農と緑の総合事務所</v>
      </c>
    </row>
    <row r="758" spans="1:18" s="1" customFormat="1" x14ac:dyDescent="0.45">
      <c r="A758" s="7" t="str">
        <f t="shared" si="270"/>
        <v>06179000110</v>
      </c>
      <c r="B758" s="7" t="str">
        <f t="shared" si="271"/>
        <v>紀泉わいわい村</v>
      </c>
      <c r="C758" s="7" t="str">
        <f t="shared" si="257"/>
        <v>行政財産</v>
      </c>
      <c r="D758" s="7" t="str">
        <f t="shared" si="266"/>
        <v>その他（公共用）の施設</v>
      </c>
      <c r="E758" s="7" t="str">
        <f t="shared" si="272"/>
        <v>大阪府泉南市信達葛畑</v>
      </c>
      <c r="F758" s="7"/>
      <c r="G758" s="7" t="str">
        <f t="shared" si="268"/>
        <v>事業用資産</v>
      </c>
      <c r="H758" s="7" t="str">
        <f t="shared" si="260"/>
        <v>棚卸以外</v>
      </c>
      <c r="I758" s="7">
        <v>10</v>
      </c>
      <c r="J758" s="7" t="str">
        <f>"コテージＢ２"</f>
        <v>コテージＢ２</v>
      </c>
      <c r="K758" s="7" t="str">
        <f t="shared" si="269"/>
        <v>木造</v>
      </c>
      <c r="L758" s="7" t="str">
        <f t="shared" si="273"/>
        <v>H13.08.31</v>
      </c>
      <c r="M758" s="7">
        <v>100</v>
      </c>
      <c r="N758" s="7">
        <v>33127000</v>
      </c>
      <c r="O758" s="7">
        <v>32499838</v>
      </c>
      <c r="P758" s="7">
        <v>0</v>
      </c>
      <c r="Q758" s="7" t="str">
        <f t="shared" si="274"/>
        <v>環境農林水産部</v>
      </c>
      <c r="R758" s="7" t="str">
        <f t="shared" si="267"/>
        <v>泉州農と緑の総合事務所</v>
      </c>
    </row>
    <row r="759" spans="1:18" s="1" customFormat="1" x14ac:dyDescent="0.45">
      <c r="A759" s="7" t="str">
        <f t="shared" si="270"/>
        <v>06179000110</v>
      </c>
      <c r="B759" s="7" t="str">
        <f t="shared" si="271"/>
        <v>紀泉わいわい村</v>
      </c>
      <c r="C759" s="7" t="str">
        <f t="shared" si="257"/>
        <v>行政財産</v>
      </c>
      <c r="D759" s="7" t="str">
        <f t="shared" si="266"/>
        <v>その他（公共用）の施設</v>
      </c>
      <c r="E759" s="7" t="str">
        <f t="shared" si="272"/>
        <v>大阪府泉南市信達葛畑</v>
      </c>
      <c r="F759" s="7"/>
      <c r="G759" s="7" t="str">
        <f t="shared" si="268"/>
        <v>事業用資産</v>
      </c>
      <c r="H759" s="7" t="str">
        <f t="shared" si="260"/>
        <v>棚卸以外</v>
      </c>
      <c r="I759" s="7">
        <v>11</v>
      </c>
      <c r="J759" s="7" t="str">
        <f>"コテージＣ"</f>
        <v>コテージＣ</v>
      </c>
      <c r="K759" s="7" t="str">
        <f t="shared" si="269"/>
        <v>木造</v>
      </c>
      <c r="L759" s="7" t="str">
        <f t="shared" si="273"/>
        <v>H13.08.31</v>
      </c>
      <c r="M759" s="7">
        <v>120</v>
      </c>
      <c r="N759" s="7">
        <v>38398000</v>
      </c>
      <c r="O759" s="7">
        <v>37670773</v>
      </c>
      <c r="P759" s="7">
        <v>0</v>
      </c>
      <c r="Q759" s="7" t="str">
        <f t="shared" si="274"/>
        <v>環境農林水産部</v>
      </c>
      <c r="R759" s="7" t="str">
        <f t="shared" si="267"/>
        <v>泉州農と緑の総合事務所</v>
      </c>
    </row>
    <row r="760" spans="1:18" s="1" customFormat="1" x14ac:dyDescent="0.45">
      <c r="A760" s="7" t="str">
        <f t="shared" si="270"/>
        <v>06179000110</v>
      </c>
      <c r="B760" s="7" t="str">
        <f t="shared" si="271"/>
        <v>紀泉わいわい村</v>
      </c>
      <c r="C760" s="7" t="str">
        <f t="shared" ref="C760:C823" si="275">"行政財産"</f>
        <v>行政財産</v>
      </c>
      <c r="D760" s="7" t="str">
        <f t="shared" si="266"/>
        <v>その他（公共用）の施設</v>
      </c>
      <c r="E760" s="7" t="str">
        <f t="shared" si="272"/>
        <v>大阪府泉南市信達葛畑</v>
      </c>
      <c r="F760" s="7"/>
      <c r="G760" s="7" t="str">
        <f t="shared" si="268"/>
        <v>事業用資産</v>
      </c>
      <c r="H760" s="7" t="str">
        <f t="shared" si="260"/>
        <v>棚卸以外</v>
      </c>
      <c r="I760" s="7">
        <v>12</v>
      </c>
      <c r="J760" s="7" t="str">
        <f>"管理棟１"</f>
        <v>管理棟１</v>
      </c>
      <c r="K760" s="7" t="str">
        <f t="shared" si="269"/>
        <v>木造</v>
      </c>
      <c r="L760" s="7" t="str">
        <f t="shared" ref="L760:L768" si="276">"H14.08.07"</f>
        <v>H14.08.07</v>
      </c>
      <c r="M760" s="7">
        <v>271</v>
      </c>
      <c r="N760" s="7">
        <v>49961000</v>
      </c>
      <c r="O760" s="7">
        <v>42848572</v>
      </c>
      <c r="P760" s="7">
        <v>0</v>
      </c>
      <c r="Q760" s="7" t="str">
        <f t="shared" si="274"/>
        <v>環境農林水産部</v>
      </c>
      <c r="R760" s="7" t="str">
        <f t="shared" si="267"/>
        <v>泉州農と緑の総合事務所</v>
      </c>
    </row>
    <row r="761" spans="1:18" s="1" customFormat="1" x14ac:dyDescent="0.45">
      <c r="A761" s="7" t="str">
        <f t="shared" si="270"/>
        <v>06179000110</v>
      </c>
      <c r="B761" s="7" t="str">
        <f t="shared" si="271"/>
        <v>紀泉わいわい村</v>
      </c>
      <c r="C761" s="7" t="str">
        <f t="shared" si="275"/>
        <v>行政財産</v>
      </c>
      <c r="D761" s="7" t="str">
        <f t="shared" si="266"/>
        <v>その他（公共用）の施設</v>
      </c>
      <c r="E761" s="7" t="str">
        <f t="shared" si="272"/>
        <v>大阪府泉南市信達葛畑</v>
      </c>
      <c r="F761" s="7"/>
      <c r="G761" s="7" t="str">
        <f t="shared" si="268"/>
        <v>事業用資産</v>
      </c>
      <c r="H761" s="7" t="str">
        <f t="shared" si="260"/>
        <v>棚卸以外</v>
      </c>
      <c r="I761" s="7">
        <v>13</v>
      </c>
      <c r="J761" s="7" t="str">
        <f>"管理棟２"</f>
        <v>管理棟２</v>
      </c>
      <c r="K761" s="7" t="str">
        <f t="shared" si="269"/>
        <v>木造</v>
      </c>
      <c r="L761" s="7" t="str">
        <f t="shared" si="276"/>
        <v>H14.08.07</v>
      </c>
      <c r="M761" s="7">
        <v>110</v>
      </c>
      <c r="N761" s="7">
        <v>29547000</v>
      </c>
      <c r="O761" s="7">
        <v>25340718</v>
      </c>
      <c r="P761" s="7">
        <v>0</v>
      </c>
      <c r="Q761" s="7" t="str">
        <f t="shared" si="274"/>
        <v>環境農林水産部</v>
      </c>
      <c r="R761" s="7" t="str">
        <f t="shared" si="267"/>
        <v>泉州農と緑の総合事務所</v>
      </c>
    </row>
    <row r="762" spans="1:18" s="1" customFormat="1" x14ac:dyDescent="0.45">
      <c r="A762" s="7" t="str">
        <f t="shared" si="270"/>
        <v>06179000110</v>
      </c>
      <c r="B762" s="7" t="str">
        <f t="shared" si="271"/>
        <v>紀泉わいわい村</v>
      </c>
      <c r="C762" s="7" t="str">
        <f t="shared" si="275"/>
        <v>行政財産</v>
      </c>
      <c r="D762" s="7" t="str">
        <f t="shared" si="266"/>
        <v>その他（公共用）の施設</v>
      </c>
      <c r="E762" s="7" t="str">
        <f t="shared" si="272"/>
        <v>大阪府泉南市信達葛畑</v>
      </c>
      <c r="F762" s="7"/>
      <c r="G762" s="7" t="str">
        <f t="shared" si="268"/>
        <v>事業用資産</v>
      </c>
      <c r="H762" s="7" t="str">
        <f t="shared" si="260"/>
        <v>棚卸以外</v>
      </c>
      <c r="I762" s="7">
        <v>14</v>
      </c>
      <c r="J762" s="7" t="str">
        <f>"展示棟"</f>
        <v>展示棟</v>
      </c>
      <c r="K762" s="7" t="str">
        <f t="shared" si="269"/>
        <v>木造</v>
      </c>
      <c r="L762" s="7" t="str">
        <f t="shared" si="276"/>
        <v>H14.08.07</v>
      </c>
      <c r="M762" s="7">
        <v>82.2</v>
      </c>
      <c r="N762" s="7">
        <v>32215000</v>
      </c>
      <c r="O762" s="7">
        <v>27628926</v>
      </c>
      <c r="P762" s="7">
        <v>0</v>
      </c>
      <c r="Q762" s="7" t="str">
        <f t="shared" si="274"/>
        <v>環境農林水産部</v>
      </c>
      <c r="R762" s="7" t="str">
        <f t="shared" si="267"/>
        <v>泉州農と緑の総合事務所</v>
      </c>
    </row>
    <row r="763" spans="1:18" s="1" customFormat="1" x14ac:dyDescent="0.45">
      <c r="A763" s="7" t="str">
        <f t="shared" si="270"/>
        <v>06179000110</v>
      </c>
      <c r="B763" s="7" t="str">
        <f t="shared" si="271"/>
        <v>紀泉わいわい村</v>
      </c>
      <c r="C763" s="7" t="str">
        <f t="shared" si="275"/>
        <v>行政財産</v>
      </c>
      <c r="D763" s="7" t="str">
        <f t="shared" si="266"/>
        <v>その他（公共用）の施設</v>
      </c>
      <c r="E763" s="7" t="str">
        <f t="shared" si="272"/>
        <v>大阪府泉南市信達葛畑</v>
      </c>
      <c r="F763" s="7"/>
      <c r="G763" s="7" t="str">
        <f t="shared" si="268"/>
        <v>事業用資産</v>
      </c>
      <c r="H763" s="7" t="str">
        <f t="shared" si="260"/>
        <v>棚卸以外</v>
      </c>
      <c r="I763" s="7">
        <v>15</v>
      </c>
      <c r="J763" s="7" t="str">
        <f>"生産物加工体験・便所棟"</f>
        <v>生産物加工体験・便所棟</v>
      </c>
      <c r="K763" s="7" t="str">
        <f t="shared" si="269"/>
        <v>木造</v>
      </c>
      <c r="L763" s="7" t="str">
        <f t="shared" si="276"/>
        <v>H14.08.07</v>
      </c>
      <c r="M763" s="7">
        <v>145.6</v>
      </c>
      <c r="N763" s="7">
        <v>46918000</v>
      </c>
      <c r="O763" s="7">
        <v>46917999</v>
      </c>
      <c r="P763" s="7">
        <v>0</v>
      </c>
      <c r="Q763" s="7" t="str">
        <f t="shared" si="274"/>
        <v>環境農林水産部</v>
      </c>
      <c r="R763" s="7" t="str">
        <f t="shared" si="267"/>
        <v>泉州農と緑の総合事務所</v>
      </c>
    </row>
    <row r="764" spans="1:18" s="1" customFormat="1" x14ac:dyDescent="0.45">
      <c r="A764" s="7" t="str">
        <f t="shared" si="270"/>
        <v>06179000110</v>
      </c>
      <c r="B764" s="7" t="str">
        <f t="shared" si="271"/>
        <v>紀泉わいわい村</v>
      </c>
      <c r="C764" s="7" t="str">
        <f t="shared" si="275"/>
        <v>行政財産</v>
      </c>
      <c r="D764" s="7" t="str">
        <f t="shared" si="266"/>
        <v>その他（公共用）の施設</v>
      </c>
      <c r="E764" s="7" t="str">
        <f t="shared" si="272"/>
        <v>大阪府泉南市信達葛畑</v>
      </c>
      <c r="F764" s="7"/>
      <c r="G764" s="7" t="str">
        <f t="shared" si="268"/>
        <v>事業用資産</v>
      </c>
      <c r="H764" s="7" t="str">
        <f t="shared" si="260"/>
        <v>棚卸以外</v>
      </c>
      <c r="I764" s="7">
        <v>16</v>
      </c>
      <c r="J764" s="7" t="str">
        <f>"研修棟"</f>
        <v>研修棟</v>
      </c>
      <c r="K764" s="7" t="str">
        <f t="shared" si="269"/>
        <v>木造</v>
      </c>
      <c r="L764" s="7" t="str">
        <f t="shared" si="276"/>
        <v>H14.08.07</v>
      </c>
      <c r="M764" s="7">
        <v>120.1</v>
      </c>
      <c r="N764" s="7">
        <v>34308000</v>
      </c>
      <c r="O764" s="7">
        <v>32098885</v>
      </c>
      <c r="P764" s="7">
        <v>0</v>
      </c>
      <c r="Q764" s="7" t="str">
        <f t="shared" si="274"/>
        <v>環境農林水産部</v>
      </c>
      <c r="R764" s="7" t="str">
        <f t="shared" si="267"/>
        <v>泉州農と緑の総合事務所</v>
      </c>
    </row>
    <row r="765" spans="1:18" s="1" customFormat="1" x14ac:dyDescent="0.45">
      <c r="A765" s="7" t="str">
        <f t="shared" si="270"/>
        <v>06179000110</v>
      </c>
      <c r="B765" s="7" t="str">
        <f t="shared" si="271"/>
        <v>紀泉わいわい村</v>
      </c>
      <c r="C765" s="7" t="str">
        <f t="shared" si="275"/>
        <v>行政財産</v>
      </c>
      <c r="D765" s="7" t="str">
        <f t="shared" si="266"/>
        <v>その他（公共用）の施設</v>
      </c>
      <c r="E765" s="7" t="str">
        <f t="shared" si="272"/>
        <v>大阪府泉南市信達葛畑</v>
      </c>
      <c r="F765" s="7"/>
      <c r="G765" s="7" t="str">
        <f t="shared" si="268"/>
        <v>事業用資産</v>
      </c>
      <c r="H765" s="7" t="str">
        <f t="shared" si="260"/>
        <v>棚卸以外</v>
      </c>
      <c r="I765" s="7">
        <v>17</v>
      </c>
      <c r="J765" s="7" t="str">
        <f>"浴室棟"</f>
        <v>浴室棟</v>
      </c>
      <c r="K765" s="7" t="str">
        <f>"鉄筋コンクリート造"</f>
        <v>鉄筋コンクリート造</v>
      </c>
      <c r="L765" s="7" t="str">
        <f t="shared" si="276"/>
        <v>H14.08.07</v>
      </c>
      <c r="M765" s="7">
        <v>90.72</v>
      </c>
      <c r="N765" s="7">
        <v>39030000</v>
      </c>
      <c r="O765" s="7">
        <v>17093141</v>
      </c>
      <c r="P765" s="7">
        <v>0</v>
      </c>
      <c r="Q765" s="7" t="str">
        <f t="shared" si="274"/>
        <v>環境農林水産部</v>
      </c>
      <c r="R765" s="7" t="str">
        <f t="shared" si="267"/>
        <v>泉州農と緑の総合事務所</v>
      </c>
    </row>
    <row r="766" spans="1:18" s="1" customFormat="1" x14ac:dyDescent="0.45">
      <c r="A766" s="7" t="str">
        <f t="shared" si="270"/>
        <v>06179000110</v>
      </c>
      <c r="B766" s="7" t="str">
        <f t="shared" si="271"/>
        <v>紀泉わいわい村</v>
      </c>
      <c r="C766" s="7" t="str">
        <f t="shared" si="275"/>
        <v>行政財産</v>
      </c>
      <c r="D766" s="7" t="str">
        <f t="shared" si="266"/>
        <v>その他（公共用）の施設</v>
      </c>
      <c r="E766" s="7" t="str">
        <f t="shared" si="272"/>
        <v>大阪府泉南市信達葛畑</v>
      </c>
      <c r="F766" s="7"/>
      <c r="G766" s="7" t="str">
        <f t="shared" si="268"/>
        <v>事業用資産</v>
      </c>
      <c r="H766" s="7" t="str">
        <f t="shared" si="260"/>
        <v>棚卸以外</v>
      </c>
      <c r="I766" s="7">
        <v>18</v>
      </c>
      <c r="J766" s="7" t="str">
        <f>"機械室棟"</f>
        <v>機械室棟</v>
      </c>
      <c r="K766" s="7" t="str">
        <f>"鉄筋コンクリート造"</f>
        <v>鉄筋コンクリート造</v>
      </c>
      <c r="L766" s="7" t="str">
        <f t="shared" si="276"/>
        <v>H14.08.07</v>
      </c>
      <c r="M766" s="7">
        <v>24</v>
      </c>
      <c r="N766" s="7">
        <v>6881000</v>
      </c>
      <c r="O766" s="7">
        <v>3727230</v>
      </c>
      <c r="P766" s="7">
        <v>0</v>
      </c>
      <c r="Q766" s="7" t="str">
        <f t="shared" si="274"/>
        <v>環境農林水産部</v>
      </c>
      <c r="R766" s="7" t="str">
        <f t="shared" si="267"/>
        <v>泉州農と緑の総合事務所</v>
      </c>
    </row>
    <row r="767" spans="1:18" s="1" customFormat="1" x14ac:dyDescent="0.45">
      <c r="A767" s="7" t="str">
        <f t="shared" si="270"/>
        <v>06179000110</v>
      </c>
      <c r="B767" s="7" t="str">
        <f t="shared" si="271"/>
        <v>紀泉わいわい村</v>
      </c>
      <c r="C767" s="7" t="str">
        <f t="shared" si="275"/>
        <v>行政財産</v>
      </c>
      <c r="D767" s="7" t="str">
        <f t="shared" si="266"/>
        <v>その他（公共用）の施設</v>
      </c>
      <c r="E767" s="7" t="str">
        <f t="shared" si="272"/>
        <v>大阪府泉南市信達葛畑</v>
      </c>
      <c r="F767" s="7"/>
      <c r="G767" s="7" t="str">
        <f t="shared" si="268"/>
        <v>事業用資産</v>
      </c>
      <c r="H767" s="7" t="str">
        <f t="shared" si="260"/>
        <v>棚卸以外</v>
      </c>
      <c r="I767" s="7">
        <v>19</v>
      </c>
      <c r="J767" s="7" t="str">
        <f>"プロパン庫棟"</f>
        <v>プロパン庫棟</v>
      </c>
      <c r="K767" s="7" t="str">
        <f>"コンクリートブロック造"</f>
        <v>コンクリートブロック造</v>
      </c>
      <c r="L767" s="7" t="str">
        <f t="shared" si="276"/>
        <v>H14.08.07</v>
      </c>
      <c r="M767" s="7">
        <v>7.84</v>
      </c>
      <c r="N767" s="7">
        <v>1755000</v>
      </c>
      <c r="O767" s="7">
        <v>1062594</v>
      </c>
      <c r="P767" s="7">
        <v>0</v>
      </c>
      <c r="Q767" s="7" t="str">
        <f t="shared" si="274"/>
        <v>環境農林水産部</v>
      </c>
      <c r="R767" s="7" t="str">
        <f t="shared" si="267"/>
        <v>泉州農と緑の総合事務所</v>
      </c>
    </row>
    <row r="768" spans="1:18" s="1" customFormat="1" x14ac:dyDescent="0.45">
      <c r="A768" s="7" t="str">
        <f t="shared" si="270"/>
        <v>06179000110</v>
      </c>
      <c r="B768" s="7" t="str">
        <f t="shared" si="271"/>
        <v>紀泉わいわい村</v>
      </c>
      <c r="C768" s="7" t="str">
        <f t="shared" si="275"/>
        <v>行政財産</v>
      </c>
      <c r="D768" s="7" t="str">
        <f t="shared" si="266"/>
        <v>その他（公共用）の施設</v>
      </c>
      <c r="E768" s="7" t="str">
        <f t="shared" si="272"/>
        <v>大阪府泉南市信達葛畑</v>
      </c>
      <c r="F768" s="7"/>
      <c r="G768" s="7" t="str">
        <f t="shared" si="268"/>
        <v>事業用資産</v>
      </c>
      <c r="H768" s="7" t="str">
        <f t="shared" si="260"/>
        <v>棚卸以外</v>
      </c>
      <c r="I768" s="7">
        <v>20</v>
      </c>
      <c r="J768" s="7" t="str">
        <f>"渡り廊下"</f>
        <v>渡り廊下</v>
      </c>
      <c r="K768" s="7" t="str">
        <f>"コンクリートブロック造"</f>
        <v>コンクリートブロック造</v>
      </c>
      <c r="L768" s="7" t="str">
        <f t="shared" si="276"/>
        <v>H14.08.07</v>
      </c>
      <c r="M768" s="7">
        <v>79.44</v>
      </c>
      <c r="N768" s="7">
        <v>9589000</v>
      </c>
      <c r="O768" s="7">
        <v>5194163</v>
      </c>
      <c r="P768" s="7">
        <v>0</v>
      </c>
      <c r="Q768" s="7" t="str">
        <f t="shared" si="274"/>
        <v>環境農林水産部</v>
      </c>
      <c r="R768" s="7" t="str">
        <f t="shared" si="267"/>
        <v>泉州農と緑の総合事務所</v>
      </c>
    </row>
    <row r="769" spans="1:18" s="1" customFormat="1" x14ac:dyDescent="0.45">
      <c r="A769" s="7" t="str">
        <f t="shared" si="270"/>
        <v>06179000110</v>
      </c>
      <c r="B769" s="7" t="str">
        <f t="shared" si="271"/>
        <v>紀泉わいわい村</v>
      </c>
      <c r="C769" s="7" t="str">
        <f t="shared" si="275"/>
        <v>行政財産</v>
      </c>
      <c r="D769" s="7" t="str">
        <f t="shared" si="266"/>
        <v>その他（公共用）の施設</v>
      </c>
      <c r="E769" s="7" t="str">
        <f t="shared" si="272"/>
        <v>大阪府泉南市信達葛畑</v>
      </c>
      <c r="F769" s="7"/>
      <c r="G769" s="7" t="str">
        <f t="shared" si="268"/>
        <v>事業用資産</v>
      </c>
      <c r="H769" s="7" t="str">
        <f t="shared" si="260"/>
        <v>棚卸以外</v>
      </c>
      <c r="I769" s="7">
        <v>21</v>
      </c>
      <c r="J769" s="7" t="str">
        <f>"マキ小屋"</f>
        <v>マキ小屋</v>
      </c>
      <c r="K769" s="7" t="str">
        <f t="shared" ref="K769:K777" si="277">"木造"</f>
        <v>木造</v>
      </c>
      <c r="L769" s="7" t="str">
        <f>"H15.03.25"</f>
        <v>H15.03.25</v>
      </c>
      <c r="M769" s="7">
        <v>9.7200000000000006</v>
      </c>
      <c r="N769" s="7">
        <v>998000</v>
      </c>
      <c r="O769" s="7">
        <v>997999</v>
      </c>
      <c r="P769" s="7">
        <v>0</v>
      </c>
      <c r="Q769" s="7" t="str">
        <f t="shared" si="274"/>
        <v>環境農林水産部</v>
      </c>
      <c r="R769" s="7" t="str">
        <f t="shared" si="267"/>
        <v>泉州農と緑の総合事務所</v>
      </c>
    </row>
    <row r="770" spans="1:18" s="1" customFormat="1" x14ac:dyDescent="0.45">
      <c r="A770" s="7" t="str">
        <f t="shared" si="270"/>
        <v>06179000110</v>
      </c>
      <c r="B770" s="7" t="str">
        <f t="shared" si="271"/>
        <v>紀泉わいわい村</v>
      </c>
      <c r="C770" s="7" t="str">
        <f t="shared" si="275"/>
        <v>行政財産</v>
      </c>
      <c r="D770" s="7" t="str">
        <f t="shared" si="266"/>
        <v>その他（公共用）の施設</v>
      </c>
      <c r="E770" s="7" t="str">
        <f t="shared" si="272"/>
        <v>大阪府泉南市信達葛畑</v>
      </c>
      <c r="F770" s="7"/>
      <c r="G770" s="7" t="str">
        <f t="shared" si="268"/>
        <v>事業用資産</v>
      </c>
      <c r="H770" s="7" t="str">
        <f t="shared" si="260"/>
        <v>棚卸以外</v>
      </c>
      <c r="I770" s="7">
        <v>22</v>
      </c>
      <c r="J770" s="7" t="str">
        <f>"倉庫"</f>
        <v>倉庫</v>
      </c>
      <c r="K770" s="7" t="str">
        <f t="shared" si="277"/>
        <v>木造</v>
      </c>
      <c r="L770" s="7" t="str">
        <f>"H16.02.12"</f>
        <v>H16.02.12</v>
      </c>
      <c r="M770" s="7">
        <v>20</v>
      </c>
      <c r="N770" s="7">
        <v>2466000</v>
      </c>
      <c r="O770" s="7">
        <v>2465999</v>
      </c>
      <c r="P770" s="7">
        <v>0</v>
      </c>
      <c r="Q770" s="7" t="str">
        <f t="shared" si="274"/>
        <v>環境農林水産部</v>
      </c>
      <c r="R770" s="7" t="str">
        <f t="shared" si="267"/>
        <v>泉州農と緑の総合事務所</v>
      </c>
    </row>
    <row r="771" spans="1:18" s="1" customFormat="1" x14ac:dyDescent="0.45">
      <c r="A771" s="7" t="str">
        <f t="shared" si="270"/>
        <v>06179000110</v>
      </c>
      <c r="B771" s="7" t="str">
        <f t="shared" si="271"/>
        <v>紀泉わいわい村</v>
      </c>
      <c r="C771" s="7" t="str">
        <f t="shared" si="275"/>
        <v>行政財産</v>
      </c>
      <c r="D771" s="7" t="str">
        <f t="shared" si="266"/>
        <v>その他（公共用）の施設</v>
      </c>
      <c r="E771" s="7" t="str">
        <f t="shared" si="272"/>
        <v>大阪府泉南市信達葛畑</v>
      </c>
      <c r="F771" s="7"/>
      <c r="G771" s="7" t="str">
        <f t="shared" si="268"/>
        <v>事業用資産</v>
      </c>
      <c r="H771" s="7" t="str">
        <f t="shared" si="260"/>
        <v>棚卸以外</v>
      </c>
      <c r="I771" s="7">
        <v>23</v>
      </c>
      <c r="J771" s="7" t="str">
        <f>"コテージ（小）Ａ"</f>
        <v>コテージ（小）Ａ</v>
      </c>
      <c r="K771" s="7" t="str">
        <f t="shared" si="277"/>
        <v>木造</v>
      </c>
      <c r="L771" s="7" t="str">
        <f>"H21.03.30"</f>
        <v>H21.03.30</v>
      </c>
      <c r="M771" s="7">
        <v>40</v>
      </c>
      <c r="N771" s="7">
        <v>11053000</v>
      </c>
      <c r="O771" s="7">
        <v>7033824</v>
      </c>
      <c r="P771" s="7">
        <v>0</v>
      </c>
      <c r="Q771" s="7" t="str">
        <f t="shared" si="274"/>
        <v>環境農林水産部</v>
      </c>
      <c r="R771" s="7" t="str">
        <f t="shared" si="267"/>
        <v>泉州農と緑の総合事務所</v>
      </c>
    </row>
    <row r="772" spans="1:18" s="1" customFormat="1" x14ac:dyDescent="0.45">
      <c r="A772" s="7" t="str">
        <f t="shared" si="270"/>
        <v>06179000110</v>
      </c>
      <c r="B772" s="7" t="str">
        <f t="shared" si="271"/>
        <v>紀泉わいわい村</v>
      </c>
      <c r="C772" s="7" t="str">
        <f t="shared" si="275"/>
        <v>行政財産</v>
      </c>
      <c r="D772" s="7" t="str">
        <f t="shared" si="266"/>
        <v>その他（公共用）の施設</v>
      </c>
      <c r="E772" s="7" t="str">
        <f t="shared" si="272"/>
        <v>大阪府泉南市信達葛畑</v>
      </c>
      <c r="F772" s="7"/>
      <c r="G772" s="7" t="str">
        <f t="shared" si="268"/>
        <v>事業用資産</v>
      </c>
      <c r="H772" s="7" t="str">
        <f t="shared" ref="H772:H835" si="278">"棚卸以外"</f>
        <v>棚卸以外</v>
      </c>
      <c r="I772" s="7">
        <v>24</v>
      </c>
      <c r="J772" s="7" t="str">
        <f>"コテージ（小）Ｂ"</f>
        <v>コテージ（小）Ｂ</v>
      </c>
      <c r="K772" s="7" t="str">
        <f t="shared" si="277"/>
        <v>木造</v>
      </c>
      <c r="L772" s="7" t="str">
        <f>"H21.03.30"</f>
        <v>H21.03.30</v>
      </c>
      <c r="M772" s="7">
        <v>40</v>
      </c>
      <c r="N772" s="7">
        <v>11053000</v>
      </c>
      <c r="O772" s="7">
        <v>7033824</v>
      </c>
      <c r="P772" s="7">
        <v>0</v>
      </c>
      <c r="Q772" s="7" t="str">
        <f t="shared" si="274"/>
        <v>環境農林水産部</v>
      </c>
      <c r="R772" s="7" t="str">
        <f t="shared" si="267"/>
        <v>泉州農と緑の総合事務所</v>
      </c>
    </row>
    <row r="773" spans="1:18" s="1" customFormat="1" x14ac:dyDescent="0.45">
      <c r="A773" s="7" t="str">
        <f t="shared" si="270"/>
        <v>06179000110</v>
      </c>
      <c r="B773" s="7" t="str">
        <f t="shared" si="271"/>
        <v>紀泉わいわい村</v>
      </c>
      <c r="C773" s="7" t="str">
        <f t="shared" si="275"/>
        <v>行政財産</v>
      </c>
      <c r="D773" s="7" t="str">
        <f t="shared" si="266"/>
        <v>その他（公共用）の施設</v>
      </c>
      <c r="E773" s="7" t="str">
        <f t="shared" si="272"/>
        <v>大阪府泉南市信達葛畑</v>
      </c>
      <c r="F773" s="7"/>
      <c r="G773" s="7" t="str">
        <f t="shared" si="268"/>
        <v>事業用資産</v>
      </c>
      <c r="H773" s="7" t="str">
        <f t="shared" si="278"/>
        <v>棚卸以外</v>
      </c>
      <c r="I773" s="7">
        <v>25</v>
      </c>
      <c r="J773" s="7" t="str">
        <f>"コテージ（小）Ｃ"</f>
        <v>コテージ（小）Ｃ</v>
      </c>
      <c r="K773" s="7" t="str">
        <f t="shared" si="277"/>
        <v>木造</v>
      </c>
      <c r="L773" s="7" t="str">
        <f>"H21.03.30"</f>
        <v>H21.03.30</v>
      </c>
      <c r="M773" s="7">
        <v>40</v>
      </c>
      <c r="N773" s="7">
        <v>11053000</v>
      </c>
      <c r="O773" s="7">
        <v>7033824</v>
      </c>
      <c r="P773" s="7">
        <v>0</v>
      </c>
      <c r="Q773" s="7" t="str">
        <f t="shared" si="274"/>
        <v>環境農林水産部</v>
      </c>
      <c r="R773" s="7" t="str">
        <f t="shared" si="267"/>
        <v>泉州農と緑の総合事務所</v>
      </c>
    </row>
    <row r="774" spans="1:18" s="1" customFormat="1" x14ac:dyDescent="0.45">
      <c r="A774" s="7" t="str">
        <f t="shared" si="270"/>
        <v>06179000110</v>
      </c>
      <c r="B774" s="7" t="str">
        <f t="shared" si="271"/>
        <v>紀泉わいわい村</v>
      </c>
      <c r="C774" s="7" t="str">
        <f t="shared" si="275"/>
        <v>行政財産</v>
      </c>
      <c r="D774" s="7" t="str">
        <f t="shared" si="266"/>
        <v>その他（公共用）の施設</v>
      </c>
      <c r="E774" s="7" t="str">
        <f t="shared" si="272"/>
        <v>大阪府泉南市信達葛畑</v>
      </c>
      <c r="F774" s="7"/>
      <c r="G774" s="7" t="str">
        <f t="shared" si="268"/>
        <v>事業用資産</v>
      </c>
      <c r="H774" s="7" t="str">
        <f t="shared" si="278"/>
        <v>棚卸以外</v>
      </c>
      <c r="I774" s="7">
        <v>26</v>
      </c>
      <c r="J774" s="7" t="str">
        <f>"コテージ（小）Ｄ"</f>
        <v>コテージ（小）Ｄ</v>
      </c>
      <c r="K774" s="7" t="str">
        <f t="shared" si="277"/>
        <v>木造</v>
      </c>
      <c r="L774" s="7" t="str">
        <f>"H21.03.30"</f>
        <v>H21.03.30</v>
      </c>
      <c r="M774" s="7">
        <v>42.5</v>
      </c>
      <c r="N774" s="7">
        <v>11461000</v>
      </c>
      <c r="O774" s="7">
        <v>7293384</v>
      </c>
      <c r="P774" s="7">
        <v>0</v>
      </c>
      <c r="Q774" s="7" t="str">
        <f t="shared" si="274"/>
        <v>環境農林水産部</v>
      </c>
      <c r="R774" s="7" t="str">
        <f t="shared" si="267"/>
        <v>泉州農と緑の総合事務所</v>
      </c>
    </row>
    <row r="775" spans="1:18" s="1" customFormat="1" x14ac:dyDescent="0.45">
      <c r="A775" s="7" t="str">
        <f t="shared" si="270"/>
        <v>06179000110</v>
      </c>
      <c r="B775" s="7" t="str">
        <f t="shared" si="271"/>
        <v>紀泉わいわい村</v>
      </c>
      <c r="C775" s="7" t="str">
        <f t="shared" si="275"/>
        <v>行政財産</v>
      </c>
      <c r="D775" s="7" t="str">
        <f t="shared" si="266"/>
        <v>その他（公共用）の施設</v>
      </c>
      <c r="E775" s="7" t="str">
        <f t="shared" si="272"/>
        <v>大阪府泉南市信達葛畑</v>
      </c>
      <c r="F775" s="7"/>
      <c r="G775" s="7" t="str">
        <f t="shared" si="268"/>
        <v>事業用資産</v>
      </c>
      <c r="H775" s="7" t="str">
        <f t="shared" si="278"/>
        <v>棚卸以外</v>
      </c>
      <c r="I775" s="7">
        <v>27</v>
      </c>
      <c r="J775" s="7" t="str">
        <f>"キャンプ場炊事場４"</f>
        <v>キャンプ場炊事場４</v>
      </c>
      <c r="K775" s="7" t="str">
        <f t="shared" si="277"/>
        <v>木造</v>
      </c>
      <c r="L775" s="7" t="str">
        <f>"H21.03.30"</f>
        <v>H21.03.30</v>
      </c>
      <c r="M775" s="7">
        <v>39.299999999999997</v>
      </c>
      <c r="N775" s="7">
        <v>4864000</v>
      </c>
      <c r="O775" s="7">
        <v>4539864</v>
      </c>
      <c r="P775" s="7">
        <v>0</v>
      </c>
      <c r="Q775" s="7" t="str">
        <f t="shared" si="274"/>
        <v>環境農林水産部</v>
      </c>
      <c r="R775" s="7" t="str">
        <f t="shared" si="267"/>
        <v>泉州農と緑の総合事務所</v>
      </c>
    </row>
    <row r="776" spans="1:18" s="1" customFormat="1" x14ac:dyDescent="0.45">
      <c r="A776" s="7" t="str">
        <f>"06179000112"</f>
        <v>06179000112</v>
      </c>
      <c r="B776" s="7" t="str">
        <f>"塔原公衆トイレ"</f>
        <v>塔原公衆トイレ</v>
      </c>
      <c r="C776" s="7" t="str">
        <f t="shared" si="275"/>
        <v>行政財産</v>
      </c>
      <c r="D776" s="7" t="str">
        <f t="shared" si="266"/>
        <v>その他（公共用）の施設</v>
      </c>
      <c r="E776" s="7" t="str">
        <f>"大阪府岸和田市塔原町"</f>
        <v>大阪府岸和田市塔原町</v>
      </c>
      <c r="F776" s="7"/>
      <c r="G776" s="7" t="str">
        <f t="shared" si="268"/>
        <v>事業用資産</v>
      </c>
      <c r="H776" s="7" t="str">
        <f t="shared" si="278"/>
        <v>棚卸以外</v>
      </c>
      <c r="I776" s="7">
        <v>5</v>
      </c>
      <c r="J776" s="7" t="str">
        <f>"塔原公衆"</f>
        <v>塔原公衆</v>
      </c>
      <c r="K776" s="7" t="str">
        <f t="shared" si="277"/>
        <v>木造</v>
      </c>
      <c r="L776" s="7" t="str">
        <f>"H13.03.30"</f>
        <v>H13.03.30</v>
      </c>
      <c r="M776" s="7">
        <v>13.6</v>
      </c>
      <c r="N776" s="7">
        <v>10172000</v>
      </c>
      <c r="O776" s="7">
        <v>10171999</v>
      </c>
      <c r="P776" s="7">
        <v>0</v>
      </c>
      <c r="Q776" s="7" t="str">
        <f t="shared" si="274"/>
        <v>環境農林水産部</v>
      </c>
      <c r="R776" s="7" t="str">
        <f t="shared" si="267"/>
        <v>泉州農と緑の総合事務所</v>
      </c>
    </row>
    <row r="777" spans="1:18" s="1" customFormat="1" x14ac:dyDescent="0.45">
      <c r="A777" s="7" t="str">
        <f>"06179000113"</f>
        <v>06179000113</v>
      </c>
      <c r="B777" s="7" t="str">
        <f>"和泉葛城山植生復元施設"</f>
        <v>和泉葛城山植生復元施設</v>
      </c>
      <c r="C777" s="7" t="str">
        <f t="shared" si="275"/>
        <v>行政財産</v>
      </c>
      <c r="D777" s="7" t="str">
        <f t="shared" si="266"/>
        <v>その他（公共用）の施設</v>
      </c>
      <c r="E777" s="7" t="str">
        <f>"大阪府貝塚市蕎原"</f>
        <v>大阪府貝塚市蕎原</v>
      </c>
      <c r="F777" s="7"/>
      <c r="G777" s="7" t="str">
        <f t="shared" si="268"/>
        <v>事業用資産</v>
      </c>
      <c r="H777" s="7" t="str">
        <f t="shared" si="278"/>
        <v>棚卸以外</v>
      </c>
      <c r="I777" s="7">
        <v>1</v>
      </c>
      <c r="J777" s="7" t="str">
        <f>"和泉葛城山作業小屋"</f>
        <v>和泉葛城山作業小屋</v>
      </c>
      <c r="K777" s="7" t="str">
        <f t="shared" si="277"/>
        <v>木造</v>
      </c>
      <c r="L777" s="7" t="str">
        <f>"H11.03.26"</f>
        <v>H11.03.26</v>
      </c>
      <c r="M777" s="7">
        <v>25</v>
      </c>
      <c r="N777" s="7">
        <v>9999000</v>
      </c>
      <c r="O777" s="7">
        <v>9998999</v>
      </c>
      <c r="P777" s="7">
        <v>0</v>
      </c>
      <c r="Q777" s="7" t="str">
        <f t="shared" si="274"/>
        <v>環境農林水産部</v>
      </c>
      <c r="R777" s="7" t="str">
        <f t="shared" ref="R777:R785" si="279">"泉州農と緑の総合事務所"</f>
        <v>泉州農と緑の総合事務所</v>
      </c>
    </row>
    <row r="778" spans="1:18" s="1" customFormat="1" x14ac:dyDescent="0.45">
      <c r="A778" s="7" t="str">
        <f>"06179001069"</f>
        <v>06179001069</v>
      </c>
      <c r="B778" s="7" t="str">
        <f>"ため池防災テレメータ観測局（仏並大池）"</f>
        <v>ため池防災テレメータ観測局（仏並大池）</v>
      </c>
      <c r="C778" s="7" t="str">
        <f t="shared" si="275"/>
        <v>行政財産</v>
      </c>
      <c r="D778" s="7" t="str">
        <f>"その他（行政機関）の施設"</f>
        <v>その他（行政機関）の施設</v>
      </c>
      <c r="E778" s="7" t="str">
        <f>"大阪府和泉市仏並町"</f>
        <v>大阪府和泉市仏並町</v>
      </c>
      <c r="F778" s="7"/>
      <c r="G778" s="7" t="str">
        <f>"インフラ資産"</f>
        <v>インフラ資産</v>
      </c>
      <c r="H778" s="7" t="str">
        <f t="shared" si="278"/>
        <v>棚卸以外</v>
      </c>
      <c r="I778" s="7">
        <v>1</v>
      </c>
      <c r="J778" s="7" t="str">
        <f>"仏並大池観測局舎"</f>
        <v>仏並大池観測局舎</v>
      </c>
      <c r="K778" s="7" t="str">
        <f>"鉄筋コンクリート造"</f>
        <v>鉄筋コンクリート造</v>
      </c>
      <c r="L778" s="7" t="str">
        <f>"H05.03.31"</f>
        <v>H05.03.31</v>
      </c>
      <c r="M778" s="7">
        <v>3.6</v>
      </c>
      <c r="N778" s="7">
        <v>2100000</v>
      </c>
      <c r="O778" s="7">
        <v>1260000</v>
      </c>
      <c r="P778" s="7">
        <v>0</v>
      </c>
      <c r="Q778" s="7" t="str">
        <f t="shared" si="274"/>
        <v>環境農林水産部</v>
      </c>
      <c r="R778" s="7" t="str">
        <f t="shared" si="279"/>
        <v>泉州農と緑の総合事務所</v>
      </c>
    </row>
    <row r="779" spans="1:18" s="1" customFormat="1" x14ac:dyDescent="0.45">
      <c r="A779" s="7" t="str">
        <f>"06179001071"</f>
        <v>06179001071</v>
      </c>
      <c r="B779" s="7" t="str">
        <f>"ため池防災テレメータ観測局（武恒池）"</f>
        <v>ため池防災テレメータ観測局（武恒池）</v>
      </c>
      <c r="C779" s="7" t="str">
        <f t="shared" si="275"/>
        <v>行政財産</v>
      </c>
      <c r="D779" s="7" t="str">
        <f>"その他（行政機関）の施設"</f>
        <v>その他（行政機関）の施設</v>
      </c>
      <c r="E779" s="7" t="str">
        <f>"大阪府岸和田市稲葉町"</f>
        <v>大阪府岸和田市稲葉町</v>
      </c>
      <c r="F779" s="7"/>
      <c r="G779" s="7" t="str">
        <f>"インフラ資産"</f>
        <v>インフラ資産</v>
      </c>
      <c r="H779" s="7" t="str">
        <f t="shared" si="278"/>
        <v>棚卸以外</v>
      </c>
      <c r="I779" s="7">
        <v>1</v>
      </c>
      <c r="J779" s="7" t="str">
        <f>"武恒池観測局舎"</f>
        <v>武恒池観測局舎</v>
      </c>
      <c r="K779" s="7" t="str">
        <f>"鉄筋コンクリート造"</f>
        <v>鉄筋コンクリート造</v>
      </c>
      <c r="L779" s="7" t="str">
        <f>"H06.03.25"</f>
        <v>H06.03.25</v>
      </c>
      <c r="M779" s="7">
        <v>3.6</v>
      </c>
      <c r="N779" s="7">
        <v>2456000</v>
      </c>
      <c r="O779" s="7">
        <v>1424712</v>
      </c>
      <c r="P779" s="7">
        <v>0</v>
      </c>
      <c r="Q779" s="7" t="str">
        <f t="shared" si="274"/>
        <v>環境農林水産部</v>
      </c>
      <c r="R779" s="7" t="str">
        <f t="shared" si="279"/>
        <v>泉州農と緑の総合事務所</v>
      </c>
    </row>
    <row r="780" spans="1:18" s="1" customFormat="1" x14ac:dyDescent="0.45">
      <c r="A780" s="7" t="str">
        <f>"06179001073"</f>
        <v>06179001073</v>
      </c>
      <c r="B780" s="7" t="str">
        <f>"ため池防災テレメータ観測局（大細利池）"</f>
        <v>ため池防災テレメータ観測局（大細利池）</v>
      </c>
      <c r="C780" s="7" t="str">
        <f t="shared" si="275"/>
        <v>行政財産</v>
      </c>
      <c r="D780" s="7" t="str">
        <f>"その他（行政機関）の施設"</f>
        <v>その他（行政機関）の施設</v>
      </c>
      <c r="E780" s="7" t="str">
        <f>"大阪府泉佐野市市場南３丁目"</f>
        <v>大阪府泉佐野市市場南３丁目</v>
      </c>
      <c r="F780" s="7"/>
      <c r="G780" s="7" t="str">
        <f>"インフラ資産"</f>
        <v>インフラ資産</v>
      </c>
      <c r="H780" s="7" t="str">
        <f t="shared" si="278"/>
        <v>棚卸以外</v>
      </c>
      <c r="I780" s="7">
        <v>1</v>
      </c>
      <c r="J780" s="7" t="str">
        <f>"大細利池観測局舎"</f>
        <v>大細利池観測局舎</v>
      </c>
      <c r="K780" s="7" t="str">
        <f>"鉄筋コンクリート造"</f>
        <v>鉄筋コンクリート造</v>
      </c>
      <c r="L780" s="7" t="str">
        <f>"H06.03.25"</f>
        <v>H06.03.25</v>
      </c>
      <c r="M780" s="7">
        <v>3.6</v>
      </c>
      <c r="N780" s="7">
        <v>2456000</v>
      </c>
      <c r="O780" s="7">
        <v>1424712</v>
      </c>
      <c r="P780" s="7">
        <v>0</v>
      </c>
      <c r="Q780" s="7" t="str">
        <f t="shared" si="274"/>
        <v>環境農林水産部</v>
      </c>
      <c r="R780" s="7" t="str">
        <f t="shared" si="279"/>
        <v>泉州農と緑の総合事務所</v>
      </c>
    </row>
    <row r="781" spans="1:18" s="1" customFormat="1" x14ac:dyDescent="0.45">
      <c r="A781" s="7" t="str">
        <f>"06179003003"</f>
        <v>06179003003</v>
      </c>
      <c r="B781" s="7" t="str">
        <f>"白川谷公衆トイレ"</f>
        <v>白川谷公衆トイレ</v>
      </c>
      <c r="C781" s="7" t="str">
        <f t="shared" si="275"/>
        <v>行政財産</v>
      </c>
      <c r="D781" s="7" t="str">
        <f>"その他（公共用）の施設"</f>
        <v>その他（公共用）の施設</v>
      </c>
      <c r="E781" s="7" t="str">
        <f>"大阪府和泉市父鬼町"</f>
        <v>大阪府和泉市父鬼町</v>
      </c>
      <c r="F781" s="7"/>
      <c r="G781" s="7" t="str">
        <f t="shared" ref="G781:G812" si="280">"事業用資産"</f>
        <v>事業用資産</v>
      </c>
      <c r="H781" s="7" t="str">
        <f t="shared" si="278"/>
        <v>棚卸以外</v>
      </c>
      <c r="I781" s="7">
        <v>1</v>
      </c>
      <c r="J781" s="7" t="str">
        <f>"白川谷公衆トイレ"</f>
        <v>白川谷公衆トイレ</v>
      </c>
      <c r="K781" s="7" t="str">
        <f>"木造"</f>
        <v>木造</v>
      </c>
      <c r="L781" s="7" t="str">
        <f>"H10.03.30"</f>
        <v>H10.03.30</v>
      </c>
      <c r="M781" s="7">
        <v>20.48</v>
      </c>
      <c r="N781" s="7">
        <v>14688000</v>
      </c>
      <c r="O781" s="7">
        <v>14687999</v>
      </c>
      <c r="P781" s="7">
        <v>0</v>
      </c>
      <c r="Q781" s="7" t="str">
        <f t="shared" si="274"/>
        <v>環境農林水産部</v>
      </c>
      <c r="R781" s="7" t="str">
        <f t="shared" si="279"/>
        <v>泉州農と緑の総合事務所</v>
      </c>
    </row>
    <row r="782" spans="1:18" s="1" customFormat="1" x14ac:dyDescent="0.45">
      <c r="A782" s="7" t="str">
        <f>"06179003004"</f>
        <v>06179003004</v>
      </c>
      <c r="B782" s="7" t="str">
        <f>"蕎原公衆便所"</f>
        <v>蕎原公衆便所</v>
      </c>
      <c r="C782" s="7" t="str">
        <f t="shared" si="275"/>
        <v>行政財産</v>
      </c>
      <c r="D782" s="7" t="str">
        <f>"その他（公共用）の施設"</f>
        <v>その他（公共用）の施設</v>
      </c>
      <c r="E782" s="7" t="str">
        <f>"大阪府貝塚市蕎原"</f>
        <v>大阪府貝塚市蕎原</v>
      </c>
      <c r="F782" s="7"/>
      <c r="G782" s="7" t="str">
        <f t="shared" si="280"/>
        <v>事業用資産</v>
      </c>
      <c r="H782" s="7" t="str">
        <f t="shared" si="278"/>
        <v>棚卸以外</v>
      </c>
      <c r="I782" s="7">
        <v>1</v>
      </c>
      <c r="J782" s="7" t="str">
        <f>"蕎原公衆便所"</f>
        <v>蕎原公衆便所</v>
      </c>
      <c r="K782" s="7" t="str">
        <f>"木造"</f>
        <v>木造</v>
      </c>
      <c r="L782" s="7" t="str">
        <f>"H11.07.21"</f>
        <v>H11.07.21</v>
      </c>
      <c r="M782" s="7">
        <v>31.54</v>
      </c>
      <c r="N782" s="7">
        <v>21958000</v>
      </c>
      <c r="O782" s="7">
        <v>21957999</v>
      </c>
      <c r="P782" s="7">
        <v>0</v>
      </c>
      <c r="Q782" s="7" t="str">
        <f t="shared" si="274"/>
        <v>環境農林水産部</v>
      </c>
      <c r="R782" s="7" t="str">
        <f t="shared" si="279"/>
        <v>泉州農と緑の総合事務所</v>
      </c>
    </row>
    <row r="783" spans="1:18" s="1" customFormat="1" x14ac:dyDescent="0.45">
      <c r="A783" s="7" t="str">
        <f>"06179003005"</f>
        <v>06179003005</v>
      </c>
      <c r="B783" s="7" t="str">
        <f>"蕎原箱谷公衆トイレ"</f>
        <v>蕎原箱谷公衆トイレ</v>
      </c>
      <c r="C783" s="7" t="str">
        <f t="shared" si="275"/>
        <v>行政財産</v>
      </c>
      <c r="D783" s="7" t="str">
        <f>"その他（公共用）の施設"</f>
        <v>その他（公共用）の施設</v>
      </c>
      <c r="E783" s="7" t="str">
        <f>"大阪府貝塚市蕎原"</f>
        <v>大阪府貝塚市蕎原</v>
      </c>
      <c r="F783" s="7"/>
      <c r="G783" s="7" t="str">
        <f t="shared" si="280"/>
        <v>事業用資産</v>
      </c>
      <c r="H783" s="7" t="str">
        <f t="shared" si="278"/>
        <v>棚卸以外</v>
      </c>
      <c r="I783" s="7">
        <v>1</v>
      </c>
      <c r="J783" s="7" t="str">
        <f>"蕎原箱谷公衆トイレ"</f>
        <v>蕎原箱谷公衆トイレ</v>
      </c>
      <c r="K783" s="7" t="str">
        <f>"木造"</f>
        <v>木造</v>
      </c>
      <c r="L783" s="7" t="str">
        <f>"H15.03.28"</f>
        <v>H15.03.28</v>
      </c>
      <c r="M783" s="7">
        <v>23.63</v>
      </c>
      <c r="N783" s="7">
        <v>33297000</v>
      </c>
      <c r="O783" s="7">
        <v>33296998</v>
      </c>
      <c r="P783" s="7">
        <v>0</v>
      </c>
      <c r="Q783" s="7" t="str">
        <f t="shared" si="274"/>
        <v>環境農林水産部</v>
      </c>
      <c r="R783" s="7" t="str">
        <f t="shared" si="279"/>
        <v>泉州農と緑の総合事務所</v>
      </c>
    </row>
    <row r="784" spans="1:18" s="1" customFormat="1" x14ac:dyDescent="0.45">
      <c r="A784" s="7" t="str">
        <f>"06179003006"</f>
        <v>06179003006</v>
      </c>
      <c r="B784" s="7" t="str">
        <f>"犬鳴公衆トイレ"</f>
        <v>犬鳴公衆トイレ</v>
      </c>
      <c r="C784" s="7" t="str">
        <f t="shared" si="275"/>
        <v>行政財産</v>
      </c>
      <c r="D784" s="7" t="str">
        <f>"その他（公共用）の施設"</f>
        <v>その他（公共用）の施設</v>
      </c>
      <c r="E784" s="7" t="str">
        <f>"大阪府泉佐野市大木"</f>
        <v>大阪府泉佐野市大木</v>
      </c>
      <c r="F784" s="7"/>
      <c r="G784" s="7" t="str">
        <f t="shared" si="280"/>
        <v>事業用資産</v>
      </c>
      <c r="H784" s="7" t="str">
        <f t="shared" si="278"/>
        <v>棚卸以外</v>
      </c>
      <c r="I784" s="7">
        <v>1</v>
      </c>
      <c r="J784" s="7" t="str">
        <f>"犬鳴公衆トイレ"</f>
        <v>犬鳴公衆トイレ</v>
      </c>
      <c r="K784" s="7" t="str">
        <f>"木造"</f>
        <v>木造</v>
      </c>
      <c r="L784" s="7" t="str">
        <f>"H10.03.30"</f>
        <v>H10.03.30</v>
      </c>
      <c r="M784" s="7">
        <v>30</v>
      </c>
      <c r="N784" s="7">
        <v>25932000</v>
      </c>
      <c r="O784" s="7">
        <v>25931999</v>
      </c>
      <c r="P784" s="7">
        <v>0</v>
      </c>
      <c r="Q784" s="7" t="str">
        <f t="shared" si="274"/>
        <v>環境農林水産部</v>
      </c>
      <c r="R784" s="7" t="str">
        <f t="shared" si="279"/>
        <v>泉州農と緑の総合事務所</v>
      </c>
    </row>
    <row r="785" spans="1:18" s="1" customFormat="1" x14ac:dyDescent="0.45">
      <c r="A785" s="7" t="str">
        <f>"06179003012"</f>
        <v>06179003012</v>
      </c>
      <c r="B785" s="7" t="str">
        <f>"槙尾山公衆トイレ"</f>
        <v>槙尾山公衆トイレ</v>
      </c>
      <c r="C785" s="7" t="str">
        <f t="shared" si="275"/>
        <v>行政財産</v>
      </c>
      <c r="D785" s="7" t="str">
        <f>"その他（公共用）の施設"</f>
        <v>その他（公共用）の施設</v>
      </c>
      <c r="E785" s="7" t="str">
        <f>"大阪府和泉市槇尾山町"</f>
        <v>大阪府和泉市槇尾山町</v>
      </c>
      <c r="F785" s="7"/>
      <c r="G785" s="7" t="str">
        <f t="shared" si="280"/>
        <v>事業用資産</v>
      </c>
      <c r="H785" s="7" t="str">
        <f t="shared" si="278"/>
        <v>棚卸以外</v>
      </c>
      <c r="I785" s="7">
        <v>1</v>
      </c>
      <c r="J785" s="7" t="str">
        <f>"槇尾山公衆トイレ"</f>
        <v>槇尾山公衆トイレ</v>
      </c>
      <c r="K785" s="7" t="str">
        <f>"木造"</f>
        <v>木造</v>
      </c>
      <c r="L785" s="7" t="str">
        <f>"H24.03.28"</f>
        <v>H24.03.28</v>
      </c>
      <c r="M785" s="7">
        <v>12.74</v>
      </c>
      <c r="N785" s="7">
        <v>17123506</v>
      </c>
      <c r="O785" s="7">
        <v>12557292</v>
      </c>
      <c r="P785" s="7">
        <v>0</v>
      </c>
      <c r="Q785" s="7" t="str">
        <f t="shared" si="274"/>
        <v>環境農林水産部</v>
      </c>
      <c r="R785" s="7" t="str">
        <f t="shared" si="279"/>
        <v>泉州農と緑の総合事務所</v>
      </c>
    </row>
    <row r="786" spans="1:18" s="1" customFormat="1" x14ac:dyDescent="0.45">
      <c r="A786" s="7" t="str">
        <f>"06369000172"</f>
        <v>06369000172</v>
      </c>
      <c r="B786" s="7" t="str">
        <f>"大阪府家畜保健衛生所"</f>
        <v>大阪府家畜保健衛生所</v>
      </c>
      <c r="C786" s="7" t="str">
        <f t="shared" si="275"/>
        <v>行政財産</v>
      </c>
      <c r="D786" s="7" t="str">
        <f t="shared" ref="D786:D803" si="281">"その他（行政機関）の施設"</f>
        <v>その他（行政機関）の施設</v>
      </c>
      <c r="E786" s="7" t="str">
        <f>"大阪府泉佐野市りんくう往来北"</f>
        <v>大阪府泉佐野市りんくう往来北</v>
      </c>
      <c r="F786" s="7"/>
      <c r="G786" s="7" t="str">
        <f t="shared" si="280"/>
        <v>事業用資産</v>
      </c>
      <c r="H786" s="7" t="str">
        <f t="shared" si="278"/>
        <v>棚卸以外</v>
      </c>
      <c r="I786" s="7">
        <v>1</v>
      </c>
      <c r="J786" s="7" t="str">
        <f>"大阪府家畜保健衛生所"</f>
        <v>大阪府家畜保健衛生所</v>
      </c>
      <c r="K786" s="7" t="str">
        <f>"鉄骨造"</f>
        <v>鉄骨造</v>
      </c>
      <c r="L786" s="7" t="str">
        <f>"H22.04.01"</f>
        <v>H22.04.01</v>
      </c>
      <c r="M786" s="7">
        <v>1409.85</v>
      </c>
      <c r="N786" s="7">
        <v>484620704</v>
      </c>
      <c r="O786" s="7">
        <v>187364813</v>
      </c>
      <c r="P786" s="7">
        <v>0</v>
      </c>
      <c r="Q786" s="7" t="str">
        <f t="shared" si="274"/>
        <v>環境農林水産部</v>
      </c>
      <c r="R786" s="7" t="str">
        <f>"家畜保健衛生所"</f>
        <v>家畜保健衛生所</v>
      </c>
    </row>
    <row r="787" spans="1:18" s="1" customFormat="1" ht="26.4" x14ac:dyDescent="0.45">
      <c r="A787" s="7" t="str">
        <f>"04090000200"</f>
        <v>04090000200</v>
      </c>
      <c r="B787" s="7" t="str">
        <f>"動物愛護畜産課動物管理指導所四條畷分室"</f>
        <v>動物愛護畜産課動物管理指導所四條畷分室</v>
      </c>
      <c r="C787" s="7" t="str">
        <f t="shared" si="275"/>
        <v>行政財産</v>
      </c>
      <c r="D787" s="7" t="str">
        <f t="shared" si="281"/>
        <v>その他（行政機関）の施設</v>
      </c>
      <c r="E787" s="7" t="str">
        <f>"大阪府四條畷市江瀬美町"</f>
        <v>大阪府四條畷市江瀬美町</v>
      </c>
      <c r="F787" s="7"/>
      <c r="G787" s="7" t="str">
        <f t="shared" si="280"/>
        <v>事業用資産</v>
      </c>
      <c r="H787" s="7" t="str">
        <f t="shared" si="278"/>
        <v>棚卸以外</v>
      </c>
      <c r="I787" s="7">
        <v>1</v>
      </c>
      <c r="J787" s="7" t="str">
        <f>"食品衛生課四條畷分室"</f>
        <v>食品衛生課四條畷分室</v>
      </c>
      <c r="K787" s="7" t="str">
        <f>"鉄筋コンクリート造"</f>
        <v>鉄筋コンクリート造</v>
      </c>
      <c r="L787" s="7" t="str">
        <f>"H06.09.02"</f>
        <v>H06.09.02</v>
      </c>
      <c r="M787" s="7">
        <v>199.4</v>
      </c>
      <c r="N787" s="7">
        <v>86360750</v>
      </c>
      <c r="O787" s="7">
        <v>48482694</v>
      </c>
      <c r="P787" s="7">
        <v>0</v>
      </c>
      <c r="Q787" s="7" t="str">
        <f t="shared" si="274"/>
        <v>環境農林水産部</v>
      </c>
      <c r="R787" s="7" t="str">
        <f t="shared" ref="R787:R794" si="282">"動物愛護管理センター"</f>
        <v>動物愛護管理センター</v>
      </c>
    </row>
    <row r="788" spans="1:18" s="1" customFormat="1" ht="26.4" x14ac:dyDescent="0.45">
      <c r="A788" s="7" t="str">
        <f>"04090000300"</f>
        <v>04090000300</v>
      </c>
      <c r="B788" s="7" t="str">
        <f>"動物愛護畜産課動物管理指導所泉佐野分室"</f>
        <v>動物愛護畜産課動物管理指導所泉佐野分室</v>
      </c>
      <c r="C788" s="7" t="str">
        <f t="shared" si="275"/>
        <v>行政財産</v>
      </c>
      <c r="D788" s="7" t="str">
        <f t="shared" si="281"/>
        <v>その他（行政機関）の施設</v>
      </c>
      <c r="E788" s="7" t="str">
        <f>"大阪府泉佐野市上瓦屋"</f>
        <v>大阪府泉佐野市上瓦屋</v>
      </c>
      <c r="F788" s="7"/>
      <c r="G788" s="7" t="str">
        <f t="shared" si="280"/>
        <v>事業用資産</v>
      </c>
      <c r="H788" s="7" t="str">
        <f t="shared" si="278"/>
        <v>棚卸以外</v>
      </c>
      <c r="I788" s="7">
        <v>1</v>
      </c>
      <c r="J788" s="7" t="str">
        <f>"泉佐野保健所"</f>
        <v>泉佐野保健所</v>
      </c>
      <c r="K788" s="7" t="str">
        <f>"鉄筋コンクリート造"</f>
        <v>鉄筋コンクリート造</v>
      </c>
      <c r="L788" s="7" t="str">
        <f>"H06.12.07"</f>
        <v>H06.12.07</v>
      </c>
      <c r="M788" s="7">
        <v>233.59</v>
      </c>
      <c r="N788" s="7">
        <v>86190104</v>
      </c>
      <c r="O788" s="7">
        <v>48697689</v>
      </c>
      <c r="P788" s="7">
        <v>0</v>
      </c>
      <c r="Q788" s="7" t="str">
        <f t="shared" si="274"/>
        <v>環境農林水産部</v>
      </c>
      <c r="R788" s="7" t="str">
        <f t="shared" si="282"/>
        <v>動物愛護管理センター</v>
      </c>
    </row>
    <row r="789" spans="1:18" s="1" customFormat="1" ht="26.4" x14ac:dyDescent="0.45">
      <c r="A789" s="7" t="str">
        <f>"04090000400"</f>
        <v>04090000400</v>
      </c>
      <c r="B789" s="7" t="str">
        <f>"動物愛護畜産課動物管理指導所箕面分室"</f>
        <v>動物愛護畜産課動物管理指導所箕面分室</v>
      </c>
      <c r="C789" s="7" t="str">
        <f t="shared" si="275"/>
        <v>行政財産</v>
      </c>
      <c r="D789" s="7" t="str">
        <f t="shared" si="281"/>
        <v>その他（行政機関）の施設</v>
      </c>
      <c r="E789" s="7" t="str">
        <f>"大阪府箕面市船場西１丁目"</f>
        <v>大阪府箕面市船場西１丁目</v>
      </c>
      <c r="F789" s="7"/>
      <c r="G789" s="7" t="str">
        <f t="shared" si="280"/>
        <v>事業用資産</v>
      </c>
      <c r="H789" s="7" t="str">
        <f t="shared" si="278"/>
        <v>棚卸以外</v>
      </c>
      <c r="I789" s="7">
        <v>1</v>
      </c>
      <c r="J789" s="7" t="str">
        <f>"食品衛生課箕面分室"</f>
        <v>食品衛生課箕面分室</v>
      </c>
      <c r="K789" s="7" t="str">
        <f>"鉄筋コンクリート造"</f>
        <v>鉄筋コンクリート造</v>
      </c>
      <c r="L789" s="7" t="str">
        <f>"H07.03.20"</f>
        <v>H07.03.20</v>
      </c>
      <c r="M789" s="7">
        <v>238.34</v>
      </c>
      <c r="N789" s="7">
        <v>99137820</v>
      </c>
      <c r="O789" s="7">
        <v>55003140</v>
      </c>
      <c r="P789" s="7">
        <v>0</v>
      </c>
      <c r="Q789" s="7" t="str">
        <f t="shared" si="274"/>
        <v>環境農林水産部</v>
      </c>
      <c r="R789" s="7" t="str">
        <f t="shared" si="282"/>
        <v>動物愛護管理センター</v>
      </c>
    </row>
    <row r="790" spans="1:18" s="1" customFormat="1" ht="26.4" x14ac:dyDescent="0.45">
      <c r="A790" s="7" t="str">
        <f>"06958003001"</f>
        <v>06958003001</v>
      </c>
      <c r="B790" s="7" t="str">
        <f>"動物愛護畜産課動物管理指導所泉佐野分室"</f>
        <v>動物愛護畜産課動物管理指導所泉佐野分室</v>
      </c>
      <c r="C790" s="7" t="str">
        <f t="shared" si="275"/>
        <v>行政財産</v>
      </c>
      <c r="D790" s="7" t="str">
        <f t="shared" si="281"/>
        <v>その他（行政機関）の施設</v>
      </c>
      <c r="E790" s="7" t="str">
        <f>"大阪府泉佐野市上瓦屋"</f>
        <v>大阪府泉佐野市上瓦屋</v>
      </c>
      <c r="F790" s="7"/>
      <c r="G790" s="7" t="str">
        <f t="shared" si="280"/>
        <v>事業用資産</v>
      </c>
      <c r="H790" s="7" t="str">
        <f t="shared" si="278"/>
        <v>棚卸以外</v>
      </c>
      <c r="I790" s="7">
        <v>1</v>
      </c>
      <c r="J790" s="7" t="str">
        <f>"庁舎棟"</f>
        <v>庁舎棟</v>
      </c>
      <c r="K790" s="7" t="str">
        <f>"鉄筋コンクリート造"</f>
        <v>鉄筋コンクリート造</v>
      </c>
      <c r="L790" s="7" t="str">
        <f>"H06.12.07"</f>
        <v>H06.12.07</v>
      </c>
      <c r="M790" s="7">
        <v>16.739999999999998</v>
      </c>
      <c r="N790" s="7">
        <v>12490439</v>
      </c>
      <c r="O790" s="7">
        <v>4250652</v>
      </c>
      <c r="P790" s="7">
        <v>0</v>
      </c>
      <c r="Q790" s="7" t="str">
        <f t="shared" si="274"/>
        <v>環境農林水産部</v>
      </c>
      <c r="R790" s="7" t="str">
        <f t="shared" si="282"/>
        <v>動物愛護管理センター</v>
      </c>
    </row>
    <row r="791" spans="1:18" s="1" customFormat="1" x14ac:dyDescent="0.45">
      <c r="A791" s="7" t="str">
        <f>"06958003009"</f>
        <v>06958003009</v>
      </c>
      <c r="B791" s="7" t="str">
        <f>"動物愛護管理センター"</f>
        <v>動物愛護管理センター</v>
      </c>
      <c r="C791" s="7" t="str">
        <f t="shared" si="275"/>
        <v>行政財産</v>
      </c>
      <c r="D791" s="7" t="str">
        <f t="shared" si="281"/>
        <v>その他（行政機関）の施設</v>
      </c>
      <c r="E791" s="7" t="str">
        <f>"大阪府羽曳野市尺度"</f>
        <v>大阪府羽曳野市尺度</v>
      </c>
      <c r="F791" s="7" t="str">
        <f>"53番地の4"</f>
        <v>53番地の4</v>
      </c>
      <c r="G791" s="7" t="str">
        <f t="shared" si="280"/>
        <v>事業用資産</v>
      </c>
      <c r="H791" s="7" t="str">
        <f t="shared" si="278"/>
        <v>棚卸以外</v>
      </c>
      <c r="I791" s="7">
        <v>1</v>
      </c>
      <c r="J791" s="7" t="str">
        <f>"動物愛護管理センター棟"</f>
        <v>動物愛護管理センター棟</v>
      </c>
      <c r="K791" s="7" t="str">
        <f>"鉄筋コンクリート造"</f>
        <v>鉄筋コンクリート造</v>
      </c>
      <c r="L791" s="7" t="str">
        <f>"H29.06.30"</f>
        <v>H29.06.30</v>
      </c>
      <c r="M791" s="7">
        <v>2555.9899999999998</v>
      </c>
      <c r="N791" s="7">
        <v>1056557730</v>
      </c>
      <c r="O791" s="7">
        <v>258006801</v>
      </c>
      <c r="P791" s="7">
        <v>0</v>
      </c>
      <c r="Q791" s="7" t="str">
        <f t="shared" si="274"/>
        <v>環境農林水産部</v>
      </c>
      <c r="R791" s="7" t="str">
        <f t="shared" si="282"/>
        <v>動物愛護管理センター</v>
      </c>
    </row>
    <row r="792" spans="1:18" s="1" customFormat="1" ht="26.4" x14ac:dyDescent="0.45">
      <c r="A792" s="7" t="str">
        <f>"06958003009"</f>
        <v>06958003009</v>
      </c>
      <c r="B792" s="7" t="str">
        <f>"動物愛護管理センター"</f>
        <v>動物愛護管理センター</v>
      </c>
      <c r="C792" s="7" t="str">
        <f t="shared" si="275"/>
        <v>行政財産</v>
      </c>
      <c r="D792" s="7" t="str">
        <f t="shared" si="281"/>
        <v>その他（行政機関）の施設</v>
      </c>
      <c r="E792" s="7" t="str">
        <f>"大阪府羽曳野市尺度"</f>
        <v>大阪府羽曳野市尺度</v>
      </c>
      <c r="F792" s="7" t="str">
        <f>"53番地の4"</f>
        <v>53番地の4</v>
      </c>
      <c r="G792" s="7" t="str">
        <f t="shared" si="280"/>
        <v>事業用資産</v>
      </c>
      <c r="H792" s="7" t="str">
        <f t="shared" si="278"/>
        <v>棚卸以外</v>
      </c>
      <c r="I792" s="7">
        <v>2</v>
      </c>
      <c r="J792" s="7" t="str">
        <f>"動物愛護管理センター　傷病野生鳥獣保護屋外施設"</f>
        <v>動物愛護管理センター　傷病野生鳥獣保護屋外施設</v>
      </c>
      <c r="K792" s="7" t="str">
        <f>"鉄骨造"</f>
        <v>鉄骨造</v>
      </c>
      <c r="L792" s="7" t="str">
        <f>"H29.06.30"</f>
        <v>H29.06.30</v>
      </c>
      <c r="M792" s="7">
        <v>100</v>
      </c>
      <c r="N792" s="7">
        <v>80441674</v>
      </c>
      <c r="O792" s="7">
        <v>15322485</v>
      </c>
      <c r="P792" s="7">
        <v>0</v>
      </c>
      <c r="Q792" s="7" t="str">
        <f t="shared" si="274"/>
        <v>環境農林水産部</v>
      </c>
      <c r="R792" s="7" t="str">
        <f t="shared" si="282"/>
        <v>動物愛護管理センター</v>
      </c>
    </row>
    <row r="793" spans="1:18" s="1" customFormat="1" x14ac:dyDescent="0.45">
      <c r="A793" s="7" t="str">
        <f>"06958003009"</f>
        <v>06958003009</v>
      </c>
      <c r="B793" s="7" t="str">
        <f>"動物愛護管理センター"</f>
        <v>動物愛護管理センター</v>
      </c>
      <c r="C793" s="7" t="str">
        <f t="shared" si="275"/>
        <v>行政財産</v>
      </c>
      <c r="D793" s="7" t="str">
        <f t="shared" si="281"/>
        <v>その他（行政機関）の施設</v>
      </c>
      <c r="E793" s="7" t="str">
        <f>"大阪府羽曳野市尺度"</f>
        <v>大阪府羽曳野市尺度</v>
      </c>
      <c r="F793" s="7" t="str">
        <f>"53番地の4"</f>
        <v>53番地の4</v>
      </c>
      <c r="G793" s="7" t="str">
        <f t="shared" si="280"/>
        <v>事業用資産</v>
      </c>
      <c r="H793" s="7" t="str">
        <f t="shared" si="278"/>
        <v>棚卸以外</v>
      </c>
      <c r="I793" s="7">
        <v>3</v>
      </c>
      <c r="J793" s="7" t="str">
        <f>"動物愛護管理センター　収容犬運動場"</f>
        <v>動物愛護管理センター　収容犬運動場</v>
      </c>
      <c r="K793" s="7" t="str">
        <f>"鉄骨造"</f>
        <v>鉄骨造</v>
      </c>
      <c r="L793" s="7" t="str">
        <f>"H29.06.30"</f>
        <v>H29.06.30</v>
      </c>
      <c r="M793" s="7">
        <v>172.48</v>
      </c>
      <c r="N793" s="7">
        <v>15584821</v>
      </c>
      <c r="O793" s="7">
        <v>3139224</v>
      </c>
      <c r="P793" s="7">
        <v>0</v>
      </c>
      <c r="Q793" s="7" t="str">
        <f t="shared" si="274"/>
        <v>環境農林水産部</v>
      </c>
      <c r="R793" s="7" t="str">
        <f t="shared" si="282"/>
        <v>動物愛護管理センター</v>
      </c>
    </row>
    <row r="794" spans="1:18" s="1" customFormat="1" x14ac:dyDescent="0.45">
      <c r="A794" s="7" t="str">
        <f>"06958003009"</f>
        <v>06958003009</v>
      </c>
      <c r="B794" s="7" t="str">
        <f>"動物愛護管理センター"</f>
        <v>動物愛護管理センター</v>
      </c>
      <c r="C794" s="7" t="str">
        <f t="shared" si="275"/>
        <v>行政財産</v>
      </c>
      <c r="D794" s="7" t="str">
        <f t="shared" si="281"/>
        <v>その他（行政機関）の施設</v>
      </c>
      <c r="E794" s="7" t="str">
        <f>"大阪府羽曳野市尺度"</f>
        <v>大阪府羽曳野市尺度</v>
      </c>
      <c r="F794" s="7" t="str">
        <f>"53番地の4"</f>
        <v>53番地の4</v>
      </c>
      <c r="G794" s="7" t="str">
        <f t="shared" si="280"/>
        <v>事業用資産</v>
      </c>
      <c r="H794" s="7" t="str">
        <f t="shared" si="278"/>
        <v>棚卸以外</v>
      </c>
      <c r="I794" s="7">
        <v>4</v>
      </c>
      <c r="J794" s="7" t="str">
        <f>"動物愛護管理センター　屋外倉庫"</f>
        <v>動物愛護管理センター　屋外倉庫</v>
      </c>
      <c r="K794" s="7" t="str">
        <f>"鉄骨造"</f>
        <v>鉄骨造</v>
      </c>
      <c r="L794" s="7" t="str">
        <f>"H29.06.30"</f>
        <v>H29.06.30</v>
      </c>
      <c r="M794" s="7">
        <v>19.55</v>
      </c>
      <c r="N794" s="7">
        <v>4100036</v>
      </c>
      <c r="O794" s="7">
        <v>1177554</v>
      </c>
      <c r="P794" s="7">
        <v>0</v>
      </c>
      <c r="Q794" s="7" t="str">
        <f t="shared" si="274"/>
        <v>環境農林水産部</v>
      </c>
      <c r="R794" s="7" t="str">
        <f t="shared" si="282"/>
        <v>動物愛護管理センター</v>
      </c>
    </row>
    <row r="795" spans="1:18" s="1" customFormat="1" x14ac:dyDescent="0.45">
      <c r="A795" s="7" t="str">
        <f t="shared" ref="A795:A802" si="283">"08201000000"</f>
        <v>08201000000</v>
      </c>
      <c r="B795" s="7" t="str">
        <f t="shared" ref="B795:B802" si="284">"池田土木事務所能勢出張所"</f>
        <v>池田土木事務所能勢出張所</v>
      </c>
      <c r="C795" s="7" t="str">
        <f t="shared" si="275"/>
        <v>行政財産</v>
      </c>
      <c r="D795" s="7" t="str">
        <f t="shared" si="281"/>
        <v>その他（行政機関）の施設</v>
      </c>
      <c r="E795" s="7" t="str">
        <f t="shared" ref="E795:E802" si="285">"大阪府豊能郡　能勢町大里"</f>
        <v>大阪府豊能郡　能勢町大里</v>
      </c>
      <c r="F795" s="7"/>
      <c r="G795" s="7" t="str">
        <f t="shared" si="280"/>
        <v>事業用資産</v>
      </c>
      <c r="H795" s="7" t="str">
        <f t="shared" si="278"/>
        <v>棚卸以外</v>
      </c>
      <c r="I795" s="7">
        <v>19</v>
      </c>
      <c r="J795" s="7" t="str">
        <f>"水防倉庫"</f>
        <v>水防倉庫</v>
      </c>
      <c r="K795" s="7" t="str">
        <f>"軽量鉄骨造"</f>
        <v>軽量鉄骨造</v>
      </c>
      <c r="L795" s="7" t="str">
        <f>"S48.03.30"</f>
        <v>S48.03.30</v>
      </c>
      <c r="M795" s="7">
        <v>130.6</v>
      </c>
      <c r="N795" s="7">
        <v>1970000</v>
      </c>
      <c r="O795" s="7">
        <v>1969999</v>
      </c>
      <c r="P795" s="7">
        <v>0</v>
      </c>
      <c r="Q795" s="7" t="str">
        <f t="shared" ref="Q795:Q858" si="286">"都市整備部"</f>
        <v>都市整備部</v>
      </c>
      <c r="R795" s="7" t="str">
        <f t="shared" ref="R795:R826" si="287">"池田土木事務所"</f>
        <v>池田土木事務所</v>
      </c>
    </row>
    <row r="796" spans="1:18" s="1" customFormat="1" x14ac:dyDescent="0.45">
      <c r="A796" s="7" t="str">
        <f t="shared" si="283"/>
        <v>08201000000</v>
      </c>
      <c r="B796" s="7" t="str">
        <f t="shared" si="284"/>
        <v>池田土木事務所能勢出張所</v>
      </c>
      <c r="C796" s="7" t="str">
        <f t="shared" si="275"/>
        <v>行政財産</v>
      </c>
      <c r="D796" s="7" t="str">
        <f t="shared" si="281"/>
        <v>その他（行政機関）の施設</v>
      </c>
      <c r="E796" s="7" t="str">
        <f t="shared" si="285"/>
        <v>大阪府豊能郡　能勢町大里</v>
      </c>
      <c r="F796" s="7"/>
      <c r="G796" s="7" t="str">
        <f t="shared" si="280"/>
        <v>事業用資産</v>
      </c>
      <c r="H796" s="7" t="str">
        <f t="shared" si="278"/>
        <v>棚卸以外</v>
      </c>
      <c r="I796" s="7">
        <v>20</v>
      </c>
      <c r="J796" s="7" t="str">
        <f>"倉庫"</f>
        <v>倉庫</v>
      </c>
      <c r="K796" s="7" t="str">
        <f>"鉄骨造"</f>
        <v>鉄骨造</v>
      </c>
      <c r="L796" s="7" t="str">
        <f>"S48.03.30"</f>
        <v>S48.03.30</v>
      </c>
      <c r="M796" s="7">
        <v>60</v>
      </c>
      <c r="N796" s="7">
        <v>920000</v>
      </c>
      <c r="O796" s="7">
        <v>919999</v>
      </c>
      <c r="P796" s="7">
        <v>0</v>
      </c>
      <c r="Q796" s="7" t="str">
        <f t="shared" si="286"/>
        <v>都市整備部</v>
      </c>
      <c r="R796" s="7" t="str">
        <f t="shared" si="287"/>
        <v>池田土木事務所</v>
      </c>
    </row>
    <row r="797" spans="1:18" s="1" customFormat="1" x14ac:dyDescent="0.45">
      <c r="A797" s="7" t="str">
        <f t="shared" si="283"/>
        <v>08201000000</v>
      </c>
      <c r="B797" s="7" t="str">
        <f t="shared" si="284"/>
        <v>池田土木事務所能勢出張所</v>
      </c>
      <c r="C797" s="7" t="str">
        <f t="shared" si="275"/>
        <v>行政財産</v>
      </c>
      <c r="D797" s="7" t="str">
        <f t="shared" si="281"/>
        <v>その他（行政機関）の施設</v>
      </c>
      <c r="E797" s="7" t="str">
        <f t="shared" si="285"/>
        <v>大阪府豊能郡　能勢町大里</v>
      </c>
      <c r="F797" s="7"/>
      <c r="G797" s="7" t="str">
        <f t="shared" si="280"/>
        <v>事業用資産</v>
      </c>
      <c r="H797" s="7" t="str">
        <f t="shared" si="278"/>
        <v>棚卸以外</v>
      </c>
      <c r="I797" s="7">
        <v>21</v>
      </c>
      <c r="J797" s="7" t="str">
        <f>"本館"</f>
        <v>本館</v>
      </c>
      <c r="K797" s="7" t="str">
        <f>"鉄筋コンクリート造"</f>
        <v>鉄筋コンクリート造</v>
      </c>
      <c r="L797" s="7" t="str">
        <f>"S58.02.14"</f>
        <v>S58.02.14</v>
      </c>
      <c r="M797" s="7">
        <v>257.17</v>
      </c>
      <c r="N797" s="7">
        <v>55979000</v>
      </c>
      <c r="O797" s="7">
        <v>44876819</v>
      </c>
      <c r="P797" s="7">
        <v>0</v>
      </c>
      <c r="Q797" s="7" t="str">
        <f t="shared" si="286"/>
        <v>都市整備部</v>
      </c>
      <c r="R797" s="7" t="str">
        <f t="shared" si="287"/>
        <v>池田土木事務所</v>
      </c>
    </row>
    <row r="798" spans="1:18" s="1" customFormat="1" x14ac:dyDescent="0.45">
      <c r="A798" s="7" t="str">
        <f t="shared" si="283"/>
        <v>08201000000</v>
      </c>
      <c r="B798" s="7" t="str">
        <f t="shared" si="284"/>
        <v>池田土木事務所能勢出張所</v>
      </c>
      <c r="C798" s="7" t="str">
        <f t="shared" si="275"/>
        <v>行政財産</v>
      </c>
      <c r="D798" s="7" t="str">
        <f t="shared" si="281"/>
        <v>その他（行政機関）の施設</v>
      </c>
      <c r="E798" s="7" t="str">
        <f t="shared" si="285"/>
        <v>大阪府豊能郡　能勢町大里</v>
      </c>
      <c r="F798" s="7"/>
      <c r="G798" s="7" t="str">
        <f t="shared" si="280"/>
        <v>事業用資産</v>
      </c>
      <c r="H798" s="7" t="str">
        <f t="shared" si="278"/>
        <v>棚卸以外</v>
      </c>
      <c r="I798" s="7">
        <v>22</v>
      </c>
      <c r="J798" s="7" t="str">
        <f>"倉庫"</f>
        <v>倉庫</v>
      </c>
      <c r="K798" s="7" t="str">
        <f>"鉄骨造"</f>
        <v>鉄骨造</v>
      </c>
      <c r="L798" s="7" t="str">
        <f>"S58.02.14"</f>
        <v>S58.02.14</v>
      </c>
      <c r="M798" s="7">
        <v>24.84</v>
      </c>
      <c r="N798" s="7">
        <v>1918000</v>
      </c>
      <c r="O798" s="7">
        <v>1917999</v>
      </c>
      <c r="P798" s="7">
        <v>0</v>
      </c>
      <c r="Q798" s="7" t="str">
        <f t="shared" si="286"/>
        <v>都市整備部</v>
      </c>
      <c r="R798" s="7" t="str">
        <f t="shared" si="287"/>
        <v>池田土木事務所</v>
      </c>
    </row>
    <row r="799" spans="1:18" s="1" customFormat="1" x14ac:dyDescent="0.45">
      <c r="A799" s="7" t="str">
        <f t="shared" si="283"/>
        <v>08201000000</v>
      </c>
      <c r="B799" s="7" t="str">
        <f t="shared" si="284"/>
        <v>池田土木事務所能勢出張所</v>
      </c>
      <c r="C799" s="7" t="str">
        <f t="shared" si="275"/>
        <v>行政財産</v>
      </c>
      <c r="D799" s="7" t="str">
        <f t="shared" si="281"/>
        <v>その他（行政機関）の施設</v>
      </c>
      <c r="E799" s="7" t="str">
        <f t="shared" si="285"/>
        <v>大阪府豊能郡　能勢町大里</v>
      </c>
      <c r="F799" s="7"/>
      <c r="G799" s="7" t="str">
        <f t="shared" si="280"/>
        <v>事業用資産</v>
      </c>
      <c r="H799" s="7" t="str">
        <f t="shared" si="278"/>
        <v>棚卸以外</v>
      </c>
      <c r="I799" s="7">
        <v>23</v>
      </c>
      <c r="J799" s="7" t="str">
        <f>"プロパン庫"</f>
        <v>プロパン庫</v>
      </c>
      <c r="K799" s="7" t="str">
        <f>"コンクリートブロック造"</f>
        <v>コンクリートブロック造</v>
      </c>
      <c r="L799" s="7" t="str">
        <f>"S58.02.14"</f>
        <v>S58.02.14</v>
      </c>
      <c r="M799" s="7">
        <v>3.44</v>
      </c>
      <c r="N799" s="7">
        <v>393000</v>
      </c>
      <c r="O799" s="7">
        <v>392999</v>
      </c>
      <c r="P799" s="7">
        <v>0</v>
      </c>
      <c r="Q799" s="7" t="str">
        <f t="shared" si="286"/>
        <v>都市整備部</v>
      </c>
      <c r="R799" s="7" t="str">
        <f t="shared" si="287"/>
        <v>池田土木事務所</v>
      </c>
    </row>
    <row r="800" spans="1:18" s="1" customFormat="1" x14ac:dyDescent="0.45">
      <c r="A800" s="7" t="str">
        <f t="shared" si="283"/>
        <v>08201000000</v>
      </c>
      <c r="B800" s="7" t="str">
        <f t="shared" si="284"/>
        <v>池田土木事務所能勢出張所</v>
      </c>
      <c r="C800" s="7" t="str">
        <f t="shared" si="275"/>
        <v>行政財産</v>
      </c>
      <c r="D800" s="7" t="str">
        <f t="shared" si="281"/>
        <v>その他（行政機関）の施設</v>
      </c>
      <c r="E800" s="7" t="str">
        <f t="shared" si="285"/>
        <v>大阪府豊能郡　能勢町大里</v>
      </c>
      <c r="F800" s="7"/>
      <c r="G800" s="7" t="str">
        <f t="shared" si="280"/>
        <v>事業用資産</v>
      </c>
      <c r="H800" s="7" t="str">
        <f t="shared" si="278"/>
        <v>棚卸以外</v>
      </c>
      <c r="I800" s="7">
        <v>24</v>
      </c>
      <c r="J800" s="7" t="str">
        <f>"車庫"</f>
        <v>車庫</v>
      </c>
      <c r="K800" s="7" t="str">
        <f>"鉄骨造"</f>
        <v>鉄骨造</v>
      </c>
      <c r="L800" s="7" t="str">
        <f>"S58.11.01"</f>
        <v>S58.11.01</v>
      </c>
      <c r="M800" s="7">
        <v>266.95</v>
      </c>
      <c r="N800" s="7">
        <v>17780000</v>
      </c>
      <c r="O800" s="7">
        <v>17779999</v>
      </c>
      <c r="P800" s="7">
        <v>0</v>
      </c>
      <c r="Q800" s="7" t="str">
        <f t="shared" si="286"/>
        <v>都市整備部</v>
      </c>
      <c r="R800" s="7" t="str">
        <f t="shared" si="287"/>
        <v>池田土木事務所</v>
      </c>
    </row>
    <row r="801" spans="1:18" s="1" customFormat="1" x14ac:dyDescent="0.45">
      <c r="A801" s="7" t="str">
        <f t="shared" si="283"/>
        <v>08201000000</v>
      </c>
      <c r="B801" s="7" t="str">
        <f t="shared" si="284"/>
        <v>池田土木事務所能勢出張所</v>
      </c>
      <c r="C801" s="7" t="str">
        <f t="shared" si="275"/>
        <v>行政財産</v>
      </c>
      <c r="D801" s="7" t="str">
        <f t="shared" si="281"/>
        <v>その他（行政機関）の施設</v>
      </c>
      <c r="E801" s="7" t="str">
        <f t="shared" si="285"/>
        <v>大阪府豊能郡　能勢町大里</v>
      </c>
      <c r="F801" s="7"/>
      <c r="G801" s="7" t="str">
        <f t="shared" si="280"/>
        <v>事業用資産</v>
      </c>
      <c r="H801" s="7" t="str">
        <f t="shared" si="278"/>
        <v>棚卸以外</v>
      </c>
      <c r="I801" s="7">
        <v>25</v>
      </c>
      <c r="J801" s="7" t="str">
        <f>"ポンプ庫"</f>
        <v>ポンプ庫</v>
      </c>
      <c r="K801" s="7" t="str">
        <f>"鉄筋コンクリート造"</f>
        <v>鉄筋コンクリート造</v>
      </c>
      <c r="L801" s="7" t="str">
        <f>"S58.11.01"</f>
        <v>S58.11.01</v>
      </c>
      <c r="M801" s="7">
        <v>2.59</v>
      </c>
      <c r="N801" s="7">
        <v>880000</v>
      </c>
      <c r="O801" s="7">
        <v>879999</v>
      </c>
      <c r="P801" s="7">
        <v>0</v>
      </c>
      <c r="Q801" s="7" t="str">
        <f t="shared" si="286"/>
        <v>都市整備部</v>
      </c>
      <c r="R801" s="7" t="str">
        <f t="shared" si="287"/>
        <v>池田土木事務所</v>
      </c>
    </row>
    <row r="802" spans="1:18" s="1" customFormat="1" x14ac:dyDescent="0.45">
      <c r="A802" s="7" t="str">
        <f t="shared" si="283"/>
        <v>08201000000</v>
      </c>
      <c r="B802" s="7" t="str">
        <f t="shared" si="284"/>
        <v>池田土木事務所能勢出張所</v>
      </c>
      <c r="C802" s="7" t="str">
        <f t="shared" si="275"/>
        <v>行政財産</v>
      </c>
      <c r="D802" s="7" t="str">
        <f t="shared" si="281"/>
        <v>その他（行政機関）の施設</v>
      </c>
      <c r="E802" s="7" t="str">
        <f t="shared" si="285"/>
        <v>大阪府豊能郡　能勢町大里</v>
      </c>
      <c r="F802" s="7"/>
      <c r="G802" s="7" t="str">
        <f t="shared" si="280"/>
        <v>事業用資産</v>
      </c>
      <c r="H802" s="7" t="str">
        <f t="shared" si="278"/>
        <v>棚卸以外</v>
      </c>
      <c r="I802" s="7">
        <v>26</v>
      </c>
      <c r="J802" s="7" t="str">
        <f>"倉庫．（エンカル庫）"</f>
        <v>倉庫．（エンカル庫）</v>
      </c>
      <c r="K802" s="7" t="str">
        <f>"鉄筋コンクリート造"</f>
        <v>鉄筋コンクリート造</v>
      </c>
      <c r="L802" s="7" t="str">
        <f>"S58.11.01"</f>
        <v>S58.11.01</v>
      </c>
      <c r="M802" s="7">
        <v>40</v>
      </c>
      <c r="N802" s="7">
        <v>4378000</v>
      </c>
      <c r="O802" s="7">
        <v>4377999</v>
      </c>
      <c r="P802" s="7">
        <v>0</v>
      </c>
      <c r="Q802" s="7" t="str">
        <f t="shared" si="286"/>
        <v>都市整備部</v>
      </c>
      <c r="R802" s="7" t="str">
        <f t="shared" si="287"/>
        <v>池田土木事務所</v>
      </c>
    </row>
    <row r="803" spans="1:18" s="1" customFormat="1" x14ac:dyDescent="0.45">
      <c r="A803" s="7" t="str">
        <f>"08201000100"</f>
        <v>08201000100</v>
      </c>
      <c r="B803" s="7" t="str">
        <f>"水防倉庫（豊島水防倉庫）"</f>
        <v>水防倉庫（豊島水防倉庫）</v>
      </c>
      <c r="C803" s="7" t="str">
        <f t="shared" si="275"/>
        <v>行政財産</v>
      </c>
      <c r="D803" s="7" t="str">
        <f t="shared" si="281"/>
        <v>その他（行政機関）の施設</v>
      </c>
      <c r="E803" s="7" t="str">
        <f>"大阪府池田市豊島北１丁目"</f>
        <v>大阪府池田市豊島北１丁目</v>
      </c>
      <c r="F803" s="7"/>
      <c r="G803" s="7" t="str">
        <f t="shared" si="280"/>
        <v>事業用資産</v>
      </c>
      <c r="H803" s="7" t="str">
        <f t="shared" si="278"/>
        <v>棚卸以外</v>
      </c>
      <c r="I803" s="7">
        <v>1</v>
      </c>
      <c r="J803" s="7" t="str">
        <f>"豊島水防倉庫"</f>
        <v>豊島水防倉庫</v>
      </c>
      <c r="K803" s="7" t="str">
        <f>"軽量鉄骨造"</f>
        <v>軽量鉄骨造</v>
      </c>
      <c r="L803" s="7" t="str">
        <f>"H05.06.07"</f>
        <v>H05.06.07</v>
      </c>
      <c r="M803" s="7">
        <v>218.25</v>
      </c>
      <c r="N803" s="7">
        <v>17670437</v>
      </c>
      <c r="O803" s="7">
        <v>15849361</v>
      </c>
      <c r="P803" s="7">
        <v>0</v>
      </c>
      <c r="Q803" s="7" t="str">
        <f t="shared" si="286"/>
        <v>都市整備部</v>
      </c>
      <c r="R803" s="7" t="str">
        <f t="shared" si="287"/>
        <v>池田土木事務所</v>
      </c>
    </row>
    <row r="804" spans="1:18" s="1" customFormat="1" x14ac:dyDescent="0.45">
      <c r="A804" s="7" t="str">
        <f t="shared" ref="A804:A835" si="288">"08201000160"</f>
        <v>08201000160</v>
      </c>
      <c r="B804" s="7" t="str">
        <f t="shared" ref="B804:B835" si="289">"服部緑地（一般会計）"</f>
        <v>服部緑地（一般会計）</v>
      </c>
      <c r="C804" s="7" t="str">
        <f t="shared" si="275"/>
        <v>行政財産</v>
      </c>
      <c r="D804" s="7" t="str">
        <f t="shared" ref="D804:D835" si="290">"公園"</f>
        <v>公園</v>
      </c>
      <c r="E804" s="7" t="str">
        <f t="shared" ref="E804:E835" si="291">"大阪府豊中市服部緑地"</f>
        <v>大阪府豊中市服部緑地</v>
      </c>
      <c r="F804" s="7"/>
      <c r="G804" s="7" t="str">
        <f t="shared" si="280"/>
        <v>事業用資産</v>
      </c>
      <c r="H804" s="7" t="str">
        <f t="shared" si="278"/>
        <v>棚卸以外</v>
      </c>
      <c r="I804" s="7">
        <v>5</v>
      </c>
      <c r="J804" s="7" t="str">
        <f>"山ヶ池南便所"</f>
        <v>山ヶ池南便所</v>
      </c>
      <c r="K804" s="7" t="str">
        <f>"レンガ、石積造"</f>
        <v>レンガ、石積造</v>
      </c>
      <c r="L804" s="7" t="str">
        <f>"S30.03.31"</f>
        <v>S30.03.31</v>
      </c>
      <c r="M804" s="7">
        <v>10.41</v>
      </c>
      <c r="N804" s="7">
        <v>165741</v>
      </c>
      <c r="O804" s="7">
        <v>165740</v>
      </c>
      <c r="P804" s="7">
        <v>0</v>
      </c>
      <c r="Q804" s="7" t="str">
        <f t="shared" si="286"/>
        <v>都市整備部</v>
      </c>
      <c r="R804" s="7" t="str">
        <f t="shared" si="287"/>
        <v>池田土木事務所</v>
      </c>
    </row>
    <row r="805" spans="1:18" s="1" customFormat="1" x14ac:dyDescent="0.45">
      <c r="A805" s="7" t="str">
        <f t="shared" si="288"/>
        <v>08201000160</v>
      </c>
      <c r="B805" s="7" t="str">
        <f t="shared" si="289"/>
        <v>服部緑地（一般会計）</v>
      </c>
      <c r="C805" s="7" t="str">
        <f t="shared" si="275"/>
        <v>行政財産</v>
      </c>
      <c r="D805" s="7" t="str">
        <f t="shared" si="290"/>
        <v>公園</v>
      </c>
      <c r="E805" s="7" t="str">
        <f t="shared" si="291"/>
        <v>大阪府豊中市服部緑地</v>
      </c>
      <c r="F805" s="7"/>
      <c r="G805" s="7" t="str">
        <f t="shared" si="280"/>
        <v>事業用資産</v>
      </c>
      <c r="H805" s="7" t="str">
        <f t="shared" si="278"/>
        <v>棚卸以外</v>
      </c>
      <c r="I805" s="7">
        <v>7</v>
      </c>
      <c r="J805" s="7" t="str">
        <f>"ユースホステル前休憩所"</f>
        <v>ユースホステル前休憩所</v>
      </c>
      <c r="K805" s="7" t="str">
        <f>"鉄筋コンクリート造"</f>
        <v>鉄筋コンクリート造</v>
      </c>
      <c r="L805" s="7" t="str">
        <f>"S31.03.31"</f>
        <v>S31.03.31</v>
      </c>
      <c r="M805" s="7">
        <v>38.94</v>
      </c>
      <c r="N805" s="7">
        <v>422419</v>
      </c>
      <c r="O805" s="7">
        <v>422418</v>
      </c>
      <c r="P805" s="7">
        <v>0</v>
      </c>
      <c r="Q805" s="7" t="str">
        <f t="shared" si="286"/>
        <v>都市整備部</v>
      </c>
      <c r="R805" s="7" t="str">
        <f t="shared" si="287"/>
        <v>池田土木事務所</v>
      </c>
    </row>
    <row r="806" spans="1:18" s="1" customFormat="1" x14ac:dyDescent="0.45">
      <c r="A806" s="7" t="str">
        <f t="shared" si="288"/>
        <v>08201000160</v>
      </c>
      <c r="B806" s="7" t="str">
        <f t="shared" si="289"/>
        <v>服部緑地（一般会計）</v>
      </c>
      <c r="C806" s="7" t="str">
        <f t="shared" si="275"/>
        <v>行政財産</v>
      </c>
      <c r="D806" s="7" t="str">
        <f t="shared" si="290"/>
        <v>公園</v>
      </c>
      <c r="E806" s="7" t="str">
        <f t="shared" si="291"/>
        <v>大阪府豊中市服部緑地</v>
      </c>
      <c r="F806" s="7"/>
      <c r="G806" s="7" t="str">
        <f t="shared" si="280"/>
        <v>事業用資産</v>
      </c>
      <c r="H806" s="7" t="str">
        <f t="shared" si="278"/>
        <v>棚卸以外</v>
      </c>
      <c r="I806" s="7">
        <v>26</v>
      </c>
      <c r="J806" s="7" t="str">
        <f>"野球場南休憩所"</f>
        <v>野球場南休憩所</v>
      </c>
      <c r="K806" s="7" t="str">
        <f>"鉄筋コンクリート造"</f>
        <v>鉄筋コンクリート造</v>
      </c>
      <c r="L806" s="7" t="str">
        <f>"S35.11.18"</f>
        <v>S35.11.18</v>
      </c>
      <c r="M806" s="7">
        <v>76.03</v>
      </c>
      <c r="N806" s="7">
        <v>1065600</v>
      </c>
      <c r="O806" s="7">
        <v>1065599</v>
      </c>
      <c r="P806" s="7">
        <v>0</v>
      </c>
      <c r="Q806" s="7" t="str">
        <f t="shared" si="286"/>
        <v>都市整備部</v>
      </c>
      <c r="R806" s="7" t="str">
        <f t="shared" si="287"/>
        <v>池田土木事務所</v>
      </c>
    </row>
    <row r="807" spans="1:18" s="1" customFormat="1" x14ac:dyDescent="0.45">
      <c r="A807" s="7" t="str">
        <f t="shared" si="288"/>
        <v>08201000160</v>
      </c>
      <c r="B807" s="7" t="str">
        <f t="shared" si="289"/>
        <v>服部緑地（一般会計）</v>
      </c>
      <c r="C807" s="7" t="str">
        <f t="shared" si="275"/>
        <v>行政財産</v>
      </c>
      <c r="D807" s="7" t="str">
        <f t="shared" si="290"/>
        <v>公園</v>
      </c>
      <c r="E807" s="7" t="str">
        <f t="shared" si="291"/>
        <v>大阪府豊中市服部緑地</v>
      </c>
      <c r="F807" s="7"/>
      <c r="G807" s="7" t="str">
        <f t="shared" si="280"/>
        <v>事業用資産</v>
      </c>
      <c r="H807" s="7" t="str">
        <f t="shared" si="278"/>
        <v>棚卸以外</v>
      </c>
      <c r="I807" s="7">
        <v>30</v>
      </c>
      <c r="J807" s="7" t="str">
        <f>"谷あいの原っぱ北休憩所"</f>
        <v>谷あいの原っぱ北休憩所</v>
      </c>
      <c r="K807" s="7" t="str">
        <f>"鉄筋コンクリート造"</f>
        <v>鉄筋コンクリート造</v>
      </c>
      <c r="L807" s="7" t="str">
        <f>"S36.12.30"</f>
        <v>S36.12.30</v>
      </c>
      <c r="M807" s="7">
        <v>39.659999999999997</v>
      </c>
      <c r="N807" s="7">
        <v>439560</v>
      </c>
      <c r="O807" s="7">
        <v>439559</v>
      </c>
      <c r="P807" s="7">
        <v>0</v>
      </c>
      <c r="Q807" s="7" t="str">
        <f t="shared" si="286"/>
        <v>都市整備部</v>
      </c>
      <c r="R807" s="7" t="str">
        <f t="shared" si="287"/>
        <v>池田土木事務所</v>
      </c>
    </row>
    <row r="808" spans="1:18" s="1" customFormat="1" x14ac:dyDescent="0.45">
      <c r="A808" s="7" t="str">
        <f t="shared" si="288"/>
        <v>08201000160</v>
      </c>
      <c r="B808" s="7" t="str">
        <f t="shared" si="289"/>
        <v>服部緑地（一般会計）</v>
      </c>
      <c r="C808" s="7" t="str">
        <f t="shared" si="275"/>
        <v>行政財産</v>
      </c>
      <c r="D808" s="7" t="str">
        <f t="shared" si="290"/>
        <v>公園</v>
      </c>
      <c r="E808" s="7" t="str">
        <f t="shared" si="291"/>
        <v>大阪府豊中市服部緑地</v>
      </c>
      <c r="F808" s="7"/>
      <c r="G808" s="7" t="str">
        <f t="shared" si="280"/>
        <v>事業用資産</v>
      </c>
      <c r="H808" s="7" t="str">
        <f t="shared" si="278"/>
        <v>棚卸以外</v>
      </c>
      <c r="I808" s="7">
        <v>40</v>
      </c>
      <c r="J808" s="7" t="str">
        <f>"山ケ池休憩所"</f>
        <v>山ケ池休憩所</v>
      </c>
      <c r="K808" s="7" t="str">
        <f>"鉄筋コンクリート造"</f>
        <v>鉄筋コンクリート造</v>
      </c>
      <c r="L808" s="7" t="str">
        <f>"S38.04.02"</f>
        <v>S38.04.02</v>
      </c>
      <c r="M808" s="7">
        <v>52.56</v>
      </c>
      <c r="N808" s="7">
        <v>1569000</v>
      </c>
      <c r="O808" s="7">
        <v>1568999</v>
      </c>
      <c r="P808" s="7">
        <v>0</v>
      </c>
      <c r="Q808" s="7" t="str">
        <f t="shared" si="286"/>
        <v>都市整備部</v>
      </c>
      <c r="R808" s="7" t="str">
        <f t="shared" si="287"/>
        <v>池田土木事務所</v>
      </c>
    </row>
    <row r="809" spans="1:18" s="1" customFormat="1" x14ac:dyDescent="0.45">
      <c r="A809" s="7" t="str">
        <f t="shared" si="288"/>
        <v>08201000160</v>
      </c>
      <c r="B809" s="7" t="str">
        <f t="shared" si="289"/>
        <v>服部緑地（一般会計）</v>
      </c>
      <c r="C809" s="7" t="str">
        <f t="shared" si="275"/>
        <v>行政財産</v>
      </c>
      <c r="D809" s="7" t="str">
        <f t="shared" si="290"/>
        <v>公園</v>
      </c>
      <c r="E809" s="7" t="str">
        <f t="shared" si="291"/>
        <v>大阪府豊中市服部緑地</v>
      </c>
      <c r="F809" s="7"/>
      <c r="G809" s="7" t="str">
        <f t="shared" si="280"/>
        <v>事業用資産</v>
      </c>
      <c r="H809" s="7" t="str">
        <f t="shared" si="278"/>
        <v>棚卸以外</v>
      </c>
      <c r="I809" s="7">
        <v>44</v>
      </c>
      <c r="J809" s="7" t="str">
        <f>"レストハウス"</f>
        <v>レストハウス</v>
      </c>
      <c r="K809" s="7" t="str">
        <f>"鉄筋コンクリート造"</f>
        <v>鉄筋コンクリート造</v>
      </c>
      <c r="L809" s="7" t="str">
        <f>"S41.04.07"</f>
        <v>S41.04.07</v>
      </c>
      <c r="M809" s="7">
        <v>602.46</v>
      </c>
      <c r="N809" s="7">
        <v>82395000</v>
      </c>
      <c r="O809" s="7">
        <v>60431875</v>
      </c>
      <c r="P809" s="7">
        <v>0</v>
      </c>
      <c r="Q809" s="7" t="str">
        <f t="shared" si="286"/>
        <v>都市整備部</v>
      </c>
      <c r="R809" s="7" t="str">
        <f t="shared" si="287"/>
        <v>池田土木事務所</v>
      </c>
    </row>
    <row r="810" spans="1:18" s="1" customFormat="1" x14ac:dyDescent="0.45">
      <c r="A810" s="7" t="str">
        <f t="shared" si="288"/>
        <v>08201000160</v>
      </c>
      <c r="B810" s="7" t="str">
        <f t="shared" si="289"/>
        <v>服部緑地（一般会計）</v>
      </c>
      <c r="C810" s="7" t="str">
        <f t="shared" si="275"/>
        <v>行政財産</v>
      </c>
      <c r="D810" s="7" t="str">
        <f t="shared" si="290"/>
        <v>公園</v>
      </c>
      <c r="E810" s="7" t="str">
        <f t="shared" si="291"/>
        <v>大阪府豊中市服部緑地</v>
      </c>
      <c r="F810" s="7"/>
      <c r="G810" s="7" t="str">
        <f t="shared" si="280"/>
        <v>事業用資産</v>
      </c>
      <c r="H810" s="7" t="str">
        <f t="shared" si="278"/>
        <v>棚卸以外</v>
      </c>
      <c r="I810" s="7">
        <v>46</v>
      </c>
      <c r="J810" s="7" t="str">
        <f>"スポーツサービスセンター"</f>
        <v>スポーツサービスセンター</v>
      </c>
      <c r="K810" s="7" t="str">
        <f>"鉄骨コンクリート造"</f>
        <v>鉄骨コンクリート造</v>
      </c>
      <c r="L810" s="7" t="str">
        <f>"S42.07.03"</f>
        <v>S42.07.03</v>
      </c>
      <c r="M810" s="7">
        <v>245.14</v>
      </c>
      <c r="N810" s="7">
        <v>8100000</v>
      </c>
      <c r="O810" s="7">
        <v>8099999</v>
      </c>
      <c r="P810" s="7">
        <v>0</v>
      </c>
      <c r="Q810" s="7" t="str">
        <f t="shared" si="286"/>
        <v>都市整備部</v>
      </c>
      <c r="R810" s="7" t="str">
        <f t="shared" si="287"/>
        <v>池田土木事務所</v>
      </c>
    </row>
    <row r="811" spans="1:18" s="1" customFormat="1" x14ac:dyDescent="0.45">
      <c r="A811" s="7" t="str">
        <f t="shared" si="288"/>
        <v>08201000160</v>
      </c>
      <c r="B811" s="7" t="str">
        <f t="shared" si="289"/>
        <v>服部緑地（一般会計）</v>
      </c>
      <c r="C811" s="7" t="str">
        <f t="shared" si="275"/>
        <v>行政財産</v>
      </c>
      <c r="D811" s="7" t="str">
        <f t="shared" si="290"/>
        <v>公園</v>
      </c>
      <c r="E811" s="7" t="str">
        <f t="shared" si="291"/>
        <v>大阪府豊中市服部緑地</v>
      </c>
      <c r="F811" s="7"/>
      <c r="G811" s="7" t="str">
        <f t="shared" si="280"/>
        <v>事業用資産</v>
      </c>
      <c r="H811" s="7" t="str">
        <f t="shared" si="278"/>
        <v>棚卸以外</v>
      </c>
      <c r="I811" s="7">
        <v>47</v>
      </c>
      <c r="J811" s="7" t="str">
        <f>"山ケ池西休憩所"</f>
        <v>山ケ池西休憩所</v>
      </c>
      <c r="K811" s="7" t="str">
        <f t="shared" ref="K811:K816" si="292">"鉄筋コンクリート造"</f>
        <v>鉄筋コンクリート造</v>
      </c>
      <c r="L811" s="7" t="str">
        <f>"S47.03.31"</f>
        <v>S47.03.31</v>
      </c>
      <c r="M811" s="7">
        <v>25</v>
      </c>
      <c r="N811" s="7">
        <v>700000</v>
      </c>
      <c r="O811" s="7">
        <v>699999</v>
      </c>
      <c r="P811" s="7">
        <v>0</v>
      </c>
      <c r="Q811" s="7" t="str">
        <f t="shared" si="286"/>
        <v>都市整備部</v>
      </c>
      <c r="R811" s="7" t="str">
        <f t="shared" si="287"/>
        <v>池田土木事務所</v>
      </c>
    </row>
    <row r="812" spans="1:18" s="1" customFormat="1" x14ac:dyDescent="0.45">
      <c r="A812" s="7" t="str">
        <f t="shared" si="288"/>
        <v>08201000160</v>
      </c>
      <c r="B812" s="7" t="str">
        <f t="shared" si="289"/>
        <v>服部緑地（一般会計）</v>
      </c>
      <c r="C812" s="7" t="str">
        <f t="shared" si="275"/>
        <v>行政財産</v>
      </c>
      <c r="D812" s="7" t="str">
        <f t="shared" si="290"/>
        <v>公園</v>
      </c>
      <c r="E812" s="7" t="str">
        <f t="shared" si="291"/>
        <v>大阪府豊中市服部緑地</v>
      </c>
      <c r="F812" s="7"/>
      <c r="G812" s="7" t="str">
        <f t="shared" si="280"/>
        <v>事業用資産</v>
      </c>
      <c r="H812" s="7" t="str">
        <f t="shared" si="278"/>
        <v>棚卸以外</v>
      </c>
      <c r="I812" s="7">
        <v>55</v>
      </c>
      <c r="J812" s="7" t="str">
        <f>"子供の楽園南便所"</f>
        <v>子供の楽園南便所</v>
      </c>
      <c r="K812" s="7" t="str">
        <f t="shared" si="292"/>
        <v>鉄筋コンクリート造</v>
      </c>
      <c r="L812" s="7" t="str">
        <f>"R03.03.17"</f>
        <v>R03.03.17</v>
      </c>
      <c r="M812" s="7">
        <v>51.63</v>
      </c>
      <c r="N812" s="7">
        <v>44801681</v>
      </c>
      <c r="O812" s="7">
        <v>2635416</v>
      </c>
      <c r="P812" s="7">
        <v>0</v>
      </c>
      <c r="Q812" s="7" t="str">
        <f t="shared" si="286"/>
        <v>都市整備部</v>
      </c>
      <c r="R812" s="7" t="str">
        <f t="shared" si="287"/>
        <v>池田土木事務所</v>
      </c>
    </row>
    <row r="813" spans="1:18" s="1" customFormat="1" x14ac:dyDescent="0.45">
      <c r="A813" s="7" t="str">
        <f t="shared" si="288"/>
        <v>08201000160</v>
      </c>
      <c r="B813" s="7" t="str">
        <f t="shared" si="289"/>
        <v>服部緑地（一般会計）</v>
      </c>
      <c r="C813" s="7" t="str">
        <f t="shared" si="275"/>
        <v>行政財産</v>
      </c>
      <c r="D813" s="7" t="str">
        <f t="shared" si="290"/>
        <v>公園</v>
      </c>
      <c r="E813" s="7" t="str">
        <f t="shared" si="291"/>
        <v>大阪府豊中市服部緑地</v>
      </c>
      <c r="F813" s="7"/>
      <c r="G813" s="7" t="str">
        <f t="shared" ref="G813:G844" si="293">"事業用資産"</f>
        <v>事業用資産</v>
      </c>
      <c r="H813" s="7" t="str">
        <f t="shared" si="278"/>
        <v>棚卸以外</v>
      </c>
      <c r="I813" s="7">
        <v>59</v>
      </c>
      <c r="J813" s="7" t="str">
        <f>"第３駐車場便所"</f>
        <v>第３駐車場便所</v>
      </c>
      <c r="K813" s="7" t="str">
        <f t="shared" si="292"/>
        <v>鉄筋コンクリート造</v>
      </c>
      <c r="L813" s="7" t="str">
        <f>"S53.03.25"</f>
        <v>S53.03.25</v>
      </c>
      <c r="M813" s="7">
        <v>68.09</v>
      </c>
      <c r="N813" s="7">
        <v>45784116</v>
      </c>
      <c r="O813" s="7">
        <v>7229160</v>
      </c>
      <c r="P813" s="7">
        <v>0</v>
      </c>
      <c r="Q813" s="7" t="str">
        <f t="shared" si="286"/>
        <v>都市整備部</v>
      </c>
      <c r="R813" s="7" t="str">
        <f t="shared" si="287"/>
        <v>池田土木事務所</v>
      </c>
    </row>
    <row r="814" spans="1:18" s="1" customFormat="1" x14ac:dyDescent="0.45">
      <c r="A814" s="7" t="str">
        <f t="shared" si="288"/>
        <v>08201000160</v>
      </c>
      <c r="B814" s="7" t="str">
        <f t="shared" si="289"/>
        <v>服部緑地（一般会計）</v>
      </c>
      <c r="C814" s="7" t="str">
        <f t="shared" si="275"/>
        <v>行政財産</v>
      </c>
      <c r="D814" s="7" t="str">
        <f t="shared" si="290"/>
        <v>公園</v>
      </c>
      <c r="E814" s="7" t="str">
        <f t="shared" si="291"/>
        <v>大阪府豊中市服部緑地</v>
      </c>
      <c r="F814" s="7"/>
      <c r="G814" s="7" t="str">
        <f t="shared" si="293"/>
        <v>事業用資産</v>
      </c>
      <c r="H814" s="7" t="str">
        <f t="shared" si="278"/>
        <v>棚卸以外</v>
      </c>
      <c r="I814" s="7">
        <v>62</v>
      </c>
      <c r="J814" s="7" t="str">
        <f>"北倉庫"</f>
        <v>北倉庫</v>
      </c>
      <c r="K814" s="7" t="str">
        <f t="shared" si="292"/>
        <v>鉄筋コンクリート造</v>
      </c>
      <c r="L814" s="7" t="str">
        <f>"S32.07.01"</f>
        <v>S32.07.01</v>
      </c>
      <c r="M814" s="7">
        <v>313.47000000000003</v>
      </c>
      <c r="N814" s="7">
        <v>48335814</v>
      </c>
      <c r="O814" s="7">
        <v>3816036</v>
      </c>
      <c r="P814" s="7">
        <v>0</v>
      </c>
      <c r="Q814" s="7" t="str">
        <f t="shared" si="286"/>
        <v>都市整備部</v>
      </c>
      <c r="R814" s="7" t="str">
        <f t="shared" si="287"/>
        <v>池田土木事務所</v>
      </c>
    </row>
    <row r="815" spans="1:18" s="1" customFormat="1" x14ac:dyDescent="0.45">
      <c r="A815" s="7" t="str">
        <f t="shared" si="288"/>
        <v>08201000160</v>
      </c>
      <c r="B815" s="7" t="str">
        <f t="shared" si="289"/>
        <v>服部緑地（一般会計）</v>
      </c>
      <c r="C815" s="7" t="str">
        <f t="shared" si="275"/>
        <v>行政財産</v>
      </c>
      <c r="D815" s="7" t="str">
        <f t="shared" si="290"/>
        <v>公園</v>
      </c>
      <c r="E815" s="7" t="str">
        <f t="shared" si="291"/>
        <v>大阪府豊中市服部緑地</v>
      </c>
      <c r="F815" s="7"/>
      <c r="G815" s="7" t="str">
        <f t="shared" si="293"/>
        <v>事業用資産</v>
      </c>
      <c r="H815" s="7" t="str">
        <f t="shared" si="278"/>
        <v>棚卸以外</v>
      </c>
      <c r="I815" s="7">
        <v>64</v>
      </c>
      <c r="J815" s="7" t="str">
        <f>"東中央広場便所"</f>
        <v>東中央広場便所</v>
      </c>
      <c r="K815" s="7" t="str">
        <f t="shared" si="292"/>
        <v>鉄筋コンクリート造</v>
      </c>
      <c r="L815" s="7" t="str">
        <f>"S55.03.26"</f>
        <v>S55.03.26</v>
      </c>
      <c r="M815" s="7">
        <v>35.24</v>
      </c>
      <c r="N815" s="7">
        <v>33585301</v>
      </c>
      <c r="O815" s="7">
        <v>9504816</v>
      </c>
      <c r="P815" s="7">
        <v>0</v>
      </c>
      <c r="Q815" s="7" t="str">
        <f t="shared" si="286"/>
        <v>都市整備部</v>
      </c>
      <c r="R815" s="7" t="str">
        <f t="shared" si="287"/>
        <v>池田土木事務所</v>
      </c>
    </row>
    <row r="816" spans="1:18" s="1" customFormat="1" x14ac:dyDescent="0.45">
      <c r="A816" s="7" t="str">
        <f t="shared" si="288"/>
        <v>08201000160</v>
      </c>
      <c r="B816" s="7" t="str">
        <f t="shared" si="289"/>
        <v>服部緑地（一般会計）</v>
      </c>
      <c r="C816" s="7" t="str">
        <f t="shared" si="275"/>
        <v>行政財産</v>
      </c>
      <c r="D816" s="7" t="str">
        <f t="shared" si="290"/>
        <v>公園</v>
      </c>
      <c r="E816" s="7" t="str">
        <f t="shared" si="291"/>
        <v>大阪府豊中市服部緑地</v>
      </c>
      <c r="F816" s="7"/>
      <c r="G816" s="7" t="str">
        <f t="shared" si="293"/>
        <v>事業用資産</v>
      </c>
      <c r="H816" s="7" t="str">
        <f t="shared" si="278"/>
        <v>棚卸以外</v>
      </c>
      <c r="I816" s="7">
        <v>66</v>
      </c>
      <c r="J816" s="7" t="str">
        <f>"こどもの楽園北便所"</f>
        <v>こどもの楽園北便所</v>
      </c>
      <c r="K816" s="7" t="str">
        <f t="shared" si="292"/>
        <v>鉄筋コンクリート造</v>
      </c>
      <c r="L816" s="7" t="str">
        <f>"S57.03.30"</f>
        <v>S57.03.30</v>
      </c>
      <c r="M816" s="7">
        <v>93.16</v>
      </c>
      <c r="N816" s="7">
        <v>70179089</v>
      </c>
      <c r="O816" s="7">
        <v>14774688</v>
      </c>
      <c r="P816" s="7">
        <v>0</v>
      </c>
      <c r="Q816" s="7" t="str">
        <f t="shared" si="286"/>
        <v>都市整備部</v>
      </c>
      <c r="R816" s="7" t="str">
        <f t="shared" si="287"/>
        <v>池田土木事務所</v>
      </c>
    </row>
    <row r="817" spans="1:18" s="1" customFormat="1" x14ac:dyDescent="0.45">
      <c r="A817" s="7" t="str">
        <f t="shared" si="288"/>
        <v>08201000160</v>
      </c>
      <c r="B817" s="7" t="str">
        <f t="shared" si="289"/>
        <v>服部緑地（一般会計）</v>
      </c>
      <c r="C817" s="7" t="str">
        <f t="shared" si="275"/>
        <v>行政財産</v>
      </c>
      <c r="D817" s="7" t="str">
        <f t="shared" si="290"/>
        <v>公園</v>
      </c>
      <c r="E817" s="7" t="str">
        <f t="shared" si="291"/>
        <v>大阪府豊中市服部緑地</v>
      </c>
      <c r="F817" s="7"/>
      <c r="G817" s="7" t="str">
        <f t="shared" si="293"/>
        <v>事業用資産</v>
      </c>
      <c r="H817" s="7" t="str">
        <f t="shared" si="278"/>
        <v>棚卸以外</v>
      </c>
      <c r="I817" s="7">
        <v>67</v>
      </c>
      <c r="J817" s="7" t="str">
        <f>"野球場管理詰所"</f>
        <v>野球場管理詰所</v>
      </c>
      <c r="K817" s="7" t="str">
        <f>"軽量鉄骨造"</f>
        <v>軽量鉄骨造</v>
      </c>
      <c r="L817" s="7" t="str">
        <f>"S57.03.25"</f>
        <v>S57.03.25</v>
      </c>
      <c r="M817" s="7">
        <v>27.19</v>
      </c>
      <c r="N817" s="7">
        <v>1378000</v>
      </c>
      <c r="O817" s="7">
        <v>1377999</v>
      </c>
      <c r="P817" s="7">
        <v>0</v>
      </c>
      <c r="Q817" s="7" t="str">
        <f t="shared" si="286"/>
        <v>都市整備部</v>
      </c>
      <c r="R817" s="7" t="str">
        <f t="shared" si="287"/>
        <v>池田土木事務所</v>
      </c>
    </row>
    <row r="818" spans="1:18" s="1" customFormat="1" x14ac:dyDescent="0.45">
      <c r="A818" s="7" t="str">
        <f t="shared" si="288"/>
        <v>08201000160</v>
      </c>
      <c r="B818" s="7" t="str">
        <f t="shared" si="289"/>
        <v>服部緑地（一般会計）</v>
      </c>
      <c r="C818" s="7" t="str">
        <f t="shared" si="275"/>
        <v>行政財産</v>
      </c>
      <c r="D818" s="7" t="str">
        <f t="shared" si="290"/>
        <v>公園</v>
      </c>
      <c r="E818" s="7" t="str">
        <f t="shared" si="291"/>
        <v>大阪府豊中市服部緑地</v>
      </c>
      <c r="F818" s="7"/>
      <c r="G818" s="7" t="str">
        <f t="shared" si="293"/>
        <v>事業用資産</v>
      </c>
      <c r="H818" s="7" t="str">
        <f t="shared" si="278"/>
        <v>棚卸以外</v>
      </c>
      <c r="I818" s="7">
        <v>69</v>
      </c>
      <c r="J818" s="7" t="str">
        <f>"陸上競技場メインスタンド"</f>
        <v>陸上競技場メインスタンド</v>
      </c>
      <c r="K818" s="7" t="str">
        <f t="shared" ref="K818:K823" si="294">"鉄筋コンクリート造"</f>
        <v>鉄筋コンクリート造</v>
      </c>
      <c r="L818" s="7" t="str">
        <f>"S57.10.28"</f>
        <v>S57.10.28</v>
      </c>
      <c r="M818" s="7">
        <v>2585.88</v>
      </c>
      <c r="N818" s="7">
        <v>317101067</v>
      </c>
      <c r="O818" s="7">
        <v>237557722</v>
      </c>
      <c r="P818" s="7">
        <v>0</v>
      </c>
      <c r="Q818" s="7" t="str">
        <f t="shared" si="286"/>
        <v>都市整備部</v>
      </c>
      <c r="R818" s="7" t="str">
        <f t="shared" si="287"/>
        <v>池田土木事務所</v>
      </c>
    </row>
    <row r="819" spans="1:18" s="1" customFormat="1" x14ac:dyDescent="0.45">
      <c r="A819" s="7" t="str">
        <f t="shared" si="288"/>
        <v>08201000160</v>
      </c>
      <c r="B819" s="7" t="str">
        <f t="shared" si="289"/>
        <v>服部緑地（一般会計）</v>
      </c>
      <c r="C819" s="7" t="str">
        <f t="shared" si="275"/>
        <v>行政財産</v>
      </c>
      <c r="D819" s="7" t="str">
        <f t="shared" si="290"/>
        <v>公園</v>
      </c>
      <c r="E819" s="7" t="str">
        <f t="shared" si="291"/>
        <v>大阪府豊中市服部緑地</v>
      </c>
      <c r="F819" s="7"/>
      <c r="G819" s="7" t="str">
        <f t="shared" si="293"/>
        <v>事業用資産</v>
      </c>
      <c r="H819" s="7" t="str">
        <f t="shared" si="278"/>
        <v>棚卸以外</v>
      </c>
      <c r="I819" s="7">
        <v>70</v>
      </c>
      <c r="J819" s="7" t="str">
        <f>"公園管理事務所"</f>
        <v>公園管理事務所</v>
      </c>
      <c r="K819" s="7" t="str">
        <f t="shared" si="294"/>
        <v>鉄筋コンクリート造</v>
      </c>
      <c r="L819" s="7" t="str">
        <f>"S57.10.28"</f>
        <v>S57.10.28</v>
      </c>
      <c r="M819" s="7">
        <v>954.22</v>
      </c>
      <c r="N819" s="7">
        <v>153104360</v>
      </c>
      <c r="O819" s="7">
        <v>85602486</v>
      </c>
      <c r="P819" s="7">
        <v>0</v>
      </c>
      <c r="Q819" s="7" t="str">
        <f t="shared" si="286"/>
        <v>都市整備部</v>
      </c>
      <c r="R819" s="7" t="str">
        <f t="shared" si="287"/>
        <v>池田土木事務所</v>
      </c>
    </row>
    <row r="820" spans="1:18" s="1" customFormat="1" x14ac:dyDescent="0.45">
      <c r="A820" s="7" t="str">
        <f t="shared" si="288"/>
        <v>08201000160</v>
      </c>
      <c r="B820" s="7" t="str">
        <f t="shared" si="289"/>
        <v>服部緑地（一般会計）</v>
      </c>
      <c r="C820" s="7" t="str">
        <f t="shared" si="275"/>
        <v>行政財産</v>
      </c>
      <c r="D820" s="7" t="str">
        <f t="shared" si="290"/>
        <v>公園</v>
      </c>
      <c r="E820" s="7" t="str">
        <f t="shared" si="291"/>
        <v>大阪府豊中市服部緑地</v>
      </c>
      <c r="F820" s="7"/>
      <c r="G820" s="7" t="str">
        <f t="shared" si="293"/>
        <v>事業用資産</v>
      </c>
      <c r="H820" s="7" t="str">
        <f t="shared" si="278"/>
        <v>棚卸以外</v>
      </c>
      <c r="I820" s="7">
        <v>71</v>
      </c>
      <c r="J820" s="7" t="str">
        <f>"プロパン庫"</f>
        <v>プロパン庫</v>
      </c>
      <c r="K820" s="7" t="str">
        <f t="shared" si="294"/>
        <v>鉄筋コンクリート造</v>
      </c>
      <c r="L820" s="7" t="str">
        <f>"S57.10.28"</f>
        <v>S57.10.28</v>
      </c>
      <c r="M820" s="7">
        <v>17.39</v>
      </c>
      <c r="N820" s="7">
        <v>4114000</v>
      </c>
      <c r="O820" s="7">
        <v>4113999</v>
      </c>
      <c r="P820" s="7">
        <v>0</v>
      </c>
      <c r="Q820" s="7" t="str">
        <f t="shared" si="286"/>
        <v>都市整備部</v>
      </c>
      <c r="R820" s="7" t="str">
        <f t="shared" si="287"/>
        <v>池田土木事務所</v>
      </c>
    </row>
    <row r="821" spans="1:18" s="1" customFormat="1" x14ac:dyDescent="0.45">
      <c r="A821" s="7" t="str">
        <f t="shared" si="288"/>
        <v>08201000160</v>
      </c>
      <c r="B821" s="7" t="str">
        <f t="shared" si="289"/>
        <v>服部緑地（一般会計）</v>
      </c>
      <c r="C821" s="7" t="str">
        <f t="shared" si="275"/>
        <v>行政財産</v>
      </c>
      <c r="D821" s="7" t="str">
        <f t="shared" si="290"/>
        <v>公園</v>
      </c>
      <c r="E821" s="7" t="str">
        <f t="shared" si="291"/>
        <v>大阪府豊中市服部緑地</v>
      </c>
      <c r="F821" s="7"/>
      <c r="G821" s="7" t="str">
        <f t="shared" si="293"/>
        <v>事業用資産</v>
      </c>
      <c r="H821" s="7" t="str">
        <f t="shared" si="278"/>
        <v>棚卸以外</v>
      </c>
      <c r="I821" s="7">
        <v>72</v>
      </c>
      <c r="J821" s="7" t="str">
        <f>"西中央広場便所"</f>
        <v>西中央広場便所</v>
      </c>
      <c r="K821" s="7" t="str">
        <f t="shared" si="294"/>
        <v>鉄筋コンクリート造</v>
      </c>
      <c r="L821" s="7" t="str">
        <f>"S58.03.25"</f>
        <v>S58.03.25</v>
      </c>
      <c r="M821" s="7">
        <v>75.17</v>
      </c>
      <c r="N821" s="7">
        <v>53416444</v>
      </c>
      <c r="O821" s="7">
        <v>5622864</v>
      </c>
      <c r="P821" s="7">
        <v>0</v>
      </c>
      <c r="Q821" s="7" t="str">
        <f t="shared" si="286"/>
        <v>都市整備部</v>
      </c>
      <c r="R821" s="7" t="str">
        <f t="shared" si="287"/>
        <v>池田土木事務所</v>
      </c>
    </row>
    <row r="822" spans="1:18" s="1" customFormat="1" x14ac:dyDescent="0.45">
      <c r="A822" s="7" t="str">
        <f t="shared" si="288"/>
        <v>08201000160</v>
      </c>
      <c r="B822" s="7" t="str">
        <f t="shared" si="289"/>
        <v>服部緑地（一般会計）</v>
      </c>
      <c r="C822" s="7" t="str">
        <f t="shared" si="275"/>
        <v>行政財産</v>
      </c>
      <c r="D822" s="7" t="str">
        <f t="shared" si="290"/>
        <v>公園</v>
      </c>
      <c r="E822" s="7" t="str">
        <f t="shared" si="291"/>
        <v>大阪府豊中市服部緑地</v>
      </c>
      <c r="F822" s="7"/>
      <c r="G822" s="7" t="str">
        <f t="shared" si="293"/>
        <v>事業用資産</v>
      </c>
      <c r="H822" s="7" t="str">
        <f t="shared" si="278"/>
        <v>棚卸以外</v>
      </c>
      <c r="I822" s="7">
        <v>74</v>
      </c>
      <c r="J822" s="7" t="str">
        <f>"都市緑化植物園温室"</f>
        <v>都市緑化植物園温室</v>
      </c>
      <c r="K822" s="7" t="str">
        <f t="shared" si="294"/>
        <v>鉄筋コンクリート造</v>
      </c>
      <c r="L822" s="7" t="str">
        <f>"S58.09.07"</f>
        <v>S58.09.07</v>
      </c>
      <c r="M822" s="7">
        <v>1259.2</v>
      </c>
      <c r="N822" s="7">
        <v>316077056</v>
      </c>
      <c r="O822" s="7">
        <v>171929129</v>
      </c>
      <c r="P822" s="7">
        <v>0</v>
      </c>
      <c r="Q822" s="7" t="str">
        <f t="shared" si="286"/>
        <v>都市整備部</v>
      </c>
      <c r="R822" s="7" t="str">
        <f t="shared" si="287"/>
        <v>池田土木事務所</v>
      </c>
    </row>
    <row r="823" spans="1:18" s="1" customFormat="1" x14ac:dyDescent="0.45">
      <c r="A823" s="7" t="str">
        <f t="shared" si="288"/>
        <v>08201000160</v>
      </c>
      <c r="B823" s="7" t="str">
        <f t="shared" si="289"/>
        <v>服部緑地（一般会計）</v>
      </c>
      <c r="C823" s="7" t="str">
        <f t="shared" si="275"/>
        <v>行政財産</v>
      </c>
      <c r="D823" s="7" t="str">
        <f t="shared" si="290"/>
        <v>公園</v>
      </c>
      <c r="E823" s="7" t="str">
        <f t="shared" si="291"/>
        <v>大阪府豊中市服部緑地</v>
      </c>
      <c r="F823" s="7"/>
      <c r="G823" s="7" t="str">
        <f t="shared" si="293"/>
        <v>事業用資産</v>
      </c>
      <c r="H823" s="7" t="str">
        <f t="shared" si="278"/>
        <v>棚卸以外</v>
      </c>
      <c r="I823" s="7">
        <v>75</v>
      </c>
      <c r="J823" s="7" t="str">
        <f>"テニスセンター"</f>
        <v>テニスセンター</v>
      </c>
      <c r="K823" s="7" t="str">
        <f t="shared" si="294"/>
        <v>鉄筋コンクリート造</v>
      </c>
      <c r="L823" s="7" t="str">
        <f>"S60.03.07"</f>
        <v>S60.03.07</v>
      </c>
      <c r="M823" s="7">
        <v>199.7</v>
      </c>
      <c r="N823" s="7">
        <v>153401000</v>
      </c>
      <c r="O823" s="7">
        <v>116585064</v>
      </c>
      <c r="P823" s="7">
        <v>0</v>
      </c>
      <c r="Q823" s="7" t="str">
        <f t="shared" si="286"/>
        <v>都市整備部</v>
      </c>
      <c r="R823" s="7" t="str">
        <f t="shared" si="287"/>
        <v>池田土木事務所</v>
      </c>
    </row>
    <row r="824" spans="1:18" s="1" customFormat="1" x14ac:dyDescent="0.45">
      <c r="A824" s="7" t="str">
        <f t="shared" si="288"/>
        <v>08201000160</v>
      </c>
      <c r="B824" s="7" t="str">
        <f t="shared" si="289"/>
        <v>服部緑地（一般会計）</v>
      </c>
      <c r="C824" s="7" t="str">
        <f t="shared" ref="C824:C887" si="295">"行政財産"</f>
        <v>行政財産</v>
      </c>
      <c r="D824" s="7" t="str">
        <f t="shared" si="290"/>
        <v>公園</v>
      </c>
      <c r="E824" s="7" t="str">
        <f t="shared" si="291"/>
        <v>大阪府豊中市服部緑地</v>
      </c>
      <c r="F824" s="7"/>
      <c r="G824" s="7" t="str">
        <f t="shared" si="293"/>
        <v>事業用資産</v>
      </c>
      <c r="H824" s="7" t="str">
        <f t="shared" si="278"/>
        <v>棚卸以外</v>
      </c>
      <c r="I824" s="7">
        <v>76</v>
      </c>
      <c r="J824" s="7" t="str">
        <f>"苗圃温室"</f>
        <v>苗圃温室</v>
      </c>
      <c r="K824" s="7" t="str">
        <f>"鉄骨造"</f>
        <v>鉄骨造</v>
      </c>
      <c r="L824" s="7" t="str">
        <f>"S59.11.26"</f>
        <v>S59.11.26</v>
      </c>
      <c r="M824" s="7">
        <v>113.4</v>
      </c>
      <c r="N824" s="7">
        <v>2933000</v>
      </c>
      <c r="O824" s="7">
        <v>2932999</v>
      </c>
      <c r="P824" s="7">
        <v>0</v>
      </c>
      <c r="Q824" s="7" t="str">
        <f t="shared" si="286"/>
        <v>都市整備部</v>
      </c>
      <c r="R824" s="7" t="str">
        <f t="shared" si="287"/>
        <v>池田土木事務所</v>
      </c>
    </row>
    <row r="825" spans="1:18" s="1" customFormat="1" x14ac:dyDescent="0.45">
      <c r="A825" s="7" t="str">
        <f t="shared" si="288"/>
        <v>08201000160</v>
      </c>
      <c r="B825" s="7" t="str">
        <f t="shared" si="289"/>
        <v>服部緑地（一般会計）</v>
      </c>
      <c r="C825" s="7" t="str">
        <f t="shared" si="295"/>
        <v>行政財産</v>
      </c>
      <c r="D825" s="7" t="str">
        <f t="shared" si="290"/>
        <v>公園</v>
      </c>
      <c r="E825" s="7" t="str">
        <f t="shared" si="291"/>
        <v>大阪府豊中市服部緑地</v>
      </c>
      <c r="F825" s="7"/>
      <c r="G825" s="7" t="str">
        <f t="shared" si="293"/>
        <v>事業用資産</v>
      </c>
      <c r="H825" s="7" t="str">
        <f t="shared" si="278"/>
        <v>棚卸以外</v>
      </c>
      <c r="I825" s="7">
        <v>77</v>
      </c>
      <c r="J825" s="7" t="str">
        <f>"都市緑化植物園養生温室"</f>
        <v>都市緑化植物園養生温室</v>
      </c>
      <c r="K825" s="7" t="str">
        <f>"鉄骨造"</f>
        <v>鉄骨造</v>
      </c>
      <c r="L825" s="7" t="str">
        <f>"S61.12.09"</f>
        <v>S61.12.09</v>
      </c>
      <c r="M825" s="7">
        <v>113.4</v>
      </c>
      <c r="N825" s="7">
        <v>2725000</v>
      </c>
      <c r="O825" s="7">
        <v>2599560</v>
      </c>
      <c r="P825" s="7">
        <v>0</v>
      </c>
      <c r="Q825" s="7" t="str">
        <f t="shared" si="286"/>
        <v>都市整備部</v>
      </c>
      <c r="R825" s="7" t="str">
        <f t="shared" si="287"/>
        <v>池田土木事務所</v>
      </c>
    </row>
    <row r="826" spans="1:18" s="1" customFormat="1" x14ac:dyDescent="0.45">
      <c r="A826" s="7" t="str">
        <f t="shared" si="288"/>
        <v>08201000160</v>
      </c>
      <c r="B826" s="7" t="str">
        <f t="shared" si="289"/>
        <v>服部緑地（一般会計）</v>
      </c>
      <c r="C826" s="7" t="str">
        <f t="shared" si="295"/>
        <v>行政財産</v>
      </c>
      <c r="D826" s="7" t="str">
        <f t="shared" si="290"/>
        <v>公園</v>
      </c>
      <c r="E826" s="7" t="str">
        <f t="shared" si="291"/>
        <v>大阪府豊中市服部緑地</v>
      </c>
      <c r="F826" s="7"/>
      <c r="G826" s="7" t="str">
        <f t="shared" si="293"/>
        <v>事業用資産</v>
      </c>
      <c r="H826" s="7" t="str">
        <f t="shared" si="278"/>
        <v>棚卸以外</v>
      </c>
      <c r="I826" s="7">
        <v>78</v>
      </c>
      <c r="J826" s="7" t="str">
        <f>"第１駐車場便所"</f>
        <v>第１駐車場便所</v>
      </c>
      <c r="K826" s="7" t="str">
        <f>"鉄筋コンクリート造"</f>
        <v>鉄筋コンクリート造</v>
      </c>
      <c r="L826" s="7" t="str">
        <f>"S62.03.30"</f>
        <v>S62.03.30</v>
      </c>
      <c r="M826" s="7">
        <v>50.1</v>
      </c>
      <c r="N826" s="7">
        <v>28901302</v>
      </c>
      <c r="O826" s="7">
        <v>1521168</v>
      </c>
      <c r="P826" s="7">
        <v>0</v>
      </c>
      <c r="Q826" s="7" t="str">
        <f t="shared" si="286"/>
        <v>都市整備部</v>
      </c>
      <c r="R826" s="7" t="str">
        <f t="shared" si="287"/>
        <v>池田土木事務所</v>
      </c>
    </row>
    <row r="827" spans="1:18" s="1" customFormat="1" x14ac:dyDescent="0.45">
      <c r="A827" s="7" t="str">
        <f t="shared" si="288"/>
        <v>08201000160</v>
      </c>
      <c r="B827" s="7" t="str">
        <f t="shared" si="289"/>
        <v>服部緑地（一般会計）</v>
      </c>
      <c r="C827" s="7" t="str">
        <f t="shared" si="295"/>
        <v>行政財産</v>
      </c>
      <c r="D827" s="7" t="str">
        <f t="shared" si="290"/>
        <v>公園</v>
      </c>
      <c r="E827" s="7" t="str">
        <f t="shared" si="291"/>
        <v>大阪府豊中市服部緑地</v>
      </c>
      <c r="F827" s="7"/>
      <c r="G827" s="7" t="str">
        <f t="shared" si="293"/>
        <v>事業用資産</v>
      </c>
      <c r="H827" s="7" t="str">
        <f t="shared" si="278"/>
        <v>棚卸以外</v>
      </c>
      <c r="I827" s="7">
        <v>79</v>
      </c>
      <c r="J827" s="7" t="str">
        <f>"野球場東休憩所"</f>
        <v>野球場東休憩所</v>
      </c>
      <c r="K827" s="7" t="str">
        <f>"木造"</f>
        <v>木造</v>
      </c>
      <c r="L827" s="7" t="str">
        <f>"S62.10.31"</f>
        <v>S62.10.31</v>
      </c>
      <c r="M827" s="7">
        <v>120.98</v>
      </c>
      <c r="N827" s="7">
        <v>5139000</v>
      </c>
      <c r="O827" s="7">
        <v>5138999</v>
      </c>
      <c r="P827" s="7">
        <v>0</v>
      </c>
      <c r="Q827" s="7" t="str">
        <f t="shared" si="286"/>
        <v>都市整備部</v>
      </c>
      <c r="R827" s="7" t="str">
        <f t="shared" ref="R827:R858" si="296">"池田土木事務所"</f>
        <v>池田土木事務所</v>
      </c>
    </row>
    <row r="828" spans="1:18" s="1" customFormat="1" x14ac:dyDescent="0.45">
      <c r="A828" s="7" t="str">
        <f t="shared" si="288"/>
        <v>08201000160</v>
      </c>
      <c r="B828" s="7" t="str">
        <f t="shared" si="289"/>
        <v>服部緑地（一般会計）</v>
      </c>
      <c r="C828" s="7" t="str">
        <f t="shared" si="295"/>
        <v>行政財産</v>
      </c>
      <c r="D828" s="7" t="str">
        <f t="shared" si="290"/>
        <v>公園</v>
      </c>
      <c r="E828" s="7" t="str">
        <f t="shared" si="291"/>
        <v>大阪府豊中市服部緑地</v>
      </c>
      <c r="F828" s="7"/>
      <c r="G828" s="7" t="str">
        <f t="shared" si="293"/>
        <v>事業用資産</v>
      </c>
      <c r="H828" s="7" t="str">
        <f t="shared" si="278"/>
        <v>棚卸以外</v>
      </c>
      <c r="I828" s="7">
        <v>80</v>
      </c>
      <c r="J828" s="7" t="str">
        <f>"倉庫"</f>
        <v>倉庫</v>
      </c>
      <c r="K828" s="7" t="str">
        <f>"鉄骨造"</f>
        <v>鉄骨造</v>
      </c>
      <c r="L828" s="7" t="str">
        <f>"S62.10.02"</f>
        <v>S62.10.02</v>
      </c>
      <c r="M828" s="7">
        <v>32.4</v>
      </c>
      <c r="N828" s="7">
        <v>1649000</v>
      </c>
      <c r="O828" s="7">
        <v>1648999</v>
      </c>
      <c r="P828" s="7">
        <v>0</v>
      </c>
      <c r="Q828" s="7" t="str">
        <f t="shared" si="286"/>
        <v>都市整備部</v>
      </c>
      <c r="R828" s="7" t="str">
        <f t="shared" si="296"/>
        <v>池田土木事務所</v>
      </c>
    </row>
    <row r="829" spans="1:18" s="1" customFormat="1" x14ac:dyDescent="0.45">
      <c r="A829" s="7" t="str">
        <f t="shared" si="288"/>
        <v>08201000160</v>
      </c>
      <c r="B829" s="7" t="str">
        <f t="shared" si="289"/>
        <v>服部緑地（一般会計）</v>
      </c>
      <c r="C829" s="7" t="str">
        <f t="shared" si="295"/>
        <v>行政財産</v>
      </c>
      <c r="D829" s="7" t="str">
        <f t="shared" si="290"/>
        <v>公園</v>
      </c>
      <c r="E829" s="7" t="str">
        <f t="shared" si="291"/>
        <v>大阪府豊中市服部緑地</v>
      </c>
      <c r="F829" s="7"/>
      <c r="G829" s="7" t="str">
        <f t="shared" si="293"/>
        <v>事業用資産</v>
      </c>
      <c r="H829" s="7" t="str">
        <f t="shared" si="278"/>
        <v>棚卸以外</v>
      </c>
      <c r="I829" s="7">
        <v>81</v>
      </c>
      <c r="J829" s="7" t="str">
        <f>"いなり山遊戯場便所"</f>
        <v>いなり山遊戯場便所</v>
      </c>
      <c r="K829" s="7" t="str">
        <f>"鉄筋コンクリート造"</f>
        <v>鉄筋コンクリート造</v>
      </c>
      <c r="L829" s="7" t="str">
        <f>"S63.03.04"</f>
        <v>S63.03.04</v>
      </c>
      <c r="M829" s="7">
        <v>44.26</v>
      </c>
      <c r="N829" s="7">
        <v>26542831</v>
      </c>
      <c r="O829" s="7">
        <v>2095596</v>
      </c>
      <c r="P829" s="7">
        <v>0</v>
      </c>
      <c r="Q829" s="7" t="str">
        <f t="shared" si="286"/>
        <v>都市整備部</v>
      </c>
      <c r="R829" s="7" t="str">
        <f t="shared" si="296"/>
        <v>池田土木事務所</v>
      </c>
    </row>
    <row r="830" spans="1:18" s="1" customFormat="1" x14ac:dyDescent="0.45">
      <c r="A830" s="7" t="str">
        <f t="shared" si="288"/>
        <v>08201000160</v>
      </c>
      <c r="B830" s="7" t="str">
        <f t="shared" si="289"/>
        <v>服部緑地（一般会計）</v>
      </c>
      <c r="C830" s="7" t="str">
        <f t="shared" si="295"/>
        <v>行政財産</v>
      </c>
      <c r="D830" s="7" t="str">
        <f t="shared" si="290"/>
        <v>公園</v>
      </c>
      <c r="E830" s="7" t="str">
        <f t="shared" si="291"/>
        <v>大阪府豊中市服部緑地</v>
      </c>
      <c r="F830" s="7"/>
      <c r="G830" s="7" t="str">
        <f t="shared" si="293"/>
        <v>事業用資産</v>
      </c>
      <c r="H830" s="7" t="str">
        <f t="shared" si="278"/>
        <v>棚卸以外</v>
      </c>
      <c r="I830" s="7">
        <v>82</v>
      </c>
      <c r="J830" s="7" t="str">
        <f>"スポーツセンター東便所"</f>
        <v>スポーツセンター東便所</v>
      </c>
      <c r="K830" s="7" t="str">
        <f>"鉄筋コンクリート造"</f>
        <v>鉄筋コンクリート造</v>
      </c>
      <c r="L830" s="7" t="str">
        <f>"H01.02.18"</f>
        <v>H01.02.18</v>
      </c>
      <c r="M830" s="7">
        <v>45.7</v>
      </c>
      <c r="N830" s="7">
        <v>22629131</v>
      </c>
      <c r="O830" s="7">
        <v>3917429</v>
      </c>
      <c r="P830" s="7">
        <v>0</v>
      </c>
      <c r="Q830" s="7" t="str">
        <f t="shared" si="286"/>
        <v>都市整備部</v>
      </c>
      <c r="R830" s="7" t="str">
        <f t="shared" si="296"/>
        <v>池田土木事務所</v>
      </c>
    </row>
    <row r="831" spans="1:18" s="1" customFormat="1" x14ac:dyDescent="0.45">
      <c r="A831" s="7" t="str">
        <f t="shared" si="288"/>
        <v>08201000160</v>
      </c>
      <c r="B831" s="7" t="str">
        <f t="shared" si="289"/>
        <v>服部緑地（一般会計）</v>
      </c>
      <c r="C831" s="7" t="str">
        <f t="shared" si="295"/>
        <v>行政財産</v>
      </c>
      <c r="D831" s="7" t="str">
        <f t="shared" si="290"/>
        <v>公園</v>
      </c>
      <c r="E831" s="7" t="str">
        <f t="shared" si="291"/>
        <v>大阪府豊中市服部緑地</v>
      </c>
      <c r="F831" s="7"/>
      <c r="G831" s="7" t="str">
        <f t="shared" si="293"/>
        <v>事業用資産</v>
      </c>
      <c r="H831" s="7" t="str">
        <f t="shared" si="278"/>
        <v>棚卸以外</v>
      </c>
      <c r="I831" s="7">
        <v>83</v>
      </c>
      <c r="J831" s="7" t="str">
        <f>"受電室・倉庫"</f>
        <v>受電室・倉庫</v>
      </c>
      <c r="K831" s="7" t="str">
        <f>"鉄筋コンクリート造"</f>
        <v>鉄筋コンクリート造</v>
      </c>
      <c r="L831" s="7" t="str">
        <f>"H01.02.18"</f>
        <v>H01.02.18</v>
      </c>
      <c r="M831" s="7">
        <v>80.680000000000007</v>
      </c>
      <c r="N831" s="7">
        <v>40177550</v>
      </c>
      <c r="O831" s="7">
        <v>17968098</v>
      </c>
      <c r="P831" s="7">
        <v>0</v>
      </c>
      <c r="Q831" s="7" t="str">
        <f t="shared" si="286"/>
        <v>都市整備部</v>
      </c>
      <c r="R831" s="7" t="str">
        <f t="shared" si="296"/>
        <v>池田土木事務所</v>
      </c>
    </row>
    <row r="832" spans="1:18" s="1" customFormat="1" x14ac:dyDescent="0.45">
      <c r="A832" s="7" t="str">
        <f t="shared" si="288"/>
        <v>08201000160</v>
      </c>
      <c r="B832" s="7" t="str">
        <f t="shared" si="289"/>
        <v>服部緑地（一般会計）</v>
      </c>
      <c r="C832" s="7" t="str">
        <f t="shared" si="295"/>
        <v>行政財産</v>
      </c>
      <c r="D832" s="7" t="str">
        <f t="shared" si="290"/>
        <v>公園</v>
      </c>
      <c r="E832" s="7" t="str">
        <f t="shared" si="291"/>
        <v>大阪府豊中市服部緑地</v>
      </c>
      <c r="F832" s="7"/>
      <c r="G832" s="7" t="str">
        <f t="shared" si="293"/>
        <v>事業用資産</v>
      </c>
      <c r="H832" s="7" t="str">
        <f t="shared" si="278"/>
        <v>棚卸以外</v>
      </c>
      <c r="I832" s="7">
        <v>84</v>
      </c>
      <c r="J832" s="7" t="str">
        <f>"都市緑化植物園附属建物"</f>
        <v>都市緑化植物園附属建物</v>
      </c>
      <c r="K832" s="7" t="str">
        <f>"軽量鉄骨造"</f>
        <v>軽量鉄骨造</v>
      </c>
      <c r="L832" s="7" t="str">
        <f>"S63.08.10"</f>
        <v>S63.08.10</v>
      </c>
      <c r="M832" s="7">
        <v>19.690000000000001</v>
      </c>
      <c r="N832" s="7">
        <v>1997000</v>
      </c>
      <c r="O832" s="7">
        <v>1996999</v>
      </c>
      <c r="P832" s="7">
        <v>0</v>
      </c>
      <c r="Q832" s="7" t="str">
        <f t="shared" si="286"/>
        <v>都市整備部</v>
      </c>
      <c r="R832" s="7" t="str">
        <f t="shared" si="296"/>
        <v>池田土木事務所</v>
      </c>
    </row>
    <row r="833" spans="1:18" s="1" customFormat="1" x14ac:dyDescent="0.45">
      <c r="A833" s="7" t="str">
        <f t="shared" si="288"/>
        <v>08201000160</v>
      </c>
      <c r="B833" s="7" t="str">
        <f t="shared" si="289"/>
        <v>服部緑地（一般会計）</v>
      </c>
      <c r="C833" s="7" t="str">
        <f t="shared" si="295"/>
        <v>行政財産</v>
      </c>
      <c r="D833" s="7" t="str">
        <f t="shared" si="290"/>
        <v>公園</v>
      </c>
      <c r="E833" s="7" t="str">
        <f t="shared" si="291"/>
        <v>大阪府豊中市服部緑地</v>
      </c>
      <c r="F833" s="7"/>
      <c r="G833" s="7" t="str">
        <f t="shared" si="293"/>
        <v>事業用資産</v>
      </c>
      <c r="H833" s="7" t="str">
        <f t="shared" si="278"/>
        <v>棚卸以外</v>
      </c>
      <c r="I833" s="7">
        <v>86</v>
      </c>
      <c r="J833" s="7" t="str">
        <f>"車庫"</f>
        <v>車庫</v>
      </c>
      <c r="K833" s="7" t="str">
        <f>"軽量鉄骨造"</f>
        <v>軽量鉄骨造</v>
      </c>
      <c r="L833" s="7" t="str">
        <f>"H01.09.13"</f>
        <v>H01.09.13</v>
      </c>
      <c r="M833" s="7">
        <v>30.8</v>
      </c>
      <c r="N833" s="7">
        <v>1236000</v>
      </c>
      <c r="O833" s="7">
        <v>1235999</v>
      </c>
      <c r="P833" s="7">
        <v>0</v>
      </c>
      <c r="Q833" s="7" t="str">
        <f t="shared" si="286"/>
        <v>都市整備部</v>
      </c>
      <c r="R833" s="7" t="str">
        <f t="shared" si="296"/>
        <v>池田土木事務所</v>
      </c>
    </row>
    <row r="834" spans="1:18" s="1" customFormat="1" x14ac:dyDescent="0.45">
      <c r="A834" s="7" t="str">
        <f t="shared" si="288"/>
        <v>08201000160</v>
      </c>
      <c r="B834" s="7" t="str">
        <f t="shared" si="289"/>
        <v>服部緑地（一般会計）</v>
      </c>
      <c r="C834" s="7" t="str">
        <f t="shared" si="295"/>
        <v>行政財産</v>
      </c>
      <c r="D834" s="7" t="str">
        <f t="shared" si="290"/>
        <v>公園</v>
      </c>
      <c r="E834" s="7" t="str">
        <f t="shared" si="291"/>
        <v>大阪府豊中市服部緑地</v>
      </c>
      <c r="F834" s="7"/>
      <c r="G834" s="7" t="str">
        <f t="shared" si="293"/>
        <v>事業用資産</v>
      </c>
      <c r="H834" s="7" t="str">
        <f t="shared" si="278"/>
        <v>棚卸以外</v>
      </c>
      <c r="I834" s="7">
        <v>87</v>
      </c>
      <c r="J834" s="7" t="str">
        <f>"電気室"</f>
        <v>電気室</v>
      </c>
      <c r="K834" s="7" t="str">
        <f t="shared" ref="K834:K849" si="297">"鉄筋コンクリート造"</f>
        <v>鉄筋コンクリート造</v>
      </c>
      <c r="L834" s="7" t="str">
        <f>"H02.03.20"</f>
        <v>H02.03.20</v>
      </c>
      <c r="M834" s="7">
        <v>46.44</v>
      </c>
      <c r="N834" s="7">
        <v>32960000</v>
      </c>
      <c r="O834" s="7">
        <v>28623276</v>
      </c>
      <c r="P834" s="7">
        <v>0</v>
      </c>
      <c r="Q834" s="7" t="str">
        <f t="shared" si="286"/>
        <v>都市整備部</v>
      </c>
      <c r="R834" s="7" t="str">
        <f t="shared" si="296"/>
        <v>池田土木事務所</v>
      </c>
    </row>
    <row r="835" spans="1:18" s="1" customFormat="1" x14ac:dyDescent="0.45">
      <c r="A835" s="7" t="str">
        <f t="shared" si="288"/>
        <v>08201000160</v>
      </c>
      <c r="B835" s="7" t="str">
        <f t="shared" si="289"/>
        <v>服部緑地（一般会計）</v>
      </c>
      <c r="C835" s="7" t="str">
        <f t="shared" si="295"/>
        <v>行政財産</v>
      </c>
      <c r="D835" s="7" t="str">
        <f t="shared" si="290"/>
        <v>公園</v>
      </c>
      <c r="E835" s="7" t="str">
        <f t="shared" si="291"/>
        <v>大阪府豊中市服部緑地</v>
      </c>
      <c r="F835" s="7"/>
      <c r="G835" s="7" t="str">
        <f t="shared" si="293"/>
        <v>事業用資産</v>
      </c>
      <c r="H835" s="7" t="str">
        <f t="shared" si="278"/>
        <v>棚卸以外</v>
      </c>
      <c r="I835" s="7">
        <v>88</v>
      </c>
      <c r="J835" s="7" t="str">
        <f>"ポンプ室"</f>
        <v>ポンプ室</v>
      </c>
      <c r="K835" s="7" t="str">
        <f t="shared" si="297"/>
        <v>鉄筋コンクリート造</v>
      </c>
      <c r="L835" s="7" t="str">
        <f>"H02.03.26"</f>
        <v>H02.03.26</v>
      </c>
      <c r="M835" s="7">
        <v>16.739999999999998</v>
      </c>
      <c r="N835" s="7">
        <v>51057506</v>
      </c>
      <c r="O835" s="7">
        <v>13116719</v>
      </c>
      <c r="P835" s="7">
        <v>0</v>
      </c>
      <c r="Q835" s="7" t="str">
        <f t="shared" si="286"/>
        <v>都市整備部</v>
      </c>
      <c r="R835" s="7" t="str">
        <f t="shared" si="296"/>
        <v>池田土木事務所</v>
      </c>
    </row>
    <row r="836" spans="1:18" s="1" customFormat="1" x14ac:dyDescent="0.45">
      <c r="A836" s="7" t="str">
        <f t="shared" ref="A836:A872" si="298">"08201000160"</f>
        <v>08201000160</v>
      </c>
      <c r="B836" s="7" t="str">
        <f t="shared" ref="B836:B872" si="299">"服部緑地（一般会計）"</f>
        <v>服部緑地（一般会計）</v>
      </c>
      <c r="C836" s="7" t="str">
        <f t="shared" si="295"/>
        <v>行政財産</v>
      </c>
      <c r="D836" s="7" t="str">
        <f t="shared" ref="D836:D867" si="300">"公園"</f>
        <v>公園</v>
      </c>
      <c r="E836" s="7" t="str">
        <f t="shared" ref="E836:E872" si="301">"大阪府豊中市服部緑地"</f>
        <v>大阪府豊中市服部緑地</v>
      </c>
      <c r="F836" s="7"/>
      <c r="G836" s="7" t="str">
        <f t="shared" si="293"/>
        <v>事業用資産</v>
      </c>
      <c r="H836" s="7" t="str">
        <f t="shared" ref="H836:H899" si="302">"棚卸以外"</f>
        <v>棚卸以外</v>
      </c>
      <c r="I836" s="7">
        <v>89</v>
      </c>
      <c r="J836" s="7" t="str">
        <f>"民家集落内西便所"</f>
        <v>民家集落内西便所</v>
      </c>
      <c r="K836" s="7" t="str">
        <f t="shared" si="297"/>
        <v>鉄筋コンクリート造</v>
      </c>
      <c r="L836" s="7" t="str">
        <f>"H02.03.19"</f>
        <v>H02.03.19</v>
      </c>
      <c r="M836" s="7">
        <v>50</v>
      </c>
      <c r="N836" s="7">
        <v>32729253</v>
      </c>
      <c r="O836" s="7">
        <v>17798250</v>
      </c>
      <c r="P836" s="7">
        <v>0</v>
      </c>
      <c r="Q836" s="7" t="str">
        <f t="shared" si="286"/>
        <v>都市整備部</v>
      </c>
      <c r="R836" s="7" t="str">
        <f t="shared" si="296"/>
        <v>池田土木事務所</v>
      </c>
    </row>
    <row r="837" spans="1:18" s="1" customFormat="1" x14ac:dyDescent="0.45">
      <c r="A837" s="7" t="str">
        <f t="shared" si="298"/>
        <v>08201000160</v>
      </c>
      <c r="B837" s="7" t="str">
        <f t="shared" si="299"/>
        <v>服部緑地（一般会計）</v>
      </c>
      <c r="C837" s="7" t="str">
        <f t="shared" si="295"/>
        <v>行政財産</v>
      </c>
      <c r="D837" s="7" t="str">
        <f t="shared" si="300"/>
        <v>公園</v>
      </c>
      <c r="E837" s="7" t="str">
        <f t="shared" si="301"/>
        <v>大阪府豊中市服部緑地</v>
      </c>
      <c r="F837" s="7"/>
      <c r="G837" s="7" t="str">
        <f t="shared" si="293"/>
        <v>事業用資産</v>
      </c>
      <c r="H837" s="7" t="str">
        <f t="shared" si="302"/>
        <v>棚卸以外</v>
      </c>
      <c r="I837" s="7">
        <v>90</v>
      </c>
      <c r="J837" s="7" t="str">
        <f>"民家集落内東便所"</f>
        <v>民家集落内東便所</v>
      </c>
      <c r="K837" s="7" t="str">
        <f t="shared" si="297"/>
        <v>鉄筋コンクリート造</v>
      </c>
      <c r="L837" s="7" t="str">
        <f>"H02.03.15"</f>
        <v>H02.03.15</v>
      </c>
      <c r="M837" s="7">
        <v>35</v>
      </c>
      <c r="N837" s="7">
        <v>30799562</v>
      </c>
      <c r="O837" s="7">
        <v>15497840</v>
      </c>
      <c r="P837" s="7">
        <v>0</v>
      </c>
      <c r="Q837" s="7" t="str">
        <f t="shared" si="286"/>
        <v>都市整備部</v>
      </c>
      <c r="R837" s="7" t="str">
        <f t="shared" si="296"/>
        <v>池田土木事務所</v>
      </c>
    </row>
    <row r="838" spans="1:18" s="1" customFormat="1" x14ac:dyDescent="0.45">
      <c r="A838" s="7" t="str">
        <f t="shared" si="298"/>
        <v>08201000160</v>
      </c>
      <c r="B838" s="7" t="str">
        <f t="shared" si="299"/>
        <v>服部緑地（一般会計）</v>
      </c>
      <c r="C838" s="7" t="str">
        <f t="shared" si="295"/>
        <v>行政財産</v>
      </c>
      <c r="D838" s="7" t="str">
        <f t="shared" si="300"/>
        <v>公園</v>
      </c>
      <c r="E838" s="7" t="str">
        <f t="shared" si="301"/>
        <v>大阪府豊中市服部緑地</v>
      </c>
      <c r="F838" s="7"/>
      <c r="G838" s="7" t="str">
        <f t="shared" si="293"/>
        <v>事業用資産</v>
      </c>
      <c r="H838" s="7" t="str">
        <f t="shared" si="302"/>
        <v>棚卸以外</v>
      </c>
      <c r="I838" s="7">
        <v>91</v>
      </c>
      <c r="J838" s="7" t="str">
        <f>"レストハウス西便所"</f>
        <v>レストハウス西便所</v>
      </c>
      <c r="K838" s="7" t="str">
        <f t="shared" si="297"/>
        <v>鉄筋コンクリート造</v>
      </c>
      <c r="L838" s="7" t="str">
        <f>"H03.03.28"</f>
        <v>H03.03.28</v>
      </c>
      <c r="M838" s="7">
        <v>44.26</v>
      </c>
      <c r="N838" s="7">
        <v>33411737</v>
      </c>
      <c r="O838" s="7">
        <v>8946060</v>
      </c>
      <c r="P838" s="7">
        <v>0</v>
      </c>
      <c r="Q838" s="7" t="str">
        <f t="shared" si="286"/>
        <v>都市整備部</v>
      </c>
      <c r="R838" s="7" t="str">
        <f t="shared" si="296"/>
        <v>池田土木事務所</v>
      </c>
    </row>
    <row r="839" spans="1:18" s="1" customFormat="1" x14ac:dyDescent="0.45">
      <c r="A839" s="7" t="str">
        <f t="shared" si="298"/>
        <v>08201000160</v>
      </c>
      <c r="B839" s="7" t="str">
        <f t="shared" si="299"/>
        <v>服部緑地（一般会計）</v>
      </c>
      <c r="C839" s="7" t="str">
        <f t="shared" si="295"/>
        <v>行政財産</v>
      </c>
      <c r="D839" s="7" t="str">
        <f t="shared" si="300"/>
        <v>公園</v>
      </c>
      <c r="E839" s="7" t="str">
        <f t="shared" si="301"/>
        <v>大阪府豊中市服部緑地</v>
      </c>
      <c r="F839" s="7"/>
      <c r="G839" s="7" t="str">
        <f t="shared" si="293"/>
        <v>事業用資産</v>
      </c>
      <c r="H839" s="7" t="str">
        <f t="shared" si="302"/>
        <v>棚卸以外</v>
      </c>
      <c r="I839" s="7">
        <v>92</v>
      </c>
      <c r="J839" s="7" t="str">
        <f>"北条広場北便所"</f>
        <v>北条広場北便所</v>
      </c>
      <c r="K839" s="7" t="str">
        <f t="shared" si="297"/>
        <v>鉄筋コンクリート造</v>
      </c>
      <c r="L839" s="7" t="str">
        <f>"H02.03.30"</f>
        <v>H02.03.30</v>
      </c>
      <c r="M839" s="7">
        <v>20.2</v>
      </c>
      <c r="N839" s="7">
        <v>20941921</v>
      </c>
      <c r="O839" s="7">
        <v>1102224</v>
      </c>
      <c r="P839" s="7">
        <v>0</v>
      </c>
      <c r="Q839" s="7" t="str">
        <f t="shared" si="286"/>
        <v>都市整備部</v>
      </c>
      <c r="R839" s="7" t="str">
        <f t="shared" si="296"/>
        <v>池田土木事務所</v>
      </c>
    </row>
    <row r="840" spans="1:18" s="1" customFormat="1" x14ac:dyDescent="0.45">
      <c r="A840" s="7" t="str">
        <f t="shared" si="298"/>
        <v>08201000160</v>
      </c>
      <c r="B840" s="7" t="str">
        <f t="shared" si="299"/>
        <v>服部緑地（一般会計）</v>
      </c>
      <c r="C840" s="7" t="str">
        <f t="shared" si="295"/>
        <v>行政財産</v>
      </c>
      <c r="D840" s="7" t="str">
        <f t="shared" si="300"/>
        <v>公園</v>
      </c>
      <c r="E840" s="7" t="str">
        <f t="shared" si="301"/>
        <v>大阪府豊中市服部緑地</v>
      </c>
      <c r="F840" s="7"/>
      <c r="G840" s="7" t="str">
        <f t="shared" si="293"/>
        <v>事業用資産</v>
      </c>
      <c r="H840" s="7" t="str">
        <f t="shared" si="302"/>
        <v>棚卸以外</v>
      </c>
      <c r="I840" s="7">
        <v>93</v>
      </c>
      <c r="J840" s="7" t="str">
        <f>"ちかくの森北便所"</f>
        <v>ちかくの森北便所</v>
      </c>
      <c r="K840" s="7" t="str">
        <f t="shared" si="297"/>
        <v>鉄筋コンクリート造</v>
      </c>
      <c r="L840" s="7" t="str">
        <f>"H02.03.30"</f>
        <v>H02.03.30</v>
      </c>
      <c r="M840" s="7">
        <v>68.09</v>
      </c>
      <c r="N840" s="7">
        <v>51812049</v>
      </c>
      <c r="O840" s="7">
        <v>5454000</v>
      </c>
      <c r="P840" s="7">
        <v>0</v>
      </c>
      <c r="Q840" s="7" t="str">
        <f t="shared" si="286"/>
        <v>都市整備部</v>
      </c>
      <c r="R840" s="7" t="str">
        <f t="shared" si="296"/>
        <v>池田土木事務所</v>
      </c>
    </row>
    <row r="841" spans="1:18" s="1" customFormat="1" x14ac:dyDescent="0.45">
      <c r="A841" s="7" t="str">
        <f t="shared" si="298"/>
        <v>08201000160</v>
      </c>
      <c r="B841" s="7" t="str">
        <f t="shared" si="299"/>
        <v>服部緑地（一般会計）</v>
      </c>
      <c r="C841" s="7" t="str">
        <f t="shared" si="295"/>
        <v>行政財産</v>
      </c>
      <c r="D841" s="7" t="str">
        <f t="shared" si="300"/>
        <v>公園</v>
      </c>
      <c r="E841" s="7" t="str">
        <f t="shared" si="301"/>
        <v>大阪府豊中市服部緑地</v>
      </c>
      <c r="F841" s="7"/>
      <c r="G841" s="7" t="str">
        <f t="shared" si="293"/>
        <v>事業用資産</v>
      </c>
      <c r="H841" s="7" t="str">
        <f t="shared" si="302"/>
        <v>棚卸以外</v>
      </c>
      <c r="I841" s="7">
        <v>94</v>
      </c>
      <c r="J841" s="7" t="str">
        <f>"都市緑化植物園北便所"</f>
        <v>都市緑化植物園北便所</v>
      </c>
      <c r="K841" s="7" t="str">
        <f t="shared" si="297"/>
        <v>鉄筋コンクリート造</v>
      </c>
      <c r="L841" s="7" t="str">
        <f>"H02.03.30"</f>
        <v>H02.03.30</v>
      </c>
      <c r="M841" s="7">
        <v>20.2</v>
      </c>
      <c r="N841" s="7">
        <v>15443609</v>
      </c>
      <c r="O841" s="7">
        <v>1780560</v>
      </c>
      <c r="P841" s="7">
        <v>0</v>
      </c>
      <c r="Q841" s="7" t="str">
        <f t="shared" si="286"/>
        <v>都市整備部</v>
      </c>
      <c r="R841" s="7" t="str">
        <f t="shared" si="296"/>
        <v>池田土木事務所</v>
      </c>
    </row>
    <row r="842" spans="1:18" s="1" customFormat="1" x14ac:dyDescent="0.45">
      <c r="A842" s="7" t="str">
        <f t="shared" si="298"/>
        <v>08201000160</v>
      </c>
      <c r="B842" s="7" t="str">
        <f t="shared" si="299"/>
        <v>服部緑地（一般会計）</v>
      </c>
      <c r="C842" s="7" t="str">
        <f t="shared" si="295"/>
        <v>行政財産</v>
      </c>
      <c r="D842" s="7" t="str">
        <f t="shared" si="300"/>
        <v>公園</v>
      </c>
      <c r="E842" s="7" t="str">
        <f t="shared" si="301"/>
        <v>大阪府豊中市服部緑地</v>
      </c>
      <c r="F842" s="7"/>
      <c r="G842" s="7" t="str">
        <f t="shared" si="293"/>
        <v>事業用資産</v>
      </c>
      <c r="H842" s="7" t="str">
        <f t="shared" si="302"/>
        <v>棚卸以外</v>
      </c>
      <c r="I842" s="7">
        <v>95</v>
      </c>
      <c r="J842" s="7" t="str">
        <f>"円形花壇北便所"</f>
        <v>円形花壇北便所</v>
      </c>
      <c r="K842" s="7" t="str">
        <f t="shared" si="297"/>
        <v>鉄筋コンクリート造</v>
      </c>
      <c r="L842" s="7" t="str">
        <f>"H02.03.28"</f>
        <v>H02.03.28</v>
      </c>
      <c r="M842" s="7">
        <v>41.52</v>
      </c>
      <c r="N842" s="7">
        <v>61044261</v>
      </c>
      <c r="O842" s="7">
        <v>24728520</v>
      </c>
      <c r="P842" s="7">
        <v>0</v>
      </c>
      <c r="Q842" s="7" t="str">
        <f t="shared" si="286"/>
        <v>都市整備部</v>
      </c>
      <c r="R842" s="7" t="str">
        <f t="shared" si="296"/>
        <v>池田土木事務所</v>
      </c>
    </row>
    <row r="843" spans="1:18" s="1" customFormat="1" x14ac:dyDescent="0.45">
      <c r="A843" s="7" t="str">
        <f t="shared" si="298"/>
        <v>08201000160</v>
      </c>
      <c r="B843" s="7" t="str">
        <f t="shared" si="299"/>
        <v>服部緑地（一般会計）</v>
      </c>
      <c r="C843" s="7" t="str">
        <f t="shared" si="295"/>
        <v>行政財産</v>
      </c>
      <c r="D843" s="7" t="str">
        <f t="shared" si="300"/>
        <v>公園</v>
      </c>
      <c r="E843" s="7" t="str">
        <f t="shared" si="301"/>
        <v>大阪府豊中市服部緑地</v>
      </c>
      <c r="F843" s="7"/>
      <c r="G843" s="7" t="str">
        <f t="shared" si="293"/>
        <v>事業用資産</v>
      </c>
      <c r="H843" s="7" t="str">
        <f t="shared" si="302"/>
        <v>棚卸以外</v>
      </c>
      <c r="I843" s="7">
        <v>96</v>
      </c>
      <c r="J843" s="7" t="str">
        <f>"第２駐車場便所"</f>
        <v>第２駐車場便所</v>
      </c>
      <c r="K843" s="7" t="str">
        <f t="shared" si="297"/>
        <v>鉄筋コンクリート造</v>
      </c>
      <c r="L843" s="7" t="str">
        <f>"H03.03.15"</f>
        <v>H03.03.15</v>
      </c>
      <c r="M843" s="7">
        <v>44.26</v>
      </c>
      <c r="N843" s="7">
        <v>34032701</v>
      </c>
      <c r="O843" s="7">
        <v>10185948</v>
      </c>
      <c r="P843" s="7">
        <v>0</v>
      </c>
      <c r="Q843" s="7" t="str">
        <f t="shared" si="286"/>
        <v>都市整備部</v>
      </c>
      <c r="R843" s="7" t="str">
        <f t="shared" si="296"/>
        <v>池田土木事務所</v>
      </c>
    </row>
    <row r="844" spans="1:18" s="1" customFormat="1" x14ac:dyDescent="0.45">
      <c r="A844" s="7" t="str">
        <f t="shared" si="298"/>
        <v>08201000160</v>
      </c>
      <c r="B844" s="7" t="str">
        <f t="shared" si="299"/>
        <v>服部緑地（一般会計）</v>
      </c>
      <c r="C844" s="7" t="str">
        <f t="shared" si="295"/>
        <v>行政財産</v>
      </c>
      <c r="D844" s="7" t="str">
        <f t="shared" si="300"/>
        <v>公園</v>
      </c>
      <c r="E844" s="7" t="str">
        <f t="shared" si="301"/>
        <v>大阪府豊中市服部緑地</v>
      </c>
      <c r="F844" s="7"/>
      <c r="G844" s="7" t="str">
        <f t="shared" si="293"/>
        <v>事業用資産</v>
      </c>
      <c r="H844" s="7" t="str">
        <f t="shared" si="302"/>
        <v>棚卸以外</v>
      </c>
      <c r="I844" s="7">
        <v>98</v>
      </c>
      <c r="J844" s="7" t="str">
        <f>"野球場北便所"</f>
        <v>野球場北便所</v>
      </c>
      <c r="K844" s="7" t="str">
        <f t="shared" si="297"/>
        <v>鉄筋コンクリート造</v>
      </c>
      <c r="L844" s="7" t="str">
        <f>"H03.03.15"</f>
        <v>H03.03.15</v>
      </c>
      <c r="M844" s="7">
        <v>41.52</v>
      </c>
      <c r="N844" s="7">
        <v>32099208</v>
      </c>
      <c r="O844" s="7">
        <v>2534220</v>
      </c>
      <c r="P844" s="7">
        <v>0</v>
      </c>
      <c r="Q844" s="7" t="str">
        <f t="shared" si="286"/>
        <v>都市整備部</v>
      </c>
      <c r="R844" s="7" t="str">
        <f t="shared" si="296"/>
        <v>池田土木事務所</v>
      </c>
    </row>
    <row r="845" spans="1:18" s="1" customFormat="1" x14ac:dyDescent="0.45">
      <c r="A845" s="7" t="str">
        <f t="shared" si="298"/>
        <v>08201000160</v>
      </c>
      <c r="B845" s="7" t="str">
        <f t="shared" si="299"/>
        <v>服部緑地（一般会計）</v>
      </c>
      <c r="C845" s="7" t="str">
        <f t="shared" si="295"/>
        <v>行政財産</v>
      </c>
      <c r="D845" s="7" t="str">
        <f t="shared" si="300"/>
        <v>公園</v>
      </c>
      <c r="E845" s="7" t="str">
        <f t="shared" si="301"/>
        <v>大阪府豊中市服部緑地</v>
      </c>
      <c r="F845" s="7"/>
      <c r="G845" s="7" t="str">
        <f t="shared" ref="G845:G876" si="303">"事業用資産"</f>
        <v>事業用資産</v>
      </c>
      <c r="H845" s="7" t="str">
        <f t="shared" si="302"/>
        <v>棚卸以外</v>
      </c>
      <c r="I845" s="7">
        <v>99</v>
      </c>
      <c r="J845" s="7" t="str">
        <f>"中央広場西便所"</f>
        <v>中央広場西便所</v>
      </c>
      <c r="K845" s="7" t="str">
        <f t="shared" si="297"/>
        <v>鉄筋コンクリート造</v>
      </c>
      <c r="L845" s="7" t="str">
        <f>"H03.03.15"</f>
        <v>H03.03.15</v>
      </c>
      <c r="M845" s="7">
        <v>25.92</v>
      </c>
      <c r="N845" s="7">
        <v>20200000</v>
      </c>
      <c r="O845" s="7">
        <v>17010816</v>
      </c>
      <c r="P845" s="7">
        <v>0</v>
      </c>
      <c r="Q845" s="7" t="str">
        <f t="shared" si="286"/>
        <v>都市整備部</v>
      </c>
      <c r="R845" s="7" t="str">
        <f t="shared" si="296"/>
        <v>池田土木事務所</v>
      </c>
    </row>
    <row r="846" spans="1:18" s="1" customFormat="1" x14ac:dyDescent="0.45">
      <c r="A846" s="7" t="str">
        <f t="shared" si="298"/>
        <v>08201000160</v>
      </c>
      <c r="B846" s="7" t="str">
        <f t="shared" si="299"/>
        <v>服部緑地（一般会計）</v>
      </c>
      <c r="C846" s="7" t="str">
        <f t="shared" si="295"/>
        <v>行政財産</v>
      </c>
      <c r="D846" s="7" t="str">
        <f t="shared" si="300"/>
        <v>公園</v>
      </c>
      <c r="E846" s="7" t="str">
        <f t="shared" si="301"/>
        <v>大阪府豊中市服部緑地</v>
      </c>
      <c r="F846" s="7"/>
      <c r="G846" s="7" t="str">
        <f t="shared" si="303"/>
        <v>事業用資産</v>
      </c>
      <c r="H846" s="7" t="str">
        <f t="shared" si="302"/>
        <v>棚卸以外</v>
      </c>
      <c r="I846" s="7">
        <v>100</v>
      </c>
      <c r="J846" s="7" t="str">
        <f>"野外音楽堂"</f>
        <v>野外音楽堂</v>
      </c>
      <c r="K846" s="7" t="str">
        <f t="shared" si="297"/>
        <v>鉄筋コンクリート造</v>
      </c>
      <c r="L846" s="7" t="str">
        <f>"H03.06.07"</f>
        <v>H03.06.07</v>
      </c>
      <c r="M846" s="7">
        <v>1487.77</v>
      </c>
      <c r="N846" s="7">
        <v>515783406</v>
      </c>
      <c r="O846" s="7">
        <v>243652175</v>
      </c>
      <c r="P846" s="7">
        <v>0</v>
      </c>
      <c r="Q846" s="7" t="str">
        <f t="shared" si="286"/>
        <v>都市整備部</v>
      </c>
      <c r="R846" s="7" t="str">
        <f t="shared" si="296"/>
        <v>池田土木事務所</v>
      </c>
    </row>
    <row r="847" spans="1:18" s="1" customFormat="1" x14ac:dyDescent="0.45">
      <c r="A847" s="7" t="str">
        <f t="shared" si="298"/>
        <v>08201000160</v>
      </c>
      <c r="B847" s="7" t="str">
        <f t="shared" si="299"/>
        <v>服部緑地（一般会計）</v>
      </c>
      <c r="C847" s="7" t="str">
        <f t="shared" si="295"/>
        <v>行政財産</v>
      </c>
      <c r="D847" s="7" t="str">
        <f t="shared" si="300"/>
        <v>公園</v>
      </c>
      <c r="E847" s="7" t="str">
        <f t="shared" si="301"/>
        <v>大阪府豊中市服部緑地</v>
      </c>
      <c r="F847" s="7"/>
      <c r="G847" s="7" t="str">
        <f t="shared" si="303"/>
        <v>事業用資産</v>
      </c>
      <c r="H847" s="7" t="str">
        <f t="shared" si="302"/>
        <v>棚卸以外</v>
      </c>
      <c r="I847" s="7">
        <v>101</v>
      </c>
      <c r="J847" s="7" t="str">
        <f>"音響調整室"</f>
        <v>音響調整室</v>
      </c>
      <c r="K847" s="7" t="str">
        <f t="shared" si="297"/>
        <v>鉄筋コンクリート造</v>
      </c>
      <c r="L847" s="7" t="str">
        <f>"H03.06.07"</f>
        <v>H03.06.07</v>
      </c>
      <c r="M847" s="7">
        <v>25.31</v>
      </c>
      <c r="N847" s="7">
        <v>7610000</v>
      </c>
      <c r="O847" s="7">
        <v>6358509</v>
      </c>
      <c r="P847" s="7">
        <v>0</v>
      </c>
      <c r="Q847" s="7" t="str">
        <f t="shared" si="286"/>
        <v>都市整備部</v>
      </c>
      <c r="R847" s="7" t="str">
        <f t="shared" si="296"/>
        <v>池田土木事務所</v>
      </c>
    </row>
    <row r="848" spans="1:18" s="1" customFormat="1" x14ac:dyDescent="0.45">
      <c r="A848" s="7" t="str">
        <f t="shared" si="298"/>
        <v>08201000160</v>
      </c>
      <c r="B848" s="7" t="str">
        <f t="shared" si="299"/>
        <v>服部緑地（一般会計）</v>
      </c>
      <c r="C848" s="7" t="str">
        <f t="shared" si="295"/>
        <v>行政財産</v>
      </c>
      <c r="D848" s="7" t="str">
        <f t="shared" si="300"/>
        <v>公園</v>
      </c>
      <c r="E848" s="7" t="str">
        <f t="shared" si="301"/>
        <v>大阪府豊中市服部緑地</v>
      </c>
      <c r="F848" s="7"/>
      <c r="G848" s="7" t="str">
        <f t="shared" si="303"/>
        <v>事業用資産</v>
      </c>
      <c r="H848" s="7" t="str">
        <f t="shared" si="302"/>
        <v>棚卸以外</v>
      </c>
      <c r="I848" s="7">
        <v>102</v>
      </c>
      <c r="J848" s="7" t="str">
        <f>"野球場東休憩所横便所"</f>
        <v>野球場東休憩所横便所</v>
      </c>
      <c r="K848" s="7" t="str">
        <f t="shared" si="297"/>
        <v>鉄筋コンクリート造</v>
      </c>
      <c r="L848" s="7" t="str">
        <f>"H04.03.09"</f>
        <v>H04.03.09</v>
      </c>
      <c r="M848" s="7">
        <v>29.44</v>
      </c>
      <c r="N848" s="7">
        <v>21595811</v>
      </c>
      <c r="O848" s="7">
        <v>1466916</v>
      </c>
      <c r="P848" s="7">
        <v>0</v>
      </c>
      <c r="Q848" s="7" t="str">
        <f t="shared" si="286"/>
        <v>都市整備部</v>
      </c>
      <c r="R848" s="7" t="str">
        <f t="shared" si="296"/>
        <v>池田土木事務所</v>
      </c>
    </row>
    <row r="849" spans="1:18" s="1" customFormat="1" x14ac:dyDescent="0.45">
      <c r="A849" s="7" t="str">
        <f t="shared" si="298"/>
        <v>08201000160</v>
      </c>
      <c r="B849" s="7" t="str">
        <f t="shared" si="299"/>
        <v>服部緑地（一般会計）</v>
      </c>
      <c r="C849" s="7" t="str">
        <f t="shared" si="295"/>
        <v>行政財産</v>
      </c>
      <c r="D849" s="7" t="str">
        <f t="shared" si="300"/>
        <v>公園</v>
      </c>
      <c r="E849" s="7" t="str">
        <f t="shared" si="301"/>
        <v>大阪府豊中市服部緑地</v>
      </c>
      <c r="F849" s="7"/>
      <c r="G849" s="7" t="str">
        <f t="shared" si="303"/>
        <v>事業用資産</v>
      </c>
      <c r="H849" s="7" t="str">
        <f t="shared" si="302"/>
        <v>棚卸以外</v>
      </c>
      <c r="I849" s="7">
        <v>103</v>
      </c>
      <c r="J849" s="7" t="str">
        <f>"円形花壇休憩所"</f>
        <v>円形花壇休憩所</v>
      </c>
      <c r="K849" s="7" t="str">
        <f t="shared" si="297"/>
        <v>鉄筋コンクリート造</v>
      </c>
      <c r="L849" s="7" t="str">
        <f>"H04.03.25"</f>
        <v>H04.03.25</v>
      </c>
      <c r="M849" s="7">
        <v>93.63</v>
      </c>
      <c r="N849" s="7">
        <v>52555000</v>
      </c>
      <c r="O849" s="7">
        <v>32584224</v>
      </c>
      <c r="P849" s="7">
        <v>0</v>
      </c>
      <c r="Q849" s="7" t="str">
        <f t="shared" si="286"/>
        <v>都市整備部</v>
      </c>
      <c r="R849" s="7" t="str">
        <f t="shared" si="296"/>
        <v>池田土木事務所</v>
      </c>
    </row>
    <row r="850" spans="1:18" s="1" customFormat="1" x14ac:dyDescent="0.45">
      <c r="A850" s="7" t="str">
        <f t="shared" si="298"/>
        <v>08201000160</v>
      </c>
      <c r="B850" s="7" t="str">
        <f t="shared" si="299"/>
        <v>服部緑地（一般会計）</v>
      </c>
      <c r="C850" s="7" t="str">
        <f t="shared" si="295"/>
        <v>行政財産</v>
      </c>
      <c r="D850" s="7" t="str">
        <f t="shared" si="300"/>
        <v>公園</v>
      </c>
      <c r="E850" s="7" t="str">
        <f t="shared" si="301"/>
        <v>大阪府豊中市服部緑地</v>
      </c>
      <c r="F850" s="7"/>
      <c r="G850" s="7" t="str">
        <f t="shared" si="303"/>
        <v>事業用資産</v>
      </c>
      <c r="H850" s="7" t="str">
        <f t="shared" si="302"/>
        <v>棚卸以外</v>
      </c>
      <c r="I850" s="7">
        <v>105</v>
      </c>
      <c r="J850" s="7" t="str">
        <f>"苗圃"</f>
        <v>苗圃</v>
      </c>
      <c r="K850" s="7" t="str">
        <f>"鉄骨造"</f>
        <v>鉄骨造</v>
      </c>
      <c r="L850" s="7" t="str">
        <f>"H08.03.27"</f>
        <v>H08.03.27</v>
      </c>
      <c r="M850" s="7">
        <v>129.6</v>
      </c>
      <c r="N850" s="7">
        <v>18061000</v>
      </c>
      <c r="O850" s="7">
        <v>15730848</v>
      </c>
      <c r="P850" s="7">
        <v>0</v>
      </c>
      <c r="Q850" s="7" t="str">
        <f t="shared" si="286"/>
        <v>都市整備部</v>
      </c>
      <c r="R850" s="7" t="str">
        <f t="shared" si="296"/>
        <v>池田土木事務所</v>
      </c>
    </row>
    <row r="851" spans="1:18" s="1" customFormat="1" x14ac:dyDescent="0.45">
      <c r="A851" s="7" t="str">
        <f t="shared" si="298"/>
        <v>08201000160</v>
      </c>
      <c r="B851" s="7" t="str">
        <f t="shared" si="299"/>
        <v>服部緑地（一般会計）</v>
      </c>
      <c r="C851" s="7" t="str">
        <f t="shared" si="295"/>
        <v>行政財産</v>
      </c>
      <c r="D851" s="7" t="str">
        <f t="shared" si="300"/>
        <v>公園</v>
      </c>
      <c r="E851" s="7" t="str">
        <f t="shared" si="301"/>
        <v>大阪府豊中市服部緑地</v>
      </c>
      <c r="F851" s="7"/>
      <c r="G851" s="7" t="str">
        <f t="shared" si="303"/>
        <v>事業用資産</v>
      </c>
      <c r="H851" s="7" t="str">
        <f t="shared" si="302"/>
        <v>棚卸以外</v>
      </c>
      <c r="I851" s="7">
        <v>106</v>
      </c>
      <c r="J851" s="7" t="str">
        <f>"ウォーターランド管理棟"</f>
        <v>ウォーターランド管理棟</v>
      </c>
      <c r="K851" s="7" t="str">
        <f t="shared" ref="K851:K857" si="304">"鉄筋コンクリート造"</f>
        <v>鉄筋コンクリート造</v>
      </c>
      <c r="L851" s="7" t="str">
        <f t="shared" ref="L851:L857" si="305">"H09.03.11"</f>
        <v>H09.03.11</v>
      </c>
      <c r="M851" s="7">
        <v>2898.24</v>
      </c>
      <c r="N851" s="7">
        <v>583049000</v>
      </c>
      <c r="O851" s="7">
        <v>303185688</v>
      </c>
      <c r="P851" s="7">
        <v>0</v>
      </c>
      <c r="Q851" s="7" t="str">
        <f t="shared" si="286"/>
        <v>都市整備部</v>
      </c>
      <c r="R851" s="7" t="str">
        <f t="shared" si="296"/>
        <v>池田土木事務所</v>
      </c>
    </row>
    <row r="852" spans="1:18" s="1" customFormat="1" x14ac:dyDescent="0.45">
      <c r="A852" s="7" t="str">
        <f t="shared" si="298"/>
        <v>08201000160</v>
      </c>
      <c r="B852" s="7" t="str">
        <f t="shared" si="299"/>
        <v>服部緑地（一般会計）</v>
      </c>
      <c r="C852" s="7" t="str">
        <f t="shared" si="295"/>
        <v>行政財産</v>
      </c>
      <c r="D852" s="7" t="str">
        <f t="shared" si="300"/>
        <v>公園</v>
      </c>
      <c r="E852" s="7" t="str">
        <f t="shared" si="301"/>
        <v>大阪府豊中市服部緑地</v>
      </c>
      <c r="F852" s="7"/>
      <c r="G852" s="7" t="str">
        <f t="shared" si="303"/>
        <v>事業用資産</v>
      </c>
      <c r="H852" s="7" t="str">
        <f t="shared" si="302"/>
        <v>棚卸以外</v>
      </c>
      <c r="I852" s="7">
        <v>107</v>
      </c>
      <c r="J852" s="7" t="str">
        <f>"ウォーターランド売店"</f>
        <v>ウォーターランド売店</v>
      </c>
      <c r="K852" s="7" t="str">
        <f t="shared" si="304"/>
        <v>鉄筋コンクリート造</v>
      </c>
      <c r="L852" s="7" t="str">
        <f t="shared" si="305"/>
        <v>H09.03.11</v>
      </c>
      <c r="M852" s="7">
        <v>27.69</v>
      </c>
      <c r="N852" s="7">
        <v>15334000</v>
      </c>
      <c r="O852" s="7">
        <v>7973784</v>
      </c>
      <c r="P852" s="7">
        <v>0</v>
      </c>
      <c r="Q852" s="7" t="str">
        <f t="shared" si="286"/>
        <v>都市整備部</v>
      </c>
      <c r="R852" s="7" t="str">
        <f t="shared" si="296"/>
        <v>池田土木事務所</v>
      </c>
    </row>
    <row r="853" spans="1:18" s="1" customFormat="1" x14ac:dyDescent="0.45">
      <c r="A853" s="7" t="str">
        <f t="shared" si="298"/>
        <v>08201000160</v>
      </c>
      <c r="B853" s="7" t="str">
        <f t="shared" si="299"/>
        <v>服部緑地（一般会計）</v>
      </c>
      <c r="C853" s="7" t="str">
        <f t="shared" si="295"/>
        <v>行政財産</v>
      </c>
      <c r="D853" s="7" t="str">
        <f t="shared" si="300"/>
        <v>公園</v>
      </c>
      <c r="E853" s="7" t="str">
        <f t="shared" si="301"/>
        <v>大阪府豊中市服部緑地</v>
      </c>
      <c r="F853" s="7"/>
      <c r="G853" s="7" t="str">
        <f t="shared" si="303"/>
        <v>事業用資産</v>
      </c>
      <c r="H853" s="7" t="str">
        <f t="shared" si="302"/>
        <v>棚卸以外</v>
      </c>
      <c r="I853" s="7">
        <v>108</v>
      </c>
      <c r="J853" s="7" t="str">
        <f>"ウォーターランドテイクアウトレストラン"</f>
        <v>ウォーターランドテイクアウトレストラン</v>
      </c>
      <c r="K853" s="7" t="str">
        <f t="shared" si="304"/>
        <v>鉄筋コンクリート造</v>
      </c>
      <c r="L853" s="7" t="str">
        <f t="shared" si="305"/>
        <v>H09.03.11</v>
      </c>
      <c r="M853" s="7">
        <v>137.74</v>
      </c>
      <c r="N853" s="7">
        <v>58713000</v>
      </c>
      <c r="O853" s="7">
        <v>37232832</v>
      </c>
      <c r="P853" s="7">
        <v>0</v>
      </c>
      <c r="Q853" s="7" t="str">
        <f t="shared" si="286"/>
        <v>都市整備部</v>
      </c>
      <c r="R853" s="7" t="str">
        <f t="shared" si="296"/>
        <v>池田土木事務所</v>
      </c>
    </row>
    <row r="854" spans="1:18" s="1" customFormat="1" x14ac:dyDescent="0.45">
      <c r="A854" s="7" t="str">
        <f t="shared" si="298"/>
        <v>08201000160</v>
      </c>
      <c r="B854" s="7" t="str">
        <f t="shared" si="299"/>
        <v>服部緑地（一般会計）</v>
      </c>
      <c r="C854" s="7" t="str">
        <f t="shared" si="295"/>
        <v>行政財産</v>
      </c>
      <c r="D854" s="7" t="str">
        <f t="shared" si="300"/>
        <v>公園</v>
      </c>
      <c r="E854" s="7" t="str">
        <f t="shared" si="301"/>
        <v>大阪府豊中市服部緑地</v>
      </c>
      <c r="F854" s="7"/>
      <c r="G854" s="7" t="str">
        <f t="shared" si="303"/>
        <v>事業用資産</v>
      </c>
      <c r="H854" s="7" t="str">
        <f t="shared" si="302"/>
        <v>棚卸以外</v>
      </c>
      <c r="I854" s="7">
        <v>109</v>
      </c>
      <c r="J854" s="7" t="str">
        <f>"スライダープール横便所"</f>
        <v>スライダープール横便所</v>
      </c>
      <c r="K854" s="7" t="str">
        <f t="shared" si="304"/>
        <v>鉄筋コンクリート造</v>
      </c>
      <c r="L854" s="7" t="str">
        <f t="shared" si="305"/>
        <v>H09.03.11</v>
      </c>
      <c r="M854" s="7">
        <v>42.7</v>
      </c>
      <c r="N854" s="7">
        <v>19023000</v>
      </c>
      <c r="O854" s="7">
        <v>13016016</v>
      </c>
      <c r="P854" s="7">
        <v>0</v>
      </c>
      <c r="Q854" s="7" t="str">
        <f t="shared" si="286"/>
        <v>都市整備部</v>
      </c>
      <c r="R854" s="7" t="str">
        <f t="shared" si="296"/>
        <v>池田土木事務所</v>
      </c>
    </row>
    <row r="855" spans="1:18" s="1" customFormat="1" x14ac:dyDescent="0.45">
      <c r="A855" s="7" t="str">
        <f t="shared" si="298"/>
        <v>08201000160</v>
      </c>
      <c r="B855" s="7" t="str">
        <f t="shared" si="299"/>
        <v>服部緑地（一般会計）</v>
      </c>
      <c r="C855" s="7" t="str">
        <f t="shared" si="295"/>
        <v>行政財産</v>
      </c>
      <c r="D855" s="7" t="str">
        <f t="shared" si="300"/>
        <v>公園</v>
      </c>
      <c r="E855" s="7" t="str">
        <f t="shared" si="301"/>
        <v>大阪府豊中市服部緑地</v>
      </c>
      <c r="F855" s="7"/>
      <c r="G855" s="7" t="str">
        <f t="shared" si="303"/>
        <v>事業用資産</v>
      </c>
      <c r="H855" s="7" t="str">
        <f t="shared" si="302"/>
        <v>棚卸以外</v>
      </c>
      <c r="I855" s="7">
        <v>110</v>
      </c>
      <c r="J855" s="7" t="str">
        <f>"流水プール横便所"</f>
        <v>流水プール横便所</v>
      </c>
      <c r="K855" s="7" t="str">
        <f t="shared" si="304"/>
        <v>鉄筋コンクリート造</v>
      </c>
      <c r="L855" s="7" t="str">
        <f t="shared" si="305"/>
        <v>H09.03.11</v>
      </c>
      <c r="M855" s="7">
        <v>42.7</v>
      </c>
      <c r="N855" s="7">
        <v>19023000</v>
      </c>
      <c r="O855" s="7">
        <v>13016016</v>
      </c>
      <c r="P855" s="7">
        <v>0</v>
      </c>
      <c r="Q855" s="7" t="str">
        <f t="shared" si="286"/>
        <v>都市整備部</v>
      </c>
      <c r="R855" s="7" t="str">
        <f t="shared" si="296"/>
        <v>池田土木事務所</v>
      </c>
    </row>
    <row r="856" spans="1:18" s="1" customFormat="1" x14ac:dyDescent="0.45">
      <c r="A856" s="7" t="str">
        <f t="shared" si="298"/>
        <v>08201000160</v>
      </c>
      <c r="B856" s="7" t="str">
        <f t="shared" si="299"/>
        <v>服部緑地（一般会計）</v>
      </c>
      <c r="C856" s="7" t="str">
        <f t="shared" si="295"/>
        <v>行政財産</v>
      </c>
      <c r="D856" s="7" t="str">
        <f t="shared" si="300"/>
        <v>公園</v>
      </c>
      <c r="E856" s="7" t="str">
        <f t="shared" si="301"/>
        <v>大阪府豊中市服部緑地</v>
      </c>
      <c r="F856" s="7"/>
      <c r="G856" s="7" t="str">
        <f t="shared" si="303"/>
        <v>事業用資産</v>
      </c>
      <c r="H856" s="7" t="str">
        <f t="shared" si="302"/>
        <v>棚卸以外</v>
      </c>
      <c r="I856" s="7">
        <v>111</v>
      </c>
      <c r="J856" s="7" t="str">
        <f>"ウォーターランドレストハウス"</f>
        <v>ウォーターランドレストハウス</v>
      </c>
      <c r="K856" s="7" t="str">
        <f t="shared" si="304"/>
        <v>鉄筋コンクリート造</v>
      </c>
      <c r="L856" s="7" t="str">
        <f t="shared" si="305"/>
        <v>H09.03.11</v>
      </c>
      <c r="M856" s="7">
        <v>392.88</v>
      </c>
      <c r="N856" s="7">
        <v>77306000</v>
      </c>
      <c r="O856" s="7">
        <v>49023624</v>
      </c>
      <c r="P856" s="7">
        <v>0</v>
      </c>
      <c r="Q856" s="7" t="str">
        <f t="shared" si="286"/>
        <v>都市整備部</v>
      </c>
      <c r="R856" s="7" t="str">
        <f t="shared" si="296"/>
        <v>池田土木事務所</v>
      </c>
    </row>
    <row r="857" spans="1:18" s="1" customFormat="1" x14ac:dyDescent="0.45">
      <c r="A857" s="7" t="str">
        <f t="shared" si="298"/>
        <v>08201000160</v>
      </c>
      <c r="B857" s="7" t="str">
        <f t="shared" si="299"/>
        <v>服部緑地（一般会計）</v>
      </c>
      <c r="C857" s="7" t="str">
        <f t="shared" si="295"/>
        <v>行政財産</v>
      </c>
      <c r="D857" s="7" t="str">
        <f t="shared" si="300"/>
        <v>公園</v>
      </c>
      <c r="E857" s="7" t="str">
        <f t="shared" si="301"/>
        <v>大阪府豊中市服部緑地</v>
      </c>
      <c r="F857" s="7"/>
      <c r="G857" s="7" t="str">
        <f t="shared" si="303"/>
        <v>事業用資産</v>
      </c>
      <c r="H857" s="7" t="str">
        <f t="shared" si="302"/>
        <v>棚卸以外</v>
      </c>
      <c r="I857" s="7">
        <v>112</v>
      </c>
      <c r="J857" s="7" t="str">
        <f>"流水プール機械室"</f>
        <v>流水プール機械室</v>
      </c>
      <c r="K857" s="7" t="str">
        <f t="shared" si="304"/>
        <v>鉄筋コンクリート造</v>
      </c>
      <c r="L857" s="7" t="str">
        <f t="shared" si="305"/>
        <v>H09.03.11</v>
      </c>
      <c r="M857" s="7">
        <v>207.38</v>
      </c>
      <c r="N857" s="7">
        <v>26742000</v>
      </c>
      <c r="O857" s="7">
        <v>18297240</v>
      </c>
      <c r="P857" s="7">
        <v>0</v>
      </c>
      <c r="Q857" s="7" t="str">
        <f t="shared" si="286"/>
        <v>都市整備部</v>
      </c>
      <c r="R857" s="7" t="str">
        <f t="shared" si="296"/>
        <v>池田土木事務所</v>
      </c>
    </row>
    <row r="858" spans="1:18" s="1" customFormat="1" x14ac:dyDescent="0.45">
      <c r="A858" s="7" t="str">
        <f t="shared" si="298"/>
        <v>08201000160</v>
      </c>
      <c r="B858" s="7" t="str">
        <f t="shared" si="299"/>
        <v>服部緑地（一般会計）</v>
      </c>
      <c r="C858" s="7" t="str">
        <f t="shared" si="295"/>
        <v>行政財産</v>
      </c>
      <c r="D858" s="7" t="str">
        <f t="shared" si="300"/>
        <v>公園</v>
      </c>
      <c r="E858" s="7" t="str">
        <f t="shared" si="301"/>
        <v>大阪府豊中市服部緑地</v>
      </c>
      <c r="F858" s="7"/>
      <c r="G858" s="7" t="str">
        <f t="shared" si="303"/>
        <v>事業用資産</v>
      </c>
      <c r="H858" s="7" t="str">
        <f t="shared" si="302"/>
        <v>棚卸以外</v>
      </c>
      <c r="I858" s="7">
        <v>113</v>
      </c>
      <c r="J858" s="7" t="str">
        <f>"スライダープール機械室"</f>
        <v>スライダープール機械室</v>
      </c>
      <c r="K858" s="7" t="str">
        <f>"区分なし"</f>
        <v>区分なし</v>
      </c>
      <c r="L858" s="7" t="str">
        <f>"H26.07.01"</f>
        <v>H26.07.01</v>
      </c>
      <c r="M858" s="7">
        <v>232.02</v>
      </c>
      <c r="N858" s="7">
        <v>25474907</v>
      </c>
      <c r="O858" s="7">
        <v>16941704</v>
      </c>
      <c r="P858" s="7">
        <v>0</v>
      </c>
      <c r="Q858" s="7" t="str">
        <f t="shared" si="286"/>
        <v>都市整備部</v>
      </c>
      <c r="R858" s="7" t="str">
        <f t="shared" si="296"/>
        <v>池田土木事務所</v>
      </c>
    </row>
    <row r="859" spans="1:18" s="1" customFormat="1" x14ac:dyDescent="0.45">
      <c r="A859" s="7" t="str">
        <f t="shared" si="298"/>
        <v>08201000160</v>
      </c>
      <c r="B859" s="7" t="str">
        <f t="shared" si="299"/>
        <v>服部緑地（一般会計）</v>
      </c>
      <c r="C859" s="7" t="str">
        <f t="shared" si="295"/>
        <v>行政財産</v>
      </c>
      <c r="D859" s="7" t="str">
        <f t="shared" si="300"/>
        <v>公園</v>
      </c>
      <c r="E859" s="7" t="str">
        <f t="shared" si="301"/>
        <v>大阪府豊中市服部緑地</v>
      </c>
      <c r="F859" s="7"/>
      <c r="G859" s="7" t="str">
        <f t="shared" si="303"/>
        <v>事業用資産</v>
      </c>
      <c r="H859" s="7" t="str">
        <f t="shared" si="302"/>
        <v>棚卸以外</v>
      </c>
      <c r="I859" s="7">
        <v>114</v>
      </c>
      <c r="J859" s="7" t="str">
        <f>"幼児プール機械室"</f>
        <v>幼児プール機械室</v>
      </c>
      <c r="K859" s="7" t="str">
        <f>"鉄筋コンクリート造"</f>
        <v>鉄筋コンクリート造</v>
      </c>
      <c r="L859" s="7" t="str">
        <f>"H09.03.11"</f>
        <v>H09.03.11</v>
      </c>
      <c r="M859" s="7">
        <v>142.16</v>
      </c>
      <c r="N859" s="7">
        <v>22676000</v>
      </c>
      <c r="O859" s="7">
        <v>15515448</v>
      </c>
      <c r="P859" s="7">
        <v>0</v>
      </c>
      <c r="Q859" s="7" t="str">
        <f t="shared" ref="Q859:Q922" si="306">"都市整備部"</f>
        <v>都市整備部</v>
      </c>
      <c r="R859" s="7" t="str">
        <f t="shared" ref="R859:R890" si="307">"池田土木事務所"</f>
        <v>池田土木事務所</v>
      </c>
    </row>
    <row r="860" spans="1:18" s="1" customFormat="1" x14ac:dyDescent="0.45">
      <c r="A860" s="7" t="str">
        <f t="shared" si="298"/>
        <v>08201000160</v>
      </c>
      <c r="B860" s="7" t="str">
        <f t="shared" si="299"/>
        <v>服部緑地（一般会計）</v>
      </c>
      <c r="C860" s="7" t="str">
        <f t="shared" si="295"/>
        <v>行政財産</v>
      </c>
      <c r="D860" s="7" t="str">
        <f t="shared" si="300"/>
        <v>公園</v>
      </c>
      <c r="E860" s="7" t="str">
        <f t="shared" si="301"/>
        <v>大阪府豊中市服部緑地</v>
      </c>
      <c r="F860" s="7"/>
      <c r="G860" s="7" t="str">
        <f t="shared" si="303"/>
        <v>事業用資産</v>
      </c>
      <c r="H860" s="7" t="str">
        <f t="shared" si="302"/>
        <v>棚卸以外</v>
      </c>
      <c r="I860" s="7">
        <v>115</v>
      </c>
      <c r="J860" s="7" t="str">
        <f>"倉庫（車庫北側）"</f>
        <v>倉庫（車庫北側）</v>
      </c>
      <c r="K860" s="7" t="str">
        <f>"鉄骨造"</f>
        <v>鉄骨造</v>
      </c>
      <c r="L860" s="7" t="str">
        <f>"H09.03.24"</f>
        <v>H09.03.24</v>
      </c>
      <c r="M860" s="7">
        <v>104.5</v>
      </c>
      <c r="N860" s="7">
        <v>15944000</v>
      </c>
      <c r="O860" s="7">
        <v>13372632</v>
      </c>
      <c r="P860" s="7">
        <v>0</v>
      </c>
      <c r="Q860" s="7" t="str">
        <f t="shared" si="306"/>
        <v>都市整備部</v>
      </c>
      <c r="R860" s="7" t="str">
        <f t="shared" si="307"/>
        <v>池田土木事務所</v>
      </c>
    </row>
    <row r="861" spans="1:18" s="1" customFormat="1" x14ac:dyDescent="0.45">
      <c r="A861" s="7" t="str">
        <f t="shared" si="298"/>
        <v>08201000160</v>
      </c>
      <c r="B861" s="7" t="str">
        <f t="shared" si="299"/>
        <v>服部緑地（一般会計）</v>
      </c>
      <c r="C861" s="7" t="str">
        <f t="shared" si="295"/>
        <v>行政財産</v>
      </c>
      <c r="D861" s="7" t="str">
        <f t="shared" si="300"/>
        <v>公園</v>
      </c>
      <c r="E861" s="7" t="str">
        <f t="shared" si="301"/>
        <v>大阪府豊中市服部緑地</v>
      </c>
      <c r="F861" s="7"/>
      <c r="G861" s="7" t="str">
        <f t="shared" si="303"/>
        <v>事業用資産</v>
      </c>
      <c r="H861" s="7" t="str">
        <f t="shared" si="302"/>
        <v>棚卸以外</v>
      </c>
      <c r="I861" s="7">
        <v>116</v>
      </c>
      <c r="J861" s="7" t="str">
        <f>"江坂地区便所"</f>
        <v>江坂地区便所</v>
      </c>
      <c r="K861" s="7" t="str">
        <f>"鉄筋コンクリート造"</f>
        <v>鉄筋コンクリート造</v>
      </c>
      <c r="L861" s="7" t="str">
        <f>"H09.03.28"</f>
        <v>H09.03.28</v>
      </c>
      <c r="M861" s="7">
        <v>3.6</v>
      </c>
      <c r="N861" s="7">
        <v>6249000</v>
      </c>
      <c r="O861" s="7">
        <v>4275648</v>
      </c>
      <c r="P861" s="7">
        <v>0</v>
      </c>
      <c r="Q861" s="7" t="str">
        <f t="shared" si="306"/>
        <v>都市整備部</v>
      </c>
      <c r="R861" s="7" t="str">
        <f t="shared" si="307"/>
        <v>池田土木事務所</v>
      </c>
    </row>
    <row r="862" spans="1:18" s="1" customFormat="1" x14ac:dyDescent="0.45">
      <c r="A862" s="7" t="str">
        <f t="shared" si="298"/>
        <v>08201000160</v>
      </c>
      <c r="B862" s="7" t="str">
        <f t="shared" si="299"/>
        <v>服部緑地（一般会計）</v>
      </c>
      <c r="C862" s="7" t="str">
        <f t="shared" si="295"/>
        <v>行政財産</v>
      </c>
      <c r="D862" s="7" t="str">
        <f t="shared" si="300"/>
        <v>公園</v>
      </c>
      <c r="E862" s="7" t="str">
        <f t="shared" si="301"/>
        <v>大阪府豊中市服部緑地</v>
      </c>
      <c r="F862" s="7"/>
      <c r="G862" s="7" t="str">
        <f t="shared" si="303"/>
        <v>事業用資産</v>
      </c>
      <c r="H862" s="7" t="str">
        <f t="shared" si="302"/>
        <v>棚卸以外</v>
      </c>
      <c r="I862" s="7">
        <v>117</v>
      </c>
      <c r="J862" s="7" t="str">
        <f>"レストラン"</f>
        <v>レストラン</v>
      </c>
      <c r="K862" s="7" t="str">
        <f>"鉄筋コンクリート造"</f>
        <v>鉄筋コンクリート造</v>
      </c>
      <c r="L862" s="7" t="str">
        <f>"H09.07.25"</f>
        <v>H09.07.25</v>
      </c>
      <c r="M862" s="7">
        <v>308.76</v>
      </c>
      <c r="N862" s="7">
        <v>127358000</v>
      </c>
      <c r="O862" s="7">
        <v>79728264</v>
      </c>
      <c r="P862" s="7">
        <v>0</v>
      </c>
      <c r="Q862" s="7" t="str">
        <f t="shared" si="306"/>
        <v>都市整備部</v>
      </c>
      <c r="R862" s="7" t="str">
        <f t="shared" si="307"/>
        <v>池田土木事務所</v>
      </c>
    </row>
    <row r="863" spans="1:18" s="1" customFormat="1" x14ac:dyDescent="0.45">
      <c r="A863" s="7" t="str">
        <f t="shared" si="298"/>
        <v>08201000160</v>
      </c>
      <c r="B863" s="7" t="str">
        <f t="shared" si="299"/>
        <v>服部緑地（一般会計）</v>
      </c>
      <c r="C863" s="7" t="str">
        <f t="shared" si="295"/>
        <v>行政財産</v>
      </c>
      <c r="D863" s="7" t="str">
        <f t="shared" si="300"/>
        <v>公園</v>
      </c>
      <c r="E863" s="7" t="str">
        <f t="shared" si="301"/>
        <v>大阪府豊中市服部緑地</v>
      </c>
      <c r="F863" s="7"/>
      <c r="G863" s="7" t="str">
        <f t="shared" si="303"/>
        <v>事業用資産</v>
      </c>
      <c r="H863" s="7" t="str">
        <f t="shared" si="302"/>
        <v>棚卸以外</v>
      </c>
      <c r="I863" s="7">
        <v>118</v>
      </c>
      <c r="J863" s="7" t="str">
        <f>"バーベキュー広場管理棟"</f>
        <v>バーベキュー広場管理棟</v>
      </c>
      <c r="K863" s="7" t="str">
        <f>"土蔵造(簡易建物)"</f>
        <v>土蔵造(簡易建物)</v>
      </c>
      <c r="L863" s="7" t="str">
        <f>"H11.09.01"</f>
        <v>H11.09.01</v>
      </c>
      <c r="M863" s="7">
        <v>24.84</v>
      </c>
      <c r="N863" s="7">
        <v>6620000</v>
      </c>
      <c r="O863" s="7">
        <v>5185698</v>
      </c>
      <c r="P863" s="7">
        <v>0</v>
      </c>
      <c r="Q863" s="7" t="str">
        <f t="shared" si="306"/>
        <v>都市整備部</v>
      </c>
      <c r="R863" s="7" t="str">
        <f t="shared" si="307"/>
        <v>池田土木事務所</v>
      </c>
    </row>
    <row r="864" spans="1:18" s="1" customFormat="1" x14ac:dyDescent="0.45">
      <c r="A864" s="7" t="str">
        <f t="shared" si="298"/>
        <v>08201000160</v>
      </c>
      <c r="B864" s="7" t="str">
        <f t="shared" si="299"/>
        <v>服部緑地（一般会計）</v>
      </c>
      <c r="C864" s="7" t="str">
        <f t="shared" si="295"/>
        <v>行政財産</v>
      </c>
      <c r="D864" s="7" t="str">
        <f t="shared" si="300"/>
        <v>公園</v>
      </c>
      <c r="E864" s="7" t="str">
        <f t="shared" si="301"/>
        <v>大阪府豊中市服部緑地</v>
      </c>
      <c r="F864" s="7"/>
      <c r="G864" s="7" t="str">
        <f t="shared" si="303"/>
        <v>事業用資産</v>
      </c>
      <c r="H864" s="7" t="str">
        <f t="shared" si="302"/>
        <v>棚卸以外</v>
      </c>
      <c r="I864" s="7">
        <v>119</v>
      </c>
      <c r="J864" s="7" t="str">
        <f>"円形花壇東便所"</f>
        <v>円形花壇東便所</v>
      </c>
      <c r="K864" s="7" t="str">
        <f t="shared" ref="K864:K869" si="308">"鉄筋コンクリート造"</f>
        <v>鉄筋コンクリート造</v>
      </c>
      <c r="L864" s="7" t="str">
        <f>"H13.06.15"</f>
        <v>H13.06.15</v>
      </c>
      <c r="M864" s="7">
        <v>61.25</v>
      </c>
      <c r="N864" s="7">
        <v>43183000</v>
      </c>
      <c r="O864" s="7">
        <v>24716700</v>
      </c>
      <c r="P864" s="7">
        <v>0</v>
      </c>
      <c r="Q864" s="7" t="str">
        <f t="shared" si="306"/>
        <v>都市整備部</v>
      </c>
      <c r="R864" s="7" t="str">
        <f t="shared" si="307"/>
        <v>池田土木事務所</v>
      </c>
    </row>
    <row r="865" spans="1:18" s="1" customFormat="1" x14ac:dyDescent="0.45">
      <c r="A865" s="7" t="str">
        <f t="shared" si="298"/>
        <v>08201000160</v>
      </c>
      <c r="B865" s="7" t="str">
        <f t="shared" si="299"/>
        <v>服部緑地（一般会計）</v>
      </c>
      <c r="C865" s="7" t="str">
        <f t="shared" si="295"/>
        <v>行政財産</v>
      </c>
      <c r="D865" s="7" t="str">
        <f t="shared" si="300"/>
        <v>公園</v>
      </c>
      <c r="E865" s="7" t="str">
        <f t="shared" si="301"/>
        <v>大阪府豊中市服部緑地</v>
      </c>
      <c r="F865" s="7"/>
      <c r="G865" s="7" t="str">
        <f t="shared" si="303"/>
        <v>事業用資産</v>
      </c>
      <c r="H865" s="7" t="str">
        <f t="shared" si="302"/>
        <v>棚卸以外</v>
      </c>
      <c r="I865" s="7">
        <v>120</v>
      </c>
      <c r="J865" s="7" t="str">
        <f>"都市緑化植物園南便所"</f>
        <v>都市緑化植物園南便所</v>
      </c>
      <c r="K865" s="7" t="str">
        <f t="shared" si="308"/>
        <v>鉄筋コンクリート造</v>
      </c>
      <c r="L865" s="7" t="str">
        <f t="shared" ref="L865:L871" si="309">"S25.01.01"</f>
        <v>S25.01.01</v>
      </c>
      <c r="M865" s="7">
        <v>59</v>
      </c>
      <c r="N865" s="7">
        <v>44000000</v>
      </c>
      <c r="O865" s="7">
        <v>18236988</v>
      </c>
      <c r="P865" s="7">
        <v>0</v>
      </c>
      <c r="Q865" s="7" t="str">
        <f t="shared" si="306"/>
        <v>都市整備部</v>
      </c>
      <c r="R865" s="7" t="str">
        <f t="shared" si="307"/>
        <v>池田土木事務所</v>
      </c>
    </row>
    <row r="866" spans="1:18" s="1" customFormat="1" x14ac:dyDescent="0.45">
      <c r="A866" s="7" t="str">
        <f t="shared" si="298"/>
        <v>08201000160</v>
      </c>
      <c r="B866" s="7" t="str">
        <f t="shared" si="299"/>
        <v>服部緑地（一般会計）</v>
      </c>
      <c r="C866" s="7" t="str">
        <f t="shared" si="295"/>
        <v>行政財産</v>
      </c>
      <c r="D866" s="7" t="str">
        <f t="shared" si="300"/>
        <v>公園</v>
      </c>
      <c r="E866" s="7" t="str">
        <f t="shared" si="301"/>
        <v>大阪府豊中市服部緑地</v>
      </c>
      <c r="F866" s="7"/>
      <c r="G866" s="7" t="str">
        <f t="shared" si="303"/>
        <v>事業用資産</v>
      </c>
      <c r="H866" s="7" t="str">
        <f t="shared" si="302"/>
        <v>棚卸以外</v>
      </c>
      <c r="I866" s="7">
        <v>121</v>
      </c>
      <c r="J866" s="7" t="str">
        <f>"バーベキュー広場野外炉棟"</f>
        <v>バーベキュー広場野外炉棟</v>
      </c>
      <c r="K866" s="7" t="str">
        <f t="shared" si="308"/>
        <v>鉄筋コンクリート造</v>
      </c>
      <c r="L866" s="7" t="str">
        <f t="shared" si="309"/>
        <v>S25.01.01</v>
      </c>
      <c r="M866" s="7">
        <v>337</v>
      </c>
      <c r="N866" s="7">
        <v>38625000</v>
      </c>
      <c r="O866" s="7">
        <v>18153750</v>
      </c>
      <c r="P866" s="7">
        <v>0</v>
      </c>
      <c r="Q866" s="7" t="str">
        <f t="shared" si="306"/>
        <v>都市整備部</v>
      </c>
      <c r="R866" s="7" t="str">
        <f t="shared" si="307"/>
        <v>池田土木事務所</v>
      </c>
    </row>
    <row r="867" spans="1:18" s="1" customFormat="1" x14ac:dyDescent="0.45">
      <c r="A867" s="7" t="str">
        <f t="shared" si="298"/>
        <v>08201000160</v>
      </c>
      <c r="B867" s="7" t="str">
        <f t="shared" si="299"/>
        <v>服部緑地（一般会計）</v>
      </c>
      <c r="C867" s="7" t="str">
        <f t="shared" si="295"/>
        <v>行政財産</v>
      </c>
      <c r="D867" s="7" t="str">
        <f t="shared" si="300"/>
        <v>公園</v>
      </c>
      <c r="E867" s="7" t="str">
        <f t="shared" si="301"/>
        <v>大阪府豊中市服部緑地</v>
      </c>
      <c r="F867" s="7"/>
      <c r="G867" s="7" t="str">
        <f t="shared" si="303"/>
        <v>事業用資産</v>
      </c>
      <c r="H867" s="7" t="str">
        <f t="shared" si="302"/>
        <v>棚卸以外</v>
      </c>
      <c r="I867" s="7">
        <v>122</v>
      </c>
      <c r="J867" s="7" t="str">
        <f>"バーベキュー広場炊事棟１"</f>
        <v>バーベキュー広場炊事棟１</v>
      </c>
      <c r="K867" s="7" t="str">
        <f t="shared" si="308"/>
        <v>鉄筋コンクリート造</v>
      </c>
      <c r="L867" s="7" t="str">
        <f t="shared" si="309"/>
        <v>S25.01.01</v>
      </c>
      <c r="M867" s="7">
        <v>17</v>
      </c>
      <c r="N867" s="7">
        <v>4715000</v>
      </c>
      <c r="O867" s="7">
        <v>2216238</v>
      </c>
      <c r="P867" s="7">
        <v>0</v>
      </c>
      <c r="Q867" s="7" t="str">
        <f t="shared" si="306"/>
        <v>都市整備部</v>
      </c>
      <c r="R867" s="7" t="str">
        <f t="shared" si="307"/>
        <v>池田土木事務所</v>
      </c>
    </row>
    <row r="868" spans="1:18" s="1" customFormat="1" x14ac:dyDescent="0.45">
      <c r="A868" s="7" t="str">
        <f t="shared" si="298"/>
        <v>08201000160</v>
      </c>
      <c r="B868" s="7" t="str">
        <f t="shared" si="299"/>
        <v>服部緑地（一般会計）</v>
      </c>
      <c r="C868" s="7" t="str">
        <f t="shared" si="295"/>
        <v>行政財産</v>
      </c>
      <c r="D868" s="7" t="str">
        <f t="shared" ref="D868:D895" si="310">"公園"</f>
        <v>公園</v>
      </c>
      <c r="E868" s="7" t="str">
        <f t="shared" si="301"/>
        <v>大阪府豊中市服部緑地</v>
      </c>
      <c r="F868" s="7"/>
      <c r="G868" s="7" t="str">
        <f t="shared" si="303"/>
        <v>事業用資産</v>
      </c>
      <c r="H868" s="7" t="str">
        <f t="shared" si="302"/>
        <v>棚卸以外</v>
      </c>
      <c r="I868" s="7">
        <v>123</v>
      </c>
      <c r="J868" s="7" t="str">
        <f>"バーベキュー広場炊事棟２"</f>
        <v>バーベキュー広場炊事棟２</v>
      </c>
      <c r="K868" s="7" t="str">
        <f t="shared" si="308"/>
        <v>鉄筋コンクリート造</v>
      </c>
      <c r="L868" s="7" t="str">
        <f t="shared" si="309"/>
        <v>S25.01.01</v>
      </c>
      <c r="M868" s="7">
        <v>17</v>
      </c>
      <c r="N868" s="7">
        <v>4849000</v>
      </c>
      <c r="O868" s="7">
        <v>2279124</v>
      </c>
      <c r="P868" s="7">
        <v>0</v>
      </c>
      <c r="Q868" s="7" t="str">
        <f t="shared" si="306"/>
        <v>都市整備部</v>
      </c>
      <c r="R868" s="7" t="str">
        <f t="shared" si="307"/>
        <v>池田土木事務所</v>
      </c>
    </row>
    <row r="869" spans="1:18" s="1" customFormat="1" x14ac:dyDescent="0.45">
      <c r="A869" s="7" t="str">
        <f t="shared" si="298"/>
        <v>08201000160</v>
      </c>
      <c r="B869" s="7" t="str">
        <f t="shared" si="299"/>
        <v>服部緑地（一般会計）</v>
      </c>
      <c r="C869" s="7" t="str">
        <f t="shared" si="295"/>
        <v>行政財産</v>
      </c>
      <c r="D869" s="7" t="str">
        <f t="shared" si="310"/>
        <v>公園</v>
      </c>
      <c r="E869" s="7" t="str">
        <f t="shared" si="301"/>
        <v>大阪府豊中市服部緑地</v>
      </c>
      <c r="F869" s="7"/>
      <c r="G869" s="7" t="str">
        <f t="shared" si="303"/>
        <v>事業用資産</v>
      </c>
      <c r="H869" s="7" t="str">
        <f t="shared" si="302"/>
        <v>棚卸以外</v>
      </c>
      <c r="I869" s="7">
        <v>124</v>
      </c>
      <c r="J869" s="7" t="str">
        <f>"ハーブ園休憩所１"</f>
        <v>ハーブ園休憩所１</v>
      </c>
      <c r="K869" s="7" t="str">
        <f t="shared" si="308"/>
        <v>鉄筋コンクリート造</v>
      </c>
      <c r="L869" s="7" t="str">
        <f t="shared" si="309"/>
        <v>S25.01.01</v>
      </c>
      <c r="M869" s="7">
        <v>29</v>
      </c>
      <c r="N869" s="7">
        <v>20264900</v>
      </c>
      <c r="O869" s="7">
        <v>6079500</v>
      </c>
      <c r="P869" s="7">
        <v>0</v>
      </c>
      <c r="Q869" s="7" t="str">
        <f t="shared" si="306"/>
        <v>都市整備部</v>
      </c>
      <c r="R869" s="7" t="str">
        <f t="shared" si="307"/>
        <v>池田土木事務所</v>
      </c>
    </row>
    <row r="870" spans="1:18" s="1" customFormat="1" x14ac:dyDescent="0.45">
      <c r="A870" s="7" t="str">
        <f t="shared" si="298"/>
        <v>08201000160</v>
      </c>
      <c r="B870" s="7" t="str">
        <f t="shared" si="299"/>
        <v>服部緑地（一般会計）</v>
      </c>
      <c r="C870" s="7" t="str">
        <f t="shared" si="295"/>
        <v>行政財産</v>
      </c>
      <c r="D870" s="7" t="str">
        <f t="shared" si="310"/>
        <v>公園</v>
      </c>
      <c r="E870" s="7" t="str">
        <f t="shared" si="301"/>
        <v>大阪府豊中市服部緑地</v>
      </c>
      <c r="F870" s="7"/>
      <c r="G870" s="7" t="str">
        <f t="shared" si="303"/>
        <v>事業用資産</v>
      </c>
      <c r="H870" s="7" t="str">
        <f t="shared" si="302"/>
        <v>棚卸以外</v>
      </c>
      <c r="I870" s="7">
        <v>125</v>
      </c>
      <c r="J870" s="7" t="str">
        <f>"ハーブ園休憩所２"</f>
        <v>ハーブ園休憩所２</v>
      </c>
      <c r="K870" s="7" t="str">
        <f>"木造"</f>
        <v>木造</v>
      </c>
      <c r="L870" s="7" t="str">
        <f t="shared" si="309"/>
        <v>S25.01.01</v>
      </c>
      <c r="M870" s="7">
        <v>5</v>
      </c>
      <c r="N870" s="7">
        <v>441700</v>
      </c>
      <c r="O870" s="7">
        <v>276120</v>
      </c>
      <c r="P870" s="7">
        <v>0</v>
      </c>
      <c r="Q870" s="7" t="str">
        <f t="shared" si="306"/>
        <v>都市整備部</v>
      </c>
      <c r="R870" s="7" t="str">
        <f t="shared" si="307"/>
        <v>池田土木事務所</v>
      </c>
    </row>
    <row r="871" spans="1:18" s="1" customFormat="1" x14ac:dyDescent="0.45">
      <c r="A871" s="7" t="str">
        <f t="shared" si="298"/>
        <v>08201000160</v>
      </c>
      <c r="B871" s="7" t="str">
        <f t="shared" si="299"/>
        <v>服部緑地（一般会計）</v>
      </c>
      <c r="C871" s="7" t="str">
        <f t="shared" si="295"/>
        <v>行政財産</v>
      </c>
      <c r="D871" s="7" t="str">
        <f t="shared" si="310"/>
        <v>公園</v>
      </c>
      <c r="E871" s="7" t="str">
        <f t="shared" si="301"/>
        <v>大阪府豊中市服部緑地</v>
      </c>
      <c r="F871" s="7"/>
      <c r="G871" s="7" t="str">
        <f t="shared" si="303"/>
        <v>事業用資産</v>
      </c>
      <c r="H871" s="7" t="str">
        <f t="shared" si="302"/>
        <v>棚卸以外</v>
      </c>
      <c r="I871" s="7">
        <v>126</v>
      </c>
      <c r="J871" s="7" t="str">
        <f>"ハーブ園休憩所３"</f>
        <v>ハーブ園休憩所３</v>
      </c>
      <c r="K871" s="7" t="str">
        <f>"木造"</f>
        <v>木造</v>
      </c>
      <c r="L871" s="7" t="str">
        <f t="shared" si="309"/>
        <v>S25.01.01</v>
      </c>
      <c r="M871" s="7">
        <v>5</v>
      </c>
      <c r="N871" s="7">
        <v>441700</v>
      </c>
      <c r="O871" s="7">
        <v>276120</v>
      </c>
      <c r="P871" s="7">
        <v>0</v>
      </c>
      <c r="Q871" s="7" t="str">
        <f t="shared" si="306"/>
        <v>都市整備部</v>
      </c>
      <c r="R871" s="7" t="str">
        <f t="shared" si="307"/>
        <v>池田土木事務所</v>
      </c>
    </row>
    <row r="872" spans="1:18" s="1" customFormat="1" x14ac:dyDescent="0.45">
      <c r="A872" s="7" t="str">
        <f t="shared" si="298"/>
        <v>08201000160</v>
      </c>
      <c r="B872" s="7" t="str">
        <f t="shared" si="299"/>
        <v>服部緑地（一般会計）</v>
      </c>
      <c r="C872" s="7" t="str">
        <f t="shared" si="295"/>
        <v>行政財産</v>
      </c>
      <c r="D872" s="7" t="str">
        <f t="shared" si="310"/>
        <v>公園</v>
      </c>
      <c r="E872" s="7" t="str">
        <f t="shared" si="301"/>
        <v>大阪府豊中市服部緑地</v>
      </c>
      <c r="F872" s="7"/>
      <c r="G872" s="7" t="str">
        <f t="shared" si="303"/>
        <v>事業用資産</v>
      </c>
      <c r="H872" s="7" t="str">
        <f t="shared" si="302"/>
        <v>棚卸以外</v>
      </c>
      <c r="I872" s="7">
        <v>127</v>
      </c>
      <c r="J872" s="7" t="str">
        <f>"スポーツ広場Ａ北休憩所"</f>
        <v>スポーツ広場Ａ北休憩所</v>
      </c>
      <c r="K872" s="7" t="str">
        <f>"木造"</f>
        <v>木造</v>
      </c>
      <c r="L872" s="7" t="str">
        <f>"R05.01.20"</f>
        <v>R05.01.20</v>
      </c>
      <c r="M872" s="7">
        <v>76.19</v>
      </c>
      <c r="N872" s="7">
        <v>49064700</v>
      </c>
      <c r="O872" s="7">
        <v>1135171</v>
      </c>
      <c r="P872" s="7">
        <v>0</v>
      </c>
      <c r="Q872" s="7" t="str">
        <f t="shared" si="306"/>
        <v>都市整備部</v>
      </c>
      <c r="R872" s="7" t="str">
        <f t="shared" si="307"/>
        <v>池田土木事務所</v>
      </c>
    </row>
    <row r="873" spans="1:18" s="1" customFormat="1" x14ac:dyDescent="0.45">
      <c r="A873" s="7" t="str">
        <f t="shared" ref="A873:A895" si="311">"08201000161"</f>
        <v>08201000161</v>
      </c>
      <c r="B873" s="7" t="str">
        <f t="shared" ref="B873:B895" si="312">"箕面公園"</f>
        <v>箕面公園</v>
      </c>
      <c r="C873" s="7" t="str">
        <f t="shared" si="295"/>
        <v>行政財産</v>
      </c>
      <c r="D873" s="7" t="str">
        <f t="shared" si="310"/>
        <v>公園</v>
      </c>
      <c r="E873" s="7" t="str">
        <f t="shared" ref="E873:E895" si="313">"大阪府箕面市箕面"</f>
        <v>大阪府箕面市箕面</v>
      </c>
      <c r="F873" s="7"/>
      <c r="G873" s="7" t="str">
        <f t="shared" si="303"/>
        <v>事業用資産</v>
      </c>
      <c r="H873" s="7" t="str">
        <f t="shared" si="302"/>
        <v>棚卸以外</v>
      </c>
      <c r="I873" s="7">
        <v>4</v>
      </c>
      <c r="J873" s="7" t="str">
        <f>"梅屋敷"</f>
        <v>梅屋敷</v>
      </c>
      <c r="K873" s="7" t="str">
        <f>"鉄骨造"</f>
        <v>鉄骨造</v>
      </c>
      <c r="L873" s="7" t="str">
        <f>"H24.08.13"</f>
        <v>H24.08.13</v>
      </c>
      <c r="M873" s="7">
        <v>52.89</v>
      </c>
      <c r="N873" s="7">
        <v>773990</v>
      </c>
      <c r="O873" s="7">
        <v>225122</v>
      </c>
      <c r="P873" s="7">
        <v>0</v>
      </c>
      <c r="Q873" s="7" t="str">
        <f t="shared" si="306"/>
        <v>都市整備部</v>
      </c>
      <c r="R873" s="7" t="str">
        <f t="shared" si="307"/>
        <v>池田土木事務所</v>
      </c>
    </row>
    <row r="874" spans="1:18" s="1" customFormat="1" x14ac:dyDescent="0.45">
      <c r="A874" s="7" t="str">
        <f t="shared" si="311"/>
        <v>08201000161</v>
      </c>
      <c r="B874" s="7" t="str">
        <f t="shared" si="312"/>
        <v>箕面公園</v>
      </c>
      <c r="C874" s="7" t="str">
        <f t="shared" si="295"/>
        <v>行政財産</v>
      </c>
      <c r="D874" s="7" t="str">
        <f t="shared" si="310"/>
        <v>公園</v>
      </c>
      <c r="E874" s="7" t="str">
        <f t="shared" si="313"/>
        <v>大阪府箕面市箕面</v>
      </c>
      <c r="F874" s="7"/>
      <c r="G874" s="7" t="str">
        <f t="shared" si="303"/>
        <v>事業用資産</v>
      </c>
      <c r="H874" s="7" t="str">
        <f t="shared" si="302"/>
        <v>棚卸以外</v>
      </c>
      <c r="I874" s="7">
        <v>22</v>
      </c>
      <c r="J874" s="7" t="str">
        <f>"大門橋横便所"</f>
        <v>大門橋横便所</v>
      </c>
      <c r="K874" s="7" t="str">
        <f>"軽量鉄骨造"</f>
        <v>軽量鉄骨造</v>
      </c>
      <c r="L874" s="7" t="str">
        <f>"S39.03.31"</f>
        <v>S39.03.31</v>
      </c>
      <c r="M874" s="7">
        <v>18.510000000000002</v>
      </c>
      <c r="N874" s="7">
        <v>770000</v>
      </c>
      <c r="O874" s="7">
        <v>769999</v>
      </c>
      <c r="P874" s="7">
        <v>0</v>
      </c>
      <c r="Q874" s="7" t="str">
        <f t="shared" si="306"/>
        <v>都市整備部</v>
      </c>
      <c r="R874" s="7" t="str">
        <f t="shared" si="307"/>
        <v>池田土木事務所</v>
      </c>
    </row>
    <row r="875" spans="1:18" s="1" customFormat="1" x14ac:dyDescent="0.45">
      <c r="A875" s="7" t="str">
        <f t="shared" si="311"/>
        <v>08201000161</v>
      </c>
      <c r="B875" s="7" t="str">
        <f t="shared" si="312"/>
        <v>箕面公園</v>
      </c>
      <c r="C875" s="7" t="str">
        <f t="shared" si="295"/>
        <v>行政財産</v>
      </c>
      <c r="D875" s="7" t="str">
        <f t="shared" si="310"/>
        <v>公園</v>
      </c>
      <c r="E875" s="7" t="str">
        <f t="shared" si="313"/>
        <v>大阪府箕面市箕面</v>
      </c>
      <c r="F875" s="7"/>
      <c r="G875" s="7" t="str">
        <f t="shared" si="303"/>
        <v>事業用資産</v>
      </c>
      <c r="H875" s="7" t="str">
        <f t="shared" si="302"/>
        <v>棚卸以外</v>
      </c>
      <c r="I875" s="7">
        <v>23</v>
      </c>
      <c r="J875" s="7" t="str">
        <f>"琴ノ家前便所"</f>
        <v>琴ノ家前便所</v>
      </c>
      <c r="K875" s="7" t="str">
        <f>"鉄筋コンクリート造"</f>
        <v>鉄筋コンクリート造</v>
      </c>
      <c r="L875" s="7" t="str">
        <f>"S39.03.30"</f>
        <v>S39.03.30</v>
      </c>
      <c r="M875" s="7">
        <v>12.13</v>
      </c>
      <c r="N875" s="7">
        <v>13053964</v>
      </c>
      <c r="O875" s="7">
        <v>458048</v>
      </c>
      <c r="P875" s="7">
        <v>0</v>
      </c>
      <c r="Q875" s="7" t="str">
        <f t="shared" si="306"/>
        <v>都市整備部</v>
      </c>
      <c r="R875" s="7" t="str">
        <f t="shared" si="307"/>
        <v>池田土木事務所</v>
      </c>
    </row>
    <row r="876" spans="1:18" s="1" customFormat="1" x14ac:dyDescent="0.45">
      <c r="A876" s="7" t="str">
        <f t="shared" si="311"/>
        <v>08201000161</v>
      </c>
      <c r="B876" s="7" t="str">
        <f t="shared" si="312"/>
        <v>箕面公園</v>
      </c>
      <c r="C876" s="7" t="str">
        <f t="shared" si="295"/>
        <v>行政財産</v>
      </c>
      <c r="D876" s="7" t="str">
        <f t="shared" si="310"/>
        <v>公園</v>
      </c>
      <c r="E876" s="7" t="str">
        <f t="shared" si="313"/>
        <v>大阪府箕面市箕面</v>
      </c>
      <c r="F876" s="7"/>
      <c r="G876" s="7" t="str">
        <f t="shared" si="303"/>
        <v>事業用資産</v>
      </c>
      <c r="H876" s="7" t="str">
        <f t="shared" si="302"/>
        <v>棚卸以外</v>
      </c>
      <c r="I876" s="7">
        <v>24</v>
      </c>
      <c r="J876" s="7" t="str">
        <f>"鶴島横便所"</f>
        <v>鶴島横便所</v>
      </c>
      <c r="K876" s="7" t="str">
        <f>"鉄筋コンクリート造"</f>
        <v>鉄筋コンクリート造</v>
      </c>
      <c r="L876" s="7" t="str">
        <f>"S39.03.30"</f>
        <v>S39.03.30</v>
      </c>
      <c r="M876" s="7">
        <v>11.53</v>
      </c>
      <c r="N876" s="7">
        <v>689000</v>
      </c>
      <c r="O876" s="7">
        <v>688999</v>
      </c>
      <c r="P876" s="7">
        <v>0</v>
      </c>
      <c r="Q876" s="7" t="str">
        <f t="shared" si="306"/>
        <v>都市整備部</v>
      </c>
      <c r="R876" s="7" t="str">
        <f t="shared" si="307"/>
        <v>池田土木事務所</v>
      </c>
    </row>
    <row r="877" spans="1:18" s="1" customFormat="1" x14ac:dyDescent="0.45">
      <c r="A877" s="7" t="str">
        <f t="shared" si="311"/>
        <v>08201000161</v>
      </c>
      <c r="B877" s="7" t="str">
        <f t="shared" si="312"/>
        <v>箕面公園</v>
      </c>
      <c r="C877" s="7" t="str">
        <f t="shared" si="295"/>
        <v>行政財産</v>
      </c>
      <c r="D877" s="7" t="str">
        <f t="shared" si="310"/>
        <v>公園</v>
      </c>
      <c r="E877" s="7" t="str">
        <f t="shared" si="313"/>
        <v>大阪府箕面市箕面</v>
      </c>
      <c r="F877" s="7"/>
      <c r="G877" s="7" t="str">
        <f t="shared" ref="G877:G896" si="314">"事業用資産"</f>
        <v>事業用資産</v>
      </c>
      <c r="H877" s="7" t="str">
        <f t="shared" si="302"/>
        <v>棚卸以外</v>
      </c>
      <c r="I877" s="7">
        <v>25</v>
      </c>
      <c r="J877" s="7" t="str">
        <f>"風呂が谷便所"</f>
        <v>風呂が谷便所</v>
      </c>
      <c r="K877" s="7" t="str">
        <f>"コンクリートブロック造"</f>
        <v>コンクリートブロック造</v>
      </c>
      <c r="L877" s="7" t="str">
        <f>"S39.03.30"</f>
        <v>S39.03.30</v>
      </c>
      <c r="M877" s="7">
        <v>11.1</v>
      </c>
      <c r="N877" s="7">
        <v>751000</v>
      </c>
      <c r="O877" s="7">
        <v>750999</v>
      </c>
      <c r="P877" s="7">
        <v>0</v>
      </c>
      <c r="Q877" s="7" t="str">
        <f t="shared" si="306"/>
        <v>都市整備部</v>
      </c>
      <c r="R877" s="7" t="str">
        <f t="shared" si="307"/>
        <v>池田土木事務所</v>
      </c>
    </row>
    <row r="878" spans="1:18" s="1" customFormat="1" x14ac:dyDescent="0.45">
      <c r="A878" s="7" t="str">
        <f t="shared" si="311"/>
        <v>08201000161</v>
      </c>
      <c r="B878" s="7" t="str">
        <f t="shared" si="312"/>
        <v>箕面公園</v>
      </c>
      <c r="C878" s="7" t="str">
        <f t="shared" si="295"/>
        <v>行政財産</v>
      </c>
      <c r="D878" s="7" t="str">
        <f t="shared" si="310"/>
        <v>公園</v>
      </c>
      <c r="E878" s="7" t="str">
        <f t="shared" si="313"/>
        <v>大阪府箕面市箕面</v>
      </c>
      <c r="F878" s="7"/>
      <c r="G878" s="7" t="str">
        <f t="shared" si="314"/>
        <v>事業用資産</v>
      </c>
      <c r="H878" s="7" t="str">
        <f t="shared" si="302"/>
        <v>棚卸以外</v>
      </c>
      <c r="I878" s="7">
        <v>28</v>
      </c>
      <c r="J878" s="7" t="str">
        <f>"小枝下便所"</f>
        <v>小枝下便所</v>
      </c>
      <c r="K878" s="7" t="str">
        <f>"鉄筋コンクリート造"</f>
        <v>鉄筋コンクリート造</v>
      </c>
      <c r="L878" s="7" t="str">
        <f>"S43.03.20"</f>
        <v>S43.03.20</v>
      </c>
      <c r="M878" s="7">
        <v>27.85</v>
      </c>
      <c r="N878" s="7">
        <v>14030000</v>
      </c>
      <c r="O878" s="7">
        <v>11297183</v>
      </c>
      <c r="P878" s="7">
        <v>0</v>
      </c>
      <c r="Q878" s="7" t="str">
        <f t="shared" si="306"/>
        <v>都市整備部</v>
      </c>
      <c r="R878" s="7" t="str">
        <f t="shared" si="307"/>
        <v>池田土木事務所</v>
      </c>
    </row>
    <row r="879" spans="1:18" s="1" customFormat="1" x14ac:dyDescent="0.45">
      <c r="A879" s="7" t="str">
        <f t="shared" si="311"/>
        <v>08201000161</v>
      </c>
      <c r="B879" s="7" t="str">
        <f t="shared" si="312"/>
        <v>箕面公園</v>
      </c>
      <c r="C879" s="7" t="str">
        <f t="shared" si="295"/>
        <v>行政財産</v>
      </c>
      <c r="D879" s="7" t="str">
        <f t="shared" si="310"/>
        <v>公園</v>
      </c>
      <c r="E879" s="7" t="str">
        <f t="shared" si="313"/>
        <v>大阪府箕面市箕面</v>
      </c>
      <c r="F879" s="7"/>
      <c r="G879" s="7" t="str">
        <f t="shared" si="314"/>
        <v>事業用資産</v>
      </c>
      <c r="H879" s="7" t="str">
        <f t="shared" si="302"/>
        <v>棚卸以外</v>
      </c>
      <c r="I879" s="7">
        <v>29</v>
      </c>
      <c r="J879" s="7" t="str">
        <f>"ポンプ室"</f>
        <v>ポンプ室</v>
      </c>
      <c r="K879" s="7" t="str">
        <f>"鉄筋コンクリート造"</f>
        <v>鉄筋コンクリート造</v>
      </c>
      <c r="L879" s="7" t="str">
        <f>"S42.03.31"</f>
        <v>S42.03.31</v>
      </c>
      <c r="M879" s="7">
        <v>9.24</v>
      </c>
      <c r="N879" s="7">
        <v>2887000</v>
      </c>
      <c r="O879" s="7">
        <v>2218167</v>
      </c>
      <c r="P879" s="7">
        <v>0</v>
      </c>
      <c r="Q879" s="7" t="str">
        <f t="shared" si="306"/>
        <v>都市整備部</v>
      </c>
      <c r="R879" s="7" t="str">
        <f t="shared" si="307"/>
        <v>池田土木事務所</v>
      </c>
    </row>
    <row r="880" spans="1:18" s="1" customFormat="1" x14ac:dyDescent="0.45">
      <c r="A880" s="7" t="str">
        <f t="shared" si="311"/>
        <v>08201000161</v>
      </c>
      <c r="B880" s="7" t="str">
        <f t="shared" si="312"/>
        <v>箕面公園</v>
      </c>
      <c r="C880" s="7" t="str">
        <f t="shared" si="295"/>
        <v>行政財産</v>
      </c>
      <c r="D880" s="7" t="str">
        <f t="shared" si="310"/>
        <v>公園</v>
      </c>
      <c r="E880" s="7" t="str">
        <f t="shared" si="313"/>
        <v>大阪府箕面市箕面</v>
      </c>
      <c r="F880" s="7"/>
      <c r="G880" s="7" t="str">
        <f t="shared" si="314"/>
        <v>事業用資産</v>
      </c>
      <c r="H880" s="7" t="str">
        <f t="shared" si="302"/>
        <v>棚卸以外</v>
      </c>
      <c r="I880" s="7">
        <v>31</v>
      </c>
      <c r="J880" s="7" t="str">
        <f>"中千本休憩所"</f>
        <v>中千本休憩所</v>
      </c>
      <c r="K880" s="7" t="str">
        <f>"軽量鉄骨造"</f>
        <v>軽量鉄骨造</v>
      </c>
      <c r="L880" s="7" t="str">
        <f>"S40.03.31"</f>
        <v>S40.03.31</v>
      </c>
      <c r="M880" s="7">
        <v>32.5</v>
      </c>
      <c r="N880" s="7">
        <v>473000</v>
      </c>
      <c r="O880" s="7">
        <v>472999</v>
      </c>
      <c r="P880" s="7">
        <v>0</v>
      </c>
      <c r="Q880" s="7" t="str">
        <f t="shared" si="306"/>
        <v>都市整備部</v>
      </c>
      <c r="R880" s="7" t="str">
        <f t="shared" si="307"/>
        <v>池田土木事務所</v>
      </c>
    </row>
    <row r="881" spans="1:18" s="1" customFormat="1" x14ac:dyDescent="0.45">
      <c r="A881" s="7" t="str">
        <f t="shared" si="311"/>
        <v>08201000161</v>
      </c>
      <c r="B881" s="7" t="str">
        <f t="shared" si="312"/>
        <v>箕面公園</v>
      </c>
      <c r="C881" s="7" t="str">
        <f t="shared" si="295"/>
        <v>行政財産</v>
      </c>
      <c r="D881" s="7" t="str">
        <f t="shared" si="310"/>
        <v>公園</v>
      </c>
      <c r="E881" s="7" t="str">
        <f t="shared" si="313"/>
        <v>大阪府箕面市箕面</v>
      </c>
      <c r="F881" s="7"/>
      <c r="G881" s="7" t="str">
        <f t="shared" si="314"/>
        <v>事業用資産</v>
      </c>
      <c r="H881" s="7" t="str">
        <f t="shared" si="302"/>
        <v>棚卸以外</v>
      </c>
      <c r="I881" s="7">
        <v>33</v>
      </c>
      <c r="J881" s="7" t="str">
        <f>"桜広場展望台"</f>
        <v>桜広場展望台</v>
      </c>
      <c r="K881" s="7" t="str">
        <f t="shared" ref="K881:K887" si="315">"鉄筋コンクリート造"</f>
        <v>鉄筋コンクリート造</v>
      </c>
      <c r="L881" s="7" t="str">
        <f>"S40.03.31"</f>
        <v>S40.03.31</v>
      </c>
      <c r="M881" s="7">
        <v>13</v>
      </c>
      <c r="N881" s="7">
        <v>590000</v>
      </c>
      <c r="O881" s="7">
        <v>589999</v>
      </c>
      <c r="P881" s="7">
        <v>0</v>
      </c>
      <c r="Q881" s="7" t="str">
        <f t="shared" si="306"/>
        <v>都市整備部</v>
      </c>
      <c r="R881" s="7" t="str">
        <f t="shared" si="307"/>
        <v>池田土木事務所</v>
      </c>
    </row>
    <row r="882" spans="1:18" s="1" customFormat="1" x14ac:dyDescent="0.45">
      <c r="A882" s="7" t="str">
        <f t="shared" si="311"/>
        <v>08201000161</v>
      </c>
      <c r="B882" s="7" t="str">
        <f t="shared" si="312"/>
        <v>箕面公園</v>
      </c>
      <c r="C882" s="7" t="str">
        <f t="shared" si="295"/>
        <v>行政財産</v>
      </c>
      <c r="D882" s="7" t="str">
        <f t="shared" si="310"/>
        <v>公園</v>
      </c>
      <c r="E882" s="7" t="str">
        <f t="shared" si="313"/>
        <v>大阪府箕面市箕面</v>
      </c>
      <c r="F882" s="7"/>
      <c r="G882" s="7" t="str">
        <f t="shared" si="314"/>
        <v>事業用資産</v>
      </c>
      <c r="H882" s="7" t="str">
        <f t="shared" si="302"/>
        <v>棚卸以外</v>
      </c>
      <c r="I882" s="7">
        <v>34</v>
      </c>
      <c r="J882" s="7" t="str">
        <f>"桜広場休憩所"</f>
        <v>桜広場休憩所</v>
      </c>
      <c r="K882" s="7" t="str">
        <f t="shared" si="315"/>
        <v>鉄筋コンクリート造</v>
      </c>
      <c r="L882" s="7" t="str">
        <f>"S40.03.31"</f>
        <v>S40.03.31</v>
      </c>
      <c r="M882" s="7">
        <v>104.69</v>
      </c>
      <c r="N882" s="7">
        <v>2330000</v>
      </c>
      <c r="O882" s="7">
        <v>2329999</v>
      </c>
      <c r="P882" s="7">
        <v>0</v>
      </c>
      <c r="Q882" s="7" t="str">
        <f t="shared" si="306"/>
        <v>都市整備部</v>
      </c>
      <c r="R882" s="7" t="str">
        <f t="shared" si="307"/>
        <v>池田土木事務所</v>
      </c>
    </row>
    <row r="883" spans="1:18" s="1" customFormat="1" x14ac:dyDescent="0.45">
      <c r="A883" s="7" t="str">
        <f t="shared" si="311"/>
        <v>08201000161</v>
      </c>
      <c r="B883" s="7" t="str">
        <f t="shared" si="312"/>
        <v>箕面公園</v>
      </c>
      <c r="C883" s="7" t="str">
        <f t="shared" si="295"/>
        <v>行政財産</v>
      </c>
      <c r="D883" s="7" t="str">
        <f t="shared" si="310"/>
        <v>公園</v>
      </c>
      <c r="E883" s="7" t="str">
        <f t="shared" si="313"/>
        <v>大阪府箕面市箕面</v>
      </c>
      <c r="F883" s="7"/>
      <c r="G883" s="7" t="str">
        <f t="shared" si="314"/>
        <v>事業用資産</v>
      </c>
      <c r="H883" s="7" t="str">
        <f t="shared" si="302"/>
        <v>棚卸以外</v>
      </c>
      <c r="I883" s="7">
        <v>35</v>
      </c>
      <c r="J883" s="7" t="str">
        <f>"滝見休憩所"</f>
        <v>滝見休憩所</v>
      </c>
      <c r="K883" s="7" t="str">
        <f t="shared" si="315"/>
        <v>鉄筋コンクリート造</v>
      </c>
      <c r="L883" s="7" t="str">
        <f>"S42.02.16"</f>
        <v>S42.02.16</v>
      </c>
      <c r="M883" s="7">
        <v>158.5</v>
      </c>
      <c r="N883" s="7">
        <v>3650000</v>
      </c>
      <c r="O883" s="7">
        <v>3649999</v>
      </c>
      <c r="P883" s="7">
        <v>0</v>
      </c>
      <c r="Q883" s="7" t="str">
        <f t="shared" si="306"/>
        <v>都市整備部</v>
      </c>
      <c r="R883" s="7" t="str">
        <f t="shared" si="307"/>
        <v>池田土木事務所</v>
      </c>
    </row>
    <row r="884" spans="1:18" s="1" customFormat="1" x14ac:dyDescent="0.45">
      <c r="A884" s="7" t="str">
        <f t="shared" si="311"/>
        <v>08201000161</v>
      </c>
      <c r="B884" s="7" t="str">
        <f t="shared" si="312"/>
        <v>箕面公園</v>
      </c>
      <c r="C884" s="7" t="str">
        <f t="shared" si="295"/>
        <v>行政財産</v>
      </c>
      <c r="D884" s="7" t="str">
        <f t="shared" si="310"/>
        <v>公園</v>
      </c>
      <c r="E884" s="7" t="str">
        <f t="shared" si="313"/>
        <v>大阪府箕面市箕面</v>
      </c>
      <c r="F884" s="7"/>
      <c r="G884" s="7" t="str">
        <f t="shared" si="314"/>
        <v>事業用資産</v>
      </c>
      <c r="H884" s="7" t="str">
        <f t="shared" si="302"/>
        <v>棚卸以外</v>
      </c>
      <c r="I884" s="7">
        <v>36</v>
      </c>
      <c r="J884" s="7" t="str">
        <f>"望海丘休憩所"</f>
        <v>望海丘休憩所</v>
      </c>
      <c r="K884" s="7" t="str">
        <f t="shared" si="315"/>
        <v>鉄筋コンクリート造</v>
      </c>
      <c r="L884" s="7" t="str">
        <f>"S41.12.16"</f>
        <v>S41.12.16</v>
      </c>
      <c r="M884" s="7">
        <v>42.5</v>
      </c>
      <c r="N884" s="7">
        <v>1900000</v>
      </c>
      <c r="O884" s="7">
        <v>1899999</v>
      </c>
      <c r="P884" s="7">
        <v>0</v>
      </c>
      <c r="Q884" s="7" t="str">
        <f t="shared" si="306"/>
        <v>都市整備部</v>
      </c>
      <c r="R884" s="7" t="str">
        <f t="shared" si="307"/>
        <v>池田土木事務所</v>
      </c>
    </row>
    <row r="885" spans="1:18" s="1" customFormat="1" x14ac:dyDescent="0.45">
      <c r="A885" s="7" t="str">
        <f t="shared" si="311"/>
        <v>08201000161</v>
      </c>
      <c r="B885" s="7" t="str">
        <f t="shared" si="312"/>
        <v>箕面公園</v>
      </c>
      <c r="C885" s="7" t="str">
        <f t="shared" si="295"/>
        <v>行政財産</v>
      </c>
      <c r="D885" s="7" t="str">
        <f t="shared" si="310"/>
        <v>公園</v>
      </c>
      <c r="E885" s="7" t="str">
        <f t="shared" si="313"/>
        <v>大阪府箕面市箕面</v>
      </c>
      <c r="F885" s="7"/>
      <c r="G885" s="7" t="str">
        <f t="shared" si="314"/>
        <v>事業用資産</v>
      </c>
      <c r="H885" s="7" t="str">
        <f t="shared" si="302"/>
        <v>棚卸以外</v>
      </c>
      <c r="I885" s="7">
        <v>37</v>
      </c>
      <c r="J885" s="7" t="str">
        <f>"雲隣台休憩所"</f>
        <v>雲隣台休憩所</v>
      </c>
      <c r="K885" s="7" t="str">
        <f t="shared" si="315"/>
        <v>鉄筋コンクリート造</v>
      </c>
      <c r="L885" s="7" t="str">
        <f>"S41.12.16"</f>
        <v>S41.12.16</v>
      </c>
      <c r="M885" s="7">
        <v>62</v>
      </c>
      <c r="N885" s="7">
        <v>2000000</v>
      </c>
      <c r="O885" s="7">
        <v>1999999</v>
      </c>
      <c r="P885" s="7">
        <v>0</v>
      </c>
      <c r="Q885" s="7" t="str">
        <f t="shared" si="306"/>
        <v>都市整備部</v>
      </c>
      <c r="R885" s="7" t="str">
        <f t="shared" si="307"/>
        <v>池田土木事務所</v>
      </c>
    </row>
    <row r="886" spans="1:18" s="1" customFormat="1" x14ac:dyDescent="0.45">
      <c r="A886" s="7" t="str">
        <f t="shared" si="311"/>
        <v>08201000161</v>
      </c>
      <c r="B886" s="7" t="str">
        <f t="shared" si="312"/>
        <v>箕面公園</v>
      </c>
      <c r="C886" s="7" t="str">
        <f t="shared" si="295"/>
        <v>行政財産</v>
      </c>
      <c r="D886" s="7" t="str">
        <f t="shared" si="310"/>
        <v>公園</v>
      </c>
      <c r="E886" s="7" t="str">
        <f t="shared" si="313"/>
        <v>大阪府箕面市箕面</v>
      </c>
      <c r="F886" s="7"/>
      <c r="G886" s="7" t="str">
        <f t="shared" si="314"/>
        <v>事業用資産</v>
      </c>
      <c r="H886" s="7" t="str">
        <f t="shared" si="302"/>
        <v>棚卸以外</v>
      </c>
      <c r="I886" s="7">
        <v>41</v>
      </c>
      <c r="J886" s="7" t="str">
        <f>"夫婦橋便所"</f>
        <v>夫婦橋便所</v>
      </c>
      <c r="K886" s="7" t="str">
        <f t="shared" si="315"/>
        <v>鉄筋コンクリート造</v>
      </c>
      <c r="L886" s="7" t="str">
        <f>"H28.03.30"</f>
        <v>H28.03.30</v>
      </c>
      <c r="M886" s="7">
        <v>38.79</v>
      </c>
      <c r="N886" s="7">
        <v>29573286</v>
      </c>
      <c r="O886" s="7">
        <v>5447820</v>
      </c>
      <c r="P886" s="7">
        <v>0</v>
      </c>
      <c r="Q886" s="7" t="str">
        <f t="shared" si="306"/>
        <v>都市整備部</v>
      </c>
      <c r="R886" s="7" t="str">
        <f t="shared" si="307"/>
        <v>池田土木事務所</v>
      </c>
    </row>
    <row r="887" spans="1:18" s="1" customFormat="1" x14ac:dyDescent="0.45">
      <c r="A887" s="7" t="str">
        <f t="shared" si="311"/>
        <v>08201000161</v>
      </c>
      <c r="B887" s="7" t="str">
        <f t="shared" si="312"/>
        <v>箕面公園</v>
      </c>
      <c r="C887" s="7" t="str">
        <f t="shared" si="295"/>
        <v>行政財産</v>
      </c>
      <c r="D887" s="7" t="str">
        <f t="shared" si="310"/>
        <v>公園</v>
      </c>
      <c r="E887" s="7" t="str">
        <f t="shared" si="313"/>
        <v>大阪府箕面市箕面</v>
      </c>
      <c r="F887" s="7"/>
      <c r="G887" s="7" t="str">
        <f t="shared" si="314"/>
        <v>事業用資産</v>
      </c>
      <c r="H887" s="7" t="str">
        <f t="shared" si="302"/>
        <v>棚卸以外</v>
      </c>
      <c r="I887" s="7">
        <v>42</v>
      </c>
      <c r="J887" s="7" t="str">
        <f>"滝前休憩所"</f>
        <v>滝前休憩所</v>
      </c>
      <c r="K887" s="7" t="str">
        <f t="shared" si="315"/>
        <v>鉄筋コンクリート造</v>
      </c>
      <c r="L887" s="7" t="str">
        <f>"S46.03.30"</f>
        <v>S46.03.30</v>
      </c>
      <c r="M887" s="7">
        <v>133.11000000000001</v>
      </c>
      <c r="N887" s="7">
        <v>7900000</v>
      </c>
      <c r="O887" s="7">
        <v>7899999</v>
      </c>
      <c r="P887" s="7">
        <v>0</v>
      </c>
      <c r="Q887" s="7" t="str">
        <f t="shared" si="306"/>
        <v>都市整備部</v>
      </c>
      <c r="R887" s="7" t="str">
        <f t="shared" si="307"/>
        <v>池田土木事務所</v>
      </c>
    </row>
    <row r="888" spans="1:18" s="1" customFormat="1" x14ac:dyDescent="0.45">
      <c r="A888" s="7" t="str">
        <f t="shared" si="311"/>
        <v>08201000161</v>
      </c>
      <c r="B888" s="7" t="str">
        <f t="shared" si="312"/>
        <v>箕面公園</v>
      </c>
      <c r="C888" s="7" t="str">
        <f t="shared" ref="C888:C951" si="316">"行政財産"</f>
        <v>行政財産</v>
      </c>
      <c r="D888" s="7" t="str">
        <f t="shared" si="310"/>
        <v>公園</v>
      </c>
      <c r="E888" s="7" t="str">
        <f t="shared" si="313"/>
        <v>大阪府箕面市箕面</v>
      </c>
      <c r="F888" s="7"/>
      <c r="G888" s="7" t="str">
        <f t="shared" si="314"/>
        <v>事業用資産</v>
      </c>
      <c r="H888" s="7" t="str">
        <f t="shared" si="302"/>
        <v>棚卸以外</v>
      </c>
      <c r="I888" s="7">
        <v>50</v>
      </c>
      <c r="J888" s="7" t="str">
        <f>"滝前西便所"</f>
        <v>滝前西便所</v>
      </c>
      <c r="K888" s="7" t="str">
        <f>"鉄骨造"</f>
        <v>鉄骨造</v>
      </c>
      <c r="L888" s="7" t="str">
        <f>"S56.03.21"</f>
        <v>S56.03.21</v>
      </c>
      <c r="M888" s="7">
        <v>12.3</v>
      </c>
      <c r="N888" s="7">
        <v>2400000</v>
      </c>
      <c r="O888" s="7">
        <v>2399999</v>
      </c>
      <c r="P888" s="7">
        <v>0</v>
      </c>
      <c r="Q888" s="7" t="str">
        <f t="shared" si="306"/>
        <v>都市整備部</v>
      </c>
      <c r="R888" s="7" t="str">
        <f t="shared" si="307"/>
        <v>池田土木事務所</v>
      </c>
    </row>
    <row r="889" spans="1:18" s="1" customFormat="1" x14ac:dyDescent="0.45">
      <c r="A889" s="7" t="str">
        <f t="shared" si="311"/>
        <v>08201000161</v>
      </c>
      <c r="B889" s="7" t="str">
        <f t="shared" si="312"/>
        <v>箕面公園</v>
      </c>
      <c r="C889" s="7" t="str">
        <f t="shared" si="316"/>
        <v>行政財産</v>
      </c>
      <c r="D889" s="7" t="str">
        <f t="shared" si="310"/>
        <v>公園</v>
      </c>
      <c r="E889" s="7" t="str">
        <f t="shared" si="313"/>
        <v>大阪府箕面市箕面</v>
      </c>
      <c r="F889" s="7"/>
      <c r="G889" s="7" t="str">
        <f t="shared" si="314"/>
        <v>事業用資産</v>
      </c>
      <c r="H889" s="7" t="str">
        <f t="shared" si="302"/>
        <v>棚卸以外</v>
      </c>
      <c r="I889" s="7">
        <v>51</v>
      </c>
      <c r="J889" s="7" t="str">
        <f>"公園管理事務所・昆虫館"</f>
        <v>公園管理事務所・昆虫館</v>
      </c>
      <c r="K889" s="7" t="str">
        <f>"鉄筋コンクリート造"</f>
        <v>鉄筋コンクリート造</v>
      </c>
      <c r="L889" s="7" t="str">
        <f>"S56.03.28"</f>
        <v>S56.03.28</v>
      </c>
      <c r="M889" s="7">
        <v>1079.68</v>
      </c>
      <c r="N889" s="7">
        <v>218488014</v>
      </c>
      <c r="O889" s="7">
        <v>131330226</v>
      </c>
      <c r="P889" s="7">
        <v>0</v>
      </c>
      <c r="Q889" s="7" t="str">
        <f t="shared" si="306"/>
        <v>都市整備部</v>
      </c>
      <c r="R889" s="7" t="str">
        <f t="shared" si="307"/>
        <v>池田土木事務所</v>
      </c>
    </row>
    <row r="890" spans="1:18" s="1" customFormat="1" x14ac:dyDescent="0.45">
      <c r="A890" s="7" t="str">
        <f t="shared" si="311"/>
        <v>08201000161</v>
      </c>
      <c r="B890" s="7" t="str">
        <f t="shared" si="312"/>
        <v>箕面公園</v>
      </c>
      <c r="C890" s="7" t="str">
        <f t="shared" si="316"/>
        <v>行政財産</v>
      </c>
      <c r="D890" s="7" t="str">
        <f t="shared" si="310"/>
        <v>公園</v>
      </c>
      <c r="E890" s="7" t="str">
        <f t="shared" si="313"/>
        <v>大阪府箕面市箕面</v>
      </c>
      <c r="F890" s="7"/>
      <c r="G890" s="7" t="str">
        <f t="shared" si="314"/>
        <v>事業用資産</v>
      </c>
      <c r="H890" s="7" t="str">
        <f t="shared" si="302"/>
        <v>棚卸以外</v>
      </c>
      <c r="I890" s="7">
        <v>52</v>
      </c>
      <c r="J890" s="7" t="str">
        <f>"夫婦橋休憩所"</f>
        <v>夫婦橋休憩所</v>
      </c>
      <c r="K890" s="7" t="str">
        <f>"鉄筋コンクリート造"</f>
        <v>鉄筋コンクリート造</v>
      </c>
      <c r="L890" s="7" t="str">
        <f>"H28.03.30"</f>
        <v>H28.03.30</v>
      </c>
      <c r="M890" s="7">
        <v>13.26</v>
      </c>
      <c r="N890" s="7">
        <v>4399291</v>
      </c>
      <c r="O890" s="7">
        <v>643445</v>
      </c>
      <c r="P890" s="7">
        <v>0</v>
      </c>
      <c r="Q890" s="7" t="str">
        <f t="shared" si="306"/>
        <v>都市整備部</v>
      </c>
      <c r="R890" s="7" t="str">
        <f t="shared" si="307"/>
        <v>池田土木事務所</v>
      </c>
    </row>
    <row r="891" spans="1:18" s="1" customFormat="1" x14ac:dyDescent="0.45">
      <c r="A891" s="7" t="str">
        <f t="shared" si="311"/>
        <v>08201000161</v>
      </c>
      <c r="B891" s="7" t="str">
        <f t="shared" si="312"/>
        <v>箕面公園</v>
      </c>
      <c r="C891" s="7" t="str">
        <f t="shared" si="316"/>
        <v>行政財産</v>
      </c>
      <c r="D891" s="7" t="str">
        <f t="shared" si="310"/>
        <v>公園</v>
      </c>
      <c r="E891" s="7" t="str">
        <f t="shared" si="313"/>
        <v>大阪府箕面市箕面</v>
      </c>
      <c r="F891" s="7"/>
      <c r="G891" s="7" t="str">
        <f t="shared" si="314"/>
        <v>事業用資産</v>
      </c>
      <c r="H891" s="7" t="str">
        <f t="shared" si="302"/>
        <v>棚卸以外</v>
      </c>
      <c r="I891" s="7">
        <v>57</v>
      </c>
      <c r="J891" s="7" t="str">
        <f>"資材倉庫"</f>
        <v>資材倉庫</v>
      </c>
      <c r="K891" s="7" t="str">
        <f>"木造"</f>
        <v>木造</v>
      </c>
      <c r="L891" s="7" t="str">
        <f>"H04.11.06"</f>
        <v>H04.11.06</v>
      </c>
      <c r="M891" s="7">
        <v>50.3</v>
      </c>
      <c r="N891" s="7">
        <v>10531000</v>
      </c>
      <c r="O891" s="7">
        <v>10530999</v>
      </c>
      <c r="P891" s="7">
        <v>0</v>
      </c>
      <c r="Q891" s="7" t="str">
        <f t="shared" si="306"/>
        <v>都市整備部</v>
      </c>
      <c r="R891" s="7" t="str">
        <f t="shared" ref="R891:R897" si="317">"池田土木事務所"</f>
        <v>池田土木事務所</v>
      </c>
    </row>
    <row r="892" spans="1:18" s="1" customFormat="1" x14ac:dyDescent="0.45">
      <c r="A892" s="7" t="str">
        <f t="shared" si="311"/>
        <v>08201000161</v>
      </c>
      <c r="B892" s="7" t="str">
        <f t="shared" si="312"/>
        <v>箕面公園</v>
      </c>
      <c r="C892" s="7" t="str">
        <f t="shared" si="316"/>
        <v>行政財産</v>
      </c>
      <c r="D892" s="7" t="str">
        <f t="shared" si="310"/>
        <v>公園</v>
      </c>
      <c r="E892" s="7" t="str">
        <f t="shared" si="313"/>
        <v>大阪府箕面市箕面</v>
      </c>
      <c r="F892" s="7"/>
      <c r="G892" s="7" t="str">
        <f t="shared" si="314"/>
        <v>事業用資産</v>
      </c>
      <c r="H892" s="7" t="str">
        <f t="shared" si="302"/>
        <v>棚卸以外</v>
      </c>
      <c r="I892" s="7">
        <v>58</v>
      </c>
      <c r="J892" s="7" t="str">
        <f>"温室"</f>
        <v>温室</v>
      </c>
      <c r="K892" s="7" t="str">
        <f>"鉄骨造"</f>
        <v>鉄骨造</v>
      </c>
      <c r="L892" s="7" t="str">
        <f>"H04.11.06"</f>
        <v>H04.11.06</v>
      </c>
      <c r="M892" s="7">
        <v>189</v>
      </c>
      <c r="N892" s="7">
        <v>20254000</v>
      </c>
      <c r="O892" s="7">
        <v>19818708</v>
      </c>
      <c r="P892" s="7">
        <v>0</v>
      </c>
      <c r="Q892" s="7" t="str">
        <f t="shared" si="306"/>
        <v>都市整備部</v>
      </c>
      <c r="R892" s="7" t="str">
        <f t="shared" si="317"/>
        <v>池田土木事務所</v>
      </c>
    </row>
    <row r="893" spans="1:18" s="1" customFormat="1" x14ac:dyDescent="0.45">
      <c r="A893" s="7" t="str">
        <f t="shared" si="311"/>
        <v>08201000161</v>
      </c>
      <c r="B893" s="7" t="str">
        <f t="shared" si="312"/>
        <v>箕面公園</v>
      </c>
      <c r="C893" s="7" t="str">
        <f t="shared" si="316"/>
        <v>行政財産</v>
      </c>
      <c r="D893" s="7" t="str">
        <f t="shared" si="310"/>
        <v>公園</v>
      </c>
      <c r="E893" s="7" t="str">
        <f t="shared" si="313"/>
        <v>大阪府箕面市箕面</v>
      </c>
      <c r="F893" s="7"/>
      <c r="G893" s="7" t="str">
        <f t="shared" si="314"/>
        <v>事業用資産</v>
      </c>
      <c r="H893" s="7" t="str">
        <f t="shared" si="302"/>
        <v>棚卸以外</v>
      </c>
      <c r="I893" s="7">
        <v>59</v>
      </c>
      <c r="J893" s="7" t="str">
        <f>"滝前便所"</f>
        <v>滝前便所</v>
      </c>
      <c r="K893" s="7" t="str">
        <f>"鉄筋コンクリート造"</f>
        <v>鉄筋コンクリート造</v>
      </c>
      <c r="L893" s="7" t="str">
        <f>"H11.07.02"</f>
        <v>H11.07.02</v>
      </c>
      <c r="M893" s="7">
        <v>58.09</v>
      </c>
      <c r="N893" s="7">
        <v>49085487</v>
      </c>
      <c r="O893" s="7">
        <v>15430539</v>
      </c>
      <c r="P893" s="7">
        <v>0</v>
      </c>
      <c r="Q893" s="7" t="str">
        <f t="shared" si="306"/>
        <v>都市整備部</v>
      </c>
      <c r="R893" s="7" t="str">
        <f t="shared" si="317"/>
        <v>池田土木事務所</v>
      </c>
    </row>
    <row r="894" spans="1:18" s="1" customFormat="1" x14ac:dyDescent="0.45">
      <c r="A894" s="7" t="str">
        <f t="shared" si="311"/>
        <v>08201000161</v>
      </c>
      <c r="B894" s="7" t="str">
        <f t="shared" si="312"/>
        <v>箕面公園</v>
      </c>
      <c r="C894" s="7" t="str">
        <f t="shared" si="316"/>
        <v>行政財産</v>
      </c>
      <c r="D894" s="7" t="str">
        <f t="shared" si="310"/>
        <v>公園</v>
      </c>
      <c r="E894" s="7" t="str">
        <f t="shared" si="313"/>
        <v>大阪府箕面市箕面</v>
      </c>
      <c r="F894" s="7"/>
      <c r="G894" s="7" t="str">
        <f t="shared" si="314"/>
        <v>事業用資産</v>
      </c>
      <c r="H894" s="7" t="str">
        <f t="shared" si="302"/>
        <v>棚卸以外</v>
      </c>
      <c r="I894" s="7">
        <v>60</v>
      </c>
      <c r="J894" s="7" t="str">
        <f>"瀧安寺前広場便所"</f>
        <v>瀧安寺前広場便所</v>
      </c>
      <c r="K894" s="7" t="str">
        <f>"鉄筋コンクリート造"</f>
        <v>鉄筋コンクリート造</v>
      </c>
      <c r="L894" s="7" t="str">
        <f>"H12.11.17"</f>
        <v>H12.11.17</v>
      </c>
      <c r="M894" s="7">
        <v>51.92</v>
      </c>
      <c r="N894" s="7">
        <v>34316219</v>
      </c>
      <c r="O894" s="7">
        <v>7249080</v>
      </c>
      <c r="P894" s="7">
        <v>0</v>
      </c>
      <c r="Q894" s="7" t="str">
        <f t="shared" si="306"/>
        <v>都市整備部</v>
      </c>
      <c r="R894" s="7" t="str">
        <f t="shared" si="317"/>
        <v>池田土木事務所</v>
      </c>
    </row>
    <row r="895" spans="1:18" s="1" customFormat="1" x14ac:dyDescent="0.45">
      <c r="A895" s="7" t="str">
        <f t="shared" si="311"/>
        <v>08201000161</v>
      </c>
      <c r="B895" s="7" t="str">
        <f t="shared" si="312"/>
        <v>箕面公園</v>
      </c>
      <c r="C895" s="7" t="str">
        <f t="shared" si="316"/>
        <v>行政財産</v>
      </c>
      <c r="D895" s="7" t="str">
        <f t="shared" si="310"/>
        <v>公園</v>
      </c>
      <c r="E895" s="7" t="str">
        <f t="shared" si="313"/>
        <v>大阪府箕面市箕面</v>
      </c>
      <c r="F895" s="7"/>
      <c r="G895" s="7" t="str">
        <f t="shared" si="314"/>
        <v>事業用資産</v>
      </c>
      <c r="H895" s="7" t="str">
        <f t="shared" si="302"/>
        <v>棚卸以外</v>
      </c>
      <c r="I895" s="7">
        <v>61</v>
      </c>
      <c r="J895" s="7" t="str">
        <f>"修行の古場便所"</f>
        <v>修行の古場便所</v>
      </c>
      <c r="K895" s="7" t="str">
        <f>"鉄骨造"</f>
        <v>鉄骨造</v>
      </c>
      <c r="L895" s="7" t="str">
        <f>"H12.11.17"</f>
        <v>H12.11.17</v>
      </c>
      <c r="M895" s="7">
        <v>99.76</v>
      </c>
      <c r="N895" s="7">
        <v>40546000</v>
      </c>
      <c r="O895" s="7">
        <v>12788088</v>
      </c>
      <c r="P895" s="7">
        <v>0</v>
      </c>
      <c r="Q895" s="7" t="str">
        <f t="shared" si="306"/>
        <v>都市整備部</v>
      </c>
      <c r="R895" s="7" t="str">
        <f t="shared" si="317"/>
        <v>池田土木事務所</v>
      </c>
    </row>
    <row r="896" spans="1:18" s="1" customFormat="1" x14ac:dyDescent="0.45">
      <c r="A896" s="7" t="str">
        <f>"08201001003"</f>
        <v>08201001003</v>
      </c>
      <c r="B896" s="7" t="str">
        <f>"水防倉庫（城南水防倉庫）"</f>
        <v>水防倉庫（城南水防倉庫）</v>
      </c>
      <c r="C896" s="7" t="str">
        <f t="shared" si="316"/>
        <v>行政財産</v>
      </c>
      <c r="D896" s="7" t="str">
        <f>"その他（行政機関）の施設"</f>
        <v>その他（行政機関）の施設</v>
      </c>
      <c r="E896" s="7" t="str">
        <f>"大阪府池田市城南２丁目"</f>
        <v>大阪府池田市城南２丁目</v>
      </c>
      <c r="F896" s="7"/>
      <c r="G896" s="7" t="str">
        <f t="shared" si="314"/>
        <v>事業用資産</v>
      </c>
      <c r="H896" s="7" t="str">
        <f t="shared" si="302"/>
        <v>棚卸以外</v>
      </c>
      <c r="I896" s="7">
        <v>1</v>
      </c>
      <c r="J896" s="7" t="str">
        <f>"城南水防倉庫"</f>
        <v>城南水防倉庫</v>
      </c>
      <c r="K896" s="7" t="str">
        <f>"鉄骨造"</f>
        <v>鉄骨造</v>
      </c>
      <c r="L896" s="7" t="str">
        <f>"S60.12.09"</f>
        <v>S60.12.09</v>
      </c>
      <c r="M896" s="7">
        <v>380.21</v>
      </c>
      <c r="N896" s="7">
        <v>3098652</v>
      </c>
      <c r="O896" s="7">
        <v>3098651</v>
      </c>
      <c r="P896" s="7">
        <v>0</v>
      </c>
      <c r="Q896" s="7" t="str">
        <f t="shared" si="306"/>
        <v>都市整備部</v>
      </c>
      <c r="R896" s="7" t="str">
        <f t="shared" si="317"/>
        <v>池田土木事務所</v>
      </c>
    </row>
    <row r="897" spans="1:18" s="1" customFormat="1" x14ac:dyDescent="0.45">
      <c r="A897" s="7" t="str">
        <f>"08201002032"</f>
        <v>08201002032</v>
      </c>
      <c r="B897" s="7" t="str">
        <f>"箕面川ダム"</f>
        <v>箕面川ダム</v>
      </c>
      <c r="C897" s="7" t="str">
        <f t="shared" si="316"/>
        <v>行政財産</v>
      </c>
      <c r="D897" s="7" t="str">
        <f>"その他"</f>
        <v>その他</v>
      </c>
      <c r="E897" s="7" t="str">
        <f>"大阪府箕面市大字粟生間谷"</f>
        <v>大阪府箕面市大字粟生間谷</v>
      </c>
      <c r="F897" s="7"/>
      <c r="G897" s="7" t="str">
        <f>"インフラ資産"</f>
        <v>インフラ資産</v>
      </c>
      <c r="H897" s="7" t="str">
        <f t="shared" si="302"/>
        <v>棚卸以外</v>
      </c>
      <c r="I897" s="7">
        <v>1</v>
      </c>
      <c r="J897" s="7" t="str">
        <f>"箕面川ダム管理事務所"</f>
        <v>箕面川ダム管理事務所</v>
      </c>
      <c r="K897" s="7" t="str">
        <f>"鉄筋コンクリート造"</f>
        <v>鉄筋コンクリート造</v>
      </c>
      <c r="L897" s="7" t="str">
        <f>"S56.03.27"</f>
        <v>S56.03.27</v>
      </c>
      <c r="M897" s="7">
        <v>401</v>
      </c>
      <c r="N897" s="7">
        <v>63131000</v>
      </c>
      <c r="O897" s="7">
        <v>53030376</v>
      </c>
      <c r="P897" s="7">
        <v>0</v>
      </c>
      <c r="Q897" s="7" t="str">
        <f t="shared" si="306"/>
        <v>都市整備部</v>
      </c>
      <c r="R897" s="7" t="str">
        <f t="shared" si="317"/>
        <v>池田土木事務所</v>
      </c>
    </row>
    <row r="898" spans="1:18" s="1" customFormat="1" x14ac:dyDescent="0.45">
      <c r="A898" s="7" t="str">
        <f>"08202000000"</f>
        <v>08202000000</v>
      </c>
      <c r="B898" s="7" t="str">
        <f>"水防倉庫（先鉾橋水防倉庫）"</f>
        <v>水防倉庫（先鉾橋水防倉庫）</v>
      </c>
      <c r="C898" s="7" t="str">
        <f t="shared" si="316"/>
        <v>行政財産</v>
      </c>
      <c r="D898" s="7" t="str">
        <f>"その他（行政機関）の施設"</f>
        <v>その他（行政機関）の施設</v>
      </c>
      <c r="E898" s="7" t="str">
        <f>"大阪府茨木市寺田町"</f>
        <v>大阪府茨木市寺田町</v>
      </c>
      <c r="F898" s="7"/>
      <c r="G898" s="7" t="str">
        <f t="shared" ref="G898:G929" si="318">"事業用資産"</f>
        <v>事業用資産</v>
      </c>
      <c r="H898" s="7" t="str">
        <f t="shared" si="302"/>
        <v>棚卸以外</v>
      </c>
      <c r="I898" s="7">
        <v>7</v>
      </c>
      <c r="J898" s="7" t="str">
        <f>"先鉾橋水防倉庫"</f>
        <v>先鉾橋水防倉庫</v>
      </c>
      <c r="K898" s="7" t="str">
        <f>"軽量鉄骨造"</f>
        <v>軽量鉄骨造</v>
      </c>
      <c r="L898" s="7" t="str">
        <f>"H12.03.28"</f>
        <v>H12.03.28</v>
      </c>
      <c r="M898" s="7">
        <v>39.700000000000003</v>
      </c>
      <c r="N898" s="7">
        <v>3678516</v>
      </c>
      <c r="O898" s="7">
        <v>3525348</v>
      </c>
      <c r="P898" s="7">
        <v>0</v>
      </c>
      <c r="Q898" s="7" t="str">
        <f t="shared" si="306"/>
        <v>都市整備部</v>
      </c>
      <c r="R898" s="7" t="str">
        <f>"茨木土木事務所"</f>
        <v>茨木土木事務所</v>
      </c>
    </row>
    <row r="899" spans="1:18" s="1" customFormat="1" x14ac:dyDescent="0.45">
      <c r="A899" s="7" t="str">
        <f>"08202001005"</f>
        <v>08202001005</v>
      </c>
      <c r="B899" s="7" t="str">
        <f>"水防倉庫（鳥飼水防倉庫）"</f>
        <v>水防倉庫（鳥飼水防倉庫）</v>
      </c>
      <c r="C899" s="7" t="str">
        <f t="shared" si="316"/>
        <v>行政財産</v>
      </c>
      <c r="D899" s="7" t="str">
        <f>"その他（行政機関）の施設"</f>
        <v>その他（行政機関）の施設</v>
      </c>
      <c r="E899" s="7" t="str">
        <f>"大阪府摂津市鳥飼中"</f>
        <v>大阪府摂津市鳥飼中</v>
      </c>
      <c r="F899" s="7"/>
      <c r="G899" s="7" t="str">
        <f t="shared" si="318"/>
        <v>事業用資産</v>
      </c>
      <c r="H899" s="7" t="str">
        <f t="shared" si="302"/>
        <v>棚卸以外</v>
      </c>
      <c r="I899" s="7">
        <v>1</v>
      </c>
      <c r="J899" s="7" t="str">
        <f>"鳥飼水防倉庫"</f>
        <v>鳥飼水防倉庫</v>
      </c>
      <c r="K899" s="7" t="str">
        <f>"軽量鉄骨造"</f>
        <v>軽量鉄骨造</v>
      </c>
      <c r="L899" s="7" t="str">
        <f>"S62.12.25"</f>
        <v>S62.12.25</v>
      </c>
      <c r="M899" s="7">
        <v>291.60000000000002</v>
      </c>
      <c r="N899" s="7">
        <v>5575707</v>
      </c>
      <c r="O899" s="7">
        <v>5575706</v>
      </c>
      <c r="P899" s="7">
        <v>0</v>
      </c>
      <c r="Q899" s="7" t="str">
        <f t="shared" si="306"/>
        <v>都市整備部</v>
      </c>
      <c r="R899" s="7" t="str">
        <f>"茨木土木事務所"</f>
        <v>茨木土木事務所</v>
      </c>
    </row>
    <row r="900" spans="1:18" s="1" customFormat="1" x14ac:dyDescent="0.45">
      <c r="A900" s="7" t="str">
        <f>"08202001006"</f>
        <v>08202001006</v>
      </c>
      <c r="B900" s="7" t="str">
        <f>"水防倉庫（糸田川水防倉庫）"</f>
        <v>水防倉庫（糸田川水防倉庫）</v>
      </c>
      <c r="C900" s="7" t="str">
        <f t="shared" si="316"/>
        <v>行政財産</v>
      </c>
      <c r="D900" s="7" t="str">
        <f>"その他（行政機関）の施設"</f>
        <v>その他（行政機関）の施設</v>
      </c>
      <c r="E900" s="7" t="str">
        <f>"大阪府吹田市泉町５丁目"</f>
        <v>大阪府吹田市泉町５丁目</v>
      </c>
      <c r="F900" s="7"/>
      <c r="G900" s="7" t="str">
        <f t="shared" si="318"/>
        <v>事業用資産</v>
      </c>
      <c r="H900" s="7" t="str">
        <f t="shared" ref="H900:H963" si="319">"棚卸以外"</f>
        <v>棚卸以外</v>
      </c>
      <c r="I900" s="7">
        <v>7</v>
      </c>
      <c r="J900" s="7" t="str">
        <f>"糸田川水防倉庫"</f>
        <v>糸田川水防倉庫</v>
      </c>
      <c r="K900" s="7" t="str">
        <f>"軽量鉄骨造"</f>
        <v>軽量鉄骨造</v>
      </c>
      <c r="L900" s="7" t="str">
        <f>"H08.02.28"</f>
        <v>H08.02.28</v>
      </c>
      <c r="M900" s="7">
        <v>14.72</v>
      </c>
      <c r="N900" s="7">
        <v>1096331</v>
      </c>
      <c r="O900" s="7">
        <v>1096330</v>
      </c>
      <c r="P900" s="7">
        <v>0</v>
      </c>
      <c r="Q900" s="7" t="str">
        <f t="shared" si="306"/>
        <v>都市整備部</v>
      </c>
      <c r="R900" s="7" t="str">
        <f>"茨木土木事務所"</f>
        <v>茨木土木事務所</v>
      </c>
    </row>
    <row r="901" spans="1:18" s="1" customFormat="1" x14ac:dyDescent="0.45">
      <c r="A901" s="7" t="str">
        <f>"08203000001"</f>
        <v>08203000001</v>
      </c>
      <c r="B901" s="7" t="str">
        <f>"天野川左岸水防倉庫"</f>
        <v>天野川左岸水防倉庫</v>
      </c>
      <c r="C901" s="7" t="str">
        <f t="shared" si="316"/>
        <v>行政財産</v>
      </c>
      <c r="D901" s="7" t="str">
        <f>"その他（行政機関）の施設"</f>
        <v>その他（行政機関）の施設</v>
      </c>
      <c r="E901" s="7" t="str">
        <f>"大阪府枚方市岡東町"</f>
        <v>大阪府枚方市岡東町</v>
      </c>
      <c r="F901" s="7"/>
      <c r="G901" s="7" t="str">
        <f t="shared" si="318"/>
        <v>事業用資産</v>
      </c>
      <c r="H901" s="7" t="str">
        <f t="shared" si="319"/>
        <v>棚卸以外</v>
      </c>
      <c r="I901" s="7">
        <v>1</v>
      </c>
      <c r="J901" s="7" t="str">
        <f>"天野川左岸水防倉庫"</f>
        <v>天野川左岸水防倉庫</v>
      </c>
      <c r="K901" s="7" t="str">
        <f>"土蔵造(簡易建物)"</f>
        <v>土蔵造(簡易建物)</v>
      </c>
      <c r="L901" s="7" t="str">
        <f>"H08.03.29"</f>
        <v>H08.03.29</v>
      </c>
      <c r="M901" s="7">
        <v>216.96</v>
      </c>
      <c r="N901" s="7">
        <v>19707000</v>
      </c>
      <c r="O901" s="7">
        <v>19706998</v>
      </c>
      <c r="P901" s="7">
        <v>0</v>
      </c>
      <c r="Q901" s="7" t="str">
        <f t="shared" si="306"/>
        <v>都市整備部</v>
      </c>
      <c r="R901" s="7" t="str">
        <f t="shared" ref="R901:R932" si="320">"枚方土木事務所"</f>
        <v>枚方土木事務所</v>
      </c>
    </row>
    <row r="902" spans="1:18" s="1" customFormat="1" ht="26.4" x14ac:dyDescent="0.45">
      <c r="A902" s="7" t="str">
        <f>"08203000059"</f>
        <v>08203000059</v>
      </c>
      <c r="B902" s="7" t="str">
        <f>"北河内府民センタービル敷地内資機材倉庫"</f>
        <v>北河内府民センタービル敷地内資機材倉庫</v>
      </c>
      <c r="C902" s="7" t="str">
        <f t="shared" si="316"/>
        <v>行政財産</v>
      </c>
      <c r="D902" s="7" t="str">
        <f>"その他（行政機関）の施設"</f>
        <v>その他（行政機関）の施設</v>
      </c>
      <c r="E902" s="7" t="str">
        <f>"大阪府枚方市大垣内町２丁目"</f>
        <v>大阪府枚方市大垣内町２丁目</v>
      </c>
      <c r="F902" s="7"/>
      <c r="G902" s="7" t="str">
        <f t="shared" si="318"/>
        <v>事業用資産</v>
      </c>
      <c r="H902" s="7" t="str">
        <f t="shared" si="319"/>
        <v>棚卸以外</v>
      </c>
      <c r="I902" s="7">
        <v>1</v>
      </c>
      <c r="J902" s="7" t="str">
        <f>"北河内府民センタービル敷地内資機材倉庫"</f>
        <v>北河内府民センタービル敷地内資機材倉庫</v>
      </c>
      <c r="K902" s="7" t="str">
        <f>"鉄骨造"</f>
        <v>鉄骨造</v>
      </c>
      <c r="L902" s="7" t="str">
        <f>"H16.03.31"</f>
        <v>H16.03.31</v>
      </c>
      <c r="M902" s="7">
        <v>119.24</v>
      </c>
      <c r="N902" s="7">
        <v>8799000</v>
      </c>
      <c r="O902" s="7">
        <v>5393112</v>
      </c>
      <c r="P902" s="7">
        <v>0</v>
      </c>
      <c r="Q902" s="7" t="str">
        <f t="shared" si="306"/>
        <v>都市整備部</v>
      </c>
      <c r="R902" s="7" t="str">
        <f t="shared" si="320"/>
        <v>枚方土木事務所</v>
      </c>
    </row>
    <row r="903" spans="1:18" s="1" customFormat="1" x14ac:dyDescent="0.45">
      <c r="A903" s="7" t="str">
        <f t="shared" ref="A903:A934" si="321">"08203000162"</f>
        <v>08203000162</v>
      </c>
      <c r="B903" s="7" t="str">
        <f t="shared" ref="B903:B934" si="322">"山田池公園"</f>
        <v>山田池公園</v>
      </c>
      <c r="C903" s="7" t="str">
        <f t="shared" si="316"/>
        <v>行政財産</v>
      </c>
      <c r="D903" s="7" t="str">
        <f t="shared" ref="D903:D934" si="323">"公園"</f>
        <v>公園</v>
      </c>
      <c r="E903" s="7" t="str">
        <f t="shared" ref="E903:E934" si="324">"大阪府枚方市山田池公園"</f>
        <v>大阪府枚方市山田池公園</v>
      </c>
      <c r="F903" s="7"/>
      <c r="G903" s="7" t="str">
        <f t="shared" si="318"/>
        <v>事業用資産</v>
      </c>
      <c r="H903" s="7" t="str">
        <f t="shared" si="319"/>
        <v>棚卸以外</v>
      </c>
      <c r="I903" s="7">
        <v>4</v>
      </c>
      <c r="J903" s="7" t="str">
        <f>"観月堤休憩所"</f>
        <v>観月堤休憩所</v>
      </c>
      <c r="K903" s="7" t="str">
        <f>"鉄骨造"</f>
        <v>鉄骨造</v>
      </c>
      <c r="L903" s="7" t="str">
        <f>"S54.03.31"</f>
        <v>S54.03.31</v>
      </c>
      <c r="M903" s="7">
        <v>75.760000000000005</v>
      </c>
      <c r="N903" s="7">
        <v>7746000</v>
      </c>
      <c r="O903" s="7">
        <v>7745999</v>
      </c>
      <c r="P903" s="7">
        <v>0</v>
      </c>
      <c r="Q903" s="7" t="str">
        <f t="shared" si="306"/>
        <v>都市整備部</v>
      </c>
      <c r="R903" s="7" t="str">
        <f t="shared" si="320"/>
        <v>枚方土木事務所</v>
      </c>
    </row>
    <row r="904" spans="1:18" s="1" customFormat="1" x14ac:dyDescent="0.45">
      <c r="A904" s="7" t="str">
        <f t="shared" si="321"/>
        <v>08203000162</v>
      </c>
      <c r="B904" s="7" t="str">
        <f t="shared" si="322"/>
        <v>山田池公園</v>
      </c>
      <c r="C904" s="7" t="str">
        <f t="shared" si="316"/>
        <v>行政財産</v>
      </c>
      <c r="D904" s="7" t="str">
        <f t="shared" si="323"/>
        <v>公園</v>
      </c>
      <c r="E904" s="7" t="str">
        <f t="shared" si="324"/>
        <v>大阪府枚方市山田池公園</v>
      </c>
      <c r="F904" s="7"/>
      <c r="G904" s="7" t="str">
        <f t="shared" si="318"/>
        <v>事業用資産</v>
      </c>
      <c r="H904" s="7" t="str">
        <f t="shared" si="319"/>
        <v>棚卸以外</v>
      </c>
      <c r="I904" s="7">
        <v>5</v>
      </c>
      <c r="J904" s="7" t="str">
        <f>"観月堤便所"</f>
        <v>観月堤便所</v>
      </c>
      <c r="K904" s="7" t="str">
        <f>"鉄筋コンクリート造"</f>
        <v>鉄筋コンクリート造</v>
      </c>
      <c r="L904" s="7" t="str">
        <f>"S54.03.31"</f>
        <v>S54.03.31</v>
      </c>
      <c r="M904" s="7">
        <v>55.58</v>
      </c>
      <c r="N904" s="7">
        <v>37013268</v>
      </c>
      <c r="O904" s="7">
        <v>13526189</v>
      </c>
      <c r="P904" s="7">
        <v>0</v>
      </c>
      <c r="Q904" s="7" t="str">
        <f t="shared" si="306"/>
        <v>都市整備部</v>
      </c>
      <c r="R904" s="7" t="str">
        <f t="shared" si="320"/>
        <v>枚方土木事務所</v>
      </c>
    </row>
    <row r="905" spans="1:18" s="1" customFormat="1" x14ac:dyDescent="0.45">
      <c r="A905" s="7" t="str">
        <f t="shared" si="321"/>
        <v>08203000162</v>
      </c>
      <c r="B905" s="7" t="str">
        <f t="shared" si="322"/>
        <v>山田池公園</v>
      </c>
      <c r="C905" s="7" t="str">
        <f t="shared" si="316"/>
        <v>行政財産</v>
      </c>
      <c r="D905" s="7" t="str">
        <f t="shared" si="323"/>
        <v>公園</v>
      </c>
      <c r="E905" s="7" t="str">
        <f t="shared" si="324"/>
        <v>大阪府枚方市山田池公園</v>
      </c>
      <c r="F905" s="7"/>
      <c r="G905" s="7" t="str">
        <f t="shared" si="318"/>
        <v>事業用資産</v>
      </c>
      <c r="H905" s="7" t="str">
        <f t="shared" si="319"/>
        <v>棚卸以外</v>
      </c>
      <c r="I905" s="7">
        <v>6</v>
      </c>
      <c r="J905" s="7" t="str">
        <f>"北入口便所"</f>
        <v>北入口便所</v>
      </c>
      <c r="K905" s="7" t="str">
        <f>"鉄筋コンクリート造"</f>
        <v>鉄筋コンクリート造</v>
      </c>
      <c r="L905" s="7" t="str">
        <f>"S54.03.31"</f>
        <v>S54.03.31</v>
      </c>
      <c r="M905" s="7">
        <v>52.65</v>
      </c>
      <c r="N905" s="7">
        <v>12765733</v>
      </c>
      <c r="O905" s="7">
        <v>11722067</v>
      </c>
      <c r="P905" s="7">
        <v>0</v>
      </c>
      <c r="Q905" s="7" t="str">
        <f t="shared" si="306"/>
        <v>都市整備部</v>
      </c>
      <c r="R905" s="7" t="str">
        <f t="shared" si="320"/>
        <v>枚方土木事務所</v>
      </c>
    </row>
    <row r="906" spans="1:18" s="1" customFormat="1" x14ac:dyDescent="0.45">
      <c r="A906" s="7" t="str">
        <f t="shared" si="321"/>
        <v>08203000162</v>
      </c>
      <c r="B906" s="7" t="str">
        <f t="shared" si="322"/>
        <v>山田池公園</v>
      </c>
      <c r="C906" s="7" t="str">
        <f t="shared" si="316"/>
        <v>行政財産</v>
      </c>
      <c r="D906" s="7" t="str">
        <f t="shared" si="323"/>
        <v>公園</v>
      </c>
      <c r="E906" s="7" t="str">
        <f t="shared" si="324"/>
        <v>大阪府枚方市山田池公園</v>
      </c>
      <c r="F906" s="7"/>
      <c r="G906" s="7" t="str">
        <f t="shared" si="318"/>
        <v>事業用資産</v>
      </c>
      <c r="H906" s="7" t="str">
        <f t="shared" si="319"/>
        <v>棚卸以外</v>
      </c>
      <c r="I906" s="7">
        <v>9</v>
      </c>
      <c r="J906" s="7" t="str">
        <f>"水生花園休憩所"</f>
        <v>水生花園休憩所</v>
      </c>
      <c r="K906" s="7" t="str">
        <f>"鉄筋コンクリート造"</f>
        <v>鉄筋コンクリート造</v>
      </c>
      <c r="L906" s="7" t="str">
        <f>"S55.03.19"</f>
        <v>S55.03.19</v>
      </c>
      <c r="M906" s="7">
        <v>47</v>
      </c>
      <c r="N906" s="7">
        <v>6550063</v>
      </c>
      <c r="O906" s="7">
        <v>2926776</v>
      </c>
      <c r="P906" s="7">
        <v>0</v>
      </c>
      <c r="Q906" s="7" t="str">
        <f t="shared" si="306"/>
        <v>都市整備部</v>
      </c>
      <c r="R906" s="7" t="str">
        <f t="shared" si="320"/>
        <v>枚方土木事務所</v>
      </c>
    </row>
    <row r="907" spans="1:18" s="1" customFormat="1" x14ac:dyDescent="0.45">
      <c r="A907" s="7" t="str">
        <f t="shared" si="321"/>
        <v>08203000162</v>
      </c>
      <c r="B907" s="7" t="str">
        <f t="shared" si="322"/>
        <v>山田池公園</v>
      </c>
      <c r="C907" s="7" t="str">
        <f t="shared" si="316"/>
        <v>行政財産</v>
      </c>
      <c r="D907" s="7" t="str">
        <f t="shared" si="323"/>
        <v>公園</v>
      </c>
      <c r="E907" s="7" t="str">
        <f t="shared" si="324"/>
        <v>大阪府枚方市山田池公園</v>
      </c>
      <c r="F907" s="7"/>
      <c r="G907" s="7" t="str">
        <f t="shared" si="318"/>
        <v>事業用資産</v>
      </c>
      <c r="H907" s="7" t="str">
        <f t="shared" si="319"/>
        <v>棚卸以外</v>
      </c>
      <c r="I907" s="7">
        <v>11</v>
      </c>
      <c r="J907" s="7" t="str">
        <f>"水辺広場便所"</f>
        <v>水辺広場便所</v>
      </c>
      <c r="K907" s="7" t="str">
        <f>"鉄筋コンクリート造"</f>
        <v>鉄筋コンクリート造</v>
      </c>
      <c r="L907" s="7" t="str">
        <f>"S58.02.04"</f>
        <v>S58.02.04</v>
      </c>
      <c r="M907" s="7">
        <v>51.79</v>
      </c>
      <c r="N907" s="7">
        <v>21312000</v>
      </c>
      <c r="O907" s="7">
        <v>21311999</v>
      </c>
      <c r="P907" s="7">
        <v>0</v>
      </c>
      <c r="Q907" s="7" t="str">
        <f t="shared" si="306"/>
        <v>都市整備部</v>
      </c>
      <c r="R907" s="7" t="str">
        <f t="shared" si="320"/>
        <v>枚方土木事務所</v>
      </c>
    </row>
    <row r="908" spans="1:18" s="1" customFormat="1" x14ac:dyDescent="0.45">
      <c r="A908" s="7" t="str">
        <f t="shared" si="321"/>
        <v>08203000162</v>
      </c>
      <c r="B908" s="7" t="str">
        <f t="shared" si="322"/>
        <v>山田池公園</v>
      </c>
      <c r="C908" s="7" t="str">
        <f t="shared" si="316"/>
        <v>行政財産</v>
      </c>
      <c r="D908" s="7" t="str">
        <f t="shared" si="323"/>
        <v>公園</v>
      </c>
      <c r="E908" s="7" t="str">
        <f t="shared" si="324"/>
        <v>大阪府枚方市山田池公園</v>
      </c>
      <c r="F908" s="7"/>
      <c r="G908" s="7" t="str">
        <f t="shared" si="318"/>
        <v>事業用資産</v>
      </c>
      <c r="H908" s="7" t="str">
        <f t="shared" si="319"/>
        <v>棚卸以外</v>
      </c>
      <c r="I908" s="7">
        <v>13</v>
      </c>
      <c r="J908" s="7" t="str">
        <f>"資材倉庫"</f>
        <v>資材倉庫</v>
      </c>
      <c r="K908" s="7" t="str">
        <f>"土蔵造(簡易建物)"</f>
        <v>土蔵造(簡易建物)</v>
      </c>
      <c r="L908" s="7" t="str">
        <f>"S60.11.01"</f>
        <v>S60.11.01</v>
      </c>
      <c r="M908" s="7">
        <v>59.21</v>
      </c>
      <c r="N908" s="7">
        <v>4009000</v>
      </c>
      <c r="O908" s="7">
        <v>4008999</v>
      </c>
      <c r="P908" s="7">
        <v>0</v>
      </c>
      <c r="Q908" s="7" t="str">
        <f t="shared" si="306"/>
        <v>都市整備部</v>
      </c>
      <c r="R908" s="7" t="str">
        <f t="shared" si="320"/>
        <v>枚方土木事務所</v>
      </c>
    </row>
    <row r="909" spans="1:18" s="1" customFormat="1" x14ac:dyDescent="0.45">
      <c r="A909" s="7" t="str">
        <f t="shared" si="321"/>
        <v>08203000162</v>
      </c>
      <c r="B909" s="7" t="str">
        <f t="shared" si="322"/>
        <v>山田池公園</v>
      </c>
      <c r="C909" s="7" t="str">
        <f t="shared" si="316"/>
        <v>行政財産</v>
      </c>
      <c r="D909" s="7" t="str">
        <f t="shared" si="323"/>
        <v>公園</v>
      </c>
      <c r="E909" s="7" t="str">
        <f t="shared" si="324"/>
        <v>大阪府枚方市山田池公園</v>
      </c>
      <c r="F909" s="7"/>
      <c r="G909" s="7" t="str">
        <f t="shared" si="318"/>
        <v>事業用資産</v>
      </c>
      <c r="H909" s="7" t="str">
        <f t="shared" si="319"/>
        <v>棚卸以外</v>
      </c>
      <c r="I909" s="7">
        <v>14</v>
      </c>
      <c r="J909" s="7" t="str">
        <f>"展望広場休憩所"</f>
        <v>展望広場休憩所</v>
      </c>
      <c r="K909" s="7" t="str">
        <f>"鉄筋コンクリート造"</f>
        <v>鉄筋コンクリート造</v>
      </c>
      <c r="L909" s="7" t="str">
        <f>"S62.01.28"</f>
        <v>S62.01.28</v>
      </c>
      <c r="M909" s="7">
        <v>68.040000000000006</v>
      </c>
      <c r="N909" s="7">
        <v>10000000</v>
      </c>
      <c r="O909" s="7">
        <v>7233478</v>
      </c>
      <c r="P909" s="7">
        <v>0</v>
      </c>
      <c r="Q909" s="7" t="str">
        <f t="shared" si="306"/>
        <v>都市整備部</v>
      </c>
      <c r="R909" s="7" t="str">
        <f t="shared" si="320"/>
        <v>枚方土木事務所</v>
      </c>
    </row>
    <row r="910" spans="1:18" s="1" customFormat="1" x14ac:dyDescent="0.45">
      <c r="A910" s="7" t="str">
        <f t="shared" si="321"/>
        <v>08203000162</v>
      </c>
      <c r="B910" s="7" t="str">
        <f t="shared" si="322"/>
        <v>山田池公園</v>
      </c>
      <c r="C910" s="7" t="str">
        <f t="shared" si="316"/>
        <v>行政財産</v>
      </c>
      <c r="D910" s="7" t="str">
        <f t="shared" si="323"/>
        <v>公園</v>
      </c>
      <c r="E910" s="7" t="str">
        <f t="shared" si="324"/>
        <v>大阪府枚方市山田池公園</v>
      </c>
      <c r="F910" s="7"/>
      <c r="G910" s="7" t="str">
        <f t="shared" si="318"/>
        <v>事業用資産</v>
      </c>
      <c r="H910" s="7" t="str">
        <f t="shared" si="319"/>
        <v>棚卸以外</v>
      </c>
      <c r="I910" s="7">
        <v>15</v>
      </c>
      <c r="J910" s="7" t="str">
        <f>"展望広場便所"</f>
        <v>展望広場便所</v>
      </c>
      <c r="K910" s="7" t="str">
        <f>"鉄筋コンクリート造"</f>
        <v>鉄筋コンクリート造</v>
      </c>
      <c r="L910" s="7" t="str">
        <f>"S62.03.10"</f>
        <v>S62.03.10</v>
      </c>
      <c r="M910" s="7">
        <v>58.2</v>
      </c>
      <c r="N910" s="7">
        <v>25000000</v>
      </c>
      <c r="O910" s="7">
        <v>23684400</v>
      </c>
      <c r="P910" s="7">
        <v>0</v>
      </c>
      <c r="Q910" s="7" t="str">
        <f t="shared" si="306"/>
        <v>都市整備部</v>
      </c>
      <c r="R910" s="7" t="str">
        <f t="shared" si="320"/>
        <v>枚方土木事務所</v>
      </c>
    </row>
    <row r="911" spans="1:18" s="1" customFormat="1" x14ac:dyDescent="0.45">
      <c r="A911" s="7" t="str">
        <f t="shared" si="321"/>
        <v>08203000162</v>
      </c>
      <c r="B911" s="7" t="str">
        <f t="shared" si="322"/>
        <v>山田池公園</v>
      </c>
      <c r="C911" s="7" t="str">
        <f t="shared" si="316"/>
        <v>行政財産</v>
      </c>
      <c r="D911" s="7" t="str">
        <f t="shared" si="323"/>
        <v>公園</v>
      </c>
      <c r="E911" s="7" t="str">
        <f t="shared" si="324"/>
        <v>大阪府枚方市山田池公園</v>
      </c>
      <c r="F911" s="7"/>
      <c r="G911" s="7" t="str">
        <f t="shared" si="318"/>
        <v>事業用資産</v>
      </c>
      <c r="H911" s="7" t="str">
        <f t="shared" si="319"/>
        <v>棚卸以外</v>
      </c>
      <c r="I911" s="7">
        <v>17</v>
      </c>
      <c r="J911" s="7" t="str">
        <f>"花木園便所"</f>
        <v>花木園便所</v>
      </c>
      <c r="K911" s="7" t="str">
        <f>"鉄筋コンクリート造"</f>
        <v>鉄筋コンクリート造</v>
      </c>
      <c r="L911" s="7" t="str">
        <f>"S63.03.29"</f>
        <v>S63.03.29</v>
      </c>
      <c r="M911" s="7">
        <v>59.72</v>
      </c>
      <c r="N911" s="7">
        <v>48910668</v>
      </c>
      <c r="O911" s="7">
        <v>23229100</v>
      </c>
      <c r="P911" s="7">
        <v>0</v>
      </c>
      <c r="Q911" s="7" t="str">
        <f t="shared" si="306"/>
        <v>都市整備部</v>
      </c>
      <c r="R911" s="7" t="str">
        <f t="shared" si="320"/>
        <v>枚方土木事務所</v>
      </c>
    </row>
    <row r="912" spans="1:18" s="1" customFormat="1" x14ac:dyDescent="0.45">
      <c r="A912" s="7" t="str">
        <f t="shared" si="321"/>
        <v>08203000162</v>
      </c>
      <c r="B912" s="7" t="str">
        <f t="shared" si="322"/>
        <v>山田池公園</v>
      </c>
      <c r="C912" s="7" t="str">
        <f t="shared" si="316"/>
        <v>行政財産</v>
      </c>
      <c r="D912" s="7" t="str">
        <f t="shared" si="323"/>
        <v>公園</v>
      </c>
      <c r="E912" s="7" t="str">
        <f t="shared" si="324"/>
        <v>大阪府枚方市山田池公園</v>
      </c>
      <c r="F912" s="7"/>
      <c r="G912" s="7" t="str">
        <f t="shared" si="318"/>
        <v>事業用資産</v>
      </c>
      <c r="H912" s="7" t="str">
        <f t="shared" si="319"/>
        <v>棚卸以外</v>
      </c>
      <c r="I912" s="7">
        <v>18</v>
      </c>
      <c r="J912" s="7" t="str">
        <f>"渓流地区ポンプ室（浮見堂）"</f>
        <v>渓流地区ポンプ室（浮見堂）</v>
      </c>
      <c r="K912" s="7" t="str">
        <f>"鉄筋コンクリート造"</f>
        <v>鉄筋コンクリート造</v>
      </c>
      <c r="L912" s="7" t="str">
        <f>"S63.05.31"</f>
        <v>S63.05.31</v>
      </c>
      <c r="M912" s="7">
        <v>48.94</v>
      </c>
      <c r="N912" s="7">
        <v>67150771</v>
      </c>
      <c r="O912" s="7">
        <v>59288482</v>
      </c>
      <c r="P912" s="7">
        <v>0</v>
      </c>
      <c r="Q912" s="7" t="str">
        <f t="shared" si="306"/>
        <v>都市整備部</v>
      </c>
      <c r="R912" s="7" t="str">
        <f t="shared" si="320"/>
        <v>枚方土木事務所</v>
      </c>
    </row>
    <row r="913" spans="1:18" s="1" customFormat="1" x14ac:dyDescent="0.45">
      <c r="A913" s="7" t="str">
        <f t="shared" si="321"/>
        <v>08203000162</v>
      </c>
      <c r="B913" s="7" t="str">
        <f t="shared" si="322"/>
        <v>山田池公園</v>
      </c>
      <c r="C913" s="7" t="str">
        <f t="shared" si="316"/>
        <v>行政財産</v>
      </c>
      <c r="D913" s="7" t="str">
        <f t="shared" si="323"/>
        <v>公園</v>
      </c>
      <c r="E913" s="7" t="str">
        <f t="shared" si="324"/>
        <v>大阪府枚方市山田池公園</v>
      </c>
      <c r="F913" s="7"/>
      <c r="G913" s="7" t="str">
        <f t="shared" si="318"/>
        <v>事業用資産</v>
      </c>
      <c r="H913" s="7" t="str">
        <f t="shared" si="319"/>
        <v>棚卸以外</v>
      </c>
      <c r="I913" s="7">
        <v>19</v>
      </c>
      <c r="J913" s="7" t="str">
        <f>"公園管理事務所"</f>
        <v>公園管理事務所</v>
      </c>
      <c r="K913" s="7" t="str">
        <f>"鉄筋コンクリート造"</f>
        <v>鉄筋コンクリート造</v>
      </c>
      <c r="L913" s="7" t="str">
        <f>"H02.08.03"</f>
        <v>H02.08.03</v>
      </c>
      <c r="M913" s="7">
        <v>301.92</v>
      </c>
      <c r="N913" s="7">
        <v>88237000</v>
      </c>
      <c r="O913" s="7">
        <v>57501242</v>
      </c>
      <c r="P913" s="7">
        <v>0</v>
      </c>
      <c r="Q913" s="7" t="str">
        <f t="shared" si="306"/>
        <v>都市整備部</v>
      </c>
      <c r="R913" s="7" t="str">
        <f t="shared" si="320"/>
        <v>枚方土木事務所</v>
      </c>
    </row>
    <row r="914" spans="1:18" s="1" customFormat="1" x14ac:dyDescent="0.45">
      <c r="A914" s="7" t="str">
        <f t="shared" si="321"/>
        <v>08203000162</v>
      </c>
      <c r="B914" s="7" t="str">
        <f t="shared" si="322"/>
        <v>山田池公園</v>
      </c>
      <c r="C914" s="7" t="str">
        <f t="shared" si="316"/>
        <v>行政財産</v>
      </c>
      <c r="D914" s="7" t="str">
        <f t="shared" si="323"/>
        <v>公園</v>
      </c>
      <c r="E914" s="7" t="str">
        <f t="shared" si="324"/>
        <v>大阪府枚方市山田池公園</v>
      </c>
      <c r="F914" s="7"/>
      <c r="G914" s="7" t="str">
        <f t="shared" si="318"/>
        <v>事業用資産</v>
      </c>
      <c r="H914" s="7" t="str">
        <f t="shared" si="319"/>
        <v>棚卸以外</v>
      </c>
      <c r="I914" s="7">
        <v>20</v>
      </c>
      <c r="J914" s="7" t="str">
        <f>"倉庫・車庫棟"</f>
        <v>倉庫・車庫棟</v>
      </c>
      <c r="K914" s="7" t="str">
        <f>"鉄骨造"</f>
        <v>鉄骨造</v>
      </c>
      <c r="L914" s="7" t="str">
        <f>"H02.08.03"</f>
        <v>H02.08.03</v>
      </c>
      <c r="M914" s="7">
        <v>168.82</v>
      </c>
      <c r="N914" s="7">
        <v>23724000</v>
      </c>
      <c r="O914" s="7">
        <v>23723999</v>
      </c>
      <c r="P914" s="7">
        <v>0</v>
      </c>
      <c r="Q914" s="7" t="str">
        <f t="shared" si="306"/>
        <v>都市整備部</v>
      </c>
      <c r="R914" s="7" t="str">
        <f t="shared" si="320"/>
        <v>枚方土木事務所</v>
      </c>
    </row>
    <row r="915" spans="1:18" s="1" customFormat="1" x14ac:dyDescent="0.45">
      <c r="A915" s="7" t="str">
        <f t="shared" si="321"/>
        <v>08203000162</v>
      </c>
      <c r="B915" s="7" t="str">
        <f t="shared" si="322"/>
        <v>山田池公園</v>
      </c>
      <c r="C915" s="7" t="str">
        <f t="shared" si="316"/>
        <v>行政財産</v>
      </c>
      <c r="D915" s="7" t="str">
        <f t="shared" si="323"/>
        <v>公園</v>
      </c>
      <c r="E915" s="7" t="str">
        <f t="shared" si="324"/>
        <v>大阪府枚方市山田池公園</v>
      </c>
      <c r="F915" s="7"/>
      <c r="G915" s="7" t="str">
        <f t="shared" si="318"/>
        <v>事業用資産</v>
      </c>
      <c r="H915" s="7" t="str">
        <f t="shared" si="319"/>
        <v>棚卸以外</v>
      </c>
      <c r="I915" s="7">
        <v>21</v>
      </c>
      <c r="J915" s="7" t="str">
        <f>"植物養生温室"</f>
        <v>植物養生温室</v>
      </c>
      <c r="K915" s="7" t="str">
        <f>"鉄骨造"</f>
        <v>鉄骨造</v>
      </c>
      <c r="L915" s="7" t="str">
        <f>"H05.01.27"</f>
        <v>H05.01.27</v>
      </c>
      <c r="M915" s="7">
        <v>94.5</v>
      </c>
      <c r="N915" s="7">
        <v>13791000</v>
      </c>
      <c r="O915" s="7">
        <v>13420426</v>
      </c>
      <c r="P915" s="7">
        <v>0</v>
      </c>
      <c r="Q915" s="7" t="str">
        <f t="shared" si="306"/>
        <v>都市整備部</v>
      </c>
      <c r="R915" s="7" t="str">
        <f t="shared" si="320"/>
        <v>枚方土木事務所</v>
      </c>
    </row>
    <row r="916" spans="1:18" s="1" customFormat="1" x14ac:dyDescent="0.45">
      <c r="A916" s="7" t="str">
        <f t="shared" si="321"/>
        <v>08203000162</v>
      </c>
      <c r="B916" s="7" t="str">
        <f t="shared" si="322"/>
        <v>山田池公園</v>
      </c>
      <c r="C916" s="7" t="str">
        <f t="shared" si="316"/>
        <v>行政財産</v>
      </c>
      <c r="D916" s="7" t="str">
        <f t="shared" si="323"/>
        <v>公園</v>
      </c>
      <c r="E916" s="7" t="str">
        <f t="shared" si="324"/>
        <v>大阪府枚方市山田池公園</v>
      </c>
      <c r="F916" s="7"/>
      <c r="G916" s="7" t="str">
        <f t="shared" si="318"/>
        <v>事業用資産</v>
      </c>
      <c r="H916" s="7" t="str">
        <f t="shared" si="319"/>
        <v>棚卸以外</v>
      </c>
      <c r="I916" s="7">
        <v>22</v>
      </c>
      <c r="J916" s="7" t="str">
        <f>"パークセンター"</f>
        <v>パークセンター</v>
      </c>
      <c r="K916" s="7" t="str">
        <f>"鉄筋コンクリート造"</f>
        <v>鉄筋コンクリート造</v>
      </c>
      <c r="L916" s="7" t="str">
        <f>"H18.04.27"</f>
        <v>H18.04.27</v>
      </c>
      <c r="M916" s="7">
        <v>402.1</v>
      </c>
      <c r="N916" s="7">
        <v>97565000</v>
      </c>
      <c r="O916" s="7">
        <v>33009627</v>
      </c>
      <c r="P916" s="7">
        <v>0</v>
      </c>
      <c r="Q916" s="7" t="str">
        <f t="shared" si="306"/>
        <v>都市整備部</v>
      </c>
      <c r="R916" s="7" t="str">
        <f t="shared" si="320"/>
        <v>枚方土木事務所</v>
      </c>
    </row>
    <row r="917" spans="1:18" s="1" customFormat="1" x14ac:dyDescent="0.45">
      <c r="A917" s="7" t="str">
        <f t="shared" si="321"/>
        <v>08203000162</v>
      </c>
      <c r="B917" s="7" t="str">
        <f t="shared" si="322"/>
        <v>山田池公園</v>
      </c>
      <c r="C917" s="7" t="str">
        <f t="shared" si="316"/>
        <v>行政財産</v>
      </c>
      <c r="D917" s="7" t="str">
        <f t="shared" si="323"/>
        <v>公園</v>
      </c>
      <c r="E917" s="7" t="str">
        <f t="shared" si="324"/>
        <v>大阪府枚方市山田池公園</v>
      </c>
      <c r="F917" s="7"/>
      <c r="G917" s="7" t="str">
        <f t="shared" si="318"/>
        <v>事業用資産</v>
      </c>
      <c r="H917" s="7" t="str">
        <f t="shared" si="319"/>
        <v>棚卸以外</v>
      </c>
      <c r="I917" s="7">
        <v>23</v>
      </c>
      <c r="J917" s="7" t="str">
        <f>"工区事務所"</f>
        <v>工区事務所</v>
      </c>
      <c r="K917" s="7" t="str">
        <f>"軽量鉄骨造"</f>
        <v>軽量鉄骨造</v>
      </c>
      <c r="L917" s="7" t="str">
        <f>"H12.01.31"</f>
        <v>H12.01.31</v>
      </c>
      <c r="M917" s="7">
        <v>102.28</v>
      </c>
      <c r="N917" s="7">
        <v>14431000</v>
      </c>
      <c r="O917" s="7">
        <v>11144186</v>
      </c>
      <c r="P917" s="7">
        <v>0</v>
      </c>
      <c r="Q917" s="7" t="str">
        <f t="shared" si="306"/>
        <v>都市整備部</v>
      </c>
      <c r="R917" s="7" t="str">
        <f t="shared" si="320"/>
        <v>枚方土木事務所</v>
      </c>
    </row>
    <row r="918" spans="1:18" s="1" customFormat="1" x14ac:dyDescent="0.45">
      <c r="A918" s="7" t="str">
        <f t="shared" si="321"/>
        <v>08203000162</v>
      </c>
      <c r="B918" s="7" t="str">
        <f t="shared" si="322"/>
        <v>山田池公園</v>
      </c>
      <c r="C918" s="7" t="str">
        <f t="shared" si="316"/>
        <v>行政財産</v>
      </c>
      <c r="D918" s="7" t="str">
        <f t="shared" si="323"/>
        <v>公園</v>
      </c>
      <c r="E918" s="7" t="str">
        <f t="shared" si="324"/>
        <v>大阪府枚方市山田池公園</v>
      </c>
      <c r="F918" s="7"/>
      <c r="G918" s="7" t="str">
        <f t="shared" si="318"/>
        <v>事業用資産</v>
      </c>
      <c r="H918" s="7" t="str">
        <f t="shared" si="319"/>
        <v>棚卸以外</v>
      </c>
      <c r="I918" s="7">
        <v>24</v>
      </c>
      <c r="J918" s="7" t="str">
        <f>"工区倉庫・車庫"</f>
        <v>工区倉庫・車庫</v>
      </c>
      <c r="K918" s="7" t="str">
        <f>"軽量鉄骨造"</f>
        <v>軽量鉄骨造</v>
      </c>
      <c r="L918" s="7" t="str">
        <f>"H12.01.31"</f>
        <v>H12.01.31</v>
      </c>
      <c r="M918" s="7">
        <v>52.84</v>
      </c>
      <c r="N918" s="7">
        <v>7314000</v>
      </c>
      <c r="O918" s="7">
        <v>7060088</v>
      </c>
      <c r="P918" s="7">
        <v>0</v>
      </c>
      <c r="Q918" s="7" t="str">
        <f t="shared" si="306"/>
        <v>都市整備部</v>
      </c>
      <c r="R918" s="7" t="str">
        <f t="shared" si="320"/>
        <v>枚方土木事務所</v>
      </c>
    </row>
    <row r="919" spans="1:18" s="1" customFormat="1" x14ac:dyDescent="0.45">
      <c r="A919" s="7" t="str">
        <f t="shared" si="321"/>
        <v>08203000162</v>
      </c>
      <c r="B919" s="7" t="str">
        <f t="shared" si="322"/>
        <v>山田池公園</v>
      </c>
      <c r="C919" s="7" t="str">
        <f t="shared" si="316"/>
        <v>行政財産</v>
      </c>
      <c r="D919" s="7" t="str">
        <f t="shared" si="323"/>
        <v>公園</v>
      </c>
      <c r="E919" s="7" t="str">
        <f t="shared" si="324"/>
        <v>大阪府枚方市山田池公園</v>
      </c>
      <c r="F919" s="7"/>
      <c r="G919" s="7" t="str">
        <f t="shared" si="318"/>
        <v>事業用資産</v>
      </c>
      <c r="H919" s="7" t="str">
        <f t="shared" si="319"/>
        <v>棚卸以外</v>
      </c>
      <c r="I919" s="7">
        <v>25</v>
      </c>
      <c r="J919" s="7" t="str">
        <f>"自由広場便所"</f>
        <v>自由広場便所</v>
      </c>
      <c r="K919" s="7" t="str">
        <f>"鉄筋コンクリート造"</f>
        <v>鉄筋コンクリート造</v>
      </c>
      <c r="L919" s="7" t="str">
        <f>"H15.11.13"</f>
        <v>H15.11.13</v>
      </c>
      <c r="M919" s="7">
        <v>119.08</v>
      </c>
      <c r="N919" s="7">
        <v>28412500</v>
      </c>
      <c r="O919" s="7">
        <v>14455688</v>
      </c>
      <c r="P919" s="7">
        <v>0</v>
      </c>
      <c r="Q919" s="7" t="str">
        <f t="shared" si="306"/>
        <v>都市整備部</v>
      </c>
      <c r="R919" s="7" t="str">
        <f t="shared" si="320"/>
        <v>枚方土木事務所</v>
      </c>
    </row>
    <row r="920" spans="1:18" s="1" customFormat="1" x14ac:dyDescent="0.45">
      <c r="A920" s="7" t="str">
        <f t="shared" si="321"/>
        <v>08203000162</v>
      </c>
      <c r="B920" s="7" t="str">
        <f t="shared" si="322"/>
        <v>山田池公園</v>
      </c>
      <c r="C920" s="7" t="str">
        <f t="shared" si="316"/>
        <v>行政財産</v>
      </c>
      <c r="D920" s="7" t="str">
        <f t="shared" si="323"/>
        <v>公園</v>
      </c>
      <c r="E920" s="7" t="str">
        <f t="shared" si="324"/>
        <v>大阪府枚方市山田池公園</v>
      </c>
      <c r="F920" s="7"/>
      <c r="G920" s="7" t="str">
        <f t="shared" si="318"/>
        <v>事業用資産</v>
      </c>
      <c r="H920" s="7" t="str">
        <f t="shared" si="319"/>
        <v>棚卸以外</v>
      </c>
      <c r="I920" s="7">
        <v>26</v>
      </c>
      <c r="J920" s="7" t="str">
        <f>"南地区倉庫"</f>
        <v>南地区倉庫</v>
      </c>
      <c r="K920" s="7" t="str">
        <f>"木造"</f>
        <v>木造</v>
      </c>
      <c r="L920" s="7" t="str">
        <f>"H16.03.30"</f>
        <v>H16.03.30</v>
      </c>
      <c r="M920" s="7">
        <v>9.7200000000000006</v>
      </c>
      <c r="N920" s="7">
        <v>3609000</v>
      </c>
      <c r="O920" s="7">
        <v>3608999</v>
      </c>
      <c r="P920" s="7">
        <v>0</v>
      </c>
      <c r="Q920" s="7" t="str">
        <f t="shared" si="306"/>
        <v>都市整備部</v>
      </c>
      <c r="R920" s="7" t="str">
        <f t="shared" si="320"/>
        <v>枚方土木事務所</v>
      </c>
    </row>
    <row r="921" spans="1:18" s="1" customFormat="1" x14ac:dyDescent="0.45">
      <c r="A921" s="7" t="str">
        <f t="shared" si="321"/>
        <v>08203000162</v>
      </c>
      <c r="B921" s="7" t="str">
        <f t="shared" si="322"/>
        <v>山田池公園</v>
      </c>
      <c r="C921" s="7" t="str">
        <f t="shared" si="316"/>
        <v>行政財産</v>
      </c>
      <c r="D921" s="7" t="str">
        <f t="shared" si="323"/>
        <v>公園</v>
      </c>
      <c r="E921" s="7" t="str">
        <f t="shared" si="324"/>
        <v>大阪府枚方市山田池公園</v>
      </c>
      <c r="F921" s="7"/>
      <c r="G921" s="7" t="str">
        <f t="shared" si="318"/>
        <v>事業用資産</v>
      </c>
      <c r="H921" s="7" t="str">
        <f t="shared" si="319"/>
        <v>棚卸以外</v>
      </c>
      <c r="I921" s="7">
        <v>27</v>
      </c>
      <c r="J921" s="7" t="str">
        <f>"花菖蒲園四阿１"</f>
        <v>花菖蒲園四阿１</v>
      </c>
      <c r="K921" s="7" t="str">
        <f>"木造"</f>
        <v>木造</v>
      </c>
      <c r="L921" s="7" t="str">
        <f>"H20.03.26"</f>
        <v>H20.03.26</v>
      </c>
      <c r="M921" s="7">
        <v>9</v>
      </c>
      <c r="N921" s="7">
        <v>4765000</v>
      </c>
      <c r="O921" s="7">
        <v>2978280</v>
      </c>
      <c r="P921" s="7">
        <v>0</v>
      </c>
      <c r="Q921" s="7" t="str">
        <f t="shared" si="306"/>
        <v>都市整備部</v>
      </c>
      <c r="R921" s="7" t="str">
        <f t="shared" si="320"/>
        <v>枚方土木事務所</v>
      </c>
    </row>
    <row r="922" spans="1:18" s="1" customFormat="1" x14ac:dyDescent="0.45">
      <c r="A922" s="7" t="str">
        <f t="shared" si="321"/>
        <v>08203000162</v>
      </c>
      <c r="B922" s="7" t="str">
        <f t="shared" si="322"/>
        <v>山田池公園</v>
      </c>
      <c r="C922" s="7" t="str">
        <f t="shared" si="316"/>
        <v>行政財産</v>
      </c>
      <c r="D922" s="7" t="str">
        <f t="shared" si="323"/>
        <v>公園</v>
      </c>
      <c r="E922" s="7" t="str">
        <f t="shared" si="324"/>
        <v>大阪府枚方市山田池公園</v>
      </c>
      <c r="F922" s="7"/>
      <c r="G922" s="7" t="str">
        <f t="shared" si="318"/>
        <v>事業用資産</v>
      </c>
      <c r="H922" s="7" t="str">
        <f t="shared" si="319"/>
        <v>棚卸以外</v>
      </c>
      <c r="I922" s="7">
        <v>28</v>
      </c>
      <c r="J922" s="7" t="str">
        <f>"花菖蒲園四阿２"</f>
        <v>花菖蒲園四阿２</v>
      </c>
      <c r="K922" s="7" t="str">
        <f>"木造"</f>
        <v>木造</v>
      </c>
      <c r="L922" s="7" t="str">
        <f>"H20.03.26"</f>
        <v>H20.03.26</v>
      </c>
      <c r="M922" s="7">
        <v>10.35</v>
      </c>
      <c r="N922" s="7">
        <v>5901000</v>
      </c>
      <c r="O922" s="7">
        <v>3688200</v>
      </c>
      <c r="P922" s="7">
        <v>0</v>
      </c>
      <c r="Q922" s="7" t="str">
        <f t="shared" si="306"/>
        <v>都市整備部</v>
      </c>
      <c r="R922" s="7" t="str">
        <f t="shared" si="320"/>
        <v>枚方土木事務所</v>
      </c>
    </row>
    <row r="923" spans="1:18" s="1" customFormat="1" x14ac:dyDescent="0.45">
      <c r="A923" s="7" t="str">
        <f t="shared" si="321"/>
        <v>08203000162</v>
      </c>
      <c r="B923" s="7" t="str">
        <f t="shared" si="322"/>
        <v>山田池公園</v>
      </c>
      <c r="C923" s="7" t="str">
        <f t="shared" si="316"/>
        <v>行政財産</v>
      </c>
      <c r="D923" s="7" t="str">
        <f t="shared" si="323"/>
        <v>公園</v>
      </c>
      <c r="E923" s="7" t="str">
        <f t="shared" si="324"/>
        <v>大阪府枚方市山田池公園</v>
      </c>
      <c r="F923" s="7"/>
      <c r="G923" s="7" t="str">
        <f t="shared" si="318"/>
        <v>事業用資産</v>
      </c>
      <c r="H923" s="7" t="str">
        <f t="shared" si="319"/>
        <v>棚卸以外</v>
      </c>
      <c r="I923" s="7">
        <v>29</v>
      </c>
      <c r="J923" s="7" t="str">
        <f>"花菖蒲園　門－２"</f>
        <v>花菖蒲園　門－２</v>
      </c>
      <c r="K923" s="7" t="str">
        <f>"木造"</f>
        <v>木造</v>
      </c>
      <c r="L923" s="7" t="str">
        <f>"H21.03.18"</f>
        <v>H21.03.18</v>
      </c>
      <c r="M923" s="7">
        <v>55.5</v>
      </c>
      <c r="N923" s="7">
        <v>13211000</v>
      </c>
      <c r="O923" s="7">
        <v>7706496</v>
      </c>
      <c r="P923" s="7">
        <v>0</v>
      </c>
      <c r="Q923" s="7" t="str">
        <f t="shared" ref="Q923:Q986" si="325">"都市整備部"</f>
        <v>都市整備部</v>
      </c>
      <c r="R923" s="7" t="str">
        <f t="shared" si="320"/>
        <v>枚方土木事務所</v>
      </c>
    </row>
    <row r="924" spans="1:18" s="1" customFormat="1" x14ac:dyDescent="0.45">
      <c r="A924" s="7" t="str">
        <f t="shared" si="321"/>
        <v>08203000162</v>
      </c>
      <c r="B924" s="7" t="str">
        <f t="shared" si="322"/>
        <v>山田池公園</v>
      </c>
      <c r="C924" s="7" t="str">
        <f t="shared" si="316"/>
        <v>行政財産</v>
      </c>
      <c r="D924" s="7" t="str">
        <f t="shared" si="323"/>
        <v>公園</v>
      </c>
      <c r="E924" s="7" t="str">
        <f t="shared" si="324"/>
        <v>大阪府枚方市山田池公園</v>
      </c>
      <c r="F924" s="7"/>
      <c r="G924" s="7" t="str">
        <f t="shared" si="318"/>
        <v>事業用資産</v>
      </c>
      <c r="H924" s="7" t="str">
        <f t="shared" si="319"/>
        <v>棚卸以外</v>
      </c>
      <c r="I924" s="7">
        <v>30</v>
      </c>
      <c r="J924" s="7" t="str">
        <f>"花菖蒲園　門－３"</f>
        <v>花菖蒲園　門－３</v>
      </c>
      <c r="K924" s="7" t="str">
        <f>"木造"</f>
        <v>木造</v>
      </c>
      <c r="L924" s="7" t="str">
        <f>"H21.03.18"</f>
        <v>H21.03.18</v>
      </c>
      <c r="M924" s="7">
        <v>19.5</v>
      </c>
      <c r="N924" s="7">
        <v>5564000</v>
      </c>
      <c r="O924" s="7">
        <v>3245760</v>
      </c>
      <c r="P924" s="7">
        <v>0</v>
      </c>
      <c r="Q924" s="7" t="str">
        <f t="shared" si="325"/>
        <v>都市整備部</v>
      </c>
      <c r="R924" s="7" t="str">
        <f t="shared" si="320"/>
        <v>枚方土木事務所</v>
      </c>
    </row>
    <row r="925" spans="1:18" s="1" customFormat="1" x14ac:dyDescent="0.45">
      <c r="A925" s="7" t="str">
        <f t="shared" si="321"/>
        <v>08203000162</v>
      </c>
      <c r="B925" s="7" t="str">
        <f t="shared" si="322"/>
        <v>山田池公園</v>
      </c>
      <c r="C925" s="7" t="str">
        <f t="shared" si="316"/>
        <v>行政財産</v>
      </c>
      <c r="D925" s="7" t="str">
        <f t="shared" si="323"/>
        <v>公園</v>
      </c>
      <c r="E925" s="7" t="str">
        <f t="shared" si="324"/>
        <v>大阪府枚方市山田池公園</v>
      </c>
      <c r="F925" s="7"/>
      <c r="G925" s="7" t="str">
        <f t="shared" si="318"/>
        <v>事業用資産</v>
      </c>
      <c r="H925" s="7" t="str">
        <f t="shared" si="319"/>
        <v>棚卸以外</v>
      </c>
      <c r="I925" s="7">
        <v>31</v>
      </c>
      <c r="J925" s="7" t="str">
        <f>"南駐車場便所"</f>
        <v>南駐車場便所</v>
      </c>
      <c r="K925" s="7" t="str">
        <f>"鉄筋コンクリート造"</f>
        <v>鉄筋コンクリート造</v>
      </c>
      <c r="L925" s="7" t="str">
        <f>"S25.01.01"</f>
        <v>S25.01.01</v>
      </c>
      <c r="M925" s="7">
        <v>59.54</v>
      </c>
      <c r="N925" s="7">
        <v>28412500</v>
      </c>
      <c r="O925" s="7">
        <v>14455688</v>
      </c>
      <c r="P925" s="7">
        <v>0</v>
      </c>
      <c r="Q925" s="7" t="str">
        <f t="shared" si="325"/>
        <v>都市整備部</v>
      </c>
      <c r="R925" s="7" t="str">
        <f t="shared" si="320"/>
        <v>枚方土木事務所</v>
      </c>
    </row>
    <row r="926" spans="1:18" s="1" customFormat="1" x14ac:dyDescent="0.45">
      <c r="A926" s="7" t="str">
        <f t="shared" si="321"/>
        <v>08203000162</v>
      </c>
      <c r="B926" s="7" t="str">
        <f t="shared" si="322"/>
        <v>山田池公園</v>
      </c>
      <c r="C926" s="7" t="str">
        <f t="shared" si="316"/>
        <v>行政財産</v>
      </c>
      <c r="D926" s="7" t="str">
        <f t="shared" si="323"/>
        <v>公園</v>
      </c>
      <c r="E926" s="7" t="str">
        <f t="shared" si="324"/>
        <v>大阪府枚方市山田池公園</v>
      </c>
      <c r="F926" s="7"/>
      <c r="G926" s="7" t="str">
        <f t="shared" si="318"/>
        <v>事業用資産</v>
      </c>
      <c r="H926" s="7" t="str">
        <f t="shared" si="319"/>
        <v>棚卸以外</v>
      </c>
      <c r="I926" s="7">
        <v>32</v>
      </c>
      <c r="J926" s="7" t="str">
        <f>"南入口便所"</f>
        <v>南入口便所</v>
      </c>
      <c r="K926" s="7" t="str">
        <f>"鉄筋コンクリート造"</f>
        <v>鉄筋コンクリート造</v>
      </c>
      <c r="L926" s="7" t="str">
        <f>"S25.01.01"</f>
        <v>S25.01.01</v>
      </c>
      <c r="M926" s="7">
        <v>49.95</v>
      </c>
      <c r="N926" s="7">
        <v>27525000</v>
      </c>
      <c r="O926" s="7">
        <v>13762536</v>
      </c>
      <c r="P926" s="7">
        <v>0</v>
      </c>
      <c r="Q926" s="7" t="str">
        <f t="shared" si="325"/>
        <v>都市整備部</v>
      </c>
      <c r="R926" s="7" t="str">
        <f t="shared" si="320"/>
        <v>枚方土木事務所</v>
      </c>
    </row>
    <row r="927" spans="1:18" s="1" customFormat="1" x14ac:dyDescent="0.45">
      <c r="A927" s="7" t="str">
        <f t="shared" si="321"/>
        <v>08203000162</v>
      </c>
      <c r="B927" s="7" t="str">
        <f t="shared" si="322"/>
        <v>山田池公園</v>
      </c>
      <c r="C927" s="7" t="str">
        <f t="shared" si="316"/>
        <v>行政財産</v>
      </c>
      <c r="D927" s="7" t="str">
        <f t="shared" si="323"/>
        <v>公園</v>
      </c>
      <c r="E927" s="7" t="str">
        <f t="shared" si="324"/>
        <v>大阪府枚方市山田池公園</v>
      </c>
      <c r="F927" s="7"/>
      <c r="G927" s="7" t="str">
        <f t="shared" si="318"/>
        <v>事業用資産</v>
      </c>
      <c r="H927" s="7" t="str">
        <f t="shared" si="319"/>
        <v>棚卸以外</v>
      </c>
      <c r="I927" s="7">
        <v>33</v>
      </c>
      <c r="J927" s="7" t="str">
        <f>"バーベキュー広場便所"</f>
        <v>バーベキュー広場便所</v>
      </c>
      <c r="K927" s="7" t="str">
        <f>"鉄筋コンクリート造"</f>
        <v>鉄筋コンクリート造</v>
      </c>
      <c r="L927" s="7" t="str">
        <f>"S25.01.01"</f>
        <v>S25.01.01</v>
      </c>
      <c r="M927" s="7">
        <v>49.95</v>
      </c>
      <c r="N927" s="7">
        <v>23400000</v>
      </c>
      <c r="O927" s="7">
        <v>11700048</v>
      </c>
      <c r="P927" s="7">
        <v>0</v>
      </c>
      <c r="Q927" s="7" t="str">
        <f t="shared" si="325"/>
        <v>都市整備部</v>
      </c>
      <c r="R927" s="7" t="str">
        <f t="shared" si="320"/>
        <v>枚方土木事務所</v>
      </c>
    </row>
    <row r="928" spans="1:18" s="1" customFormat="1" x14ac:dyDescent="0.45">
      <c r="A928" s="7" t="str">
        <f t="shared" si="321"/>
        <v>08203000162</v>
      </c>
      <c r="B928" s="7" t="str">
        <f t="shared" si="322"/>
        <v>山田池公園</v>
      </c>
      <c r="C928" s="7" t="str">
        <f t="shared" si="316"/>
        <v>行政財産</v>
      </c>
      <c r="D928" s="7" t="str">
        <f t="shared" si="323"/>
        <v>公園</v>
      </c>
      <c r="E928" s="7" t="str">
        <f t="shared" si="324"/>
        <v>大阪府枚方市山田池公園</v>
      </c>
      <c r="F928" s="7"/>
      <c r="G928" s="7" t="str">
        <f t="shared" si="318"/>
        <v>事業用資産</v>
      </c>
      <c r="H928" s="7" t="str">
        <f t="shared" si="319"/>
        <v>棚卸以外</v>
      </c>
      <c r="I928" s="7">
        <v>34</v>
      </c>
      <c r="J928" s="7" t="str">
        <f>"コテージガーデン休憩所"</f>
        <v>コテージガーデン休憩所</v>
      </c>
      <c r="K928" s="7" t="str">
        <f>"木造"</f>
        <v>木造</v>
      </c>
      <c r="L928" s="7" t="str">
        <f>"S25.01.01"</f>
        <v>S25.01.01</v>
      </c>
      <c r="M928" s="7">
        <v>21.51</v>
      </c>
      <c r="N928" s="7">
        <v>18305000</v>
      </c>
      <c r="O928" s="7">
        <v>12966240</v>
      </c>
      <c r="P928" s="7">
        <v>0</v>
      </c>
      <c r="Q928" s="7" t="str">
        <f t="shared" si="325"/>
        <v>都市整備部</v>
      </c>
      <c r="R928" s="7" t="str">
        <f t="shared" si="320"/>
        <v>枚方土木事務所</v>
      </c>
    </row>
    <row r="929" spans="1:18" s="1" customFormat="1" x14ac:dyDescent="0.45">
      <c r="A929" s="7" t="str">
        <f t="shared" si="321"/>
        <v>08203000162</v>
      </c>
      <c r="B929" s="7" t="str">
        <f t="shared" si="322"/>
        <v>山田池公園</v>
      </c>
      <c r="C929" s="7" t="str">
        <f t="shared" si="316"/>
        <v>行政財産</v>
      </c>
      <c r="D929" s="7" t="str">
        <f t="shared" si="323"/>
        <v>公園</v>
      </c>
      <c r="E929" s="7" t="str">
        <f t="shared" si="324"/>
        <v>大阪府枚方市山田池公園</v>
      </c>
      <c r="F929" s="7"/>
      <c r="G929" s="7" t="str">
        <f t="shared" si="318"/>
        <v>事業用資産</v>
      </c>
      <c r="H929" s="7" t="str">
        <f t="shared" si="319"/>
        <v>棚卸以外</v>
      </c>
      <c r="I929" s="7">
        <v>36</v>
      </c>
      <c r="J929" s="7" t="str">
        <f>"花木園休憩所"</f>
        <v>花木園休憩所</v>
      </c>
      <c r="K929" s="7" t="str">
        <f>"木造"</f>
        <v>木造</v>
      </c>
      <c r="L929" s="7" t="str">
        <f>"S63.03.28"</f>
        <v>S63.03.28</v>
      </c>
      <c r="M929" s="7">
        <v>28.35</v>
      </c>
      <c r="N929" s="7">
        <v>12500000</v>
      </c>
      <c r="O929" s="7">
        <v>8750280</v>
      </c>
      <c r="P929" s="7">
        <v>0</v>
      </c>
      <c r="Q929" s="7" t="str">
        <f t="shared" si="325"/>
        <v>都市整備部</v>
      </c>
      <c r="R929" s="7" t="str">
        <f t="shared" si="320"/>
        <v>枚方土木事務所</v>
      </c>
    </row>
    <row r="930" spans="1:18" s="1" customFormat="1" x14ac:dyDescent="0.45">
      <c r="A930" s="7" t="str">
        <f t="shared" si="321"/>
        <v>08203000162</v>
      </c>
      <c r="B930" s="7" t="str">
        <f t="shared" si="322"/>
        <v>山田池公園</v>
      </c>
      <c r="C930" s="7" t="str">
        <f t="shared" si="316"/>
        <v>行政財産</v>
      </c>
      <c r="D930" s="7" t="str">
        <f t="shared" si="323"/>
        <v>公園</v>
      </c>
      <c r="E930" s="7" t="str">
        <f t="shared" si="324"/>
        <v>大阪府枚方市山田池公園</v>
      </c>
      <c r="F930" s="7"/>
      <c r="G930" s="7" t="str">
        <f t="shared" ref="G930:G961" si="326">"事業用資産"</f>
        <v>事業用資産</v>
      </c>
      <c r="H930" s="7" t="str">
        <f t="shared" si="319"/>
        <v>棚卸以外</v>
      </c>
      <c r="I930" s="7">
        <v>37</v>
      </c>
      <c r="J930" s="7" t="str">
        <f>"実りの里便所"</f>
        <v>実りの里便所</v>
      </c>
      <c r="K930" s="7" t="str">
        <f>"鉄筋コンクリート造"</f>
        <v>鉄筋コンクリート造</v>
      </c>
      <c r="L930" s="7" t="str">
        <f>"H23.04.08"</f>
        <v>H23.04.08</v>
      </c>
      <c r="M930" s="7">
        <v>124.51</v>
      </c>
      <c r="N930" s="7">
        <v>79033358</v>
      </c>
      <c r="O930" s="7">
        <v>24784617</v>
      </c>
      <c r="P930" s="7">
        <v>0</v>
      </c>
      <c r="Q930" s="7" t="str">
        <f t="shared" si="325"/>
        <v>都市整備部</v>
      </c>
      <c r="R930" s="7" t="str">
        <f t="shared" si="320"/>
        <v>枚方土木事務所</v>
      </c>
    </row>
    <row r="931" spans="1:18" s="1" customFormat="1" x14ac:dyDescent="0.45">
      <c r="A931" s="7" t="str">
        <f t="shared" si="321"/>
        <v>08203000162</v>
      </c>
      <c r="B931" s="7" t="str">
        <f t="shared" si="322"/>
        <v>山田池公園</v>
      </c>
      <c r="C931" s="7" t="str">
        <f t="shared" si="316"/>
        <v>行政財産</v>
      </c>
      <c r="D931" s="7" t="str">
        <f t="shared" si="323"/>
        <v>公園</v>
      </c>
      <c r="E931" s="7" t="str">
        <f t="shared" si="324"/>
        <v>大阪府枚方市山田池公園</v>
      </c>
      <c r="F931" s="7"/>
      <c r="G931" s="7" t="str">
        <f t="shared" si="326"/>
        <v>事業用資産</v>
      </c>
      <c r="H931" s="7" t="str">
        <f t="shared" si="319"/>
        <v>棚卸以外</v>
      </c>
      <c r="I931" s="7">
        <v>38</v>
      </c>
      <c r="J931" s="7" t="str">
        <f>"実りの里四阿"</f>
        <v>実りの里四阿</v>
      </c>
      <c r="K931" s="7" t="str">
        <f>"木造"</f>
        <v>木造</v>
      </c>
      <c r="L931" s="7" t="str">
        <f>"H23.04.08"</f>
        <v>H23.04.08</v>
      </c>
      <c r="M931" s="7">
        <v>141</v>
      </c>
      <c r="N931" s="7">
        <v>13559777</v>
      </c>
      <c r="O931" s="7">
        <v>6732869</v>
      </c>
      <c r="P931" s="7">
        <v>0</v>
      </c>
      <c r="Q931" s="7" t="str">
        <f t="shared" si="325"/>
        <v>都市整備部</v>
      </c>
      <c r="R931" s="7" t="str">
        <f t="shared" si="320"/>
        <v>枚方土木事務所</v>
      </c>
    </row>
    <row r="932" spans="1:18" s="1" customFormat="1" x14ac:dyDescent="0.45">
      <c r="A932" s="7" t="str">
        <f t="shared" si="321"/>
        <v>08203000162</v>
      </c>
      <c r="B932" s="7" t="str">
        <f t="shared" si="322"/>
        <v>山田池公園</v>
      </c>
      <c r="C932" s="7" t="str">
        <f t="shared" si="316"/>
        <v>行政財産</v>
      </c>
      <c r="D932" s="7" t="str">
        <f t="shared" si="323"/>
        <v>公園</v>
      </c>
      <c r="E932" s="7" t="str">
        <f t="shared" si="324"/>
        <v>大阪府枚方市山田池公園</v>
      </c>
      <c r="F932" s="7"/>
      <c r="G932" s="7" t="str">
        <f t="shared" si="326"/>
        <v>事業用資産</v>
      </c>
      <c r="H932" s="7" t="str">
        <f t="shared" si="319"/>
        <v>棚卸以外</v>
      </c>
      <c r="I932" s="7">
        <v>39</v>
      </c>
      <c r="J932" s="7" t="str">
        <f>"サービスヤード倉庫"</f>
        <v>サービスヤード倉庫</v>
      </c>
      <c r="K932" s="7" t="str">
        <f>"木造"</f>
        <v>木造</v>
      </c>
      <c r="L932" s="7" t="str">
        <f>"H23.04.08"</f>
        <v>H23.04.08</v>
      </c>
      <c r="M932" s="7">
        <v>20.16</v>
      </c>
      <c r="N932" s="7">
        <v>3854615</v>
      </c>
      <c r="O932" s="7">
        <v>3062345</v>
      </c>
      <c r="P932" s="7">
        <v>0</v>
      </c>
      <c r="Q932" s="7" t="str">
        <f t="shared" si="325"/>
        <v>都市整備部</v>
      </c>
      <c r="R932" s="7" t="str">
        <f t="shared" si="320"/>
        <v>枚方土木事務所</v>
      </c>
    </row>
    <row r="933" spans="1:18" s="1" customFormat="1" x14ac:dyDescent="0.45">
      <c r="A933" s="7" t="str">
        <f t="shared" si="321"/>
        <v>08203000162</v>
      </c>
      <c r="B933" s="7" t="str">
        <f t="shared" si="322"/>
        <v>山田池公園</v>
      </c>
      <c r="C933" s="7" t="str">
        <f t="shared" si="316"/>
        <v>行政財産</v>
      </c>
      <c r="D933" s="7" t="str">
        <f t="shared" si="323"/>
        <v>公園</v>
      </c>
      <c r="E933" s="7" t="str">
        <f t="shared" si="324"/>
        <v>大阪府枚方市山田池公園</v>
      </c>
      <c r="F933" s="7"/>
      <c r="G933" s="7" t="str">
        <f t="shared" si="326"/>
        <v>事業用資産</v>
      </c>
      <c r="H933" s="7" t="str">
        <f t="shared" si="319"/>
        <v>棚卸以外</v>
      </c>
      <c r="I933" s="7">
        <v>40</v>
      </c>
      <c r="J933" s="7" t="str">
        <f>"ログハウス"</f>
        <v>ログハウス</v>
      </c>
      <c r="K933" s="7" t="str">
        <f>"木造"</f>
        <v>木造</v>
      </c>
      <c r="L933" s="7" t="str">
        <f>"H27.03.05"</f>
        <v>H27.03.05</v>
      </c>
      <c r="M933" s="7">
        <v>28.98</v>
      </c>
      <c r="N933" s="7">
        <v>10900000</v>
      </c>
      <c r="O933" s="7">
        <v>4561788</v>
      </c>
      <c r="P933" s="7">
        <v>0</v>
      </c>
      <c r="Q933" s="7" t="str">
        <f t="shared" si="325"/>
        <v>都市整備部</v>
      </c>
      <c r="R933" s="7" t="str">
        <f t="shared" ref="R933:R964" si="327">"枚方土木事務所"</f>
        <v>枚方土木事務所</v>
      </c>
    </row>
    <row r="934" spans="1:18" s="1" customFormat="1" x14ac:dyDescent="0.45">
      <c r="A934" s="7" t="str">
        <f t="shared" si="321"/>
        <v>08203000162</v>
      </c>
      <c r="B934" s="7" t="str">
        <f t="shared" si="322"/>
        <v>山田池公園</v>
      </c>
      <c r="C934" s="7" t="str">
        <f t="shared" si="316"/>
        <v>行政財産</v>
      </c>
      <c r="D934" s="7" t="str">
        <f t="shared" si="323"/>
        <v>公園</v>
      </c>
      <c r="E934" s="7" t="str">
        <f t="shared" si="324"/>
        <v>大阪府枚方市山田池公園</v>
      </c>
      <c r="F934" s="7"/>
      <c r="G934" s="7" t="str">
        <f t="shared" si="326"/>
        <v>事業用資産</v>
      </c>
      <c r="H934" s="7" t="str">
        <f t="shared" si="319"/>
        <v>棚卸以外</v>
      </c>
      <c r="I934" s="7">
        <v>41</v>
      </c>
      <c r="J934" s="7" t="str">
        <f>"厩舎"</f>
        <v>厩舎</v>
      </c>
      <c r="K934" s="7" t="str">
        <f>"軽量鉄骨造"</f>
        <v>軽量鉄骨造</v>
      </c>
      <c r="L934" s="7" t="str">
        <f>"H27.03.05"</f>
        <v>H27.03.05</v>
      </c>
      <c r="M934" s="7">
        <v>65.95</v>
      </c>
      <c r="N934" s="7">
        <v>1550000</v>
      </c>
      <c r="O934" s="7">
        <v>452088</v>
      </c>
      <c r="P934" s="7">
        <v>0</v>
      </c>
      <c r="Q934" s="7" t="str">
        <f t="shared" si="325"/>
        <v>都市整備部</v>
      </c>
      <c r="R934" s="7" t="str">
        <f t="shared" si="327"/>
        <v>枚方土木事務所</v>
      </c>
    </row>
    <row r="935" spans="1:18" s="1" customFormat="1" x14ac:dyDescent="0.45">
      <c r="A935" s="7" t="str">
        <f t="shared" ref="A935:A954" si="328">"08203000163"</f>
        <v>08203000163</v>
      </c>
      <c r="B935" s="7" t="str">
        <f t="shared" ref="B935:B954" si="329">"寝屋川公園"</f>
        <v>寝屋川公園</v>
      </c>
      <c r="C935" s="7" t="str">
        <f t="shared" si="316"/>
        <v>行政財産</v>
      </c>
      <c r="D935" s="7" t="str">
        <f t="shared" ref="D935:D968" si="330">"公園"</f>
        <v>公園</v>
      </c>
      <c r="E935" s="7" t="str">
        <f t="shared" ref="E935:E954" si="331">"大阪府寝屋川市寝屋川公園"</f>
        <v>大阪府寝屋川市寝屋川公園</v>
      </c>
      <c r="F935" s="7"/>
      <c r="G935" s="7" t="str">
        <f t="shared" si="326"/>
        <v>事業用資産</v>
      </c>
      <c r="H935" s="7" t="str">
        <f t="shared" si="319"/>
        <v>棚卸以外</v>
      </c>
      <c r="I935" s="7">
        <v>6</v>
      </c>
      <c r="J935" s="7" t="str">
        <f>"ソフトボール広場便所"</f>
        <v>ソフトボール広場便所</v>
      </c>
      <c r="K935" s="7" t="str">
        <f>"レンガ、石積造"</f>
        <v>レンガ、石積造</v>
      </c>
      <c r="L935" s="7" t="str">
        <f>"S58.03.02"</f>
        <v>S58.03.02</v>
      </c>
      <c r="M935" s="7">
        <v>33.549999999999997</v>
      </c>
      <c r="N935" s="7">
        <v>24817289</v>
      </c>
      <c r="O935" s="7">
        <v>9292367</v>
      </c>
      <c r="P935" s="7">
        <v>0</v>
      </c>
      <c r="Q935" s="7" t="str">
        <f t="shared" si="325"/>
        <v>都市整備部</v>
      </c>
      <c r="R935" s="7" t="str">
        <f t="shared" si="327"/>
        <v>枚方土木事務所</v>
      </c>
    </row>
    <row r="936" spans="1:18" s="1" customFormat="1" x14ac:dyDescent="0.45">
      <c r="A936" s="7" t="str">
        <f t="shared" si="328"/>
        <v>08203000163</v>
      </c>
      <c r="B936" s="7" t="str">
        <f t="shared" si="329"/>
        <v>寝屋川公園</v>
      </c>
      <c r="C936" s="7" t="str">
        <f t="shared" si="316"/>
        <v>行政財産</v>
      </c>
      <c r="D936" s="7" t="str">
        <f t="shared" si="330"/>
        <v>公園</v>
      </c>
      <c r="E936" s="7" t="str">
        <f t="shared" si="331"/>
        <v>大阪府寝屋川市寝屋川公園</v>
      </c>
      <c r="F936" s="7"/>
      <c r="G936" s="7" t="str">
        <f t="shared" si="326"/>
        <v>事業用資産</v>
      </c>
      <c r="H936" s="7" t="str">
        <f t="shared" si="319"/>
        <v>棚卸以外</v>
      </c>
      <c r="I936" s="7">
        <v>7</v>
      </c>
      <c r="J936" s="7" t="str">
        <f>"管理事務所南便所"</f>
        <v>管理事務所南便所</v>
      </c>
      <c r="K936" s="7" t="str">
        <f>"鉄筋コンクリート造"</f>
        <v>鉄筋コンクリート造</v>
      </c>
      <c r="L936" s="7" t="str">
        <f>"S60.03.12"</f>
        <v>S60.03.12</v>
      </c>
      <c r="M936" s="7">
        <v>42.58</v>
      </c>
      <c r="N936" s="7">
        <v>32477247</v>
      </c>
      <c r="O936" s="7">
        <v>15420411</v>
      </c>
      <c r="P936" s="7">
        <v>0</v>
      </c>
      <c r="Q936" s="7" t="str">
        <f t="shared" si="325"/>
        <v>都市整備部</v>
      </c>
      <c r="R936" s="7" t="str">
        <f t="shared" si="327"/>
        <v>枚方土木事務所</v>
      </c>
    </row>
    <row r="937" spans="1:18" s="1" customFormat="1" x14ac:dyDescent="0.45">
      <c r="A937" s="7" t="str">
        <f t="shared" si="328"/>
        <v>08203000163</v>
      </c>
      <c r="B937" s="7" t="str">
        <f t="shared" si="329"/>
        <v>寝屋川公園</v>
      </c>
      <c r="C937" s="7" t="str">
        <f t="shared" si="316"/>
        <v>行政財産</v>
      </c>
      <c r="D937" s="7" t="str">
        <f t="shared" si="330"/>
        <v>公園</v>
      </c>
      <c r="E937" s="7" t="str">
        <f t="shared" si="331"/>
        <v>大阪府寝屋川市寝屋川公園</v>
      </c>
      <c r="F937" s="7"/>
      <c r="G937" s="7" t="str">
        <f t="shared" si="326"/>
        <v>事業用資産</v>
      </c>
      <c r="H937" s="7" t="str">
        <f t="shared" si="319"/>
        <v>棚卸以外</v>
      </c>
      <c r="I937" s="7">
        <v>8</v>
      </c>
      <c r="J937" s="7" t="str">
        <f>"公園管理事務所"</f>
        <v>公園管理事務所</v>
      </c>
      <c r="K937" s="7" t="str">
        <f>"鉄筋コンクリート造"</f>
        <v>鉄筋コンクリート造</v>
      </c>
      <c r="L937" s="7" t="str">
        <f>"S60.07.10"</f>
        <v>S60.07.10</v>
      </c>
      <c r="M937" s="7">
        <v>1029.79</v>
      </c>
      <c r="N937" s="7">
        <v>233256687</v>
      </c>
      <c r="O937" s="7">
        <v>164002288</v>
      </c>
      <c r="P937" s="7">
        <v>0</v>
      </c>
      <c r="Q937" s="7" t="str">
        <f t="shared" si="325"/>
        <v>都市整備部</v>
      </c>
      <c r="R937" s="7" t="str">
        <f t="shared" si="327"/>
        <v>枚方土木事務所</v>
      </c>
    </row>
    <row r="938" spans="1:18" s="1" customFormat="1" x14ac:dyDescent="0.45">
      <c r="A938" s="7" t="str">
        <f t="shared" si="328"/>
        <v>08203000163</v>
      </c>
      <c r="B938" s="7" t="str">
        <f t="shared" si="329"/>
        <v>寝屋川公園</v>
      </c>
      <c r="C938" s="7" t="str">
        <f t="shared" si="316"/>
        <v>行政財産</v>
      </c>
      <c r="D938" s="7" t="str">
        <f t="shared" si="330"/>
        <v>公園</v>
      </c>
      <c r="E938" s="7" t="str">
        <f t="shared" si="331"/>
        <v>大阪府寝屋川市寝屋川公園</v>
      </c>
      <c r="F938" s="7"/>
      <c r="G938" s="7" t="str">
        <f t="shared" si="326"/>
        <v>事業用資産</v>
      </c>
      <c r="H938" s="7" t="str">
        <f t="shared" si="319"/>
        <v>棚卸以外</v>
      </c>
      <c r="I938" s="7">
        <v>9</v>
      </c>
      <c r="J938" s="7" t="str">
        <f>"陸上競技場便所"</f>
        <v>陸上競技場便所</v>
      </c>
      <c r="K938" s="7" t="str">
        <f>"鉄筋コンクリート造"</f>
        <v>鉄筋コンクリート造</v>
      </c>
      <c r="L938" s="7" t="str">
        <f>"S60.10.09"</f>
        <v>S60.10.09</v>
      </c>
      <c r="M938" s="7">
        <v>27</v>
      </c>
      <c r="N938" s="7">
        <v>30695014</v>
      </c>
      <c r="O938" s="7">
        <v>14105074</v>
      </c>
      <c r="P938" s="7">
        <v>0</v>
      </c>
      <c r="Q938" s="7" t="str">
        <f t="shared" si="325"/>
        <v>都市整備部</v>
      </c>
      <c r="R938" s="7" t="str">
        <f t="shared" si="327"/>
        <v>枚方土木事務所</v>
      </c>
    </row>
    <row r="939" spans="1:18" s="1" customFormat="1" ht="26.4" x14ac:dyDescent="0.45">
      <c r="A939" s="7" t="str">
        <f t="shared" si="328"/>
        <v>08203000163</v>
      </c>
      <c r="B939" s="7" t="str">
        <f t="shared" si="329"/>
        <v>寝屋川公園</v>
      </c>
      <c r="C939" s="7" t="str">
        <f t="shared" si="316"/>
        <v>行政財産</v>
      </c>
      <c r="D939" s="7" t="str">
        <f t="shared" si="330"/>
        <v>公園</v>
      </c>
      <c r="E939" s="7" t="str">
        <f t="shared" si="331"/>
        <v>大阪府寝屋川市寝屋川公園</v>
      </c>
      <c r="F939" s="7"/>
      <c r="G939" s="7" t="str">
        <f t="shared" si="326"/>
        <v>事業用資産</v>
      </c>
      <c r="H939" s="7" t="str">
        <f t="shared" si="319"/>
        <v>棚卸以外</v>
      </c>
      <c r="I939" s="7">
        <v>10</v>
      </c>
      <c r="J939" s="7" t="str">
        <f>"倉庫（陸上競技場）"</f>
        <v>倉庫（陸上競技場）</v>
      </c>
      <c r="K939" s="7" t="str">
        <f>"鉄骨鉄筋コンクリート造"</f>
        <v>鉄骨鉄筋コンクリート造</v>
      </c>
      <c r="L939" s="7" t="str">
        <f>"S62.03.25"</f>
        <v>S62.03.25</v>
      </c>
      <c r="M939" s="7">
        <v>196.67</v>
      </c>
      <c r="N939" s="7">
        <v>13500000</v>
      </c>
      <c r="O939" s="7">
        <v>12789792</v>
      </c>
      <c r="P939" s="7">
        <v>0</v>
      </c>
      <c r="Q939" s="7" t="str">
        <f t="shared" si="325"/>
        <v>都市整備部</v>
      </c>
      <c r="R939" s="7" t="str">
        <f t="shared" si="327"/>
        <v>枚方土木事務所</v>
      </c>
    </row>
    <row r="940" spans="1:18" s="1" customFormat="1" x14ac:dyDescent="0.45">
      <c r="A940" s="7" t="str">
        <f t="shared" si="328"/>
        <v>08203000163</v>
      </c>
      <c r="B940" s="7" t="str">
        <f t="shared" si="329"/>
        <v>寝屋川公園</v>
      </c>
      <c r="C940" s="7" t="str">
        <f t="shared" si="316"/>
        <v>行政財産</v>
      </c>
      <c r="D940" s="7" t="str">
        <f t="shared" si="330"/>
        <v>公園</v>
      </c>
      <c r="E940" s="7" t="str">
        <f t="shared" si="331"/>
        <v>大阪府寝屋川市寝屋川公園</v>
      </c>
      <c r="F940" s="7"/>
      <c r="G940" s="7" t="str">
        <f t="shared" si="326"/>
        <v>事業用資産</v>
      </c>
      <c r="H940" s="7" t="str">
        <f t="shared" si="319"/>
        <v>棚卸以外</v>
      </c>
      <c r="I940" s="7">
        <v>11</v>
      </c>
      <c r="J940" s="7" t="str">
        <f>"テニスコート管理棟"</f>
        <v>テニスコート管理棟</v>
      </c>
      <c r="K940" s="7" t="str">
        <f>"鉄筋コンクリート造"</f>
        <v>鉄筋コンクリート造</v>
      </c>
      <c r="L940" s="7" t="str">
        <f>"S63.05.31"</f>
        <v>S63.05.31</v>
      </c>
      <c r="M940" s="7">
        <v>250.26</v>
      </c>
      <c r="N940" s="7">
        <v>68048048</v>
      </c>
      <c r="O940" s="7">
        <v>42975758</v>
      </c>
      <c r="P940" s="7">
        <v>0</v>
      </c>
      <c r="Q940" s="7" t="str">
        <f t="shared" si="325"/>
        <v>都市整備部</v>
      </c>
      <c r="R940" s="7" t="str">
        <f t="shared" si="327"/>
        <v>枚方土木事務所</v>
      </c>
    </row>
    <row r="941" spans="1:18" s="1" customFormat="1" ht="26.4" x14ac:dyDescent="0.45">
      <c r="A941" s="7" t="str">
        <f t="shared" si="328"/>
        <v>08203000163</v>
      </c>
      <c r="B941" s="7" t="str">
        <f t="shared" si="329"/>
        <v>寝屋川公園</v>
      </c>
      <c r="C941" s="7" t="str">
        <f t="shared" si="316"/>
        <v>行政財産</v>
      </c>
      <c r="D941" s="7" t="str">
        <f t="shared" si="330"/>
        <v>公園</v>
      </c>
      <c r="E941" s="7" t="str">
        <f t="shared" si="331"/>
        <v>大阪府寝屋川市寝屋川公園</v>
      </c>
      <c r="F941" s="7"/>
      <c r="G941" s="7" t="str">
        <f t="shared" si="326"/>
        <v>事業用資産</v>
      </c>
      <c r="H941" s="7" t="str">
        <f t="shared" si="319"/>
        <v>棚卸以外</v>
      </c>
      <c r="I941" s="7">
        <v>12</v>
      </c>
      <c r="J941" s="7" t="str">
        <f>"苗圃倉庫"</f>
        <v>苗圃倉庫</v>
      </c>
      <c r="K941" s="7" t="str">
        <f>"鉄骨鉄筋コンクリート造"</f>
        <v>鉄骨鉄筋コンクリート造</v>
      </c>
      <c r="L941" s="7" t="str">
        <f>"H01.03.31"</f>
        <v>H01.03.31</v>
      </c>
      <c r="M941" s="7">
        <v>115.31</v>
      </c>
      <c r="N941" s="7">
        <v>9500000</v>
      </c>
      <c r="O941" s="7">
        <v>8500272</v>
      </c>
      <c r="P941" s="7">
        <v>0</v>
      </c>
      <c r="Q941" s="7" t="str">
        <f t="shared" si="325"/>
        <v>都市整備部</v>
      </c>
      <c r="R941" s="7" t="str">
        <f t="shared" si="327"/>
        <v>枚方土木事務所</v>
      </c>
    </row>
    <row r="942" spans="1:18" s="1" customFormat="1" x14ac:dyDescent="0.45">
      <c r="A942" s="7" t="str">
        <f t="shared" si="328"/>
        <v>08203000163</v>
      </c>
      <c r="B942" s="7" t="str">
        <f t="shared" si="329"/>
        <v>寝屋川公園</v>
      </c>
      <c r="C942" s="7" t="str">
        <f t="shared" si="316"/>
        <v>行政財産</v>
      </c>
      <c r="D942" s="7" t="str">
        <f t="shared" si="330"/>
        <v>公園</v>
      </c>
      <c r="E942" s="7" t="str">
        <f t="shared" si="331"/>
        <v>大阪府寝屋川市寝屋川公園</v>
      </c>
      <c r="F942" s="7"/>
      <c r="G942" s="7" t="str">
        <f t="shared" si="326"/>
        <v>事業用資産</v>
      </c>
      <c r="H942" s="7" t="str">
        <f t="shared" si="319"/>
        <v>棚卸以外</v>
      </c>
      <c r="I942" s="7">
        <v>13</v>
      </c>
      <c r="J942" s="7" t="str">
        <f>"第１駐車場便所"</f>
        <v>第１駐車場便所</v>
      </c>
      <c r="K942" s="7" t="str">
        <f>"鉄筋コンクリート造"</f>
        <v>鉄筋コンクリート造</v>
      </c>
      <c r="L942" s="7" t="str">
        <f>"H02.03.22"</f>
        <v>H02.03.22</v>
      </c>
      <c r="M942" s="7">
        <v>43.07</v>
      </c>
      <c r="N942" s="7">
        <v>37247645</v>
      </c>
      <c r="O942" s="7">
        <v>24983892</v>
      </c>
      <c r="P942" s="7">
        <v>0</v>
      </c>
      <c r="Q942" s="7" t="str">
        <f t="shared" si="325"/>
        <v>都市整備部</v>
      </c>
      <c r="R942" s="7" t="str">
        <f t="shared" si="327"/>
        <v>枚方土木事務所</v>
      </c>
    </row>
    <row r="943" spans="1:18" s="1" customFormat="1" x14ac:dyDescent="0.45">
      <c r="A943" s="7" t="str">
        <f t="shared" si="328"/>
        <v>08203000163</v>
      </c>
      <c r="B943" s="7" t="str">
        <f t="shared" si="329"/>
        <v>寝屋川公園</v>
      </c>
      <c r="C943" s="7" t="str">
        <f t="shared" si="316"/>
        <v>行政財産</v>
      </c>
      <c r="D943" s="7" t="str">
        <f t="shared" si="330"/>
        <v>公園</v>
      </c>
      <c r="E943" s="7" t="str">
        <f t="shared" si="331"/>
        <v>大阪府寝屋川市寝屋川公園</v>
      </c>
      <c r="F943" s="7"/>
      <c r="G943" s="7" t="str">
        <f t="shared" si="326"/>
        <v>事業用資産</v>
      </c>
      <c r="H943" s="7" t="str">
        <f t="shared" si="319"/>
        <v>棚卸以外</v>
      </c>
      <c r="I943" s="7">
        <v>15</v>
      </c>
      <c r="J943" s="7" t="str">
        <f>"ふれあいの丘便所"</f>
        <v>ふれあいの丘便所</v>
      </c>
      <c r="K943" s="7" t="str">
        <f>"鉄筋コンクリート造"</f>
        <v>鉄筋コンクリート造</v>
      </c>
      <c r="L943" s="7" t="str">
        <f>"H04.03.31"</f>
        <v>H04.03.31</v>
      </c>
      <c r="M943" s="7">
        <v>42.98</v>
      </c>
      <c r="N943" s="7">
        <v>52907562</v>
      </c>
      <c r="O943" s="7">
        <v>35884668</v>
      </c>
      <c r="P943" s="7">
        <v>0</v>
      </c>
      <c r="Q943" s="7" t="str">
        <f t="shared" si="325"/>
        <v>都市整備部</v>
      </c>
      <c r="R943" s="7" t="str">
        <f t="shared" si="327"/>
        <v>枚方土木事務所</v>
      </c>
    </row>
    <row r="944" spans="1:18" s="1" customFormat="1" x14ac:dyDescent="0.45">
      <c r="A944" s="7" t="str">
        <f t="shared" si="328"/>
        <v>08203000163</v>
      </c>
      <c r="B944" s="7" t="str">
        <f t="shared" si="329"/>
        <v>寝屋川公園</v>
      </c>
      <c r="C944" s="7" t="str">
        <f t="shared" si="316"/>
        <v>行政財産</v>
      </c>
      <c r="D944" s="7" t="str">
        <f t="shared" si="330"/>
        <v>公園</v>
      </c>
      <c r="E944" s="7" t="str">
        <f t="shared" si="331"/>
        <v>大阪府寝屋川市寝屋川公園</v>
      </c>
      <c r="F944" s="7"/>
      <c r="G944" s="7" t="str">
        <f t="shared" si="326"/>
        <v>事業用資産</v>
      </c>
      <c r="H944" s="7" t="str">
        <f t="shared" si="319"/>
        <v>棚卸以外</v>
      </c>
      <c r="I944" s="7">
        <v>17</v>
      </c>
      <c r="J944" s="7" t="str">
        <f>"管理事務所隣接車庫"</f>
        <v>管理事務所隣接車庫</v>
      </c>
      <c r="K944" s="7" t="str">
        <f>"軽量鉄骨造"</f>
        <v>軽量鉄骨造</v>
      </c>
      <c r="L944" s="7" t="str">
        <f>"H06.03.28"</f>
        <v>H06.03.28</v>
      </c>
      <c r="M944" s="7">
        <v>22.5</v>
      </c>
      <c r="N944" s="7">
        <v>2743000</v>
      </c>
      <c r="O944" s="7">
        <v>2742999</v>
      </c>
      <c r="P944" s="7">
        <v>0</v>
      </c>
      <c r="Q944" s="7" t="str">
        <f t="shared" si="325"/>
        <v>都市整備部</v>
      </c>
      <c r="R944" s="7" t="str">
        <f t="shared" si="327"/>
        <v>枚方土木事務所</v>
      </c>
    </row>
    <row r="945" spans="1:18" s="1" customFormat="1" x14ac:dyDescent="0.45">
      <c r="A945" s="7" t="str">
        <f t="shared" si="328"/>
        <v>08203000163</v>
      </c>
      <c r="B945" s="7" t="str">
        <f t="shared" si="329"/>
        <v>寝屋川公園</v>
      </c>
      <c r="C945" s="7" t="str">
        <f t="shared" si="316"/>
        <v>行政財産</v>
      </c>
      <c r="D945" s="7" t="str">
        <f t="shared" si="330"/>
        <v>公園</v>
      </c>
      <c r="E945" s="7" t="str">
        <f t="shared" si="331"/>
        <v>大阪府寝屋川市寝屋川公園</v>
      </c>
      <c r="F945" s="7"/>
      <c r="G945" s="7" t="str">
        <f t="shared" si="326"/>
        <v>事業用資産</v>
      </c>
      <c r="H945" s="7" t="str">
        <f t="shared" si="319"/>
        <v>棚卸以外</v>
      </c>
      <c r="I945" s="7">
        <v>18</v>
      </c>
      <c r="J945" s="7" t="str">
        <f>"第１野球場管理棟"</f>
        <v>第１野球場管理棟</v>
      </c>
      <c r="K945" s="7" t="str">
        <f>"鉄筋コンクリート造"</f>
        <v>鉄筋コンクリート造</v>
      </c>
      <c r="L945" s="7" t="str">
        <f>"H08.03.29"</f>
        <v>H08.03.29</v>
      </c>
      <c r="M945" s="7">
        <v>357.48</v>
      </c>
      <c r="N945" s="7">
        <v>86684000</v>
      </c>
      <c r="O945" s="7">
        <v>46809576</v>
      </c>
      <c r="P945" s="7">
        <v>0</v>
      </c>
      <c r="Q945" s="7" t="str">
        <f t="shared" si="325"/>
        <v>都市整備部</v>
      </c>
      <c r="R945" s="7" t="str">
        <f t="shared" si="327"/>
        <v>枚方土木事務所</v>
      </c>
    </row>
    <row r="946" spans="1:18" s="1" customFormat="1" x14ac:dyDescent="0.45">
      <c r="A946" s="7" t="str">
        <f t="shared" si="328"/>
        <v>08203000163</v>
      </c>
      <c r="B946" s="7" t="str">
        <f t="shared" si="329"/>
        <v>寝屋川公園</v>
      </c>
      <c r="C946" s="7" t="str">
        <f t="shared" si="316"/>
        <v>行政財産</v>
      </c>
      <c r="D946" s="7" t="str">
        <f t="shared" si="330"/>
        <v>公園</v>
      </c>
      <c r="E946" s="7" t="str">
        <f t="shared" si="331"/>
        <v>大阪府寝屋川市寝屋川公園</v>
      </c>
      <c r="F946" s="7"/>
      <c r="G946" s="7" t="str">
        <f t="shared" si="326"/>
        <v>事業用資産</v>
      </c>
      <c r="H946" s="7" t="str">
        <f t="shared" si="319"/>
        <v>棚卸以外</v>
      </c>
      <c r="I946" s="7">
        <v>19</v>
      </c>
      <c r="J946" s="7" t="str">
        <f>"第２野球場南便所"</f>
        <v>第２野球場南便所</v>
      </c>
      <c r="K946" s="7" t="str">
        <f>"鉄筋コンクリート造"</f>
        <v>鉄筋コンクリート造</v>
      </c>
      <c r="L946" s="7" t="str">
        <f>"H08.03.29"</f>
        <v>H08.03.29</v>
      </c>
      <c r="M946" s="7">
        <v>46.24</v>
      </c>
      <c r="N946" s="7">
        <v>68459632</v>
      </c>
      <c r="O946" s="7">
        <v>30504312</v>
      </c>
      <c r="P946" s="7">
        <v>0</v>
      </c>
      <c r="Q946" s="7" t="str">
        <f t="shared" si="325"/>
        <v>都市整備部</v>
      </c>
      <c r="R946" s="7" t="str">
        <f t="shared" si="327"/>
        <v>枚方土木事務所</v>
      </c>
    </row>
    <row r="947" spans="1:18" s="1" customFormat="1" x14ac:dyDescent="0.45">
      <c r="A947" s="7" t="str">
        <f t="shared" si="328"/>
        <v>08203000163</v>
      </c>
      <c r="B947" s="7" t="str">
        <f t="shared" si="329"/>
        <v>寝屋川公園</v>
      </c>
      <c r="C947" s="7" t="str">
        <f t="shared" si="316"/>
        <v>行政財産</v>
      </c>
      <c r="D947" s="7" t="str">
        <f t="shared" si="330"/>
        <v>公園</v>
      </c>
      <c r="E947" s="7" t="str">
        <f t="shared" si="331"/>
        <v>大阪府寝屋川市寝屋川公園</v>
      </c>
      <c r="F947" s="7"/>
      <c r="G947" s="7" t="str">
        <f t="shared" si="326"/>
        <v>事業用資産</v>
      </c>
      <c r="H947" s="7" t="str">
        <f t="shared" si="319"/>
        <v>棚卸以外</v>
      </c>
      <c r="I947" s="7">
        <v>20</v>
      </c>
      <c r="J947" s="7" t="str">
        <f>"第２野球場操作室"</f>
        <v>第２野球場操作室</v>
      </c>
      <c r="K947" s="7" t="str">
        <f>"鉄筋コンクリート造"</f>
        <v>鉄筋コンクリート造</v>
      </c>
      <c r="L947" s="7" t="str">
        <f>"H08.03.29"</f>
        <v>H08.03.29</v>
      </c>
      <c r="M947" s="7">
        <v>7.22</v>
      </c>
      <c r="N947" s="7">
        <v>3186000</v>
      </c>
      <c r="O947" s="7">
        <v>2263788</v>
      </c>
      <c r="P947" s="7">
        <v>0</v>
      </c>
      <c r="Q947" s="7" t="str">
        <f t="shared" si="325"/>
        <v>都市整備部</v>
      </c>
      <c r="R947" s="7" t="str">
        <f t="shared" si="327"/>
        <v>枚方土木事務所</v>
      </c>
    </row>
    <row r="948" spans="1:18" s="1" customFormat="1" x14ac:dyDescent="0.45">
      <c r="A948" s="7" t="str">
        <f t="shared" si="328"/>
        <v>08203000163</v>
      </c>
      <c r="B948" s="7" t="str">
        <f t="shared" si="329"/>
        <v>寝屋川公園</v>
      </c>
      <c r="C948" s="7" t="str">
        <f t="shared" si="316"/>
        <v>行政財産</v>
      </c>
      <c r="D948" s="7" t="str">
        <f t="shared" si="330"/>
        <v>公園</v>
      </c>
      <c r="E948" s="7" t="str">
        <f t="shared" si="331"/>
        <v>大阪府寝屋川市寝屋川公園</v>
      </c>
      <c r="F948" s="7"/>
      <c r="G948" s="7" t="str">
        <f t="shared" si="326"/>
        <v>事業用資産</v>
      </c>
      <c r="H948" s="7" t="str">
        <f t="shared" si="319"/>
        <v>棚卸以外</v>
      </c>
      <c r="I948" s="7">
        <v>21</v>
      </c>
      <c r="J948" s="7" t="str">
        <f>"第２駐車場便所"</f>
        <v>第２駐車場便所</v>
      </c>
      <c r="K948" s="7" t="str">
        <f>"鉄筋コンクリート造"</f>
        <v>鉄筋コンクリート造</v>
      </c>
      <c r="L948" s="7" t="str">
        <f>"H10.03.23"</f>
        <v>H10.03.23</v>
      </c>
      <c r="M948" s="7">
        <v>83.25</v>
      </c>
      <c r="N948" s="7">
        <v>44424000</v>
      </c>
      <c r="O948" s="7">
        <v>29226600</v>
      </c>
      <c r="P948" s="7">
        <v>0</v>
      </c>
      <c r="Q948" s="7" t="str">
        <f t="shared" si="325"/>
        <v>都市整備部</v>
      </c>
      <c r="R948" s="7" t="str">
        <f t="shared" si="327"/>
        <v>枚方土木事務所</v>
      </c>
    </row>
    <row r="949" spans="1:18" s="1" customFormat="1" x14ac:dyDescent="0.45">
      <c r="A949" s="7" t="str">
        <f t="shared" si="328"/>
        <v>08203000163</v>
      </c>
      <c r="B949" s="7" t="str">
        <f t="shared" si="329"/>
        <v>寝屋川公園</v>
      </c>
      <c r="C949" s="7" t="str">
        <f t="shared" si="316"/>
        <v>行政財産</v>
      </c>
      <c r="D949" s="7" t="str">
        <f t="shared" si="330"/>
        <v>公園</v>
      </c>
      <c r="E949" s="7" t="str">
        <f t="shared" si="331"/>
        <v>大阪府寝屋川市寝屋川公園</v>
      </c>
      <c r="F949" s="7"/>
      <c r="G949" s="7" t="str">
        <f t="shared" si="326"/>
        <v>事業用資産</v>
      </c>
      <c r="H949" s="7" t="str">
        <f t="shared" si="319"/>
        <v>棚卸以外</v>
      </c>
      <c r="I949" s="7">
        <v>22</v>
      </c>
      <c r="J949" s="7" t="str">
        <f>"事務所北車庫"</f>
        <v>事務所北車庫</v>
      </c>
      <c r="K949" s="7" t="str">
        <f>"土蔵造(簡易建物)"</f>
        <v>土蔵造(簡易建物)</v>
      </c>
      <c r="L949" s="7" t="str">
        <f>"H14.08.29"</f>
        <v>H14.08.29</v>
      </c>
      <c r="M949" s="7">
        <v>70.22</v>
      </c>
      <c r="N949" s="7">
        <v>3125000</v>
      </c>
      <c r="O949" s="7">
        <v>2680197</v>
      </c>
      <c r="P949" s="7">
        <v>0</v>
      </c>
      <c r="Q949" s="7" t="str">
        <f t="shared" si="325"/>
        <v>都市整備部</v>
      </c>
      <c r="R949" s="7" t="str">
        <f t="shared" si="327"/>
        <v>枚方土木事務所</v>
      </c>
    </row>
    <row r="950" spans="1:18" s="1" customFormat="1" x14ac:dyDescent="0.45">
      <c r="A950" s="7" t="str">
        <f t="shared" si="328"/>
        <v>08203000163</v>
      </c>
      <c r="B950" s="7" t="str">
        <f t="shared" si="329"/>
        <v>寝屋川公園</v>
      </c>
      <c r="C950" s="7" t="str">
        <f t="shared" si="316"/>
        <v>行政財産</v>
      </c>
      <c r="D950" s="7" t="str">
        <f t="shared" si="330"/>
        <v>公園</v>
      </c>
      <c r="E950" s="7" t="str">
        <f t="shared" si="331"/>
        <v>大阪府寝屋川市寝屋川公園</v>
      </c>
      <c r="F950" s="7"/>
      <c r="G950" s="7" t="str">
        <f t="shared" si="326"/>
        <v>事業用資産</v>
      </c>
      <c r="H950" s="7" t="str">
        <f t="shared" si="319"/>
        <v>棚卸以外</v>
      </c>
      <c r="I950" s="7">
        <v>23</v>
      </c>
      <c r="J950" s="7" t="str">
        <f>"テニスコート休憩所"</f>
        <v>テニスコート休憩所</v>
      </c>
      <c r="K950" s="7" t="str">
        <f>"木造"</f>
        <v>木造</v>
      </c>
      <c r="L950" s="7" t="str">
        <f>"H15.11.13"</f>
        <v>H15.11.13</v>
      </c>
      <c r="M950" s="7">
        <v>18.89</v>
      </c>
      <c r="N950" s="7">
        <v>7964000</v>
      </c>
      <c r="O950" s="7">
        <v>6415496</v>
      </c>
      <c r="P950" s="7">
        <v>0</v>
      </c>
      <c r="Q950" s="7" t="str">
        <f t="shared" si="325"/>
        <v>都市整備部</v>
      </c>
      <c r="R950" s="7" t="str">
        <f t="shared" si="327"/>
        <v>枚方土木事務所</v>
      </c>
    </row>
    <row r="951" spans="1:18" s="1" customFormat="1" x14ac:dyDescent="0.45">
      <c r="A951" s="7" t="str">
        <f t="shared" si="328"/>
        <v>08203000163</v>
      </c>
      <c r="B951" s="7" t="str">
        <f t="shared" si="329"/>
        <v>寝屋川公園</v>
      </c>
      <c r="C951" s="7" t="str">
        <f t="shared" si="316"/>
        <v>行政財産</v>
      </c>
      <c r="D951" s="7" t="str">
        <f t="shared" si="330"/>
        <v>公園</v>
      </c>
      <c r="E951" s="7" t="str">
        <f t="shared" si="331"/>
        <v>大阪府寝屋川市寝屋川公園</v>
      </c>
      <c r="F951" s="7"/>
      <c r="G951" s="7" t="str">
        <f t="shared" si="326"/>
        <v>事業用資産</v>
      </c>
      <c r="H951" s="7" t="str">
        <f t="shared" si="319"/>
        <v>棚卸以外</v>
      </c>
      <c r="I951" s="7">
        <v>25</v>
      </c>
      <c r="J951" s="7" t="str">
        <f>"芝生広場便所"</f>
        <v>芝生広場便所</v>
      </c>
      <c r="K951" s="7" t="str">
        <f>"鉄筋コンクリート造"</f>
        <v>鉄筋コンクリート造</v>
      </c>
      <c r="L951" s="7" t="str">
        <f>"H17.03.31"</f>
        <v>H17.03.31</v>
      </c>
      <c r="M951" s="7">
        <v>45.36</v>
      </c>
      <c r="N951" s="7">
        <v>32265000</v>
      </c>
      <c r="O951" s="7">
        <v>11615400</v>
      </c>
      <c r="P951" s="7">
        <v>0</v>
      </c>
      <c r="Q951" s="7" t="str">
        <f t="shared" si="325"/>
        <v>都市整備部</v>
      </c>
      <c r="R951" s="7" t="str">
        <f t="shared" si="327"/>
        <v>枚方土木事務所</v>
      </c>
    </row>
    <row r="952" spans="1:18" s="1" customFormat="1" x14ac:dyDescent="0.45">
      <c r="A952" s="7" t="str">
        <f t="shared" si="328"/>
        <v>08203000163</v>
      </c>
      <c r="B952" s="7" t="str">
        <f t="shared" si="329"/>
        <v>寝屋川公園</v>
      </c>
      <c r="C952" s="7" t="str">
        <f t="shared" ref="C952:C1015" si="332">"行政財産"</f>
        <v>行政財産</v>
      </c>
      <c r="D952" s="7" t="str">
        <f t="shared" si="330"/>
        <v>公園</v>
      </c>
      <c r="E952" s="7" t="str">
        <f t="shared" si="331"/>
        <v>大阪府寝屋川市寝屋川公園</v>
      </c>
      <c r="F952" s="7"/>
      <c r="G952" s="7" t="str">
        <f t="shared" si="326"/>
        <v>事業用資産</v>
      </c>
      <c r="H952" s="7" t="str">
        <f t="shared" si="319"/>
        <v>棚卸以外</v>
      </c>
      <c r="I952" s="7">
        <v>26</v>
      </c>
      <c r="J952" s="7" t="str">
        <f>"芝生広場休憩所"</f>
        <v>芝生広場休憩所</v>
      </c>
      <c r="K952" s="7" t="str">
        <f>"鉄筋コンクリート造"</f>
        <v>鉄筋コンクリート造</v>
      </c>
      <c r="L952" s="7" t="str">
        <f>"H17.03.31"</f>
        <v>H17.03.31</v>
      </c>
      <c r="M952" s="7">
        <v>34.020000000000003</v>
      </c>
      <c r="N952" s="7">
        <v>11012000</v>
      </c>
      <c r="O952" s="7">
        <v>3964464</v>
      </c>
      <c r="P952" s="7">
        <v>0</v>
      </c>
      <c r="Q952" s="7" t="str">
        <f t="shared" si="325"/>
        <v>都市整備部</v>
      </c>
      <c r="R952" s="7" t="str">
        <f t="shared" si="327"/>
        <v>枚方土木事務所</v>
      </c>
    </row>
    <row r="953" spans="1:18" s="1" customFormat="1" x14ac:dyDescent="0.45">
      <c r="A953" s="7" t="str">
        <f t="shared" si="328"/>
        <v>08203000163</v>
      </c>
      <c r="B953" s="7" t="str">
        <f t="shared" si="329"/>
        <v>寝屋川公園</v>
      </c>
      <c r="C953" s="7" t="str">
        <f t="shared" si="332"/>
        <v>行政財産</v>
      </c>
      <c r="D953" s="7" t="str">
        <f t="shared" si="330"/>
        <v>公園</v>
      </c>
      <c r="E953" s="7" t="str">
        <f t="shared" si="331"/>
        <v>大阪府寝屋川市寝屋川公園</v>
      </c>
      <c r="F953" s="7"/>
      <c r="G953" s="7" t="str">
        <f t="shared" si="326"/>
        <v>事業用資産</v>
      </c>
      <c r="H953" s="7" t="str">
        <f t="shared" si="319"/>
        <v>棚卸以外</v>
      </c>
      <c r="I953" s="7">
        <v>27</v>
      </c>
      <c r="J953" s="7" t="str">
        <f>"中央広場休憩所"</f>
        <v>中央広場休憩所</v>
      </c>
      <c r="K953" s="7" t="str">
        <f>"木造"</f>
        <v>木造</v>
      </c>
      <c r="L953" s="7" t="str">
        <f>"H12.03.21"</f>
        <v>H12.03.21</v>
      </c>
      <c r="M953" s="7">
        <v>9.41</v>
      </c>
      <c r="N953" s="7">
        <v>3201000</v>
      </c>
      <c r="O953" s="7">
        <v>3067740</v>
      </c>
      <c r="P953" s="7">
        <v>0</v>
      </c>
      <c r="Q953" s="7" t="str">
        <f t="shared" si="325"/>
        <v>都市整備部</v>
      </c>
      <c r="R953" s="7" t="str">
        <f t="shared" si="327"/>
        <v>枚方土木事務所</v>
      </c>
    </row>
    <row r="954" spans="1:18" s="1" customFormat="1" x14ac:dyDescent="0.45">
      <c r="A954" s="7" t="str">
        <f t="shared" si="328"/>
        <v>08203000163</v>
      </c>
      <c r="B954" s="7" t="str">
        <f t="shared" si="329"/>
        <v>寝屋川公園</v>
      </c>
      <c r="C954" s="7" t="str">
        <f t="shared" si="332"/>
        <v>行政財産</v>
      </c>
      <c r="D954" s="7" t="str">
        <f t="shared" si="330"/>
        <v>公園</v>
      </c>
      <c r="E954" s="7" t="str">
        <f t="shared" si="331"/>
        <v>大阪府寝屋川市寝屋川公園</v>
      </c>
      <c r="F954" s="7"/>
      <c r="G954" s="7" t="str">
        <f t="shared" si="326"/>
        <v>事業用資産</v>
      </c>
      <c r="H954" s="7" t="str">
        <f t="shared" si="319"/>
        <v>棚卸以外</v>
      </c>
      <c r="I954" s="7">
        <v>28</v>
      </c>
      <c r="J954" s="7" t="str">
        <f>"南地区便所"</f>
        <v>南地区便所</v>
      </c>
      <c r="K954" s="7" t="str">
        <f t="shared" ref="K954:K962" si="333">"鉄筋コンクリート造"</f>
        <v>鉄筋コンクリート造</v>
      </c>
      <c r="L954" s="7" t="str">
        <f>"H24.04.01"</f>
        <v>H24.04.01</v>
      </c>
      <c r="M954" s="7">
        <v>54.64</v>
      </c>
      <c r="N954" s="7">
        <v>33466650</v>
      </c>
      <c r="O954" s="7">
        <v>9614483</v>
      </c>
      <c r="P954" s="7">
        <v>0</v>
      </c>
      <c r="Q954" s="7" t="str">
        <f t="shared" si="325"/>
        <v>都市整備部</v>
      </c>
      <c r="R954" s="7" t="str">
        <f t="shared" si="327"/>
        <v>枚方土木事務所</v>
      </c>
    </row>
    <row r="955" spans="1:18" s="1" customFormat="1" x14ac:dyDescent="0.45">
      <c r="A955" s="7" t="str">
        <f t="shared" ref="A955:A968" si="334">"08203000164"</f>
        <v>08203000164</v>
      </c>
      <c r="B955" s="7" t="str">
        <f t="shared" ref="B955:B968" si="335">"深北緑地"</f>
        <v>深北緑地</v>
      </c>
      <c r="C955" s="7" t="str">
        <f t="shared" si="332"/>
        <v>行政財産</v>
      </c>
      <c r="D955" s="7" t="str">
        <f t="shared" si="330"/>
        <v>公園</v>
      </c>
      <c r="E955" s="7" t="str">
        <f t="shared" ref="E955:E968" si="336">"大阪府大東市深野北４丁目"</f>
        <v>大阪府大東市深野北４丁目</v>
      </c>
      <c r="F955" s="7"/>
      <c r="G955" s="7" t="str">
        <f t="shared" si="326"/>
        <v>事業用資産</v>
      </c>
      <c r="H955" s="7" t="str">
        <f t="shared" si="319"/>
        <v>棚卸以外</v>
      </c>
      <c r="I955" s="7">
        <v>1</v>
      </c>
      <c r="J955" s="7" t="str">
        <f>"公園管理事務所"</f>
        <v>公園管理事務所</v>
      </c>
      <c r="K955" s="7" t="str">
        <f t="shared" si="333"/>
        <v>鉄筋コンクリート造</v>
      </c>
      <c r="L955" s="7" t="str">
        <f>"H03.10.29"</f>
        <v>H03.10.29</v>
      </c>
      <c r="M955" s="7">
        <v>529.04</v>
      </c>
      <c r="N955" s="7">
        <v>289641000</v>
      </c>
      <c r="O955" s="7">
        <v>181991095</v>
      </c>
      <c r="P955" s="7">
        <v>0</v>
      </c>
      <c r="Q955" s="7" t="str">
        <f t="shared" si="325"/>
        <v>都市整備部</v>
      </c>
      <c r="R955" s="7" t="str">
        <f t="shared" si="327"/>
        <v>枚方土木事務所</v>
      </c>
    </row>
    <row r="956" spans="1:18" s="1" customFormat="1" x14ac:dyDescent="0.45">
      <c r="A956" s="7" t="str">
        <f t="shared" si="334"/>
        <v>08203000164</v>
      </c>
      <c r="B956" s="7" t="str">
        <f t="shared" si="335"/>
        <v>深北緑地</v>
      </c>
      <c r="C956" s="7" t="str">
        <f t="shared" si="332"/>
        <v>行政財産</v>
      </c>
      <c r="D956" s="7" t="str">
        <f t="shared" si="330"/>
        <v>公園</v>
      </c>
      <c r="E956" s="7" t="str">
        <f t="shared" si="336"/>
        <v>大阪府大東市深野北４丁目</v>
      </c>
      <c r="F956" s="7"/>
      <c r="G956" s="7" t="str">
        <f t="shared" si="326"/>
        <v>事業用資産</v>
      </c>
      <c r="H956" s="7" t="str">
        <f t="shared" si="319"/>
        <v>棚卸以外</v>
      </c>
      <c r="I956" s="7">
        <v>2</v>
      </c>
      <c r="J956" s="7" t="str">
        <f>"Ｂ１号便所"</f>
        <v>Ｂ１号便所</v>
      </c>
      <c r="K956" s="7" t="str">
        <f t="shared" si="333"/>
        <v>鉄筋コンクリート造</v>
      </c>
      <c r="L956" s="7" t="str">
        <f>"H03.10.21"</f>
        <v>H03.10.21</v>
      </c>
      <c r="M956" s="7">
        <v>40.729999999999997</v>
      </c>
      <c r="N956" s="7">
        <v>23738000</v>
      </c>
      <c r="O956" s="7">
        <v>19625866</v>
      </c>
      <c r="P956" s="7">
        <v>0</v>
      </c>
      <c r="Q956" s="7" t="str">
        <f t="shared" si="325"/>
        <v>都市整備部</v>
      </c>
      <c r="R956" s="7" t="str">
        <f t="shared" si="327"/>
        <v>枚方土木事務所</v>
      </c>
    </row>
    <row r="957" spans="1:18" s="1" customFormat="1" x14ac:dyDescent="0.45">
      <c r="A957" s="7" t="str">
        <f t="shared" si="334"/>
        <v>08203000164</v>
      </c>
      <c r="B957" s="7" t="str">
        <f t="shared" si="335"/>
        <v>深北緑地</v>
      </c>
      <c r="C957" s="7" t="str">
        <f t="shared" si="332"/>
        <v>行政財産</v>
      </c>
      <c r="D957" s="7" t="str">
        <f t="shared" si="330"/>
        <v>公園</v>
      </c>
      <c r="E957" s="7" t="str">
        <f t="shared" si="336"/>
        <v>大阪府大東市深野北４丁目</v>
      </c>
      <c r="F957" s="7"/>
      <c r="G957" s="7" t="str">
        <f t="shared" si="326"/>
        <v>事業用資産</v>
      </c>
      <c r="H957" s="7" t="str">
        <f t="shared" si="319"/>
        <v>棚卸以外</v>
      </c>
      <c r="I957" s="7">
        <v>3</v>
      </c>
      <c r="J957" s="7" t="str">
        <f>"Ｂ２号便所"</f>
        <v>Ｂ２号便所</v>
      </c>
      <c r="K957" s="7" t="str">
        <f t="shared" si="333"/>
        <v>鉄筋コンクリート造</v>
      </c>
      <c r="L957" s="7" t="str">
        <f>"H03.11.06"</f>
        <v>H03.11.06</v>
      </c>
      <c r="M957" s="7">
        <v>81.459999999999994</v>
      </c>
      <c r="N957" s="7">
        <v>40568110</v>
      </c>
      <c r="O957" s="7">
        <v>22295196</v>
      </c>
      <c r="P957" s="7">
        <v>0</v>
      </c>
      <c r="Q957" s="7" t="str">
        <f t="shared" si="325"/>
        <v>都市整備部</v>
      </c>
      <c r="R957" s="7" t="str">
        <f t="shared" si="327"/>
        <v>枚方土木事務所</v>
      </c>
    </row>
    <row r="958" spans="1:18" s="1" customFormat="1" x14ac:dyDescent="0.45">
      <c r="A958" s="7" t="str">
        <f t="shared" si="334"/>
        <v>08203000164</v>
      </c>
      <c r="B958" s="7" t="str">
        <f t="shared" si="335"/>
        <v>深北緑地</v>
      </c>
      <c r="C958" s="7" t="str">
        <f t="shared" si="332"/>
        <v>行政財産</v>
      </c>
      <c r="D958" s="7" t="str">
        <f t="shared" si="330"/>
        <v>公園</v>
      </c>
      <c r="E958" s="7" t="str">
        <f t="shared" si="336"/>
        <v>大阪府大東市深野北４丁目</v>
      </c>
      <c r="F958" s="7"/>
      <c r="G958" s="7" t="str">
        <f t="shared" si="326"/>
        <v>事業用資産</v>
      </c>
      <c r="H958" s="7" t="str">
        <f t="shared" si="319"/>
        <v>棚卸以外</v>
      </c>
      <c r="I958" s="7">
        <v>6</v>
      </c>
      <c r="J958" s="7" t="str">
        <f>"Ｃ１号便所"</f>
        <v>Ｃ１号便所</v>
      </c>
      <c r="K958" s="7" t="str">
        <f t="shared" si="333"/>
        <v>鉄筋コンクリート造</v>
      </c>
      <c r="L958" s="7" t="str">
        <f>"H05.03.10"</f>
        <v>H05.03.10</v>
      </c>
      <c r="M958" s="7">
        <v>48.72</v>
      </c>
      <c r="N958" s="7">
        <v>45724825</v>
      </c>
      <c r="O958" s="7">
        <v>25261624</v>
      </c>
      <c r="P958" s="7">
        <v>0</v>
      </c>
      <c r="Q958" s="7" t="str">
        <f t="shared" si="325"/>
        <v>都市整備部</v>
      </c>
      <c r="R958" s="7" t="str">
        <f t="shared" si="327"/>
        <v>枚方土木事務所</v>
      </c>
    </row>
    <row r="959" spans="1:18" s="1" customFormat="1" x14ac:dyDescent="0.45">
      <c r="A959" s="7" t="str">
        <f t="shared" si="334"/>
        <v>08203000164</v>
      </c>
      <c r="B959" s="7" t="str">
        <f t="shared" si="335"/>
        <v>深北緑地</v>
      </c>
      <c r="C959" s="7" t="str">
        <f t="shared" si="332"/>
        <v>行政財産</v>
      </c>
      <c r="D959" s="7" t="str">
        <f t="shared" si="330"/>
        <v>公園</v>
      </c>
      <c r="E959" s="7" t="str">
        <f t="shared" si="336"/>
        <v>大阪府大東市深野北４丁目</v>
      </c>
      <c r="F959" s="7"/>
      <c r="G959" s="7" t="str">
        <f t="shared" si="326"/>
        <v>事業用資産</v>
      </c>
      <c r="H959" s="7" t="str">
        <f t="shared" si="319"/>
        <v>棚卸以外</v>
      </c>
      <c r="I959" s="7">
        <v>7</v>
      </c>
      <c r="J959" s="7" t="str">
        <f>"スポーツハウス"</f>
        <v>スポーツハウス</v>
      </c>
      <c r="K959" s="7" t="str">
        <f t="shared" si="333"/>
        <v>鉄筋コンクリート造</v>
      </c>
      <c r="L959" s="7" t="str">
        <f>"H05.12.08"</f>
        <v>H05.12.08</v>
      </c>
      <c r="M959" s="7">
        <v>229.65</v>
      </c>
      <c r="N959" s="7">
        <v>160435395</v>
      </c>
      <c r="O959" s="7">
        <v>80463497</v>
      </c>
      <c r="P959" s="7">
        <v>0</v>
      </c>
      <c r="Q959" s="7" t="str">
        <f t="shared" si="325"/>
        <v>都市整備部</v>
      </c>
      <c r="R959" s="7" t="str">
        <f t="shared" si="327"/>
        <v>枚方土木事務所</v>
      </c>
    </row>
    <row r="960" spans="1:18" s="1" customFormat="1" x14ac:dyDescent="0.45">
      <c r="A960" s="7" t="str">
        <f t="shared" si="334"/>
        <v>08203000164</v>
      </c>
      <c r="B960" s="7" t="str">
        <f t="shared" si="335"/>
        <v>深北緑地</v>
      </c>
      <c r="C960" s="7" t="str">
        <f t="shared" si="332"/>
        <v>行政財産</v>
      </c>
      <c r="D960" s="7" t="str">
        <f t="shared" si="330"/>
        <v>公園</v>
      </c>
      <c r="E960" s="7" t="str">
        <f t="shared" si="336"/>
        <v>大阪府大東市深野北４丁目</v>
      </c>
      <c r="F960" s="7"/>
      <c r="G960" s="7" t="str">
        <f t="shared" si="326"/>
        <v>事業用資産</v>
      </c>
      <c r="H960" s="7" t="str">
        <f t="shared" si="319"/>
        <v>棚卸以外</v>
      </c>
      <c r="I960" s="7">
        <v>8</v>
      </c>
      <c r="J960" s="7" t="str">
        <f>"Ｃ３号便所"</f>
        <v>Ｃ３号便所</v>
      </c>
      <c r="K960" s="7" t="str">
        <f t="shared" si="333"/>
        <v>鉄筋コンクリート造</v>
      </c>
      <c r="L960" s="7" t="str">
        <f>"H06.12.15"</f>
        <v>H06.12.15</v>
      </c>
      <c r="M960" s="7">
        <v>49.84</v>
      </c>
      <c r="N960" s="7">
        <v>48273276</v>
      </c>
      <c r="O960" s="7">
        <v>23375589</v>
      </c>
      <c r="P960" s="7">
        <v>0</v>
      </c>
      <c r="Q960" s="7" t="str">
        <f t="shared" si="325"/>
        <v>都市整備部</v>
      </c>
      <c r="R960" s="7" t="str">
        <f t="shared" si="327"/>
        <v>枚方土木事務所</v>
      </c>
    </row>
    <row r="961" spans="1:18" s="1" customFormat="1" x14ac:dyDescent="0.45">
      <c r="A961" s="7" t="str">
        <f t="shared" si="334"/>
        <v>08203000164</v>
      </c>
      <c r="B961" s="7" t="str">
        <f t="shared" si="335"/>
        <v>深北緑地</v>
      </c>
      <c r="C961" s="7" t="str">
        <f t="shared" si="332"/>
        <v>行政財産</v>
      </c>
      <c r="D961" s="7" t="str">
        <f t="shared" si="330"/>
        <v>公園</v>
      </c>
      <c r="E961" s="7" t="str">
        <f t="shared" si="336"/>
        <v>大阪府大東市深野北４丁目</v>
      </c>
      <c r="F961" s="7"/>
      <c r="G961" s="7" t="str">
        <f t="shared" si="326"/>
        <v>事業用資産</v>
      </c>
      <c r="H961" s="7" t="str">
        <f t="shared" si="319"/>
        <v>棚卸以外</v>
      </c>
      <c r="I961" s="7">
        <v>9</v>
      </c>
      <c r="J961" s="7" t="str">
        <f>"Ｂ３号便所"</f>
        <v>Ｂ３号便所</v>
      </c>
      <c r="K961" s="7" t="str">
        <f t="shared" si="333"/>
        <v>鉄筋コンクリート造</v>
      </c>
      <c r="L961" s="7" t="str">
        <f>"H08.08.06"</f>
        <v>H08.08.06</v>
      </c>
      <c r="M961" s="7">
        <v>41.87</v>
      </c>
      <c r="N961" s="7">
        <v>38371381</v>
      </c>
      <c r="O961" s="7">
        <v>16472869</v>
      </c>
      <c r="P961" s="7">
        <v>0</v>
      </c>
      <c r="Q961" s="7" t="str">
        <f t="shared" si="325"/>
        <v>都市整備部</v>
      </c>
      <c r="R961" s="7" t="str">
        <f t="shared" si="327"/>
        <v>枚方土木事務所</v>
      </c>
    </row>
    <row r="962" spans="1:18" s="1" customFormat="1" x14ac:dyDescent="0.45">
      <c r="A962" s="7" t="str">
        <f t="shared" si="334"/>
        <v>08203000164</v>
      </c>
      <c r="B962" s="7" t="str">
        <f t="shared" si="335"/>
        <v>深北緑地</v>
      </c>
      <c r="C962" s="7" t="str">
        <f t="shared" si="332"/>
        <v>行政財産</v>
      </c>
      <c r="D962" s="7" t="str">
        <f t="shared" si="330"/>
        <v>公園</v>
      </c>
      <c r="E962" s="7" t="str">
        <f t="shared" si="336"/>
        <v>大阪府大東市深野北４丁目</v>
      </c>
      <c r="F962" s="7"/>
      <c r="G962" s="7" t="str">
        <f t="shared" ref="G962:G972" si="337">"事業用資産"</f>
        <v>事業用資産</v>
      </c>
      <c r="H962" s="7" t="str">
        <f t="shared" si="319"/>
        <v>棚卸以外</v>
      </c>
      <c r="I962" s="7">
        <v>10</v>
      </c>
      <c r="J962" s="7" t="str">
        <f>"野球場器具倉庫"</f>
        <v>野球場器具倉庫</v>
      </c>
      <c r="K962" s="7" t="str">
        <f t="shared" si="333"/>
        <v>鉄筋コンクリート造</v>
      </c>
      <c r="L962" s="7" t="str">
        <f>"H11.03.26"</f>
        <v>H11.03.26</v>
      </c>
      <c r="M962" s="7">
        <v>12.5</v>
      </c>
      <c r="N962" s="7">
        <v>2634000</v>
      </c>
      <c r="O962" s="7">
        <v>1663776</v>
      </c>
      <c r="P962" s="7">
        <v>0</v>
      </c>
      <c r="Q962" s="7" t="str">
        <f t="shared" si="325"/>
        <v>都市整備部</v>
      </c>
      <c r="R962" s="7" t="str">
        <f t="shared" si="327"/>
        <v>枚方土木事務所</v>
      </c>
    </row>
    <row r="963" spans="1:18" s="1" customFormat="1" x14ac:dyDescent="0.45">
      <c r="A963" s="7" t="str">
        <f t="shared" si="334"/>
        <v>08203000164</v>
      </c>
      <c r="B963" s="7" t="str">
        <f t="shared" si="335"/>
        <v>深北緑地</v>
      </c>
      <c r="C963" s="7" t="str">
        <f t="shared" si="332"/>
        <v>行政財産</v>
      </c>
      <c r="D963" s="7" t="str">
        <f t="shared" si="330"/>
        <v>公園</v>
      </c>
      <c r="E963" s="7" t="str">
        <f t="shared" si="336"/>
        <v>大阪府大東市深野北４丁目</v>
      </c>
      <c r="F963" s="7"/>
      <c r="G963" s="7" t="str">
        <f t="shared" si="337"/>
        <v>事業用資産</v>
      </c>
      <c r="H963" s="7" t="str">
        <f t="shared" si="319"/>
        <v>棚卸以外</v>
      </c>
      <c r="I963" s="7">
        <v>11</v>
      </c>
      <c r="J963" s="7" t="str">
        <f>"ダックアウト（１塁側）"</f>
        <v>ダックアウト（１塁側）</v>
      </c>
      <c r="K963" s="7" t="str">
        <f>"鉄骨造"</f>
        <v>鉄骨造</v>
      </c>
      <c r="L963" s="7" t="str">
        <f>"H11.03.26"</f>
        <v>H11.03.26</v>
      </c>
      <c r="M963" s="7">
        <v>4.62</v>
      </c>
      <c r="N963" s="7">
        <v>2627000</v>
      </c>
      <c r="O963" s="7">
        <v>1659168</v>
      </c>
      <c r="P963" s="7">
        <v>0</v>
      </c>
      <c r="Q963" s="7" t="str">
        <f t="shared" si="325"/>
        <v>都市整備部</v>
      </c>
      <c r="R963" s="7" t="str">
        <f t="shared" si="327"/>
        <v>枚方土木事務所</v>
      </c>
    </row>
    <row r="964" spans="1:18" s="1" customFormat="1" x14ac:dyDescent="0.45">
      <c r="A964" s="7" t="str">
        <f t="shared" si="334"/>
        <v>08203000164</v>
      </c>
      <c r="B964" s="7" t="str">
        <f t="shared" si="335"/>
        <v>深北緑地</v>
      </c>
      <c r="C964" s="7" t="str">
        <f t="shared" si="332"/>
        <v>行政財産</v>
      </c>
      <c r="D964" s="7" t="str">
        <f t="shared" si="330"/>
        <v>公園</v>
      </c>
      <c r="E964" s="7" t="str">
        <f t="shared" si="336"/>
        <v>大阪府大東市深野北４丁目</v>
      </c>
      <c r="F964" s="7"/>
      <c r="G964" s="7" t="str">
        <f t="shared" si="337"/>
        <v>事業用資産</v>
      </c>
      <c r="H964" s="7" t="str">
        <f t="shared" ref="H964:H1027" si="338">"棚卸以外"</f>
        <v>棚卸以外</v>
      </c>
      <c r="I964" s="7">
        <v>12</v>
      </c>
      <c r="J964" s="7" t="str">
        <f>"ダックアウト（３塁側）"</f>
        <v>ダックアウト（３塁側）</v>
      </c>
      <c r="K964" s="7" t="str">
        <f>"鉄骨造"</f>
        <v>鉄骨造</v>
      </c>
      <c r="L964" s="7" t="str">
        <f>"H11.03.26"</f>
        <v>H11.03.26</v>
      </c>
      <c r="M964" s="7">
        <v>4.62</v>
      </c>
      <c r="N964" s="7">
        <v>2680000</v>
      </c>
      <c r="O964" s="7">
        <v>1692864</v>
      </c>
      <c r="P964" s="7">
        <v>0</v>
      </c>
      <c r="Q964" s="7" t="str">
        <f t="shared" si="325"/>
        <v>都市整備部</v>
      </c>
      <c r="R964" s="7" t="str">
        <f t="shared" si="327"/>
        <v>枚方土木事務所</v>
      </c>
    </row>
    <row r="965" spans="1:18" s="1" customFormat="1" x14ac:dyDescent="0.45">
      <c r="A965" s="7" t="str">
        <f t="shared" si="334"/>
        <v>08203000164</v>
      </c>
      <c r="B965" s="7" t="str">
        <f t="shared" si="335"/>
        <v>深北緑地</v>
      </c>
      <c r="C965" s="7" t="str">
        <f t="shared" si="332"/>
        <v>行政財産</v>
      </c>
      <c r="D965" s="7" t="str">
        <f t="shared" si="330"/>
        <v>公園</v>
      </c>
      <c r="E965" s="7" t="str">
        <f t="shared" si="336"/>
        <v>大阪府大東市深野北４丁目</v>
      </c>
      <c r="F965" s="7"/>
      <c r="G965" s="7" t="str">
        <f t="shared" si="337"/>
        <v>事業用資産</v>
      </c>
      <c r="H965" s="7" t="str">
        <f t="shared" si="338"/>
        <v>棚卸以外</v>
      </c>
      <c r="I965" s="7">
        <v>13</v>
      </c>
      <c r="J965" s="7" t="str">
        <f>"野球場真砂置場"</f>
        <v>野球場真砂置場</v>
      </c>
      <c r="K965" s="7" t="str">
        <f>"木造"</f>
        <v>木造</v>
      </c>
      <c r="L965" s="7" t="str">
        <f>"H11.03.26"</f>
        <v>H11.03.26</v>
      </c>
      <c r="M965" s="7">
        <v>15.6</v>
      </c>
      <c r="N965" s="7">
        <v>3200000</v>
      </c>
      <c r="O965" s="7">
        <v>3199999</v>
      </c>
      <c r="P965" s="7">
        <v>0</v>
      </c>
      <c r="Q965" s="7" t="str">
        <f t="shared" si="325"/>
        <v>都市整備部</v>
      </c>
      <c r="R965" s="7" t="str">
        <f t="shared" ref="R965:R985" si="339">"枚方土木事務所"</f>
        <v>枚方土木事務所</v>
      </c>
    </row>
    <row r="966" spans="1:18" s="1" customFormat="1" x14ac:dyDescent="0.45">
      <c r="A966" s="7" t="str">
        <f t="shared" si="334"/>
        <v>08203000164</v>
      </c>
      <c r="B966" s="7" t="str">
        <f t="shared" si="335"/>
        <v>深北緑地</v>
      </c>
      <c r="C966" s="7" t="str">
        <f t="shared" si="332"/>
        <v>行政財産</v>
      </c>
      <c r="D966" s="7" t="str">
        <f t="shared" si="330"/>
        <v>公園</v>
      </c>
      <c r="E966" s="7" t="str">
        <f t="shared" si="336"/>
        <v>大阪府大東市深野北４丁目</v>
      </c>
      <c r="F966" s="7"/>
      <c r="G966" s="7" t="str">
        <f t="shared" si="337"/>
        <v>事業用資産</v>
      </c>
      <c r="H966" s="7" t="str">
        <f t="shared" si="338"/>
        <v>棚卸以外</v>
      </c>
      <c r="I966" s="7">
        <v>14</v>
      </c>
      <c r="J966" s="7" t="str">
        <f>"Ｃ４号便所"</f>
        <v>Ｃ４号便所</v>
      </c>
      <c r="K966" s="7" t="str">
        <f>"鉄筋コンクリート造"</f>
        <v>鉄筋コンクリート造</v>
      </c>
      <c r="L966" s="7" t="str">
        <f>"H12.02.07"</f>
        <v>H12.02.07</v>
      </c>
      <c r="M966" s="7">
        <v>62.06</v>
      </c>
      <c r="N966" s="7">
        <v>62335527</v>
      </c>
      <c r="O966" s="7">
        <v>25672354</v>
      </c>
      <c r="P966" s="7">
        <v>0</v>
      </c>
      <c r="Q966" s="7" t="str">
        <f t="shared" si="325"/>
        <v>都市整備部</v>
      </c>
      <c r="R966" s="7" t="str">
        <f t="shared" si="339"/>
        <v>枚方土木事務所</v>
      </c>
    </row>
    <row r="967" spans="1:18" s="1" customFormat="1" x14ac:dyDescent="0.45">
      <c r="A967" s="7" t="str">
        <f t="shared" si="334"/>
        <v>08203000164</v>
      </c>
      <c r="B967" s="7" t="str">
        <f t="shared" si="335"/>
        <v>深北緑地</v>
      </c>
      <c r="C967" s="7" t="str">
        <f t="shared" si="332"/>
        <v>行政財産</v>
      </c>
      <c r="D967" s="7" t="str">
        <f t="shared" si="330"/>
        <v>公園</v>
      </c>
      <c r="E967" s="7" t="str">
        <f t="shared" si="336"/>
        <v>大阪府大東市深野北４丁目</v>
      </c>
      <c r="F967" s="7"/>
      <c r="G967" s="7" t="str">
        <f t="shared" si="337"/>
        <v>事業用資産</v>
      </c>
      <c r="H967" s="7" t="str">
        <f t="shared" si="338"/>
        <v>棚卸以外</v>
      </c>
      <c r="I967" s="7">
        <v>23</v>
      </c>
      <c r="J967" s="7" t="str">
        <f>"Ａ地区休憩所"</f>
        <v>Ａ地区休憩所</v>
      </c>
      <c r="K967" s="7" t="str">
        <f>"木造"</f>
        <v>木造</v>
      </c>
      <c r="L967" s="7" t="str">
        <f>"H18.03.29"</f>
        <v>H18.03.29</v>
      </c>
      <c r="M967" s="7">
        <v>42.5</v>
      </c>
      <c r="N967" s="7">
        <v>15121000</v>
      </c>
      <c r="O967" s="7">
        <v>10710816</v>
      </c>
      <c r="P967" s="7">
        <v>0</v>
      </c>
      <c r="Q967" s="7" t="str">
        <f t="shared" si="325"/>
        <v>都市整備部</v>
      </c>
      <c r="R967" s="7" t="str">
        <f t="shared" si="339"/>
        <v>枚方土木事務所</v>
      </c>
    </row>
    <row r="968" spans="1:18" s="1" customFormat="1" x14ac:dyDescent="0.45">
      <c r="A968" s="7" t="str">
        <f t="shared" si="334"/>
        <v>08203000164</v>
      </c>
      <c r="B968" s="7" t="str">
        <f t="shared" si="335"/>
        <v>深北緑地</v>
      </c>
      <c r="C968" s="7" t="str">
        <f t="shared" si="332"/>
        <v>行政財産</v>
      </c>
      <c r="D968" s="7" t="str">
        <f t="shared" si="330"/>
        <v>公園</v>
      </c>
      <c r="E968" s="7" t="str">
        <f t="shared" si="336"/>
        <v>大阪府大東市深野北４丁目</v>
      </c>
      <c r="F968" s="7"/>
      <c r="G968" s="7" t="str">
        <f t="shared" si="337"/>
        <v>事業用資産</v>
      </c>
      <c r="H968" s="7" t="str">
        <f t="shared" si="338"/>
        <v>棚卸以外</v>
      </c>
      <c r="I968" s="7">
        <v>24</v>
      </c>
      <c r="J968" s="7" t="str">
        <f>"管理機械倉庫"</f>
        <v>管理機械倉庫</v>
      </c>
      <c r="K968" s="7" t="str">
        <f>"鉄筋コンクリート造"</f>
        <v>鉄筋コンクリート造</v>
      </c>
      <c r="L968" s="7" t="str">
        <f>"S25.01.01"</f>
        <v>S25.01.01</v>
      </c>
      <c r="M968" s="7">
        <v>63.24</v>
      </c>
      <c r="N968" s="7">
        <v>19381000</v>
      </c>
      <c r="O968" s="7">
        <v>11730828</v>
      </c>
      <c r="P968" s="7">
        <v>0</v>
      </c>
      <c r="Q968" s="7" t="str">
        <f t="shared" si="325"/>
        <v>都市整備部</v>
      </c>
      <c r="R968" s="7" t="str">
        <f t="shared" si="339"/>
        <v>枚方土木事務所</v>
      </c>
    </row>
    <row r="969" spans="1:18" s="1" customFormat="1" x14ac:dyDescent="0.45">
      <c r="A969" s="7" t="str">
        <f>"08203001002"</f>
        <v>08203001002</v>
      </c>
      <c r="B969" s="7" t="str">
        <f>"水防倉庫（磯島水防倉庫）"</f>
        <v>水防倉庫（磯島水防倉庫）</v>
      </c>
      <c r="C969" s="7" t="str">
        <f t="shared" si="332"/>
        <v>行政財産</v>
      </c>
      <c r="D969" s="7" t="str">
        <f>"その他（行政機関）の施設"</f>
        <v>その他（行政機関）の施設</v>
      </c>
      <c r="E969" s="7" t="str">
        <f>"大阪府枚方市磯島茶屋町"</f>
        <v>大阪府枚方市磯島茶屋町</v>
      </c>
      <c r="F969" s="7"/>
      <c r="G969" s="7" t="str">
        <f t="shared" si="337"/>
        <v>事業用資産</v>
      </c>
      <c r="H969" s="7" t="str">
        <f t="shared" si="338"/>
        <v>棚卸以外</v>
      </c>
      <c r="I969" s="7">
        <v>8</v>
      </c>
      <c r="J969" s="7" t="str">
        <f>"磯島水防倉庫"</f>
        <v>磯島水防倉庫</v>
      </c>
      <c r="K969" s="7" t="str">
        <f>"土蔵造(簡易建物)"</f>
        <v>土蔵造(簡易建物)</v>
      </c>
      <c r="L969" s="7" t="str">
        <f>"H01.04.01"</f>
        <v>H01.04.01</v>
      </c>
      <c r="M969" s="7">
        <v>158.4</v>
      </c>
      <c r="N969" s="7">
        <v>2648000</v>
      </c>
      <c r="O969" s="7">
        <v>2647999</v>
      </c>
      <c r="P969" s="7">
        <v>0</v>
      </c>
      <c r="Q969" s="7" t="str">
        <f t="shared" si="325"/>
        <v>都市整備部</v>
      </c>
      <c r="R969" s="7" t="str">
        <f t="shared" si="339"/>
        <v>枚方土木事務所</v>
      </c>
    </row>
    <row r="970" spans="1:18" s="1" customFormat="1" x14ac:dyDescent="0.45">
      <c r="A970" s="7" t="str">
        <f>"08203001002"</f>
        <v>08203001002</v>
      </c>
      <c r="B970" s="7" t="str">
        <f>"水防倉庫（磯島水防倉庫）"</f>
        <v>水防倉庫（磯島水防倉庫）</v>
      </c>
      <c r="C970" s="7" t="str">
        <f t="shared" si="332"/>
        <v>行政財産</v>
      </c>
      <c r="D970" s="7" t="str">
        <f>"その他（行政機関）の施設"</f>
        <v>その他（行政機関）の施設</v>
      </c>
      <c r="E970" s="7" t="str">
        <f>"大阪府枚方市磯島茶屋町"</f>
        <v>大阪府枚方市磯島茶屋町</v>
      </c>
      <c r="F970" s="7"/>
      <c r="G970" s="7" t="str">
        <f t="shared" si="337"/>
        <v>事業用資産</v>
      </c>
      <c r="H970" s="7" t="str">
        <f t="shared" si="338"/>
        <v>棚卸以外</v>
      </c>
      <c r="I970" s="7">
        <v>9</v>
      </c>
      <c r="J970" s="7" t="str">
        <f>"磯島河川資材倉庫"</f>
        <v>磯島河川資材倉庫</v>
      </c>
      <c r="K970" s="7" t="str">
        <f>"土蔵造(簡易建物)"</f>
        <v>土蔵造(簡易建物)</v>
      </c>
      <c r="L970" s="7" t="str">
        <f>"H01.04.01"</f>
        <v>H01.04.01</v>
      </c>
      <c r="M970" s="7">
        <v>39.6</v>
      </c>
      <c r="N970" s="7">
        <v>711000</v>
      </c>
      <c r="O970" s="7">
        <v>710999</v>
      </c>
      <c r="P970" s="7">
        <v>0</v>
      </c>
      <c r="Q970" s="7" t="str">
        <f t="shared" si="325"/>
        <v>都市整備部</v>
      </c>
      <c r="R970" s="7" t="str">
        <f t="shared" si="339"/>
        <v>枚方土木事務所</v>
      </c>
    </row>
    <row r="971" spans="1:18" s="1" customFormat="1" x14ac:dyDescent="0.45">
      <c r="A971" s="7" t="str">
        <f>"08203001002"</f>
        <v>08203001002</v>
      </c>
      <c r="B971" s="7" t="str">
        <f>"水防倉庫（磯島水防倉庫）"</f>
        <v>水防倉庫（磯島水防倉庫）</v>
      </c>
      <c r="C971" s="7" t="str">
        <f t="shared" si="332"/>
        <v>行政財産</v>
      </c>
      <c r="D971" s="7" t="str">
        <f>"その他（行政機関）の施設"</f>
        <v>その他（行政機関）の施設</v>
      </c>
      <c r="E971" s="7" t="str">
        <f>"大阪府枚方市磯島茶屋町"</f>
        <v>大阪府枚方市磯島茶屋町</v>
      </c>
      <c r="F971" s="7"/>
      <c r="G971" s="7" t="str">
        <f t="shared" si="337"/>
        <v>事業用資産</v>
      </c>
      <c r="H971" s="7" t="str">
        <f t="shared" si="338"/>
        <v>棚卸以外</v>
      </c>
      <c r="I971" s="7">
        <v>10</v>
      </c>
      <c r="J971" s="7" t="str">
        <f>"磯島水防資材倉庫"</f>
        <v>磯島水防資材倉庫</v>
      </c>
      <c r="K971" s="7" t="str">
        <f>"土蔵造(簡易建物)"</f>
        <v>土蔵造(簡易建物)</v>
      </c>
      <c r="L971" s="7" t="str">
        <f>"H01.04.01"</f>
        <v>H01.04.01</v>
      </c>
      <c r="M971" s="7">
        <v>105.6</v>
      </c>
      <c r="N971" s="7">
        <v>1568000</v>
      </c>
      <c r="O971" s="7">
        <v>1567999</v>
      </c>
      <c r="P971" s="7">
        <v>0</v>
      </c>
      <c r="Q971" s="7" t="str">
        <f t="shared" si="325"/>
        <v>都市整備部</v>
      </c>
      <c r="R971" s="7" t="str">
        <f t="shared" si="339"/>
        <v>枚方土木事務所</v>
      </c>
    </row>
    <row r="972" spans="1:18" s="1" customFormat="1" x14ac:dyDescent="0.45">
      <c r="A972" s="7" t="str">
        <f>"08203001003"</f>
        <v>08203001003</v>
      </c>
      <c r="B972" s="7" t="str">
        <f>"水防倉庫"</f>
        <v>水防倉庫</v>
      </c>
      <c r="C972" s="7" t="str">
        <f t="shared" si="332"/>
        <v>行政財産</v>
      </c>
      <c r="D972" s="7" t="str">
        <f>"その他（行政機関）の施設"</f>
        <v>その他（行政機関）の施設</v>
      </c>
      <c r="E972" s="7" t="str">
        <f>"大阪府寝屋川市堀溝１丁目"</f>
        <v>大阪府寝屋川市堀溝１丁目</v>
      </c>
      <c r="F972" s="7"/>
      <c r="G972" s="7" t="str">
        <f t="shared" si="337"/>
        <v>事業用資産</v>
      </c>
      <c r="H972" s="7" t="str">
        <f t="shared" si="338"/>
        <v>棚卸以外</v>
      </c>
      <c r="I972" s="7">
        <v>2</v>
      </c>
      <c r="J972" s="7" t="str">
        <f>"水防資材倉庫"</f>
        <v>水防資材倉庫</v>
      </c>
      <c r="K972" s="7" t="str">
        <f>"土蔵造(簡易建物)"</f>
        <v>土蔵造(簡易建物)</v>
      </c>
      <c r="L972" s="7" t="str">
        <f>"S58.03.30"</f>
        <v>S58.03.30</v>
      </c>
      <c r="M972" s="7">
        <v>51.02</v>
      </c>
      <c r="N972" s="7">
        <v>906481</v>
      </c>
      <c r="O972" s="7">
        <v>906480</v>
      </c>
      <c r="P972" s="7">
        <v>0</v>
      </c>
      <c r="Q972" s="7" t="str">
        <f t="shared" si="325"/>
        <v>都市整備部</v>
      </c>
      <c r="R972" s="7" t="str">
        <f t="shared" si="339"/>
        <v>枚方土木事務所</v>
      </c>
    </row>
    <row r="973" spans="1:18" s="1" customFormat="1" x14ac:dyDescent="0.45">
      <c r="A973" s="7" t="str">
        <f>"08203001006"</f>
        <v>08203001006</v>
      </c>
      <c r="B973" s="7" t="str">
        <f>"太間排水機場"</f>
        <v>太間排水機場</v>
      </c>
      <c r="C973" s="7" t="str">
        <f t="shared" si="332"/>
        <v>行政財産</v>
      </c>
      <c r="D973" s="7" t="str">
        <f>"その他（公共用）の施設"</f>
        <v>その他（公共用）の施設</v>
      </c>
      <c r="E973" s="7" t="str">
        <f>"大阪府寝屋川市太間町"</f>
        <v>大阪府寝屋川市太間町</v>
      </c>
      <c r="F973" s="7"/>
      <c r="G973" s="7" t="str">
        <f>"インフラ資産"</f>
        <v>インフラ資産</v>
      </c>
      <c r="H973" s="7" t="str">
        <f t="shared" si="338"/>
        <v>棚卸以外</v>
      </c>
      <c r="I973" s="7">
        <v>1</v>
      </c>
      <c r="J973" s="7" t="str">
        <f>"本館"</f>
        <v>本館</v>
      </c>
      <c r="K973" s="7" t="str">
        <f>"鉄筋コンクリート造"</f>
        <v>鉄筋コンクリート造</v>
      </c>
      <c r="L973" s="7" t="str">
        <f>"H23.05.30"</f>
        <v>H23.05.30</v>
      </c>
      <c r="M973" s="7">
        <v>4279.45</v>
      </c>
      <c r="N973" s="7">
        <v>1860282400</v>
      </c>
      <c r="O973" s="7">
        <v>1565816866</v>
      </c>
      <c r="P973" s="7">
        <v>0</v>
      </c>
      <c r="Q973" s="7" t="str">
        <f t="shared" si="325"/>
        <v>都市整備部</v>
      </c>
      <c r="R973" s="7" t="str">
        <f t="shared" si="339"/>
        <v>枚方土木事務所</v>
      </c>
    </row>
    <row r="974" spans="1:18" s="1" customFormat="1" x14ac:dyDescent="0.45">
      <c r="A974" s="7" t="str">
        <f>"08203001006"</f>
        <v>08203001006</v>
      </c>
      <c r="B974" s="7" t="str">
        <f>"太間排水機場"</f>
        <v>太間排水機場</v>
      </c>
      <c r="C974" s="7" t="str">
        <f t="shared" si="332"/>
        <v>行政財産</v>
      </c>
      <c r="D974" s="7" t="str">
        <f>"その他（公共用）の施設"</f>
        <v>その他（公共用）の施設</v>
      </c>
      <c r="E974" s="7" t="str">
        <f>"大阪府寝屋川市太間町"</f>
        <v>大阪府寝屋川市太間町</v>
      </c>
      <c r="F974" s="7"/>
      <c r="G974" s="7" t="str">
        <f>"インフラ資産"</f>
        <v>インフラ資産</v>
      </c>
      <c r="H974" s="7" t="str">
        <f t="shared" si="338"/>
        <v>棚卸以外</v>
      </c>
      <c r="I974" s="7">
        <v>9</v>
      </c>
      <c r="J974" s="7" t="str">
        <f>"管理棟新館"</f>
        <v>管理棟新館</v>
      </c>
      <c r="K974" s="7" t="str">
        <f>"鉄骨造"</f>
        <v>鉄骨造</v>
      </c>
      <c r="L974" s="7" t="str">
        <f>"S55.05.25"</f>
        <v>S55.05.25</v>
      </c>
      <c r="M974" s="7">
        <v>1914.1</v>
      </c>
      <c r="N974" s="7">
        <v>493816400</v>
      </c>
      <c r="O974" s="7">
        <v>373971418</v>
      </c>
      <c r="P974" s="7">
        <v>0</v>
      </c>
      <c r="Q974" s="7" t="str">
        <f t="shared" si="325"/>
        <v>都市整備部</v>
      </c>
      <c r="R974" s="7" t="str">
        <f t="shared" si="339"/>
        <v>枚方土木事務所</v>
      </c>
    </row>
    <row r="975" spans="1:18" s="1" customFormat="1" ht="26.4" x14ac:dyDescent="0.45">
      <c r="A975" s="7" t="str">
        <f>"08203001006"</f>
        <v>08203001006</v>
      </c>
      <c r="B975" s="7" t="str">
        <f>"太間排水機場"</f>
        <v>太間排水機場</v>
      </c>
      <c r="C975" s="7" t="str">
        <f t="shared" si="332"/>
        <v>行政財産</v>
      </c>
      <c r="D975" s="7" t="str">
        <f>"その他（公共用）の施設"</f>
        <v>その他（公共用）の施設</v>
      </c>
      <c r="E975" s="7" t="str">
        <f>"大阪府寝屋川市太間町"</f>
        <v>大阪府寝屋川市太間町</v>
      </c>
      <c r="F975" s="7"/>
      <c r="G975" s="7" t="str">
        <f>"インフラ資産"</f>
        <v>インフラ資産</v>
      </c>
      <c r="H975" s="7" t="str">
        <f t="shared" si="338"/>
        <v>棚卸以外</v>
      </c>
      <c r="I975" s="7">
        <v>10</v>
      </c>
      <c r="J975" s="7" t="str">
        <f>"油倉庫"</f>
        <v>油倉庫</v>
      </c>
      <c r="K975" s="7" t="str">
        <f>"鉄骨鉄筋コンクリート造"</f>
        <v>鉄骨鉄筋コンクリート造</v>
      </c>
      <c r="L975" s="7" t="str">
        <f>"S55.05.25"</f>
        <v>S55.05.25</v>
      </c>
      <c r="M975" s="7">
        <v>40</v>
      </c>
      <c r="N975" s="7">
        <v>11639000</v>
      </c>
      <c r="O975" s="7">
        <v>8372200</v>
      </c>
      <c r="P975" s="7">
        <v>0</v>
      </c>
      <c r="Q975" s="7" t="str">
        <f t="shared" si="325"/>
        <v>都市整備部</v>
      </c>
      <c r="R975" s="7" t="str">
        <f t="shared" si="339"/>
        <v>枚方土木事務所</v>
      </c>
    </row>
    <row r="976" spans="1:18" s="1" customFormat="1" x14ac:dyDescent="0.45">
      <c r="A976" s="7" t="str">
        <f>"08203001006"</f>
        <v>08203001006</v>
      </c>
      <c r="B976" s="7" t="str">
        <f>"太間排水機場"</f>
        <v>太間排水機場</v>
      </c>
      <c r="C976" s="7" t="str">
        <f t="shared" si="332"/>
        <v>行政財産</v>
      </c>
      <c r="D976" s="7" t="str">
        <f>"その他（公共用）の施設"</f>
        <v>その他（公共用）の施設</v>
      </c>
      <c r="E976" s="7" t="str">
        <f>"大阪府寝屋川市太間町"</f>
        <v>大阪府寝屋川市太間町</v>
      </c>
      <c r="F976" s="7"/>
      <c r="G976" s="7" t="str">
        <f>"インフラ資産"</f>
        <v>インフラ資産</v>
      </c>
      <c r="H976" s="7" t="str">
        <f t="shared" si="338"/>
        <v>棚卸以外</v>
      </c>
      <c r="I976" s="7">
        <v>11</v>
      </c>
      <c r="J976" s="7" t="str">
        <f>"角落し倉庫"</f>
        <v>角落し倉庫</v>
      </c>
      <c r="K976" s="7" t="str">
        <f>"鉄骨造"</f>
        <v>鉄骨造</v>
      </c>
      <c r="L976" s="7" t="str">
        <f>"S55.05.25"</f>
        <v>S55.05.25</v>
      </c>
      <c r="M976" s="7">
        <v>255</v>
      </c>
      <c r="N976" s="7">
        <v>64864000</v>
      </c>
      <c r="O976" s="7">
        <v>54402192</v>
      </c>
      <c r="P976" s="7">
        <v>0</v>
      </c>
      <c r="Q976" s="7" t="str">
        <f t="shared" si="325"/>
        <v>都市整備部</v>
      </c>
      <c r="R976" s="7" t="str">
        <f t="shared" si="339"/>
        <v>枚方土木事務所</v>
      </c>
    </row>
    <row r="977" spans="1:18" s="1" customFormat="1" x14ac:dyDescent="0.45">
      <c r="A977" s="7" t="str">
        <f>"08203001008"</f>
        <v>08203001008</v>
      </c>
      <c r="B977" s="7" t="str">
        <f>"水防倉庫（権現川水防倉庫）"</f>
        <v>水防倉庫（権現川水防倉庫）</v>
      </c>
      <c r="C977" s="7" t="str">
        <f t="shared" si="332"/>
        <v>行政財産</v>
      </c>
      <c r="D977" s="7" t="str">
        <f>"その他（行政機関）の施設"</f>
        <v>その他（行政機関）の施設</v>
      </c>
      <c r="E977" s="7" t="str">
        <f>"大阪府大東市南津の辺町"</f>
        <v>大阪府大東市南津の辺町</v>
      </c>
      <c r="F977" s="7"/>
      <c r="G977" s="7" t="str">
        <f>"事業用資産"</f>
        <v>事業用資産</v>
      </c>
      <c r="H977" s="7" t="str">
        <f t="shared" si="338"/>
        <v>棚卸以外</v>
      </c>
      <c r="I977" s="7">
        <v>1</v>
      </c>
      <c r="J977" s="7" t="str">
        <f>"権現川水防倉庫"</f>
        <v>権現川水防倉庫</v>
      </c>
      <c r="K977" s="7" t="str">
        <f>"土蔵造(簡易建物)"</f>
        <v>土蔵造(簡易建物)</v>
      </c>
      <c r="L977" s="7" t="str">
        <f>"S61.03.27"</f>
        <v>S61.03.27</v>
      </c>
      <c r="M977" s="7">
        <v>34.020000000000003</v>
      </c>
      <c r="N977" s="7">
        <v>2250000</v>
      </c>
      <c r="O977" s="7">
        <v>2249999</v>
      </c>
      <c r="P977" s="7">
        <v>0</v>
      </c>
      <c r="Q977" s="7" t="str">
        <f t="shared" si="325"/>
        <v>都市整備部</v>
      </c>
      <c r="R977" s="7" t="str">
        <f t="shared" si="339"/>
        <v>枚方土木事務所</v>
      </c>
    </row>
    <row r="978" spans="1:18" s="1" customFormat="1" x14ac:dyDescent="0.45">
      <c r="A978" s="7" t="str">
        <f>"08203001010"</f>
        <v>08203001010</v>
      </c>
      <c r="B978" s="7" t="str">
        <f>"地すべり施設（枚方土木事務所管内）"</f>
        <v>地すべり施設（枚方土木事務所管内）</v>
      </c>
      <c r="C978" s="7" t="str">
        <f t="shared" si="332"/>
        <v>行政財産</v>
      </c>
      <c r="D978" s="7" t="str">
        <f>"その他（行政機関）の施設"</f>
        <v>その他（行政機関）の施設</v>
      </c>
      <c r="E978" s="7" t="str">
        <f>"大阪府枚方市大字杉"</f>
        <v>大阪府枚方市大字杉</v>
      </c>
      <c r="F978" s="7"/>
      <c r="G978" s="7" t="str">
        <f>"インフラ資産"</f>
        <v>インフラ資産</v>
      </c>
      <c r="H978" s="7" t="str">
        <f t="shared" si="338"/>
        <v>棚卸以外</v>
      </c>
      <c r="I978" s="7">
        <v>1</v>
      </c>
      <c r="J978" s="7" t="str">
        <f>"杉地すべり自動監視局"</f>
        <v>杉地すべり自動監視局</v>
      </c>
      <c r="K978" s="7" t="str">
        <f>"土蔵造(簡易建物)"</f>
        <v>土蔵造(簡易建物)</v>
      </c>
      <c r="L978" s="7" t="str">
        <f>"H13.07.31"</f>
        <v>H13.07.31</v>
      </c>
      <c r="M978" s="7">
        <v>3.42</v>
      </c>
      <c r="N978" s="7">
        <v>1987736</v>
      </c>
      <c r="O978" s="7">
        <v>1435720</v>
      </c>
      <c r="P978" s="7">
        <v>0</v>
      </c>
      <c r="Q978" s="7" t="str">
        <f t="shared" si="325"/>
        <v>都市整備部</v>
      </c>
      <c r="R978" s="7" t="str">
        <f t="shared" si="339"/>
        <v>枚方土木事務所</v>
      </c>
    </row>
    <row r="979" spans="1:18" s="1" customFormat="1" x14ac:dyDescent="0.45">
      <c r="A979" s="7" t="str">
        <f>"08203001023"</f>
        <v>08203001023</v>
      </c>
      <c r="B979" s="7" t="str">
        <f>"門真工区"</f>
        <v>門真工区</v>
      </c>
      <c r="C979" s="7" t="str">
        <f t="shared" si="332"/>
        <v>行政財産</v>
      </c>
      <c r="D979" s="7" t="str">
        <f>"その他（行政機関）の施設"</f>
        <v>その他（行政機関）の施設</v>
      </c>
      <c r="E979" s="7" t="str">
        <f>"大阪府寝屋川市堀溝１丁目"</f>
        <v>大阪府寝屋川市堀溝１丁目</v>
      </c>
      <c r="F979" s="7"/>
      <c r="G979" s="7" t="str">
        <f>"事業用資産"</f>
        <v>事業用資産</v>
      </c>
      <c r="H979" s="7" t="str">
        <f t="shared" si="338"/>
        <v>棚卸以外</v>
      </c>
      <c r="I979" s="7">
        <v>4</v>
      </c>
      <c r="J979" s="7" t="str">
        <f>"寝屋川出張所"</f>
        <v>寝屋川出張所</v>
      </c>
      <c r="K979" s="7" t="str">
        <f>"鉄骨造"</f>
        <v>鉄骨造</v>
      </c>
      <c r="L979" s="7" t="str">
        <f>"H09.03.25"</f>
        <v>H09.03.25</v>
      </c>
      <c r="M979" s="7">
        <v>400.81</v>
      </c>
      <c r="N979" s="7">
        <v>103055000</v>
      </c>
      <c r="O979" s="7">
        <v>70511376</v>
      </c>
      <c r="P979" s="7">
        <v>0</v>
      </c>
      <c r="Q979" s="7" t="str">
        <f t="shared" si="325"/>
        <v>都市整備部</v>
      </c>
      <c r="R979" s="7" t="str">
        <f t="shared" si="339"/>
        <v>枚方土木事務所</v>
      </c>
    </row>
    <row r="980" spans="1:18" s="1" customFormat="1" x14ac:dyDescent="0.45">
      <c r="A980" s="7" t="str">
        <f>"08203001023"</f>
        <v>08203001023</v>
      </c>
      <c r="B980" s="7" t="str">
        <f>"門真工区"</f>
        <v>門真工区</v>
      </c>
      <c r="C980" s="7" t="str">
        <f t="shared" si="332"/>
        <v>行政財産</v>
      </c>
      <c r="D980" s="7" t="str">
        <f>"その他（行政機関）の施設"</f>
        <v>その他（行政機関）の施設</v>
      </c>
      <c r="E980" s="7" t="str">
        <f>"大阪府寝屋川市堀溝１丁目"</f>
        <v>大阪府寝屋川市堀溝１丁目</v>
      </c>
      <c r="F980" s="7"/>
      <c r="G980" s="7" t="str">
        <f>"事業用資産"</f>
        <v>事業用資産</v>
      </c>
      <c r="H980" s="7" t="str">
        <f t="shared" si="338"/>
        <v>棚卸以外</v>
      </c>
      <c r="I980" s="7">
        <v>5</v>
      </c>
      <c r="J980" s="7" t="str">
        <f>"車庫２号"</f>
        <v>車庫２号</v>
      </c>
      <c r="K980" s="7" t="str">
        <f>"鉄骨造"</f>
        <v>鉄骨造</v>
      </c>
      <c r="L980" s="7" t="str">
        <f>"H09.03.25"</f>
        <v>H09.03.25</v>
      </c>
      <c r="M980" s="7">
        <v>15.4</v>
      </c>
      <c r="N980" s="7">
        <v>355000</v>
      </c>
      <c r="O980" s="7">
        <v>297960</v>
      </c>
      <c r="P980" s="7">
        <v>0</v>
      </c>
      <c r="Q980" s="7" t="str">
        <f t="shared" si="325"/>
        <v>都市整備部</v>
      </c>
      <c r="R980" s="7" t="str">
        <f t="shared" si="339"/>
        <v>枚方土木事務所</v>
      </c>
    </row>
    <row r="981" spans="1:18" s="1" customFormat="1" x14ac:dyDescent="0.45">
      <c r="A981" s="7" t="str">
        <f>"08203001023"</f>
        <v>08203001023</v>
      </c>
      <c r="B981" s="7" t="str">
        <f>"門真工区"</f>
        <v>門真工区</v>
      </c>
      <c r="C981" s="7" t="str">
        <f t="shared" si="332"/>
        <v>行政財産</v>
      </c>
      <c r="D981" s="7" t="str">
        <f>"その他（行政機関）の施設"</f>
        <v>その他（行政機関）の施設</v>
      </c>
      <c r="E981" s="7" t="str">
        <f>"大阪府寝屋川市堀溝１丁目"</f>
        <v>大阪府寝屋川市堀溝１丁目</v>
      </c>
      <c r="F981" s="7"/>
      <c r="G981" s="7" t="str">
        <f>"事業用資産"</f>
        <v>事業用資産</v>
      </c>
      <c r="H981" s="7" t="str">
        <f t="shared" si="338"/>
        <v>棚卸以外</v>
      </c>
      <c r="I981" s="7">
        <v>6</v>
      </c>
      <c r="J981" s="7" t="str">
        <f>"寝屋川出張所車庫"</f>
        <v>寝屋川出張所車庫</v>
      </c>
      <c r="K981" s="7" t="str">
        <f>"鉄骨造"</f>
        <v>鉄骨造</v>
      </c>
      <c r="L981" s="7" t="str">
        <f>"H09.08.29"</f>
        <v>H09.08.29</v>
      </c>
      <c r="M981" s="7">
        <v>105.88</v>
      </c>
      <c r="N981" s="7">
        <v>13896000</v>
      </c>
      <c r="O981" s="7">
        <v>11654760</v>
      </c>
      <c r="P981" s="7">
        <v>0</v>
      </c>
      <c r="Q981" s="7" t="str">
        <f t="shared" si="325"/>
        <v>都市整備部</v>
      </c>
      <c r="R981" s="7" t="str">
        <f t="shared" si="339"/>
        <v>枚方土木事務所</v>
      </c>
    </row>
    <row r="982" spans="1:18" s="1" customFormat="1" x14ac:dyDescent="0.45">
      <c r="A982" s="7" t="str">
        <f>"08203002022"</f>
        <v>08203002022</v>
      </c>
      <c r="B982" s="7" t="str">
        <f>"寝屋川分水施設"</f>
        <v>寝屋川分水施設</v>
      </c>
      <c r="C982" s="7" t="str">
        <f t="shared" si="332"/>
        <v>行政財産</v>
      </c>
      <c r="D982" s="7" t="str">
        <f>"その他"</f>
        <v>その他</v>
      </c>
      <c r="E982" s="7" t="str">
        <f>"大阪府寝屋川市桜木町"</f>
        <v>大阪府寝屋川市桜木町</v>
      </c>
      <c r="F982" s="7" t="str">
        <f>"523番地"</f>
        <v>523番地</v>
      </c>
      <c r="G982" s="7" t="str">
        <f>"インフラ資産"</f>
        <v>インフラ資産</v>
      </c>
      <c r="H982" s="7" t="str">
        <f t="shared" si="338"/>
        <v>棚卸以外</v>
      </c>
      <c r="I982" s="7">
        <v>2</v>
      </c>
      <c r="J982" s="7" t="str">
        <f>"電気室"</f>
        <v>電気室</v>
      </c>
      <c r="K982" s="7" t="str">
        <f>"鉄筋コンクリート造"</f>
        <v>鉄筋コンクリート造</v>
      </c>
      <c r="L982" s="7" t="str">
        <f>"S56.03.31"</f>
        <v>S56.03.31</v>
      </c>
      <c r="M982" s="7">
        <v>41</v>
      </c>
      <c r="N982" s="7">
        <v>19782477</v>
      </c>
      <c r="O982" s="7">
        <v>19782476</v>
      </c>
      <c r="P982" s="7">
        <v>0</v>
      </c>
      <c r="Q982" s="7" t="str">
        <f t="shared" si="325"/>
        <v>都市整備部</v>
      </c>
      <c r="R982" s="7" t="str">
        <f t="shared" si="339"/>
        <v>枚方土木事務所</v>
      </c>
    </row>
    <row r="983" spans="1:18" s="1" customFormat="1" x14ac:dyDescent="0.45">
      <c r="A983" s="7" t="str">
        <f>"08203002023"</f>
        <v>08203002023</v>
      </c>
      <c r="B983" s="7" t="str">
        <f>"打上川治水緑地"</f>
        <v>打上川治水緑地</v>
      </c>
      <c r="C983" s="7" t="str">
        <f t="shared" si="332"/>
        <v>行政財産</v>
      </c>
      <c r="D983" s="7" t="str">
        <f>"その他"</f>
        <v>その他</v>
      </c>
      <c r="E983" s="7" t="str">
        <f>"大阪府寝屋川市太秦桜が丘"</f>
        <v>大阪府寝屋川市太秦桜が丘</v>
      </c>
      <c r="F983" s="7"/>
      <c r="G983" s="7" t="str">
        <f>"インフラ資産"</f>
        <v>インフラ資産</v>
      </c>
      <c r="H983" s="7" t="str">
        <f t="shared" si="338"/>
        <v>棚卸以外</v>
      </c>
      <c r="I983" s="7">
        <v>3</v>
      </c>
      <c r="J983" s="7" t="str">
        <f>"電気室"</f>
        <v>電気室</v>
      </c>
      <c r="K983" s="7" t="str">
        <f>"鉄骨造"</f>
        <v>鉄骨造</v>
      </c>
      <c r="L983" s="7" t="str">
        <f>"H07.03.31"</f>
        <v>H07.03.31</v>
      </c>
      <c r="M983" s="7">
        <v>150</v>
      </c>
      <c r="N983" s="7">
        <v>87438682</v>
      </c>
      <c r="O983" s="7">
        <v>78977136</v>
      </c>
      <c r="P983" s="7">
        <v>0</v>
      </c>
      <c r="Q983" s="7" t="str">
        <f t="shared" si="325"/>
        <v>都市整備部</v>
      </c>
      <c r="R983" s="7" t="str">
        <f t="shared" si="339"/>
        <v>枚方土木事務所</v>
      </c>
    </row>
    <row r="984" spans="1:18" s="1" customFormat="1" x14ac:dyDescent="0.45">
      <c r="A984" s="7" t="str">
        <f>"08203003053"</f>
        <v>08203003053</v>
      </c>
      <c r="B984" s="7" t="str">
        <f>"大阪府北河内府民センター猫舎"</f>
        <v>大阪府北河内府民センター猫舎</v>
      </c>
      <c r="C984" s="7" t="str">
        <f t="shared" si="332"/>
        <v>行政財産</v>
      </c>
      <c r="D984" s="7" t="str">
        <f>"その他（行政機関）の施設"</f>
        <v>その他（行政機関）の施設</v>
      </c>
      <c r="E984" s="7" t="str">
        <f>"大阪府枚方市大垣内町２丁目"</f>
        <v>大阪府枚方市大垣内町２丁目</v>
      </c>
      <c r="F984" s="7"/>
      <c r="G984" s="7" t="str">
        <f t="shared" ref="G984:G1015" si="340">"事業用資産"</f>
        <v>事業用資産</v>
      </c>
      <c r="H984" s="7" t="str">
        <f t="shared" si="338"/>
        <v>棚卸以外</v>
      </c>
      <c r="I984" s="7">
        <v>1</v>
      </c>
      <c r="J984" s="7" t="str">
        <f>"北河内府民センター猫舎"</f>
        <v>北河内府民センター猫舎</v>
      </c>
      <c r="K984" s="7" t="str">
        <f>"コンクリートブロック造"</f>
        <v>コンクリートブロック造</v>
      </c>
      <c r="L984" s="7" t="str">
        <f>"S52.11.24"</f>
        <v>S52.11.24</v>
      </c>
      <c r="M984" s="7">
        <v>4.71</v>
      </c>
      <c r="N984" s="7">
        <v>924000</v>
      </c>
      <c r="O984" s="7">
        <v>923999</v>
      </c>
      <c r="P984" s="7">
        <v>0</v>
      </c>
      <c r="Q984" s="7" t="str">
        <f t="shared" si="325"/>
        <v>都市整備部</v>
      </c>
      <c r="R984" s="7" t="str">
        <f t="shared" si="339"/>
        <v>枚方土木事務所</v>
      </c>
    </row>
    <row r="985" spans="1:18" s="1" customFormat="1" ht="26.4" x14ac:dyDescent="0.45">
      <c r="A985" s="7" t="str">
        <f>"08203003147"</f>
        <v>08203003147</v>
      </c>
      <c r="B985" s="7" t="str">
        <f>"寝屋川公園"</f>
        <v>寝屋川公園</v>
      </c>
      <c r="C985" s="7" t="str">
        <f t="shared" si="332"/>
        <v>行政財産</v>
      </c>
      <c r="D985" s="7" t="str">
        <f>"その他"</f>
        <v>その他</v>
      </c>
      <c r="E985" s="7" t="str">
        <f>"大阪府寝屋川市"</f>
        <v>大阪府寝屋川市</v>
      </c>
      <c r="F985" s="7" t="str">
        <f>"寝屋川公園地内"</f>
        <v>寝屋川公園地内</v>
      </c>
      <c r="G985" s="7" t="str">
        <f t="shared" si="340"/>
        <v>事業用資産</v>
      </c>
      <c r="H985" s="7" t="str">
        <f t="shared" si="338"/>
        <v>棚卸以外</v>
      </c>
      <c r="I985" s="7">
        <v>1</v>
      </c>
      <c r="J985" s="7" t="str">
        <f>"南地区休憩所"</f>
        <v>南地区休憩所</v>
      </c>
      <c r="K985" s="7" t="str">
        <f>"鉄骨コンクリート造"</f>
        <v>鉄骨コンクリート造</v>
      </c>
      <c r="L985" s="7" t="str">
        <f>"R03.03.03"</f>
        <v>R03.03.03</v>
      </c>
      <c r="M985" s="7">
        <v>56.13</v>
      </c>
      <c r="N985" s="7">
        <v>27866574</v>
      </c>
      <c r="O985" s="7">
        <v>1466712</v>
      </c>
      <c r="P985" s="7">
        <v>0</v>
      </c>
      <c r="Q985" s="7" t="str">
        <f t="shared" si="325"/>
        <v>都市整備部</v>
      </c>
      <c r="R985" s="7" t="str">
        <f t="shared" si="339"/>
        <v>枚方土木事務所</v>
      </c>
    </row>
    <row r="986" spans="1:18" s="1" customFormat="1" x14ac:dyDescent="0.45">
      <c r="A986" s="7" t="str">
        <f>"08204000000"</f>
        <v>08204000000</v>
      </c>
      <c r="B986" s="7" t="str">
        <f>"水防倉庫（八尾土木事務所水防倉庫）"</f>
        <v>水防倉庫（八尾土木事務所水防倉庫）</v>
      </c>
      <c r="C986" s="7" t="str">
        <f t="shared" si="332"/>
        <v>行政財産</v>
      </c>
      <c r="D986" s="7" t="str">
        <f t="shared" ref="D986:D998" si="341">"その他（行政機関）の施設"</f>
        <v>その他（行政機関）の施設</v>
      </c>
      <c r="E986" s="7" t="str">
        <f>"大阪府東大阪市中石切町３丁目"</f>
        <v>大阪府東大阪市中石切町３丁目</v>
      </c>
      <c r="F986" s="7"/>
      <c r="G986" s="7" t="str">
        <f t="shared" si="340"/>
        <v>事業用資産</v>
      </c>
      <c r="H986" s="7" t="str">
        <f t="shared" si="338"/>
        <v>棚卸以外</v>
      </c>
      <c r="I986" s="7">
        <v>2</v>
      </c>
      <c r="J986" s="7" t="str">
        <f>"八尾土木水防倉庫２"</f>
        <v>八尾土木水防倉庫２</v>
      </c>
      <c r="K986" s="7" t="str">
        <f>"軽量鉄骨造"</f>
        <v>軽量鉄骨造</v>
      </c>
      <c r="L986" s="7" t="str">
        <f>"S25.01.01"</f>
        <v>S25.01.01</v>
      </c>
      <c r="M986" s="7">
        <v>130.6</v>
      </c>
      <c r="N986" s="7">
        <v>433575</v>
      </c>
      <c r="O986" s="7">
        <v>433574</v>
      </c>
      <c r="P986" s="7">
        <v>0</v>
      </c>
      <c r="Q986" s="7" t="str">
        <f t="shared" si="325"/>
        <v>都市整備部</v>
      </c>
      <c r="R986" s="7" t="str">
        <f t="shared" ref="R986:R1017" si="342">"八尾土木事務所"</f>
        <v>八尾土木事務所</v>
      </c>
    </row>
    <row r="987" spans="1:18" s="1" customFormat="1" x14ac:dyDescent="0.45">
      <c r="A987" s="7" t="str">
        <f t="shared" ref="A987:A998" si="343">"08204000002"</f>
        <v>08204000002</v>
      </c>
      <c r="B987" s="7" t="str">
        <f t="shared" ref="B987:B998" si="344">"大阪府中河内府民センタービル"</f>
        <v>大阪府中河内府民センタービル</v>
      </c>
      <c r="C987" s="7" t="str">
        <f t="shared" si="332"/>
        <v>行政財産</v>
      </c>
      <c r="D987" s="7" t="str">
        <f t="shared" si="341"/>
        <v>その他（行政機関）の施設</v>
      </c>
      <c r="E987" s="7" t="str">
        <f t="shared" ref="E987:E998" si="345">"大阪府八尾市荘内町２丁目"</f>
        <v>大阪府八尾市荘内町２丁目</v>
      </c>
      <c r="F987" s="7"/>
      <c r="G987" s="7" t="str">
        <f t="shared" si="340"/>
        <v>事業用資産</v>
      </c>
      <c r="H987" s="7" t="str">
        <f t="shared" si="338"/>
        <v>棚卸以外</v>
      </c>
      <c r="I987" s="7">
        <v>4</v>
      </c>
      <c r="J987" s="7" t="str">
        <f>"本館"</f>
        <v>本館</v>
      </c>
      <c r="K987" s="7" t="str">
        <f>"鉄筋コンクリート造"</f>
        <v>鉄筋コンクリート造</v>
      </c>
      <c r="L987" s="7" t="str">
        <f>"S25.01.01"</f>
        <v>S25.01.01</v>
      </c>
      <c r="M987" s="7">
        <v>4835.01</v>
      </c>
      <c r="N987" s="7">
        <v>747300147</v>
      </c>
      <c r="O987" s="7">
        <v>353181361</v>
      </c>
      <c r="P987" s="7">
        <v>0</v>
      </c>
      <c r="Q987" s="7" t="str">
        <f t="shared" ref="Q987:Q1050" si="346">"都市整備部"</f>
        <v>都市整備部</v>
      </c>
      <c r="R987" s="7" t="str">
        <f t="shared" si="342"/>
        <v>八尾土木事務所</v>
      </c>
    </row>
    <row r="988" spans="1:18" s="1" customFormat="1" x14ac:dyDescent="0.45">
      <c r="A988" s="7" t="str">
        <f t="shared" si="343"/>
        <v>08204000002</v>
      </c>
      <c r="B988" s="7" t="str">
        <f t="shared" si="344"/>
        <v>大阪府中河内府民センタービル</v>
      </c>
      <c r="C988" s="7" t="str">
        <f t="shared" si="332"/>
        <v>行政財産</v>
      </c>
      <c r="D988" s="7" t="str">
        <f t="shared" si="341"/>
        <v>その他（行政機関）の施設</v>
      </c>
      <c r="E988" s="7" t="str">
        <f t="shared" si="345"/>
        <v>大阪府八尾市荘内町２丁目</v>
      </c>
      <c r="F988" s="7"/>
      <c r="G988" s="7" t="str">
        <f t="shared" si="340"/>
        <v>事業用資産</v>
      </c>
      <c r="H988" s="7" t="str">
        <f t="shared" si="338"/>
        <v>棚卸以外</v>
      </c>
      <c r="I988" s="7">
        <v>5</v>
      </c>
      <c r="J988" s="7" t="str">
        <f>"倉庫棟"</f>
        <v>倉庫棟</v>
      </c>
      <c r="K988" s="7" t="str">
        <f>"鉄筋コンクリート造"</f>
        <v>鉄筋コンクリート造</v>
      </c>
      <c r="L988" s="7" t="str">
        <f>"H18.07.18"</f>
        <v>H18.07.18</v>
      </c>
      <c r="M988" s="7">
        <v>1285.48</v>
      </c>
      <c r="N988" s="7">
        <v>14887848</v>
      </c>
      <c r="O988" s="7">
        <v>14887847</v>
      </c>
      <c r="P988" s="7">
        <v>0</v>
      </c>
      <c r="Q988" s="7" t="str">
        <f t="shared" si="346"/>
        <v>都市整備部</v>
      </c>
      <c r="R988" s="7" t="str">
        <f t="shared" si="342"/>
        <v>八尾土木事務所</v>
      </c>
    </row>
    <row r="989" spans="1:18" s="1" customFormat="1" x14ac:dyDescent="0.45">
      <c r="A989" s="7" t="str">
        <f t="shared" si="343"/>
        <v>08204000002</v>
      </c>
      <c r="B989" s="7" t="str">
        <f t="shared" si="344"/>
        <v>大阪府中河内府民センタービル</v>
      </c>
      <c r="C989" s="7" t="str">
        <f t="shared" si="332"/>
        <v>行政財産</v>
      </c>
      <c r="D989" s="7" t="str">
        <f t="shared" si="341"/>
        <v>その他（行政機関）の施設</v>
      </c>
      <c r="E989" s="7" t="str">
        <f t="shared" si="345"/>
        <v>大阪府八尾市荘内町２丁目</v>
      </c>
      <c r="F989" s="7"/>
      <c r="G989" s="7" t="str">
        <f t="shared" si="340"/>
        <v>事業用資産</v>
      </c>
      <c r="H989" s="7" t="str">
        <f t="shared" si="338"/>
        <v>棚卸以外</v>
      </c>
      <c r="I989" s="7">
        <v>6</v>
      </c>
      <c r="J989" s="7" t="str">
        <f>"自転車置場"</f>
        <v>自転車置場</v>
      </c>
      <c r="K989" s="7" t="str">
        <f>"鉄骨造"</f>
        <v>鉄骨造</v>
      </c>
      <c r="L989" s="7" t="str">
        <f>"S25.01.01"</f>
        <v>S25.01.01</v>
      </c>
      <c r="M989" s="7">
        <v>30</v>
      </c>
      <c r="N989" s="7">
        <v>105033</v>
      </c>
      <c r="O989" s="7">
        <v>105032</v>
      </c>
      <c r="P989" s="7">
        <v>0</v>
      </c>
      <c r="Q989" s="7" t="str">
        <f t="shared" si="346"/>
        <v>都市整備部</v>
      </c>
      <c r="R989" s="7" t="str">
        <f t="shared" si="342"/>
        <v>八尾土木事務所</v>
      </c>
    </row>
    <row r="990" spans="1:18" s="1" customFormat="1" x14ac:dyDescent="0.45">
      <c r="A990" s="7" t="str">
        <f t="shared" si="343"/>
        <v>08204000002</v>
      </c>
      <c r="B990" s="7" t="str">
        <f t="shared" si="344"/>
        <v>大阪府中河内府民センタービル</v>
      </c>
      <c r="C990" s="7" t="str">
        <f t="shared" si="332"/>
        <v>行政財産</v>
      </c>
      <c r="D990" s="7" t="str">
        <f t="shared" si="341"/>
        <v>その他（行政機関）の施設</v>
      </c>
      <c r="E990" s="7" t="str">
        <f t="shared" si="345"/>
        <v>大阪府八尾市荘内町２丁目</v>
      </c>
      <c r="F990" s="7"/>
      <c r="G990" s="7" t="str">
        <f t="shared" si="340"/>
        <v>事業用資産</v>
      </c>
      <c r="H990" s="7" t="str">
        <f t="shared" si="338"/>
        <v>棚卸以外</v>
      </c>
      <c r="I990" s="7">
        <v>8</v>
      </c>
      <c r="J990" s="7" t="str">
        <f>"資材置場"</f>
        <v>資材置場</v>
      </c>
      <c r="K990" s="7" t="str">
        <f>"軽量鉄骨造"</f>
        <v>軽量鉄骨造</v>
      </c>
      <c r="L990" s="7" t="str">
        <f>"H18.07.18"</f>
        <v>H18.07.18</v>
      </c>
      <c r="M990" s="7">
        <v>38</v>
      </c>
      <c r="N990" s="7">
        <v>966005</v>
      </c>
      <c r="O990" s="7">
        <v>671000</v>
      </c>
      <c r="P990" s="7">
        <v>0</v>
      </c>
      <c r="Q990" s="7" t="str">
        <f t="shared" si="346"/>
        <v>都市整備部</v>
      </c>
      <c r="R990" s="7" t="str">
        <f t="shared" si="342"/>
        <v>八尾土木事務所</v>
      </c>
    </row>
    <row r="991" spans="1:18" s="1" customFormat="1" x14ac:dyDescent="0.45">
      <c r="A991" s="7" t="str">
        <f t="shared" si="343"/>
        <v>08204000002</v>
      </c>
      <c r="B991" s="7" t="str">
        <f t="shared" si="344"/>
        <v>大阪府中河内府民センタービル</v>
      </c>
      <c r="C991" s="7" t="str">
        <f t="shared" si="332"/>
        <v>行政財産</v>
      </c>
      <c r="D991" s="7" t="str">
        <f t="shared" si="341"/>
        <v>その他（行政機関）の施設</v>
      </c>
      <c r="E991" s="7" t="str">
        <f t="shared" si="345"/>
        <v>大阪府八尾市荘内町２丁目</v>
      </c>
      <c r="F991" s="7"/>
      <c r="G991" s="7" t="str">
        <f t="shared" si="340"/>
        <v>事業用資産</v>
      </c>
      <c r="H991" s="7" t="str">
        <f t="shared" si="338"/>
        <v>棚卸以外</v>
      </c>
      <c r="I991" s="7">
        <v>9</v>
      </c>
      <c r="J991" s="7" t="str">
        <f>"資材置場２"</f>
        <v>資材置場２</v>
      </c>
      <c r="K991" s="7" t="str">
        <f>"軽量鉄骨造"</f>
        <v>軽量鉄骨造</v>
      </c>
      <c r="L991" s="7" t="str">
        <f>"H18.07.18"</f>
        <v>H18.07.18</v>
      </c>
      <c r="M991" s="7">
        <v>24</v>
      </c>
      <c r="N991" s="7">
        <v>676400</v>
      </c>
      <c r="O991" s="7">
        <v>469800</v>
      </c>
      <c r="P991" s="7">
        <v>0</v>
      </c>
      <c r="Q991" s="7" t="str">
        <f t="shared" si="346"/>
        <v>都市整備部</v>
      </c>
      <c r="R991" s="7" t="str">
        <f t="shared" si="342"/>
        <v>八尾土木事務所</v>
      </c>
    </row>
    <row r="992" spans="1:18" s="1" customFormat="1" x14ac:dyDescent="0.45">
      <c r="A992" s="7" t="str">
        <f t="shared" si="343"/>
        <v>08204000002</v>
      </c>
      <c r="B992" s="7" t="str">
        <f t="shared" si="344"/>
        <v>大阪府中河内府民センタービル</v>
      </c>
      <c r="C992" s="7" t="str">
        <f t="shared" si="332"/>
        <v>行政財産</v>
      </c>
      <c r="D992" s="7" t="str">
        <f t="shared" si="341"/>
        <v>その他（行政機関）の施設</v>
      </c>
      <c r="E992" s="7" t="str">
        <f t="shared" si="345"/>
        <v>大阪府八尾市荘内町２丁目</v>
      </c>
      <c r="F992" s="7"/>
      <c r="G992" s="7" t="str">
        <f t="shared" si="340"/>
        <v>事業用資産</v>
      </c>
      <c r="H992" s="7" t="str">
        <f t="shared" si="338"/>
        <v>棚卸以外</v>
      </c>
      <c r="I992" s="7">
        <v>11</v>
      </c>
      <c r="J992" s="7" t="str">
        <f>"大型車車庫"</f>
        <v>大型車車庫</v>
      </c>
      <c r="K992" s="7" t="str">
        <f>"鉄骨造"</f>
        <v>鉄骨造</v>
      </c>
      <c r="L992" s="7" t="str">
        <f t="shared" ref="L992:L998" si="347">"R04.07.29"</f>
        <v>R04.07.29</v>
      </c>
      <c r="M992" s="7">
        <v>176.93</v>
      </c>
      <c r="N992" s="7">
        <v>58785533</v>
      </c>
      <c r="O992" s="7">
        <v>1441792</v>
      </c>
      <c r="P992" s="7">
        <v>0</v>
      </c>
      <c r="Q992" s="7" t="str">
        <f t="shared" si="346"/>
        <v>都市整備部</v>
      </c>
      <c r="R992" s="7" t="str">
        <f t="shared" si="342"/>
        <v>八尾土木事務所</v>
      </c>
    </row>
    <row r="993" spans="1:18" s="1" customFormat="1" x14ac:dyDescent="0.45">
      <c r="A993" s="7" t="str">
        <f t="shared" si="343"/>
        <v>08204000002</v>
      </c>
      <c r="B993" s="7" t="str">
        <f t="shared" si="344"/>
        <v>大阪府中河内府民センタービル</v>
      </c>
      <c r="C993" s="7" t="str">
        <f t="shared" si="332"/>
        <v>行政財産</v>
      </c>
      <c r="D993" s="7" t="str">
        <f t="shared" si="341"/>
        <v>その他（行政機関）の施設</v>
      </c>
      <c r="E993" s="7" t="str">
        <f t="shared" si="345"/>
        <v>大阪府八尾市荘内町２丁目</v>
      </c>
      <c r="F993" s="7"/>
      <c r="G993" s="7" t="str">
        <f t="shared" si="340"/>
        <v>事業用資産</v>
      </c>
      <c r="H993" s="7" t="str">
        <f t="shared" si="338"/>
        <v>棚卸以外</v>
      </c>
      <c r="I993" s="7">
        <v>12</v>
      </c>
      <c r="J993" s="7" t="str">
        <f>"公用車用駐車場１"</f>
        <v>公用車用駐車場１</v>
      </c>
      <c r="K993" s="7" t="str">
        <f>"軽量鉄骨造"</f>
        <v>軽量鉄骨造</v>
      </c>
      <c r="L993" s="7" t="str">
        <f t="shared" si="347"/>
        <v>R04.07.29</v>
      </c>
      <c r="M993" s="7">
        <v>29.45</v>
      </c>
      <c r="N993" s="7">
        <v>2523351</v>
      </c>
      <c r="O993" s="7">
        <v>70096</v>
      </c>
      <c r="P993" s="7">
        <v>0</v>
      </c>
      <c r="Q993" s="7" t="str">
        <f t="shared" si="346"/>
        <v>都市整備部</v>
      </c>
      <c r="R993" s="7" t="str">
        <f t="shared" si="342"/>
        <v>八尾土木事務所</v>
      </c>
    </row>
    <row r="994" spans="1:18" s="1" customFormat="1" x14ac:dyDescent="0.45">
      <c r="A994" s="7" t="str">
        <f t="shared" si="343"/>
        <v>08204000002</v>
      </c>
      <c r="B994" s="7" t="str">
        <f t="shared" si="344"/>
        <v>大阪府中河内府民センタービル</v>
      </c>
      <c r="C994" s="7" t="str">
        <f t="shared" si="332"/>
        <v>行政財産</v>
      </c>
      <c r="D994" s="7" t="str">
        <f t="shared" si="341"/>
        <v>その他（行政機関）の施設</v>
      </c>
      <c r="E994" s="7" t="str">
        <f t="shared" si="345"/>
        <v>大阪府八尾市荘内町２丁目</v>
      </c>
      <c r="F994" s="7"/>
      <c r="G994" s="7" t="str">
        <f t="shared" si="340"/>
        <v>事業用資産</v>
      </c>
      <c r="H994" s="7" t="str">
        <f t="shared" si="338"/>
        <v>棚卸以外</v>
      </c>
      <c r="I994" s="7">
        <v>13</v>
      </c>
      <c r="J994" s="7" t="str">
        <f>"公用車用駐車場２"</f>
        <v>公用車用駐車場２</v>
      </c>
      <c r="K994" s="7" t="str">
        <f>"軽量鉄骨造"</f>
        <v>軽量鉄骨造</v>
      </c>
      <c r="L994" s="7" t="str">
        <f t="shared" si="347"/>
        <v>R04.07.29</v>
      </c>
      <c r="M994" s="7">
        <v>29.45</v>
      </c>
      <c r="N994" s="7">
        <v>2523351</v>
      </c>
      <c r="O994" s="7">
        <v>70096</v>
      </c>
      <c r="P994" s="7">
        <v>0</v>
      </c>
      <c r="Q994" s="7" t="str">
        <f t="shared" si="346"/>
        <v>都市整備部</v>
      </c>
      <c r="R994" s="7" t="str">
        <f t="shared" si="342"/>
        <v>八尾土木事務所</v>
      </c>
    </row>
    <row r="995" spans="1:18" s="1" customFormat="1" x14ac:dyDescent="0.45">
      <c r="A995" s="7" t="str">
        <f t="shared" si="343"/>
        <v>08204000002</v>
      </c>
      <c r="B995" s="7" t="str">
        <f t="shared" si="344"/>
        <v>大阪府中河内府民センタービル</v>
      </c>
      <c r="C995" s="7" t="str">
        <f t="shared" si="332"/>
        <v>行政財産</v>
      </c>
      <c r="D995" s="7" t="str">
        <f t="shared" si="341"/>
        <v>その他（行政機関）の施設</v>
      </c>
      <c r="E995" s="7" t="str">
        <f t="shared" si="345"/>
        <v>大阪府八尾市荘内町２丁目</v>
      </c>
      <c r="F995" s="7"/>
      <c r="G995" s="7" t="str">
        <f t="shared" si="340"/>
        <v>事業用資産</v>
      </c>
      <c r="H995" s="7" t="str">
        <f t="shared" si="338"/>
        <v>棚卸以外</v>
      </c>
      <c r="I995" s="7">
        <v>14</v>
      </c>
      <c r="J995" s="7" t="str">
        <f>"公用車用駐車場３"</f>
        <v>公用車用駐車場３</v>
      </c>
      <c r="K995" s="7" t="str">
        <f>"鉄骨造"</f>
        <v>鉄骨造</v>
      </c>
      <c r="L995" s="7" t="str">
        <f t="shared" si="347"/>
        <v>R04.07.29</v>
      </c>
      <c r="M995" s="7">
        <v>42.94</v>
      </c>
      <c r="N995" s="7">
        <v>3679209</v>
      </c>
      <c r="O995" s="7">
        <v>79128</v>
      </c>
      <c r="P995" s="7">
        <v>0</v>
      </c>
      <c r="Q995" s="7" t="str">
        <f t="shared" si="346"/>
        <v>都市整備部</v>
      </c>
      <c r="R995" s="7" t="str">
        <f t="shared" si="342"/>
        <v>八尾土木事務所</v>
      </c>
    </row>
    <row r="996" spans="1:18" s="1" customFormat="1" x14ac:dyDescent="0.45">
      <c r="A996" s="7" t="str">
        <f t="shared" si="343"/>
        <v>08204000002</v>
      </c>
      <c r="B996" s="7" t="str">
        <f t="shared" si="344"/>
        <v>大阪府中河内府民センタービル</v>
      </c>
      <c r="C996" s="7" t="str">
        <f t="shared" si="332"/>
        <v>行政財産</v>
      </c>
      <c r="D996" s="7" t="str">
        <f t="shared" si="341"/>
        <v>その他（行政機関）の施設</v>
      </c>
      <c r="E996" s="7" t="str">
        <f t="shared" si="345"/>
        <v>大阪府八尾市荘内町２丁目</v>
      </c>
      <c r="F996" s="7"/>
      <c r="G996" s="7" t="str">
        <f t="shared" si="340"/>
        <v>事業用資産</v>
      </c>
      <c r="H996" s="7" t="str">
        <f t="shared" si="338"/>
        <v>棚卸以外</v>
      </c>
      <c r="I996" s="7">
        <v>15</v>
      </c>
      <c r="J996" s="7" t="str">
        <f>"ゴミ置場"</f>
        <v>ゴミ置場</v>
      </c>
      <c r="K996" s="7" t="str">
        <f>"鉄筋コンクリート造"</f>
        <v>鉄筋コンクリート造</v>
      </c>
      <c r="L996" s="7" t="str">
        <f t="shared" si="347"/>
        <v>R04.07.29</v>
      </c>
      <c r="M996" s="7">
        <v>8.4</v>
      </c>
      <c r="N996" s="7">
        <v>2173162</v>
      </c>
      <c r="O996" s="7">
        <v>38128</v>
      </c>
      <c r="P996" s="7">
        <v>0</v>
      </c>
      <c r="Q996" s="7" t="str">
        <f t="shared" si="346"/>
        <v>都市整備部</v>
      </c>
      <c r="R996" s="7" t="str">
        <f t="shared" si="342"/>
        <v>八尾土木事務所</v>
      </c>
    </row>
    <row r="997" spans="1:18" s="1" customFormat="1" x14ac:dyDescent="0.45">
      <c r="A997" s="7" t="str">
        <f t="shared" si="343"/>
        <v>08204000002</v>
      </c>
      <c r="B997" s="7" t="str">
        <f t="shared" si="344"/>
        <v>大阪府中河内府民センタービル</v>
      </c>
      <c r="C997" s="7" t="str">
        <f t="shared" si="332"/>
        <v>行政財産</v>
      </c>
      <c r="D997" s="7" t="str">
        <f t="shared" si="341"/>
        <v>その他（行政機関）の施設</v>
      </c>
      <c r="E997" s="7" t="str">
        <f t="shared" si="345"/>
        <v>大阪府八尾市荘内町２丁目</v>
      </c>
      <c r="F997" s="7"/>
      <c r="G997" s="7" t="str">
        <f t="shared" si="340"/>
        <v>事業用資産</v>
      </c>
      <c r="H997" s="7" t="str">
        <f t="shared" si="338"/>
        <v>棚卸以外</v>
      </c>
      <c r="I997" s="7">
        <v>16</v>
      </c>
      <c r="J997" s="7" t="str">
        <f>"自転車置場３"</f>
        <v>自転車置場３</v>
      </c>
      <c r="K997" s="7" t="str">
        <f>"鉄骨造"</f>
        <v>鉄骨造</v>
      </c>
      <c r="L997" s="7" t="str">
        <f t="shared" si="347"/>
        <v>R04.07.29</v>
      </c>
      <c r="M997" s="7">
        <v>23.35</v>
      </c>
      <c r="N997" s="7">
        <v>1049587</v>
      </c>
      <c r="O997" s="7">
        <v>22576</v>
      </c>
      <c r="P997" s="7">
        <v>0</v>
      </c>
      <c r="Q997" s="7" t="str">
        <f t="shared" si="346"/>
        <v>都市整備部</v>
      </c>
      <c r="R997" s="7" t="str">
        <f t="shared" si="342"/>
        <v>八尾土木事務所</v>
      </c>
    </row>
    <row r="998" spans="1:18" s="1" customFormat="1" x14ac:dyDescent="0.45">
      <c r="A998" s="7" t="str">
        <f t="shared" si="343"/>
        <v>08204000002</v>
      </c>
      <c r="B998" s="7" t="str">
        <f t="shared" si="344"/>
        <v>大阪府中河内府民センタービル</v>
      </c>
      <c r="C998" s="7" t="str">
        <f t="shared" si="332"/>
        <v>行政財産</v>
      </c>
      <c r="D998" s="7" t="str">
        <f t="shared" si="341"/>
        <v>その他（行政機関）の施設</v>
      </c>
      <c r="E998" s="7" t="str">
        <f t="shared" si="345"/>
        <v>大阪府八尾市荘内町２丁目</v>
      </c>
      <c r="F998" s="7"/>
      <c r="G998" s="7" t="str">
        <f t="shared" si="340"/>
        <v>事業用資産</v>
      </c>
      <c r="H998" s="7" t="str">
        <f t="shared" si="338"/>
        <v>棚卸以外</v>
      </c>
      <c r="I998" s="7">
        <v>17</v>
      </c>
      <c r="J998" s="7" t="str">
        <f>"自転車置場４"</f>
        <v>自転車置場４</v>
      </c>
      <c r="K998" s="7" t="str">
        <f>"鉄骨造"</f>
        <v>鉄骨造</v>
      </c>
      <c r="L998" s="7" t="str">
        <f t="shared" si="347"/>
        <v>R04.07.29</v>
      </c>
      <c r="M998" s="7">
        <v>12.15</v>
      </c>
      <c r="N998" s="7">
        <v>578078</v>
      </c>
      <c r="O998" s="7">
        <v>12432</v>
      </c>
      <c r="P998" s="7">
        <v>0</v>
      </c>
      <c r="Q998" s="7" t="str">
        <f t="shared" si="346"/>
        <v>都市整備部</v>
      </c>
      <c r="R998" s="7" t="str">
        <f t="shared" si="342"/>
        <v>八尾土木事務所</v>
      </c>
    </row>
    <row r="999" spans="1:18" s="1" customFormat="1" x14ac:dyDescent="0.45">
      <c r="A999" s="7" t="str">
        <f t="shared" ref="A999:A1039" si="348">"08204000154"</f>
        <v>08204000154</v>
      </c>
      <c r="B999" s="7" t="str">
        <f t="shared" ref="B999:B1039" si="349">"久宝寺緑地（一般会計）"</f>
        <v>久宝寺緑地（一般会計）</v>
      </c>
      <c r="C999" s="7" t="str">
        <f t="shared" si="332"/>
        <v>行政財産</v>
      </c>
      <c r="D999" s="7" t="str">
        <f t="shared" ref="D999:D1030" si="350">"公園"</f>
        <v>公園</v>
      </c>
      <c r="E999" s="7" t="str">
        <f t="shared" ref="E999:E1039" si="351">"大阪府八尾市西久宝寺"</f>
        <v>大阪府八尾市西久宝寺</v>
      </c>
      <c r="F999" s="7"/>
      <c r="G999" s="7" t="str">
        <f t="shared" si="340"/>
        <v>事業用資産</v>
      </c>
      <c r="H999" s="7" t="str">
        <f t="shared" si="338"/>
        <v>棚卸以外</v>
      </c>
      <c r="I999" s="7">
        <v>3</v>
      </c>
      <c r="J999" s="7" t="str">
        <f>"陸上競技場スタンド"</f>
        <v>陸上競技場スタンド</v>
      </c>
      <c r="K999" s="7" t="str">
        <f t="shared" ref="K999:K1006" si="352">"鉄筋コンクリート造"</f>
        <v>鉄筋コンクリート造</v>
      </c>
      <c r="L999" s="7" t="str">
        <f>"S46.03.01"</f>
        <v>S46.03.01</v>
      </c>
      <c r="M999" s="7">
        <v>946.69</v>
      </c>
      <c r="N999" s="7">
        <v>147716000</v>
      </c>
      <c r="O999" s="7">
        <v>90346760</v>
      </c>
      <c r="P999" s="7">
        <v>0</v>
      </c>
      <c r="Q999" s="7" t="str">
        <f t="shared" si="346"/>
        <v>都市整備部</v>
      </c>
      <c r="R999" s="7" t="str">
        <f t="shared" si="342"/>
        <v>八尾土木事務所</v>
      </c>
    </row>
    <row r="1000" spans="1:18" s="1" customFormat="1" x14ac:dyDescent="0.45">
      <c r="A1000" s="7" t="str">
        <f t="shared" si="348"/>
        <v>08204000154</v>
      </c>
      <c r="B1000" s="7" t="str">
        <f t="shared" si="349"/>
        <v>久宝寺緑地（一般会計）</v>
      </c>
      <c r="C1000" s="7" t="str">
        <f t="shared" si="332"/>
        <v>行政財産</v>
      </c>
      <c r="D1000" s="7" t="str">
        <f t="shared" si="350"/>
        <v>公園</v>
      </c>
      <c r="E1000" s="7" t="str">
        <f t="shared" si="351"/>
        <v>大阪府八尾市西久宝寺</v>
      </c>
      <c r="F1000" s="7"/>
      <c r="G1000" s="7" t="str">
        <f t="shared" si="340"/>
        <v>事業用資産</v>
      </c>
      <c r="H1000" s="7" t="str">
        <f t="shared" si="338"/>
        <v>棚卸以外</v>
      </c>
      <c r="I1000" s="7">
        <v>4</v>
      </c>
      <c r="J1000" s="7" t="str">
        <f>"プール管理棟"</f>
        <v>プール管理棟</v>
      </c>
      <c r="K1000" s="7" t="str">
        <f t="shared" si="352"/>
        <v>鉄筋コンクリート造</v>
      </c>
      <c r="L1000" s="7" t="str">
        <f>"S46.06.30"</f>
        <v>S46.06.30</v>
      </c>
      <c r="M1000" s="7">
        <v>2925.79</v>
      </c>
      <c r="N1000" s="7">
        <v>288196436</v>
      </c>
      <c r="O1000" s="7">
        <v>255169987</v>
      </c>
      <c r="P1000" s="7">
        <v>0</v>
      </c>
      <c r="Q1000" s="7" t="str">
        <f t="shared" si="346"/>
        <v>都市整備部</v>
      </c>
      <c r="R1000" s="7" t="str">
        <f t="shared" si="342"/>
        <v>八尾土木事務所</v>
      </c>
    </row>
    <row r="1001" spans="1:18" s="1" customFormat="1" x14ac:dyDescent="0.45">
      <c r="A1001" s="7" t="str">
        <f t="shared" si="348"/>
        <v>08204000154</v>
      </c>
      <c r="B1001" s="7" t="str">
        <f t="shared" si="349"/>
        <v>久宝寺緑地（一般会計）</v>
      </c>
      <c r="C1001" s="7" t="str">
        <f t="shared" si="332"/>
        <v>行政財産</v>
      </c>
      <c r="D1001" s="7" t="str">
        <f t="shared" si="350"/>
        <v>公園</v>
      </c>
      <c r="E1001" s="7" t="str">
        <f t="shared" si="351"/>
        <v>大阪府八尾市西久宝寺</v>
      </c>
      <c r="F1001" s="7"/>
      <c r="G1001" s="7" t="str">
        <f t="shared" si="340"/>
        <v>事業用資産</v>
      </c>
      <c r="H1001" s="7" t="str">
        <f t="shared" si="338"/>
        <v>棚卸以外</v>
      </c>
      <c r="I1001" s="7">
        <v>5</v>
      </c>
      <c r="J1001" s="7" t="str">
        <f>"プール入口ゲート"</f>
        <v>プール入口ゲート</v>
      </c>
      <c r="K1001" s="7" t="str">
        <f t="shared" si="352"/>
        <v>鉄筋コンクリート造</v>
      </c>
      <c r="L1001" s="7" t="str">
        <f>"S46.06.30"</f>
        <v>S46.06.30</v>
      </c>
      <c r="M1001" s="7">
        <v>147.91999999999999</v>
      </c>
      <c r="N1001" s="7">
        <v>10026000</v>
      </c>
      <c r="O1001" s="7">
        <v>10025999</v>
      </c>
      <c r="P1001" s="7">
        <v>0</v>
      </c>
      <c r="Q1001" s="7" t="str">
        <f t="shared" si="346"/>
        <v>都市整備部</v>
      </c>
      <c r="R1001" s="7" t="str">
        <f t="shared" si="342"/>
        <v>八尾土木事務所</v>
      </c>
    </row>
    <row r="1002" spans="1:18" s="1" customFormat="1" x14ac:dyDescent="0.45">
      <c r="A1002" s="7" t="str">
        <f t="shared" si="348"/>
        <v>08204000154</v>
      </c>
      <c r="B1002" s="7" t="str">
        <f t="shared" si="349"/>
        <v>久宝寺緑地（一般会計）</v>
      </c>
      <c r="C1002" s="7" t="str">
        <f t="shared" si="332"/>
        <v>行政財産</v>
      </c>
      <c r="D1002" s="7" t="str">
        <f t="shared" si="350"/>
        <v>公園</v>
      </c>
      <c r="E1002" s="7" t="str">
        <f t="shared" si="351"/>
        <v>大阪府八尾市西久宝寺</v>
      </c>
      <c r="F1002" s="7"/>
      <c r="G1002" s="7" t="str">
        <f t="shared" si="340"/>
        <v>事業用資産</v>
      </c>
      <c r="H1002" s="7" t="str">
        <f t="shared" si="338"/>
        <v>棚卸以外</v>
      </c>
      <c r="I1002" s="7">
        <v>6</v>
      </c>
      <c r="J1002" s="7" t="str">
        <f>"プールサイド東便所"</f>
        <v>プールサイド東便所</v>
      </c>
      <c r="K1002" s="7" t="str">
        <f t="shared" si="352"/>
        <v>鉄筋コンクリート造</v>
      </c>
      <c r="L1002" s="7" t="str">
        <f>"H20.06.30"</f>
        <v>H20.06.30</v>
      </c>
      <c r="M1002" s="7">
        <v>54.56</v>
      </c>
      <c r="N1002" s="7">
        <v>22470000</v>
      </c>
      <c r="O1002" s="7">
        <v>8722029</v>
      </c>
      <c r="P1002" s="7">
        <v>0</v>
      </c>
      <c r="Q1002" s="7" t="str">
        <f t="shared" si="346"/>
        <v>都市整備部</v>
      </c>
      <c r="R1002" s="7" t="str">
        <f t="shared" si="342"/>
        <v>八尾土木事務所</v>
      </c>
    </row>
    <row r="1003" spans="1:18" s="1" customFormat="1" x14ac:dyDescent="0.45">
      <c r="A1003" s="7" t="str">
        <f t="shared" si="348"/>
        <v>08204000154</v>
      </c>
      <c r="B1003" s="7" t="str">
        <f t="shared" si="349"/>
        <v>久宝寺緑地（一般会計）</v>
      </c>
      <c r="C1003" s="7" t="str">
        <f t="shared" si="332"/>
        <v>行政財産</v>
      </c>
      <c r="D1003" s="7" t="str">
        <f t="shared" si="350"/>
        <v>公園</v>
      </c>
      <c r="E1003" s="7" t="str">
        <f t="shared" si="351"/>
        <v>大阪府八尾市西久宝寺</v>
      </c>
      <c r="F1003" s="7"/>
      <c r="G1003" s="7" t="str">
        <f t="shared" si="340"/>
        <v>事業用資産</v>
      </c>
      <c r="H1003" s="7" t="str">
        <f t="shared" si="338"/>
        <v>棚卸以外</v>
      </c>
      <c r="I1003" s="7">
        <v>7</v>
      </c>
      <c r="J1003" s="7" t="str">
        <f>"プールサイド北便所"</f>
        <v>プールサイド北便所</v>
      </c>
      <c r="K1003" s="7" t="str">
        <f t="shared" si="352"/>
        <v>鉄筋コンクリート造</v>
      </c>
      <c r="L1003" s="7" t="str">
        <f>"S46.06.30"</f>
        <v>S46.06.30</v>
      </c>
      <c r="M1003" s="7">
        <v>25</v>
      </c>
      <c r="N1003" s="7">
        <v>2548000</v>
      </c>
      <c r="O1003" s="7">
        <v>2272014</v>
      </c>
      <c r="P1003" s="7">
        <v>0</v>
      </c>
      <c r="Q1003" s="7" t="str">
        <f t="shared" si="346"/>
        <v>都市整備部</v>
      </c>
      <c r="R1003" s="7" t="str">
        <f t="shared" si="342"/>
        <v>八尾土木事務所</v>
      </c>
    </row>
    <row r="1004" spans="1:18" s="1" customFormat="1" x14ac:dyDescent="0.45">
      <c r="A1004" s="7" t="str">
        <f t="shared" si="348"/>
        <v>08204000154</v>
      </c>
      <c r="B1004" s="7" t="str">
        <f t="shared" si="349"/>
        <v>久宝寺緑地（一般会計）</v>
      </c>
      <c r="C1004" s="7" t="str">
        <f t="shared" si="332"/>
        <v>行政財産</v>
      </c>
      <c r="D1004" s="7" t="str">
        <f t="shared" si="350"/>
        <v>公園</v>
      </c>
      <c r="E1004" s="7" t="str">
        <f t="shared" si="351"/>
        <v>大阪府八尾市西久宝寺</v>
      </c>
      <c r="F1004" s="7"/>
      <c r="G1004" s="7" t="str">
        <f t="shared" si="340"/>
        <v>事業用資産</v>
      </c>
      <c r="H1004" s="7" t="str">
        <f t="shared" si="338"/>
        <v>棚卸以外</v>
      </c>
      <c r="I1004" s="7">
        <v>8</v>
      </c>
      <c r="J1004" s="7" t="str">
        <f>"修景広場休憩所"</f>
        <v>修景広場休憩所</v>
      </c>
      <c r="K1004" s="7" t="str">
        <f t="shared" si="352"/>
        <v>鉄筋コンクリート造</v>
      </c>
      <c r="L1004" s="7" t="str">
        <f>"S46.02.25"</f>
        <v>S46.02.25</v>
      </c>
      <c r="M1004" s="7">
        <v>42.1</v>
      </c>
      <c r="N1004" s="7">
        <v>8088060</v>
      </c>
      <c r="O1004" s="7">
        <v>2931815</v>
      </c>
      <c r="P1004" s="7">
        <v>0</v>
      </c>
      <c r="Q1004" s="7" t="str">
        <f t="shared" si="346"/>
        <v>都市整備部</v>
      </c>
      <c r="R1004" s="7" t="str">
        <f t="shared" si="342"/>
        <v>八尾土木事務所</v>
      </c>
    </row>
    <row r="1005" spans="1:18" s="1" customFormat="1" x14ac:dyDescent="0.45">
      <c r="A1005" s="7" t="str">
        <f t="shared" si="348"/>
        <v>08204000154</v>
      </c>
      <c r="B1005" s="7" t="str">
        <f t="shared" si="349"/>
        <v>久宝寺緑地（一般会計）</v>
      </c>
      <c r="C1005" s="7" t="str">
        <f t="shared" si="332"/>
        <v>行政財産</v>
      </c>
      <c r="D1005" s="7" t="str">
        <f t="shared" si="350"/>
        <v>公園</v>
      </c>
      <c r="E1005" s="7" t="str">
        <f t="shared" si="351"/>
        <v>大阪府八尾市西久宝寺</v>
      </c>
      <c r="F1005" s="7"/>
      <c r="G1005" s="7" t="str">
        <f t="shared" si="340"/>
        <v>事業用資産</v>
      </c>
      <c r="H1005" s="7" t="str">
        <f t="shared" si="338"/>
        <v>棚卸以外</v>
      </c>
      <c r="I1005" s="7">
        <v>9</v>
      </c>
      <c r="J1005" s="7" t="str">
        <f>"公園管理事務所"</f>
        <v>公園管理事務所</v>
      </c>
      <c r="K1005" s="7" t="str">
        <f t="shared" si="352"/>
        <v>鉄筋コンクリート造</v>
      </c>
      <c r="L1005" s="7" t="str">
        <f>"S47.03.20"</f>
        <v>S47.03.20</v>
      </c>
      <c r="M1005" s="7">
        <v>789.03</v>
      </c>
      <c r="N1005" s="7">
        <v>80781760</v>
      </c>
      <c r="O1005" s="7">
        <v>35032606</v>
      </c>
      <c r="P1005" s="7">
        <v>0</v>
      </c>
      <c r="Q1005" s="7" t="str">
        <f t="shared" si="346"/>
        <v>都市整備部</v>
      </c>
      <c r="R1005" s="7" t="str">
        <f t="shared" si="342"/>
        <v>八尾土木事務所</v>
      </c>
    </row>
    <row r="1006" spans="1:18" s="1" customFormat="1" x14ac:dyDescent="0.45">
      <c r="A1006" s="7" t="str">
        <f t="shared" si="348"/>
        <v>08204000154</v>
      </c>
      <c r="B1006" s="7" t="str">
        <f t="shared" si="349"/>
        <v>久宝寺緑地（一般会計）</v>
      </c>
      <c r="C1006" s="7" t="str">
        <f t="shared" si="332"/>
        <v>行政財産</v>
      </c>
      <c r="D1006" s="7" t="str">
        <f t="shared" si="350"/>
        <v>公園</v>
      </c>
      <c r="E1006" s="7" t="str">
        <f t="shared" si="351"/>
        <v>大阪府八尾市西久宝寺</v>
      </c>
      <c r="F1006" s="7"/>
      <c r="G1006" s="7" t="str">
        <f t="shared" si="340"/>
        <v>事業用資産</v>
      </c>
      <c r="H1006" s="7" t="str">
        <f t="shared" si="338"/>
        <v>棚卸以外</v>
      </c>
      <c r="I1006" s="7">
        <v>11</v>
      </c>
      <c r="J1006" s="7" t="str">
        <f>"野球場スタンド"</f>
        <v>野球場スタンド</v>
      </c>
      <c r="K1006" s="7" t="str">
        <f t="shared" si="352"/>
        <v>鉄筋コンクリート造</v>
      </c>
      <c r="L1006" s="7" t="str">
        <f>"S47.06.05"</f>
        <v>S47.06.05</v>
      </c>
      <c r="M1006" s="7">
        <v>1479.78</v>
      </c>
      <c r="N1006" s="7">
        <v>271862056</v>
      </c>
      <c r="O1006" s="7">
        <v>161512416</v>
      </c>
      <c r="P1006" s="7">
        <v>0</v>
      </c>
      <c r="Q1006" s="7" t="str">
        <f t="shared" si="346"/>
        <v>都市整備部</v>
      </c>
      <c r="R1006" s="7" t="str">
        <f t="shared" si="342"/>
        <v>八尾土木事務所</v>
      </c>
    </row>
    <row r="1007" spans="1:18" s="1" customFormat="1" x14ac:dyDescent="0.45">
      <c r="A1007" s="7" t="str">
        <f t="shared" si="348"/>
        <v>08204000154</v>
      </c>
      <c r="B1007" s="7" t="str">
        <f t="shared" si="349"/>
        <v>久宝寺緑地（一般会計）</v>
      </c>
      <c r="C1007" s="7" t="str">
        <f t="shared" si="332"/>
        <v>行政財産</v>
      </c>
      <c r="D1007" s="7" t="str">
        <f t="shared" si="350"/>
        <v>公園</v>
      </c>
      <c r="E1007" s="7" t="str">
        <f t="shared" si="351"/>
        <v>大阪府八尾市西久宝寺</v>
      </c>
      <c r="F1007" s="7"/>
      <c r="G1007" s="7" t="str">
        <f t="shared" si="340"/>
        <v>事業用資産</v>
      </c>
      <c r="H1007" s="7" t="str">
        <f t="shared" si="338"/>
        <v>棚卸以外</v>
      </c>
      <c r="I1007" s="7">
        <v>20</v>
      </c>
      <c r="J1007" s="7" t="str">
        <f>"ガレージ兼倉庫"</f>
        <v>ガレージ兼倉庫</v>
      </c>
      <c r="K1007" s="7" t="str">
        <f>"鉄骨コンクリート造"</f>
        <v>鉄骨コンクリート造</v>
      </c>
      <c r="L1007" s="7" t="str">
        <f>"S51.01.10"</f>
        <v>S51.01.10</v>
      </c>
      <c r="M1007" s="7">
        <v>52</v>
      </c>
      <c r="N1007" s="7">
        <v>3113000</v>
      </c>
      <c r="O1007" s="7">
        <v>3112999</v>
      </c>
      <c r="P1007" s="7">
        <v>0</v>
      </c>
      <c r="Q1007" s="7" t="str">
        <f t="shared" si="346"/>
        <v>都市整備部</v>
      </c>
      <c r="R1007" s="7" t="str">
        <f t="shared" si="342"/>
        <v>八尾土木事務所</v>
      </c>
    </row>
    <row r="1008" spans="1:18" s="1" customFormat="1" x14ac:dyDescent="0.45">
      <c r="A1008" s="7" t="str">
        <f t="shared" si="348"/>
        <v>08204000154</v>
      </c>
      <c r="B1008" s="7" t="str">
        <f t="shared" si="349"/>
        <v>久宝寺緑地（一般会計）</v>
      </c>
      <c r="C1008" s="7" t="str">
        <f t="shared" si="332"/>
        <v>行政財産</v>
      </c>
      <c r="D1008" s="7" t="str">
        <f t="shared" si="350"/>
        <v>公園</v>
      </c>
      <c r="E1008" s="7" t="str">
        <f t="shared" si="351"/>
        <v>大阪府八尾市西久宝寺</v>
      </c>
      <c r="F1008" s="7"/>
      <c r="G1008" s="7" t="str">
        <f t="shared" si="340"/>
        <v>事業用資産</v>
      </c>
      <c r="H1008" s="7" t="str">
        <f t="shared" si="338"/>
        <v>棚卸以外</v>
      </c>
      <c r="I1008" s="7">
        <v>21</v>
      </c>
      <c r="J1008" s="7" t="str">
        <f>"陸上競技場附属売店"</f>
        <v>陸上競技場附属売店</v>
      </c>
      <c r="K1008" s="7" t="str">
        <f t="shared" ref="K1008:K1013" si="353">"鉄骨造"</f>
        <v>鉄骨造</v>
      </c>
      <c r="L1008" s="7" t="str">
        <f>"S52.09.24"</f>
        <v>S52.09.24</v>
      </c>
      <c r="M1008" s="7">
        <v>10</v>
      </c>
      <c r="N1008" s="7">
        <v>1965000</v>
      </c>
      <c r="O1008" s="7">
        <v>1964999</v>
      </c>
      <c r="P1008" s="7">
        <v>0</v>
      </c>
      <c r="Q1008" s="7" t="str">
        <f t="shared" si="346"/>
        <v>都市整備部</v>
      </c>
      <c r="R1008" s="7" t="str">
        <f t="shared" si="342"/>
        <v>八尾土木事務所</v>
      </c>
    </row>
    <row r="1009" spans="1:18" s="1" customFormat="1" x14ac:dyDescent="0.45">
      <c r="A1009" s="7" t="str">
        <f t="shared" si="348"/>
        <v>08204000154</v>
      </c>
      <c r="B1009" s="7" t="str">
        <f t="shared" si="349"/>
        <v>久宝寺緑地（一般会計）</v>
      </c>
      <c r="C1009" s="7" t="str">
        <f t="shared" si="332"/>
        <v>行政財産</v>
      </c>
      <c r="D1009" s="7" t="str">
        <f t="shared" si="350"/>
        <v>公園</v>
      </c>
      <c r="E1009" s="7" t="str">
        <f t="shared" si="351"/>
        <v>大阪府八尾市西久宝寺</v>
      </c>
      <c r="F1009" s="7"/>
      <c r="G1009" s="7" t="str">
        <f t="shared" si="340"/>
        <v>事業用資産</v>
      </c>
      <c r="H1009" s="7" t="str">
        <f t="shared" si="338"/>
        <v>棚卸以外</v>
      </c>
      <c r="I1009" s="7">
        <v>22</v>
      </c>
      <c r="J1009" s="7" t="str">
        <f>"球技広場附属売店"</f>
        <v>球技広場附属売店</v>
      </c>
      <c r="K1009" s="7" t="str">
        <f t="shared" si="353"/>
        <v>鉄骨造</v>
      </c>
      <c r="L1009" s="7" t="str">
        <f>"S52.09.24"</f>
        <v>S52.09.24</v>
      </c>
      <c r="M1009" s="7">
        <v>10</v>
      </c>
      <c r="N1009" s="7">
        <v>1965000</v>
      </c>
      <c r="O1009" s="7">
        <v>1964999</v>
      </c>
      <c r="P1009" s="7">
        <v>0</v>
      </c>
      <c r="Q1009" s="7" t="str">
        <f t="shared" si="346"/>
        <v>都市整備部</v>
      </c>
      <c r="R1009" s="7" t="str">
        <f t="shared" si="342"/>
        <v>八尾土木事務所</v>
      </c>
    </row>
    <row r="1010" spans="1:18" s="1" customFormat="1" x14ac:dyDescent="0.45">
      <c r="A1010" s="7" t="str">
        <f t="shared" si="348"/>
        <v>08204000154</v>
      </c>
      <c r="B1010" s="7" t="str">
        <f t="shared" si="349"/>
        <v>久宝寺緑地（一般会計）</v>
      </c>
      <c r="C1010" s="7" t="str">
        <f t="shared" si="332"/>
        <v>行政財産</v>
      </c>
      <c r="D1010" s="7" t="str">
        <f t="shared" si="350"/>
        <v>公園</v>
      </c>
      <c r="E1010" s="7" t="str">
        <f t="shared" si="351"/>
        <v>大阪府八尾市西久宝寺</v>
      </c>
      <c r="F1010" s="7"/>
      <c r="G1010" s="7" t="str">
        <f t="shared" si="340"/>
        <v>事業用資産</v>
      </c>
      <c r="H1010" s="7" t="str">
        <f t="shared" si="338"/>
        <v>棚卸以外</v>
      </c>
      <c r="I1010" s="7">
        <v>23</v>
      </c>
      <c r="J1010" s="7" t="str">
        <f>"第２駐車場附属売店"</f>
        <v>第２駐車場附属売店</v>
      </c>
      <c r="K1010" s="7" t="str">
        <f t="shared" si="353"/>
        <v>鉄骨造</v>
      </c>
      <c r="L1010" s="7" t="str">
        <f>"S52.09.24"</f>
        <v>S52.09.24</v>
      </c>
      <c r="M1010" s="7">
        <v>10</v>
      </c>
      <c r="N1010" s="7">
        <v>2400000</v>
      </c>
      <c r="O1010" s="7">
        <v>2399999</v>
      </c>
      <c r="P1010" s="7">
        <v>0</v>
      </c>
      <c r="Q1010" s="7" t="str">
        <f t="shared" si="346"/>
        <v>都市整備部</v>
      </c>
      <c r="R1010" s="7" t="str">
        <f t="shared" si="342"/>
        <v>八尾土木事務所</v>
      </c>
    </row>
    <row r="1011" spans="1:18" s="1" customFormat="1" x14ac:dyDescent="0.45">
      <c r="A1011" s="7" t="str">
        <f t="shared" si="348"/>
        <v>08204000154</v>
      </c>
      <c r="B1011" s="7" t="str">
        <f t="shared" si="349"/>
        <v>久宝寺緑地（一般会計）</v>
      </c>
      <c r="C1011" s="7" t="str">
        <f t="shared" si="332"/>
        <v>行政財産</v>
      </c>
      <c r="D1011" s="7" t="str">
        <f t="shared" si="350"/>
        <v>公園</v>
      </c>
      <c r="E1011" s="7" t="str">
        <f t="shared" si="351"/>
        <v>大阪府八尾市西久宝寺</v>
      </c>
      <c r="F1011" s="7"/>
      <c r="G1011" s="7" t="str">
        <f t="shared" si="340"/>
        <v>事業用資産</v>
      </c>
      <c r="H1011" s="7" t="str">
        <f t="shared" si="338"/>
        <v>棚卸以外</v>
      </c>
      <c r="I1011" s="7">
        <v>25</v>
      </c>
      <c r="J1011" s="7" t="str">
        <f>"苗圃車庫"</f>
        <v>苗圃車庫</v>
      </c>
      <c r="K1011" s="7" t="str">
        <f t="shared" si="353"/>
        <v>鉄骨造</v>
      </c>
      <c r="L1011" s="7" t="str">
        <f>"S56.03.28"</f>
        <v>S56.03.28</v>
      </c>
      <c r="M1011" s="7">
        <v>70</v>
      </c>
      <c r="N1011" s="7">
        <v>6271000</v>
      </c>
      <c r="O1011" s="7">
        <v>6270999</v>
      </c>
      <c r="P1011" s="7">
        <v>0</v>
      </c>
      <c r="Q1011" s="7" t="str">
        <f t="shared" si="346"/>
        <v>都市整備部</v>
      </c>
      <c r="R1011" s="7" t="str">
        <f t="shared" si="342"/>
        <v>八尾土木事務所</v>
      </c>
    </row>
    <row r="1012" spans="1:18" s="1" customFormat="1" x14ac:dyDescent="0.45">
      <c r="A1012" s="7" t="str">
        <f t="shared" si="348"/>
        <v>08204000154</v>
      </c>
      <c r="B1012" s="7" t="str">
        <f t="shared" si="349"/>
        <v>久宝寺緑地（一般会計）</v>
      </c>
      <c r="C1012" s="7" t="str">
        <f t="shared" si="332"/>
        <v>行政財産</v>
      </c>
      <c r="D1012" s="7" t="str">
        <f t="shared" si="350"/>
        <v>公園</v>
      </c>
      <c r="E1012" s="7" t="str">
        <f t="shared" si="351"/>
        <v>大阪府八尾市西久宝寺</v>
      </c>
      <c r="F1012" s="7"/>
      <c r="G1012" s="7" t="str">
        <f t="shared" si="340"/>
        <v>事業用資産</v>
      </c>
      <c r="H1012" s="7" t="str">
        <f t="shared" si="338"/>
        <v>棚卸以外</v>
      </c>
      <c r="I1012" s="7">
        <v>26</v>
      </c>
      <c r="J1012" s="7" t="str">
        <f>"用具倉庫"</f>
        <v>用具倉庫</v>
      </c>
      <c r="K1012" s="7" t="str">
        <f t="shared" si="353"/>
        <v>鉄骨造</v>
      </c>
      <c r="L1012" s="7" t="str">
        <f>"S58.03.23"</f>
        <v>S58.03.23</v>
      </c>
      <c r="M1012" s="7">
        <v>7.46</v>
      </c>
      <c r="N1012" s="7">
        <v>453000</v>
      </c>
      <c r="O1012" s="7">
        <v>452999</v>
      </c>
      <c r="P1012" s="7">
        <v>0</v>
      </c>
      <c r="Q1012" s="7" t="str">
        <f t="shared" si="346"/>
        <v>都市整備部</v>
      </c>
      <c r="R1012" s="7" t="str">
        <f t="shared" si="342"/>
        <v>八尾土木事務所</v>
      </c>
    </row>
    <row r="1013" spans="1:18" s="1" customFormat="1" x14ac:dyDescent="0.45">
      <c r="A1013" s="7" t="str">
        <f t="shared" si="348"/>
        <v>08204000154</v>
      </c>
      <c r="B1013" s="7" t="str">
        <f t="shared" si="349"/>
        <v>久宝寺緑地（一般会計）</v>
      </c>
      <c r="C1013" s="7" t="str">
        <f t="shared" si="332"/>
        <v>行政財産</v>
      </c>
      <c r="D1013" s="7" t="str">
        <f t="shared" si="350"/>
        <v>公園</v>
      </c>
      <c r="E1013" s="7" t="str">
        <f t="shared" si="351"/>
        <v>大阪府八尾市西久宝寺</v>
      </c>
      <c r="F1013" s="7"/>
      <c r="G1013" s="7" t="str">
        <f t="shared" si="340"/>
        <v>事業用資産</v>
      </c>
      <c r="H1013" s="7" t="str">
        <f t="shared" si="338"/>
        <v>棚卸以外</v>
      </c>
      <c r="I1013" s="7">
        <v>27</v>
      </c>
      <c r="J1013" s="7" t="str">
        <f>"野球場スコアボ－ド"</f>
        <v>野球場スコアボ－ド</v>
      </c>
      <c r="K1013" s="7" t="str">
        <f t="shared" si="353"/>
        <v>鉄骨造</v>
      </c>
      <c r="L1013" s="7" t="str">
        <f>"S60.03.30"</f>
        <v>S60.03.30</v>
      </c>
      <c r="M1013" s="7">
        <v>44.08</v>
      </c>
      <c r="N1013" s="7">
        <v>271526500</v>
      </c>
      <c r="O1013" s="7">
        <v>82292351</v>
      </c>
      <c r="P1013" s="7">
        <v>0</v>
      </c>
      <c r="Q1013" s="7" t="str">
        <f t="shared" si="346"/>
        <v>都市整備部</v>
      </c>
      <c r="R1013" s="7" t="str">
        <f t="shared" si="342"/>
        <v>八尾土木事務所</v>
      </c>
    </row>
    <row r="1014" spans="1:18" s="1" customFormat="1" x14ac:dyDescent="0.45">
      <c r="A1014" s="7" t="str">
        <f t="shared" si="348"/>
        <v>08204000154</v>
      </c>
      <c r="B1014" s="7" t="str">
        <f t="shared" si="349"/>
        <v>久宝寺緑地（一般会計）</v>
      </c>
      <c r="C1014" s="7" t="str">
        <f t="shared" si="332"/>
        <v>行政財産</v>
      </c>
      <c r="D1014" s="7" t="str">
        <f t="shared" si="350"/>
        <v>公園</v>
      </c>
      <c r="E1014" s="7" t="str">
        <f t="shared" si="351"/>
        <v>大阪府八尾市西久宝寺</v>
      </c>
      <c r="F1014" s="7"/>
      <c r="G1014" s="7" t="str">
        <f t="shared" si="340"/>
        <v>事業用資産</v>
      </c>
      <c r="H1014" s="7" t="str">
        <f t="shared" si="338"/>
        <v>棚卸以外</v>
      </c>
      <c r="I1014" s="7">
        <v>28</v>
      </c>
      <c r="J1014" s="7" t="str">
        <f>"球技広場附属舎"</f>
        <v>球技広場附属舎</v>
      </c>
      <c r="K1014" s="7" t="str">
        <f>"鉄骨コンクリート造"</f>
        <v>鉄骨コンクリート造</v>
      </c>
      <c r="L1014" s="7" t="str">
        <f>"S61.03.03"</f>
        <v>S61.03.03</v>
      </c>
      <c r="M1014" s="7">
        <v>5.5</v>
      </c>
      <c r="N1014" s="7">
        <v>1050000</v>
      </c>
      <c r="O1014" s="7">
        <v>1049999</v>
      </c>
      <c r="P1014" s="7">
        <v>0</v>
      </c>
      <c r="Q1014" s="7" t="str">
        <f t="shared" si="346"/>
        <v>都市整備部</v>
      </c>
      <c r="R1014" s="7" t="str">
        <f t="shared" si="342"/>
        <v>八尾土木事務所</v>
      </c>
    </row>
    <row r="1015" spans="1:18" s="1" customFormat="1" x14ac:dyDescent="0.45">
      <c r="A1015" s="7" t="str">
        <f t="shared" si="348"/>
        <v>08204000154</v>
      </c>
      <c r="B1015" s="7" t="str">
        <f t="shared" si="349"/>
        <v>久宝寺緑地（一般会計）</v>
      </c>
      <c r="C1015" s="7" t="str">
        <f t="shared" si="332"/>
        <v>行政財産</v>
      </c>
      <c r="D1015" s="7" t="str">
        <f t="shared" si="350"/>
        <v>公園</v>
      </c>
      <c r="E1015" s="7" t="str">
        <f t="shared" si="351"/>
        <v>大阪府八尾市西久宝寺</v>
      </c>
      <c r="F1015" s="7"/>
      <c r="G1015" s="7" t="str">
        <f t="shared" si="340"/>
        <v>事業用資産</v>
      </c>
      <c r="H1015" s="7" t="str">
        <f t="shared" si="338"/>
        <v>棚卸以外</v>
      </c>
      <c r="I1015" s="7">
        <v>33</v>
      </c>
      <c r="J1015" s="7" t="str">
        <f>"資材置場"</f>
        <v>資材置場</v>
      </c>
      <c r="K1015" s="7" t="str">
        <f>"鉄骨造"</f>
        <v>鉄骨造</v>
      </c>
      <c r="L1015" s="7" t="str">
        <f>"H02.03.01"</f>
        <v>H02.03.01</v>
      </c>
      <c r="M1015" s="7">
        <v>32.869999999999997</v>
      </c>
      <c r="N1015" s="7">
        <v>803000</v>
      </c>
      <c r="O1015" s="7">
        <v>802999</v>
      </c>
      <c r="P1015" s="7">
        <v>0</v>
      </c>
      <c r="Q1015" s="7" t="str">
        <f t="shared" si="346"/>
        <v>都市整備部</v>
      </c>
      <c r="R1015" s="7" t="str">
        <f t="shared" si="342"/>
        <v>八尾土木事務所</v>
      </c>
    </row>
    <row r="1016" spans="1:18" s="1" customFormat="1" x14ac:dyDescent="0.45">
      <c r="A1016" s="7" t="str">
        <f t="shared" si="348"/>
        <v>08204000154</v>
      </c>
      <c r="B1016" s="7" t="str">
        <f t="shared" si="349"/>
        <v>久宝寺緑地（一般会計）</v>
      </c>
      <c r="C1016" s="7" t="str">
        <f t="shared" ref="C1016:C1079" si="354">"行政財産"</f>
        <v>行政財産</v>
      </c>
      <c r="D1016" s="7" t="str">
        <f t="shared" si="350"/>
        <v>公園</v>
      </c>
      <c r="E1016" s="7" t="str">
        <f t="shared" si="351"/>
        <v>大阪府八尾市西久宝寺</v>
      </c>
      <c r="F1016" s="7"/>
      <c r="G1016" s="7" t="str">
        <f t="shared" ref="G1016:G1047" si="355">"事業用資産"</f>
        <v>事業用資産</v>
      </c>
      <c r="H1016" s="7" t="str">
        <f t="shared" si="338"/>
        <v>棚卸以外</v>
      </c>
      <c r="I1016" s="7">
        <v>34</v>
      </c>
      <c r="J1016" s="7" t="str">
        <f>"苗圃作業場"</f>
        <v>苗圃作業場</v>
      </c>
      <c r="K1016" s="7" t="str">
        <f>"鉄骨造"</f>
        <v>鉄骨造</v>
      </c>
      <c r="L1016" s="7" t="str">
        <f>"H02.03.01"</f>
        <v>H02.03.01</v>
      </c>
      <c r="M1016" s="7">
        <v>7.41</v>
      </c>
      <c r="N1016" s="7">
        <v>389000</v>
      </c>
      <c r="O1016" s="7">
        <v>388999</v>
      </c>
      <c r="P1016" s="7">
        <v>0</v>
      </c>
      <c r="Q1016" s="7" t="str">
        <f t="shared" si="346"/>
        <v>都市整備部</v>
      </c>
      <c r="R1016" s="7" t="str">
        <f t="shared" si="342"/>
        <v>八尾土木事務所</v>
      </c>
    </row>
    <row r="1017" spans="1:18" s="1" customFormat="1" x14ac:dyDescent="0.45">
      <c r="A1017" s="7" t="str">
        <f t="shared" si="348"/>
        <v>08204000154</v>
      </c>
      <c r="B1017" s="7" t="str">
        <f t="shared" si="349"/>
        <v>久宝寺緑地（一般会計）</v>
      </c>
      <c r="C1017" s="7" t="str">
        <f t="shared" si="354"/>
        <v>行政財産</v>
      </c>
      <c r="D1017" s="7" t="str">
        <f t="shared" si="350"/>
        <v>公園</v>
      </c>
      <c r="E1017" s="7" t="str">
        <f t="shared" si="351"/>
        <v>大阪府八尾市西久宝寺</v>
      </c>
      <c r="F1017" s="7"/>
      <c r="G1017" s="7" t="str">
        <f t="shared" si="355"/>
        <v>事業用資産</v>
      </c>
      <c r="H1017" s="7" t="str">
        <f t="shared" si="338"/>
        <v>棚卸以外</v>
      </c>
      <c r="I1017" s="7">
        <v>35</v>
      </c>
      <c r="J1017" s="7" t="str">
        <f>"子ども広場南便所"</f>
        <v>子ども広場南便所</v>
      </c>
      <c r="K1017" s="7" t="str">
        <f>"鉄筋コンクリート造"</f>
        <v>鉄筋コンクリート造</v>
      </c>
      <c r="L1017" s="7" t="str">
        <f>"H03.03.27"</f>
        <v>H03.03.27</v>
      </c>
      <c r="M1017" s="7">
        <v>36.32</v>
      </c>
      <c r="N1017" s="7">
        <v>20992060</v>
      </c>
      <c r="O1017" s="7">
        <v>13488288</v>
      </c>
      <c r="P1017" s="7">
        <v>0</v>
      </c>
      <c r="Q1017" s="7" t="str">
        <f t="shared" si="346"/>
        <v>都市整備部</v>
      </c>
      <c r="R1017" s="7" t="str">
        <f t="shared" si="342"/>
        <v>八尾土木事務所</v>
      </c>
    </row>
    <row r="1018" spans="1:18" s="1" customFormat="1" x14ac:dyDescent="0.45">
      <c r="A1018" s="7" t="str">
        <f t="shared" si="348"/>
        <v>08204000154</v>
      </c>
      <c r="B1018" s="7" t="str">
        <f t="shared" si="349"/>
        <v>久宝寺緑地（一般会計）</v>
      </c>
      <c r="C1018" s="7" t="str">
        <f t="shared" si="354"/>
        <v>行政財産</v>
      </c>
      <c r="D1018" s="7" t="str">
        <f t="shared" si="350"/>
        <v>公園</v>
      </c>
      <c r="E1018" s="7" t="str">
        <f t="shared" si="351"/>
        <v>大阪府八尾市西久宝寺</v>
      </c>
      <c r="F1018" s="7"/>
      <c r="G1018" s="7" t="str">
        <f t="shared" si="355"/>
        <v>事業用資産</v>
      </c>
      <c r="H1018" s="7" t="str">
        <f t="shared" si="338"/>
        <v>棚卸以外</v>
      </c>
      <c r="I1018" s="7">
        <v>36</v>
      </c>
      <c r="J1018" s="7" t="str">
        <f>"テニスコート更衣室①"</f>
        <v>テニスコート更衣室①</v>
      </c>
      <c r="K1018" s="7" t="str">
        <f>"土蔵造(簡易建物)"</f>
        <v>土蔵造(簡易建物)</v>
      </c>
      <c r="L1018" s="7" t="str">
        <f>"H03.03.29"</f>
        <v>H03.03.29</v>
      </c>
      <c r="M1018" s="7">
        <v>3.13</v>
      </c>
      <c r="N1018" s="7">
        <v>257000</v>
      </c>
      <c r="O1018" s="7">
        <v>256999</v>
      </c>
      <c r="P1018" s="7">
        <v>0</v>
      </c>
      <c r="Q1018" s="7" t="str">
        <f t="shared" si="346"/>
        <v>都市整備部</v>
      </c>
      <c r="R1018" s="7" t="str">
        <f t="shared" ref="R1018:R1049" si="356">"八尾土木事務所"</f>
        <v>八尾土木事務所</v>
      </c>
    </row>
    <row r="1019" spans="1:18" s="1" customFormat="1" x14ac:dyDescent="0.45">
      <c r="A1019" s="7" t="str">
        <f t="shared" si="348"/>
        <v>08204000154</v>
      </c>
      <c r="B1019" s="7" t="str">
        <f t="shared" si="349"/>
        <v>久宝寺緑地（一般会計）</v>
      </c>
      <c r="C1019" s="7" t="str">
        <f t="shared" si="354"/>
        <v>行政財産</v>
      </c>
      <c r="D1019" s="7" t="str">
        <f t="shared" si="350"/>
        <v>公園</v>
      </c>
      <c r="E1019" s="7" t="str">
        <f t="shared" si="351"/>
        <v>大阪府八尾市西久宝寺</v>
      </c>
      <c r="F1019" s="7"/>
      <c r="G1019" s="7" t="str">
        <f t="shared" si="355"/>
        <v>事業用資産</v>
      </c>
      <c r="H1019" s="7" t="str">
        <f t="shared" si="338"/>
        <v>棚卸以外</v>
      </c>
      <c r="I1019" s="7">
        <v>37</v>
      </c>
      <c r="J1019" s="7" t="str">
        <f>"テニスコート物置①"</f>
        <v>テニスコート物置①</v>
      </c>
      <c r="K1019" s="7" t="str">
        <f>"土蔵造(簡易建物)"</f>
        <v>土蔵造(簡易建物)</v>
      </c>
      <c r="L1019" s="7" t="str">
        <f>"H03.03.29"</f>
        <v>H03.03.29</v>
      </c>
      <c r="M1019" s="7">
        <v>2.38</v>
      </c>
      <c r="N1019" s="7">
        <v>100000</v>
      </c>
      <c r="O1019" s="7">
        <v>99999</v>
      </c>
      <c r="P1019" s="7">
        <v>0</v>
      </c>
      <c r="Q1019" s="7" t="str">
        <f t="shared" si="346"/>
        <v>都市整備部</v>
      </c>
      <c r="R1019" s="7" t="str">
        <f t="shared" si="356"/>
        <v>八尾土木事務所</v>
      </c>
    </row>
    <row r="1020" spans="1:18" s="1" customFormat="1" x14ac:dyDescent="0.45">
      <c r="A1020" s="7" t="str">
        <f t="shared" si="348"/>
        <v>08204000154</v>
      </c>
      <c r="B1020" s="7" t="str">
        <f t="shared" si="349"/>
        <v>久宝寺緑地（一般会計）</v>
      </c>
      <c r="C1020" s="7" t="str">
        <f t="shared" si="354"/>
        <v>行政財産</v>
      </c>
      <c r="D1020" s="7" t="str">
        <f t="shared" si="350"/>
        <v>公園</v>
      </c>
      <c r="E1020" s="7" t="str">
        <f t="shared" si="351"/>
        <v>大阪府八尾市西久宝寺</v>
      </c>
      <c r="F1020" s="7"/>
      <c r="G1020" s="7" t="str">
        <f t="shared" si="355"/>
        <v>事業用資産</v>
      </c>
      <c r="H1020" s="7" t="str">
        <f t="shared" si="338"/>
        <v>棚卸以外</v>
      </c>
      <c r="I1020" s="7">
        <v>38</v>
      </c>
      <c r="J1020" s="7" t="str">
        <f>"テニスコート更衣室②"</f>
        <v>テニスコート更衣室②</v>
      </c>
      <c r="K1020" s="7" t="str">
        <f>"土蔵造(簡易建物)"</f>
        <v>土蔵造(簡易建物)</v>
      </c>
      <c r="L1020" s="7" t="str">
        <f>"H03.03.29"</f>
        <v>H03.03.29</v>
      </c>
      <c r="M1020" s="7">
        <v>3.13</v>
      </c>
      <c r="N1020" s="7">
        <v>257000</v>
      </c>
      <c r="O1020" s="7">
        <v>256999</v>
      </c>
      <c r="P1020" s="7">
        <v>0</v>
      </c>
      <c r="Q1020" s="7" t="str">
        <f t="shared" si="346"/>
        <v>都市整備部</v>
      </c>
      <c r="R1020" s="7" t="str">
        <f t="shared" si="356"/>
        <v>八尾土木事務所</v>
      </c>
    </row>
    <row r="1021" spans="1:18" s="1" customFormat="1" x14ac:dyDescent="0.45">
      <c r="A1021" s="7" t="str">
        <f t="shared" si="348"/>
        <v>08204000154</v>
      </c>
      <c r="B1021" s="7" t="str">
        <f t="shared" si="349"/>
        <v>久宝寺緑地（一般会計）</v>
      </c>
      <c r="C1021" s="7" t="str">
        <f t="shared" si="354"/>
        <v>行政財産</v>
      </c>
      <c r="D1021" s="7" t="str">
        <f t="shared" si="350"/>
        <v>公園</v>
      </c>
      <c r="E1021" s="7" t="str">
        <f t="shared" si="351"/>
        <v>大阪府八尾市西久宝寺</v>
      </c>
      <c r="F1021" s="7"/>
      <c r="G1021" s="7" t="str">
        <f t="shared" si="355"/>
        <v>事業用資産</v>
      </c>
      <c r="H1021" s="7" t="str">
        <f t="shared" si="338"/>
        <v>棚卸以外</v>
      </c>
      <c r="I1021" s="7">
        <v>39</v>
      </c>
      <c r="J1021" s="7" t="str">
        <f>"テニスコート物置②"</f>
        <v>テニスコート物置②</v>
      </c>
      <c r="K1021" s="7" t="str">
        <f>"土蔵造(簡易建物)"</f>
        <v>土蔵造(簡易建物)</v>
      </c>
      <c r="L1021" s="7" t="str">
        <f>"H03.03.29"</f>
        <v>H03.03.29</v>
      </c>
      <c r="M1021" s="7">
        <v>2.38</v>
      </c>
      <c r="N1021" s="7">
        <v>100000</v>
      </c>
      <c r="O1021" s="7">
        <v>99999</v>
      </c>
      <c r="P1021" s="7">
        <v>0</v>
      </c>
      <c r="Q1021" s="7" t="str">
        <f t="shared" si="346"/>
        <v>都市整備部</v>
      </c>
      <c r="R1021" s="7" t="str">
        <f t="shared" si="356"/>
        <v>八尾土木事務所</v>
      </c>
    </row>
    <row r="1022" spans="1:18" s="1" customFormat="1" x14ac:dyDescent="0.45">
      <c r="A1022" s="7" t="str">
        <f t="shared" si="348"/>
        <v>08204000154</v>
      </c>
      <c r="B1022" s="7" t="str">
        <f t="shared" si="349"/>
        <v>久宝寺緑地（一般会計）</v>
      </c>
      <c r="C1022" s="7" t="str">
        <f t="shared" si="354"/>
        <v>行政財産</v>
      </c>
      <c r="D1022" s="7" t="str">
        <f t="shared" si="350"/>
        <v>公園</v>
      </c>
      <c r="E1022" s="7" t="str">
        <f t="shared" si="351"/>
        <v>大阪府八尾市西久宝寺</v>
      </c>
      <c r="F1022" s="7"/>
      <c r="G1022" s="7" t="str">
        <f t="shared" si="355"/>
        <v>事業用資産</v>
      </c>
      <c r="H1022" s="7" t="str">
        <f t="shared" si="338"/>
        <v>棚卸以外</v>
      </c>
      <c r="I1022" s="7">
        <v>40</v>
      </c>
      <c r="J1022" s="7" t="str">
        <f>"第３駐車場東便所"</f>
        <v>第３駐車場東便所</v>
      </c>
      <c r="K1022" s="7" t="str">
        <f>"鉄筋コンクリート造"</f>
        <v>鉄筋コンクリート造</v>
      </c>
      <c r="L1022" s="7" t="str">
        <f>"H04.03.31"</f>
        <v>H04.03.31</v>
      </c>
      <c r="M1022" s="7">
        <v>56.46</v>
      </c>
      <c r="N1022" s="7">
        <v>34362636</v>
      </c>
      <c r="O1022" s="7">
        <v>29605703</v>
      </c>
      <c r="P1022" s="7">
        <v>0</v>
      </c>
      <c r="Q1022" s="7" t="str">
        <f t="shared" si="346"/>
        <v>都市整備部</v>
      </c>
      <c r="R1022" s="7" t="str">
        <f t="shared" si="356"/>
        <v>八尾土木事務所</v>
      </c>
    </row>
    <row r="1023" spans="1:18" s="1" customFormat="1" x14ac:dyDescent="0.45">
      <c r="A1023" s="7" t="str">
        <f t="shared" si="348"/>
        <v>08204000154</v>
      </c>
      <c r="B1023" s="7" t="str">
        <f t="shared" si="349"/>
        <v>久宝寺緑地（一般会計）</v>
      </c>
      <c r="C1023" s="7" t="str">
        <f t="shared" si="354"/>
        <v>行政財産</v>
      </c>
      <c r="D1023" s="7" t="str">
        <f t="shared" si="350"/>
        <v>公園</v>
      </c>
      <c r="E1023" s="7" t="str">
        <f t="shared" si="351"/>
        <v>大阪府八尾市西久宝寺</v>
      </c>
      <c r="F1023" s="7"/>
      <c r="G1023" s="7" t="str">
        <f t="shared" si="355"/>
        <v>事業用資産</v>
      </c>
      <c r="H1023" s="7" t="str">
        <f t="shared" si="338"/>
        <v>棚卸以外</v>
      </c>
      <c r="I1023" s="7">
        <v>41</v>
      </c>
      <c r="J1023" s="7" t="str">
        <f>"風の広場便所"</f>
        <v>風の広場便所</v>
      </c>
      <c r="K1023" s="7" t="str">
        <f>"鉄骨造"</f>
        <v>鉄骨造</v>
      </c>
      <c r="L1023" s="7" t="str">
        <f>"H04.03.31"</f>
        <v>H04.03.31</v>
      </c>
      <c r="M1023" s="7">
        <v>48.62</v>
      </c>
      <c r="N1023" s="7">
        <v>25328000</v>
      </c>
      <c r="O1023" s="7">
        <v>25327999</v>
      </c>
      <c r="P1023" s="7">
        <v>0</v>
      </c>
      <c r="Q1023" s="7" t="str">
        <f t="shared" si="346"/>
        <v>都市整備部</v>
      </c>
      <c r="R1023" s="7" t="str">
        <f t="shared" si="356"/>
        <v>八尾土木事務所</v>
      </c>
    </row>
    <row r="1024" spans="1:18" s="1" customFormat="1" x14ac:dyDescent="0.45">
      <c r="A1024" s="7" t="str">
        <f t="shared" si="348"/>
        <v>08204000154</v>
      </c>
      <c r="B1024" s="7" t="str">
        <f t="shared" si="349"/>
        <v>久宝寺緑地（一般会計）</v>
      </c>
      <c r="C1024" s="7" t="str">
        <f t="shared" si="354"/>
        <v>行政財産</v>
      </c>
      <c r="D1024" s="7" t="str">
        <f t="shared" si="350"/>
        <v>公園</v>
      </c>
      <c r="E1024" s="7" t="str">
        <f t="shared" si="351"/>
        <v>大阪府八尾市西久宝寺</v>
      </c>
      <c r="F1024" s="7"/>
      <c r="G1024" s="7" t="str">
        <f t="shared" si="355"/>
        <v>事業用資産</v>
      </c>
      <c r="H1024" s="7" t="str">
        <f t="shared" si="338"/>
        <v>棚卸以外</v>
      </c>
      <c r="I1024" s="7">
        <v>42</v>
      </c>
      <c r="J1024" s="7" t="str">
        <f>"まいまい広場北便所"</f>
        <v>まいまい広場北便所</v>
      </c>
      <c r="K1024" s="7" t="str">
        <f>"鉄骨造"</f>
        <v>鉄骨造</v>
      </c>
      <c r="L1024" s="7" t="str">
        <f>"H04.03.31"</f>
        <v>H04.03.31</v>
      </c>
      <c r="M1024" s="7">
        <v>40</v>
      </c>
      <c r="N1024" s="7">
        <v>30542636</v>
      </c>
      <c r="O1024" s="7">
        <v>25785703</v>
      </c>
      <c r="P1024" s="7">
        <v>0</v>
      </c>
      <c r="Q1024" s="7" t="str">
        <f t="shared" si="346"/>
        <v>都市整備部</v>
      </c>
      <c r="R1024" s="7" t="str">
        <f t="shared" si="356"/>
        <v>八尾土木事務所</v>
      </c>
    </row>
    <row r="1025" spans="1:18" s="1" customFormat="1" x14ac:dyDescent="0.45">
      <c r="A1025" s="7" t="str">
        <f t="shared" si="348"/>
        <v>08204000154</v>
      </c>
      <c r="B1025" s="7" t="str">
        <f t="shared" si="349"/>
        <v>久宝寺緑地（一般会計）</v>
      </c>
      <c r="C1025" s="7" t="str">
        <f t="shared" si="354"/>
        <v>行政財産</v>
      </c>
      <c r="D1025" s="7" t="str">
        <f t="shared" si="350"/>
        <v>公園</v>
      </c>
      <c r="E1025" s="7" t="str">
        <f t="shared" si="351"/>
        <v>大阪府八尾市西久宝寺</v>
      </c>
      <c r="F1025" s="7"/>
      <c r="G1025" s="7" t="str">
        <f t="shared" si="355"/>
        <v>事業用資産</v>
      </c>
      <c r="H1025" s="7" t="str">
        <f t="shared" si="338"/>
        <v>棚卸以外</v>
      </c>
      <c r="I1025" s="7">
        <v>43</v>
      </c>
      <c r="J1025" s="7" t="str">
        <f>"スポーツハウス"</f>
        <v>スポーツハウス</v>
      </c>
      <c r="K1025" s="7" t="str">
        <f>"鉄筋コンクリート造"</f>
        <v>鉄筋コンクリート造</v>
      </c>
      <c r="L1025" s="7" t="str">
        <f>"H05.03.31"</f>
        <v>H05.03.31</v>
      </c>
      <c r="M1025" s="7">
        <v>333.74</v>
      </c>
      <c r="N1025" s="7">
        <v>152247624</v>
      </c>
      <c r="O1025" s="7">
        <v>90978324</v>
      </c>
      <c r="P1025" s="7">
        <v>0</v>
      </c>
      <c r="Q1025" s="7" t="str">
        <f t="shared" si="346"/>
        <v>都市整備部</v>
      </c>
      <c r="R1025" s="7" t="str">
        <f t="shared" si="356"/>
        <v>八尾土木事務所</v>
      </c>
    </row>
    <row r="1026" spans="1:18" s="1" customFormat="1" x14ac:dyDescent="0.45">
      <c r="A1026" s="7" t="str">
        <f t="shared" si="348"/>
        <v>08204000154</v>
      </c>
      <c r="B1026" s="7" t="str">
        <f t="shared" si="349"/>
        <v>久宝寺緑地（一般会計）</v>
      </c>
      <c r="C1026" s="7" t="str">
        <f t="shared" si="354"/>
        <v>行政財産</v>
      </c>
      <c r="D1026" s="7" t="str">
        <f t="shared" si="350"/>
        <v>公園</v>
      </c>
      <c r="E1026" s="7" t="str">
        <f t="shared" si="351"/>
        <v>大阪府八尾市西久宝寺</v>
      </c>
      <c r="F1026" s="7"/>
      <c r="G1026" s="7" t="str">
        <f t="shared" si="355"/>
        <v>事業用資産</v>
      </c>
      <c r="H1026" s="7" t="str">
        <f t="shared" si="338"/>
        <v>棚卸以外</v>
      </c>
      <c r="I1026" s="7">
        <v>44</v>
      </c>
      <c r="J1026" s="7" t="str">
        <f>"第１駐車場東便所"</f>
        <v>第１駐車場東便所</v>
      </c>
      <c r="K1026" s="7" t="str">
        <f>"鉄筋コンクリート造"</f>
        <v>鉄筋コンクリート造</v>
      </c>
      <c r="L1026" s="7" t="str">
        <f>"H09.10.13"</f>
        <v>H09.10.13</v>
      </c>
      <c r="M1026" s="7">
        <v>75.98</v>
      </c>
      <c r="N1026" s="7">
        <v>46402000</v>
      </c>
      <c r="O1026" s="7">
        <v>31036495</v>
      </c>
      <c r="P1026" s="7">
        <v>0</v>
      </c>
      <c r="Q1026" s="7" t="str">
        <f t="shared" si="346"/>
        <v>都市整備部</v>
      </c>
      <c r="R1026" s="7" t="str">
        <f t="shared" si="356"/>
        <v>八尾土木事務所</v>
      </c>
    </row>
    <row r="1027" spans="1:18" s="1" customFormat="1" x14ac:dyDescent="0.45">
      <c r="A1027" s="7" t="str">
        <f t="shared" si="348"/>
        <v>08204000154</v>
      </c>
      <c r="B1027" s="7" t="str">
        <f t="shared" si="349"/>
        <v>久宝寺緑地（一般会計）</v>
      </c>
      <c r="C1027" s="7" t="str">
        <f t="shared" si="354"/>
        <v>行政財産</v>
      </c>
      <c r="D1027" s="7" t="str">
        <f t="shared" si="350"/>
        <v>公園</v>
      </c>
      <c r="E1027" s="7" t="str">
        <f t="shared" si="351"/>
        <v>大阪府八尾市西久宝寺</v>
      </c>
      <c r="F1027" s="7"/>
      <c r="G1027" s="7" t="str">
        <f t="shared" si="355"/>
        <v>事業用資産</v>
      </c>
      <c r="H1027" s="7" t="str">
        <f t="shared" si="338"/>
        <v>棚卸以外</v>
      </c>
      <c r="I1027" s="7">
        <v>45</v>
      </c>
      <c r="J1027" s="7" t="str">
        <f>"修景広場倉庫１"</f>
        <v>修景広場倉庫１</v>
      </c>
      <c r="K1027" s="7" t="str">
        <f>"鉄筋コンクリート造"</f>
        <v>鉄筋コンクリート造</v>
      </c>
      <c r="L1027" s="7" t="str">
        <f>"H09.10.13"</f>
        <v>H09.10.13</v>
      </c>
      <c r="M1027" s="7">
        <v>7.06</v>
      </c>
      <c r="N1027" s="7">
        <v>1463000</v>
      </c>
      <c r="O1027" s="7">
        <v>978745</v>
      </c>
      <c r="P1027" s="7">
        <v>0</v>
      </c>
      <c r="Q1027" s="7" t="str">
        <f t="shared" si="346"/>
        <v>都市整備部</v>
      </c>
      <c r="R1027" s="7" t="str">
        <f t="shared" si="356"/>
        <v>八尾土木事務所</v>
      </c>
    </row>
    <row r="1028" spans="1:18" s="1" customFormat="1" x14ac:dyDescent="0.45">
      <c r="A1028" s="7" t="str">
        <f t="shared" si="348"/>
        <v>08204000154</v>
      </c>
      <c r="B1028" s="7" t="str">
        <f t="shared" si="349"/>
        <v>久宝寺緑地（一般会計）</v>
      </c>
      <c r="C1028" s="7" t="str">
        <f t="shared" si="354"/>
        <v>行政財産</v>
      </c>
      <c r="D1028" s="7" t="str">
        <f t="shared" si="350"/>
        <v>公園</v>
      </c>
      <c r="E1028" s="7" t="str">
        <f t="shared" si="351"/>
        <v>大阪府八尾市西久宝寺</v>
      </c>
      <c r="F1028" s="7"/>
      <c r="G1028" s="7" t="str">
        <f t="shared" si="355"/>
        <v>事業用資産</v>
      </c>
      <c r="H1028" s="7" t="str">
        <f t="shared" ref="H1028:H1091" si="357">"棚卸以外"</f>
        <v>棚卸以外</v>
      </c>
      <c r="I1028" s="7">
        <v>46</v>
      </c>
      <c r="J1028" s="7" t="str">
        <f>"危険物庫"</f>
        <v>危険物庫</v>
      </c>
      <c r="K1028" s="7" t="str">
        <f>"コンクリートブロック造"</f>
        <v>コンクリートブロック造</v>
      </c>
      <c r="L1028" s="7" t="str">
        <f>"H13.03.22"</f>
        <v>H13.03.22</v>
      </c>
      <c r="M1028" s="7">
        <v>13.33</v>
      </c>
      <c r="N1028" s="7">
        <v>2787000</v>
      </c>
      <c r="O1028" s="7">
        <v>1803384</v>
      </c>
      <c r="P1028" s="7">
        <v>0</v>
      </c>
      <c r="Q1028" s="7" t="str">
        <f t="shared" si="346"/>
        <v>都市整備部</v>
      </c>
      <c r="R1028" s="7" t="str">
        <f t="shared" si="356"/>
        <v>八尾土木事務所</v>
      </c>
    </row>
    <row r="1029" spans="1:18" s="1" customFormat="1" x14ac:dyDescent="0.45">
      <c r="A1029" s="7" t="str">
        <f t="shared" si="348"/>
        <v>08204000154</v>
      </c>
      <c r="B1029" s="7" t="str">
        <f t="shared" si="349"/>
        <v>久宝寺緑地（一般会計）</v>
      </c>
      <c r="C1029" s="7" t="str">
        <f t="shared" si="354"/>
        <v>行政財産</v>
      </c>
      <c r="D1029" s="7" t="str">
        <f t="shared" si="350"/>
        <v>公園</v>
      </c>
      <c r="E1029" s="7" t="str">
        <f t="shared" si="351"/>
        <v>大阪府八尾市西久宝寺</v>
      </c>
      <c r="F1029" s="7"/>
      <c r="G1029" s="7" t="str">
        <f t="shared" si="355"/>
        <v>事業用資産</v>
      </c>
      <c r="H1029" s="7" t="str">
        <f t="shared" si="357"/>
        <v>棚卸以外</v>
      </c>
      <c r="I1029" s="7">
        <v>47</v>
      </c>
      <c r="J1029" s="7" t="str">
        <f>"管理事務所前車庫"</f>
        <v>管理事務所前車庫</v>
      </c>
      <c r="K1029" s="7" t="str">
        <f>"土蔵造(簡易建物)"</f>
        <v>土蔵造(簡易建物)</v>
      </c>
      <c r="L1029" s="7" t="str">
        <f>"H14.03.20"</f>
        <v>H14.03.20</v>
      </c>
      <c r="M1029" s="7">
        <v>100.19</v>
      </c>
      <c r="N1029" s="7">
        <v>5759000</v>
      </c>
      <c r="O1029" s="7">
        <v>4799280</v>
      </c>
      <c r="P1029" s="7">
        <v>0</v>
      </c>
      <c r="Q1029" s="7" t="str">
        <f t="shared" si="346"/>
        <v>都市整備部</v>
      </c>
      <c r="R1029" s="7" t="str">
        <f t="shared" si="356"/>
        <v>八尾土木事務所</v>
      </c>
    </row>
    <row r="1030" spans="1:18" s="1" customFormat="1" x14ac:dyDescent="0.45">
      <c r="A1030" s="7" t="str">
        <f t="shared" si="348"/>
        <v>08204000154</v>
      </c>
      <c r="B1030" s="7" t="str">
        <f t="shared" si="349"/>
        <v>久宝寺緑地（一般会計）</v>
      </c>
      <c r="C1030" s="7" t="str">
        <f t="shared" si="354"/>
        <v>行政財産</v>
      </c>
      <c r="D1030" s="7" t="str">
        <f t="shared" si="350"/>
        <v>公園</v>
      </c>
      <c r="E1030" s="7" t="str">
        <f t="shared" si="351"/>
        <v>大阪府八尾市西久宝寺</v>
      </c>
      <c r="F1030" s="7"/>
      <c r="G1030" s="7" t="str">
        <f t="shared" si="355"/>
        <v>事業用資産</v>
      </c>
      <c r="H1030" s="7" t="str">
        <f t="shared" si="357"/>
        <v>棚卸以外</v>
      </c>
      <c r="I1030" s="7">
        <v>48</v>
      </c>
      <c r="J1030" s="7" t="str">
        <f>"修景広場倉庫２"</f>
        <v>修景広場倉庫２</v>
      </c>
      <c r="K1030" s="7" t="str">
        <f>"土蔵造(簡易建物)"</f>
        <v>土蔵造(簡易建物)</v>
      </c>
      <c r="L1030" s="7" t="str">
        <f>"H14.03.20"</f>
        <v>H14.03.20</v>
      </c>
      <c r="M1030" s="7">
        <v>5.42</v>
      </c>
      <c r="N1030" s="7">
        <v>611000</v>
      </c>
      <c r="O1030" s="7">
        <v>509280</v>
      </c>
      <c r="P1030" s="7">
        <v>0</v>
      </c>
      <c r="Q1030" s="7" t="str">
        <f t="shared" si="346"/>
        <v>都市整備部</v>
      </c>
      <c r="R1030" s="7" t="str">
        <f t="shared" si="356"/>
        <v>八尾土木事務所</v>
      </c>
    </row>
    <row r="1031" spans="1:18" s="1" customFormat="1" x14ac:dyDescent="0.45">
      <c r="A1031" s="7" t="str">
        <f t="shared" si="348"/>
        <v>08204000154</v>
      </c>
      <c r="B1031" s="7" t="str">
        <f t="shared" si="349"/>
        <v>久宝寺緑地（一般会計）</v>
      </c>
      <c r="C1031" s="7" t="str">
        <f t="shared" si="354"/>
        <v>行政財産</v>
      </c>
      <c r="D1031" s="7" t="str">
        <f t="shared" ref="D1031:D1053" si="358">"公園"</f>
        <v>公園</v>
      </c>
      <c r="E1031" s="7" t="str">
        <f t="shared" si="351"/>
        <v>大阪府八尾市西久宝寺</v>
      </c>
      <c r="F1031" s="7"/>
      <c r="G1031" s="7" t="str">
        <f t="shared" si="355"/>
        <v>事業用資産</v>
      </c>
      <c r="H1031" s="7" t="str">
        <f t="shared" si="357"/>
        <v>棚卸以外</v>
      </c>
      <c r="I1031" s="7">
        <v>49</v>
      </c>
      <c r="J1031" s="7" t="str">
        <f>"もくもく元気広場便所"</f>
        <v>もくもく元気広場便所</v>
      </c>
      <c r="K1031" s="7" t="str">
        <f>"鉄筋コンクリート造"</f>
        <v>鉄筋コンクリート造</v>
      </c>
      <c r="L1031" s="7" t="str">
        <f>"H16.03.10"</f>
        <v>H16.03.10</v>
      </c>
      <c r="M1031" s="7">
        <v>75.959999999999994</v>
      </c>
      <c r="N1031" s="7">
        <v>39901000</v>
      </c>
      <c r="O1031" s="7">
        <v>19950684</v>
      </c>
      <c r="P1031" s="7">
        <v>0</v>
      </c>
      <c r="Q1031" s="7" t="str">
        <f t="shared" si="346"/>
        <v>都市整備部</v>
      </c>
      <c r="R1031" s="7" t="str">
        <f t="shared" si="356"/>
        <v>八尾土木事務所</v>
      </c>
    </row>
    <row r="1032" spans="1:18" s="1" customFormat="1" x14ac:dyDescent="0.45">
      <c r="A1032" s="7" t="str">
        <f t="shared" si="348"/>
        <v>08204000154</v>
      </c>
      <c r="B1032" s="7" t="str">
        <f t="shared" si="349"/>
        <v>久宝寺緑地（一般会計）</v>
      </c>
      <c r="C1032" s="7" t="str">
        <f t="shared" si="354"/>
        <v>行政財産</v>
      </c>
      <c r="D1032" s="7" t="str">
        <f t="shared" si="358"/>
        <v>公園</v>
      </c>
      <c r="E1032" s="7" t="str">
        <f t="shared" si="351"/>
        <v>大阪府八尾市西久宝寺</v>
      </c>
      <c r="F1032" s="7"/>
      <c r="G1032" s="7" t="str">
        <f t="shared" si="355"/>
        <v>事業用資産</v>
      </c>
      <c r="H1032" s="7" t="str">
        <f t="shared" si="357"/>
        <v>棚卸以外</v>
      </c>
      <c r="I1032" s="7">
        <v>50</v>
      </c>
      <c r="J1032" s="7" t="str">
        <f>"陸上競技場北側トイレ"</f>
        <v>陸上競技場北側トイレ</v>
      </c>
      <c r="K1032" s="7" t="str">
        <f>"鉄筋コンクリート造"</f>
        <v>鉄筋コンクリート造</v>
      </c>
      <c r="L1032" s="7" t="str">
        <f>"H19.05.30"</f>
        <v>H19.05.30</v>
      </c>
      <c r="M1032" s="7">
        <v>56.08</v>
      </c>
      <c r="N1032" s="7">
        <v>30095000</v>
      </c>
      <c r="O1032" s="7">
        <v>12539620</v>
      </c>
      <c r="P1032" s="7">
        <v>0</v>
      </c>
      <c r="Q1032" s="7" t="str">
        <f t="shared" si="346"/>
        <v>都市整備部</v>
      </c>
      <c r="R1032" s="7" t="str">
        <f t="shared" si="356"/>
        <v>八尾土木事務所</v>
      </c>
    </row>
    <row r="1033" spans="1:18" s="1" customFormat="1" x14ac:dyDescent="0.45">
      <c r="A1033" s="7" t="str">
        <f t="shared" si="348"/>
        <v>08204000154</v>
      </c>
      <c r="B1033" s="7" t="str">
        <f t="shared" si="349"/>
        <v>久宝寺緑地（一般会計）</v>
      </c>
      <c r="C1033" s="7" t="str">
        <f t="shared" si="354"/>
        <v>行政財産</v>
      </c>
      <c r="D1033" s="7" t="str">
        <f t="shared" si="358"/>
        <v>公園</v>
      </c>
      <c r="E1033" s="7" t="str">
        <f t="shared" si="351"/>
        <v>大阪府八尾市西久宝寺</v>
      </c>
      <c r="F1033" s="7"/>
      <c r="G1033" s="7" t="str">
        <f t="shared" si="355"/>
        <v>事業用資産</v>
      </c>
      <c r="H1033" s="7" t="str">
        <f t="shared" si="357"/>
        <v>棚卸以外</v>
      </c>
      <c r="I1033" s="7">
        <v>51</v>
      </c>
      <c r="J1033" s="7" t="str">
        <f>"料金ブース（第1駐車場）"</f>
        <v>料金ブース（第1駐車場）</v>
      </c>
      <c r="K1033" s="7" t="str">
        <f t="shared" ref="K1033:K1039" si="359">"土蔵造(簡易建物)"</f>
        <v>土蔵造(簡易建物)</v>
      </c>
      <c r="L1033" s="7" t="str">
        <f>"H09.04.01"</f>
        <v>H09.04.01</v>
      </c>
      <c r="M1033" s="7">
        <v>5.44</v>
      </c>
      <c r="N1033" s="7">
        <v>205760</v>
      </c>
      <c r="O1033" s="7">
        <v>205759</v>
      </c>
      <c r="P1033" s="7">
        <v>0</v>
      </c>
      <c r="Q1033" s="7" t="str">
        <f t="shared" si="346"/>
        <v>都市整備部</v>
      </c>
      <c r="R1033" s="7" t="str">
        <f t="shared" si="356"/>
        <v>八尾土木事務所</v>
      </c>
    </row>
    <row r="1034" spans="1:18" s="1" customFormat="1" x14ac:dyDescent="0.45">
      <c r="A1034" s="7" t="str">
        <f t="shared" si="348"/>
        <v>08204000154</v>
      </c>
      <c r="B1034" s="7" t="str">
        <f t="shared" si="349"/>
        <v>久宝寺緑地（一般会計）</v>
      </c>
      <c r="C1034" s="7" t="str">
        <f t="shared" si="354"/>
        <v>行政財産</v>
      </c>
      <c r="D1034" s="7" t="str">
        <f t="shared" si="358"/>
        <v>公園</v>
      </c>
      <c r="E1034" s="7" t="str">
        <f t="shared" si="351"/>
        <v>大阪府八尾市西久宝寺</v>
      </c>
      <c r="F1034" s="7"/>
      <c r="G1034" s="7" t="str">
        <f t="shared" si="355"/>
        <v>事業用資産</v>
      </c>
      <c r="H1034" s="7" t="str">
        <f t="shared" si="357"/>
        <v>棚卸以外</v>
      </c>
      <c r="I1034" s="7">
        <v>52</v>
      </c>
      <c r="J1034" s="7" t="str">
        <f>"臨時料金ブース（第１駐車場）"</f>
        <v>臨時料金ブース（第１駐車場）</v>
      </c>
      <c r="K1034" s="7" t="str">
        <f t="shared" si="359"/>
        <v>土蔵造(簡易建物)</v>
      </c>
      <c r="L1034" s="7" t="str">
        <f>"H09.04.01"</f>
        <v>H09.04.01</v>
      </c>
      <c r="M1034" s="7">
        <v>5.59</v>
      </c>
      <c r="N1034" s="7">
        <v>123456</v>
      </c>
      <c r="O1034" s="7">
        <v>123455</v>
      </c>
      <c r="P1034" s="7">
        <v>0</v>
      </c>
      <c r="Q1034" s="7" t="str">
        <f t="shared" si="346"/>
        <v>都市整備部</v>
      </c>
      <c r="R1034" s="7" t="str">
        <f t="shared" si="356"/>
        <v>八尾土木事務所</v>
      </c>
    </row>
    <row r="1035" spans="1:18" s="1" customFormat="1" x14ac:dyDescent="0.45">
      <c r="A1035" s="7" t="str">
        <f t="shared" si="348"/>
        <v>08204000154</v>
      </c>
      <c r="B1035" s="7" t="str">
        <f t="shared" si="349"/>
        <v>久宝寺緑地（一般会計）</v>
      </c>
      <c r="C1035" s="7" t="str">
        <f t="shared" si="354"/>
        <v>行政財産</v>
      </c>
      <c r="D1035" s="7" t="str">
        <f t="shared" si="358"/>
        <v>公園</v>
      </c>
      <c r="E1035" s="7" t="str">
        <f t="shared" si="351"/>
        <v>大阪府八尾市西久宝寺</v>
      </c>
      <c r="F1035" s="7"/>
      <c r="G1035" s="7" t="str">
        <f t="shared" si="355"/>
        <v>事業用資産</v>
      </c>
      <c r="H1035" s="7" t="str">
        <f t="shared" si="357"/>
        <v>棚卸以外</v>
      </c>
      <c r="I1035" s="7">
        <v>53</v>
      </c>
      <c r="J1035" s="7" t="str">
        <f>"料金ブース（第２駐車場）"</f>
        <v>料金ブース（第２駐車場）</v>
      </c>
      <c r="K1035" s="7" t="str">
        <f t="shared" si="359"/>
        <v>土蔵造(簡易建物)</v>
      </c>
      <c r="L1035" s="7" t="str">
        <f>"H09.04.01"</f>
        <v>H09.04.01</v>
      </c>
      <c r="M1035" s="7">
        <v>5.59</v>
      </c>
      <c r="N1035" s="7">
        <v>205760</v>
      </c>
      <c r="O1035" s="7">
        <v>205759</v>
      </c>
      <c r="P1035" s="7">
        <v>0</v>
      </c>
      <c r="Q1035" s="7" t="str">
        <f t="shared" si="346"/>
        <v>都市整備部</v>
      </c>
      <c r="R1035" s="7" t="str">
        <f t="shared" si="356"/>
        <v>八尾土木事務所</v>
      </c>
    </row>
    <row r="1036" spans="1:18" s="1" customFormat="1" x14ac:dyDescent="0.45">
      <c r="A1036" s="7" t="str">
        <f t="shared" si="348"/>
        <v>08204000154</v>
      </c>
      <c r="B1036" s="7" t="str">
        <f t="shared" si="349"/>
        <v>久宝寺緑地（一般会計）</v>
      </c>
      <c r="C1036" s="7" t="str">
        <f t="shared" si="354"/>
        <v>行政財産</v>
      </c>
      <c r="D1036" s="7" t="str">
        <f t="shared" si="358"/>
        <v>公園</v>
      </c>
      <c r="E1036" s="7" t="str">
        <f t="shared" si="351"/>
        <v>大阪府八尾市西久宝寺</v>
      </c>
      <c r="F1036" s="7"/>
      <c r="G1036" s="7" t="str">
        <f t="shared" si="355"/>
        <v>事業用資産</v>
      </c>
      <c r="H1036" s="7" t="str">
        <f t="shared" si="357"/>
        <v>棚卸以外</v>
      </c>
      <c r="I1036" s="7">
        <v>54</v>
      </c>
      <c r="J1036" s="7" t="str">
        <f>"臨時料金ブース（第２駐車場）"</f>
        <v>臨時料金ブース（第２駐車場）</v>
      </c>
      <c r="K1036" s="7" t="str">
        <f t="shared" si="359"/>
        <v>土蔵造(簡易建物)</v>
      </c>
      <c r="L1036" s="7" t="str">
        <f>"H09.04.01"</f>
        <v>H09.04.01</v>
      </c>
      <c r="M1036" s="7">
        <v>6.62</v>
      </c>
      <c r="N1036" s="7">
        <v>205760</v>
      </c>
      <c r="O1036" s="7">
        <v>205759</v>
      </c>
      <c r="P1036" s="7">
        <v>0</v>
      </c>
      <c r="Q1036" s="7" t="str">
        <f t="shared" si="346"/>
        <v>都市整備部</v>
      </c>
      <c r="R1036" s="7" t="str">
        <f t="shared" si="356"/>
        <v>八尾土木事務所</v>
      </c>
    </row>
    <row r="1037" spans="1:18" s="1" customFormat="1" x14ac:dyDescent="0.45">
      <c r="A1037" s="7" t="str">
        <f t="shared" si="348"/>
        <v>08204000154</v>
      </c>
      <c r="B1037" s="7" t="str">
        <f t="shared" si="349"/>
        <v>久宝寺緑地（一般会計）</v>
      </c>
      <c r="C1037" s="7" t="str">
        <f t="shared" si="354"/>
        <v>行政財産</v>
      </c>
      <c r="D1037" s="7" t="str">
        <f t="shared" si="358"/>
        <v>公園</v>
      </c>
      <c r="E1037" s="7" t="str">
        <f t="shared" si="351"/>
        <v>大阪府八尾市西久宝寺</v>
      </c>
      <c r="F1037" s="7"/>
      <c r="G1037" s="7" t="str">
        <f t="shared" si="355"/>
        <v>事業用資産</v>
      </c>
      <c r="H1037" s="7" t="str">
        <f t="shared" si="357"/>
        <v>棚卸以外</v>
      </c>
      <c r="I1037" s="7">
        <v>55</v>
      </c>
      <c r="J1037" s="7" t="str">
        <f>"料金ブース（第３駐車場）"</f>
        <v>料金ブース（第３駐車場）</v>
      </c>
      <c r="K1037" s="7" t="str">
        <f t="shared" si="359"/>
        <v>土蔵造(簡易建物)</v>
      </c>
      <c r="L1037" s="7" t="str">
        <f>"H09.04.01"</f>
        <v>H09.04.01</v>
      </c>
      <c r="M1037" s="7">
        <v>6.48</v>
      </c>
      <c r="N1037" s="7">
        <v>156815</v>
      </c>
      <c r="O1037" s="7">
        <v>156814</v>
      </c>
      <c r="P1037" s="7">
        <v>0</v>
      </c>
      <c r="Q1037" s="7" t="str">
        <f t="shared" si="346"/>
        <v>都市整備部</v>
      </c>
      <c r="R1037" s="7" t="str">
        <f t="shared" si="356"/>
        <v>八尾土木事務所</v>
      </c>
    </row>
    <row r="1038" spans="1:18" s="1" customFormat="1" x14ac:dyDescent="0.45">
      <c r="A1038" s="7" t="str">
        <f t="shared" si="348"/>
        <v>08204000154</v>
      </c>
      <c r="B1038" s="7" t="str">
        <f t="shared" si="349"/>
        <v>久宝寺緑地（一般会計）</v>
      </c>
      <c r="C1038" s="7" t="str">
        <f t="shared" si="354"/>
        <v>行政財産</v>
      </c>
      <c r="D1038" s="7" t="str">
        <f t="shared" si="358"/>
        <v>公園</v>
      </c>
      <c r="E1038" s="7" t="str">
        <f t="shared" si="351"/>
        <v>大阪府八尾市西久宝寺</v>
      </c>
      <c r="F1038" s="7"/>
      <c r="G1038" s="7" t="str">
        <f t="shared" si="355"/>
        <v>事業用資産</v>
      </c>
      <c r="H1038" s="7" t="str">
        <f t="shared" si="357"/>
        <v>棚卸以外</v>
      </c>
      <c r="I1038" s="7">
        <v>56</v>
      </c>
      <c r="J1038" s="7" t="str">
        <f>"倉庫（硬式野球場東）"</f>
        <v>倉庫（硬式野球場東）</v>
      </c>
      <c r="K1038" s="7" t="str">
        <f t="shared" si="359"/>
        <v>土蔵造(簡易建物)</v>
      </c>
      <c r="L1038" s="7" t="str">
        <f>"H04.04.01"</f>
        <v>H04.04.01</v>
      </c>
      <c r="M1038" s="7">
        <v>25.66</v>
      </c>
      <c r="N1038" s="7">
        <v>26822</v>
      </c>
      <c r="O1038" s="7">
        <v>26821</v>
      </c>
      <c r="P1038" s="7">
        <v>0</v>
      </c>
      <c r="Q1038" s="7" t="str">
        <f t="shared" si="346"/>
        <v>都市整備部</v>
      </c>
      <c r="R1038" s="7" t="str">
        <f t="shared" si="356"/>
        <v>八尾土木事務所</v>
      </c>
    </row>
    <row r="1039" spans="1:18" s="1" customFormat="1" x14ac:dyDescent="0.45">
      <c r="A1039" s="7" t="str">
        <f t="shared" si="348"/>
        <v>08204000154</v>
      </c>
      <c r="B1039" s="7" t="str">
        <f t="shared" si="349"/>
        <v>久宝寺緑地（一般会計）</v>
      </c>
      <c r="C1039" s="7" t="str">
        <f t="shared" si="354"/>
        <v>行政財産</v>
      </c>
      <c r="D1039" s="7" t="str">
        <f t="shared" si="358"/>
        <v>公園</v>
      </c>
      <c r="E1039" s="7" t="str">
        <f t="shared" si="351"/>
        <v>大阪府八尾市西久宝寺</v>
      </c>
      <c r="F1039" s="7"/>
      <c r="G1039" s="7" t="str">
        <f t="shared" si="355"/>
        <v>事業用資産</v>
      </c>
      <c r="H1039" s="7" t="str">
        <f t="shared" si="357"/>
        <v>棚卸以外</v>
      </c>
      <c r="I1039" s="7">
        <v>57</v>
      </c>
      <c r="J1039" s="7" t="str">
        <f>"倉庫（苗圃関電鉄塔横）"</f>
        <v>倉庫（苗圃関電鉄塔横）</v>
      </c>
      <c r="K1039" s="7" t="str">
        <f t="shared" si="359"/>
        <v>土蔵造(簡易建物)</v>
      </c>
      <c r="L1039" s="7" t="str">
        <f>"H06.10.01"</f>
        <v>H06.10.01</v>
      </c>
      <c r="M1039" s="7">
        <v>25.52</v>
      </c>
      <c r="N1039" s="7">
        <v>57681</v>
      </c>
      <c r="O1039" s="7">
        <v>57680</v>
      </c>
      <c r="P1039" s="7">
        <v>0</v>
      </c>
      <c r="Q1039" s="7" t="str">
        <f t="shared" si="346"/>
        <v>都市整備部</v>
      </c>
      <c r="R1039" s="7" t="str">
        <f t="shared" si="356"/>
        <v>八尾土木事務所</v>
      </c>
    </row>
    <row r="1040" spans="1:18" s="1" customFormat="1" x14ac:dyDescent="0.45">
      <c r="A1040" s="7" t="str">
        <f t="shared" ref="A1040:A1053" si="360">"08204000155"</f>
        <v>08204000155</v>
      </c>
      <c r="B1040" s="7" t="str">
        <f t="shared" ref="B1040:B1053" si="361">"枚岡公園"</f>
        <v>枚岡公園</v>
      </c>
      <c r="C1040" s="7" t="str">
        <f t="shared" si="354"/>
        <v>行政財産</v>
      </c>
      <c r="D1040" s="7" t="str">
        <f t="shared" si="358"/>
        <v>公園</v>
      </c>
      <c r="E1040" s="7" t="str">
        <f t="shared" ref="E1040:E1053" si="362">"大阪府東大阪市東豊浦町"</f>
        <v>大阪府東大阪市東豊浦町</v>
      </c>
      <c r="F1040" s="7"/>
      <c r="G1040" s="7" t="str">
        <f t="shared" si="355"/>
        <v>事業用資産</v>
      </c>
      <c r="H1040" s="7" t="str">
        <f t="shared" si="357"/>
        <v>棚卸以外</v>
      </c>
      <c r="I1040" s="7">
        <v>7</v>
      </c>
      <c r="J1040" s="7" t="str">
        <f>"暗峠休憩所"</f>
        <v>暗峠休憩所</v>
      </c>
      <c r="K1040" s="7" t="str">
        <f>"木造"</f>
        <v>木造</v>
      </c>
      <c r="L1040" s="7" t="str">
        <f>"S13.03.31"</f>
        <v>S13.03.31</v>
      </c>
      <c r="M1040" s="7">
        <v>90.9</v>
      </c>
      <c r="N1040" s="7">
        <v>102707</v>
      </c>
      <c r="O1040" s="7">
        <v>102706</v>
      </c>
      <c r="P1040" s="7">
        <v>0</v>
      </c>
      <c r="Q1040" s="7" t="str">
        <f t="shared" si="346"/>
        <v>都市整備部</v>
      </c>
      <c r="R1040" s="7" t="str">
        <f t="shared" si="356"/>
        <v>八尾土木事務所</v>
      </c>
    </row>
    <row r="1041" spans="1:18" s="1" customFormat="1" x14ac:dyDescent="0.45">
      <c r="A1041" s="7" t="str">
        <f t="shared" si="360"/>
        <v>08204000155</v>
      </c>
      <c r="B1041" s="7" t="str">
        <f t="shared" si="361"/>
        <v>枚岡公園</v>
      </c>
      <c r="C1041" s="7" t="str">
        <f t="shared" si="354"/>
        <v>行政財産</v>
      </c>
      <c r="D1041" s="7" t="str">
        <f t="shared" si="358"/>
        <v>公園</v>
      </c>
      <c r="E1041" s="7" t="str">
        <f t="shared" si="362"/>
        <v>大阪府東大阪市東豊浦町</v>
      </c>
      <c r="F1041" s="7"/>
      <c r="G1041" s="7" t="str">
        <f t="shared" si="355"/>
        <v>事業用資産</v>
      </c>
      <c r="H1041" s="7" t="str">
        <f t="shared" si="357"/>
        <v>棚卸以外</v>
      </c>
      <c r="I1041" s="7">
        <v>15</v>
      </c>
      <c r="J1041" s="7" t="str">
        <f>"森の工作室"</f>
        <v>森の工作室</v>
      </c>
      <c r="K1041" s="7" t="str">
        <f>"木造"</f>
        <v>木造</v>
      </c>
      <c r="L1041" s="7" t="str">
        <f>"S30.03.31"</f>
        <v>S30.03.31</v>
      </c>
      <c r="M1041" s="7">
        <v>33.049999999999997</v>
      </c>
      <c r="N1041" s="7">
        <v>65302</v>
      </c>
      <c r="O1041" s="7">
        <v>65301</v>
      </c>
      <c r="P1041" s="7">
        <v>0</v>
      </c>
      <c r="Q1041" s="7" t="str">
        <f t="shared" si="346"/>
        <v>都市整備部</v>
      </c>
      <c r="R1041" s="7" t="str">
        <f t="shared" si="356"/>
        <v>八尾土木事務所</v>
      </c>
    </row>
    <row r="1042" spans="1:18" s="1" customFormat="1" x14ac:dyDescent="0.45">
      <c r="A1042" s="7" t="str">
        <f t="shared" si="360"/>
        <v>08204000155</v>
      </c>
      <c r="B1042" s="7" t="str">
        <f t="shared" si="361"/>
        <v>枚岡公園</v>
      </c>
      <c r="C1042" s="7" t="str">
        <f t="shared" si="354"/>
        <v>行政財産</v>
      </c>
      <c r="D1042" s="7" t="str">
        <f t="shared" si="358"/>
        <v>公園</v>
      </c>
      <c r="E1042" s="7" t="str">
        <f t="shared" si="362"/>
        <v>大阪府東大阪市東豊浦町</v>
      </c>
      <c r="F1042" s="7"/>
      <c r="G1042" s="7" t="str">
        <f t="shared" si="355"/>
        <v>事業用資産</v>
      </c>
      <c r="H1042" s="7" t="str">
        <f t="shared" si="357"/>
        <v>棚卸以外</v>
      </c>
      <c r="I1042" s="7">
        <v>16</v>
      </c>
      <c r="J1042" s="7" t="str">
        <f>"枚岡山展望台"</f>
        <v>枚岡山展望台</v>
      </c>
      <c r="K1042" s="7" t="str">
        <f>"鉄筋コンクリート造"</f>
        <v>鉄筋コンクリート造</v>
      </c>
      <c r="L1042" s="7" t="str">
        <f>"S34.03.31"</f>
        <v>S34.03.31</v>
      </c>
      <c r="M1042" s="7">
        <v>31.99</v>
      </c>
      <c r="N1042" s="7">
        <v>1243125</v>
      </c>
      <c r="O1042" s="7">
        <v>1243124</v>
      </c>
      <c r="P1042" s="7">
        <v>0</v>
      </c>
      <c r="Q1042" s="7" t="str">
        <f t="shared" si="346"/>
        <v>都市整備部</v>
      </c>
      <c r="R1042" s="7" t="str">
        <f t="shared" si="356"/>
        <v>八尾土木事務所</v>
      </c>
    </row>
    <row r="1043" spans="1:18" s="1" customFormat="1" x14ac:dyDescent="0.45">
      <c r="A1043" s="7" t="str">
        <f t="shared" si="360"/>
        <v>08204000155</v>
      </c>
      <c r="B1043" s="7" t="str">
        <f t="shared" si="361"/>
        <v>枚岡公園</v>
      </c>
      <c r="C1043" s="7" t="str">
        <f t="shared" si="354"/>
        <v>行政財産</v>
      </c>
      <c r="D1043" s="7" t="str">
        <f t="shared" si="358"/>
        <v>公園</v>
      </c>
      <c r="E1043" s="7" t="str">
        <f t="shared" si="362"/>
        <v>大阪府東大阪市東豊浦町</v>
      </c>
      <c r="F1043" s="7"/>
      <c r="G1043" s="7" t="str">
        <f t="shared" si="355"/>
        <v>事業用資産</v>
      </c>
      <c r="H1043" s="7" t="str">
        <f t="shared" si="357"/>
        <v>棚卸以外</v>
      </c>
      <c r="I1043" s="7">
        <v>22</v>
      </c>
      <c r="J1043" s="7" t="str">
        <f>"物置"</f>
        <v>物置</v>
      </c>
      <c r="K1043" s="7" t="str">
        <f>"土蔵造(簡易建物)"</f>
        <v>土蔵造(簡易建物)</v>
      </c>
      <c r="L1043" s="7" t="str">
        <f>"S25.01.01"</f>
        <v>S25.01.01</v>
      </c>
      <c r="M1043" s="7">
        <v>26.44</v>
      </c>
      <c r="N1043" s="7">
        <v>1850000</v>
      </c>
      <c r="O1043" s="7">
        <v>1849999</v>
      </c>
      <c r="P1043" s="7">
        <v>0</v>
      </c>
      <c r="Q1043" s="7" t="str">
        <f t="shared" si="346"/>
        <v>都市整備部</v>
      </c>
      <c r="R1043" s="7" t="str">
        <f t="shared" si="356"/>
        <v>八尾土木事務所</v>
      </c>
    </row>
    <row r="1044" spans="1:18" s="1" customFormat="1" x14ac:dyDescent="0.45">
      <c r="A1044" s="7" t="str">
        <f t="shared" si="360"/>
        <v>08204000155</v>
      </c>
      <c r="B1044" s="7" t="str">
        <f t="shared" si="361"/>
        <v>枚岡公園</v>
      </c>
      <c r="C1044" s="7" t="str">
        <f t="shared" si="354"/>
        <v>行政財産</v>
      </c>
      <c r="D1044" s="7" t="str">
        <f t="shared" si="358"/>
        <v>公園</v>
      </c>
      <c r="E1044" s="7" t="str">
        <f t="shared" si="362"/>
        <v>大阪府東大阪市東豊浦町</v>
      </c>
      <c r="F1044" s="7"/>
      <c r="G1044" s="7" t="str">
        <f t="shared" si="355"/>
        <v>事業用資産</v>
      </c>
      <c r="H1044" s="7" t="str">
        <f t="shared" si="357"/>
        <v>棚卸以外</v>
      </c>
      <c r="I1044" s="7">
        <v>24</v>
      </c>
      <c r="J1044" s="7" t="str">
        <f>"枚岡梅林休憩所"</f>
        <v>枚岡梅林休憩所</v>
      </c>
      <c r="K1044" s="7" t="str">
        <f>"木造"</f>
        <v>木造</v>
      </c>
      <c r="L1044" s="7" t="str">
        <f>"S58.12.23"</f>
        <v>S58.12.23</v>
      </c>
      <c r="M1044" s="7">
        <v>16.7</v>
      </c>
      <c r="N1044" s="7">
        <v>3139000</v>
      </c>
      <c r="O1044" s="7">
        <v>3138999</v>
      </c>
      <c r="P1044" s="7">
        <v>0</v>
      </c>
      <c r="Q1044" s="7" t="str">
        <f t="shared" si="346"/>
        <v>都市整備部</v>
      </c>
      <c r="R1044" s="7" t="str">
        <f t="shared" si="356"/>
        <v>八尾土木事務所</v>
      </c>
    </row>
    <row r="1045" spans="1:18" s="1" customFormat="1" x14ac:dyDescent="0.45">
      <c r="A1045" s="7" t="str">
        <f t="shared" si="360"/>
        <v>08204000155</v>
      </c>
      <c r="B1045" s="7" t="str">
        <f t="shared" si="361"/>
        <v>枚岡公園</v>
      </c>
      <c r="C1045" s="7" t="str">
        <f t="shared" si="354"/>
        <v>行政財産</v>
      </c>
      <c r="D1045" s="7" t="str">
        <f t="shared" si="358"/>
        <v>公園</v>
      </c>
      <c r="E1045" s="7" t="str">
        <f t="shared" si="362"/>
        <v>大阪府東大阪市東豊浦町</v>
      </c>
      <c r="F1045" s="7"/>
      <c r="G1045" s="7" t="str">
        <f t="shared" si="355"/>
        <v>事業用資産</v>
      </c>
      <c r="H1045" s="7" t="str">
        <f t="shared" si="357"/>
        <v>棚卸以外</v>
      </c>
      <c r="I1045" s="7">
        <v>26</v>
      </c>
      <c r="J1045" s="7" t="str">
        <f>"公園管理事務所"</f>
        <v>公園管理事務所</v>
      </c>
      <c r="K1045" s="7" t="str">
        <f>"鉄筋コンクリート造"</f>
        <v>鉄筋コンクリート造</v>
      </c>
      <c r="L1045" s="7" t="str">
        <f>"S59.03.31"</f>
        <v>S59.03.31</v>
      </c>
      <c r="M1045" s="7">
        <v>139.99</v>
      </c>
      <c r="N1045" s="7">
        <v>53145426</v>
      </c>
      <c r="O1045" s="7">
        <v>14804244</v>
      </c>
      <c r="P1045" s="7">
        <v>0</v>
      </c>
      <c r="Q1045" s="7" t="str">
        <f t="shared" si="346"/>
        <v>都市整備部</v>
      </c>
      <c r="R1045" s="7" t="str">
        <f t="shared" si="356"/>
        <v>八尾土木事務所</v>
      </c>
    </row>
    <row r="1046" spans="1:18" s="1" customFormat="1" x14ac:dyDescent="0.45">
      <c r="A1046" s="7" t="str">
        <f t="shared" si="360"/>
        <v>08204000155</v>
      </c>
      <c r="B1046" s="7" t="str">
        <f t="shared" si="361"/>
        <v>枚岡公園</v>
      </c>
      <c r="C1046" s="7" t="str">
        <f t="shared" si="354"/>
        <v>行政財産</v>
      </c>
      <c r="D1046" s="7" t="str">
        <f t="shared" si="358"/>
        <v>公園</v>
      </c>
      <c r="E1046" s="7" t="str">
        <f t="shared" si="362"/>
        <v>大阪府東大阪市東豊浦町</v>
      </c>
      <c r="F1046" s="7"/>
      <c r="G1046" s="7" t="str">
        <f t="shared" si="355"/>
        <v>事業用資産</v>
      </c>
      <c r="H1046" s="7" t="str">
        <f t="shared" si="357"/>
        <v>棚卸以外</v>
      </c>
      <c r="I1046" s="7">
        <v>27</v>
      </c>
      <c r="J1046" s="7" t="str">
        <f>"椋ケ根橋休憩所"</f>
        <v>椋ケ根橋休憩所</v>
      </c>
      <c r="K1046" s="7" t="str">
        <f>"鉄筋コンクリート造"</f>
        <v>鉄筋コンクリート造</v>
      </c>
      <c r="L1046" s="7" t="str">
        <f>"S62.02.25"</f>
        <v>S62.02.25</v>
      </c>
      <c r="M1046" s="7">
        <v>33.880000000000003</v>
      </c>
      <c r="N1046" s="7">
        <v>6295000</v>
      </c>
      <c r="O1046" s="7">
        <v>4543036</v>
      </c>
      <c r="P1046" s="7">
        <v>0</v>
      </c>
      <c r="Q1046" s="7" t="str">
        <f t="shared" si="346"/>
        <v>都市整備部</v>
      </c>
      <c r="R1046" s="7" t="str">
        <f t="shared" si="356"/>
        <v>八尾土木事務所</v>
      </c>
    </row>
    <row r="1047" spans="1:18" s="1" customFormat="1" x14ac:dyDescent="0.45">
      <c r="A1047" s="7" t="str">
        <f t="shared" si="360"/>
        <v>08204000155</v>
      </c>
      <c r="B1047" s="7" t="str">
        <f t="shared" si="361"/>
        <v>枚岡公園</v>
      </c>
      <c r="C1047" s="7" t="str">
        <f t="shared" si="354"/>
        <v>行政財産</v>
      </c>
      <c r="D1047" s="7" t="str">
        <f t="shared" si="358"/>
        <v>公園</v>
      </c>
      <c r="E1047" s="7" t="str">
        <f t="shared" si="362"/>
        <v>大阪府東大阪市東豊浦町</v>
      </c>
      <c r="F1047" s="7"/>
      <c r="G1047" s="7" t="str">
        <f t="shared" si="355"/>
        <v>事業用資産</v>
      </c>
      <c r="H1047" s="7" t="str">
        <f t="shared" si="357"/>
        <v>棚卸以外</v>
      </c>
      <c r="I1047" s="7">
        <v>28</v>
      </c>
      <c r="J1047" s="7" t="str">
        <f>"公園管理事務所前便所"</f>
        <v>公園管理事務所前便所</v>
      </c>
      <c r="K1047" s="7" t="str">
        <f>"鉄筋コンクリート造"</f>
        <v>鉄筋コンクリート造</v>
      </c>
      <c r="L1047" s="7" t="str">
        <f>"H01.03.31"</f>
        <v>H01.03.31</v>
      </c>
      <c r="M1047" s="7">
        <v>32.25</v>
      </c>
      <c r="N1047" s="7">
        <v>19656060</v>
      </c>
      <c r="O1047" s="7">
        <v>13075440</v>
      </c>
      <c r="P1047" s="7">
        <v>0</v>
      </c>
      <c r="Q1047" s="7" t="str">
        <f t="shared" si="346"/>
        <v>都市整備部</v>
      </c>
      <c r="R1047" s="7" t="str">
        <f t="shared" si="356"/>
        <v>八尾土木事務所</v>
      </c>
    </row>
    <row r="1048" spans="1:18" s="1" customFormat="1" x14ac:dyDescent="0.45">
      <c r="A1048" s="7" t="str">
        <f t="shared" si="360"/>
        <v>08204000155</v>
      </c>
      <c r="B1048" s="7" t="str">
        <f t="shared" si="361"/>
        <v>枚岡公園</v>
      </c>
      <c r="C1048" s="7" t="str">
        <f t="shared" si="354"/>
        <v>行政財産</v>
      </c>
      <c r="D1048" s="7" t="str">
        <f t="shared" si="358"/>
        <v>公園</v>
      </c>
      <c r="E1048" s="7" t="str">
        <f t="shared" si="362"/>
        <v>大阪府東大阪市東豊浦町</v>
      </c>
      <c r="F1048" s="7"/>
      <c r="G1048" s="7" t="str">
        <f t="shared" ref="G1048:G1056" si="363">"事業用資産"</f>
        <v>事業用資産</v>
      </c>
      <c r="H1048" s="7" t="str">
        <f t="shared" si="357"/>
        <v>棚卸以外</v>
      </c>
      <c r="I1048" s="7">
        <v>29</v>
      </c>
      <c r="J1048" s="7" t="str">
        <f>"枚岡梅林便所"</f>
        <v>枚岡梅林便所</v>
      </c>
      <c r="K1048" s="7" t="str">
        <f>"鉄筋コンクリート造"</f>
        <v>鉄筋コンクリート造</v>
      </c>
      <c r="L1048" s="7" t="str">
        <f>"H03.03.27"</f>
        <v>H03.03.27</v>
      </c>
      <c r="M1048" s="7">
        <v>37.090000000000003</v>
      </c>
      <c r="N1048" s="7">
        <v>23262060</v>
      </c>
      <c r="O1048" s="7">
        <v>15399840</v>
      </c>
      <c r="P1048" s="7">
        <v>0</v>
      </c>
      <c r="Q1048" s="7" t="str">
        <f t="shared" si="346"/>
        <v>都市整備部</v>
      </c>
      <c r="R1048" s="7" t="str">
        <f t="shared" si="356"/>
        <v>八尾土木事務所</v>
      </c>
    </row>
    <row r="1049" spans="1:18" s="1" customFormat="1" x14ac:dyDescent="0.45">
      <c r="A1049" s="7" t="str">
        <f t="shared" si="360"/>
        <v>08204000155</v>
      </c>
      <c r="B1049" s="7" t="str">
        <f t="shared" si="361"/>
        <v>枚岡公園</v>
      </c>
      <c r="C1049" s="7" t="str">
        <f t="shared" si="354"/>
        <v>行政財産</v>
      </c>
      <c r="D1049" s="7" t="str">
        <f t="shared" si="358"/>
        <v>公園</v>
      </c>
      <c r="E1049" s="7" t="str">
        <f t="shared" si="362"/>
        <v>大阪府東大阪市東豊浦町</v>
      </c>
      <c r="F1049" s="7"/>
      <c r="G1049" s="7" t="str">
        <f t="shared" si="363"/>
        <v>事業用資産</v>
      </c>
      <c r="H1049" s="7" t="str">
        <f t="shared" si="357"/>
        <v>棚卸以外</v>
      </c>
      <c r="I1049" s="7">
        <v>30</v>
      </c>
      <c r="J1049" s="7" t="str">
        <f>"額田山展望台"</f>
        <v>額田山展望台</v>
      </c>
      <c r="K1049" s="7" t="str">
        <f>"鉄骨造"</f>
        <v>鉄骨造</v>
      </c>
      <c r="L1049" s="7" t="str">
        <f>"H06.06.20"</f>
        <v>H06.06.20</v>
      </c>
      <c r="M1049" s="7">
        <v>36.56</v>
      </c>
      <c r="N1049" s="7">
        <v>29400060</v>
      </c>
      <c r="O1049" s="7">
        <v>18578031</v>
      </c>
      <c r="P1049" s="7">
        <v>0</v>
      </c>
      <c r="Q1049" s="7" t="str">
        <f t="shared" si="346"/>
        <v>都市整備部</v>
      </c>
      <c r="R1049" s="7" t="str">
        <f t="shared" si="356"/>
        <v>八尾土木事務所</v>
      </c>
    </row>
    <row r="1050" spans="1:18" s="1" customFormat="1" x14ac:dyDescent="0.45">
      <c r="A1050" s="7" t="str">
        <f t="shared" si="360"/>
        <v>08204000155</v>
      </c>
      <c r="B1050" s="7" t="str">
        <f t="shared" si="361"/>
        <v>枚岡公園</v>
      </c>
      <c r="C1050" s="7" t="str">
        <f t="shared" si="354"/>
        <v>行政財産</v>
      </c>
      <c r="D1050" s="7" t="str">
        <f t="shared" si="358"/>
        <v>公園</v>
      </c>
      <c r="E1050" s="7" t="str">
        <f t="shared" si="362"/>
        <v>大阪府東大阪市東豊浦町</v>
      </c>
      <c r="F1050" s="7"/>
      <c r="G1050" s="7" t="str">
        <f t="shared" si="363"/>
        <v>事業用資産</v>
      </c>
      <c r="H1050" s="7" t="str">
        <f t="shared" si="357"/>
        <v>棚卸以外</v>
      </c>
      <c r="I1050" s="7">
        <v>31</v>
      </c>
      <c r="J1050" s="7" t="str">
        <f>"椋ヶ根橋便所"</f>
        <v>椋ヶ根橋便所</v>
      </c>
      <c r="K1050" s="7" t="str">
        <f>"鉄筋コンクリート造"</f>
        <v>鉄筋コンクリート造</v>
      </c>
      <c r="L1050" s="7" t="str">
        <f>"H07.03.24"</f>
        <v>H07.03.24</v>
      </c>
      <c r="M1050" s="7">
        <v>29.05</v>
      </c>
      <c r="N1050" s="7">
        <v>27453060</v>
      </c>
      <c r="O1050" s="7">
        <v>16683888</v>
      </c>
      <c r="P1050" s="7">
        <v>0</v>
      </c>
      <c r="Q1050" s="7" t="str">
        <f t="shared" si="346"/>
        <v>都市整備部</v>
      </c>
      <c r="R1050" s="7" t="str">
        <f t="shared" ref="R1050:R1059" si="364">"八尾土木事務所"</f>
        <v>八尾土木事務所</v>
      </c>
    </row>
    <row r="1051" spans="1:18" s="1" customFormat="1" x14ac:dyDescent="0.45">
      <c r="A1051" s="7" t="str">
        <f t="shared" si="360"/>
        <v>08204000155</v>
      </c>
      <c r="B1051" s="7" t="str">
        <f t="shared" si="361"/>
        <v>枚岡公園</v>
      </c>
      <c r="C1051" s="7" t="str">
        <f t="shared" si="354"/>
        <v>行政財産</v>
      </c>
      <c r="D1051" s="7" t="str">
        <f t="shared" si="358"/>
        <v>公園</v>
      </c>
      <c r="E1051" s="7" t="str">
        <f t="shared" si="362"/>
        <v>大阪府東大阪市東豊浦町</v>
      </c>
      <c r="F1051" s="7"/>
      <c r="G1051" s="7" t="str">
        <f t="shared" si="363"/>
        <v>事業用資産</v>
      </c>
      <c r="H1051" s="7" t="str">
        <f t="shared" si="357"/>
        <v>棚卸以外</v>
      </c>
      <c r="I1051" s="7">
        <v>32</v>
      </c>
      <c r="J1051" s="7" t="str">
        <f>"森のおもちゃ箱便所"</f>
        <v>森のおもちゃ箱便所</v>
      </c>
      <c r="K1051" s="7" t="str">
        <f>"鉄筋コンクリート造"</f>
        <v>鉄筋コンクリート造</v>
      </c>
      <c r="L1051" s="7" t="str">
        <f>"H18.03.27"</f>
        <v>H18.03.27</v>
      </c>
      <c r="M1051" s="7">
        <v>77.56</v>
      </c>
      <c r="N1051" s="7">
        <v>33711000</v>
      </c>
      <c r="O1051" s="7">
        <v>15081312</v>
      </c>
      <c r="P1051" s="7">
        <v>0</v>
      </c>
      <c r="Q1051" s="7" t="str">
        <f t="shared" ref="Q1051:Q1114" si="365">"都市整備部"</f>
        <v>都市整備部</v>
      </c>
      <c r="R1051" s="7" t="str">
        <f t="shared" si="364"/>
        <v>八尾土木事務所</v>
      </c>
    </row>
    <row r="1052" spans="1:18" s="1" customFormat="1" x14ac:dyDescent="0.45">
      <c r="A1052" s="7" t="str">
        <f t="shared" si="360"/>
        <v>08204000155</v>
      </c>
      <c r="B1052" s="7" t="str">
        <f t="shared" si="361"/>
        <v>枚岡公園</v>
      </c>
      <c r="C1052" s="7" t="str">
        <f t="shared" si="354"/>
        <v>行政財産</v>
      </c>
      <c r="D1052" s="7" t="str">
        <f t="shared" si="358"/>
        <v>公園</v>
      </c>
      <c r="E1052" s="7" t="str">
        <f t="shared" si="362"/>
        <v>大阪府東大阪市東豊浦町</v>
      </c>
      <c r="F1052" s="7"/>
      <c r="G1052" s="7" t="str">
        <f t="shared" si="363"/>
        <v>事業用資産</v>
      </c>
      <c r="H1052" s="7" t="str">
        <f t="shared" si="357"/>
        <v>棚卸以外</v>
      </c>
      <c r="I1052" s="7">
        <v>33</v>
      </c>
      <c r="J1052" s="7" t="str">
        <f>"桜広場便所"</f>
        <v>桜広場便所</v>
      </c>
      <c r="K1052" s="7" t="str">
        <f>"鉄筋コンクリート造"</f>
        <v>鉄筋コンクリート造</v>
      </c>
      <c r="L1052" s="7" t="str">
        <f>"H19.03.26"</f>
        <v>H19.03.26</v>
      </c>
      <c r="M1052" s="7">
        <v>29.75</v>
      </c>
      <c r="N1052" s="7">
        <v>15647000</v>
      </c>
      <c r="O1052" s="7">
        <v>6588288</v>
      </c>
      <c r="P1052" s="7">
        <v>0</v>
      </c>
      <c r="Q1052" s="7" t="str">
        <f t="shared" si="365"/>
        <v>都市整備部</v>
      </c>
      <c r="R1052" s="7" t="str">
        <f t="shared" si="364"/>
        <v>八尾土木事務所</v>
      </c>
    </row>
    <row r="1053" spans="1:18" s="1" customFormat="1" x14ac:dyDescent="0.45">
      <c r="A1053" s="7" t="str">
        <f t="shared" si="360"/>
        <v>08204000155</v>
      </c>
      <c r="B1053" s="7" t="str">
        <f t="shared" si="361"/>
        <v>枚岡公園</v>
      </c>
      <c r="C1053" s="7" t="str">
        <f t="shared" si="354"/>
        <v>行政財産</v>
      </c>
      <c r="D1053" s="7" t="str">
        <f t="shared" si="358"/>
        <v>公園</v>
      </c>
      <c r="E1053" s="7" t="str">
        <f t="shared" si="362"/>
        <v>大阪府東大阪市東豊浦町</v>
      </c>
      <c r="F1053" s="7"/>
      <c r="G1053" s="7" t="str">
        <f t="shared" si="363"/>
        <v>事業用資産</v>
      </c>
      <c r="H1053" s="7" t="str">
        <f t="shared" si="357"/>
        <v>棚卸以外</v>
      </c>
      <c r="I1053" s="7">
        <v>34</v>
      </c>
      <c r="J1053" s="7" t="str">
        <f>"枚岡梅林売店"</f>
        <v>枚岡梅林売店</v>
      </c>
      <c r="K1053" s="7" t="str">
        <f>"木造"</f>
        <v>木造</v>
      </c>
      <c r="L1053" s="7" t="str">
        <f>"H19.03.23"</f>
        <v>H19.03.23</v>
      </c>
      <c r="M1053" s="7">
        <v>9.93</v>
      </c>
      <c r="N1053" s="7">
        <v>2272000</v>
      </c>
      <c r="O1053" s="7">
        <v>2271999</v>
      </c>
      <c r="P1053" s="7">
        <v>0</v>
      </c>
      <c r="Q1053" s="7" t="str">
        <f t="shared" si="365"/>
        <v>都市整備部</v>
      </c>
      <c r="R1053" s="7" t="str">
        <f t="shared" si="364"/>
        <v>八尾土木事務所</v>
      </c>
    </row>
    <row r="1054" spans="1:18" s="1" customFormat="1" x14ac:dyDescent="0.45">
      <c r="A1054" s="7" t="str">
        <f>"08204001001"</f>
        <v>08204001001</v>
      </c>
      <c r="B1054" s="7" t="str">
        <f>"八尾土木事務所水防倉庫"</f>
        <v>八尾土木事務所水防倉庫</v>
      </c>
      <c r="C1054" s="7" t="str">
        <f t="shared" si="354"/>
        <v>行政財産</v>
      </c>
      <c r="D1054" s="7" t="str">
        <f>"その他（行政機関）の施設"</f>
        <v>その他（行政機関）の施設</v>
      </c>
      <c r="E1054" s="7" t="str">
        <f>"大阪府八尾市神武町"</f>
        <v>大阪府八尾市神武町</v>
      </c>
      <c r="F1054" s="7"/>
      <c r="G1054" s="7" t="str">
        <f t="shared" si="363"/>
        <v>事業用資産</v>
      </c>
      <c r="H1054" s="7" t="str">
        <f t="shared" si="357"/>
        <v>棚卸以外</v>
      </c>
      <c r="I1054" s="7">
        <v>1</v>
      </c>
      <c r="J1054" s="7" t="str">
        <f>"水防倉庫"</f>
        <v>水防倉庫</v>
      </c>
      <c r="K1054" s="7" t="str">
        <f>"軽量鉄骨造"</f>
        <v>軽量鉄骨造</v>
      </c>
      <c r="L1054" s="7" t="str">
        <f>"S25.01.01"</f>
        <v>S25.01.01</v>
      </c>
      <c r="M1054" s="7">
        <v>130.6</v>
      </c>
      <c r="N1054" s="7">
        <v>2230000</v>
      </c>
      <c r="O1054" s="7">
        <v>2229999</v>
      </c>
      <c r="P1054" s="7">
        <v>0</v>
      </c>
      <c r="Q1054" s="7" t="str">
        <f t="shared" si="365"/>
        <v>都市整備部</v>
      </c>
      <c r="R1054" s="7" t="str">
        <f t="shared" si="364"/>
        <v>八尾土木事務所</v>
      </c>
    </row>
    <row r="1055" spans="1:18" s="1" customFormat="1" x14ac:dyDescent="0.45">
      <c r="A1055" s="7" t="str">
        <f>"08204001002"</f>
        <v>08204001002</v>
      </c>
      <c r="B1055" s="7" t="str">
        <f>"水防倉庫（沼水防倉庫）"</f>
        <v>水防倉庫（沼水防倉庫）</v>
      </c>
      <c r="C1055" s="7" t="str">
        <f t="shared" si="354"/>
        <v>行政財産</v>
      </c>
      <c r="D1055" s="7" t="str">
        <f>"その他（行政機関）の施設"</f>
        <v>その他（行政機関）の施設</v>
      </c>
      <c r="E1055" s="7" t="str">
        <f>"大阪府八尾市沼１丁目"</f>
        <v>大阪府八尾市沼１丁目</v>
      </c>
      <c r="F1055" s="7"/>
      <c r="G1055" s="7" t="str">
        <f t="shared" si="363"/>
        <v>事業用資産</v>
      </c>
      <c r="H1055" s="7" t="str">
        <f t="shared" si="357"/>
        <v>棚卸以外</v>
      </c>
      <c r="I1055" s="7">
        <v>1</v>
      </c>
      <c r="J1055" s="7" t="str">
        <f>"沼水防倉庫"</f>
        <v>沼水防倉庫</v>
      </c>
      <c r="K1055" s="7" t="str">
        <f>"鉄筋コンクリート造"</f>
        <v>鉄筋コンクリート造</v>
      </c>
      <c r="L1055" s="7" t="str">
        <f>"S25.01.01"</f>
        <v>S25.01.01</v>
      </c>
      <c r="M1055" s="7">
        <v>47.44</v>
      </c>
      <c r="N1055" s="7">
        <v>267682</v>
      </c>
      <c r="O1055" s="7">
        <v>267681</v>
      </c>
      <c r="P1055" s="7">
        <v>0</v>
      </c>
      <c r="Q1055" s="7" t="str">
        <f t="shared" si="365"/>
        <v>都市整備部</v>
      </c>
      <c r="R1055" s="7" t="str">
        <f t="shared" si="364"/>
        <v>八尾土木事務所</v>
      </c>
    </row>
    <row r="1056" spans="1:18" s="1" customFormat="1" x14ac:dyDescent="0.45">
      <c r="A1056" s="7" t="str">
        <f>"08204001003"</f>
        <v>08204001003</v>
      </c>
      <c r="B1056" s="7" t="str">
        <f>"水防倉庫（桜ヶ丘水防倉庫）"</f>
        <v>水防倉庫（桜ヶ丘水防倉庫）</v>
      </c>
      <c r="C1056" s="7" t="str">
        <f t="shared" si="354"/>
        <v>行政財産</v>
      </c>
      <c r="D1056" s="7" t="str">
        <f>"その他（行政機関）の施設"</f>
        <v>その他（行政機関）の施設</v>
      </c>
      <c r="E1056" s="7" t="str">
        <f>"大阪府八尾市桜ヶ丘２丁目"</f>
        <v>大阪府八尾市桜ヶ丘２丁目</v>
      </c>
      <c r="F1056" s="7"/>
      <c r="G1056" s="7" t="str">
        <f t="shared" si="363"/>
        <v>事業用資産</v>
      </c>
      <c r="H1056" s="7" t="str">
        <f t="shared" si="357"/>
        <v>棚卸以外</v>
      </c>
      <c r="I1056" s="7">
        <v>1</v>
      </c>
      <c r="J1056" s="7" t="str">
        <f>"桜ヶ丘水防倉庫"</f>
        <v>桜ヶ丘水防倉庫</v>
      </c>
      <c r="K1056" s="7" t="str">
        <f>"鉄筋コンクリート造"</f>
        <v>鉄筋コンクリート造</v>
      </c>
      <c r="L1056" s="7" t="str">
        <f>"S25.01.01"</f>
        <v>S25.01.01</v>
      </c>
      <c r="M1056" s="7">
        <v>43.2</v>
      </c>
      <c r="N1056" s="7">
        <v>420349</v>
      </c>
      <c r="O1056" s="7">
        <v>420348</v>
      </c>
      <c r="P1056" s="7">
        <v>0</v>
      </c>
      <c r="Q1056" s="7" t="str">
        <f t="shared" si="365"/>
        <v>都市整備部</v>
      </c>
      <c r="R1056" s="7" t="str">
        <f t="shared" si="364"/>
        <v>八尾土木事務所</v>
      </c>
    </row>
    <row r="1057" spans="1:18" s="1" customFormat="1" x14ac:dyDescent="0.45">
      <c r="A1057" s="7" t="str">
        <f>"08204002010"</f>
        <v>08204002010</v>
      </c>
      <c r="B1057" s="7" t="str">
        <f>"新家調節池"</f>
        <v>新家調節池</v>
      </c>
      <c r="C1057" s="7" t="str">
        <f t="shared" si="354"/>
        <v>行政財産</v>
      </c>
      <c r="D1057" s="7" t="str">
        <f>"その他"</f>
        <v>その他</v>
      </c>
      <c r="E1057" s="7" t="str">
        <f>"大阪府八尾市新家町５丁目"</f>
        <v>大阪府八尾市新家町５丁目</v>
      </c>
      <c r="F1057" s="7"/>
      <c r="G1057" s="7" t="str">
        <f>"インフラ資産"</f>
        <v>インフラ資産</v>
      </c>
      <c r="H1057" s="7" t="str">
        <f t="shared" si="357"/>
        <v>棚卸以外</v>
      </c>
      <c r="I1057" s="7">
        <v>4</v>
      </c>
      <c r="J1057" s="7" t="str">
        <f>"新家調節池管理棟"</f>
        <v>新家調節池管理棟</v>
      </c>
      <c r="K1057" s="7" t="str">
        <f>"鉄筋コンクリート造"</f>
        <v>鉄筋コンクリート造</v>
      </c>
      <c r="L1057" s="7" t="str">
        <f>"H22.03.31"</f>
        <v>H22.03.31</v>
      </c>
      <c r="M1057" s="7">
        <v>464.17</v>
      </c>
      <c r="N1057" s="7">
        <v>136489820</v>
      </c>
      <c r="O1057" s="7">
        <v>35487504</v>
      </c>
      <c r="P1057" s="7">
        <v>0</v>
      </c>
      <c r="Q1057" s="7" t="str">
        <f t="shared" si="365"/>
        <v>都市整備部</v>
      </c>
      <c r="R1057" s="7" t="str">
        <f t="shared" si="364"/>
        <v>八尾土木事務所</v>
      </c>
    </row>
    <row r="1058" spans="1:18" s="1" customFormat="1" ht="26.4" x14ac:dyDescent="0.45">
      <c r="A1058" s="7" t="str">
        <f>"08204003047"</f>
        <v>08204003047</v>
      </c>
      <c r="B1058" s="7" t="str">
        <f>"水防倉庫（石切水防倉庫）"</f>
        <v>水防倉庫（石切水防倉庫）</v>
      </c>
      <c r="C1058" s="7" t="str">
        <f t="shared" si="354"/>
        <v>行政財産</v>
      </c>
      <c r="D1058" s="7" t="str">
        <f>"その他"</f>
        <v>その他</v>
      </c>
      <c r="E1058" s="7" t="str">
        <f>"大阪府東大阪市"</f>
        <v>大阪府東大阪市</v>
      </c>
      <c r="F1058" s="7" t="str">
        <f>"中石切町３丁目地内"</f>
        <v>中石切町３丁目地内</v>
      </c>
      <c r="G1058" s="7" t="str">
        <f t="shared" ref="G1058:G1095" si="366">"事業用資産"</f>
        <v>事業用資産</v>
      </c>
      <c r="H1058" s="7" t="str">
        <f t="shared" si="357"/>
        <v>棚卸以外</v>
      </c>
      <c r="I1058" s="7">
        <v>1</v>
      </c>
      <c r="J1058" s="7" t="str">
        <f>"石切水防倉庫"</f>
        <v>石切水防倉庫</v>
      </c>
      <c r="K1058" s="7" t="str">
        <f>"鉄骨造"</f>
        <v>鉄骨造</v>
      </c>
      <c r="L1058" s="7" t="str">
        <f>"H26.05.09"</f>
        <v>H26.05.09</v>
      </c>
      <c r="M1058" s="7">
        <v>86.4</v>
      </c>
      <c r="N1058" s="7">
        <v>11221200</v>
      </c>
      <c r="O1058" s="7">
        <v>3197490</v>
      </c>
      <c r="P1058" s="7">
        <v>0</v>
      </c>
      <c r="Q1058" s="7" t="str">
        <f t="shared" si="365"/>
        <v>都市整備部</v>
      </c>
      <c r="R1058" s="7" t="str">
        <f t="shared" si="364"/>
        <v>八尾土木事務所</v>
      </c>
    </row>
    <row r="1059" spans="1:18" s="1" customFormat="1" x14ac:dyDescent="0.45">
      <c r="A1059" s="7" t="str">
        <f>"08204003088"</f>
        <v>08204003088</v>
      </c>
      <c r="B1059" s="7" t="str">
        <f>"大阪府中河内府民センタービル倉庫棟"</f>
        <v>大阪府中河内府民センタービル倉庫棟</v>
      </c>
      <c r="C1059" s="7" t="str">
        <f t="shared" si="354"/>
        <v>行政財産</v>
      </c>
      <c r="D1059" s="7" t="str">
        <f t="shared" ref="D1059:D1066" si="367">"その他（行政機関）の施設"</f>
        <v>その他（行政機関）の施設</v>
      </c>
      <c r="E1059" s="7" t="str">
        <f>"大阪府八尾市荘内町２丁目"</f>
        <v>大阪府八尾市荘内町２丁目</v>
      </c>
      <c r="F1059" s="7" t="str">
        <f>"1－27"</f>
        <v>1－27</v>
      </c>
      <c r="G1059" s="7" t="str">
        <f t="shared" si="366"/>
        <v>事業用資産</v>
      </c>
      <c r="H1059" s="7" t="str">
        <f t="shared" si="357"/>
        <v>棚卸以外</v>
      </c>
      <c r="I1059" s="7">
        <v>1</v>
      </c>
      <c r="J1059" s="7" t="str">
        <f>"倉庫棟"</f>
        <v>倉庫棟</v>
      </c>
      <c r="K1059" s="7" t="str">
        <f>"鉄骨造"</f>
        <v>鉄骨造</v>
      </c>
      <c r="L1059" s="7" t="str">
        <f>"R04.09.01"</f>
        <v>R04.09.01</v>
      </c>
      <c r="M1059" s="7">
        <v>608</v>
      </c>
      <c r="N1059" s="7">
        <v>108435960</v>
      </c>
      <c r="O1059" s="7">
        <v>1923744</v>
      </c>
      <c r="P1059" s="7">
        <v>0</v>
      </c>
      <c r="Q1059" s="7" t="str">
        <f t="shared" si="365"/>
        <v>都市整備部</v>
      </c>
      <c r="R1059" s="7" t="str">
        <f t="shared" si="364"/>
        <v>八尾土木事務所</v>
      </c>
    </row>
    <row r="1060" spans="1:18" s="1" customFormat="1" x14ac:dyDescent="0.45">
      <c r="A1060" s="7" t="str">
        <f t="shared" ref="A1060:A1065" si="368">"08205000000"</f>
        <v>08205000000</v>
      </c>
      <c r="B1060" s="7" t="str">
        <f t="shared" ref="B1060:B1065" si="369">"水防倉庫（佐備川詰所）"</f>
        <v>水防倉庫（佐備川詰所）</v>
      </c>
      <c r="C1060" s="7" t="str">
        <f t="shared" si="354"/>
        <v>行政財産</v>
      </c>
      <c r="D1060" s="7" t="str">
        <f t="shared" si="367"/>
        <v>その他（行政機関）の施設</v>
      </c>
      <c r="E1060" s="7" t="str">
        <f t="shared" ref="E1060:E1065" si="370">"大阪府富田林市川向町"</f>
        <v>大阪府富田林市川向町</v>
      </c>
      <c r="F1060" s="7"/>
      <c r="G1060" s="7" t="str">
        <f t="shared" si="366"/>
        <v>事業用資産</v>
      </c>
      <c r="H1060" s="7" t="str">
        <f t="shared" si="357"/>
        <v>棚卸以外</v>
      </c>
      <c r="I1060" s="7">
        <v>21</v>
      </c>
      <c r="J1060" s="7" t="str">
        <f>"佐備川詰所１"</f>
        <v>佐備川詰所１</v>
      </c>
      <c r="K1060" s="7" t="str">
        <f>"軽量鉄骨造"</f>
        <v>軽量鉄骨造</v>
      </c>
      <c r="L1060" s="7" t="str">
        <f>"S50.03.06"</f>
        <v>S50.03.06</v>
      </c>
      <c r="M1060" s="7">
        <v>106.7</v>
      </c>
      <c r="N1060" s="7">
        <v>1496000</v>
      </c>
      <c r="O1060" s="7">
        <v>1495999</v>
      </c>
      <c r="P1060" s="7">
        <v>0</v>
      </c>
      <c r="Q1060" s="7" t="str">
        <f t="shared" si="365"/>
        <v>都市整備部</v>
      </c>
      <c r="R1060" s="7" t="str">
        <f t="shared" ref="R1060:R1099" si="371">"富田林土木事務所"</f>
        <v>富田林土木事務所</v>
      </c>
    </row>
    <row r="1061" spans="1:18" s="1" customFormat="1" x14ac:dyDescent="0.45">
      <c r="A1061" s="7" t="str">
        <f t="shared" si="368"/>
        <v>08205000000</v>
      </c>
      <c r="B1061" s="7" t="str">
        <f t="shared" si="369"/>
        <v>水防倉庫（佐備川詰所）</v>
      </c>
      <c r="C1061" s="7" t="str">
        <f t="shared" si="354"/>
        <v>行政財産</v>
      </c>
      <c r="D1061" s="7" t="str">
        <f t="shared" si="367"/>
        <v>その他（行政機関）の施設</v>
      </c>
      <c r="E1061" s="7" t="str">
        <f t="shared" si="370"/>
        <v>大阪府富田林市川向町</v>
      </c>
      <c r="F1061" s="7"/>
      <c r="G1061" s="7" t="str">
        <f t="shared" si="366"/>
        <v>事業用資産</v>
      </c>
      <c r="H1061" s="7" t="str">
        <f t="shared" si="357"/>
        <v>棚卸以外</v>
      </c>
      <c r="I1061" s="7">
        <v>22</v>
      </c>
      <c r="J1061" s="7" t="str">
        <f>"佐備川詰所２"</f>
        <v>佐備川詰所２</v>
      </c>
      <c r="K1061" s="7" t="str">
        <f>"軽量鉄骨造"</f>
        <v>軽量鉄骨造</v>
      </c>
      <c r="L1061" s="7" t="str">
        <f>"H06.03.25"</f>
        <v>H06.03.25</v>
      </c>
      <c r="M1061" s="7">
        <v>147.79</v>
      </c>
      <c r="N1061" s="7">
        <v>16040000</v>
      </c>
      <c r="O1061" s="7">
        <v>16039999</v>
      </c>
      <c r="P1061" s="7">
        <v>0</v>
      </c>
      <c r="Q1061" s="7" t="str">
        <f t="shared" si="365"/>
        <v>都市整備部</v>
      </c>
      <c r="R1061" s="7" t="str">
        <f t="shared" si="371"/>
        <v>富田林土木事務所</v>
      </c>
    </row>
    <row r="1062" spans="1:18" s="1" customFormat="1" x14ac:dyDescent="0.45">
      <c r="A1062" s="7" t="str">
        <f t="shared" si="368"/>
        <v>08205000000</v>
      </c>
      <c r="B1062" s="7" t="str">
        <f t="shared" si="369"/>
        <v>水防倉庫（佐備川詰所）</v>
      </c>
      <c r="C1062" s="7" t="str">
        <f t="shared" si="354"/>
        <v>行政財産</v>
      </c>
      <c r="D1062" s="7" t="str">
        <f t="shared" si="367"/>
        <v>その他（行政機関）の施設</v>
      </c>
      <c r="E1062" s="7" t="str">
        <f t="shared" si="370"/>
        <v>大阪府富田林市川向町</v>
      </c>
      <c r="F1062" s="7"/>
      <c r="G1062" s="7" t="str">
        <f t="shared" si="366"/>
        <v>事業用資産</v>
      </c>
      <c r="H1062" s="7" t="str">
        <f t="shared" si="357"/>
        <v>棚卸以外</v>
      </c>
      <c r="I1062" s="7">
        <v>23</v>
      </c>
      <c r="J1062" s="7" t="str">
        <f>"佐備川詰所３"</f>
        <v>佐備川詰所３</v>
      </c>
      <c r="K1062" s="7" t="str">
        <f>"軽量鉄骨造"</f>
        <v>軽量鉄骨造</v>
      </c>
      <c r="L1062" s="7" t="str">
        <f>"H15.03.20"</f>
        <v>H15.03.20</v>
      </c>
      <c r="M1062" s="7">
        <v>153.91999999999999</v>
      </c>
      <c r="N1062" s="7">
        <v>11152000</v>
      </c>
      <c r="O1062" s="7">
        <v>9293520</v>
      </c>
      <c r="P1062" s="7">
        <v>0</v>
      </c>
      <c r="Q1062" s="7" t="str">
        <f t="shared" si="365"/>
        <v>都市整備部</v>
      </c>
      <c r="R1062" s="7" t="str">
        <f t="shared" si="371"/>
        <v>富田林土木事務所</v>
      </c>
    </row>
    <row r="1063" spans="1:18" s="1" customFormat="1" x14ac:dyDescent="0.45">
      <c r="A1063" s="7" t="str">
        <f t="shared" si="368"/>
        <v>08205000000</v>
      </c>
      <c r="B1063" s="7" t="str">
        <f t="shared" si="369"/>
        <v>水防倉庫（佐備川詰所）</v>
      </c>
      <c r="C1063" s="7" t="str">
        <f t="shared" si="354"/>
        <v>行政財産</v>
      </c>
      <c r="D1063" s="7" t="str">
        <f t="shared" si="367"/>
        <v>その他（行政機関）の施設</v>
      </c>
      <c r="E1063" s="7" t="str">
        <f t="shared" si="370"/>
        <v>大阪府富田林市川向町</v>
      </c>
      <c r="F1063" s="7"/>
      <c r="G1063" s="7" t="str">
        <f t="shared" si="366"/>
        <v>事業用資産</v>
      </c>
      <c r="H1063" s="7" t="str">
        <f t="shared" si="357"/>
        <v>棚卸以外</v>
      </c>
      <c r="I1063" s="7">
        <v>25</v>
      </c>
      <c r="J1063" s="7" t="str">
        <f>"佐備川詰所２４"</f>
        <v>佐備川詰所２４</v>
      </c>
      <c r="K1063" s="7" t="str">
        <f>"軽量鉄骨造"</f>
        <v>軽量鉄骨造</v>
      </c>
      <c r="L1063" s="7" t="str">
        <f>"H19.04.30"</f>
        <v>H19.04.30</v>
      </c>
      <c r="M1063" s="7">
        <v>163.06</v>
      </c>
      <c r="N1063" s="7">
        <v>9966000</v>
      </c>
      <c r="O1063" s="7">
        <v>6609555</v>
      </c>
      <c r="P1063" s="7">
        <v>0</v>
      </c>
      <c r="Q1063" s="7" t="str">
        <f t="shared" si="365"/>
        <v>都市整備部</v>
      </c>
      <c r="R1063" s="7" t="str">
        <f t="shared" si="371"/>
        <v>富田林土木事務所</v>
      </c>
    </row>
    <row r="1064" spans="1:18" s="1" customFormat="1" x14ac:dyDescent="0.45">
      <c r="A1064" s="7" t="str">
        <f t="shared" si="368"/>
        <v>08205000000</v>
      </c>
      <c r="B1064" s="7" t="str">
        <f t="shared" si="369"/>
        <v>水防倉庫（佐備川詰所）</v>
      </c>
      <c r="C1064" s="7" t="str">
        <f t="shared" si="354"/>
        <v>行政財産</v>
      </c>
      <c r="D1064" s="7" t="str">
        <f t="shared" si="367"/>
        <v>その他（行政機関）の施設</v>
      </c>
      <c r="E1064" s="7" t="str">
        <f t="shared" si="370"/>
        <v>大阪府富田林市川向町</v>
      </c>
      <c r="F1064" s="7"/>
      <c r="G1064" s="7" t="str">
        <f t="shared" si="366"/>
        <v>事業用資産</v>
      </c>
      <c r="H1064" s="7" t="str">
        <f t="shared" si="357"/>
        <v>棚卸以外</v>
      </c>
      <c r="I1064" s="7">
        <v>26</v>
      </c>
      <c r="J1064" s="7" t="str">
        <f>"佐備川詰所（B棟）"</f>
        <v>佐備川詰所（B棟）</v>
      </c>
      <c r="K1064" s="7" t="str">
        <f>"鉄骨造"</f>
        <v>鉄骨造</v>
      </c>
      <c r="L1064" s="7" t="str">
        <f>"R01.10.31"</f>
        <v>R01.10.31</v>
      </c>
      <c r="M1064" s="7">
        <v>265.14</v>
      </c>
      <c r="N1064" s="7">
        <v>82871100</v>
      </c>
      <c r="O1064" s="7">
        <v>9133693</v>
      </c>
      <c r="P1064" s="7">
        <v>0</v>
      </c>
      <c r="Q1064" s="7" t="str">
        <f t="shared" si="365"/>
        <v>都市整備部</v>
      </c>
      <c r="R1064" s="7" t="str">
        <f t="shared" si="371"/>
        <v>富田林土木事務所</v>
      </c>
    </row>
    <row r="1065" spans="1:18" s="1" customFormat="1" x14ac:dyDescent="0.45">
      <c r="A1065" s="7" t="str">
        <f t="shared" si="368"/>
        <v>08205000000</v>
      </c>
      <c r="B1065" s="7" t="str">
        <f t="shared" si="369"/>
        <v>水防倉庫（佐備川詰所）</v>
      </c>
      <c r="C1065" s="7" t="str">
        <f t="shared" si="354"/>
        <v>行政財産</v>
      </c>
      <c r="D1065" s="7" t="str">
        <f t="shared" si="367"/>
        <v>その他（行政機関）の施設</v>
      </c>
      <c r="E1065" s="7" t="str">
        <f t="shared" si="370"/>
        <v>大阪府富田林市川向町</v>
      </c>
      <c r="F1065" s="7"/>
      <c r="G1065" s="7" t="str">
        <f t="shared" si="366"/>
        <v>事業用資産</v>
      </c>
      <c r="H1065" s="7" t="str">
        <f t="shared" si="357"/>
        <v>棚卸以外</v>
      </c>
      <c r="I1065" s="7">
        <v>27</v>
      </c>
      <c r="J1065" s="7" t="str">
        <f>"佐備川詰所（A棟）"</f>
        <v>佐備川詰所（A棟）</v>
      </c>
      <c r="K1065" s="7" t="str">
        <f>"鉄骨造"</f>
        <v>鉄骨造</v>
      </c>
      <c r="L1065" s="7" t="str">
        <f>"R04.05.31"</f>
        <v>R04.05.31</v>
      </c>
      <c r="M1065" s="7">
        <v>338.7</v>
      </c>
      <c r="N1065" s="7">
        <v>114955118</v>
      </c>
      <c r="O1065" s="7">
        <v>2520960</v>
      </c>
      <c r="P1065" s="7">
        <v>0</v>
      </c>
      <c r="Q1065" s="7" t="str">
        <f t="shared" si="365"/>
        <v>都市整備部</v>
      </c>
      <c r="R1065" s="7" t="str">
        <f t="shared" si="371"/>
        <v>富田林土木事務所</v>
      </c>
    </row>
    <row r="1066" spans="1:18" s="1" customFormat="1" x14ac:dyDescent="0.45">
      <c r="A1066" s="7" t="str">
        <f>"08205000002"</f>
        <v>08205000002</v>
      </c>
      <c r="B1066" s="7" t="str">
        <f>"水防倉庫（川西水防倉庫）"</f>
        <v>水防倉庫（川西水防倉庫）</v>
      </c>
      <c r="C1066" s="7" t="str">
        <f t="shared" si="354"/>
        <v>行政財産</v>
      </c>
      <c r="D1066" s="7" t="str">
        <f t="shared" si="367"/>
        <v>その他（行政機関）の施設</v>
      </c>
      <c r="E1066" s="7" t="str">
        <f>"大阪府富田林市大字甲田"</f>
        <v>大阪府富田林市大字甲田</v>
      </c>
      <c r="F1066" s="7"/>
      <c r="G1066" s="7" t="str">
        <f t="shared" si="366"/>
        <v>事業用資産</v>
      </c>
      <c r="H1066" s="7" t="str">
        <f t="shared" si="357"/>
        <v>棚卸以外</v>
      </c>
      <c r="I1066" s="7">
        <v>1</v>
      </c>
      <c r="J1066" s="7" t="str">
        <f>"川西水防倉庫"</f>
        <v>川西水防倉庫</v>
      </c>
      <c r="K1066" s="7" t="str">
        <f>"軽量鉄骨造"</f>
        <v>軽量鉄骨造</v>
      </c>
      <c r="L1066" s="7" t="str">
        <f>"S60.03.30"</f>
        <v>S60.03.30</v>
      </c>
      <c r="M1066" s="7">
        <v>40.96</v>
      </c>
      <c r="N1066" s="7">
        <v>2680000</v>
      </c>
      <c r="O1066" s="7">
        <v>2679999</v>
      </c>
      <c r="P1066" s="7">
        <v>0</v>
      </c>
      <c r="Q1066" s="7" t="str">
        <f t="shared" si="365"/>
        <v>都市整備部</v>
      </c>
      <c r="R1066" s="7" t="str">
        <f t="shared" si="371"/>
        <v>富田林土木事務所</v>
      </c>
    </row>
    <row r="1067" spans="1:18" s="1" customFormat="1" x14ac:dyDescent="0.45">
      <c r="A1067" s="7" t="str">
        <f t="shared" ref="A1067:A1084" si="372">"08205000157"</f>
        <v>08205000157</v>
      </c>
      <c r="B1067" s="7" t="str">
        <f t="shared" ref="B1067:B1084" si="373">"錦織公園"</f>
        <v>錦織公園</v>
      </c>
      <c r="C1067" s="7" t="str">
        <f t="shared" si="354"/>
        <v>行政財産</v>
      </c>
      <c r="D1067" s="7" t="str">
        <f t="shared" ref="D1067:D1095" si="374">"公園"</f>
        <v>公園</v>
      </c>
      <c r="E1067" s="7" t="str">
        <f t="shared" ref="E1067:E1084" si="375">"大阪府富田林市大字錦織"</f>
        <v>大阪府富田林市大字錦織</v>
      </c>
      <c r="F1067" s="7"/>
      <c r="G1067" s="7" t="str">
        <f t="shared" si="366"/>
        <v>事業用資産</v>
      </c>
      <c r="H1067" s="7" t="str">
        <f t="shared" si="357"/>
        <v>棚卸以外</v>
      </c>
      <c r="I1067" s="7">
        <v>4</v>
      </c>
      <c r="J1067" s="7" t="str">
        <f>"倉庫Ｎｏ．４"</f>
        <v>倉庫Ｎｏ．４</v>
      </c>
      <c r="K1067" s="7" t="str">
        <f>"軽量鉄骨造"</f>
        <v>軽量鉄骨造</v>
      </c>
      <c r="L1067" s="7" t="str">
        <f>"S58.12.23"</f>
        <v>S58.12.23</v>
      </c>
      <c r="M1067" s="7">
        <v>15.4</v>
      </c>
      <c r="N1067" s="7">
        <v>630000</v>
      </c>
      <c r="O1067" s="7">
        <v>629999</v>
      </c>
      <c r="P1067" s="7">
        <v>0</v>
      </c>
      <c r="Q1067" s="7" t="str">
        <f t="shared" si="365"/>
        <v>都市整備部</v>
      </c>
      <c r="R1067" s="7" t="str">
        <f t="shared" si="371"/>
        <v>富田林土木事務所</v>
      </c>
    </row>
    <row r="1068" spans="1:18" s="1" customFormat="1" x14ac:dyDescent="0.45">
      <c r="A1068" s="7" t="str">
        <f t="shared" si="372"/>
        <v>08205000157</v>
      </c>
      <c r="B1068" s="7" t="str">
        <f t="shared" si="373"/>
        <v>錦織公園</v>
      </c>
      <c r="C1068" s="7" t="str">
        <f t="shared" si="354"/>
        <v>行政財産</v>
      </c>
      <c r="D1068" s="7" t="str">
        <f t="shared" si="374"/>
        <v>公園</v>
      </c>
      <c r="E1068" s="7" t="str">
        <f t="shared" si="375"/>
        <v>大阪府富田林市大字錦織</v>
      </c>
      <c r="F1068" s="7"/>
      <c r="G1068" s="7" t="str">
        <f t="shared" si="366"/>
        <v>事業用資産</v>
      </c>
      <c r="H1068" s="7" t="str">
        <f t="shared" si="357"/>
        <v>棚卸以外</v>
      </c>
      <c r="I1068" s="7">
        <v>5</v>
      </c>
      <c r="J1068" s="7" t="str">
        <f>"パークセンター"</f>
        <v>パークセンター</v>
      </c>
      <c r="K1068" s="7" t="str">
        <f>"鉄筋コンクリート造"</f>
        <v>鉄筋コンクリート造</v>
      </c>
      <c r="L1068" s="7" t="str">
        <f>"S61.11.25"</f>
        <v>S61.11.25</v>
      </c>
      <c r="M1068" s="7">
        <v>359</v>
      </c>
      <c r="N1068" s="7">
        <v>77800000</v>
      </c>
      <c r="O1068" s="7">
        <v>56534812</v>
      </c>
      <c r="P1068" s="7">
        <v>0</v>
      </c>
      <c r="Q1068" s="7" t="str">
        <f t="shared" si="365"/>
        <v>都市整備部</v>
      </c>
      <c r="R1068" s="7" t="str">
        <f t="shared" si="371"/>
        <v>富田林土木事務所</v>
      </c>
    </row>
    <row r="1069" spans="1:18" s="1" customFormat="1" x14ac:dyDescent="0.45">
      <c r="A1069" s="7" t="str">
        <f t="shared" si="372"/>
        <v>08205000157</v>
      </c>
      <c r="B1069" s="7" t="str">
        <f t="shared" si="373"/>
        <v>錦織公園</v>
      </c>
      <c r="C1069" s="7" t="str">
        <f t="shared" si="354"/>
        <v>行政財産</v>
      </c>
      <c r="D1069" s="7" t="str">
        <f t="shared" si="374"/>
        <v>公園</v>
      </c>
      <c r="E1069" s="7" t="str">
        <f t="shared" si="375"/>
        <v>大阪府富田林市大字錦織</v>
      </c>
      <c r="F1069" s="7"/>
      <c r="G1069" s="7" t="str">
        <f t="shared" si="366"/>
        <v>事業用資産</v>
      </c>
      <c r="H1069" s="7" t="str">
        <f t="shared" si="357"/>
        <v>棚卸以外</v>
      </c>
      <c r="I1069" s="7">
        <v>6</v>
      </c>
      <c r="J1069" s="7" t="str">
        <f>"やんちゃの里便所"</f>
        <v>やんちゃの里便所</v>
      </c>
      <c r="K1069" s="7" t="str">
        <f>"鉄骨造"</f>
        <v>鉄骨造</v>
      </c>
      <c r="L1069" s="7" t="str">
        <f>"S62.02.27"</f>
        <v>S62.02.27</v>
      </c>
      <c r="M1069" s="7">
        <v>36</v>
      </c>
      <c r="N1069" s="7">
        <v>11460000</v>
      </c>
      <c r="O1069" s="7">
        <v>10882156</v>
      </c>
      <c r="P1069" s="7">
        <v>0</v>
      </c>
      <c r="Q1069" s="7" t="str">
        <f t="shared" si="365"/>
        <v>都市整備部</v>
      </c>
      <c r="R1069" s="7" t="str">
        <f t="shared" si="371"/>
        <v>富田林土木事務所</v>
      </c>
    </row>
    <row r="1070" spans="1:18" s="1" customFormat="1" x14ac:dyDescent="0.45">
      <c r="A1070" s="7" t="str">
        <f t="shared" si="372"/>
        <v>08205000157</v>
      </c>
      <c r="B1070" s="7" t="str">
        <f t="shared" si="373"/>
        <v>錦織公園</v>
      </c>
      <c r="C1070" s="7" t="str">
        <f t="shared" si="354"/>
        <v>行政財産</v>
      </c>
      <c r="D1070" s="7" t="str">
        <f t="shared" si="374"/>
        <v>公園</v>
      </c>
      <c r="E1070" s="7" t="str">
        <f t="shared" si="375"/>
        <v>大阪府富田林市大字錦織</v>
      </c>
      <c r="F1070" s="7"/>
      <c r="G1070" s="7" t="str">
        <f t="shared" si="366"/>
        <v>事業用資産</v>
      </c>
      <c r="H1070" s="7" t="str">
        <f t="shared" si="357"/>
        <v>棚卸以外</v>
      </c>
      <c r="I1070" s="7">
        <v>7</v>
      </c>
      <c r="J1070" s="7" t="str">
        <f>"桜木の里便所"</f>
        <v>桜木の里便所</v>
      </c>
      <c r="K1070" s="7" t="str">
        <f>"鉄筋コンクリート造"</f>
        <v>鉄筋コンクリート造</v>
      </c>
      <c r="L1070" s="7" t="str">
        <f>"S62.02.27"</f>
        <v>S62.02.27</v>
      </c>
      <c r="M1070" s="7">
        <v>27.52</v>
      </c>
      <c r="N1070" s="7">
        <v>26917131</v>
      </c>
      <c r="O1070" s="7">
        <v>10635608</v>
      </c>
      <c r="P1070" s="7">
        <v>0</v>
      </c>
      <c r="Q1070" s="7" t="str">
        <f t="shared" si="365"/>
        <v>都市整備部</v>
      </c>
      <c r="R1070" s="7" t="str">
        <f t="shared" si="371"/>
        <v>富田林土木事務所</v>
      </c>
    </row>
    <row r="1071" spans="1:18" s="1" customFormat="1" x14ac:dyDescent="0.45">
      <c r="A1071" s="7" t="str">
        <f t="shared" si="372"/>
        <v>08205000157</v>
      </c>
      <c r="B1071" s="7" t="str">
        <f t="shared" si="373"/>
        <v>錦織公園</v>
      </c>
      <c r="C1071" s="7" t="str">
        <f t="shared" si="354"/>
        <v>行政財産</v>
      </c>
      <c r="D1071" s="7" t="str">
        <f t="shared" si="374"/>
        <v>公園</v>
      </c>
      <c r="E1071" s="7" t="str">
        <f t="shared" si="375"/>
        <v>大阪府富田林市大字錦織</v>
      </c>
      <c r="F1071" s="7"/>
      <c r="G1071" s="7" t="str">
        <f t="shared" si="366"/>
        <v>事業用資産</v>
      </c>
      <c r="H1071" s="7" t="str">
        <f t="shared" si="357"/>
        <v>棚卸以外</v>
      </c>
      <c r="I1071" s="7">
        <v>9</v>
      </c>
      <c r="J1071" s="7" t="str">
        <f>"倉庫Ｎｏ．９"</f>
        <v>倉庫Ｎｏ．９</v>
      </c>
      <c r="K1071" s="7" t="str">
        <f>"軽量鉄骨造"</f>
        <v>軽量鉄骨造</v>
      </c>
      <c r="L1071" s="7" t="str">
        <f>"S63.03.30"</f>
        <v>S63.03.30</v>
      </c>
      <c r="M1071" s="7">
        <v>15.4</v>
      </c>
      <c r="N1071" s="7">
        <v>404000</v>
      </c>
      <c r="O1071" s="7">
        <v>403999</v>
      </c>
      <c r="P1071" s="7">
        <v>0</v>
      </c>
      <c r="Q1071" s="7" t="str">
        <f t="shared" si="365"/>
        <v>都市整備部</v>
      </c>
      <c r="R1071" s="7" t="str">
        <f t="shared" si="371"/>
        <v>富田林土木事務所</v>
      </c>
    </row>
    <row r="1072" spans="1:18" s="1" customFormat="1" x14ac:dyDescent="0.45">
      <c r="A1072" s="7" t="str">
        <f t="shared" si="372"/>
        <v>08205000157</v>
      </c>
      <c r="B1072" s="7" t="str">
        <f t="shared" si="373"/>
        <v>錦織公園</v>
      </c>
      <c r="C1072" s="7" t="str">
        <f t="shared" si="354"/>
        <v>行政財産</v>
      </c>
      <c r="D1072" s="7" t="str">
        <f t="shared" si="374"/>
        <v>公園</v>
      </c>
      <c r="E1072" s="7" t="str">
        <f t="shared" si="375"/>
        <v>大阪府富田林市大字錦織</v>
      </c>
      <c r="F1072" s="7"/>
      <c r="G1072" s="7" t="str">
        <f t="shared" si="366"/>
        <v>事業用資産</v>
      </c>
      <c r="H1072" s="7" t="str">
        <f t="shared" si="357"/>
        <v>棚卸以外</v>
      </c>
      <c r="I1072" s="7">
        <v>10</v>
      </c>
      <c r="J1072" s="7" t="str">
        <f>"里の家"</f>
        <v>里の家</v>
      </c>
      <c r="K1072" s="7" t="str">
        <f>"木造"</f>
        <v>木造</v>
      </c>
      <c r="L1072" s="7" t="str">
        <f>"H02.03.22"</f>
        <v>H02.03.22</v>
      </c>
      <c r="M1072" s="7">
        <v>95.38</v>
      </c>
      <c r="N1072" s="7">
        <v>27912000</v>
      </c>
      <c r="O1072" s="7">
        <v>27911999</v>
      </c>
      <c r="P1072" s="7">
        <v>0</v>
      </c>
      <c r="Q1072" s="7" t="str">
        <f t="shared" si="365"/>
        <v>都市整備部</v>
      </c>
      <c r="R1072" s="7" t="str">
        <f t="shared" si="371"/>
        <v>富田林土木事務所</v>
      </c>
    </row>
    <row r="1073" spans="1:18" s="1" customFormat="1" x14ac:dyDescent="0.45">
      <c r="A1073" s="7" t="str">
        <f t="shared" si="372"/>
        <v>08205000157</v>
      </c>
      <c r="B1073" s="7" t="str">
        <f t="shared" si="373"/>
        <v>錦織公園</v>
      </c>
      <c r="C1073" s="7" t="str">
        <f t="shared" si="354"/>
        <v>行政財産</v>
      </c>
      <c r="D1073" s="7" t="str">
        <f t="shared" si="374"/>
        <v>公園</v>
      </c>
      <c r="E1073" s="7" t="str">
        <f t="shared" si="375"/>
        <v>大阪府富田林市大字錦織</v>
      </c>
      <c r="F1073" s="7"/>
      <c r="G1073" s="7" t="str">
        <f t="shared" si="366"/>
        <v>事業用資産</v>
      </c>
      <c r="H1073" s="7" t="str">
        <f t="shared" si="357"/>
        <v>棚卸以外</v>
      </c>
      <c r="I1073" s="7">
        <v>11</v>
      </c>
      <c r="J1073" s="7" t="str">
        <f>"河内の里便所"</f>
        <v>河内の里便所</v>
      </c>
      <c r="K1073" s="7" t="str">
        <f>"木造"</f>
        <v>木造</v>
      </c>
      <c r="L1073" s="7" t="str">
        <f>"H02.03.22"</f>
        <v>H02.03.22</v>
      </c>
      <c r="M1073" s="7">
        <v>67.7</v>
      </c>
      <c r="N1073" s="7">
        <v>28573000</v>
      </c>
      <c r="O1073" s="7">
        <v>28572999</v>
      </c>
      <c r="P1073" s="7">
        <v>0</v>
      </c>
      <c r="Q1073" s="7" t="str">
        <f t="shared" si="365"/>
        <v>都市整備部</v>
      </c>
      <c r="R1073" s="7" t="str">
        <f t="shared" si="371"/>
        <v>富田林土木事務所</v>
      </c>
    </row>
    <row r="1074" spans="1:18" s="1" customFormat="1" x14ac:dyDescent="0.45">
      <c r="A1074" s="7" t="str">
        <f t="shared" si="372"/>
        <v>08205000157</v>
      </c>
      <c r="B1074" s="7" t="str">
        <f t="shared" si="373"/>
        <v>錦織公園</v>
      </c>
      <c r="C1074" s="7" t="str">
        <f t="shared" si="354"/>
        <v>行政財産</v>
      </c>
      <c r="D1074" s="7" t="str">
        <f t="shared" si="374"/>
        <v>公園</v>
      </c>
      <c r="E1074" s="7" t="str">
        <f t="shared" si="375"/>
        <v>大阪府富田林市大字錦織</v>
      </c>
      <c r="F1074" s="7"/>
      <c r="G1074" s="7" t="str">
        <f t="shared" si="366"/>
        <v>事業用資産</v>
      </c>
      <c r="H1074" s="7" t="str">
        <f t="shared" si="357"/>
        <v>棚卸以外</v>
      </c>
      <c r="I1074" s="7">
        <v>12</v>
      </c>
      <c r="J1074" s="7" t="str">
        <f>"管理詰所"</f>
        <v>管理詰所</v>
      </c>
      <c r="K1074" s="7" t="str">
        <f>"木造"</f>
        <v>木造</v>
      </c>
      <c r="L1074" s="7" t="str">
        <f>"H03.03.29"</f>
        <v>H03.03.29</v>
      </c>
      <c r="M1074" s="7">
        <v>19.440000000000001</v>
      </c>
      <c r="N1074" s="7">
        <v>8261000</v>
      </c>
      <c r="O1074" s="7">
        <v>8260999</v>
      </c>
      <c r="P1074" s="7">
        <v>0</v>
      </c>
      <c r="Q1074" s="7" t="str">
        <f t="shared" si="365"/>
        <v>都市整備部</v>
      </c>
      <c r="R1074" s="7" t="str">
        <f t="shared" si="371"/>
        <v>富田林土木事務所</v>
      </c>
    </row>
    <row r="1075" spans="1:18" s="1" customFormat="1" x14ac:dyDescent="0.45">
      <c r="A1075" s="7" t="str">
        <f t="shared" si="372"/>
        <v>08205000157</v>
      </c>
      <c r="B1075" s="7" t="str">
        <f t="shared" si="373"/>
        <v>錦織公園</v>
      </c>
      <c r="C1075" s="7" t="str">
        <f t="shared" si="354"/>
        <v>行政財産</v>
      </c>
      <c r="D1075" s="7" t="str">
        <f t="shared" si="374"/>
        <v>公園</v>
      </c>
      <c r="E1075" s="7" t="str">
        <f t="shared" si="375"/>
        <v>大阪府富田林市大字錦織</v>
      </c>
      <c r="F1075" s="7"/>
      <c r="G1075" s="7" t="str">
        <f t="shared" si="366"/>
        <v>事業用資産</v>
      </c>
      <c r="H1075" s="7" t="str">
        <f t="shared" si="357"/>
        <v>棚卸以外</v>
      </c>
      <c r="I1075" s="7">
        <v>13</v>
      </c>
      <c r="J1075" s="7" t="str">
        <f>"一の谷便所"</f>
        <v>一の谷便所</v>
      </c>
      <c r="K1075" s="7" t="str">
        <f>"鉄筋コンクリート造"</f>
        <v>鉄筋コンクリート造</v>
      </c>
      <c r="L1075" s="7" t="str">
        <f>"H05.02.26"</f>
        <v>H05.02.26</v>
      </c>
      <c r="M1075" s="7">
        <v>36.369999999999997</v>
      </c>
      <c r="N1075" s="7">
        <v>23284000</v>
      </c>
      <c r="O1075" s="7">
        <v>18433382</v>
      </c>
      <c r="P1075" s="7">
        <v>0</v>
      </c>
      <c r="Q1075" s="7" t="str">
        <f t="shared" si="365"/>
        <v>都市整備部</v>
      </c>
      <c r="R1075" s="7" t="str">
        <f t="shared" si="371"/>
        <v>富田林土木事務所</v>
      </c>
    </row>
    <row r="1076" spans="1:18" s="1" customFormat="1" x14ac:dyDescent="0.45">
      <c r="A1076" s="7" t="str">
        <f t="shared" si="372"/>
        <v>08205000157</v>
      </c>
      <c r="B1076" s="7" t="str">
        <f t="shared" si="373"/>
        <v>錦織公園</v>
      </c>
      <c r="C1076" s="7" t="str">
        <f t="shared" si="354"/>
        <v>行政財産</v>
      </c>
      <c r="D1076" s="7" t="str">
        <f t="shared" si="374"/>
        <v>公園</v>
      </c>
      <c r="E1076" s="7" t="str">
        <f t="shared" si="375"/>
        <v>大阪府富田林市大字錦織</v>
      </c>
      <c r="F1076" s="7"/>
      <c r="G1076" s="7" t="str">
        <f t="shared" si="366"/>
        <v>事業用資産</v>
      </c>
      <c r="H1076" s="7" t="str">
        <f t="shared" si="357"/>
        <v>棚卸以外</v>
      </c>
      <c r="I1076" s="7">
        <v>14</v>
      </c>
      <c r="J1076" s="7" t="str">
        <f>"自然学習館"</f>
        <v>自然学習館</v>
      </c>
      <c r="K1076" s="7" t="str">
        <f>"鉄骨造"</f>
        <v>鉄骨造</v>
      </c>
      <c r="L1076" s="7" t="str">
        <f>"H06.03.10"</f>
        <v>H06.03.10</v>
      </c>
      <c r="M1076" s="7">
        <v>247.62</v>
      </c>
      <c r="N1076" s="7">
        <v>37308720</v>
      </c>
      <c r="O1076" s="7">
        <v>32753520</v>
      </c>
      <c r="P1076" s="7">
        <v>0</v>
      </c>
      <c r="Q1076" s="7" t="str">
        <f t="shared" si="365"/>
        <v>都市整備部</v>
      </c>
      <c r="R1076" s="7" t="str">
        <f t="shared" si="371"/>
        <v>富田林土木事務所</v>
      </c>
    </row>
    <row r="1077" spans="1:18" s="1" customFormat="1" x14ac:dyDescent="0.45">
      <c r="A1077" s="7" t="str">
        <f t="shared" si="372"/>
        <v>08205000157</v>
      </c>
      <c r="B1077" s="7" t="str">
        <f t="shared" si="373"/>
        <v>錦織公園</v>
      </c>
      <c r="C1077" s="7" t="str">
        <f t="shared" si="354"/>
        <v>行政財産</v>
      </c>
      <c r="D1077" s="7" t="str">
        <f t="shared" si="374"/>
        <v>公園</v>
      </c>
      <c r="E1077" s="7" t="str">
        <f t="shared" si="375"/>
        <v>大阪府富田林市大字錦織</v>
      </c>
      <c r="F1077" s="7"/>
      <c r="G1077" s="7" t="str">
        <f t="shared" si="366"/>
        <v>事業用資産</v>
      </c>
      <c r="H1077" s="7" t="str">
        <f t="shared" si="357"/>
        <v>棚卸以外</v>
      </c>
      <c r="I1077" s="7">
        <v>15</v>
      </c>
      <c r="J1077" s="7" t="str">
        <f>"やんちゃの里休憩所附属売店"</f>
        <v>やんちゃの里休憩所附属売店</v>
      </c>
      <c r="K1077" s="7" t="str">
        <f>"木造"</f>
        <v>木造</v>
      </c>
      <c r="L1077" s="7" t="str">
        <f>"H07.03.14"</f>
        <v>H07.03.14</v>
      </c>
      <c r="M1077" s="7">
        <v>20.69</v>
      </c>
      <c r="N1077" s="7">
        <v>6096000</v>
      </c>
      <c r="O1077" s="7">
        <v>6095999</v>
      </c>
      <c r="P1077" s="7">
        <v>0</v>
      </c>
      <c r="Q1077" s="7" t="str">
        <f t="shared" si="365"/>
        <v>都市整備部</v>
      </c>
      <c r="R1077" s="7" t="str">
        <f t="shared" si="371"/>
        <v>富田林土木事務所</v>
      </c>
    </row>
    <row r="1078" spans="1:18" s="1" customFormat="1" x14ac:dyDescent="0.45">
      <c r="A1078" s="7" t="str">
        <f t="shared" si="372"/>
        <v>08205000157</v>
      </c>
      <c r="B1078" s="7" t="str">
        <f t="shared" si="373"/>
        <v>錦織公園</v>
      </c>
      <c r="C1078" s="7" t="str">
        <f t="shared" si="354"/>
        <v>行政財産</v>
      </c>
      <c r="D1078" s="7" t="str">
        <f t="shared" si="374"/>
        <v>公園</v>
      </c>
      <c r="E1078" s="7" t="str">
        <f t="shared" si="375"/>
        <v>大阪府富田林市大字錦織</v>
      </c>
      <c r="F1078" s="7"/>
      <c r="G1078" s="7" t="str">
        <f t="shared" si="366"/>
        <v>事業用資産</v>
      </c>
      <c r="H1078" s="7" t="str">
        <f t="shared" si="357"/>
        <v>棚卸以外</v>
      </c>
      <c r="I1078" s="7">
        <v>16</v>
      </c>
      <c r="J1078" s="7" t="str">
        <f>"多目的広場便所"</f>
        <v>多目的広場便所</v>
      </c>
      <c r="K1078" s="7" t="str">
        <f>"鉄筋コンクリート造"</f>
        <v>鉄筋コンクリート造</v>
      </c>
      <c r="L1078" s="7" t="str">
        <f>"H10.03.26"</f>
        <v>H10.03.26</v>
      </c>
      <c r="M1078" s="7">
        <v>66.36</v>
      </c>
      <c r="N1078" s="7">
        <v>48071000</v>
      </c>
      <c r="O1078" s="7">
        <v>31625700</v>
      </c>
      <c r="P1078" s="7">
        <v>0</v>
      </c>
      <c r="Q1078" s="7" t="str">
        <f t="shared" si="365"/>
        <v>都市整備部</v>
      </c>
      <c r="R1078" s="7" t="str">
        <f t="shared" si="371"/>
        <v>富田林土木事務所</v>
      </c>
    </row>
    <row r="1079" spans="1:18" s="1" customFormat="1" x14ac:dyDescent="0.45">
      <c r="A1079" s="7" t="str">
        <f t="shared" si="372"/>
        <v>08205000157</v>
      </c>
      <c r="B1079" s="7" t="str">
        <f t="shared" si="373"/>
        <v>錦織公園</v>
      </c>
      <c r="C1079" s="7" t="str">
        <f t="shared" si="354"/>
        <v>行政財産</v>
      </c>
      <c r="D1079" s="7" t="str">
        <f t="shared" si="374"/>
        <v>公園</v>
      </c>
      <c r="E1079" s="7" t="str">
        <f t="shared" si="375"/>
        <v>大阪府富田林市大字錦織</v>
      </c>
      <c r="F1079" s="7"/>
      <c r="G1079" s="7" t="str">
        <f t="shared" si="366"/>
        <v>事業用資産</v>
      </c>
      <c r="H1079" s="7" t="str">
        <f t="shared" si="357"/>
        <v>棚卸以外</v>
      </c>
      <c r="I1079" s="7">
        <v>17</v>
      </c>
      <c r="J1079" s="7" t="str">
        <f>"水辺の里便所"</f>
        <v>水辺の里便所</v>
      </c>
      <c r="K1079" s="7" t="str">
        <f>"鉄筋コンクリート造"</f>
        <v>鉄筋コンクリート造</v>
      </c>
      <c r="L1079" s="7" t="str">
        <f>"H11.03.31"</f>
        <v>H11.03.31</v>
      </c>
      <c r="M1079" s="7">
        <v>81.209999999999994</v>
      </c>
      <c r="N1079" s="7">
        <v>58202000</v>
      </c>
      <c r="O1079" s="7">
        <v>36759168</v>
      </c>
      <c r="P1079" s="7">
        <v>0</v>
      </c>
      <c r="Q1079" s="7" t="str">
        <f t="shared" si="365"/>
        <v>都市整備部</v>
      </c>
      <c r="R1079" s="7" t="str">
        <f t="shared" si="371"/>
        <v>富田林土木事務所</v>
      </c>
    </row>
    <row r="1080" spans="1:18" s="1" customFormat="1" x14ac:dyDescent="0.45">
      <c r="A1080" s="7" t="str">
        <f t="shared" si="372"/>
        <v>08205000157</v>
      </c>
      <c r="B1080" s="7" t="str">
        <f t="shared" si="373"/>
        <v>錦織公園</v>
      </c>
      <c r="C1080" s="7" t="str">
        <f t="shared" ref="C1080:C1143" si="376">"行政財産"</f>
        <v>行政財産</v>
      </c>
      <c r="D1080" s="7" t="str">
        <f t="shared" si="374"/>
        <v>公園</v>
      </c>
      <c r="E1080" s="7" t="str">
        <f t="shared" si="375"/>
        <v>大阪府富田林市大字錦織</v>
      </c>
      <c r="F1080" s="7"/>
      <c r="G1080" s="7" t="str">
        <f t="shared" si="366"/>
        <v>事業用資産</v>
      </c>
      <c r="H1080" s="7" t="str">
        <f t="shared" si="357"/>
        <v>棚卸以外</v>
      </c>
      <c r="I1080" s="7">
        <v>18</v>
      </c>
      <c r="J1080" s="7" t="str">
        <f>"公園管理事務所"</f>
        <v>公園管理事務所</v>
      </c>
      <c r="K1080" s="7" t="str">
        <f>"鉄筋コンクリート造"</f>
        <v>鉄筋コンクリート造</v>
      </c>
      <c r="L1080" s="7" t="str">
        <f>"H12.03.31"</f>
        <v>H12.03.31</v>
      </c>
      <c r="M1080" s="7">
        <v>335.7</v>
      </c>
      <c r="N1080" s="7">
        <v>85312000</v>
      </c>
      <c r="O1080" s="7">
        <v>39243612</v>
      </c>
      <c r="P1080" s="7">
        <v>0</v>
      </c>
      <c r="Q1080" s="7" t="str">
        <f t="shared" si="365"/>
        <v>都市整備部</v>
      </c>
      <c r="R1080" s="7" t="str">
        <f t="shared" si="371"/>
        <v>富田林土木事務所</v>
      </c>
    </row>
    <row r="1081" spans="1:18" s="1" customFormat="1" x14ac:dyDescent="0.45">
      <c r="A1081" s="7" t="str">
        <f t="shared" si="372"/>
        <v>08205000157</v>
      </c>
      <c r="B1081" s="7" t="str">
        <f t="shared" si="373"/>
        <v>錦織公園</v>
      </c>
      <c r="C1081" s="7" t="str">
        <f t="shared" si="376"/>
        <v>行政財産</v>
      </c>
      <c r="D1081" s="7" t="str">
        <f t="shared" si="374"/>
        <v>公園</v>
      </c>
      <c r="E1081" s="7" t="str">
        <f t="shared" si="375"/>
        <v>大阪府富田林市大字錦織</v>
      </c>
      <c r="F1081" s="7"/>
      <c r="G1081" s="7" t="str">
        <f t="shared" si="366"/>
        <v>事業用資産</v>
      </c>
      <c r="H1081" s="7" t="str">
        <f t="shared" si="357"/>
        <v>棚卸以外</v>
      </c>
      <c r="I1081" s="7">
        <v>55</v>
      </c>
      <c r="J1081" s="7" t="str">
        <f>"駐車場料金所（南入口）"</f>
        <v>駐車場料金所（南入口）</v>
      </c>
      <c r="K1081" s="7" t="str">
        <f>"土蔵造(簡易建物)"</f>
        <v>土蔵造(簡易建物)</v>
      </c>
      <c r="L1081" s="7" t="str">
        <f>"H21.03.31"</f>
        <v>H21.03.31</v>
      </c>
      <c r="M1081" s="7">
        <v>10.69</v>
      </c>
      <c r="N1081" s="7">
        <v>206000</v>
      </c>
      <c r="O1081" s="7">
        <v>96264</v>
      </c>
      <c r="P1081" s="7">
        <v>0</v>
      </c>
      <c r="Q1081" s="7" t="str">
        <f t="shared" si="365"/>
        <v>都市整備部</v>
      </c>
      <c r="R1081" s="7" t="str">
        <f t="shared" si="371"/>
        <v>富田林土木事務所</v>
      </c>
    </row>
    <row r="1082" spans="1:18" s="1" customFormat="1" x14ac:dyDescent="0.45">
      <c r="A1082" s="7" t="str">
        <f t="shared" si="372"/>
        <v>08205000157</v>
      </c>
      <c r="B1082" s="7" t="str">
        <f t="shared" si="373"/>
        <v>錦織公園</v>
      </c>
      <c r="C1082" s="7" t="str">
        <f t="shared" si="376"/>
        <v>行政財産</v>
      </c>
      <c r="D1082" s="7" t="str">
        <f t="shared" si="374"/>
        <v>公園</v>
      </c>
      <c r="E1082" s="7" t="str">
        <f t="shared" si="375"/>
        <v>大阪府富田林市大字錦織</v>
      </c>
      <c r="F1082" s="7"/>
      <c r="G1082" s="7" t="str">
        <f t="shared" si="366"/>
        <v>事業用資産</v>
      </c>
      <c r="H1082" s="7" t="str">
        <f t="shared" si="357"/>
        <v>棚卸以外</v>
      </c>
      <c r="I1082" s="7">
        <v>56</v>
      </c>
      <c r="J1082" s="7" t="str">
        <f>"駐車場料金所（北入口）"</f>
        <v>駐車場料金所（北入口）</v>
      </c>
      <c r="K1082" s="7" t="str">
        <f>"土蔵造(簡易建物)"</f>
        <v>土蔵造(簡易建物)</v>
      </c>
      <c r="L1082" s="7" t="str">
        <f>"H21.03.31"</f>
        <v>H21.03.31</v>
      </c>
      <c r="M1082" s="7">
        <v>8.9600000000000009</v>
      </c>
      <c r="N1082" s="7">
        <v>236000</v>
      </c>
      <c r="O1082" s="7">
        <v>110208</v>
      </c>
      <c r="P1082" s="7">
        <v>0</v>
      </c>
      <c r="Q1082" s="7" t="str">
        <f t="shared" si="365"/>
        <v>都市整備部</v>
      </c>
      <c r="R1082" s="7" t="str">
        <f t="shared" si="371"/>
        <v>富田林土木事務所</v>
      </c>
    </row>
    <row r="1083" spans="1:18" s="1" customFormat="1" x14ac:dyDescent="0.45">
      <c r="A1083" s="7" t="str">
        <f t="shared" si="372"/>
        <v>08205000157</v>
      </c>
      <c r="B1083" s="7" t="str">
        <f t="shared" si="373"/>
        <v>錦織公園</v>
      </c>
      <c r="C1083" s="7" t="str">
        <f t="shared" si="376"/>
        <v>行政財産</v>
      </c>
      <c r="D1083" s="7" t="str">
        <f t="shared" si="374"/>
        <v>公園</v>
      </c>
      <c r="E1083" s="7" t="str">
        <f t="shared" si="375"/>
        <v>大阪府富田林市大字錦織</v>
      </c>
      <c r="F1083" s="7"/>
      <c r="G1083" s="7" t="str">
        <f t="shared" si="366"/>
        <v>事業用資産</v>
      </c>
      <c r="H1083" s="7" t="str">
        <f t="shared" si="357"/>
        <v>棚卸以外</v>
      </c>
      <c r="I1083" s="7">
        <v>57</v>
      </c>
      <c r="J1083" s="7" t="str">
        <f>"やんちゃの里多機能便所"</f>
        <v>やんちゃの里多機能便所</v>
      </c>
      <c r="K1083" s="7" t="str">
        <f t="shared" ref="K1083:K1089" si="377">"鉄筋コンクリート造"</f>
        <v>鉄筋コンクリート造</v>
      </c>
      <c r="L1083" s="7" t="str">
        <f>"H22.03.31"</f>
        <v>H22.03.31</v>
      </c>
      <c r="M1083" s="7">
        <v>15.6</v>
      </c>
      <c r="N1083" s="7">
        <v>1133000</v>
      </c>
      <c r="O1083" s="7">
        <v>982020</v>
      </c>
      <c r="P1083" s="7">
        <v>0</v>
      </c>
      <c r="Q1083" s="7" t="str">
        <f t="shared" si="365"/>
        <v>都市整備部</v>
      </c>
      <c r="R1083" s="7" t="str">
        <f t="shared" si="371"/>
        <v>富田林土木事務所</v>
      </c>
    </row>
    <row r="1084" spans="1:18" s="1" customFormat="1" x14ac:dyDescent="0.45">
      <c r="A1084" s="7" t="str">
        <f t="shared" si="372"/>
        <v>08205000157</v>
      </c>
      <c r="B1084" s="7" t="str">
        <f t="shared" si="373"/>
        <v>錦織公園</v>
      </c>
      <c r="C1084" s="7" t="str">
        <f t="shared" si="376"/>
        <v>行政財産</v>
      </c>
      <c r="D1084" s="7" t="str">
        <f t="shared" si="374"/>
        <v>公園</v>
      </c>
      <c r="E1084" s="7" t="str">
        <f t="shared" si="375"/>
        <v>大阪府富田林市大字錦織</v>
      </c>
      <c r="F1084" s="7"/>
      <c r="G1084" s="7" t="str">
        <f t="shared" si="366"/>
        <v>事業用資産</v>
      </c>
      <c r="H1084" s="7" t="str">
        <f t="shared" si="357"/>
        <v>棚卸以外</v>
      </c>
      <c r="I1084" s="7">
        <v>58</v>
      </c>
      <c r="J1084" s="7" t="str">
        <f>"ドレミの小橋便所"</f>
        <v>ドレミの小橋便所</v>
      </c>
      <c r="K1084" s="7" t="str">
        <f t="shared" si="377"/>
        <v>鉄筋コンクリート造</v>
      </c>
      <c r="L1084" s="7" t="str">
        <f>"H27.03.30"</f>
        <v>H27.03.30</v>
      </c>
      <c r="M1084" s="7">
        <v>30.45</v>
      </c>
      <c r="N1084" s="7">
        <v>26648477</v>
      </c>
      <c r="O1084" s="7">
        <v>5610240</v>
      </c>
      <c r="P1084" s="7">
        <v>0</v>
      </c>
      <c r="Q1084" s="7" t="str">
        <f t="shared" si="365"/>
        <v>都市整備部</v>
      </c>
      <c r="R1084" s="7" t="str">
        <f t="shared" si="371"/>
        <v>富田林土木事務所</v>
      </c>
    </row>
    <row r="1085" spans="1:18" s="1" customFormat="1" x14ac:dyDescent="0.45">
      <c r="A1085" s="7" t="str">
        <f t="shared" ref="A1085:A1090" si="378">"08205000158"</f>
        <v>08205000158</v>
      </c>
      <c r="B1085" s="7" t="str">
        <f t="shared" ref="B1085:B1090" si="379">"長野公園"</f>
        <v>長野公園</v>
      </c>
      <c r="C1085" s="7" t="str">
        <f t="shared" si="376"/>
        <v>行政財産</v>
      </c>
      <c r="D1085" s="7" t="str">
        <f t="shared" si="374"/>
        <v>公園</v>
      </c>
      <c r="E1085" s="7" t="str">
        <f t="shared" ref="E1085:E1090" si="380">"大阪府河内長野市末広町"</f>
        <v>大阪府河内長野市末広町</v>
      </c>
      <c r="F1085" s="7"/>
      <c r="G1085" s="7" t="str">
        <f t="shared" si="366"/>
        <v>事業用資産</v>
      </c>
      <c r="H1085" s="7" t="str">
        <f t="shared" si="357"/>
        <v>棚卸以外</v>
      </c>
      <c r="I1085" s="7">
        <v>1</v>
      </c>
      <c r="J1085" s="7" t="str">
        <f>"公園管理事務所"</f>
        <v>公園管理事務所</v>
      </c>
      <c r="K1085" s="7" t="str">
        <f t="shared" si="377"/>
        <v>鉄筋コンクリート造</v>
      </c>
      <c r="L1085" s="7" t="str">
        <f>"S60.04.01"</f>
        <v>S60.04.01</v>
      </c>
      <c r="M1085" s="7">
        <v>123.93</v>
      </c>
      <c r="N1085" s="7">
        <v>39600000</v>
      </c>
      <c r="O1085" s="7">
        <v>30030000</v>
      </c>
      <c r="P1085" s="7">
        <v>0</v>
      </c>
      <c r="Q1085" s="7" t="str">
        <f t="shared" si="365"/>
        <v>都市整備部</v>
      </c>
      <c r="R1085" s="7" t="str">
        <f t="shared" si="371"/>
        <v>富田林土木事務所</v>
      </c>
    </row>
    <row r="1086" spans="1:18" s="1" customFormat="1" x14ac:dyDescent="0.45">
      <c r="A1086" s="7" t="str">
        <f t="shared" si="378"/>
        <v>08205000158</v>
      </c>
      <c r="B1086" s="7" t="str">
        <f t="shared" si="379"/>
        <v>長野公園</v>
      </c>
      <c r="C1086" s="7" t="str">
        <f t="shared" si="376"/>
        <v>行政財産</v>
      </c>
      <c r="D1086" s="7" t="str">
        <f t="shared" si="374"/>
        <v>公園</v>
      </c>
      <c r="E1086" s="7" t="str">
        <f t="shared" si="380"/>
        <v>大阪府河内長野市末広町</v>
      </c>
      <c r="F1086" s="7"/>
      <c r="G1086" s="7" t="str">
        <f t="shared" si="366"/>
        <v>事業用資産</v>
      </c>
      <c r="H1086" s="7" t="str">
        <f t="shared" si="357"/>
        <v>棚卸以外</v>
      </c>
      <c r="I1086" s="7">
        <v>17</v>
      </c>
      <c r="J1086" s="7" t="str">
        <f>"倉庫"</f>
        <v>倉庫</v>
      </c>
      <c r="K1086" s="7" t="str">
        <f t="shared" si="377"/>
        <v>鉄筋コンクリート造</v>
      </c>
      <c r="L1086" s="7" t="str">
        <f>"S61.03.31"</f>
        <v>S61.03.31</v>
      </c>
      <c r="M1086" s="7">
        <v>59.58</v>
      </c>
      <c r="N1086" s="7">
        <v>9794000</v>
      </c>
      <c r="O1086" s="7">
        <v>7732440</v>
      </c>
      <c r="P1086" s="7">
        <v>0</v>
      </c>
      <c r="Q1086" s="7" t="str">
        <f t="shared" si="365"/>
        <v>都市整備部</v>
      </c>
      <c r="R1086" s="7" t="str">
        <f t="shared" si="371"/>
        <v>富田林土木事務所</v>
      </c>
    </row>
    <row r="1087" spans="1:18" s="1" customFormat="1" x14ac:dyDescent="0.45">
      <c r="A1087" s="7" t="str">
        <f t="shared" si="378"/>
        <v>08205000158</v>
      </c>
      <c r="B1087" s="7" t="str">
        <f t="shared" si="379"/>
        <v>長野公園</v>
      </c>
      <c r="C1087" s="7" t="str">
        <f t="shared" si="376"/>
        <v>行政財産</v>
      </c>
      <c r="D1087" s="7" t="str">
        <f t="shared" si="374"/>
        <v>公園</v>
      </c>
      <c r="E1087" s="7" t="str">
        <f t="shared" si="380"/>
        <v>大阪府河内長野市末広町</v>
      </c>
      <c r="F1087" s="7"/>
      <c r="G1087" s="7" t="str">
        <f t="shared" si="366"/>
        <v>事業用資産</v>
      </c>
      <c r="H1087" s="7" t="str">
        <f t="shared" si="357"/>
        <v>棚卸以外</v>
      </c>
      <c r="I1087" s="7">
        <v>18</v>
      </c>
      <c r="J1087" s="7" t="str">
        <f>"長野地区便所"</f>
        <v>長野地区便所</v>
      </c>
      <c r="K1087" s="7" t="str">
        <f t="shared" si="377"/>
        <v>鉄筋コンクリート造</v>
      </c>
      <c r="L1087" s="7" t="str">
        <f>"H03.03.13"</f>
        <v>H03.03.13</v>
      </c>
      <c r="M1087" s="7">
        <v>41.48</v>
      </c>
      <c r="N1087" s="7">
        <v>20362000</v>
      </c>
      <c r="O1087" s="7">
        <v>16075440</v>
      </c>
      <c r="P1087" s="7">
        <v>0</v>
      </c>
      <c r="Q1087" s="7" t="str">
        <f t="shared" si="365"/>
        <v>都市整備部</v>
      </c>
      <c r="R1087" s="7" t="str">
        <f t="shared" si="371"/>
        <v>富田林土木事務所</v>
      </c>
    </row>
    <row r="1088" spans="1:18" s="1" customFormat="1" x14ac:dyDescent="0.45">
      <c r="A1088" s="7" t="str">
        <f t="shared" si="378"/>
        <v>08205000158</v>
      </c>
      <c r="B1088" s="7" t="str">
        <f t="shared" si="379"/>
        <v>長野公園</v>
      </c>
      <c r="C1088" s="7" t="str">
        <f t="shared" si="376"/>
        <v>行政財産</v>
      </c>
      <c r="D1088" s="7" t="str">
        <f t="shared" si="374"/>
        <v>公園</v>
      </c>
      <c r="E1088" s="7" t="str">
        <f t="shared" si="380"/>
        <v>大阪府河内長野市末広町</v>
      </c>
      <c r="F1088" s="7"/>
      <c r="G1088" s="7" t="str">
        <f t="shared" si="366"/>
        <v>事業用資産</v>
      </c>
      <c r="H1088" s="7" t="str">
        <f t="shared" si="357"/>
        <v>棚卸以外</v>
      </c>
      <c r="I1088" s="7">
        <v>19</v>
      </c>
      <c r="J1088" s="7" t="str">
        <f>"延命寺地区便所"</f>
        <v>延命寺地区便所</v>
      </c>
      <c r="K1088" s="7" t="str">
        <f t="shared" si="377"/>
        <v>鉄筋コンクリート造</v>
      </c>
      <c r="L1088" s="7" t="str">
        <f>"H04.03.25"</f>
        <v>H04.03.25</v>
      </c>
      <c r="M1088" s="7">
        <v>36.799999999999997</v>
      </c>
      <c r="N1088" s="7">
        <v>28310000</v>
      </c>
      <c r="O1088" s="7">
        <v>23095248</v>
      </c>
      <c r="P1088" s="7">
        <v>0</v>
      </c>
      <c r="Q1088" s="7" t="str">
        <f t="shared" si="365"/>
        <v>都市整備部</v>
      </c>
      <c r="R1088" s="7" t="str">
        <f t="shared" si="371"/>
        <v>富田林土木事務所</v>
      </c>
    </row>
    <row r="1089" spans="1:18" s="1" customFormat="1" x14ac:dyDescent="0.45">
      <c r="A1089" s="7" t="str">
        <f t="shared" si="378"/>
        <v>08205000158</v>
      </c>
      <c r="B1089" s="7" t="str">
        <f t="shared" si="379"/>
        <v>長野公園</v>
      </c>
      <c r="C1089" s="7" t="str">
        <f t="shared" si="376"/>
        <v>行政財産</v>
      </c>
      <c r="D1089" s="7" t="str">
        <f t="shared" si="374"/>
        <v>公園</v>
      </c>
      <c r="E1089" s="7" t="str">
        <f t="shared" si="380"/>
        <v>大阪府河内長野市末広町</v>
      </c>
      <c r="F1089" s="7"/>
      <c r="G1089" s="7" t="str">
        <f t="shared" si="366"/>
        <v>事業用資産</v>
      </c>
      <c r="H1089" s="7" t="str">
        <f t="shared" si="357"/>
        <v>棚卸以外</v>
      </c>
      <c r="I1089" s="7">
        <v>20</v>
      </c>
      <c r="J1089" s="7" t="str">
        <f>"河合寺地区便所"</f>
        <v>河合寺地区便所</v>
      </c>
      <c r="K1089" s="7" t="str">
        <f t="shared" si="377"/>
        <v>鉄筋コンクリート造</v>
      </c>
      <c r="L1089" s="7" t="str">
        <f>"H04.03.25"</f>
        <v>H04.03.25</v>
      </c>
      <c r="M1089" s="7">
        <v>17.850000000000001</v>
      </c>
      <c r="N1089" s="7">
        <v>15633000</v>
      </c>
      <c r="O1089" s="7">
        <v>12753276</v>
      </c>
      <c r="P1089" s="7">
        <v>0</v>
      </c>
      <c r="Q1089" s="7" t="str">
        <f t="shared" si="365"/>
        <v>都市整備部</v>
      </c>
      <c r="R1089" s="7" t="str">
        <f t="shared" si="371"/>
        <v>富田林土木事務所</v>
      </c>
    </row>
    <row r="1090" spans="1:18" s="1" customFormat="1" x14ac:dyDescent="0.45">
      <c r="A1090" s="7" t="str">
        <f t="shared" si="378"/>
        <v>08205000158</v>
      </c>
      <c r="B1090" s="7" t="str">
        <f t="shared" si="379"/>
        <v>長野公園</v>
      </c>
      <c r="C1090" s="7" t="str">
        <f t="shared" si="376"/>
        <v>行政財産</v>
      </c>
      <c r="D1090" s="7" t="str">
        <f t="shared" si="374"/>
        <v>公園</v>
      </c>
      <c r="E1090" s="7" t="str">
        <f t="shared" si="380"/>
        <v>大阪府河内長野市末広町</v>
      </c>
      <c r="F1090" s="7"/>
      <c r="G1090" s="7" t="str">
        <f t="shared" si="366"/>
        <v>事業用資産</v>
      </c>
      <c r="H1090" s="7" t="str">
        <f t="shared" si="357"/>
        <v>棚卸以外</v>
      </c>
      <c r="I1090" s="7">
        <v>21</v>
      </c>
      <c r="J1090" s="7" t="str">
        <f>"天野山地区便所"</f>
        <v>天野山地区便所</v>
      </c>
      <c r="K1090" s="7" t="str">
        <f>"鉄骨コンクリート造"</f>
        <v>鉄骨コンクリート造</v>
      </c>
      <c r="L1090" s="7" t="str">
        <f>"H08.10.04"</f>
        <v>H08.10.04</v>
      </c>
      <c r="M1090" s="7">
        <v>44.6</v>
      </c>
      <c r="N1090" s="7">
        <v>32558000</v>
      </c>
      <c r="O1090" s="7">
        <v>27744474</v>
      </c>
      <c r="P1090" s="7">
        <v>0</v>
      </c>
      <c r="Q1090" s="7" t="str">
        <f t="shared" si="365"/>
        <v>都市整備部</v>
      </c>
      <c r="R1090" s="7" t="str">
        <f t="shared" si="371"/>
        <v>富田林土木事務所</v>
      </c>
    </row>
    <row r="1091" spans="1:18" s="1" customFormat="1" x14ac:dyDescent="0.45">
      <c r="A1091" s="7" t="str">
        <f>"08205000159"</f>
        <v>08205000159</v>
      </c>
      <c r="B1091" s="7" t="str">
        <f>"石川河川公園"</f>
        <v>石川河川公園</v>
      </c>
      <c r="C1091" s="7" t="str">
        <f t="shared" si="376"/>
        <v>行政財産</v>
      </c>
      <c r="D1091" s="7" t="str">
        <f t="shared" si="374"/>
        <v>公園</v>
      </c>
      <c r="E1091" s="7" t="str">
        <f>"大阪府羽曳野市駒ケ谷"</f>
        <v>大阪府羽曳野市駒ケ谷</v>
      </c>
      <c r="F1091" s="7"/>
      <c r="G1091" s="7" t="str">
        <f t="shared" si="366"/>
        <v>事業用資産</v>
      </c>
      <c r="H1091" s="7" t="str">
        <f t="shared" si="357"/>
        <v>棚卸以外</v>
      </c>
      <c r="I1091" s="7">
        <v>1</v>
      </c>
      <c r="J1091" s="7" t="str">
        <f>"公園管理事務所"</f>
        <v>公園管理事務所</v>
      </c>
      <c r="K1091" s="7" t="str">
        <f>"鉄骨造"</f>
        <v>鉄骨造</v>
      </c>
      <c r="L1091" s="7" t="str">
        <f>"H17.10.31"</f>
        <v>H17.10.31</v>
      </c>
      <c r="M1091" s="7">
        <v>697.7</v>
      </c>
      <c r="N1091" s="7">
        <v>194386000</v>
      </c>
      <c r="O1091" s="7">
        <v>89093774</v>
      </c>
      <c r="P1091" s="7">
        <v>0</v>
      </c>
      <c r="Q1091" s="7" t="str">
        <f t="shared" si="365"/>
        <v>都市整備部</v>
      </c>
      <c r="R1091" s="7" t="str">
        <f t="shared" si="371"/>
        <v>富田林土木事務所</v>
      </c>
    </row>
    <row r="1092" spans="1:18" s="1" customFormat="1" x14ac:dyDescent="0.45">
      <c r="A1092" s="7" t="str">
        <f>"08205000159"</f>
        <v>08205000159</v>
      </c>
      <c r="B1092" s="7" t="str">
        <f>"石川河川公園"</f>
        <v>石川河川公園</v>
      </c>
      <c r="C1092" s="7" t="str">
        <f t="shared" si="376"/>
        <v>行政財産</v>
      </c>
      <c r="D1092" s="7" t="str">
        <f t="shared" si="374"/>
        <v>公園</v>
      </c>
      <c r="E1092" s="7" t="str">
        <f>"大阪府羽曳野市駒ケ谷"</f>
        <v>大阪府羽曳野市駒ケ谷</v>
      </c>
      <c r="F1092" s="7"/>
      <c r="G1092" s="7" t="str">
        <f t="shared" si="366"/>
        <v>事業用資産</v>
      </c>
      <c r="H1092" s="7" t="str">
        <f t="shared" ref="H1092:H1155" si="381">"棚卸以外"</f>
        <v>棚卸以外</v>
      </c>
      <c r="I1092" s="7">
        <v>2</v>
      </c>
      <c r="J1092" s="7" t="str">
        <f>"車庫"</f>
        <v>車庫</v>
      </c>
      <c r="K1092" s="7" t="str">
        <f>"軽量鉄骨造"</f>
        <v>軽量鉄骨造</v>
      </c>
      <c r="L1092" s="7" t="str">
        <f>"H18.02.13"</f>
        <v>H18.02.13</v>
      </c>
      <c r="M1092" s="7">
        <v>112.47</v>
      </c>
      <c r="N1092" s="7">
        <v>6992000</v>
      </c>
      <c r="O1092" s="7">
        <v>4976990</v>
      </c>
      <c r="P1092" s="7">
        <v>0</v>
      </c>
      <c r="Q1092" s="7" t="str">
        <f t="shared" si="365"/>
        <v>都市整備部</v>
      </c>
      <c r="R1092" s="7" t="str">
        <f t="shared" si="371"/>
        <v>富田林土木事務所</v>
      </c>
    </row>
    <row r="1093" spans="1:18" s="1" customFormat="1" x14ac:dyDescent="0.45">
      <c r="A1093" s="7" t="str">
        <f>"08205000159"</f>
        <v>08205000159</v>
      </c>
      <c r="B1093" s="7" t="str">
        <f>"石川河川公園"</f>
        <v>石川河川公園</v>
      </c>
      <c r="C1093" s="7" t="str">
        <f t="shared" si="376"/>
        <v>行政財産</v>
      </c>
      <c r="D1093" s="7" t="str">
        <f t="shared" si="374"/>
        <v>公園</v>
      </c>
      <c r="E1093" s="7" t="str">
        <f>"大阪府羽曳野市駒ケ谷"</f>
        <v>大阪府羽曳野市駒ケ谷</v>
      </c>
      <c r="F1093" s="7"/>
      <c r="G1093" s="7" t="str">
        <f t="shared" si="366"/>
        <v>事業用資産</v>
      </c>
      <c r="H1093" s="7" t="str">
        <f t="shared" si="381"/>
        <v>棚卸以外</v>
      </c>
      <c r="I1093" s="7">
        <v>3</v>
      </c>
      <c r="J1093" s="7" t="str">
        <f>"燃料タンク棟"</f>
        <v>燃料タンク棟</v>
      </c>
      <c r="K1093" s="7" t="str">
        <f>"コンクリートブロック造"</f>
        <v>コンクリートブロック造</v>
      </c>
      <c r="L1093" s="7" t="str">
        <f>"H18.03.24"</f>
        <v>H18.03.24</v>
      </c>
      <c r="M1093" s="7">
        <v>18.55</v>
      </c>
      <c r="N1093" s="7">
        <v>2531000</v>
      </c>
      <c r="O1093" s="7">
        <v>1265616</v>
      </c>
      <c r="P1093" s="7">
        <v>0</v>
      </c>
      <c r="Q1093" s="7" t="str">
        <f t="shared" si="365"/>
        <v>都市整備部</v>
      </c>
      <c r="R1093" s="7" t="str">
        <f t="shared" si="371"/>
        <v>富田林土木事務所</v>
      </c>
    </row>
    <row r="1094" spans="1:18" s="1" customFormat="1" x14ac:dyDescent="0.45">
      <c r="A1094" s="7" t="str">
        <f>"08205000159"</f>
        <v>08205000159</v>
      </c>
      <c r="B1094" s="7" t="str">
        <f>"石川河川公園"</f>
        <v>石川河川公園</v>
      </c>
      <c r="C1094" s="7" t="str">
        <f t="shared" si="376"/>
        <v>行政財産</v>
      </c>
      <c r="D1094" s="7" t="str">
        <f t="shared" si="374"/>
        <v>公園</v>
      </c>
      <c r="E1094" s="7" t="str">
        <f>"大阪府羽曳野市駒ケ谷"</f>
        <v>大阪府羽曳野市駒ケ谷</v>
      </c>
      <c r="F1094" s="7"/>
      <c r="G1094" s="7" t="str">
        <f t="shared" si="366"/>
        <v>事業用資産</v>
      </c>
      <c r="H1094" s="7" t="str">
        <f t="shared" si="381"/>
        <v>棚卸以外</v>
      </c>
      <c r="I1094" s="7">
        <v>4</v>
      </c>
      <c r="J1094" s="7" t="str">
        <f>"駒ヶ谷便所"</f>
        <v>駒ヶ谷便所</v>
      </c>
      <c r="K1094" s="7" t="str">
        <f>"鉄筋コンクリート造"</f>
        <v>鉄筋コンクリート造</v>
      </c>
      <c r="L1094" s="7" t="str">
        <f>"H18.07.03"</f>
        <v>H18.07.03</v>
      </c>
      <c r="M1094" s="7">
        <v>80.2</v>
      </c>
      <c r="N1094" s="7">
        <v>49184000</v>
      </c>
      <c r="O1094" s="7">
        <v>21506376</v>
      </c>
      <c r="P1094" s="7">
        <v>0</v>
      </c>
      <c r="Q1094" s="7" t="str">
        <f t="shared" si="365"/>
        <v>都市整備部</v>
      </c>
      <c r="R1094" s="7" t="str">
        <f t="shared" si="371"/>
        <v>富田林土木事務所</v>
      </c>
    </row>
    <row r="1095" spans="1:18" s="1" customFormat="1" x14ac:dyDescent="0.45">
      <c r="A1095" s="7" t="str">
        <f>"08205000159"</f>
        <v>08205000159</v>
      </c>
      <c r="B1095" s="7" t="str">
        <f>"石川河川公園"</f>
        <v>石川河川公園</v>
      </c>
      <c r="C1095" s="7" t="str">
        <f t="shared" si="376"/>
        <v>行政財産</v>
      </c>
      <c r="D1095" s="7" t="str">
        <f t="shared" si="374"/>
        <v>公園</v>
      </c>
      <c r="E1095" s="7" t="str">
        <f>"大阪府羽曳野市駒ケ谷"</f>
        <v>大阪府羽曳野市駒ケ谷</v>
      </c>
      <c r="F1095" s="7"/>
      <c r="G1095" s="7" t="str">
        <f t="shared" si="366"/>
        <v>事業用資産</v>
      </c>
      <c r="H1095" s="7" t="str">
        <f t="shared" si="381"/>
        <v>棚卸以外</v>
      </c>
      <c r="I1095" s="7">
        <v>5</v>
      </c>
      <c r="J1095" s="7" t="str">
        <f>"駐車場料金所"</f>
        <v>駐車場料金所</v>
      </c>
      <c r="K1095" s="7" t="str">
        <f>"土蔵造(簡易建物)"</f>
        <v>土蔵造(簡易建物)</v>
      </c>
      <c r="L1095" s="7" t="str">
        <f>"H19.09.05"</f>
        <v>H19.09.05</v>
      </c>
      <c r="M1095" s="7">
        <v>6.63</v>
      </c>
      <c r="N1095" s="7">
        <v>1257000</v>
      </c>
      <c r="O1095" s="7">
        <v>649512</v>
      </c>
      <c r="P1095" s="7">
        <v>0</v>
      </c>
      <c r="Q1095" s="7" t="str">
        <f t="shared" si="365"/>
        <v>都市整備部</v>
      </c>
      <c r="R1095" s="7" t="str">
        <f t="shared" si="371"/>
        <v>富田林土木事務所</v>
      </c>
    </row>
    <row r="1096" spans="1:18" s="1" customFormat="1" x14ac:dyDescent="0.45">
      <c r="A1096" s="7" t="str">
        <f>"08205001004"</f>
        <v>08205001004</v>
      </c>
      <c r="B1096" s="7" t="str">
        <f>"狭山池ダム"</f>
        <v>狭山池ダム</v>
      </c>
      <c r="C1096" s="7" t="str">
        <f t="shared" si="376"/>
        <v>行政財産</v>
      </c>
      <c r="D1096" s="7" t="str">
        <f>"その他（行政機関）の施設"</f>
        <v>その他（行政機関）の施設</v>
      </c>
      <c r="E1096" s="7" t="str">
        <f>"大阪府大阪狭山市大字岩室"</f>
        <v>大阪府大阪狭山市大字岩室</v>
      </c>
      <c r="F1096" s="7"/>
      <c r="G1096" s="7" t="str">
        <f>"インフラ資産"</f>
        <v>インフラ資産</v>
      </c>
      <c r="H1096" s="7" t="str">
        <f t="shared" si="381"/>
        <v>棚卸以外</v>
      </c>
      <c r="I1096" s="7">
        <v>1</v>
      </c>
      <c r="J1096" s="7" t="str">
        <f>"狭山池ダム管理事務所"</f>
        <v>狭山池ダム管理事務所</v>
      </c>
      <c r="K1096" s="7" t="str">
        <f>"鉄筋コンクリート造"</f>
        <v>鉄筋コンクリート造</v>
      </c>
      <c r="L1096" s="7" t="str">
        <f>"H11.02.09"</f>
        <v>H11.02.09</v>
      </c>
      <c r="M1096" s="7">
        <v>563.51</v>
      </c>
      <c r="N1096" s="7">
        <v>159326500</v>
      </c>
      <c r="O1096" s="7">
        <v>75377216</v>
      </c>
      <c r="P1096" s="7">
        <v>0</v>
      </c>
      <c r="Q1096" s="7" t="str">
        <f t="shared" si="365"/>
        <v>都市整備部</v>
      </c>
      <c r="R1096" s="7" t="str">
        <f t="shared" si="371"/>
        <v>富田林土木事務所</v>
      </c>
    </row>
    <row r="1097" spans="1:18" s="1" customFormat="1" x14ac:dyDescent="0.45">
      <c r="A1097" s="7" t="str">
        <f>"08205001005"</f>
        <v>08205001005</v>
      </c>
      <c r="B1097" s="7" t="str">
        <f>"水防倉庫（松原建設事業所水防倉庫）"</f>
        <v>水防倉庫（松原建設事業所水防倉庫）</v>
      </c>
      <c r="C1097" s="7" t="str">
        <f t="shared" si="376"/>
        <v>行政財産</v>
      </c>
      <c r="D1097" s="7" t="str">
        <f>"その他"</f>
        <v>その他</v>
      </c>
      <c r="E1097" s="7" t="str">
        <f>"大阪府松原市上田１丁目"</f>
        <v>大阪府松原市上田１丁目</v>
      </c>
      <c r="F1097" s="7"/>
      <c r="G1097" s="7" t="str">
        <f t="shared" ref="G1097:G1128" si="382">"事業用資産"</f>
        <v>事業用資産</v>
      </c>
      <c r="H1097" s="7" t="str">
        <f t="shared" si="381"/>
        <v>棚卸以外</v>
      </c>
      <c r="I1097" s="7">
        <v>1</v>
      </c>
      <c r="J1097" s="7" t="str">
        <f>"松原水防倉庫"</f>
        <v>松原水防倉庫</v>
      </c>
      <c r="K1097" s="7" t="str">
        <f>"鉄骨造"</f>
        <v>鉄骨造</v>
      </c>
      <c r="L1097" s="7" t="str">
        <f>"H12.12.08"</f>
        <v>H12.12.08</v>
      </c>
      <c r="M1097" s="7">
        <v>85.02</v>
      </c>
      <c r="N1097" s="7">
        <v>5852000</v>
      </c>
      <c r="O1097" s="7">
        <v>4200444</v>
      </c>
      <c r="P1097" s="7">
        <v>0</v>
      </c>
      <c r="Q1097" s="7" t="str">
        <f t="shared" si="365"/>
        <v>都市整備部</v>
      </c>
      <c r="R1097" s="7" t="str">
        <f t="shared" si="371"/>
        <v>富田林土木事務所</v>
      </c>
    </row>
    <row r="1098" spans="1:18" s="1" customFormat="1" x14ac:dyDescent="0.45">
      <c r="A1098" s="7" t="str">
        <f>"08205001005"</f>
        <v>08205001005</v>
      </c>
      <c r="B1098" s="7" t="str">
        <f>"水防倉庫（松原建設事業所水防倉庫）"</f>
        <v>水防倉庫（松原建設事業所水防倉庫）</v>
      </c>
      <c r="C1098" s="7" t="str">
        <f t="shared" si="376"/>
        <v>行政財産</v>
      </c>
      <c r="D1098" s="7" t="str">
        <f>"その他"</f>
        <v>その他</v>
      </c>
      <c r="E1098" s="7" t="str">
        <f>"大阪府松原市上田１丁目"</f>
        <v>大阪府松原市上田１丁目</v>
      </c>
      <c r="F1098" s="7"/>
      <c r="G1098" s="7" t="str">
        <f t="shared" si="382"/>
        <v>事業用資産</v>
      </c>
      <c r="H1098" s="7" t="str">
        <f t="shared" si="381"/>
        <v>棚卸以外</v>
      </c>
      <c r="I1098" s="7">
        <v>2</v>
      </c>
      <c r="J1098" s="7" t="str">
        <f>"松原車庫"</f>
        <v>松原車庫</v>
      </c>
      <c r="K1098" s="7" t="str">
        <f>"鉄骨造"</f>
        <v>鉄骨造</v>
      </c>
      <c r="L1098" s="7" t="str">
        <f>"H12.12.08"</f>
        <v>H12.12.08</v>
      </c>
      <c r="M1098" s="7">
        <v>97.47</v>
      </c>
      <c r="N1098" s="7">
        <v>6517000</v>
      </c>
      <c r="O1098" s="7">
        <v>4677573</v>
      </c>
      <c r="P1098" s="7">
        <v>0</v>
      </c>
      <c r="Q1098" s="7" t="str">
        <f t="shared" si="365"/>
        <v>都市整備部</v>
      </c>
      <c r="R1098" s="7" t="str">
        <f t="shared" si="371"/>
        <v>富田林土木事務所</v>
      </c>
    </row>
    <row r="1099" spans="1:18" s="1" customFormat="1" x14ac:dyDescent="0.45">
      <c r="A1099" s="7" t="str">
        <f>"08205001009"</f>
        <v>08205001009</v>
      </c>
      <c r="B1099" s="7" t="str">
        <f>"大阪府立狭山池博物館"</f>
        <v>大阪府立狭山池博物館</v>
      </c>
      <c r="C1099" s="7" t="str">
        <f t="shared" si="376"/>
        <v>行政財産</v>
      </c>
      <c r="D1099" s="7" t="str">
        <f>"その他（公共用）の施設"</f>
        <v>その他（公共用）の施設</v>
      </c>
      <c r="E1099" s="7" t="str">
        <f>"大阪府大阪狭山市池尻中３丁目"</f>
        <v>大阪府大阪狭山市池尻中３丁目</v>
      </c>
      <c r="F1099" s="7"/>
      <c r="G1099" s="7" t="str">
        <f t="shared" si="382"/>
        <v>事業用資産</v>
      </c>
      <c r="H1099" s="7" t="str">
        <f t="shared" si="381"/>
        <v>棚卸以外</v>
      </c>
      <c r="I1099" s="7">
        <v>1</v>
      </c>
      <c r="J1099" s="7" t="str">
        <f>"大阪府立狭山池博物館"</f>
        <v>大阪府立狭山池博物館</v>
      </c>
      <c r="K1099" s="7" t="str">
        <f>"鉄筋コンクリート造"</f>
        <v>鉄筋コンクリート造</v>
      </c>
      <c r="L1099" s="7" t="str">
        <f>"H11.06.30"</f>
        <v>H11.06.30</v>
      </c>
      <c r="M1099" s="7">
        <v>4948.47</v>
      </c>
      <c r="N1099" s="7">
        <v>3846181099</v>
      </c>
      <c r="O1099" s="7">
        <v>1690235801</v>
      </c>
      <c r="P1099" s="7">
        <v>0</v>
      </c>
      <c r="Q1099" s="7" t="str">
        <f t="shared" si="365"/>
        <v>都市整備部</v>
      </c>
      <c r="R1099" s="7" t="str">
        <f t="shared" si="371"/>
        <v>富田林土木事務所</v>
      </c>
    </row>
    <row r="1100" spans="1:18" s="1" customFormat="1" ht="26.4" x14ac:dyDescent="0.45">
      <c r="A1100" s="7" t="str">
        <f>"08206000000"</f>
        <v>08206000000</v>
      </c>
      <c r="B1100" s="7" t="str">
        <f>"泉北府民センタービル"</f>
        <v>泉北府民センタービル</v>
      </c>
      <c r="C1100" s="7" t="str">
        <f t="shared" si="376"/>
        <v>行政財産</v>
      </c>
      <c r="D1100" s="7" t="str">
        <f t="shared" ref="D1100:D1105" si="383">"その他（行政機関）の施設"</f>
        <v>その他（行政機関）の施設</v>
      </c>
      <c r="E1100" s="7" t="str">
        <f>"大阪府堺市　西区鳳　東町４丁"</f>
        <v>大阪府堺市　西区鳳　東町４丁</v>
      </c>
      <c r="F1100" s="7"/>
      <c r="G1100" s="7" t="str">
        <f t="shared" si="382"/>
        <v>事業用資産</v>
      </c>
      <c r="H1100" s="7" t="str">
        <f t="shared" si="381"/>
        <v>棚卸以外</v>
      </c>
      <c r="I1100" s="7">
        <v>1</v>
      </c>
      <c r="J1100" s="7" t="str">
        <f>"本館（府専有部分）"</f>
        <v>本館（府専有部分）</v>
      </c>
      <c r="K1100" s="7" t="str">
        <f>"鉄骨鉄筋コンクリート造"</f>
        <v>鉄骨鉄筋コンクリート造</v>
      </c>
      <c r="L1100" s="7" t="str">
        <f>"S49.08.31"</f>
        <v>S49.08.31</v>
      </c>
      <c r="M1100" s="7">
        <v>6923.81</v>
      </c>
      <c r="N1100" s="7">
        <v>1159535583</v>
      </c>
      <c r="O1100" s="7">
        <v>951530805</v>
      </c>
      <c r="P1100" s="7">
        <v>0</v>
      </c>
      <c r="Q1100" s="7" t="str">
        <f t="shared" si="365"/>
        <v>都市整備部</v>
      </c>
      <c r="R1100" s="7" t="str">
        <f t="shared" ref="R1100:R1131" si="384">"鳳土木事務所"</f>
        <v>鳳土木事務所</v>
      </c>
    </row>
    <row r="1101" spans="1:18" s="1" customFormat="1" x14ac:dyDescent="0.45">
      <c r="A1101" s="7" t="str">
        <f>"08206000000"</f>
        <v>08206000000</v>
      </c>
      <c r="B1101" s="7" t="str">
        <f>"泉北府民センタービル"</f>
        <v>泉北府民センタービル</v>
      </c>
      <c r="C1101" s="7" t="str">
        <f t="shared" si="376"/>
        <v>行政財産</v>
      </c>
      <c r="D1101" s="7" t="str">
        <f t="shared" si="383"/>
        <v>その他（行政機関）の施設</v>
      </c>
      <c r="E1101" s="7" t="str">
        <f>"大阪府堺市　西区鳳　東町４丁"</f>
        <v>大阪府堺市　西区鳳　東町４丁</v>
      </c>
      <c r="F1101" s="7"/>
      <c r="G1101" s="7" t="str">
        <f t="shared" si="382"/>
        <v>事業用資産</v>
      </c>
      <c r="H1101" s="7" t="str">
        <f t="shared" si="381"/>
        <v>棚卸以外</v>
      </c>
      <c r="I1101" s="7">
        <v>3</v>
      </c>
      <c r="J1101" s="7" t="str">
        <f>"車庫兼水防倉庫"</f>
        <v>車庫兼水防倉庫</v>
      </c>
      <c r="K1101" s="7" t="str">
        <f>"鉄骨造"</f>
        <v>鉄骨造</v>
      </c>
      <c r="L1101" s="7" t="str">
        <f>"H02.04.02"</f>
        <v>H02.04.02</v>
      </c>
      <c r="M1101" s="7">
        <v>461.05</v>
      </c>
      <c r="N1101" s="7">
        <v>40514000</v>
      </c>
      <c r="O1101" s="7">
        <v>40513999</v>
      </c>
      <c r="P1101" s="7">
        <v>0</v>
      </c>
      <c r="Q1101" s="7" t="str">
        <f t="shared" si="365"/>
        <v>都市整備部</v>
      </c>
      <c r="R1101" s="7" t="str">
        <f t="shared" si="384"/>
        <v>鳳土木事務所</v>
      </c>
    </row>
    <row r="1102" spans="1:18" s="1" customFormat="1" x14ac:dyDescent="0.45">
      <c r="A1102" s="7" t="str">
        <f>"08206000000"</f>
        <v>08206000000</v>
      </c>
      <c r="B1102" s="7" t="str">
        <f>"泉北府民センタービル"</f>
        <v>泉北府民センタービル</v>
      </c>
      <c r="C1102" s="7" t="str">
        <f t="shared" si="376"/>
        <v>行政財産</v>
      </c>
      <c r="D1102" s="7" t="str">
        <f t="shared" si="383"/>
        <v>その他（行政機関）の施設</v>
      </c>
      <c r="E1102" s="7" t="str">
        <f>"大阪府堺市　西区鳳　東町４丁"</f>
        <v>大阪府堺市　西区鳳　東町４丁</v>
      </c>
      <c r="F1102" s="7"/>
      <c r="G1102" s="7" t="str">
        <f t="shared" si="382"/>
        <v>事業用資産</v>
      </c>
      <c r="H1102" s="7" t="str">
        <f t="shared" si="381"/>
        <v>棚卸以外</v>
      </c>
      <c r="I1102" s="7">
        <v>4</v>
      </c>
      <c r="J1102" s="7" t="str">
        <f>"車庫６７"</f>
        <v>車庫６７</v>
      </c>
      <c r="K1102" s="7" t="str">
        <f>"鉄骨造"</f>
        <v>鉄骨造</v>
      </c>
      <c r="L1102" s="7" t="str">
        <f>"S25.01.01"</f>
        <v>S25.01.01</v>
      </c>
      <c r="M1102" s="7">
        <v>112.9</v>
      </c>
      <c r="N1102" s="7">
        <v>4520000</v>
      </c>
      <c r="O1102" s="7">
        <v>4519999</v>
      </c>
      <c r="P1102" s="7">
        <v>0</v>
      </c>
      <c r="Q1102" s="7" t="str">
        <f t="shared" si="365"/>
        <v>都市整備部</v>
      </c>
      <c r="R1102" s="7" t="str">
        <f t="shared" si="384"/>
        <v>鳳土木事務所</v>
      </c>
    </row>
    <row r="1103" spans="1:18" s="1" customFormat="1" ht="26.4" x14ac:dyDescent="0.45">
      <c r="A1103" s="7" t="str">
        <f>"08206000000"</f>
        <v>08206000000</v>
      </c>
      <c r="B1103" s="7" t="str">
        <f>"泉北府民センタービル"</f>
        <v>泉北府民センタービル</v>
      </c>
      <c r="C1103" s="7" t="str">
        <f t="shared" si="376"/>
        <v>行政財産</v>
      </c>
      <c r="D1103" s="7" t="str">
        <f t="shared" si="383"/>
        <v>その他（行政機関）の施設</v>
      </c>
      <c r="E1103" s="7" t="str">
        <f>"大阪府堺市　西区鳳　東町４丁"</f>
        <v>大阪府堺市　西区鳳　東町４丁</v>
      </c>
      <c r="F1103" s="7"/>
      <c r="G1103" s="7" t="str">
        <f t="shared" si="382"/>
        <v>事業用資産</v>
      </c>
      <c r="H1103" s="7" t="str">
        <f t="shared" si="381"/>
        <v>棚卸以外</v>
      </c>
      <c r="I1103" s="7">
        <v>5</v>
      </c>
      <c r="J1103" s="7" t="str">
        <f>"油倉庫"</f>
        <v>油倉庫</v>
      </c>
      <c r="K1103" s="7" t="str">
        <f>"鉄骨鉄筋コンクリート造"</f>
        <v>鉄骨鉄筋コンクリート造</v>
      </c>
      <c r="L1103" s="7" t="str">
        <f>"S25.01.01"</f>
        <v>S25.01.01</v>
      </c>
      <c r="M1103" s="7">
        <v>4.8600000000000003</v>
      </c>
      <c r="N1103" s="7">
        <v>315000</v>
      </c>
      <c r="O1103" s="7">
        <v>314999</v>
      </c>
      <c r="P1103" s="7">
        <v>0</v>
      </c>
      <c r="Q1103" s="7" t="str">
        <f t="shared" si="365"/>
        <v>都市整備部</v>
      </c>
      <c r="R1103" s="7" t="str">
        <f t="shared" si="384"/>
        <v>鳳土木事務所</v>
      </c>
    </row>
    <row r="1104" spans="1:18" s="1" customFormat="1" x14ac:dyDescent="0.45">
      <c r="A1104" s="7" t="str">
        <f>"08206000000"</f>
        <v>08206000000</v>
      </c>
      <c r="B1104" s="7" t="str">
        <f>"泉北府民センタービル"</f>
        <v>泉北府民センタービル</v>
      </c>
      <c r="C1104" s="7" t="str">
        <f t="shared" si="376"/>
        <v>行政財産</v>
      </c>
      <c r="D1104" s="7" t="str">
        <f t="shared" si="383"/>
        <v>その他（行政機関）の施設</v>
      </c>
      <c r="E1104" s="7" t="str">
        <f>"大阪府堺市　西区鳳　東町４丁"</f>
        <v>大阪府堺市　西区鳳　東町４丁</v>
      </c>
      <c r="F1104" s="7"/>
      <c r="G1104" s="7" t="str">
        <f t="shared" si="382"/>
        <v>事業用資産</v>
      </c>
      <c r="H1104" s="7" t="str">
        <f t="shared" si="381"/>
        <v>棚卸以外</v>
      </c>
      <c r="I1104" s="7">
        <v>8</v>
      </c>
      <c r="J1104" s="7" t="str">
        <f>"資材倉庫"</f>
        <v>資材倉庫</v>
      </c>
      <c r="K1104" s="7" t="str">
        <f>"コンクリートブロック造"</f>
        <v>コンクリートブロック造</v>
      </c>
      <c r="L1104" s="7" t="str">
        <f>"H10.03.31"</f>
        <v>H10.03.31</v>
      </c>
      <c r="M1104" s="7">
        <v>3.46</v>
      </c>
      <c r="N1104" s="7">
        <v>838000</v>
      </c>
      <c r="O1104" s="7">
        <v>616200</v>
      </c>
      <c r="P1104" s="7">
        <v>0</v>
      </c>
      <c r="Q1104" s="7" t="str">
        <f t="shared" si="365"/>
        <v>都市整備部</v>
      </c>
      <c r="R1104" s="7" t="str">
        <f t="shared" si="384"/>
        <v>鳳土木事務所</v>
      </c>
    </row>
    <row r="1105" spans="1:18" s="1" customFormat="1" x14ac:dyDescent="0.45">
      <c r="A1105" s="7" t="str">
        <f>"08206000010"</f>
        <v>08206000010</v>
      </c>
      <c r="B1105" s="7" t="str">
        <f>"大阪府忠岡車輌計量所"</f>
        <v>大阪府忠岡車輌計量所</v>
      </c>
      <c r="C1105" s="7" t="str">
        <f t="shared" si="376"/>
        <v>行政財産</v>
      </c>
      <c r="D1105" s="7" t="str">
        <f t="shared" si="383"/>
        <v>その他（行政機関）の施設</v>
      </c>
      <c r="E1105" s="7" t="str">
        <f>"大阪府泉北郡　忠岡町新浜１丁目"</f>
        <v>大阪府泉北郡　忠岡町新浜１丁目</v>
      </c>
      <c r="F1105" s="7"/>
      <c r="G1105" s="7" t="str">
        <f t="shared" si="382"/>
        <v>事業用資産</v>
      </c>
      <c r="H1105" s="7" t="str">
        <f t="shared" si="381"/>
        <v>棚卸以外</v>
      </c>
      <c r="I1105" s="7">
        <v>1</v>
      </c>
      <c r="J1105" s="7" t="str">
        <f>"大阪府忠岡車輌計量所"</f>
        <v>大阪府忠岡車輌計量所</v>
      </c>
      <c r="K1105" s="7" t="str">
        <f>"コンクリートブロック造"</f>
        <v>コンクリートブロック造</v>
      </c>
      <c r="L1105" s="7" t="str">
        <f>"S51.05.22"</f>
        <v>S51.05.22</v>
      </c>
      <c r="M1105" s="7">
        <v>93.47</v>
      </c>
      <c r="N1105" s="7">
        <v>10006000</v>
      </c>
      <c r="O1105" s="7">
        <v>10005999</v>
      </c>
      <c r="P1105" s="7">
        <v>0</v>
      </c>
      <c r="Q1105" s="7" t="str">
        <f t="shared" si="365"/>
        <v>都市整備部</v>
      </c>
      <c r="R1105" s="7" t="str">
        <f t="shared" si="384"/>
        <v>鳳土木事務所</v>
      </c>
    </row>
    <row r="1106" spans="1:18" s="1" customFormat="1" x14ac:dyDescent="0.45">
      <c r="A1106" s="7" t="str">
        <f t="shared" ref="A1106:A1149" si="385">"08206000156"</f>
        <v>08206000156</v>
      </c>
      <c r="B1106" s="7" t="str">
        <f t="shared" ref="B1106:B1149" si="386">"大泉緑地"</f>
        <v>大泉緑地</v>
      </c>
      <c r="C1106" s="7" t="str">
        <f t="shared" si="376"/>
        <v>行政財産</v>
      </c>
      <c r="D1106" s="7" t="str">
        <f t="shared" ref="D1106:D1137" si="387">"公園"</f>
        <v>公園</v>
      </c>
      <c r="E1106" s="7" t="str">
        <f t="shared" ref="E1106:E1149" si="388">"大阪府堺市　北区金岡町"</f>
        <v>大阪府堺市　北区金岡町</v>
      </c>
      <c r="F1106" s="7"/>
      <c r="G1106" s="7" t="str">
        <f t="shared" si="382"/>
        <v>事業用資産</v>
      </c>
      <c r="H1106" s="7" t="str">
        <f t="shared" si="381"/>
        <v>棚卸以外</v>
      </c>
      <c r="I1106" s="7">
        <v>1</v>
      </c>
      <c r="J1106" s="7" t="str">
        <f>"苗圃ボランティア倉庫"</f>
        <v>苗圃ボランティア倉庫</v>
      </c>
      <c r="K1106" s="7" t="str">
        <f>"鉄筋コンクリート造"</f>
        <v>鉄筋コンクリート造</v>
      </c>
      <c r="L1106" s="7" t="str">
        <f>"H27.05.11"</f>
        <v>H27.05.11</v>
      </c>
      <c r="M1106" s="7">
        <v>84.68</v>
      </c>
      <c r="N1106" s="7">
        <v>5381990</v>
      </c>
      <c r="O1106" s="7">
        <v>1290338</v>
      </c>
      <c r="P1106" s="7">
        <v>0</v>
      </c>
      <c r="Q1106" s="7" t="str">
        <f t="shared" si="365"/>
        <v>都市整備部</v>
      </c>
      <c r="R1106" s="7" t="str">
        <f t="shared" si="384"/>
        <v>鳳土木事務所</v>
      </c>
    </row>
    <row r="1107" spans="1:18" s="1" customFormat="1" x14ac:dyDescent="0.45">
      <c r="A1107" s="7" t="str">
        <f t="shared" si="385"/>
        <v>08206000156</v>
      </c>
      <c r="B1107" s="7" t="str">
        <f t="shared" si="386"/>
        <v>大泉緑地</v>
      </c>
      <c r="C1107" s="7" t="str">
        <f t="shared" si="376"/>
        <v>行政財産</v>
      </c>
      <c r="D1107" s="7" t="str">
        <f t="shared" si="387"/>
        <v>公園</v>
      </c>
      <c r="E1107" s="7" t="str">
        <f t="shared" si="388"/>
        <v>大阪府堺市　北区金岡町</v>
      </c>
      <c r="F1107" s="7"/>
      <c r="G1107" s="7" t="str">
        <f t="shared" si="382"/>
        <v>事業用資産</v>
      </c>
      <c r="H1107" s="7" t="str">
        <f t="shared" si="381"/>
        <v>棚卸以外</v>
      </c>
      <c r="I1107" s="7">
        <v>6</v>
      </c>
      <c r="J1107" s="7" t="str">
        <f>"金岡地区ポンプ室"</f>
        <v>金岡地区ポンプ室</v>
      </c>
      <c r="K1107" s="7" t="str">
        <f>"鉄筋コンクリート造"</f>
        <v>鉄筋コンクリート造</v>
      </c>
      <c r="L1107" s="7" t="str">
        <f>"S47.04.13"</f>
        <v>S47.04.13</v>
      </c>
      <c r="M1107" s="7">
        <v>63.25</v>
      </c>
      <c r="N1107" s="7">
        <v>3005000</v>
      </c>
      <c r="O1107" s="7">
        <v>3004999</v>
      </c>
      <c r="P1107" s="7">
        <v>0</v>
      </c>
      <c r="Q1107" s="7" t="str">
        <f t="shared" si="365"/>
        <v>都市整備部</v>
      </c>
      <c r="R1107" s="7" t="str">
        <f t="shared" si="384"/>
        <v>鳳土木事務所</v>
      </c>
    </row>
    <row r="1108" spans="1:18" s="1" customFormat="1" x14ac:dyDescent="0.45">
      <c r="A1108" s="7" t="str">
        <f t="shared" si="385"/>
        <v>08206000156</v>
      </c>
      <c r="B1108" s="7" t="str">
        <f t="shared" si="386"/>
        <v>大泉緑地</v>
      </c>
      <c r="C1108" s="7" t="str">
        <f t="shared" si="376"/>
        <v>行政財産</v>
      </c>
      <c r="D1108" s="7" t="str">
        <f t="shared" si="387"/>
        <v>公園</v>
      </c>
      <c r="E1108" s="7" t="str">
        <f t="shared" si="388"/>
        <v>大阪府堺市　北区金岡町</v>
      </c>
      <c r="F1108" s="7"/>
      <c r="G1108" s="7" t="str">
        <f t="shared" si="382"/>
        <v>事業用資産</v>
      </c>
      <c r="H1108" s="7" t="str">
        <f t="shared" si="381"/>
        <v>棚卸以外</v>
      </c>
      <c r="I1108" s="7">
        <v>12</v>
      </c>
      <c r="J1108" s="7" t="str">
        <f>"電気室倉庫"</f>
        <v>電気室倉庫</v>
      </c>
      <c r="K1108" s="7" t="str">
        <f>"鉄筋コンクリート造"</f>
        <v>鉄筋コンクリート造</v>
      </c>
      <c r="L1108" s="7" t="str">
        <f>"S47.07.31"</f>
        <v>S47.07.31</v>
      </c>
      <c r="M1108" s="7">
        <v>80</v>
      </c>
      <c r="N1108" s="7">
        <v>7273000</v>
      </c>
      <c r="O1108" s="7">
        <v>6096519</v>
      </c>
      <c r="P1108" s="7">
        <v>0</v>
      </c>
      <c r="Q1108" s="7" t="str">
        <f t="shared" si="365"/>
        <v>都市整備部</v>
      </c>
      <c r="R1108" s="7" t="str">
        <f t="shared" si="384"/>
        <v>鳳土木事務所</v>
      </c>
    </row>
    <row r="1109" spans="1:18" s="1" customFormat="1" x14ac:dyDescent="0.45">
      <c r="A1109" s="7" t="str">
        <f t="shared" si="385"/>
        <v>08206000156</v>
      </c>
      <c r="B1109" s="7" t="str">
        <f t="shared" si="386"/>
        <v>大泉緑地</v>
      </c>
      <c r="C1109" s="7" t="str">
        <f t="shared" si="376"/>
        <v>行政財産</v>
      </c>
      <c r="D1109" s="7" t="str">
        <f t="shared" si="387"/>
        <v>公園</v>
      </c>
      <c r="E1109" s="7" t="str">
        <f t="shared" si="388"/>
        <v>大阪府堺市　北区金岡町</v>
      </c>
      <c r="F1109" s="7"/>
      <c r="G1109" s="7" t="str">
        <f t="shared" si="382"/>
        <v>事業用資産</v>
      </c>
      <c r="H1109" s="7" t="str">
        <f t="shared" si="381"/>
        <v>棚卸以外</v>
      </c>
      <c r="I1109" s="7">
        <v>13</v>
      </c>
      <c r="J1109" s="7" t="str">
        <f>"公園管理事務所"</f>
        <v>公園管理事務所</v>
      </c>
      <c r="K1109" s="7" t="str">
        <f>"鉄筋コンクリート造"</f>
        <v>鉄筋コンクリート造</v>
      </c>
      <c r="L1109" s="7" t="str">
        <f>"S48.06.20"</f>
        <v>S48.06.20</v>
      </c>
      <c r="M1109" s="7">
        <v>647.20000000000005</v>
      </c>
      <c r="N1109" s="7">
        <v>105367680</v>
      </c>
      <c r="O1109" s="7">
        <v>71240565</v>
      </c>
      <c r="P1109" s="7">
        <v>0</v>
      </c>
      <c r="Q1109" s="7" t="str">
        <f t="shared" si="365"/>
        <v>都市整備部</v>
      </c>
      <c r="R1109" s="7" t="str">
        <f t="shared" si="384"/>
        <v>鳳土木事務所</v>
      </c>
    </row>
    <row r="1110" spans="1:18" s="1" customFormat="1" x14ac:dyDescent="0.45">
      <c r="A1110" s="7" t="str">
        <f t="shared" si="385"/>
        <v>08206000156</v>
      </c>
      <c r="B1110" s="7" t="str">
        <f t="shared" si="386"/>
        <v>大泉緑地</v>
      </c>
      <c r="C1110" s="7" t="str">
        <f t="shared" si="376"/>
        <v>行政財産</v>
      </c>
      <c r="D1110" s="7" t="str">
        <f t="shared" si="387"/>
        <v>公園</v>
      </c>
      <c r="E1110" s="7" t="str">
        <f t="shared" si="388"/>
        <v>大阪府堺市　北区金岡町</v>
      </c>
      <c r="F1110" s="7"/>
      <c r="G1110" s="7" t="str">
        <f t="shared" si="382"/>
        <v>事業用資産</v>
      </c>
      <c r="H1110" s="7" t="str">
        <f t="shared" si="381"/>
        <v>棚卸以外</v>
      </c>
      <c r="I1110" s="7">
        <v>19</v>
      </c>
      <c r="J1110" s="7" t="str">
        <f>"中村地区ポンプ室"</f>
        <v>中村地区ポンプ室</v>
      </c>
      <c r="K1110" s="7" t="str">
        <f>"鉄筋コンクリート造"</f>
        <v>鉄筋コンクリート造</v>
      </c>
      <c r="L1110" s="7" t="str">
        <f>"S49.12.07"</f>
        <v>S49.12.07</v>
      </c>
      <c r="M1110" s="7">
        <v>60</v>
      </c>
      <c r="N1110" s="7">
        <v>12510000</v>
      </c>
      <c r="O1110" s="7">
        <v>12509999</v>
      </c>
      <c r="P1110" s="7">
        <v>0</v>
      </c>
      <c r="Q1110" s="7" t="str">
        <f t="shared" si="365"/>
        <v>都市整備部</v>
      </c>
      <c r="R1110" s="7" t="str">
        <f t="shared" si="384"/>
        <v>鳳土木事務所</v>
      </c>
    </row>
    <row r="1111" spans="1:18" s="1" customFormat="1" x14ac:dyDescent="0.45">
      <c r="A1111" s="7" t="str">
        <f t="shared" si="385"/>
        <v>08206000156</v>
      </c>
      <c r="B1111" s="7" t="str">
        <f t="shared" si="386"/>
        <v>大泉緑地</v>
      </c>
      <c r="C1111" s="7" t="str">
        <f t="shared" si="376"/>
        <v>行政財産</v>
      </c>
      <c r="D1111" s="7" t="str">
        <f t="shared" si="387"/>
        <v>公園</v>
      </c>
      <c r="E1111" s="7" t="str">
        <f t="shared" si="388"/>
        <v>大阪府堺市　北区金岡町</v>
      </c>
      <c r="F1111" s="7"/>
      <c r="G1111" s="7" t="str">
        <f t="shared" si="382"/>
        <v>事業用資産</v>
      </c>
      <c r="H1111" s="7" t="str">
        <f t="shared" si="381"/>
        <v>棚卸以外</v>
      </c>
      <c r="I1111" s="7">
        <v>20</v>
      </c>
      <c r="J1111" s="7" t="str">
        <f>"第１温室"</f>
        <v>第１温室</v>
      </c>
      <c r="K1111" s="7" t="str">
        <f>"軽量鉄骨造"</f>
        <v>軽量鉄骨造</v>
      </c>
      <c r="L1111" s="7" t="str">
        <f>"S50.01.31"</f>
        <v>S50.01.31</v>
      </c>
      <c r="M1111" s="7">
        <v>193.6</v>
      </c>
      <c r="N1111" s="7">
        <v>9950000</v>
      </c>
      <c r="O1111" s="7">
        <v>9949999</v>
      </c>
      <c r="P1111" s="7">
        <v>0</v>
      </c>
      <c r="Q1111" s="7" t="str">
        <f t="shared" si="365"/>
        <v>都市整備部</v>
      </c>
      <c r="R1111" s="7" t="str">
        <f t="shared" si="384"/>
        <v>鳳土木事務所</v>
      </c>
    </row>
    <row r="1112" spans="1:18" s="1" customFormat="1" x14ac:dyDescent="0.45">
      <c r="A1112" s="7" t="str">
        <f t="shared" si="385"/>
        <v>08206000156</v>
      </c>
      <c r="B1112" s="7" t="str">
        <f t="shared" si="386"/>
        <v>大泉緑地</v>
      </c>
      <c r="C1112" s="7" t="str">
        <f t="shared" si="376"/>
        <v>行政財産</v>
      </c>
      <c r="D1112" s="7" t="str">
        <f t="shared" si="387"/>
        <v>公園</v>
      </c>
      <c r="E1112" s="7" t="str">
        <f t="shared" si="388"/>
        <v>大阪府堺市　北区金岡町</v>
      </c>
      <c r="F1112" s="7"/>
      <c r="G1112" s="7" t="str">
        <f t="shared" si="382"/>
        <v>事業用資産</v>
      </c>
      <c r="H1112" s="7" t="str">
        <f t="shared" si="381"/>
        <v>棚卸以外</v>
      </c>
      <c r="I1112" s="7">
        <v>22</v>
      </c>
      <c r="J1112" s="7" t="str">
        <f>"南花田地区ポンプ室"</f>
        <v>南花田地区ポンプ室</v>
      </c>
      <c r="K1112" s="7" t="str">
        <f>"鉄筋コンクリート造"</f>
        <v>鉄筋コンクリート造</v>
      </c>
      <c r="L1112" s="7" t="str">
        <f>"S51.10.07"</f>
        <v>S51.10.07</v>
      </c>
      <c r="M1112" s="7">
        <v>60</v>
      </c>
      <c r="N1112" s="7">
        <v>9500000</v>
      </c>
      <c r="O1112" s="7">
        <v>9499999</v>
      </c>
      <c r="P1112" s="7">
        <v>0</v>
      </c>
      <c r="Q1112" s="7" t="str">
        <f t="shared" si="365"/>
        <v>都市整備部</v>
      </c>
      <c r="R1112" s="7" t="str">
        <f t="shared" si="384"/>
        <v>鳳土木事務所</v>
      </c>
    </row>
    <row r="1113" spans="1:18" s="1" customFormat="1" x14ac:dyDescent="0.45">
      <c r="A1113" s="7" t="str">
        <f t="shared" si="385"/>
        <v>08206000156</v>
      </c>
      <c r="B1113" s="7" t="str">
        <f t="shared" si="386"/>
        <v>大泉緑地</v>
      </c>
      <c r="C1113" s="7" t="str">
        <f t="shared" si="376"/>
        <v>行政財産</v>
      </c>
      <c r="D1113" s="7" t="str">
        <f t="shared" si="387"/>
        <v>公園</v>
      </c>
      <c r="E1113" s="7" t="str">
        <f t="shared" si="388"/>
        <v>大阪府堺市　北区金岡町</v>
      </c>
      <c r="F1113" s="7"/>
      <c r="G1113" s="7" t="str">
        <f t="shared" si="382"/>
        <v>事業用資産</v>
      </c>
      <c r="H1113" s="7" t="str">
        <f t="shared" si="381"/>
        <v>棚卸以外</v>
      </c>
      <c r="I1113" s="7">
        <v>23</v>
      </c>
      <c r="J1113" s="7" t="str">
        <f>"大泉池西樋門小屋"</f>
        <v>大泉池西樋門小屋</v>
      </c>
      <c r="K1113" s="7" t="str">
        <f>"コンクリートブロック造"</f>
        <v>コンクリートブロック造</v>
      </c>
      <c r="L1113" s="7" t="str">
        <f>"S52.03.29"</f>
        <v>S52.03.29</v>
      </c>
      <c r="M1113" s="7">
        <v>9.36</v>
      </c>
      <c r="N1113" s="7">
        <v>900000</v>
      </c>
      <c r="O1113" s="7">
        <v>899999</v>
      </c>
      <c r="P1113" s="7">
        <v>0</v>
      </c>
      <c r="Q1113" s="7" t="str">
        <f t="shared" si="365"/>
        <v>都市整備部</v>
      </c>
      <c r="R1113" s="7" t="str">
        <f t="shared" si="384"/>
        <v>鳳土木事務所</v>
      </c>
    </row>
    <row r="1114" spans="1:18" s="1" customFormat="1" x14ac:dyDescent="0.45">
      <c r="A1114" s="7" t="str">
        <f t="shared" si="385"/>
        <v>08206000156</v>
      </c>
      <c r="B1114" s="7" t="str">
        <f t="shared" si="386"/>
        <v>大泉緑地</v>
      </c>
      <c r="C1114" s="7" t="str">
        <f t="shared" si="376"/>
        <v>行政財産</v>
      </c>
      <c r="D1114" s="7" t="str">
        <f t="shared" si="387"/>
        <v>公園</v>
      </c>
      <c r="E1114" s="7" t="str">
        <f t="shared" si="388"/>
        <v>大阪府堺市　北区金岡町</v>
      </c>
      <c r="F1114" s="7"/>
      <c r="G1114" s="7" t="str">
        <f t="shared" si="382"/>
        <v>事業用資産</v>
      </c>
      <c r="H1114" s="7" t="str">
        <f t="shared" si="381"/>
        <v>棚卸以外</v>
      </c>
      <c r="I1114" s="7">
        <v>24</v>
      </c>
      <c r="J1114" s="7" t="str">
        <f>"緑水亭"</f>
        <v>緑水亭</v>
      </c>
      <c r="K1114" s="7" t="str">
        <f>"鉄筋コンクリート造"</f>
        <v>鉄筋コンクリート造</v>
      </c>
      <c r="L1114" s="7" t="str">
        <f>"S52.12.27"</f>
        <v>S52.12.27</v>
      </c>
      <c r="M1114" s="7">
        <v>43.56</v>
      </c>
      <c r="N1114" s="7">
        <v>6881000</v>
      </c>
      <c r="O1114" s="7">
        <v>6227667</v>
      </c>
      <c r="P1114" s="7">
        <v>0</v>
      </c>
      <c r="Q1114" s="7" t="str">
        <f t="shared" si="365"/>
        <v>都市整備部</v>
      </c>
      <c r="R1114" s="7" t="str">
        <f t="shared" si="384"/>
        <v>鳳土木事務所</v>
      </c>
    </row>
    <row r="1115" spans="1:18" s="1" customFormat="1" x14ac:dyDescent="0.45">
      <c r="A1115" s="7" t="str">
        <f t="shared" si="385"/>
        <v>08206000156</v>
      </c>
      <c r="B1115" s="7" t="str">
        <f t="shared" si="386"/>
        <v>大泉緑地</v>
      </c>
      <c r="C1115" s="7" t="str">
        <f t="shared" si="376"/>
        <v>行政財産</v>
      </c>
      <c r="D1115" s="7" t="str">
        <f t="shared" si="387"/>
        <v>公園</v>
      </c>
      <c r="E1115" s="7" t="str">
        <f t="shared" si="388"/>
        <v>大阪府堺市　北区金岡町</v>
      </c>
      <c r="F1115" s="7"/>
      <c r="G1115" s="7" t="str">
        <f t="shared" si="382"/>
        <v>事業用資産</v>
      </c>
      <c r="H1115" s="7" t="str">
        <f t="shared" si="381"/>
        <v>棚卸以外</v>
      </c>
      <c r="I1115" s="7">
        <v>25</v>
      </c>
      <c r="J1115" s="7" t="str">
        <f>"大泉池東樋門小屋"</f>
        <v>大泉池東樋門小屋</v>
      </c>
      <c r="K1115" s="7" t="str">
        <f>"コンクリートブロック造"</f>
        <v>コンクリートブロック造</v>
      </c>
      <c r="L1115" s="7" t="str">
        <f>"S52.12.27"</f>
        <v>S52.12.27</v>
      </c>
      <c r="M1115" s="7">
        <v>6.44</v>
      </c>
      <c r="N1115" s="7">
        <v>819000</v>
      </c>
      <c r="O1115" s="7">
        <v>818999</v>
      </c>
      <c r="P1115" s="7">
        <v>0</v>
      </c>
      <c r="Q1115" s="7" t="str">
        <f t="shared" ref="Q1115:Q1178" si="389">"都市整備部"</f>
        <v>都市整備部</v>
      </c>
      <c r="R1115" s="7" t="str">
        <f t="shared" si="384"/>
        <v>鳳土木事務所</v>
      </c>
    </row>
    <row r="1116" spans="1:18" s="1" customFormat="1" x14ac:dyDescent="0.45">
      <c r="A1116" s="7" t="str">
        <f t="shared" si="385"/>
        <v>08206000156</v>
      </c>
      <c r="B1116" s="7" t="str">
        <f t="shared" si="386"/>
        <v>大泉緑地</v>
      </c>
      <c r="C1116" s="7" t="str">
        <f t="shared" si="376"/>
        <v>行政財産</v>
      </c>
      <c r="D1116" s="7" t="str">
        <f t="shared" si="387"/>
        <v>公園</v>
      </c>
      <c r="E1116" s="7" t="str">
        <f t="shared" si="388"/>
        <v>大阪府堺市　北区金岡町</v>
      </c>
      <c r="F1116" s="7"/>
      <c r="G1116" s="7" t="str">
        <f t="shared" si="382"/>
        <v>事業用資産</v>
      </c>
      <c r="H1116" s="7" t="str">
        <f t="shared" si="381"/>
        <v>棚卸以外</v>
      </c>
      <c r="I1116" s="7">
        <v>26</v>
      </c>
      <c r="J1116" s="7" t="str">
        <f>"金岡売店"</f>
        <v>金岡売店</v>
      </c>
      <c r="K1116" s="7" t="str">
        <f>"コンクリートブロック造"</f>
        <v>コンクリートブロック造</v>
      </c>
      <c r="L1116" s="7" t="str">
        <f>"S54.11.06"</f>
        <v>S54.11.06</v>
      </c>
      <c r="M1116" s="7">
        <v>13.73</v>
      </c>
      <c r="N1116" s="7">
        <v>4938000</v>
      </c>
      <c r="O1116" s="7">
        <v>4937999</v>
      </c>
      <c r="P1116" s="7">
        <v>0</v>
      </c>
      <c r="Q1116" s="7" t="str">
        <f t="shared" si="389"/>
        <v>都市整備部</v>
      </c>
      <c r="R1116" s="7" t="str">
        <f t="shared" si="384"/>
        <v>鳳土木事務所</v>
      </c>
    </row>
    <row r="1117" spans="1:18" s="1" customFormat="1" ht="26.4" x14ac:dyDescent="0.45">
      <c r="A1117" s="7" t="str">
        <f t="shared" si="385"/>
        <v>08206000156</v>
      </c>
      <c r="B1117" s="7" t="str">
        <f t="shared" si="386"/>
        <v>大泉緑地</v>
      </c>
      <c r="C1117" s="7" t="str">
        <f t="shared" si="376"/>
        <v>行政財産</v>
      </c>
      <c r="D1117" s="7" t="str">
        <f t="shared" si="387"/>
        <v>公園</v>
      </c>
      <c r="E1117" s="7" t="str">
        <f t="shared" si="388"/>
        <v>大阪府堺市　北区金岡町</v>
      </c>
      <c r="F1117" s="7"/>
      <c r="G1117" s="7" t="str">
        <f t="shared" si="382"/>
        <v>事業用資産</v>
      </c>
      <c r="H1117" s="7" t="str">
        <f t="shared" si="381"/>
        <v>棚卸以外</v>
      </c>
      <c r="I1117" s="7">
        <v>27</v>
      </c>
      <c r="J1117" s="7" t="str">
        <f>"中央休憩所"</f>
        <v>中央休憩所</v>
      </c>
      <c r="K1117" s="7" t="str">
        <f>"鉄骨鉄筋コンクリート造"</f>
        <v>鉄骨鉄筋コンクリート造</v>
      </c>
      <c r="L1117" s="7" t="str">
        <f>"S56.09.10"</f>
        <v>S56.09.10</v>
      </c>
      <c r="M1117" s="7">
        <v>616.57000000000005</v>
      </c>
      <c r="N1117" s="7">
        <v>417343330</v>
      </c>
      <c r="O1117" s="7">
        <v>318347877</v>
      </c>
      <c r="P1117" s="7">
        <v>0</v>
      </c>
      <c r="Q1117" s="7" t="str">
        <f t="shared" si="389"/>
        <v>都市整備部</v>
      </c>
      <c r="R1117" s="7" t="str">
        <f t="shared" si="384"/>
        <v>鳳土木事務所</v>
      </c>
    </row>
    <row r="1118" spans="1:18" s="1" customFormat="1" x14ac:dyDescent="0.45">
      <c r="A1118" s="7" t="str">
        <f t="shared" si="385"/>
        <v>08206000156</v>
      </c>
      <c r="B1118" s="7" t="str">
        <f t="shared" si="386"/>
        <v>大泉緑地</v>
      </c>
      <c r="C1118" s="7" t="str">
        <f t="shared" si="376"/>
        <v>行政財産</v>
      </c>
      <c r="D1118" s="7" t="str">
        <f t="shared" si="387"/>
        <v>公園</v>
      </c>
      <c r="E1118" s="7" t="str">
        <f t="shared" si="388"/>
        <v>大阪府堺市　北区金岡町</v>
      </c>
      <c r="F1118" s="7"/>
      <c r="G1118" s="7" t="str">
        <f t="shared" si="382"/>
        <v>事業用資産</v>
      </c>
      <c r="H1118" s="7" t="str">
        <f t="shared" si="381"/>
        <v>棚卸以外</v>
      </c>
      <c r="I1118" s="7">
        <v>28</v>
      </c>
      <c r="J1118" s="7" t="str">
        <f>"南花田売店"</f>
        <v>南花田売店</v>
      </c>
      <c r="K1118" s="7" t="str">
        <f>"鉄骨造"</f>
        <v>鉄骨造</v>
      </c>
      <c r="L1118" s="7" t="str">
        <f>"S58.03.26"</f>
        <v>S58.03.26</v>
      </c>
      <c r="M1118" s="7">
        <v>10</v>
      </c>
      <c r="N1118" s="7">
        <v>3100000</v>
      </c>
      <c r="O1118" s="7">
        <v>3099999</v>
      </c>
      <c r="P1118" s="7">
        <v>0</v>
      </c>
      <c r="Q1118" s="7" t="str">
        <f t="shared" si="389"/>
        <v>都市整備部</v>
      </c>
      <c r="R1118" s="7" t="str">
        <f t="shared" si="384"/>
        <v>鳳土木事務所</v>
      </c>
    </row>
    <row r="1119" spans="1:18" s="1" customFormat="1" x14ac:dyDescent="0.45">
      <c r="A1119" s="7" t="str">
        <f t="shared" si="385"/>
        <v>08206000156</v>
      </c>
      <c r="B1119" s="7" t="str">
        <f t="shared" si="386"/>
        <v>大泉緑地</v>
      </c>
      <c r="C1119" s="7" t="str">
        <f t="shared" si="376"/>
        <v>行政財産</v>
      </c>
      <c r="D1119" s="7" t="str">
        <f t="shared" si="387"/>
        <v>公園</v>
      </c>
      <c r="E1119" s="7" t="str">
        <f t="shared" si="388"/>
        <v>大阪府堺市　北区金岡町</v>
      </c>
      <c r="F1119" s="7"/>
      <c r="G1119" s="7" t="str">
        <f t="shared" si="382"/>
        <v>事業用資産</v>
      </c>
      <c r="H1119" s="7" t="str">
        <f t="shared" si="381"/>
        <v>棚卸以外</v>
      </c>
      <c r="I1119" s="7">
        <v>29</v>
      </c>
      <c r="J1119" s="7" t="str">
        <f>"ＢＭＸ広場前便所"</f>
        <v>ＢＭＸ広場前便所</v>
      </c>
      <c r="K1119" s="7" t="str">
        <f>"鉄筋コンクリート造"</f>
        <v>鉄筋コンクリート造</v>
      </c>
      <c r="L1119" s="7" t="str">
        <f>"S60.03.22"</f>
        <v>S60.03.22</v>
      </c>
      <c r="M1119" s="7">
        <v>44.65</v>
      </c>
      <c r="N1119" s="7">
        <v>28125443</v>
      </c>
      <c r="O1119" s="7">
        <v>19659651</v>
      </c>
      <c r="P1119" s="7">
        <v>0</v>
      </c>
      <c r="Q1119" s="7" t="str">
        <f t="shared" si="389"/>
        <v>都市整備部</v>
      </c>
      <c r="R1119" s="7" t="str">
        <f t="shared" si="384"/>
        <v>鳳土木事務所</v>
      </c>
    </row>
    <row r="1120" spans="1:18" s="1" customFormat="1" x14ac:dyDescent="0.45">
      <c r="A1120" s="7" t="str">
        <f t="shared" si="385"/>
        <v>08206000156</v>
      </c>
      <c r="B1120" s="7" t="str">
        <f t="shared" si="386"/>
        <v>大泉緑地</v>
      </c>
      <c r="C1120" s="7" t="str">
        <f t="shared" si="376"/>
        <v>行政財産</v>
      </c>
      <c r="D1120" s="7" t="str">
        <f t="shared" si="387"/>
        <v>公園</v>
      </c>
      <c r="E1120" s="7" t="str">
        <f t="shared" si="388"/>
        <v>大阪府堺市　北区金岡町</v>
      </c>
      <c r="F1120" s="7"/>
      <c r="G1120" s="7" t="str">
        <f t="shared" si="382"/>
        <v>事業用資産</v>
      </c>
      <c r="H1120" s="7" t="str">
        <f t="shared" si="381"/>
        <v>棚卸以外</v>
      </c>
      <c r="I1120" s="7">
        <v>30</v>
      </c>
      <c r="J1120" s="7" t="str">
        <f>"頭泉池樋門小屋"</f>
        <v>頭泉池樋門小屋</v>
      </c>
      <c r="K1120" s="7" t="str">
        <f>"コンクリートブロック造"</f>
        <v>コンクリートブロック造</v>
      </c>
      <c r="L1120" s="7" t="str">
        <f>"S62.03.02"</f>
        <v>S62.03.02</v>
      </c>
      <c r="M1120" s="7">
        <v>16.25</v>
      </c>
      <c r="N1120" s="7">
        <v>1194000</v>
      </c>
      <c r="O1120" s="7">
        <v>1048464</v>
      </c>
      <c r="P1120" s="7">
        <v>0</v>
      </c>
      <c r="Q1120" s="7" t="str">
        <f t="shared" si="389"/>
        <v>都市整備部</v>
      </c>
      <c r="R1120" s="7" t="str">
        <f t="shared" si="384"/>
        <v>鳳土木事務所</v>
      </c>
    </row>
    <row r="1121" spans="1:18" s="1" customFormat="1" x14ac:dyDescent="0.45">
      <c r="A1121" s="7" t="str">
        <f t="shared" si="385"/>
        <v>08206000156</v>
      </c>
      <c r="B1121" s="7" t="str">
        <f t="shared" si="386"/>
        <v>大泉緑地</v>
      </c>
      <c r="C1121" s="7" t="str">
        <f t="shared" si="376"/>
        <v>行政財産</v>
      </c>
      <c r="D1121" s="7" t="str">
        <f t="shared" si="387"/>
        <v>公園</v>
      </c>
      <c r="E1121" s="7" t="str">
        <f t="shared" si="388"/>
        <v>大阪府堺市　北区金岡町</v>
      </c>
      <c r="F1121" s="7"/>
      <c r="G1121" s="7" t="str">
        <f t="shared" si="382"/>
        <v>事業用資産</v>
      </c>
      <c r="H1121" s="7" t="str">
        <f t="shared" si="381"/>
        <v>棚卸以外</v>
      </c>
      <c r="I1121" s="7">
        <v>31</v>
      </c>
      <c r="J1121" s="7" t="str">
        <f>"桜広場便所"</f>
        <v>桜広場便所</v>
      </c>
      <c r="K1121" s="7" t="str">
        <f>"鉄筋コンクリート造"</f>
        <v>鉄筋コンクリート造</v>
      </c>
      <c r="L1121" s="7" t="str">
        <f>"S62.03.09"</f>
        <v>S62.03.09</v>
      </c>
      <c r="M1121" s="7">
        <v>51.24</v>
      </c>
      <c r="N1121" s="7">
        <v>27012250</v>
      </c>
      <c r="O1121" s="7">
        <v>17737344</v>
      </c>
      <c r="P1121" s="7">
        <v>0</v>
      </c>
      <c r="Q1121" s="7" t="str">
        <f t="shared" si="389"/>
        <v>都市整備部</v>
      </c>
      <c r="R1121" s="7" t="str">
        <f t="shared" si="384"/>
        <v>鳳土木事務所</v>
      </c>
    </row>
    <row r="1122" spans="1:18" s="1" customFormat="1" x14ac:dyDescent="0.45">
      <c r="A1122" s="7" t="str">
        <f t="shared" si="385"/>
        <v>08206000156</v>
      </c>
      <c r="B1122" s="7" t="str">
        <f t="shared" si="386"/>
        <v>大泉緑地</v>
      </c>
      <c r="C1122" s="7" t="str">
        <f t="shared" si="376"/>
        <v>行政財産</v>
      </c>
      <c r="D1122" s="7" t="str">
        <f t="shared" si="387"/>
        <v>公園</v>
      </c>
      <c r="E1122" s="7" t="str">
        <f t="shared" si="388"/>
        <v>大阪府堺市　北区金岡町</v>
      </c>
      <c r="F1122" s="7"/>
      <c r="G1122" s="7" t="str">
        <f t="shared" si="382"/>
        <v>事業用資産</v>
      </c>
      <c r="H1122" s="7" t="str">
        <f t="shared" si="381"/>
        <v>棚卸以外</v>
      </c>
      <c r="I1122" s="7">
        <v>32</v>
      </c>
      <c r="J1122" s="7" t="str">
        <f>"大芝生広場西便所"</f>
        <v>大芝生広場西便所</v>
      </c>
      <c r="K1122" s="7" t="str">
        <f>"鉄筋コンクリート造"</f>
        <v>鉄筋コンクリート造</v>
      </c>
      <c r="L1122" s="7" t="str">
        <f>"S62.05.29"</f>
        <v>S62.05.29</v>
      </c>
      <c r="M1122" s="7">
        <v>64.319999999999993</v>
      </c>
      <c r="N1122" s="7">
        <v>47340340</v>
      </c>
      <c r="O1122" s="7">
        <v>29622040</v>
      </c>
      <c r="P1122" s="7">
        <v>0</v>
      </c>
      <c r="Q1122" s="7" t="str">
        <f t="shared" si="389"/>
        <v>都市整備部</v>
      </c>
      <c r="R1122" s="7" t="str">
        <f t="shared" si="384"/>
        <v>鳳土木事務所</v>
      </c>
    </row>
    <row r="1123" spans="1:18" s="1" customFormat="1" x14ac:dyDescent="0.45">
      <c r="A1123" s="7" t="str">
        <f t="shared" si="385"/>
        <v>08206000156</v>
      </c>
      <c r="B1123" s="7" t="str">
        <f t="shared" si="386"/>
        <v>大泉緑地</v>
      </c>
      <c r="C1123" s="7" t="str">
        <f t="shared" si="376"/>
        <v>行政財産</v>
      </c>
      <c r="D1123" s="7" t="str">
        <f t="shared" si="387"/>
        <v>公園</v>
      </c>
      <c r="E1123" s="7" t="str">
        <f t="shared" si="388"/>
        <v>大阪府堺市　北区金岡町</v>
      </c>
      <c r="F1123" s="7"/>
      <c r="G1123" s="7" t="str">
        <f t="shared" si="382"/>
        <v>事業用資産</v>
      </c>
      <c r="H1123" s="7" t="str">
        <f t="shared" si="381"/>
        <v>棚卸以外</v>
      </c>
      <c r="I1123" s="7">
        <v>33</v>
      </c>
      <c r="J1123" s="7" t="str">
        <f>"スポ―ツハウス"</f>
        <v>スポ―ツハウス</v>
      </c>
      <c r="K1123" s="7" t="str">
        <f>"鉄筋コンクリート造"</f>
        <v>鉄筋コンクリート造</v>
      </c>
      <c r="L1123" s="7" t="str">
        <f>"S62.11.09"</f>
        <v>S62.11.09</v>
      </c>
      <c r="M1123" s="7">
        <v>430.45</v>
      </c>
      <c r="N1123" s="7">
        <v>157121472</v>
      </c>
      <c r="O1123" s="7">
        <v>88022845</v>
      </c>
      <c r="P1123" s="7">
        <v>0</v>
      </c>
      <c r="Q1123" s="7" t="str">
        <f t="shared" si="389"/>
        <v>都市整備部</v>
      </c>
      <c r="R1123" s="7" t="str">
        <f t="shared" si="384"/>
        <v>鳳土木事務所</v>
      </c>
    </row>
    <row r="1124" spans="1:18" s="1" customFormat="1" x14ac:dyDescent="0.45">
      <c r="A1124" s="7" t="str">
        <f t="shared" si="385"/>
        <v>08206000156</v>
      </c>
      <c r="B1124" s="7" t="str">
        <f t="shared" si="386"/>
        <v>大泉緑地</v>
      </c>
      <c r="C1124" s="7" t="str">
        <f t="shared" si="376"/>
        <v>行政財産</v>
      </c>
      <c r="D1124" s="7" t="str">
        <f t="shared" si="387"/>
        <v>公園</v>
      </c>
      <c r="E1124" s="7" t="str">
        <f t="shared" si="388"/>
        <v>大阪府堺市　北区金岡町</v>
      </c>
      <c r="F1124" s="7"/>
      <c r="G1124" s="7" t="str">
        <f t="shared" si="382"/>
        <v>事業用資産</v>
      </c>
      <c r="H1124" s="7" t="str">
        <f t="shared" si="381"/>
        <v>棚卸以外</v>
      </c>
      <c r="I1124" s="7">
        <v>34</v>
      </c>
      <c r="J1124" s="7" t="str">
        <f>"苗圃倉庫"</f>
        <v>苗圃倉庫</v>
      </c>
      <c r="K1124" s="7" t="str">
        <f>"軽量鉄骨造"</f>
        <v>軽量鉄骨造</v>
      </c>
      <c r="L1124" s="7" t="str">
        <f>"S62.12.04"</f>
        <v>S62.12.04</v>
      </c>
      <c r="M1124" s="7">
        <v>16.8</v>
      </c>
      <c r="N1124" s="7">
        <v>2606236</v>
      </c>
      <c r="O1124" s="7">
        <v>2331979</v>
      </c>
      <c r="P1124" s="7">
        <v>0</v>
      </c>
      <c r="Q1124" s="7" t="str">
        <f t="shared" si="389"/>
        <v>都市整備部</v>
      </c>
      <c r="R1124" s="7" t="str">
        <f t="shared" si="384"/>
        <v>鳳土木事務所</v>
      </c>
    </row>
    <row r="1125" spans="1:18" s="1" customFormat="1" x14ac:dyDescent="0.45">
      <c r="A1125" s="7" t="str">
        <f t="shared" si="385"/>
        <v>08206000156</v>
      </c>
      <c r="B1125" s="7" t="str">
        <f t="shared" si="386"/>
        <v>大泉緑地</v>
      </c>
      <c r="C1125" s="7" t="str">
        <f t="shared" si="376"/>
        <v>行政財産</v>
      </c>
      <c r="D1125" s="7" t="str">
        <f t="shared" si="387"/>
        <v>公園</v>
      </c>
      <c r="E1125" s="7" t="str">
        <f t="shared" si="388"/>
        <v>大阪府堺市　北区金岡町</v>
      </c>
      <c r="F1125" s="7"/>
      <c r="G1125" s="7" t="str">
        <f t="shared" si="382"/>
        <v>事業用資産</v>
      </c>
      <c r="H1125" s="7" t="str">
        <f t="shared" si="381"/>
        <v>棚卸以外</v>
      </c>
      <c r="I1125" s="7">
        <v>35</v>
      </c>
      <c r="J1125" s="7" t="str">
        <f>"スポーツハウス資材庫"</f>
        <v>スポーツハウス資材庫</v>
      </c>
      <c r="K1125" s="7" t="str">
        <f>"鉄筋コンクリート造"</f>
        <v>鉄筋コンクリート造</v>
      </c>
      <c r="L1125" s="7" t="str">
        <f>"S63.03.30"</f>
        <v>S63.03.30</v>
      </c>
      <c r="M1125" s="7">
        <v>39.36</v>
      </c>
      <c r="N1125" s="7">
        <v>2977000</v>
      </c>
      <c r="O1125" s="7">
        <v>2742180</v>
      </c>
      <c r="P1125" s="7">
        <v>0</v>
      </c>
      <c r="Q1125" s="7" t="str">
        <f t="shared" si="389"/>
        <v>都市整備部</v>
      </c>
      <c r="R1125" s="7" t="str">
        <f t="shared" si="384"/>
        <v>鳳土木事務所</v>
      </c>
    </row>
    <row r="1126" spans="1:18" s="1" customFormat="1" x14ac:dyDescent="0.45">
      <c r="A1126" s="7" t="str">
        <f t="shared" si="385"/>
        <v>08206000156</v>
      </c>
      <c r="B1126" s="7" t="str">
        <f t="shared" si="386"/>
        <v>大泉緑地</v>
      </c>
      <c r="C1126" s="7" t="str">
        <f t="shared" si="376"/>
        <v>行政財産</v>
      </c>
      <c r="D1126" s="7" t="str">
        <f t="shared" si="387"/>
        <v>公園</v>
      </c>
      <c r="E1126" s="7" t="str">
        <f t="shared" si="388"/>
        <v>大阪府堺市　北区金岡町</v>
      </c>
      <c r="F1126" s="7"/>
      <c r="G1126" s="7" t="str">
        <f t="shared" si="382"/>
        <v>事業用資産</v>
      </c>
      <c r="H1126" s="7" t="str">
        <f t="shared" si="381"/>
        <v>棚卸以外</v>
      </c>
      <c r="I1126" s="7">
        <v>36</v>
      </c>
      <c r="J1126" s="7" t="str">
        <f>"冒険ランド便所"</f>
        <v>冒険ランド便所</v>
      </c>
      <c r="K1126" s="7" t="str">
        <f>"鉄骨造"</f>
        <v>鉄骨造</v>
      </c>
      <c r="L1126" s="7" t="str">
        <f>"H02.03.20"</f>
        <v>H02.03.20</v>
      </c>
      <c r="M1126" s="7">
        <v>28.8</v>
      </c>
      <c r="N1126" s="7">
        <v>20592705</v>
      </c>
      <c r="O1126" s="7">
        <v>20080863</v>
      </c>
      <c r="P1126" s="7">
        <v>0</v>
      </c>
      <c r="Q1126" s="7" t="str">
        <f t="shared" si="389"/>
        <v>都市整備部</v>
      </c>
      <c r="R1126" s="7" t="str">
        <f t="shared" si="384"/>
        <v>鳳土木事務所</v>
      </c>
    </row>
    <row r="1127" spans="1:18" s="1" customFormat="1" x14ac:dyDescent="0.45">
      <c r="A1127" s="7" t="str">
        <f t="shared" si="385"/>
        <v>08206000156</v>
      </c>
      <c r="B1127" s="7" t="str">
        <f t="shared" si="386"/>
        <v>大泉緑地</v>
      </c>
      <c r="C1127" s="7" t="str">
        <f t="shared" si="376"/>
        <v>行政財産</v>
      </c>
      <c r="D1127" s="7" t="str">
        <f t="shared" si="387"/>
        <v>公園</v>
      </c>
      <c r="E1127" s="7" t="str">
        <f t="shared" si="388"/>
        <v>大阪府堺市　北区金岡町</v>
      </c>
      <c r="F1127" s="7"/>
      <c r="G1127" s="7" t="str">
        <f t="shared" si="382"/>
        <v>事業用資産</v>
      </c>
      <c r="H1127" s="7" t="str">
        <f t="shared" si="381"/>
        <v>棚卸以外</v>
      </c>
      <c r="I1127" s="7">
        <v>37</v>
      </c>
      <c r="J1127" s="7" t="str">
        <f>"第３温室"</f>
        <v>第３温室</v>
      </c>
      <c r="K1127" s="7" t="str">
        <f>"軽量鉄骨造"</f>
        <v>軽量鉄骨造</v>
      </c>
      <c r="L1127" s="7" t="str">
        <f>"H02.03.30"</f>
        <v>H02.03.30</v>
      </c>
      <c r="M1127" s="7">
        <v>41.04</v>
      </c>
      <c r="N1127" s="7">
        <v>4112000</v>
      </c>
      <c r="O1127" s="7">
        <v>4111999</v>
      </c>
      <c r="P1127" s="7">
        <v>0</v>
      </c>
      <c r="Q1127" s="7" t="str">
        <f t="shared" si="389"/>
        <v>都市整備部</v>
      </c>
      <c r="R1127" s="7" t="str">
        <f t="shared" si="384"/>
        <v>鳳土木事務所</v>
      </c>
    </row>
    <row r="1128" spans="1:18" s="1" customFormat="1" x14ac:dyDescent="0.45">
      <c r="A1128" s="7" t="str">
        <f t="shared" si="385"/>
        <v>08206000156</v>
      </c>
      <c r="B1128" s="7" t="str">
        <f t="shared" si="386"/>
        <v>大泉緑地</v>
      </c>
      <c r="C1128" s="7" t="str">
        <f t="shared" si="376"/>
        <v>行政財産</v>
      </c>
      <c r="D1128" s="7" t="str">
        <f t="shared" si="387"/>
        <v>公園</v>
      </c>
      <c r="E1128" s="7" t="str">
        <f t="shared" si="388"/>
        <v>大阪府堺市　北区金岡町</v>
      </c>
      <c r="F1128" s="7"/>
      <c r="G1128" s="7" t="str">
        <f t="shared" si="382"/>
        <v>事業用資産</v>
      </c>
      <c r="H1128" s="7" t="str">
        <f t="shared" si="381"/>
        <v>棚卸以外</v>
      </c>
      <c r="I1128" s="7">
        <v>38</v>
      </c>
      <c r="J1128" s="7" t="str">
        <f>"わんぱくランド便所"</f>
        <v>わんぱくランド便所</v>
      </c>
      <c r="K1128" s="7" t="str">
        <f>"鉄筋コンクリート造"</f>
        <v>鉄筋コンクリート造</v>
      </c>
      <c r="L1128" s="7" t="str">
        <f>"H03.03.08"</f>
        <v>H03.03.08</v>
      </c>
      <c r="M1128" s="7">
        <v>63.92</v>
      </c>
      <c r="N1128" s="7">
        <v>34370426</v>
      </c>
      <c r="O1128" s="7">
        <v>23549964</v>
      </c>
      <c r="P1128" s="7">
        <v>0</v>
      </c>
      <c r="Q1128" s="7" t="str">
        <f t="shared" si="389"/>
        <v>都市整備部</v>
      </c>
      <c r="R1128" s="7" t="str">
        <f t="shared" si="384"/>
        <v>鳳土木事務所</v>
      </c>
    </row>
    <row r="1129" spans="1:18" s="1" customFormat="1" x14ac:dyDescent="0.45">
      <c r="A1129" s="7" t="str">
        <f t="shared" si="385"/>
        <v>08206000156</v>
      </c>
      <c r="B1129" s="7" t="str">
        <f t="shared" si="386"/>
        <v>大泉緑地</v>
      </c>
      <c r="C1129" s="7" t="str">
        <f t="shared" si="376"/>
        <v>行政財産</v>
      </c>
      <c r="D1129" s="7" t="str">
        <f t="shared" si="387"/>
        <v>公園</v>
      </c>
      <c r="E1129" s="7" t="str">
        <f t="shared" si="388"/>
        <v>大阪府堺市　北区金岡町</v>
      </c>
      <c r="F1129" s="7"/>
      <c r="G1129" s="7" t="str">
        <f t="shared" ref="G1129:G1160" si="390">"事業用資産"</f>
        <v>事業用資産</v>
      </c>
      <c r="H1129" s="7" t="str">
        <f t="shared" si="381"/>
        <v>棚卸以外</v>
      </c>
      <c r="I1129" s="7">
        <v>39</v>
      </c>
      <c r="J1129" s="7" t="str">
        <f>"第２温室"</f>
        <v>第２温室</v>
      </c>
      <c r="K1129" s="7" t="str">
        <f>"軽量鉄骨造"</f>
        <v>軽量鉄骨造</v>
      </c>
      <c r="L1129" s="7" t="str">
        <f>"H03.03.12"</f>
        <v>H03.03.12</v>
      </c>
      <c r="M1129" s="7">
        <v>41.04</v>
      </c>
      <c r="N1129" s="7">
        <v>3338000</v>
      </c>
      <c r="O1129" s="7">
        <v>3337999</v>
      </c>
      <c r="P1129" s="7">
        <v>0</v>
      </c>
      <c r="Q1129" s="7" t="str">
        <f t="shared" si="389"/>
        <v>都市整備部</v>
      </c>
      <c r="R1129" s="7" t="str">
        <f t="shared" si="384"/>
        <v>鳳土木事務所</v>
      </c>
    </row>
    <row r="1130" spans="1:18" s="1" customFormat="1" x14ac:dyDescent="0.45">
      <c r="A1130" s="7" t="str">
        <f t="shared" si="385"/>
        <v>08206000156</v>
      </c>
      <c r="B1130" s="7" t="str">
        <f t="shared" si="386"/>
        <v>大泉緑地</v>
      </c>
      <c r="C1130" s="7" t="str">
        <f t="shared" si="376"/>
        <v>行政財産</v>
      </c>
      <c r="D1130" s="7" t="str">
        <f t="shared" si="387"/>
        <v>公園</v>
      </c>
      <c r="E1130" s="7" t="str">
        <f t="shared" si="388"/>
        <v>大阪府堺市　北区金岡町</v>
      </c>
      <c r="F1130" s="7"/>
      <c r="G1130" s="7" t="str">
        <f t="shared" si="390"/>
        <v>事業用資産</v>
      </c>
      <c r="H1130" s="7" t="str">
        <f t="shared" si="381"/>
        <v>棚卸以外</v>
      </c>
      <c r="I1130" s="7">
        <v>40</v>
      </c>
      <c r="J1130" s="7" t="str">
        <f>"第１駐車場便所"</f>
        <v>第１駐車場便所</v>
      </c>
      <c r="K1130" s="7" t="str">
        <f>"鉄筋コンクリート造"</f>
        <v>鉄筋コンクリート造</v>
      </c>
      <c r="L1130" s="7" t="str">
        <f>"H04.03.27"</f>
        <v>H04.03.27</v>
      </c>
      <c r="M1130" s="7">
        <v>48.01</v>
      </c>
      <c r="N1130" s="7">
        <v>40649046</v>
      </c>
      <c r="O1130" s="7">
        <v>28213260</v>
      </c>
      <c r="P1130" s="7">
        <v>0</v>
      </c>
      <c r="Q1130" s="7" t="str">
        <f t="shared" si="389"/>
        <v>都市整備部</v>
      </c>
      <c r="R1130" s="7" t="str">
        <f t="shared" si="384"/>
        <v>鳳土木事務所</v>
      </c>
    </row>
    <row r="1131" spans="1:18" s="1" customFormat="1" x14ac:dyDescent="0.45">
      <c r="A1131" s="7" t="str">
        <f t="shared" si="385"/>
        <v>08206000156</v>
      </c>
      <c r="B1131" s="7" t="str">
        <f t="shared" si="386"/>
        <v>大泉緑地</v>
      </c>
      <c r="C1131" s="7" t="str">
        <f t="shared" si="376"/>
        <v>行政財産</v>
      </c>
      <c r="D1131" s="7" t="str">
        <f t="shared" si="387"/>
        <v>公園</v>
      </c>
      <c r="E1131" s="7" t="str">
        <f t="shared" si="388"/>
        <v>大阪府堺市　北区金岡町</v>
      </c>
      <c r="F1131" s="7"/>
      <c r="G1131" s="7" t="str">
        <f t="shared" si="390"/>
        <v>事業用資産</v>
      </c>
      <c r="H1131" s="7" t="str">
        <f t="shared" si="381"/>
        <v>棚卸以外</v>
      </c>
      <c r="I1131" s="7">
        <v>41</v>
      </c>
      <c r="J1131" s="7" t="str">
        <f>"水流ポンプ室"</f>
        <v>水流ポンプ室</v>
      </c>
      <c r="K1131" s="7" t="str">
        <f>"鉄筋コンクリート造"</f>
        <v>鉄筋コンクリート造</v>
      </c>
      <c r="L1131" s="7" t="str">
        <f>"H04.03.30"</f>
        <v>H04.03.30</v>
      </c>
      <c r="M1131" s="7">
        <v>50</v>
      </c>
      <c r="N1131" s="7">
        <v>49747000</v>
      </c>
      <c r="O1131" s="7">
        <v>40583340</v>
      </c>
      <c r="P1131" s="7">
        <v>0</v>
      </c>
      <c r="Q1131" s="7" t="str">
        <f t="shared" si="389"/>
        <v>都市整備部</v>
      </c>
      <c r="R1131" s="7" t="str">
        <f t="shared" si="384"/>
        <v>鳳土木事務所</v>
      </c>
    </row>
    <row r="1132" spans="1:18" s="1" customFormat="1" x14ac:dyDescent="0.45">
      <c r="A1132" s="7" t="str">
        <f t="shared" si="385"/>
        <v>08206000156</v>
      </c>
      <c r="B1132" s="7" t="str">
        <f t="shared" si="386"/>
        <v>大泉緑地</v>
      </c>
      <c r="C1132" s="7" t="str">
        <f t="shared" si="376"/>
        <v>行政財産</v>
      </c>
      <c r="D1132" s="7" t="str">
        <f t="shared" si="387"/>
        <v>公園</v>
      </c>
      <c r="E1132" s="7" t="str">
        <f t="shared" si="388"/>
        <v>大阪府堺市　北区金岡町</v>
      </c>
      <c r="F1132" s="7"/>
      <c r="G1132" s="7" t="str">
        <f t="shared" si="390"/>
        <v>事業用資産</v>
      </c>
      <c r="H1132" s="7" t="str">
        <f t="shared" si="381"/>
        <v>棚卸以外</v>
      </c>
      <c r="I1132" s="7">
        <v>42</v>
      </c>
      <c r="J1132" s="7" t="str">
        <f>"第３駐車場便所"</f>
        <v>第３駐車場便所</v>
      </c>
      <c r="K1132" s="7" t="str">
        <f>"鉄筋コンクリート造"</f>
        <v>鉄筋コンクリート造</v>
      </c>
      <c r="L1132" s="7" t="str">
        <f>"H05.02.23"</f>
        <v>H05.02.23</v>
      </c>
      <c r="M1132" s="7">
        <v>76.8</v>
      </c>
      <c r="N1132" s="7">
        <v>43583897</v>
      </c>
      <c r="O1132" s="7">
        <v>30278369</v>
      </c>
      <c r="P1132" s="7">
        <v>0</v>
      </c>
      <c r="Q1132" s="7" t="str">
        <f t="shared" si="389"/>
        <v>都市整備部</v>
      </c>
      <c r="R1132" s="7" t="str">
        <f t="shared" ref="R1132:R1163" si="391">"鳳土木事務所"</f>
        <v>鳳土木事務所</v>
      </c>
    </row>
    <row r="1133" spans="1:18" s="1" customFormat="1" x14ac:dyDescent="0.45">
      <c r="A1133" s="7" t="str">
        <f t="shared" si="385"/>
        <v>08206000156</v>
      </c>
      <c r="B1133" s="7" t="str">
        <f t="shared" si="386"/>
        <v>大泉緑地</v>
      </c>
      <c r="C1133" s="7" t="str">
        <f t="shared" si="376"/>
        <v>行政財産</v>
      </c>
      <c r="D1133" s="7" t="str">
        <f t="shared" si="387"/>
        <v>公園</v>
      </c>
      <c r="E1133" s="7" t="str">
        <f t="shared" si="388"/>
        <v>大阪府堺市　北区金岡町</v>
      </c>
      <c r="F1133" s="7"/>
      <c r="G1133" s="7" t="str">
        <f t="shared" si="390"/>
        <v>事業用資産</v>
      </c>
      <c r="H1133" s="7" t="str">
        <f t="shared" si="381"/>
        <v>棚卸以外</v>
      </c>
      <c r="I1133" s="7">
        <v>44</v>
      </c>
      <c r="J1133" s="7" t="str">
        <f>"苗圃ミーティングルーム"</f>
        <v>苗圃ミーティングルーム</v>
      </c>
      <c r="K1133" s="7" t="str">
        <f>"軽量鉄骨造"</f>
        <v>軽量鉄骨造</v>
      </c>
      <c r="L1133" s="7" t="str">
        <f>"H07.03.10"</f>
        <v>H07.03.10</v>
      </c>
      <c r="M1133" s="7">
        <v>53.87</v>
      </c>
      <c r="N1133" s="7">
        <v>7544012</v>
      </c>
      <c r="O1133" s="7">
        <v>6472598</v>
      </c>
      <c r="P1133" s="7">
        <v>0</v>
      </c>
      <c r="Q1133" s="7" t="str">
        <f t="shared" si="389"/>
        <v>都市整備部</v>
      </c>
      <c r="R1133" s="7" t="str">
        <f t="shared" si="391"/>
        <v>鳳土木事務所</v>
      </c>
    </row>
    <row r="1134" spans="1:18" s="1" customFormat="1" x14ac:dyDescent="0.45">
      <c r="A1134" s="7" t="str">
        <f t="shared" si="385"/>
        <v>08206000156</v>
      </c>
      <c r="B1134" s="7" t="str">
        <f t="shared" si="386"/>
        <v>大泉緑地</v>
      </c>
      <c r="C1134" s="7" t="str">
        <f t="shared" si="376"/>
        <v>行政財産</v>
      </c>
      <c r="D1134" s="7" t="str">
        <f t="shared" si="387"/>
        <v>公園</v>
      </c>
      <c r="E1134" s="7" t="str">
        <f t="shared" si="388"/>
        <v>大阪府堺市　北区金岡町</v>
      </c>
      <c r="F1134" s="7"/>
      <c r="G1134" s="7" t="str">
        <f t="shared" si="390"/>
        <v>事業用資産</v>
      </c>
      <c r="H1134" s="7" t="str">
        <f t="shared" si="381"/>
        <v>棚卸以外</v>
      </c>
      <c r="I1134" s="7">
        <v>45</v>
      </c>
      <c r="J1134" s="7" t="str">
        <f>"苗圃車庫"</f>
        <v>苗圃車庫</v>
      </c>
      <c r="K1134" s="7" t="str">
        <f>"軽量鉄骨造"</f>
        <v>軽量鉄骨造</v>
      </c>
      <c r="L1134" s="7" t="str">
        <f>"H07.03.10"</f>
        <v>H07.03.10</v>
      </c>
      <c r="M1134" s="7">
        <v>37.4</v>
      </c>
      <c r="N1134" s="7">
        <v>23125462</v>
      </c>
      <c r="O1134" s="7">
        <v>11046097</v>
      </c>
      <c r="P1134" s="7">
        <v>0</v>
      </c>
      <c r="Q1134" s="7" t="str">
        <f t="shared" si="389"/>
        <v>都市整備部</v>
      </c>
      <c r="R1134" s="7" t="str">
        <f t="shared" si="391"/>
        <v>鳳土木事務所</v>
      </c>
    </row>
    <row r="1135" spans="1:18" s="1" customFormat="1" x14ac:dyDescent="0.45">
      <c r="A1135" s="7" t="str">
        <f t="shared" si="385"/>
        <v>08206000156</v>
      </c>
      <c r="B1135" s="7" t="str">
        <f t="shared" si="386"/>
        <v>大泉緑地</v>
      </c>
      <c r="C1135" s="7" t="str">
        <f t="shared" si="376"/>
        <v>行政財産</v>
      </c>
      <c r="D1135" s="7" t="str">
        <f t="shared" si="387"/>
        <v>公園</v>
      </c>
      <c r="E1135" s="7" t="str">
        <f t="shared" si="388"/>
        <v>大阪府堺市　北区金岡町</v>
      </c>
      <c r="F1135" s="7"/>
      <c r="G1135" s="7" t="str">
        <f t="shared" si="390"/>
        <v>事業用資産</v>
      </c>
      <c r="H1135" s="7" t="str">
        <f t="shared" si="381"/>
        <v>棚卸以外</v>
      </c>
      <c r="I1135" s="7">
        <v>46</v>
      </c>
      <c r="J1135" s="7" t="str">
        <f>"スポーツハウス車庫"</f>
        <v>スポーツハウス車庫</v>
      </c>
      <c r="K1135" s="7" t="str">
        <f>"軽量鉄骨造"</f>
        <v>軽量鉄骨造</v>
      </c>
      <c r="L1135" s="7" t="str">
        <f>"H07.03.31"</f>
        <v>H07.03.31</v>
      </c>
      <c r="M1135" s="7">
        <v>17.309999999999999</v>
      </c>
      <c r="N1135" s="7">
        <v>605000</v>
      </c>
      <c r="O1135" s="7">
        <v>604999</v>
      </c>
      <c r="P1135" s="7">
        <v>0</v>
      </c>
      <c r="Q1135" s="7" t="str">
        <f t="shared" si="389"/>
        <v>都市整備部</v>
      </c>
      <c r="R1135" s="7" t="str">
        <f t="shared" si="391"/>
        <v>鳳土木事務所</v>
      </c>
    </row>
    <row r="1136" spans="1:18" s="1" customFormat="1" x14ac:dyDescent="0.45">
      <c r="A1136" s="7" t="str">
        <f t="shared" si="385"/>
        <v>08206000156</v>
      </c>
      <c r="B1136" s="7" t="str">
        <f t="shared" si="386"/>
        <v>大泉緑地</v>
      </c>
      <c r="C1136" s="7" t="str">
        <f t="shared" si="376"/>
        <v>行政財産</v>
      </c>
      <c r="D1136" s="7" t="str">
        <f t="shared" si="387"/>
        <v>公園</v>
      </c>
      <c r="E1136" s="7" t="str">
        <f t="shared" si="388"/>
        <v>大阪府堺市　北区金岡町</v>
      </c>
      <c r="F1136" s="7"/>
      <c r="G1136" s="7" t="str">
        <f t="shared" si="390"/>
        <v>事業用資産</v>
      </c>
      <c r="H1136" s="7" t="str">
        <f t="shared" si="381"/>
        <v>棚卸以外</v>
      </c>
      <c r="I1136" s="7">
        <v>47</v>
      </c>
      <c r="J1136" s="7" t="str">
        <f>"南花田遊戯場便所"</f>
        <v>南花田遊戯場便所</v>
      </c>
      <c r="K1136" s="7" t="str">
        <f>"鉄筋コンクリート造"</f>
        <v>鉄筋コンクリート造</v>
      </c>
      <c r="L1136" s="7" t="str">
        <f>"H07.03.31"</f>
        <v>H07.03.31</v>
      </c>
      <c r="M1136" s="7">
        <v>48.01</v>
      </c>
      <c r="N1136" s="7">
        <v>39865711</v>
      </c>
      <c r="O1136" s="7">
        <v>25074300</v>
      </c>
      <c r="P1136" s="7">
        <v>0</v>
      </c>
      <c r="Q1136" s="7" t="str">
        <f t="shared" si="389"/>
        <v>都市整備部</v>
      </c>
      <c r="R1136" s="7" t="str">
        <f t="shared" si="391"/>
        <v>鳳土木事務所</v>
      </c>
    </row>
    <row r="1137" spans="1:18" s="1" customFormat="1" x14ac:dyDescent="0.45">
      <c r="A1137" s="7" t="str">
        <f t="shared" si="385"/>
        <v>08206000156</v>
      </c>
      <c r="B1137" s="7" t="str">
        <f t="shared" si="386"/>
        <v>大泉緑地</v>
      </c>
      <c r="C1137" s="7" t="str">
        <f t="shared" si="376"/>
        <v>行政財産</v>
      </c>
      <c r="D1137" s="7" t="str">
        <f t="shared" si="387"/>
        <v>公園</v>
      </c>
      <c r="E1137" s="7" t="str">
        <f t="shared" si="388"/>
        <v>大阪府堺市　北区金岡町</v>
      </c>
      <c r="F1137" s="7"/>
      <c r="G1137" s="7" t="str">
        <f t="shared" si="390"/>
        <v>事業用資産</v>
      </c>
      <c r="H1137" s="7" t="str">
        <f t="shared" si="381"/>
        <v>棚卸以外</v>
      </c>
      <c r="I1137" s="7">
        <v>48</v>
      </c>
      <c r="J1137" s="7" t="str">
        <f>"第２駐車場便所"</f>
        <v>第２駐車場便所</v>
      </c>
      <c r="K1137" s="7" t="str">
        <f>"鉄筋コンクリート造"</f>
        <v>鉄筋コンクリート造</v>
      </c>
      <c r="L1137" s="7" t="str">
        <f>"H08.10.03"</f>
        <v>H08.10.03</v>
      </c>
      <c r="M1137" s="7">
        <v>73.09</v>
      </c>
      <c r="N1137" s="7">
        <v>53478000</v>
      </c>
      <c r="O1137" s="7">
        <v>37176809</v>
      </c>
      <c r="P1137" s="7">
        <v>0</v>
      </c>
      <c r="Q1137" s="7" t="str">
        <f t="shared" si="389"/>
        <v>都市整備部</v>
      </c>
      <c r="R1137" s="7" t="str">
        <f t="shared" si="391"/>
        <v>鳳土木事務所</v>
      </c>
    </row>
    <row r="1138" spans="1:18" s="1" customFormat="1" x14ac:dyDescent="0.45">
      <c r="A1138" s="7" t="str">
        <f t="shared" si="385"/>
        <v>08206000156</v>
      </c>
      <c r="B1138" s="7" t="str">
        <f t="shared" si="386"/>
        <v>大泉緑地</v>
      </c>
      <c r="C1138" s="7" t="str">
        <f t="shared" si="376"/>
        <v>行政財産</v>
      </c>
      <c r="D1138" s="7" t="str">
        <f t="shared" ref="D1138:D1169" si="392">"公園"</f>
        <v>公園</v>
      </c>
      <c r="E1138" s="7" t="str">
        <f t="shared" si="388"/>
        <v>大阪府堺市　北区金岡町</v>
      </c>
      <c r="F1138" s="7"/>
      <c r="G1138" s="7" t="str">
        <f t="shared" si="390"/>
        <v>事業用資産</v>
      </c>
      <c r="H1138" s="7" t="str">
        <f t="shared" si="381"/>
        <v>棚卸以外</v>
      </c>
      <c r="I1138" s="7">
        <v>49</v>
      </c>
      <c r="J1138" s="7" t="str">
        <f>"野外炉便所"</f>
        <v>野外炉便所</v>
      </c>
      <c r="K1138" s="7" t="str">
        <f>"鉄筋コンクリート造"</f>
        <v>鉄筋コンクリート造</v>
      </c>
      <c r="L1138" s="7" t="str">
        <f>"H11.02.16"</f>
        <v>H11.02.16</v>
      </c>
      <c r="M1138" s="7">
        <v>76.55</v>
      </c>
      <c r="N1138" s="7">
        <v>62140173</v>
      </c>
      <c r="O1138" s="7">
        <v>33760628</v>
      </c>
      <c r="P1138" s="7">
        <v>0</v>
      </c>
      <c r="Q1138" s="7" t="str">
        <f t="shared" si="389"/>
        <v>都市整備部</v>
      </c>
      <c r="R1138" s="7" t="str">
        <f t="shared" si="391"/>
        <v>鳳土木事務所</v>
      </c>
    </row>
    <row r="1139" spans="1:18" s="1" customFormat="1" x14ac:dyDescent="0.45">
      <c r="A1139" s="7" t="str">
        <f t="shared" si="385"/>
        <v>08206000156</v>
      </c>
      <c r="B1139" s="7" t="str">
        <f t="shared" si="386"/>
        <v>大泉緑地</v>
      </c>
      <c r="C1139" s="7" t="str">
        <f t="shared" si="376"/>
        <v>行政財産</v>
      </c>
      <c r="D1139" s="7" t="str">
        <f t="shared" si="392"/>
        <v>公園</v>
      </c>
      <c r="E1139" s="7" t="str">
        <f t="shared" si="388"/>
        <v>大阪府堺市　北区金岡町</v>
      </c>
      <c r="F1139" s="7"/>
      <c r="G1139" s="7" t="str">
        <f t="shared" si="390"/>
        <v>事業用資産</v>
      </c>
      <c r="H1139" s="7" t="str">
        <f t="shared" si="381"/>
        <v>棚卸以外</v>
      </c>
      <c r="I1139" s="7">
        <v>50</v>
      </c>
      <c r="J1139" s="7" t="str">
        <f>"松原地区便所"</f>
        <v>松原地区便所</v>
      </c>
      <c r="K1139" s="7" t="str">
        <f>"鉄筋コンクリート造"</f>
        <v>鉄筋コンクリート造</v>
      </c>
      <c r="L1139" s="7" t="str">
        <f>"H12.02.14"</f>
        <v>H12.02.14</v>
      </c>
      <c r="M1139" s="7">
        <v>89.73</v>
      </c>
      <c r="N1139" s="7">
        <v>65296000</v>
      </c>
      <c r="O1139" s="7">
        <v>39664461</v>
      </c>
      <c r="P1139" s="7">
        <v>0</v>
      </c>
      <c r="Q1139" s="7" t="str">
        <f t="shared" si="389"/>
        <v>都市整備部</v>
      </c>
      <c r="R1139" s="7" t="str">
        <f t="shared" si="391"/>
        <v>鳳土木事務所</v>
      </c>
    </row>
    <row r="1140" spans="1:18" s="1" customFormat="1" x14ac:dyDescent="0.45">
      <c r="A1140" s="7" t="str">
        <f t="shared" si="385"/>
        <v>08206000156</v>
      </c>
      <c r="B1140" s="7" t="str">
        <f t="shared" si="386"/>
        <v>大泉緑地</v>
      </c>
      <c r="C1140" s="7" t="str">
        <f t="shared" si="376"/>
        <v>行政財産</v>
      </c>
      <c r="D1140" s="7" t="str">
        <f t="shared" si="392"/>
        <v>公園</v>
      </c>
      <c r="E1140" s="7" t="str">
        <f t="shared" si="388"/>
        <v>大阪府堺市　北区金岡町</v>
      </c>
      <c r="F1140" s="7"/>
      <c r="G1140" s="7" t="str">
        <f t="shared" si="390"/>
        <v>事業用資産</v>
      </c>
      <c r="H1140" s="7" t="str">
        <f t="shared" si="381"/>
        <v>棚卸以外</v>
      </c>
      <c r="I1140" s="7">
        <v>51</v>
      </c>
      <c r="J1140" s="7" t="str">
        <f>"ふれあいの庭便所"</f>
        <v>ふれあいの庭便所</v>
      </c>
      <c r="K1140" s="7" t="str">
        <f>"鉄筋コンクリート造"</f>
        <v>鉄筋コンクリート造</v>
      </c>
      <c r="L1140" s="7" t="str">
        <f>"H14.03.20"</f>
        <v>H14.03.20</v>
      </c>
      <c r="M1140" s="7">
        <v>59.4</v>
      </c>
      <c r="N1140" s="7">
        <v>40692285</v>
      </c>
      <c r="O1140" s="7">
        <v>20081976</v>
      </c>
      <c r="P1140" s="7">
        <v>0</v>
      </c>
      <c r="Q1140" s="7" t="str">
        <f t="shared" si="389"/>
        <v>都市整備部</v>
      </c>
      <c r="R1140" s="7" t="str">
        <f t="shared" si="391"/>
        <v>鳳土木事務所</v>
      </c>
    </row>
    <row r="1141" spans="1:18" s="1" customFormat="1" x14ac:dyDescent="0.45">
      <c r="A1141" s="7" t="str">
        <f t="shared" si="385"/>
        <v>08206000156</v>
      </c>
      <c r="B1141" s="7" t="str">
        <f t="shared" si="386"/>
        <v>大泉緑地</v>
      </c>
      <c r="C1141" s="7" t="str">
        <f t="shared" si="376"/>
        <v>行政財産</v>
      </c>
      <c r="D1141" s="7" t="str">
        <f t="shared" si="392"/>
        <v>公園</v>
      </c>
      <c r="E1141" s="7" t="str">
        <f t="shared" si="388"/>
        <v>大阪府堺市　北区金岡町</v>
      </c>
      <c r="F1141" s="7"/>
      <c r="G1141" s="7" t="str">
        <f t="shared" si="390"/>
        <v>事業用資産</v>
      </c>
      <c r="H1141" s="7" t="str">
        <f t="shared" si="381"/>
        <v>棚卸以外</v>
      </c>
      <c r="I1141" s="7">
        <v>52</v>
      </c>
      <c r="J1141" s="7" t="str">
        <f>"公園管理事務所横車庫"</f>
        <v>公園管理事務所横車庫</v>
      </c>
      <c r="K1141" s="7" t="str">
        <f>"鉄骨造"</f>
        <v>鉄骨造</v>
      </c>
      <c r="L1141" s="7" t="str">
        <f>"H15.03.31"</f>
        <v>H15.03.31</v>
      </c>
      <c r="M1141" s="7">
        <v>103.75</v>
      </c>
      <c r="N1141" s="7">
        <v>7627000</v>
      </c>
      <c r="O1141" s="7">
        <v>4920720</v>
      </c>
      <c r="P1141" s="7">
        <v>0</v>
      </c>
      <c r="Q1141" s="7" t="str">
        <f t="shared" si="389"/>
        <v>都市整備部</v>
      </c>
      <c r="R1141" s="7" t="str">
        <f t="shared" si="391"/>
        <v>鳳土木事務所</v>
      </c>
    </row>
    <row r="1142" spans="1:18" s="1" customFormat="1" x14ac:dyDescent="0.45">
      <c r="A1142" s="7" t="str">
        <f t="shared" si="385"/>
        <v>08206000156</v>
      </c>
      <c r="B1142" s="7" t="str">
        <f t="shared" si="386"/>
        <v>大泉緑地</v>
      </c>
      <c r="C1142" s="7" t="str">
        <f t="shared" si="376"/>
        <v>行政財産</v>
      </c>
      <c r="D1142" s="7" t="str">
        <f t="shared" si="392"/>
        <v>公園</v>
      </c>
      <c r="E1142" s="7" t="str">
        <f t="shared" si="388"/>
        <v>大阪府堺市　北区金岡町</v>
      </c>
      <c r="F1142" s="7"/>
      <c r="G1142" s="7" t="str">
        <f t="shared" si="390"/>
        <v>事業用資産</v>
      </c>
      <c r="H1142" s="7" t="str">
        <f t="shared" si="381"/>
        <v>棚卸以外</v>
      </c>
      <c r="I1142" s="7">
        <v>53</v>
      </c>
      <c r="J1142" s="7" t="str">
        <f>"スポーツ広場便所"</f>
        <v>スポーツ広場便所</v>
      </c>
      <c r="K1142" s="7" t="str">
        <f>"鉄筋コンクリート造"</f>
        <v>鉄筋コンクリート造</v>
      </c>
      <c r="L1142" s="7" t="str">
        <f>"H16.03.23"</f>
        <v>H16.03.23</v>
      </c>
      <c r="M1142" s="7">
        <v>57.75</v>
      </c>
      <c r="N1142" s="7">
        <v>32379000</v>
      </c>
      <c r="O1142" s="7">
        <v>16189596</v>
      </c>
      <c r="P1142" s="7">
        <v>0</v>
      </c>
      <c r="Q1142" s="7" t="str">
        <f t="shared" si="389"/>
        <v>都市整備部</v>
      </c>
      <c r="R1142" s="7" t="str">
        <f t="shared" si="391"/>
        <v>鳳土木事務所</v>
      </c>
    </row>
    <row r="1143" spans="1:18" s="1" customFormat="1" x14ac:dyDescent="0.45">
      <c r="A1143" s="7" t="str">
        <f t="shared" si="385"/>
        <v>08206000156</v>
      </c>
      <c r="B1143" s="7" t="str">
        <f t="shared" si="386"/>
        <v>大泉緑地</v>
      </c>
      <c r="C1143" s="7" t="str">
        <f t="shared" si="376"/>
        <v>行政財産</v>
      </c>
      <c r="D1143" s="7" t="str">
        <f t="shared" si="392"/>
        <v>公園</v>
      </c>
      <c r="E1143" s="7" t="str">
        <f t="shared" si="388"/>
        <v>大阪府堺市　北区金岡町</v>
      </c>
      <c r="F1143" s="7"/>
      <c r="G1143" s="7" t="str">
        <f t="shared" si="390"/>
        <v>事業用資産</v>
      </c>
      <c r="H1143" s="7" t="str">
        <f t="shared" si="381"/>
        <v>棚卸以外</v>
      </c>
      <c r="I1143" s="7">
        <v>54</v>
      </c>
      <c r="J1143" s="7" t="str">
        <f>"燃料タンク棟"</f>
        <v>燃料タンク棟</v>
      </c>
      <c r="K1143" s="7" t="str">
        <f>"コンクリートブロック造"</f>
        <v>コンクリートブロック造</v>
      </c>
      <c r="L1143" s="7" t="str">
        <f>"H16.03.30"</f>
        <v>H16.03.30</v>
      </c>
      <c r="M1143" s="7">
        <v>21.35</v>
      </c>
      <c r="N1143" s="7">
        <v>1996000</v>
      </c>
      <c r="O1143" s="7">
        <v>1115604</v>
      </c>
      <c r="P1143" s="7">
        <v>0</v>
      </c>
      <c r="Q1143" s="7" t="str">
        <f t="shared" si="389"/>
        <v>都市整備部</v>
      </c>
      <c r="R1143" s="7" t="str">
        <f t="shared" si="391"/>
        <v>鳳土木事務所</v>
      </c>
    </row>
    <row r="1144" spans="1:18" s="1" customFormat="1" x14ac:dyDescent="0.45">
      <c r="A1144" s="7" t="str">
        <f t="shared" si="385"/>
        <v>08206000156</v>
      </c>
      <c r="B1144" s="7" t="str">
        <f t="shared" si="386"/>
        <v>大泉緑地</v>
      </c>
      <c r="C1144" s="7" t="str">
        <f t="shared" ref="C1144:C1207" si="393">"行政財産"</f>
        <v>行政財産</v>
      </c>
      <c r="D1144" s="7" t="str">
        <f t="shared" si="392"/>
        <v>公園</v>
      </c>
      <c r="E1144" s="7" t="str">
        <f t="shared" si="388"/>
        <v>大阪府堺市　北区金岡町</v>
      </c>
      <c r="F1144" s="7"/>
      <c r="G1144" s="7" t="str">
        <f t="shared" si="390"/>
        <v>事業用資産</v>
      </c>
      <c r="H1144" s="7" t="str">
        <f t="shared" si="381"/>
        <v>棚卸以外</v>
      </c>
      <c r="I1144" s="7">
        <v>55</v>
      </c>
      <c r="J1144" s="7" t="str">
        <f>"公園管理事務所横詰所"</f>
        <v>公園管理事務所横詰所</v>
      </c>
      <c r="K1144" s="7" t="str">
        <f>"鉄骨造"</f>
        <v>鉄骨造</v>
      </c>
      <c r="L1144" s="7" t="str">
        <f>"H17.11.01"</f>
        <v>H17.11.01</v>
      </c>
      <c r="M1144" s="7">
        <v>25.38</v>
      </c>
      <c r="N1144" s="7">
        <v>3176000</v>
      </c>
      <c r="O1144" s="7">
        <v>1448720</v>
      </c>
      <c r="P1144" s="7">
        <v>0</v>
      </c>
      <c r="Q1144" s="7" t="str">
        <f t="shared" si="389"/>
        <v>都市整備部</v>
      </c>
      <c r="R1144" s="7" t="str">
        <f t="shared" si="391"/>
        <v>鳳土木事務所</v>
      </c>
    </row>
    <row r="1145" spans="1:18" s="1" customFormat="1" x14ac:dyDescent="0.45">
      <c r="A1145" s="7" t="str">
        <f t="shared" si="385"/>
        <v>08206000156</v>
      </c>
      <c r="B1145" s="7" t="str">
        <f t="shared" si="386"/>
        <v>大泉緑地</v>
      </c>
      <c r="C1145" s="7" t="str">
        <f t="shared" si="393"/>
        <v>行政財産</v>
      </c>
      <c r="D1145" s="7" t="str">
        <f t="shared" si="392"/>
        <v>公園</v>
      </c>
      <c r="E1145" s="7" t="str">
        <f t="shared" si="388"/>
        <v>大阪府堺市　北区金岡町</v>
      </c>
      <c r="F1145" s="7"/>
      <c r="G1145" s="7" t="str">
        <f t="shared" si="390"/>
        <v>事業用資産</v>
      </c>
      <c r="H1145" s="7" t="str">
        <f t="shared" si="381"/>
        <v>棚卸以外</v>
      </c>
      <c r="I1145" s="7">
        <v>56</v>
      </c>
      <c r="J1145" s="7" t="str">
        <f>"非常用便所倉庫（北棟）"</f>
        <v>非常用便所倉庫（北棟）</v>
      </c>
      <c r="K1145" s="7" t="str">
        <f>"木造"</f>
        <v>木造</v>
      </c>
      <c r="L1145" s="7" t="str">
        <f>"H19.03.26"</f>
        <v>H19.03.26</v>
      </c>
      <c r="M1145" s="7">
        <v>9</v>
      </c>
      <c r="N1145" s="7">
        <v>1154000</v>
      </c>
      <c r="O1145" s="7">
        <v>1153999</v>
      </c>
      <c r="P1145" s="7">
        <v>0</v>
      </c>
      <c r="Q1145" s="7" t="str">
        <f t="shared" si="389"/>
        <v>都市整備部</v>
      </c>
      <c r="R1145" s="7" t="str">
        <f t="shared" si="391"/>
        <v>鳳土木事務所</v>
      </c>
    </row>
    <row r="1146" spans="1:18" s="1" customFormat="1" x14ac:dyDescent="0.45">
      <c r="A1146" s="7" t="str">
        <f t="shared" si="385"/>
        <v>08206000156</v>
      </c>
      <c r="B1146" s="7" t="str">
        <f t="shared" si="386"/>
        <v>大泉緑地</v>
      </c>
      <c r="C1146" s="7" t="str">
        <f t="shared" si="393"/>
        <v>行政財産</v>
      </c>
      <c r="D1146" s="7" t="str">
        <f t="shared" si="392"/>
        <v>公園</v>
      </c>
      <c r="E1146" s="7" t="str">
        <f t="shared" si="388"/>
        <v>大阪府堺市　北区金岡町</v>
      </c>
      <c r="F1146" s="7"/>
      <c r="G1146" s="7" t="str">
        <f t="shared" si="390"/>
        <v>事業用資産</v>
      </c>
      <c r="H1146" s="7" t="str">
        <f t="shared" si="381"/>
        <v>棚卸以外</v>
      </c>
      <c r="I1146" s="7">
        <v>57</v>
      </c>
      <c r="J1146" s="7" t="str">
        <f>"非常用便所倉庫（南棟）"</f>
        <v>非常用便所倉庫（南棟）</v>
      </c>
      <c r="K1146" s="7" t="str">
        <f>"木造"</f>
        <v>木造</v>
      </c>
      <c r="L1146" s="7" t="str">
        <f>"H19.03.26"</f>
        <v>H19.03.26</v>
      </c>
      <c r="M1146" s="7">
        <v>9</v>
      </c>
      <c r="N1146" s="7">
        <v>1241000</v>
      </c>
      <c r="O1146" s="7">
        <v>1240999</v>
      </c>
      <c r="P1146" s="7">
        <v>0</v>
      </c>
      <c r="Q1146" s="7" t="str">
        <f t="shared" si="389"/>
        <v>都市整備部</v>
      </c>
      <c r="R1146" s="7" t="str">
        <f t="shared" si="391"/>
        <v>鳳土木事務所</v>
      </c>
    </row>
    <row r="1147" spans="1:18" s="1" customFormat="1" x14ac:dyDescent="0.45">
      <c r="A1147" s="7" t="str">
        <f t="shared" si="385"/>
        <v>08206000156</v>
      </c>
      <c r="B1147" s="7" t="str">
        <f t="shared" si="386"/>
        <v>大泉緑地</v>
      </c>
      <c r="C1147" s="7" t="str">
        <f t="shared" si="393"/>
        <v>行政財産</v>
      </c>
      <c r="D1147" s="7" t="str">
        <f t="shared" si="392"/>
        <v>公園</v>
      </c>
      <c r="E1147" s="7" t="str">
        <f t="shared" si="388"/>
        <v>大阪府堺市　北区金岡町</v>
      </c>
      <c r="F1147" s="7"/>
      <c r="G1147" s="7" t="str">
        <f t="shared" si="390"/>
        <v>事業用資産</v>
      </c>
      <c r="H1147" s="7" t="str">
        <f t="shared" si="381"/>
        <v>棚卸以外</v>
      </c>
      <c r="I1147" s="7">
        <v>58</v>
      </c>
      <c r="J1147" s="7" t="str">
        <f>"桜広場便所倉庫"</f>
        <v>桜広場便所倉庫</v>
      </c>
      <c r="K1147" s="7" t="str">
        <f>"木造"</f>
        <v>木造</v>
      </c>
      <c r="L1147" s="7" t="str">
        <f>"H19.03.26"</f>
        <v>H19.03.26</v>
      </c>
      <c r="M1147" s="7">
        <v>9</v>
      </c>
      <c r="N1147" s="7">
        <v>1127000</v>
      </c>
      <c r="O1147" s="7">
        <v>1126999</v>
      </c>
      <c r="P1147" s="7">
        <v>0</v>
      </c>
      <c r="Q1147" s="7" t="str">
        <f t="shared" si="389"/>
        <v>都市整備部</v>
      </c>
      <c r="R1147" s="7" t="str">
        <f t="shared" si="391"/>
        <v>鳳土木事務所</v>
      </c>
    </row>
    <row r="1148" spans="1:18" s="1" customFormat="1" x14ac:dyDescent="0.45">
      <c r="A1148" s="7" t="str">
        <f t="shared" si="385"/>
        <v>08206000156</v>
      </c>
      <c r="B1148" s="7" t="str">
        <f t="shared" si="386"/>
        <v>大泉緑地</v>
      </c>
      <c r="C1148" s="7" t="str">
        <f t="shared" si="393"/>
        <v>行政財産</v>
      </c>
      <c r="D1148" s="7" t="str">
        <f t="shared" si="392"/>
        <v>公園</v>
      </c>
      <c r="E1148" s="7" t="str">
        <f t="shared" si="388"/>
        <v>大阪府堺市　北区金岡町</v>
      </c>
      <c r="F1148" s="7"/>
      <c r="G1148" s="7" t="str">
        <f t="shared" si="390"/>
        <v>事業用資産</v>
      </c>
      <c r="H1148" s="7" t="str">
        <f t="shared" si="381"/>
        <v>棚卸以外</v>
      </c>
      <c r="I1148" s="7">
        <v>59</v>
      </c>
      <c r="J1148" s="7" t="str">
        <f>"南花田地区便所"</f>
        <v>南花田地区便所</v>
      </c>
      <c r="K1148" s="7" t="str">
        <f>"鉄筋コンクリート造"</f>
        <v>鉄筋コンクリート造</v>
      </c>
      <c r="L1148" s="7" t="str">
        <f>"H21.05.11"</f>
        <v>H21.05.11</v>
      </c>
      <c r="M1148" s="7">
        <v>59.4</v>
      </c>
      <c r="N1148" s="7">
        <v>36595000</v>
      </c>
      <c r="O1148" s="7">
        <v>13321998</v>
      </c>
      <c r="P1148" s="7">
        <v>0</v>
      </c>
      <c r="Q1148" s="7" t="str">
        <f t="shared" si="389"/>
        <v>都市整備部</v>
      </c>
      <c r="R1148" s="7" t="str">
        <f t="shared" si="391"/>
        <v>鳳土木事務所</v>
      </c>
    </row>
    <row r="1149" spans="1:18" s="1" customFormat="1" x14ac:dyDescent="0.45">
      <c r="A1149" s="7" t="str">
        <f t="shared" si="385"/>
        <v>08206000156</v>
      </c>
      <c r="B1149" s="7" t="str">
        <f t="shared" si="386"/>
        <v>大泉緑地</v>
      </c>
      <c r="C1149" s="7" t="str">
        <f t="shared" si="393"/>
        <v>行政財産</v>
      </c>
      <c r="D1149" s="7" t="str">
        <f t="shared" si="392"/>
        <v>公園</v>
      </c>
      <c r="E1149" s="7" t="str">
        <f t="shared" si="388"/>
        <v>大阪府堺市　北区金岡町</v>
      </c>
      <c r="F1149" s="7"/>
      <c r="G1149" s="7" t="str">
        <f t="shared" si="390"/>
        <v>事業用資産</v>
      </c>
      <c r="H1149" s="7" t="str">
        <f t="shared" si="381"/>
        <v>棚卸以外</v>
      </c>
      <c r="I1149" s="7">
        <v>60</v>
      </c>
      <c r="J1149" s="7" t="str">
        <f>"かきつばた四阿"</f>
        <v>かきつばた四阿</v>
      </c>
      <c r="K1149" s="7" t="str">
        <f>"木造"</f>
        <v>木造</v>
      </c>
      <c r="L1149" s="7" t="str">
        <f>"S62.03.31"</f>
        <v>S62.03.31</v>
      </c>
      <c r="M1149" s="7">
        <v>6</v>
      </c>
      <c r="N1149" s="7">
        <v>903000</v>
      </c>
      <c r="O1149" s="7">
        <v>902999</v>
      </c>
      <c r="P1149" s="7">
        <v>0</v>
      </c>
      <c r="Q1149" s="7" t="str">
        <f t="shared" si="389"/>
        <v>都市整備部</v>
      </c>
      <c r="R1149" s="7" t="str">
        <f t="shared" si="391"/>
        <v>鳳土木事務所</v>
      </c>
    </row>
    <row r="1150" spans="1:18" s="1" customFormat="1" x14ac:dyDescent="0.45">
      <c r="A1150" s="7" t="str">
        <f t="shared" ref="A1150:A1166" si="394">"08206000165"</f>
        <v>08206000165</v>
      </c>
      <c r="B1150" s="7" t="str">
        <f t="shared" ref="B1150:B1166" si="395">"住吉公園"</f>
        <v>住吉公園</v>
      </c>
      <c r="C1150" s="7" t="str">
        <f t="shared" si="393"/>
        <v>行政財産</v>
      </c>
      <c r="D1150" s="7" t="str">
        <f t="shared" si="392"/>
        <v>公園</v>
      </c>
      <c r="E1150" s="7" t="str">
        <f t="shared" ref="E1150:E1166" si="396">"大阪府大阪市　住之江区浜口東１丁目"</f>
        <v>大阪府大阪市　住之江区浜口東１丁目</v>
      </c>
      <c r="F1150" s="7"/>
      <c r="G1150" s="7" t="str">
        <f t="shared" si="390"/>
        <v>事業用資産</v>
      </c>
      <c r="H1150" s="7" t="str">
        <f t="shared" si="381"/>
        <v>棚卸以外</v>
      </c>
      <c r="I1150" s="7">
        <v>20</v>
      </c>
      <c r="J1150" s="7" t="str">
        <f>"体育館"</f>
        <v>体育館</v>
      </c>
      <c r="K1150" s="7" t="str">
        <f>"鉄筋コンクリート造"</f>
        <v>鉄筋コンクリート造</v>
      </c>
      <c r="L1150" s="7" t="str">
        <f>"S48.05.31"</f>
        <v>S48.05.31</v>
      </c>
      <c r="M1150" s="7">
        <v>2630.85</v>
      </c>
      <c r="N1150" s="7">
        <v>416778410</v>
      </c>
      <c r="O1150" s="7">
        <v>196144813</v>
      </c>
      <c r="P1150" s="7">
        <v>0</v>
      </c>
      <c r="Q1150" s="7" t="str">
        <f t="shared" si="389"/>
        <v>都市整備部</v>
      </c>
      <c r="R1150" s="7" t="str">
        <f t="shared" si="391"/>
        <v>鳳土木事務所</v>
      </c>
    </row>
    <row r="1151" spans="1:18" s="1" customFormat="1" x14ac:dyDescent="0.45">
      <c r="A1151" s="7" t="str">
        <f t="shared" si="394"/>
        <v>08206000165</v>
      </c>
      <c r="B1151" s="7" t="str">
        <f t="shared" si="395"/>
        <v>住吉公園</v>
      </c>
      <c r="C1151" s="7" t="str">
        <f t="shared" si="393"/>
        <v>行政財産</v>
      </c>
      <c r="D1151" s="7" t="str">
        <f t="shared" si="392"/>
        <v>公園</v>
      </c>
      <c r="E1151" s="7" t="str">
        <f t="shared" si="396"/>
        <v>大阪府大阪市　住之江区浜口東１丁目</v>
      </c>
      <c r="F1151" s="7"/>
      <c r="G1151" s="7" t="str">
        <f t="shared" si="390"/>
        <v>事業用資産</v>
      </c>
      <c r="H1151" s="7" t="str">
        <f t="shared" si="381"/>
        <v>棚卸以外</v>
      </c>
      <c r="I1151" s="7">
        <v>28</v>
      </c>
      <c r="J1151" s="7" t="str">
        <f>"苗圃詰所"</f>
        <v>苗圃詰所</v>
      </c>
      <c r="K1151" s="7" t="str">
        <f>"軽量鉄骨造"</f>
        <v>軽量鉄骨造</v>
      </c>
      <c r="L1151" s="7" t="str">
        <f>"S50.12.16"</f>
        <v>S50.12.16</v>
      </c>
      <c r="M1151" s="7">
        <v>206.65</v>
      </c>
      <c r="N1151" s="7">
        <v>16664000</v>
      </c>
      <c r="O1151" s="7">
        <v>16663999</v>
      </c>
      <c r="P1151" s="7">
        <v>0</v>
      </c>
      <c r="Q1151" s="7" t="str">
        <f t="shared" si="389"/>
        <v>都市整備部</v>
      </c>
      <c r="R1151" s="7" t="str">
        <f t="shared" si="391"/>
        <v>鳳土木事務所</v>
      </c>
    </row>
    <row r="1152" spans="1:18" s="1" customFormat="1" x14ac:dyDescent="0.45">
      <c r="A1152" s="7" t="str">
        <f t="shared" si="394"/>
        <v>08206000165</v>
      </c>
      <c r="B1152" s="7" t="str">
        <f t="shared" si="395"/>
        <v>住吉公園</v>
      </c>
      <c r="C1152" s="7" t="str">
        <f t="shared" si="393"/>
        <v>行政財産</v>
      </c>
      <c r="D1152" s="7" t="str">
        <f t="shared" si="392"/>
        <v>公園</v>
      </c>
      <c r="E1152" s="7" t="str">
        <f t="shared" si="396"/>
        <v>大阪府大阪市　住之江区浜口東１丁目</v>
      </c>
      <c r="F1152" s="7"/>
      <c r="G1152" s="7" t="str">
        <f t="shared" si="390"/>
        <v>事業用資産</v>
      </c>
      <c r="H1152" s="7" t="str">
        <f t="shared" si="381"/>
        <v>棚卸以外</v>
      </c>
      <c r="I1152" s="7">
        <v>29</v>
      </c>
      <c r="J1152" s="7" t="str">
        <f>"児童遊戯場便所"</f>
        <v>児童遊戯場便所</v>
      </c>
      <c r="K1152" s="7" t="str">
        <f>"鉄筋コンクリート造"</f>
        <v>鉄筋コンクリート造</v>
      </c>
      <c r="L1152" s="7" t="str">
        <f>"S48.03.31"</f>
        <v>S48.03.31</v>
      </c>
      <c r="M1152" s="7">
        <v>48.88</v>
      </c>
      <c r="N1152" s="7">
        <v>20632000</v>
      </c>
      <c r="O1152" s="7">
        <v>10316088</v>
      </c>
      <c r="P1152" s="7">
        <v>0</v>
      </c>
      <c r="Q1152" s="7" t="str">
        <f t="shared" si="389"/>
        <v>都市整備部</v>
      </c>
      <c r="R1152" s="7" t="str">
        <f t="shared" si="391"/>
        <v>鳳土木事務所</v>
      </c>
    </row>
    <row r="1153" spans="1:18" s="1" customFormat="1" x14ac:dyDescent="0.45">
      <c r="A1153" s="7" t="str">
        <f t="shared" si="394"/>
        <v>08206000165</v>
      </c>
      <c r="B1153" s="7" t="str">
        <f t="shared" si="395"/>
        <v>住吉公園</v>
      </c>
      <c r="C1153" s="7" t="str">
        <f t="shared" si="393"/>
        <v>行政財産</v>
      </c>
      <c r="D1153" s="7" t="str">
        <f t="shared" si="392"/>
        <v>公園</v>
      </c>
      <c r="E1153" s="7" t="str">
        <f t="shared" si="396"/>
        <v>大阪府大阪市　住之江区浜口東１丁目</v>
      </c>
      <c r="F1153" s="7"/>
      <c r="G1153" s="7" t="str">
        <f t="shared" si="390"/>
        <v>事業用資産</v>
      </c>
      <c r="H1153" s="7" t="str">
        <f t="shared" si="381"/>
        <v>棚卸以外</v>
      </c>
      <c r="I1153" s="7">
        <v>31</v>
      </c>
      <c r="J1153" s="7" t="str">
        <f>"野球場前便所"</f>
        <v>野球場前便所</v>
      </c>
      <c r="K1153" s="7" t="str">
        <f>"鉄筋コンクリート造"</f>
        <v>鉄筋コンクリート造</v>
      </c>
      <c r="L1153" s="7" t="str">
        <f>"S48.03.31"</f>
        <v>S48.03.31</v>
      </c>
      <c r="M1153" s="7">
        <v>15.9</v>
      </c>
      <c r="N1153" s="7">
        <v>32367360</v>
      </c>
      <c r="O1153" s="7">
        <v>5996579</v>
      </c>
      <c r="P1153" s="7">
        <v>0</v>
      </c>
      <c r="Q1153" s="7" t="str">
        <f t="shared" si="389"/>
        <v>都市整備部</v>
      </c>
      <c r="R1153" s="7" t="str">
        <f t="shared" si="391"/>
        <v>鳳土木事務所</v>
      </c>
    </row>
    <row r="1154" spans="1:18" s="1" customFormat="1" x14ac:dyDescent="0.45">
      <c r="A1154" s="7" t="str">
        <f t="shared" si="394"/>
        <v>08206000165</v>
      </c>
      <c r="B1154" s="7" t="str">
        <f t="shared" si="395"/>
        <v>住吉公園</v>
      </c>
      <c r="C1154" s="7" t="str">
        <f t="shared" si="393"/>
        <v>行政財産</v>
      </c>
      <c r="D1154" s="7" t="str">
        <f t="shared" si="392"/>
        <v>公園</v>
      </c>
      <c r="E1154" s="7" t="str">
        <f t="shared" si="396"/>
        <v>大阪府大阪市　住之江区浜口東１丁目</v>
      </c>
      <c r="F1154" s="7"/>
      <c r="G1154" s="7" t="str">
        <f t="shared" si="390"/>
        <v>事業用資産</v>
      </c>
      <c r="H1154" s="7" t="str">
        <f t="shared" si="381"/>
        <v>棚卸以外</v>
      </c>
      <c r="I1154" s="7">
        <v>33</v>
      </c>
      <c r="J1154" s="7" t="str">
        <f>"集会所"</f>
        <v>集会所</v>
      </c>
      <c r="K1154" s="7" t="str">
        <f>"鉄筋コンクリート造"</f>
        <v>鉄筋コンクリート造</v>
      </c>
      <c r="L1154" s="7" t="str">
        <f>"S54.02.16"</f>
        <v>S54.02.16</v>
      </c>
      <c r="M1154" s="7">
        <v>198.9</v>
      </c>
      <c r="N1154" s="7">
        <v>34002000</v>
      </c>
      <c r="O1154" s="7">
        <v>30916503</v>
      </c>
      <c r="P1154" s="7">
        <v>0</v>
      </c>
      <c r="Q1154" s="7" t="str">
        <f t="shared" si="389"/>
        <v>都市整備部</v>
      </c>
      <c r="R1154" s="7" t="str">
        <f t="shared" si="391"/>
        <v>鳳土木事務所</v>
      </c>
    </row>
    <row r="1155" spans="1:18" s="1" customFormat="1" x14ac:dyDescent="0.45">
      <c r="A1155" s="7" t="str">
        <f t="shared" si="394"/>
        <v>08206000165</v>
      </c>
      <c r="B1155" s="7" t="str">
        <f t="shared" si="395"/>
        <v>住吉公園</v>
      </c>
      <c r="C1155" s="7" t="str">
        <f t="shared" si="393"/>
        <v>行政財産</v>
      </c>
      <c r="D1155" s="7" t="str">
        <f t="shared" si="392"/>
        <v>公園</v>
      </c>
      <c r="E1155" s="7" t="str">
        <f t="shared" si="396"/>
        <v>大阪府大阪市　住之江区浜口東１丁目</v>
      </c>
      <c r="F1155" s="7"/>
      <c r="G1155" s="7" t="str">
        <f t="shared" si="390"/>
        <v>事業用資産</v>
      </c>
      <c r="H1155" s="7" t="str">
        <f t="shared" si="381"/>
        <v>棚卸以外</v>
      </c>
      <c r="I1155" s="7">
        <v>34</v>
      </c>
      <c r="J1155" s="7" t="str">
        <f>"車庫"</f>
        <v>車庫</v>
      </c>
      <c r="K1155" s="7" t="str">
        <f>"コンクリートブロック造"</f>
        <v>コンクリートブロック造</v>
      </c>
      <c r="L1155" s="7" t="str">
        <f>"S54.03.30"</f>
        <v>S54.03.30</v>
      </c>
      <c r="M1155" s="7">
        <v>43.4</v>
      </c>
      <c r="N1155" s="7">
        <v>1440000</v>
      </c>
      <c r="O1155" s="7">
        <v>1439999</v>
      </c>
      <c r="P1155" s="7">
        <v>0</v>
      </c>
      <c r="Q1155" s="7" t="str">
        <f t="shared" si="389"/>
        <v>都市整備部</v>
      </c>
      <c r="R1155" s="7" t="str">
        <f t="shared" si="391"/>
        <v>鳳土木事務所</v>
      </c>
    </row>
    <row r="1156" spans="1:18" s="1" customFormat="1" x14ac:dyDescent="0.45">
      <c r="A1156" s="7" t="str">
        <f t="shared" si="394"/>
        <v>08206000165</v>
      </c>
      <c r="B1156" s="7" t="str">
        <f t="shared" si="395"/>
        <v>住吉公園</v>
      </c>
      <c r="C1156" s="7" t="str">
        <f t="shared" si="393"/>
        <v>行政財産</v>
      </c>
      <c r="D1156" s="7" t="str">
        <f t="shared" si="392"/>
        <v>公園</v>
      </c>
      <c r="E1156" s="7" t="str">
        <f t="shared" si="396"/>
        <v>大阪府大阪市　住之江区浜口東１丁目</v>
      </c>
      <c r="F1156" s="7"/>
      <c r="G1156" s="7" t="str">
        <f t="shared" si="390"/>
        <v>事業用資産</v>
      </c>
      <c r="H1156" s="7" t="str">
        <f t="shared" ref="H1156:H1219" si="397">"棚卸以外"</f>
        <v>棚卸以外</v>
      </c>
      <c r="I1156" s="7">
        <v>35</v>
      </c>
      <c r="J1156" s="7" t="str">
        <f>"野球場附属舎"</f>
        <v>野球場附属舎</v>
      </c>
      <c r="K1156" s="7" t="str">
        <f>"鉄筋コンクリート造"</f>
        <v>鉄筋コンクリート造</v>
      </c>
      <c r="L1156" s="7" t="str">
        <f>"S60.03.18"</f>
        <v>S60.03.18</v>
      </c>
      <c r="M1156" s="7">
        <v>79.19</v>
      </c>
      <c r="N1156" s="7">
        <v>13000000</v>
      </c>
      <c r="O1156" s="7">
        <v>10510800</v>
      </c>
      <c r="P1156" s="7">
        <v>0</v>
      </c>
      <c r="Q1156" s="7" t="str">
        <f t="shared" si="389"/>
        <v>都市整備部</v>
      </c>
      <c r="R1156" s="7" t="str">
        <f t="shared" si="391"/>
        <v>鳳土木事務所</v>
      </c>
    </row>
    <row r="1157" spans="1:18" s="1" customFormat="1" x14ac:dyDescent="0.45">
      <c r="A1157" s="7" t="str">
        <f t="shared" si="394"/>
        <v>08206000165</v>
      </c>
      <c r="B1157" s="7" t="str">
        <f t="shared" si="395"/>
        <v>住吉公園</v>
      </c>
      <c r="C1157" s="7" t="str">
        <f t="shared" si="393"/>
        <v>行政財産</v>
      </c>
      <c r="D1157" s="7" t="str">
        <f t="shared" si="392"/>
        <v>公園</v>
      </c>
      <c r="E1157" s="7" t="str">
        <f t="shared" si="396"/>
        <v>大阪府大阪市　住之江区浜口東１丁目</v>
      </c>
      <c r="F1157" s="7"/>
      <c r="G1157" s="7" t="str">
        <f t="shared" si="390"/>
        <v>事業用資産</v>
      </c>
      <c r="H1157" s="7" t="str">
        <f t="shared" si="397"/>
        <v>棚卸以外</v>
      </c>
      <c r="I1157" s="7">
        <v>36</v>
      </c>
      <c r="J1157" s="7" t="str">
        <f>"野球場スコアボ－ド"</f>
        <v>野球場スコアボ－ド</v>
      </c>
      <c r="K1157" s="7" t="str">
        <f>"鉄骨造"</f>
        <v>鉄骨造</v>
      </c>
      <c r="L1157" s="7" t="str">
        <f>"S60.03.20"</f>
        <v>S60.03.20</v>
      </c>
      <c r="M1157" s="7">
        <v>35</v>
      </c>
      <c r="N1157" s="7">
        <v>5157000</v>
      </c>
      <c r="O1157" s="7">
        <v>5156999</v>
      </c>
      <c r="P1157" s="7">
        <v>0</v>
      </c>
      <c r="Q1157" s="7" t="str">
        <f t="shared" si="389"/>
        <v>都市整備部</v>
      </c>
      <c r="R1157" s="7" t="str">
        <f t="shared" si="391"/>
        <v>鳳土木事務所</v>
      </c>
    </row>
    <row r="1158" spans="1:18" s="1" customFormat="1" x14ac:dyDescent="0.45">
      <c r="A1158" s="7" t="str">
        <f t="shared" si="394"/>
        <v>08206000165</v>
      </c>
      <c r="B1158" s="7" t="str">
        <f t="shared" si="395"/>
        <v>住吉公園</v>
      </c>
      <c r="C1158" s="7" t="str">
        <f t="shared" si="393"/>
        <v>行政財産</v>
      </c>
      <c r="D1158" s="7" t="str">
        <f t="shared" si="392"/>
        <v>公園</v>
      </c>
      <c r="E1158" s="7" t="str">
        <f t="shared" si="396"/>
        <v>大阪府大阪市　住之江区浜口東１丁目</v>
      </c>
      <c r="F1158" s="7"/>
      <c r="G1158" s="7" t="str">
        <f t="shared" si="390"/>
        <v>事業用資産</v>
      </c>
      <c r="H1158" s="7" t="str">
        <f t="shared" si="397"/>
        <v>棚卸以外</v>
      </c>
      <c r="I1158" s="7">
        <v>39</v>
      </c>
      <c r="J1158" s="7" t="str">
        <f>"公園管理事務所"</f>
        <v>公園管理事務所</v>
      </c>
      <c r="K1158" s="7" t="str">
        <f>"鉄筋コンクリート造"</f>
        <v>鉄筋コンクリート造</v>
      </c>
      <c r="L1158" s="7" t="str">
        <f>"S63.03.25"</f>
        <v>S63.03.25</v>
      </c>
      <c r="M1158" s="7">
        <v>178.34</v>
      </c>
      <c r="N1158" s="7">
        <v>30860000</v>
      </c>
      <c r="O1158" s="7">
        <v>21602280</v>
      </c>
      <c r="P1158" s="7">
        <v>0</v>
      </c>
      <c r="Q1158" s="7" t="str">
        <f t="shared" si="389"/>
        <v>都市整備部</v>
      </c>
      <c r="R1158" s="7" t="str">
        <f t="shared" si="391"/>
        <v>鳳土木事務所</v>
      </c>
    </row>
    <row r="1159" spans="1:18" s="1" customFormat="1" x14ac:dyDescent="0.45">
      <c r="A1159" s="7" t="str">
        <f t="shared" si="394"/>
        <v>08206000165</v>
      </c>
      <c r="B1159" s="7" t="str">
        <f t="shared" si="395"/>
        <v>住吉公園</v>
      </c>
      <c r="C1159" s="7" t="str">
        <f t="shared" si="393"/>
        <v>行政財産</v>
      </c>
      <c r="D1159" s="7" t="str">
        <f t="shared" si="392"/>
        <v>公園</v>
      </c>
      <c r="E1159" s="7" t="str">
        <f t="shared" si="396"/>
        <v>大阪府大阪市　住之江区浜口東１丁目</v>
      </c>
      <c r="F1159" s="7"/>
      <c r="G1159" s="7" t="str">
        <f t="shared" si="390"/>
        <v>事業用資産</v>
      </c>
      <c r="H1159" s="7" t="str">
        <f t="shared" si="397"/>
        <v>棚卸以外</v>
      </c>
      <c r="I1159" s="7">
        <v>40</v>
      </c>
      <c r="J1159" s="7" t="str">
        <f>"テニスコート更衣室"</f>
        <v>テニスコート更衣室</v>
      </c>
      <c r="K1159" s="7" t="str">
        <f>"軽量鉄骨造"</f>
        <v>軽量鉄骨造</v>
      </c>
      <c r="L1159" s="7" t="str">
        <f>"H01.11.24"</f>
        <v>H01.11.24</v>
      </c>
      <c r="M1159" s="7">
        <v>5.64</v>
      </c>
      <c r="N1159" s="7">
        <v>256000</v>
      </c>
      <c r="O1159" s="7">
        <v>255999</v>
      </c>
      <c r="P1159" s="7">
        <v>0</v>
      </c>
      <c r="Q1159" s="7" t="str">
        <f t="shared" si="389"/>
        <v>都市整備部</v>
      </c>
      <c r="R1159" s="7" t="str">
        <f t="shared" si="391"/>
        <v>鳳土木事務所</v>
      </c>
    </row>
    <row r="1160" spans="1:18" s="1" customFormat="1" x14ac:dyDescent="0.45">
      <c r="A1160" s="7" t="str">
        <f t="shared" si="394"/>
        <v>08206000165</v>
      </c>
      <c r="B1160" s="7" t="str">
        <f t="shared" si="395"/>
        <v>住吉公園</v>
      </c>
      <c r="C1160" s="7" t="str">
        <f t="shared" si="393"/>
        <v>行政財産</v>
      </c>
      <c r="D1160" s="7" t="str">
        <f t="shared" si="392"/>
        <v>公園</v>
      </c>
      <c r="E1160" s="7" t="str">
        <f t="shared" si="396"/>
        <v>大阪府大阪市　住之江区浜口東１丁目</v>
      </c>
      <c r="F1160" s="7"/>
      <c r="G1160" s="7" t="str">
        <f t="shared" si="390"/>
        <v>事業用資産</v>
      </c>
      <c r="H1160" s="7" t="str">
        <f t="shared" si="397"/>
        <v>棚卸以外</v>
      </c>
      <c r="I1160" s="7">
        <v>41</v>
      </c>
      <c r="J1160" s="7" t="str">
        <f>"花と水の広場便所"</f>
        <v>花と水の広場便所</v>
      </c>
      <c r="K1160" s="7" t="str">
        <f>"鉄筋コンクリート造"</f>
        <v>鉄筋コンクリート造</v>
      </c>
      <c r="L1160" s="7" t="str">
        <f>"H02.03.31"</f>
        <v>H02.03.31</v>
      </c>
      <c r="M1160" s="7">
        <v>30.45</v>
      </c>
      <c r="N1160" s="7">
        <v>17028205</v>
      </c>
      <c r="O1160" s="7">
        <v>10657908</v>
      </c>
      <c r="P1160" s="7">
        <v>0</v>
      </c>
      <c r="Q1160" s="7" t="str">
        <f t="shared" si="389"/>
        <v>都市整備部</v>
      </c>
      <c r="R1160" s="7" t="str">
        <f t="shared" si="391"/>
        <v>鳳土木事務所</v>
      </c>
    </row>
    <row r="1161" spans="1:18" s="1" customFormat="1" x14ac:dyDescent="0.45">
      <c r="A1161" s="7" t="str">
        <f t="shared" si="394"/>
        <v>08206000165</v>
      </c>
      <c r="B1161" s="7" t="str">
        <f t="shared" si="395"/>
        <v>住吉公園</v>
      </c>
      <c r="C1161" s="7" t="str">
        <f t="shared" si="393"/>
        <v>行政財産</v>
      </c>
      <c r="D1161" s="7" t="str">
        <f t="shared" si="392"/>
        <v>公園</v>
      </c>
      <c r="E1161" s="7" t="str">
        <f t="shared" si="396"/>
        <v>大阪府大阪市　住之江区浜口東１丁目</v>
      </c>
      <c r="F1161" s="7"/>
      <c r="G1161" s="7" t="str">
        <f t="shared" ref="G1161:G1192" si="398">"事業用資産"</f>
        <v>事業用資産</v>
      </c>
      <c r="H1161" s="7" t="str">
        <f t="shared" si="397"/>
        <v>棚卸以外</v>
      </c>
      <c r="I1161" s="7">
        <v>42</v>
      </c>
      <c r="J1161" s="7" t="str">
        <f>"作業所"</f>
        <v>作業所</v>
      </c>
      <c r="K1161" s="7" t="str">
        <f>"鉄骨造"</f>
        <v>鉄骨造</v>
      </c>
      <c r="L1161" s="7" t="str">
        <f>"H05.03.31"</f>
        <v>H05.03.31</v>
      </c>
      <c r="M1161" s="7">
        <v>132</v>
      </c>
      <c r="N1161" s="7">
        <v>14729000</v>
      </c>
      <c r="O1161" s="7">
        <v>14254200</v>
      </c>
      <c r="P1161" s="7">
        <v>0</v>
      </c>
      <c r="Q1161" s="7" t="str">
        <f t="shared" si="389"/>
        <v>都市整備部</v>
      </c>
      <c r="R1161" s="7" t="str">
        <f t="shared" si="391"/>
        <v>鳳土木事務所</v>
      </c>
    </row>
    <row r="1162" spans="1:18" s="1" customFormat="1" x14ac:dyDescent="0.45">
      <c r="A1162" s="7" t="str">
        <f t="shared" si="394"/>
        <v>08206000165</v>
      </c>
      <c r="B1162" s="7" t="str">
        <f t="shared" si="395"/>
        <v>住吉公園</v>
      </c>
      <c r="C1162" s="7" t="str">
        <f t="shared" si="393"/>
        <v>行政財産</v>
      </c>
      <c r="D1162" s="7" t="str">
        <f t="shared" si="392"/>
        <v>公園</v>
      </c>
      <c r="E1162" s="7" t="str">
        <f t="shared" si="396"/>
        <v>大阪府大阪市　住之江区浜口東１丁目</v>
      </c>
      <c r="F1162" s="7"/>
      <c r="G1162" s="7" t="str">
        <f t="shared" si="398"/>
        <v>事業用資産</v>
      </c>
      <c r="H1162" s="7" t="str">
        <f t="shared" si="397"/>
        <v>棚卸以外</v>
      </c>
      <c r="I1162" s="7">
        <v>43</v>
      </c>
      <c r="J1162" s="7" t="str">
        <f>"江川橋便所"</f>
        <v>江川橋便所</v>
      </c>
      <c r="K1162" s="7" t="str">
        <f>"鉄筋コンクリート造"</f>
        <v>鉄筋コンクリート造</v>
      </c>
      <c r="L1162" s="7" t="str">
        <f>"H05.03.31"</f>
        <v>H05.03.31</v>
      </c>
      <c r="M1162" s="7">
        <v>22.71</v>
      </c>
      <c r="N1162" s="7">
        <v>21813625</v>
      </c>
      <c r="O1162" s="7">
        <v>13879260</v>
      </c>
      <c r="P1162" s="7">
        <v>0</v>
      </c>
      <c r="Q1162" s="7" t="str">
        <f t="shared" si="389"/>
        <v>都市整備部</v>
      </c>
      <c r="R1162" s="7" t="str">
        <f t="shared" si="391"/>
        <v>鳳土木事務所</v>
      </c>
    </row>
    <row r="1163" spans="1:18" s="1" customFormat="1" x14ac:dyDescent="0.45">
      <c r="A1163" s="7" t="str">
        <f t="shared" si="394"/>
        <v>08206000165</v>
      </c>
      <c r="B1163" s="7" t="str">
        <f t="shared" si="395"/>
        <v>住吉公園</v>
      </c>
      <c r="C1163" s="7" t="str">
        <f t="shared" si="393"/>
        <v>行政財産</v>
      </c>
      <c r="D1163" s="7" t="str">
        <f t="shared" si="392"/>
        <v>公園</v>
      </c>
      <c r="E1163" s="7" t="str">
        <f t="shared" si="396"/>
        <v>大阪府大阪市　住之江区浜口東１丁目</v>
      </c>
      <c r="F1163" s="7"/>
      <c r="G1163" s="7" t="str">
        <f t="shared" si="398"/>
        <v>事業用資産</v>
      </c>
      <c r="H1163" s="7" t="str">
        <f t="shared" si="397"/>
        <v>棚卸以外</v>
      </c>
      <c r="I1163" s="7">
        <v>44</v>
      </c>
      <c r="J1163" s="7" t="str">
        <f>"附属第１売店"</f>
        <v>附属第１売店</v>
      </c>
      <c r="K1163" s="7" t="str">
        <f>"鉄骨造"</f>
        <v>鉄骨造</v>
      </c>
      <c r="L1163" s="7" t="str">
        <f>"H05.08.13"</f>
        <v>H05.08.13</v>
      </c>
      <c r="M1163" s="7">
        <v>21.16</v>
      </c>
      <c r="N1163" s="7">
        <v>10511000</v>
      </c>
      <c r="O1163" s="7">
        <v>8183105</v>
      </c>
      <c r="P1163" s="7">
        <v>0</v>
      </c>
      <c r="Q1163" s="7" t="str">
        <f t="shared" si="389"/>
        <v>都市整備部</v>
      </c>
      <c r="R1163" s="7" t="str">
        <f t="shared" si="391"/>
        <v>鳳土木事務所</v>
      </c>
    </row>
    <row r="1164" spans="1:18" s="1" customFormat="1" x14ac:dyDescent="0.45">
      <c r="A1164" s="7" t="str">
        <f t="shared" si="394"/>
        <v>08206000165</v>
      </c>
      <c r="B1164" s="7" t="str">
        <f t="shared" si="395"/>
        <v>住吉公園</v>
      </c>
      <c r="C1164" s="7" t="str">
        <f t="shared" si="393"/>
        <v>行政財産</v>
      </c>
      <c r="D1164" s="7" t="str">
        <f t="shared" si="392"/>
        <v>公園</v>
      </c>
      <c r="E1164" s="7" t="str">
        <f t="shared" si="396"/>
        <v>大阪府大阪市　住之江区浜口東１丁目</v>
      </c>
      <c r="F1164" s="7"/>
      <c r="G1164" s="7" t="str">
        <f t="shared" si="398"/>
        <v>事業用資産</v>
      </c>
      <c r="H1164" s="7" t="str">
        <f t="shared" si="397"/>
        <v>棚卸以外</v>
      </c>
      <c r="I1164" s="7">
        <v>45</v>
      </c>
      <c r="J1164" s="7" t="str">
        <f>"附属第２売店"</f>
        <v>附属第２売店</v>
      </c>
      <c r="K1164" s="7" t="str">
        <f>"鉄骨造"</f>
        <v>鉄骨造</v>
      </c>
      <c r="L1164" s="7" t="str">
        <f>"H05.08.13"</f>
        <v>H05.08.13</v>
      </c>
      <c r="M1164" s="7">
        <v>21.16</v>
      </c>
      <c r="N1164" s="7">
        <v>10511000</v>
      </c>
      <c r="O1164" s="7">
        <v>8183105</v>
      </c>
      <c r="P1164" s="7">
        <v>0</v>
      </c>
      <c r="Q1164" s="7" t="str">
        <f t="shared" si="389"/>
        <v>都市整備部</v>
      </c>
      <c r="R1164" s="7" t="str">
        <f t="shared" ref="R1164:R1195" si="399">"鳳土木事務所"</f>
        <v>鳳土木事務所</v>
      </c>
    </row>
    <row r="1165" spans="1:18" s="1" customFormat="1" x14ac:dyDescent="0.45">
      <c r="A1165" s="7" t="str">
        <f t="shared" si="394"/>
        <v>08206000165</v>
      </c>
      <c r="B1165" s="7" t="str">
        <f t="shared" si="395"/>
        <v>住吉公園</v>
      </c>
      <c r="C1165" s="7" t="str">
        <f t="shared" si="393"/>
        <v>行政財産</v>
      </c>
      <c r="D1165" s="7" t="str">
        <f t="shared" si="392"/>
        <v>公園</v>
      </c>
      <c r="E1165" s="7" t="str">
        <f t="shared" si="396"/>
        <v>大阪府大阪市　住之江区浜口東１丁目</v>
      </c>
      <c r="F1165" s="7"/>
      <c r="G1165" s="7" t="str">
        <f t="shared" si="398"/>
        <v>事業用資産</v>
      </c>
      <c r="H1165" s="7" t="str">
        <f t="shared" si="397"/>
        <v>棚卸以外</v>
      </c>
      <c r="I1165" s="7">
        <v>46</v>
      </c>
      <c r="J1165" s="7" t="str">
        <f>"テニスコート横売店"</f>
        <v>テニスコート横売店</v>
      </c>
      <c r="K1165" s="7" t="str">
        <f>"鉄骨造"</f>
        <v>鉄骨造</v>
      </c>
      <c r="L1165" s="7" t="str">
        <f>"H11.10.25"</f>
        <v>H11.10.25</v>
      </c>
      <c r="M1165" s="7">
        <v>6</v>
      </c>
      <c r="N1165" s="7">
        <v>3900000</v>
      </c>
      <c r="O1165" s="7">
        <v>2403393</v>
      </c>
      <c r="P1165" s="7">
        <v>0</v>
      </c>
      <c r="Q1165" s="7" t="str">
        <f t="shared" si="389"/>
        <v>都市整備部</v>
      </c>
      <c r="R1165" s="7" t="str">
        <f t="shared" si="399"/>
        <v>鳳土木事務所</v>
      </c>
    </row>
    <row r="1166" spans="1:18" s="1" customFormat="1" x14ac:dyDescent="0.45">
      <c r="A1166" s="7" t="str">
        <f t="shared" si="394"/>
        <v>08206000165</v>
      </c>
      <c r="B1166" s="7" t="str">
        <f t="shared" si="395"/>
        <v>住吉公園</v>
      </c>
      <c r="C1166" s="7" t="str">
        <f t="shared" si="393"/>
        <v>行政財産</v>
      </c>
      <c r="D1166" s="7" t="str">
        <f t="shared" si="392"/>
        <v>公園</v>
      </c>
      <c r="E1166" s="7" t="str">
        <f t="shared" si="396"/>
        <v>大阪府大阪市　住之江区浜口東１丁目</v>
      </c>
      <c r="F1166" s="7"/>
      <c r="G1166" s="7" t="str">
        <f t="shared" si="398"/>
        <v>事業用資産</v>
      </c>
      <c r="H1166" s="7" t="str">
        <f t="shared" si="397"/>
        <v>棚卸以外</v>
      </c>
      <c r="I1166" s="7">
        <v>47</v>
      </c>
      <c r="J1166" s="7" t="str">
        <f>"運動場便所"</f>
        <v>運動場便所</v>
      </c>
      <c r="K1166" s="7" t="str">
        <f>"鉄筋コンクリート造"</f>
        <v>鉄筋コンクリート造</v>
      </c>
      <c r="L1166" s="7" t="str">
        <f>"H17.03.09"</f>
        <v>H17.03.09</v>
      </c>
      <c r="M1166" s="7">
        <v>48.88</v>
      </c>
      <c r="N1166" s="7">
        <v>19411000</v>
      </c>
      <c r="O1166" s="7">
        <v>9194688</v>
      </c>
      <c r="P1166" s="7">
        <v>0</v>
      </c>
      <c r="Q1166" s="7" t="str">
        <f t="shared" si="389"/>
        <v>都市整備部</v>
      </c>
      <c r="R1166" s="7" t="str">
        <f t="shared" si="399"/>
        <v>鳳土木事務所</v>
      </c>
    </row>
    <row r="1167" spans="1:18" s="1" customFormat="1" x14ac:dyDescent="0.45">
      <c r="A1167" s="7" t="str">
        <f t="shared" ref="A1167:A1187" si="400">"08206000166"</f>
        <v>08206000166</v>
      </c>
      <c r="B1167" s="7" t="str">
        <f t="shared" ref="B1167:B1187" si="401">"住之江公園"</f>
        <v>住之江公園</v>
      </c>
      <c r="C1167" s="7" t="str">
        <f t="shared" si="393"/>
        <v>行政財産</v>
      </c>
      <c r="D1167" s="7" t="str">
        <f t="shared" si="392"/>
        <v>公園</v>
      </c>
      <c r="E1167" s="7" t="str">
        <f t="shared" ref="E1167:E1187" si="402">"大阪府大阪市　住之江区南加賀屋１丁目"</f>
        <v>大阪府大阪市　住之江区南加賀屋１丁目</v>
      </c>
      <c r="F1167" s="7"/>
      <c r="G1167" s="7" t="str">
        <f t="shared" si="398"/>
        <v>事業用資産</v>
      </c>
      <c r="H1167" s="7" t="str">
        <f t="shared" si="397"/>
        <v>棚卸以外</v>
      </c>
      <c r="I1167" s="7">
        <v>11</v>
      </c>
      <c r="J1167" s="7" t="str">
        <f>"プールポンプ室"</f>
        <v>プールポンプ室</v>
      </c>
      <c r="K1167" s="7" t="str">
        <f>"コンクリートブロック造"</f>
        <v>コンクリートブロック造</v>
      </c>
      <c r="L1167" s="7" t="str">
        <f>"S41.07.30"</f>
        <v>S41.07.30</v>
      </c>
      <c r="M1167" s="7">
        <v>48</v>
      </c>
      <c r="N1167" s="7">
        <v>14154000</v>
      </c>
      <c r="O1167" s="7">
        <v>12773687</v>
      </c>
      <c r="P1167" s="7">
        <v>0</v>
      </c>
      <c r="Q1167" s="7" t="str">
        <f t="shared" si="389"/>
        <v>都市整備部</v>
      </c>
      <c r="R1167" s="7" t="str">
        <f t="shared" si="399"/>
        <v>鳳土木事務所</v>
      </c>
    </row>
    <row r="1168" spans="1:18" s="1" customFormat="1" x14ac:dyDescent="0.45">
      <c r="A1168" s="7" t="str">
        <f t="shared" si="400"/>
        <v>08206000166</v>
      </c>
      <c r="B1168" s="7" t="str">
        <f t="shared" si="401"/>
        <v>住之江公園</v>
      </c>
      <c r="C1168" s="7" t="str">
        <f t="shared" si="393"/>
        <v>行政財産</v>
      </c>
      <c r="D1168" s="7" t="str">
        <f t="shared" si="392"/>
        <v>公園</v>
      </c>
      <c r="E1168" s="7" t="str">
        <f t="shared" si="402"/>
        <v>大阪府大阪市　住之江区南加賀屋１丁目</v>
      </c>
      <c r="F1168" s="7"/>
      <c r="G1168" s="7" t="str">
        <f t="shared" si="398"/>
        <v>事業用資産</v>
      </c>
      <c r="H1168" s="7" t="str">
        <f t="shared" si="397"/>
        <v>棚卸以外</v>
      </c>
      <c r="I1168" s="7">
        <v>12</v>
      </c>
      <c r="J1168" s="7" t="str">
        <f>"プール脱衣場"</f>
        <v>プール脱衣場</v>
      </c>
      <c r="K1168" s="7" t="str">
        <f>"鉄骨造"</f>
        <v>鉄骨造</v>
      </c>
      <c r="L1168" s="7" t="str">
        <f>"S41.07.30"</f>
        <v>S41.07.30</v>
      </c>
      <c r="M1168" s="7">
        <v>450</v>
      </c>
      <c r="N1168" s="7">
        <v>31722000</v>
      </c>
      <c r="O1168" s="7">
        <v>30047790</v>
      </c>
      <c r="P1168" s="7">
        <v>0</v>
      </c>
      <c r="Q1168" s="7" t="str">
        <f t="shared" si="389"/>
        <v>都市整備部</v>
      </c>
      <c r="R1168" s="7" t="str">
        <f t="shared" si="399"/>
        <v>鳳土木事務所</v>
      </c>
    </row>
    <row r="1169" spans="1:18" s="1" customFormat="1" x14ac:dyDescent="0.45">
      <c r="A1169" s="7" t="str">
        <f t="shared" si="400"/>
        <v>08206000166</v>
      </c>
      <c r="B1169" s="7" t="str">
        <f t="shared" si="401"/>
        <v>住之江公園</v>
      </c>
      <c r="C1169" s="7" t="str">
        <f t="shared" si="393"/>
        <v>行政財産</v>
      </c>
      <c r="D1169" s="7" t="str">
        <f t="shared" si="392"/>
        <v>公園</v>
      </c>
      <c r="E1169" s="7" t="str">
        <f t="shared" si="402"/>
        <v>大阪府大阪市　住之江区南加賀屋１丁目</v>
      </c>
      <c r="F1169" s="7"/>
      <c r="G1169" s="7" t="str">
        <f t="shared" si="398"/>
        <v>事業用資産</v>
      </c>
      <c r="H1169" s="7" t="str">
        <f t="shared" si="397"/>
        <v>棚卸以外</v>
      </c>
      <c r="I1169" s="7">
        <v>13</v>
      </c>
      <c r="J1169" s="7" t="str">
        <f>"プール管理棟便所（倉庫）"</f>
        <v>プール管理棟便所（倉庫）</v>
      </c>
      <c r="K1169" s="7" t="str">
        <f>"コンクリートブロック造"</f>
        <v>コンクリートブロック造</v>
      </c>
      <c r="L1169" s="7" t="str">
        <f>"S41.07.30"</f>
        <v>S41.07.30</v>
      </c>
      <c r="M1169" s="7">
        <v>20.399999999999999</v>
      </c>
      <c r="N1169" s="7">
        <v>1300000</v>
      </c>
      <c r="O1169" s="7">
        <v>1088573</v>
      </c>
      <c r="P1169" s="7">
        <v>0</v>
      </c>
      <c r="Q1169" s="7" t="str">
        <f t="shared" si="389"/>
        <v>都市整備部</v>
      </c>
      <c r="R1169" s="7" t="str">
        <f t="shared" si="399"/>
        <v>鳳土木事務所</v>
      </c>
    </row>
    <row r="1170" spans="1:18" s="1" customFormat="1" x14ac:dyDescent="0.45">
      <c r="A1170" s="7" t="str">
        <f t="shared" si="400"/>
        <v>08206000166</v>
      </c>
      <c r="B1170" s="7" t="str">
        <f t="shared" si="401"/>
        <v>住之江公園</v>
      </c>
      <c r="C1170" s="7" t="str">
        <f t="shared" si="393"/>
        <v>行政財産</v>
      </c>
      <c r="D1170" s="7" t="str">
        <f t="shared" ref="D1170:D1201" si="403">"公園"</f>
        <v>公園</v>
      </c>
      <c r="E1170" s="7" t="str">
        <f t="shared" si="402"/>
        <v>大阪府大阪市　住之江区南加賀屋１丁目</v>
      </c>
      <c r="F1170" s="7"/>
      <c r="G1170" s="7" t="str">
        <f t="shared" si="398"/>
        <v>事業用資産</v>
      </c>
      <c r="H1170" s="7" t="str">
        <f t="shared" si="397"/>
        <v>棚卸以外</v>
      </c>
      <c r="I1170" s="7">
        <v>15</v>
      </c>
      <c r="J1170" s="7" t="str">
        <f>"公園管理事務所"</f>
        <v>公園管理事務所</v>
      </c>
      <c r="K1170" s="7" t="str">
        <f>"鉄筋コンクリート造"</f>
        <v>鉄筋コンクリート造</v>
      </c>
      <c r="L1170" s="7" t="str">
        <f>"S43.06.13"</f>
        <v>S43.06.13</v>
      </c>
      <c r="M1170" s="7">
        <v>545</v>
      </c>
      <c r="N1170" s="7">
        <v>50374000</v>
      </c>
      <c r="O1170" s="7">
        <v>43015193</v>
      </c>
      <c r="P1170" s="7">
        <v>0</v>
      </c>
      <c r="Q1170" s="7" t="str">
        <f t="shared" si="389"/>
        <v>都市整備部</v>
      </c>
      <c r="R1170" s="7" t="str">
        <f t="shared" si="399"/>
        <v>鳳土木事務所</v>
      </c>
    </row>
    <row r="1171" spans="1:18" s="1" customFormat="1" x14ac:dyDescent="0.45">
      <c r="A1171" s="7" t="str">
        <f t="shared" si="400"/>
        <v>08206000166</v>
      </c>
      <c r="B1171" s="7" t="str">
        <f t="shared" si="401"/>
        <v>住之江公園</v>
      </c>
      <c r="C1171" s="7" t="str">
        <f t="shared" si="393"/>
        <v>行政財産</v>
      </c>
      <c r="D1171" s="7" t="str">
        <f t="shared" si="403"/>
        <v>公園</v>
      </c>
      <c r="E1171" s="7" t="str">
        <f t="shared" si="402"/>
        <v>大阪府大阪市　住之江区南加賀屋１丁目</v>
      </c>
      <c r="F1171" s="7"/>
      <c r="G1171" s="7" t="str">
        <f t="shared" si="398"/>
        <v>事業用資産</v>
      </c>
      <c r="H1171" s="7" t="str">
        <f t="shared" si="397"/>
        <v>棚卸以外</v>
      </c>
      <c r="I1171" s="7">
        <v>16</v>
      </c>
      <c r="J1171" s="7" t="str">
        <f>"旧ポンプ場倉庫"</f>
        <v>旧ポンプ場倉庫</v>
      </c>
      <c r="K1171" s="7" t="str">
        <f>"コンクリートブロック造"</f>
        <v>コンクリートブロック造</v>
      </c>
      <c r="L1171" s="7" t="str">
        <f>"S45.08.31"</f>
        <v>S45.08.31</v>
      </c>
      <c r="M1171" s="7">
        <v>28</v>
      </c>
      <c r="N1171" s="7">
        <v>7060000</v>
      </c>
      <c r="O1171" s="7">
        <v>7059999</v>
      </c>
      <c r="P1171" s="7">
        <v>0</v>
      </c>
      <c r="Q1171" s="7" t="str">
        <f t="shared" si="389"/>
        <v>都市整備部</v>
      </c>
      <c r="R1171" s="7" t="str">
        <f t="shared" si="399"/>
        <v>鳳土木事務所</v>
      </c>
    </row>
    <row r="1172" spans="1:18" s="1" customFormat="1" ht="26.4" x14ac:dyDescent="0.45">
      <c r="A1172" s="7" t="str">
        <f t="shared" si="400"/>
        <v>08206000166</v>
      </c>
      <c r="B1172" s="7" t="str">
        <f t="shared" si="401"/>
        <v>住之江公園</v>
      </c>
      <c r="C1172" s="7" t="str">
        <f t="shared" si="393"/>
        <v>行政財産</v>
      </c>
      <c r="D1172" s="7" t="str">
        <f t="shared" si="403"/>
        <v>公園</v>
      </c>
      <c r="E1172" s="7" t="str">
        <f t="shared" si="402"/>
        <v>大阪府大阪市　住之江区南加賀屋１丁目</v>
      </c>
      <c r="F1172" s="7"/>
      <c r="G1172" s="7" t="str">
        <f t="shared" si="398"/>
        <v>事業用資産</v>
      </c>
      <c r="H1172" s="7" t="str">
        <f t="shared" si="397"/>
        <v>棚卸以外</v>
      </c>
      <c r="I1172" s="7">
        <v>21</v>
      </c>
      <c r="J1172" s="7" t="str">
        <f>"警備員管理詰所"</f>
        <v>警備員管理詰所</v>
      </c>
      <c r="K1172" s="7" t="str">
        <f>"鉄骨鉄筋コンクリート造"</f>
        <v>鉄骨鉄筋コンクリート造</v>
      </c>
      <c r="L1172" s="7" t="str">
        <f>"S52.03.31"</f>
        <v>S52.03.31</v>
      </c>
      <c r="M1172" s="7">
        <v>17.12</v>
      </c>
      <c r="N1172" s="7">
        <v>2500000</v>
      </c>
      <c r="O1172" s="7">
        <v>2300184</v>
      </c>
      <c r="P1172" s="7">
        <v>0</v>
      </c>
      <c r="Q1172" s="7" t="str">
        <f t="shared" si="389"/>
        <v>都市整備部</v>
      </c>
      <c r="R1172" s="7" t="str">
        <f t="shared" si="399"/>
        <v>鳳土木事務所</v>
      </c>
    </row>
    <row r="1173" spans="1:18" s="1" customFormat="1" x14ac:dyDescent="0.45">
      <c r="A1173" s="7" t="str">
        <f t="shared" si="400"/>
        <v>08206000166</v>
      </c>
      <c r="B1173" s="7" t="str">
        <f t="shared" si="401"/>
        <v>住之江公園</v>
      </c>
      <c r="C1173" s="7" t="str">
        <f t="shared" si="393"/>
        <v>行政財産</v>
      </c>
      <c r="D1173" s="7" t="str">
        <f t="shared" si="403"/>
        <v>公園</v>
      </c>
      <c r="E1173" s="7" t="str">
        <f t="shared" si="402"/>
        <v>大阪府大阪市　住之江区南加賀屋１丁目</v>
      </c>
      <c r="F1173" s="7"/>
      <c r="G1173" s="7" t="str">
        <f t="shared" si="398"/>
        <v>事業用資産</v>
      </c>
      <c r="H1173" s="7" t="str">
        <f t="shared" si="397"/>
        <v>棚卸以外</v>
      </c>
      <c r="I1173" s="7">
        <v>27</v>
      </c>
      <c r="J1173" s="7" t="str">
        <f>"野球場西倉庫"</f>
        <v>野球場西倉庫</v>
      </c>
      <c r="K1173" s="7" t="str">
        <f>"無筋コンクリート造"</f>
        <v>無筋コンクリート造</v>
      </c>
      <c r="L1173" s="7" t="str">
        <f>"S62.03.28"</f>
        <v>S62.03.28</v>
      </c>
      <c r="M1173" s="7">
        <v>61.9</v>
      </c>
      <c r="N1173" s="7">
        <v>4727000</v>
      </c>
      <c r="O1173" s="7">
        <v>4726999</v>
      </c>
      <c r="P1173" s="7">
        <v>0</v>
      </c>
      <c r="Q1173" s="7" t="str">
        <f t="shared" si="389"/>
        <v>都市整備部</v>
      </c>
      <c r="R1173" s="7" t="str">
        <f t="shared" si="399"/>
        <v>鳳土木事務所</v>
      </c>
    </row>
    <row r="1174" spans="1:18" s="1" customFormat="1" x14ac:dyDescent="0.45">
      <c r="A1174" s="7" t="str">
        <f t="shared" si="400"/>
        <v>08206000166</v>
      </c>
      <c r="B1174" s="7" t="str">
        <f t="shared" si="401"/>
        <v>住之江公園</v>
      </c>
      <c r="C1174" s="7" t="str">
        <f t="shared" si="393"/>
        <v>行政財産</v>
      </c>
      <c r="D1174" s="7" t="str">
        <f t="shared" si="403"/>
        <v>公園</v>
      </c>
      <c r="E1174" s="7" t="str">
        <f t="shared" si="402"/>
        <v>大阪府大阪市　住之江区南加賀屋１丁目</v>
      </c>
      <c r="F1174" s="7"/>
      <c r="G1174" s="7" t="str">
        <f t="shared" si="398"/>
        <v>事業用資産</v>
      </c>
      <c r="H1174" s="7" t="str">
        <f t="shared" si="397"/>
        <v>棚卸以外</v>
      </c>
      <c r="I1174" s="7">
        <v>29</v>
      </c>
      <c r="J1174" s="7" t="str">
        <f>"プール滅菌室"</f>
        <v>プール滅菌室</v>
      </c>
      <c r="K1174" s="7" t="str">
        <f>"鉄筋コンクリート造"</f>
        <v>鉄筋コンクリート造</v>
      </c>
      <c r="L1174" s="7" t="str">
        <f>"S62.06.29"</f>
        <v>S62.06.29</v>
      </c>
      <c r="M1174" s="7">
        <v>10.32</v>
      </c>
      <c r="N1174" s="7">
        <v>1816000</v>
      </c>
      <c r="O1174" s="7">
        <v>1815999</v>
      </c>
      <c r="P1174" s="7">
        <v>0</v>
      </c>
      <c r="Q1174" s="7" t="str">
        <f t="shared" si="389"/>
        <v>都市整備部</v>
      </c>
      <c r="R1174" s="7" t="str">
        <f t="shared" si="399"/>
        <v>鳳土木事務所</v>
      </c>
    </row>
    <row r="1175" spans="1:18" s="1" customFormat="1" x14ac:dyDescent="0.45">
      <c r="A1175" s="7" t="str">
        <f t="shared" si="400"/>
        <v>08206000166</v>
      </c>
      <c r="B1175" s="7" t="str">
        <f t="shared" si="401"/>
        <v>住之江公園</v>
      </c>
      <c r="C1175" s="7" t="str">
        <f t="shared" si="393"/>
        <v>行政財産</v>
      </c>
      <c r="D1175" s="7" t="str">
        <f t="shared" si="403"/>
        <v>公園</v>
      </c>
      <c r="E1175" s="7" t="str">
        <f t="shared" si="402"/>
        <v>大阪府大阪市　住之江区南加賀屋１丁目</v>
      </c>
      <c r="F1175" s="7"/>
      <c r="G1175" s="7" t="str">
        <f t="shared" si="398"/>
        <v>事業用資産</v>
      </c>
      <c r="H1175" s="7" t="str">
        <f t="shared" si="397"/>
        <v>棚卸以外</v>
      </c>
      <c r="I1175" s="7">
        <v>32</v>
      </c>
      <c r="J1175" s="7" t="str">
        <f>"苗圃作業場"</f>
        <v>苗圃作業場</v>
      </c>
      <c r="K1175" s="7" t="str">
        <f>"軽量鉄骨造"</f>
        <v>軽量鉄骨造</v>
      </c>
      <c r="L1175" s="7" t="str">
        <f>"H03.03.29"</f>
        <v>H03.03.29</v>
      </c>
      <c r="M1175" s="7">
        <v>10.1</v>
      </c>
      <c r="N1175" s="7">
        <v>585000</v>
      </c>
      <c r="O1175" s="7">
        <v>584999</v>
      </c>
      <c r="P1175" s="7">
        <v>0</v>
      </c>
      <c r="Q1175" s="7" t="str">
        <f t="shared" si="389"/>
        <v>都市整備部</v>
      </c>
      <c r="R1175" s="7" t="str">
        <f t="shared" si="399"/>
        <v>鳳土木事務所</v>
      </c>
    </row>
    <row r="1176" spans="1:18" s="1" customFormat="1" x14ac:dyDescent="0.45">
      <c r="A1176" s="7" t="str">
        <f t="shared" si="400"/>
        <v>08206000166</v>
      </c>
      <c r="B1176" s="7" t="str">
        <f t="shared" si="401"/>
        <v>住之江公園</v>
      </c>
      <c r="C1176" s="7" t="str">
        <f t="shared" si="393"/>
        <v>行政財産</v>
      </c>
      <c r="D1176" s="7" t="str">
        <f t="shared" si="403"/>
        <v>公園</v>
      </c>
      <c r="E1176" s="7" t="str">
        <f t="shared" si="402"/>
        <v>大阪府大阪市　住之江区南加賀屋１丁目</v>
      </c>
      <c r="F1176" s="7"/>
      <c r="G1176" s="7" t="str">
        <f t="shared" si="398"/>
        <v>事業用資産</v>
      </c>
      <c r="H1176" s="7" t="str">
        <f t="shared" si="397"/>
        <v>棚卸以外</v>
      </c>
      <c r="I1176" s="7">
        <v>33</v>
      </c>
      <c r="J1176" s="7" t="str">
        <f>"テニスコート北更衣室"</f>
        <v>テニスコート北更衣室</v>
      </c>
      <c r="K1176" s="7" t="str">
        <f>"軽量鉄骨造"</f>
        <v>軽量鉄骨造</v>
      </c>
      <c r="L1176" s="7" t="str">
        <f>"H04.03.16"</f>
        <v>H04.03.16</v>
      </c>
      <c r="M1176" s="7">
        <v>3.13</v>
      </c>
      <c r="N1176" s="7">
        <v>249000</v>
      </c>
      <c r="O1176" s="7">
        <v>248999</v>
      </c>
      <c r="P1176" s="7">
        <v>0</v>
      </c>
      <c r="Q1176" s="7" t="str">
        <f t="shared" si="389"/>
        <v>都市整備部</v>
      </c>
      <c r="R1176" s="7" t="str">
        <f t="shared" si="399"/>
        <v>鳳土木事務所</v>
      </c>
    </row>
    <row r="1177" spans="1:18" s="1" customFormat="1" x14ac:dyDescent="0.45">
      <c r="A1177" s="7" t="str">
        <f t="shared" si="400"/>
        <v>08206000166</v>
      </c>
      <c r="B1177" s="7" t="str">
        <f t="shared" si="401"/>
        <v>住之江公園</v>
      </c>
      <c r="C1177" s="7" t="str">
        <f t="shared" si="393"/>
        <v>行政財産</v>
      </c>
      <c r="D1177" s="7" t="str">
        <f t="shared" si="403"/>
        <v>公園</v>
      </c>
      <c r="E1177" s="7" t="str">
        <f t="shared" si="402"/>
        <v>大阪府大阪市　住之江区南加賀屋１丁目</v>
      </c>
      <c r="F1177" s="7"/>
      <c r="G1177" s="7" t="str">
        <f t="shared" si="398"/>
        <v>事業用資産</v>
      </c>
      <c r="H1177" s="7" t="str">
        <f t="shared" si="397"/>
        <v>棚卸以外</v>
      </c>
      <c r="I1177" s="7">
        <v>34</v>
      </c>
      <c r="J1177" s="7" t="str">
        <f>"テニスコート南更衣室"</f>
        <v>テニスコート南更衣室</v>
      </c>
      <c r="K1177" s="7" t="str">
        <f>"軽量鉄骨造"</f>
        <v>軽量鉄骨造</v>
      </c>
      <c r="L1177" s="7" t="str">
        <f>"H04.03.16"</f>
        <v>H04.03.16</v>
      </c>
      <c r="M1177" s="7">
        <v>3.13</v>
      </c>
      <c r="N1177" s="7">
        <v>249000</v>
      </c>
      <c r="O1177" s="7">
        <v>248999</v>
      </c>
      <c r="P1177" s="7">
        <v>0</v>
      </c>
      <c r="Q1177" s="7" t="str">
        <f t="shared" si="389"/>
        <v>都市整備部</v>
      </c>
      <c r="R1177" s="7" t="str">
        <f t="shared" si="399"/>
        <v>鳳土木事務所</v>
      </c>
    </row>
    <row r="1178" spans="1:18" s="1" customFormat="1" x14ac:dyDescent="0.45">
      <c r="A1178" s="7" t="str">
        <f t="shared" si="400"/>
        <v>08206000166</v>
      </c>
      <c r="B1178" s="7" t="str">
        <f t="shared" si="401"/>
        <v>住之江公園</v>
      </c>
      <c r="C1178" s="7" t="str">
        <f t="shared" si="393"/>
        <v>行政財産</v>
      </c>
      <c r="D1178" s="7" t="str">
        <f t="shared" si="403"/>
        <v>公園</v>
      </c>
      <c r="E1178" s="7" t="str">
        <f t="shared" si="402"/>
        <v>大阪府大阪市　住之江区南加賀屋１丁目</v>
      </c>
      <c r="F1178" s="7"/>
      <c r="G1178" s="7" t="str">
        <f t="shared" si="398"/>
        <v>事業用資産</v>
      </c>
      <c r="H1178" s="7" t="str">
        <f t="shared" si="397"/>
        <v>棚卸以外</v>
      </c>
      <c r="I1178" s="7">
        <v>35</v>
      </c>
      <c r="J1178" s="7" t="str">
        <f>"野球場スタンド"</f>
        <v>野球場スタンド</v>
      </c>
      <c r="K1178" s="7" t="str">
        <f>"鉄筋コンクリート造"</f>
        <v>鉄筋コンクリート造</v>
      </c>
      <c r="L1178" s="7" t="str">
        <f>"H08.03.25"</f>
        <v>H08.03.25</v>
      </c>
      <c r="M1178" s="7">
        <v>1262.78</v>
      </c>
      <c r="N1178" s="7">
        <v>512255000</v>
      </c>
      <c r="O1178" s="7">
        <v>294274296</v>
      </c>
      <c r="P1178" s="7">
        <v>0</v>
      </c>
      <c r="Q1178" s="7" t="str">
        <f t="shared" si="389"/>
        <v>都市整備部</v>
      </c>
      <c r="R1178" s="7" t="str">
        <f t="shared" si="399"/>
        <v>鳳土木事務所</v>
      </c>
    </row>
    <row r="1179" spans="1:18" s="1" customFormat="1" x14ac:dyDescent="0.45">
      <c r="A1179" s="7" t="str">
        <f t="shared" si="400"/>
        <v>08206000166</v>
      </c>
      <c r="B1179" s="7" t="str">
        <f t="shared" si="401"/>
        <v>住之江公園</v>
      </c>
      <c r="C1179" s="7" t="str">
        <f t="shared" si="393"/>
        <v>行政財産</v>
      </c>
      <c r="D1179" s="7" t="str">
        <f t="shared" si="403"/>
        <v>公園</v>
      </c>
      <c r="E1179" s="7" t="str">
        <f t="shared" si="402"/>
        <v>大阪府大阪市　住之江区南加賀屋１丁目</v>
      </c>
      <c r="F1179" s="7"/>
      <c r="G1179" s="7" t="str">
        <f t="shared" si="398"/>
        <v>事業用資産</v>
      </c>
      <c r="H1179" s="7" t="str">
        <f t="shared" si="397"/>
        <v>棚卸以外</v>
      </c>
      <c r="I1179" s="7">
        <v>36</v>
      </c>
      <c r="J1179" s="7" t="str">
        <f>"花と緑のスクエア横プレハブ倉庫"</f>
        <v>花と緑のスクエア横プレハブ倉庫</v>
      </c>
      <c r="K1179" s="7" t="str">
        <f>"土蔵造(簡易建物)"</f>
        <v>土蔵造(簡易建物)</v>
      </c>
      <c r="L1179" s="7" t="str">
        <f>"H08.03.25"</f>
        <v>H08.03.25</v>
      </c>
      <c r="M1179" s="7">
        <v>27.68</v>
      </c>
      <c r="N1179" s="7">
        <v>1976000</v>
      </c>
      <c r="O1179" s="7">
        <v>1975999</v>
      </c>
      <c r="P1179" s="7">
        <v>0</v>
      </c>
      <c r="Q1179" s="7" t="str">
        <f t="shared" ref="Q1179:Q1242" si="404">"都市整備部"</f>
        <v>都市整備部</v>
      </c>
      <c r="R1179" s="7" t="str">
        <f t="shared" si="399"/>
        <v>鳳土木事務所</v>
      </c>
    </row>
    <row r="1180" spans="1:18" s="1" customFormat="1" x14ac:dyDescent="0.45">
      <c r="A1180" s="7" t="str">
        <f t="shared" si="400"/>
        <v>08206000166</v>
      </c>
      <c r="B1180" s="7" t="str">
        <f t="shared" si="401"/>
        <v>住之江公園</v>
      </c>
      <c r="C1180" s="7" t="str">
        <f t="shared" si="393"/>
        <v>行政財産</v>
      </c>
      <c r="D1180" s="7" t="str">
        <f t="shared" si="403"/>
        <v>公園</v>
      </c>
      <c r="E1180" s="7" t="str">
        <f t="shared" si="402"/>
        <v>大阪府大阪市　住之江区南加賀屋１丁目</v>
      </c>
      <c r="F1180" s="7"/>
      <c r="G1180" s="7" t="str">
        <f t="shared" si="398"/>
        <v>事業用資産</v>
      </c>
      <c r="H1180" s="7" t="str">
        <f t="shared" si="397"/>
        <v>棚卸以外</v>
      </c>
      <c r="I1180" s="7">
        <v>37</v>
      </c>
      <c r="J1180" s="7" t="str">
        <f>"野球場スコアボード"</f>
        <v>野球場スコアボード</v>
      </c>
      <c r="K1180" s="7" t="str">
        <f>"鉄骨造"</f>
        <v>鉄骨造</v>
      </c>
      <c r="L1180" s="7" t="str">
        <f>"H08.03.25"</f>
        <v>H08.03.25</v>
      </c>
      <c r="M1180" s="7">
        <v>77.27</v>
      </c>
      <c r="N1180" s="7">
        <v>226875808</v>
      </c>
      <c r="O1180" s="7">
        <v>99155808</v>
      </c>
      <c r="P1180" s="7">
        <v>0</v>
      </c>
      <c r="Q1180" s="7" t="str">
        <f t="shared" si="404"/>
        <v>都市整備部</v>
      </c>
      <c r="R1180" s="7" t="str">
        <f t="shared" si="399"/>
        <v>鳳土木事務所</v>
      </c>
    </row>
    <row r="1181" spans="1:18" s="1" customFormat="1" x14ac:dyDescent="0.45">
      <c r="A1181" s="7" t="str">
        <f t="shared" si="400"/>
        <v>08206000166</v>
      </c>
      <c r="B1181" s="7" t="str">
        <f t="shared" si="401"/>
        <v>住之江公園</v>
      </c>
      <c r="C1181" s="7" t="str">
        <f t="shared" si="393"/>
        <v>行政財産</v>
      </c>
      <c r="D1181" s="7" t="str">
        <f t="shared" si="403"/>
        <v>公園</v>
      </c>
      <c r="E1181" s="7" t="str">
        <f t="shared" si="402"/>
        <v>大阪府大阪市　住之江区南加賀屋１丁目</v>
      </c>
      <c r="F1181" s="7"/>
      <c r="G1181" s="7" t="str">
        <f t="shared" si="398"/>
        <v>事業用資産</v>
      </c>
      <c r="H1181" s="7" t="str">
        <f t="shared" si="397"/>
        <v>棚卸以外</v>
      </c>
      <c r="I1181" s="7">
        <v>38</v>
      </c>
      <c r="J1181" s="7" t="str">
        <f>"児童遊戯場便所"</f>
        <v>児童遊戯場便所</v>
      </c>
      <c r="K1181" s="7" t="str">
        <f>"鉄筋コンクリート造"</f>
        <v>鉄筋コンクリート造</v>
      </c>
      <c r="L1181" s="7" t="str">
        <f>"H18.03.27"</f>
        <v>H18.03.27</v>
      </c>
      <c r="M1181" s="7">
        <v>65.52</v>
      </c>
      <c r="N1181" s="7">
        <v>40943174</v>
      </c>
      <c r="O1181" s="7">
        <v>13560936</v>
      </c>
      <c r="P1181" s="7">
        <v>0</v>
      </c>
      <c r="Q1181" s="7" t="str">
        <f t="shared" si="404"/>
        <v>都市整備部</v>
      </c>
      <c r="R1181" s="7" t="str">
        <f t="shared" si="399"/>
        <v>鳳土木事務所</v>
      </c>
    </row>
    <row r="1182" spans="1:18" s="1" customFormat="1" ht="26.4" x14ac:dyDescent="0.45">
      <c r="A1182" s="7" t="str">
        <f t="shared" si="400"/>
        <v>08206000166</v>
      </c>
      <c r="B1182" s="7" t="str">
        <f t="shared" si="401"/>
        <v>住之江公園</v>
      </c>
      <c r="C1182" s="7" t="str">
        <f t="shared" si="393"/>
        <v>行政財産</v>
      </c>
      <c r="D1182" s="7" t="str">
        <f t="shared" si="403"/>
        <v>公園</v>
      </c>
      <c r="E1182" s="7" t="str">
        <f t="shared" si="402"/>
        <v>大阪府大阪市　住之江区南加賀屋１丁目</v>
      </c>
      <c r="F1182" s="7"/>
      <c r="G1182" s="7" t="str">
        <f t="shared" si="398"/>
        <v>事業用資産</v>
      </c>
      <c r="H1182" s="7" t="str">
        <f t="shared" si="397"/>
        <v>棚卸以外</v>
      </c>
      <c r="I1182" s="7">
        <v>39</v>
      </c>
      <c r="J1182" s="7" t="str">
        <f>"公園管理事務所横便所"</f>
        <v>公園管理事務所横便所</v>
      </c>
      <c r="K1182" s="7" t="str">
        <f>"鉄骨鉄筋コンクリート造"</f>
        <v>鉄骨鉄筋コンクリート造</v>
      </c>
      <c r="L1182" s="7" t="str">
        <f>"H19.06.05"</f>
        <v>H19.06.05</v>
      </c>
      <c r="M1182" s="7">
        <v>63</v>
      </c>
      <c r="N1182" s="7">
        <v>38338000</v>
      </c>
      <c r="O1182" s="7">
        <v>15890175</v>
      </c>
      <c r="P1182" s="7">
        <v>0</v>
      </c>
      <c r="Q1182" s="7" t="str">
        <f t="shared" si="404"/>
        <v>都市整備部</v>
      </c>
      <c r="R1182" s="7" t="str">
        <f t="shared" si="399"/>
        <v>鳳土木事務所</v>
      </c>
    </row>
    <row r="1183" spans="1:18" s="1" customFormat="1" x14ac:dyDescent="0.45">
      <c r="A1183" s="7" t="str">
        <f t="shared" si="400"/>
        <v>08206000166</v>
      </c>
      <c r="B1183" s="7" t="str">
        <f t="shared" si="401"/>
        <v>住之江公園</v>
      </c>
      <c r="C1183" s="7" t="str">
        <f t="shared" si="393"/>
        <v>行政財産</v>
      </c>
      <c r="D1183" s="7" t="str">
        <f t="shared" si="403"/>
        <v>公園</v>
      </c>
      <c r="E1183" s="7" t="str">
        <f t="shared" si="402"/>
        <v>大阪府大阪市　住之江区南加賀屋１丁目</v>
      </c>
      <c r="F1183" s="7"/>
      <c r="G1183" s="7" t="str">
        <f t="shared" si="398"/>
        <v>事業用資産</v>
      </c>
      <c r="H1183" s="7" t="str">
        <f t="shared" si="397"/>
        <v>棚卸以外</v>
      </c>
      <c r="I1183" s="7">
        <v>40</v>
      </c>
      <c r="J1183" s="7" t="str">
        <f>"球技広場東便所"</f>
        <v>球技広場東便所</v>
      </c>
      <c r="K1183" s="7" t="str">
        <f>"鉄筋コンクリート造"</f>
        <v>鉄筋コンクリート造</v>
      </c>
      <c r="L1183" s="7" t="str">
        <f>"H19.06.05"</f>
        <v>H19.06.05</v>
      </c>
      <c r="M1183" s="7">
        <v>61.02</v>
      </c>
      <c r="N1183" s="7">
        <v>35639000</v>
      </c>
      <c r="O1183" s="7">
        <v>14771484</v>
      </c>
      <c r="P1183" s="7">
        <v>0</v>
      </c>
      <c r="Q1183" s="7" t="str">
        <f t="shared" si="404"/>
        <v>都市整備部</v>
      </c>
      <c r="R1183" s="7" t="str">
        <f t="shared" si="399"/>
        <v>鳳土木事務所</v>
      </c>
    </row>
    <row r="1184" spans="1:18" s="1" customFormat="1" x14ac:dyDescent="0.45">
      <c r="A1184" s="7" t="str">
        <f t="shared" si="400"/>
        <v>08206000166</v>
      </c>
      <c r="B1184" s="7" t="str">
        <f t="shared" si="401"/>
        <v>住之江公園</v>
      </c>
      <c r="C1184" s="7" t="str">
        <f t="shared" si="393"/>
        <v>行政財産</v>
      </c>
      <c r="D1184" s="7" t="str">
        <f t="shared" si="403"/>
        <v>公園</v>
      </c>
      <c r="E1184" s="7" t="str">
        <f t="shared" si="402"/>
        <v>大阪府大阪市　住之江区南加賀屋１丁目</v>
      </c>
      <c r="F1184" s="7"/>
      <c r="G1184" s="7" t="str">
        <f t="shared" si="398"/>
        <v>事業用資産</v>
      </c>
      <c r="H1184" s="7" t="str">
        <f t="shared" si="397"/>
        <v>棚卸以外</v>
      </c>
      <c r="I1184" s="7">
        <v>41</v>
      </c>
      <c r="J1184" s="7" t="str">
        <f>"燃料タンク棟"</f>
        <v>燃料タンク棟</v>
      </c>
      <c r="K1184" s="7" t="str">
        <f>"レンガ、石積造"</f>
        <v>レンガ、石積造</v>
      </c>
      <c r="L1184" s="7" t="str">
        <f>"H20.03.18"</f>
        <v>H20.03.18</v>
      </c>
      <c r="M1184" s="7">
        <v>15.81</v>
      </c>
      <c r="N1184" s="7">
        <v>2918000</v>
      </c>
      <c r="O1184" s="7">
        <v>1287360</v>
      </c>
      <c r="P1184" s="7">
        <v>0</v>
      </c>
      <c r="Q1184" s="7" t="str">
        <f t="shared" si="404"/>
        <v>都市整備部</v>
      </c>
      <c r="R1184" s="7" t="str">
        <f t="shared" si="399"/>
        <v>鳳土木事務所</v>
      </c>
    </row>
    <row r="1185" spans="1:18" s="1" customFormat="1" x14ac:dyDescent="0.45">
      <c r="A1185" s="7" t="str">
        <f t="shared" si="400"/>
        <v>08206000166</v>
      </c>
      <c r="B1185" s="7" t="str">
        <f t="shared" si="401"/>
        <v>住之江公園</v>
      </c>
      <c r="C1185" s="7" t="str">
        <f t="shared" si="393"/>
        <v>行政財産</v>
      </c>
      <c r="D1185" s="7" t="str">
        <f t="shared" si="403"/>
        <v>公園</v>
      </c>
      <c r="E1185" s="7" t="str">
        <f t="shared" si="402"/>
        <v>大阪府大阪市　住之江区南加賀屋１丁目</v>
      </c>
      <c r="F1185" s="7"/>
      <c r="G1185" s="7" t="str">
        <f t="shared" si="398"/>
        <v>事業用資産</v>
      </c>
      <c r="H1185" s="7" t="str">
        <f t="shared" si="397"/>
        <v>棚卸以外</v>
      </c>
      <c r="I1185" s="7">
        <v>42</v>
      </c>
      <c r="J1185" s="7" t="str">
        <f>"野球場前便所"</f>
        <v>野球場前便所</v>
      </c>
      <c r="K1185" s="7" t="str">
        <f>"鉄筋コンクリート造"</f>
        <v>鉄筋コンクリート造</v>
      </c>
      <c r="L1185" s="7" t="str">
        <f>"H20.05.28"</f>
        <v>H20.05.28</v>
      </c>
      <c r="M1185" s="7">
        <v>60.3</v>
      </c>
      <c r="N1185" s="7">
        <v>52498093</v>
      </c>
      <c r="O1185" s="7">
        <v>16514618</v>
      </c>
      <c r="P1185" s="7">
        <v>0</v>
      </c>
      <c r="Q1185" s="7" t="str">
        <f t="shared" si="404"/>
        <v>都市整備部</v>
      </c>
      <c r="R1185" s="7" t="str">
        <f t="shared" si="399"/>
        <v>鳳土木事務所</v>
      </c>
    </row>
    <row r="1186" spans="1:18" s="1" customFormat="1" x14ac:dyDescent="0.45">
      <c r="A1186" s="7" t="str">
        <f t="shared" si="400"/>
        <v>08206000166</v>
      </c>
      <c r="B1186" s="7" t="str">
        <f t="shared" si="401"/>
        <v>住之江公園</v>
      </c>
      <c r="C1186" s="7" t="str">
        <f t="shared" si="393"/>
        <v>行政財産</v>
      </c>
      <c r="D1186" s="7" t="str">
        <f t="shared" si="403"/>
        <v>公園</v>
      </c>
      <c r="E1186" s="7" t="str">
        <f t="shared" si="402"/>
        <v>大阪府大阪市　住之江区南加賀屋１丁目</v>
      </c>
      <c r="F1186" s="7"/>
      <c r="G1186" s="7" t="str">
        <f t="shared" si="398"/>
        <v>事業用資産</v>
      </c>
      <c r="H1186" s="7" t="str">
        <f t="shared" si="397"/>
        <v>棚卸以外</v>
      </c>
      <c r="I1186" s="7">
        <v>43</v>
      </c>
      <c r="J1186" s="7" t="str">
        <f>"花と緑のスクエア北東倉庫"</f>
        <v>花と緑のスクエア北東倉庫</v>
      </c>
      <c r="K1186" s="7" t="str">
        <f>"鉄骨造"</f>
        <v>鉄骨造</v>
      </c>
      <c r="L1186" s="7" t="str">
        <f>"H20.02.26"</f>
        <v>H20.02.26</v>
      </c>
      <c r="M1186" s="7">
        <v>48.89</v>
      </c>
      <c r="N1186" s="7">
        <v>7198000</v>
      </c>
      <c r="O1186" s="7">
        <v>3270150</v>
      </c>
      <c r="P1186" s="7">
        <v>0</v>
      </c>
      <c r="Q1186" s="7" t="str">
        <f t="shared" si="404"/>
        <v>都市整備部</v>
      </c>
      <c r="R1186" s="7" t="str">
        <f t="shared" si="399"/>
        <v>鳳土木事務所</v>
      </c>
    </row>
    <row r="1187" spans="1:18" s="1" customFormat="1" x14ac:dyDescent="0.45">
      <c r="A1187" s="7" t="str">
        <f t="shared" si="400"/>
        <v>08206000166</v>
      </c>
      <c r="B1187" s="7" t="str">
        <f t="shared" si="401"/>
        <v>住之江公園</v>
      </c>
      <c r="C1187" s="7" t="str">
        <f t="shared" si="393"/>
        <v>行政財産</v>
      </c>
      <c r="D1187" s="7" t="str">
        <f t="shared" si="403"/>
        <v>公園</v>
      </c>
      <c r="E1187" s="7" t="str">
        <f t="shared" si="402"/>
        <v>大阪府大阪市　住之江区南加賀屋１丁目</v>
      </c>
      <c r="F1187" s="7"/>
      <c r="G1187" s="7" t="str">
        <f t="shared" si="398"/>
        <v>事業用資産</v>
      </c>
      <c r="H1187" s="7" t="str">
        <f t="shared" si="397"/>
        <v>棚卸以外</v>
      </c>
      <c r="I1187" s="7">
        <v>44</v>
      </c>
      <c r="J1187" s="7" t="str">
        <f>"プールサイド便所"</f>
        <v>プールサイド便所</v>
      </c>
      <c r="K1187" s="7" t="str">
        <f>"鉄骨造"</f>
        <v>鉄骨造</v>
      </c>
      <c r="L1187" s="7" t="str">
        <f>"H25.06.10"</f>
        <v>H25.06.10</v>
      </c>
      <c r="M1187" s="7">
        <v>48</v>
      </c>
      <c r="N1187" s="7">
        <v>39619650</v>
      </c>
      <c r="O1187" s="7">
        <v>12461085</v>
      </c>
      <c r="P1187" s="7">
        <v>0</v>
      </c>
      <c r="Q1187" s="7" t="str">
        <f t="shared" si="404"/>
        <v>都市整備部</v>
      </c>
      <c r="R1187" s="7" t="str">
        <f t="shared" si="399"/>
        <v>鳳土木事務所</v>
      </c>
    </row>
    <row r="1188" spans="1:18" s="1" customFormat="1" x14ac:dyDescent="0.45">
      <c r="A1188" s="7" t="str">
        <f t="shared" ref="A1188:A1219" si="405">"08206000167"</f>
        <v>08206000167</v>
      </c>
      <c r="B1188" s="7" t="str">
        <f t="shared" ref="B1188:B1219" si="406">"浜寺公園"</f>
        <v>浜寺公園</v>
      </c>
      <c r="C1188" s="7" t="str">
        <f t="shared" si="393"/>
        <v>行政財産</v>
      </c>
      <c r="D1188" s="7" t="str">
        <f t="shared" si="403"/>
        <v>公園</v>
      </c>
      <c r="E1188" s="7" t="str">
        <f t="shared" ref="E1188:E1219" si="407">"大阪府堺市　西区浜寺　公園町３丁"</f>
        <v>大阪府堺市　西区浜寺　公園町３丁</v>
      </c>
      <c r="F1188" s="7"/>
      <c r="G1188" s="7" t="str">
        <f t="shared" si="398"/>
        <v>事業用資産</v>
      </c>
      <c r="H1188" s="7" t="str">
        <f t="shared" si="397"/>
        <v>棚卸以外</v>
      </c>
      <c r="I1188" s="7">
        <v>12</v>
      </c>
      <c r="J1188" s="7" t="str">
        <f>"プール機械室及び屋上食堂"</f>
        <v>プール機械室及び屋上食堂</v>
      </c>
      <c r="K1188" s="7" t="str">
        <f t="shared" ref="K1188:K1194" si="408">"鉄筋コンクリート造"</f>
        <v>鉄筋コンクリート造</v>
      </c>
      <c r="L1188" s="7" t="str">
        <f t="shared" ref="L1188:L1195" si="409">"S38.06.15"</f>
        <v>S38.06.15</v>
      </c>
      <c r="M1188" s="7">
        <v>768.16</v>
      </c>
      <c r="N1188" s="7">
        <v>65202940</v>
      </c>
      <c r="O1188" s="7">
        <v>29947599</v>
      </c>
      <c r="P1188" s="7">
        <v>0</v>
      </c>
      <c r="Q1188" s="7" t="str">
        <f t="shared" si="404"/>
        <v>都市整備部</v>
      </c>
      <c r="R1188" s="7" t="str">
        <f t="shared" si="399"/>
        <v>鳳土木事務所</v>
      </c>
    </row>
    <row r="1189" spans="1:18" s="1" customFormat="1" x14ac:dyDescent="0.45">
      <c r="A1189" s="7" t="str">
        <f t="shared" si="405"/>
        <v>08206000167</v>
      </c>
      <c r="B1189" s="7" t="str">
        <f t="shared" si="406"/>
        <v>浜寺公園</v>
      </c>
      <c r="C1189" s="7" t="str">
        <f t="shared" si="393"/>
        <v>行政財産</v>
      </c>
      <c r="D1189" s="7" t="str">
        <f t="shared" si="403"/>
        <v>公園</v>
      </c>
      <c r="E1189" s="7" t="str">
        <f t="shared" si="407"/>
        <v>大阪府堺市　西区浜寺　公園町３丁</v>
      </c>
      <c r="F1189" s="7"/>
      <c r="G1189" s="7" t="str">
        <f t="shared" si="398"/>
        <v>事業用資産</v>
      </c>
      <c r="H1189" s="7" t="str">
        <f t="shared" si="397"/>
        <v>棚卸以外</v>
      </c>
      <c r="I1189" s="7">
        <v>14</v>
      </c>
      <c r="J1189" s="7" t="str">
        <f>"プールサイド便所（変形小）"</f>
        <v>プールサイド便所（変形小）</v>
      </c>
      <c r="K1189" s="7" t="str">
        <f t="shared" si="408"/>
        <v>鉄筋コンクリート造</v>
      </c>
      <c r="L1189" s="7" t="str">
        <f t="shared" si="409"/>
        <v>S38.06.15</v>
      </c>
      <c r="M1189" s="7">
        <v>84.13</v>
      </c>
      <c r="N1189" s="7">
        <v>76709812</v>
      </c>
      <c r="O1189" s="7">
        <v>13992619</v>
      </c>
      <c r="P1189" s="7">
        <v>0</v>
      </c>
      <c r="Q1189" s="7" t="str">
        <f t="shared" si="404"/>
        <v>都市整備部</v>
      </c>
      <c r="R1189" s="7" t="str">
        <f t="shared" si="399"/>
        <v>鳳土木事務所</v>
      </c>
    </row>
    <row r="1190" spans="1:18" s="1" customFormat="1" x14ac:dyDescent="0.45">
      <c r="A1190" s="7" t="str">
        <f t="shared" si="405"/>
        <v>08206000167</v>
      </c>
      <c r="B1190" s="7" t="str">
        <f t="shared" si="406"/>
        <v>浜寺公園</v>
      </c>
      <c r="C1190" s="7" t="str">
        <f t="shared" si="393"/>
        <v>行政財産</v>
      </c>
      <c r="D1190" s="7" t="str">
        <f t="shared" si="403"/>
        <v>公園</v>
      </c>
      <c r="E1190" s="7" t="str">
        <f t="shared" si="407"/>
        <v>大阪府堺市　西区浜寺　公園町３丁</v>
      </c>
      <c r="F1190" s="7"/>
      <c r="G1190" s="7" t="str">
        <f t="shared" si="398"/>
        <v>事業用資産</v>
      </c>
      <c r="H1190" s="7" t="str">
        <f t="shared" si="397"/>
        <v>棚卸以外</v>
      </c>
      <c r="I1190" s="7">
        <v>15</v>
      </c>
      <c r="J1190" s="7" t="str">
        <f>"プールサイド便所（変形大）"</f>
        <v>プールサイド便所（変形大）</v>
      </c>
      <c r="K1190" s="7" t="str">
        <f t="shared" si="408"/>
        <v>鉄筋コンクリート造</v>
      </c>
      <c r="L1190" s="7" t="str">
        <f t="shared" si="409"/>
        <v>S38.06.15</v>
      </c>
      <c r="M1190" s="7">
        <v>84.13</v>
      </c>
      <c r="N1190" s="7">
        <v>73771497</v>
      </c>
      <c r="O1190" s="7">
        <v>13606039</v>
      </c>
      <c r="P1190" s="7">
        <v>0</v>
      </c>
      <c r="Q1190" s="7" t="str">
        <f t="shared" si="404"/>
        <v>都市整備部</v>
      </c>
      <c r="R1190" s="7" t="str">
        <f t="shared" si="399"/>
        <v>鳳土木事務所</v>
      </c>
    </row>
    <row r="1191" spans="1:18" s="1" customFormat="1" x14ac:dyDescent="0.45">
      <c r="A1191" s="7" t="str">
        <f t="shared" si="405"/>
        <v>08206000167</v>
      </c>
      <c r="B1191" s="7" t="str">
        <f t="shared" si="406"/>
        <v>浜寺公園</v>
      </c>
      <c r="C1191" s="7" t="str">
        <f t="shared" si="393"/>
        <v>行政財産</v>
      </c>
      <c r="D1191" s="7" t="str">
        <f t="shared" si="403"/>
        <v>公園</v>
      </c>
      <c r="E1191" s="7" t="str">
        <f t="shared" si="407"/>
        <v>大阪府堺市　西区浜寺　公園町３丁</v>
      </c>
      <c r="F1191" s="7"/>
      <c r="G1191" s="7" t="str">
        <f t="shared" si="398"/>
        <v>事業用資産</v>
      </c>
      <c r="H1191" s="7" t="str">
        <f t="shared" si="397"/>
        <v>棚卸以外</v>
      </c>
      <c r="I1191" s="7">
        <v>16</v>
      </c>
      <c r="J1191" s="7" t="str">
        <f>"プールサイド便所（整形東）"</f>
        <v>プールサイド便所（整形東）</v>
      </c>
      <c r="K1191" s="7" t="str">
        <f t="shared" si="408"/>
        <v>鉄筋コンクリート造</v>
      </c>
      <c r="L1191" s="7" t="str">
        <f t="shared" si="409"/>
        <v>S38.06.15</v>
      </c>
      <c r="M1191" s="7">
        <v>84.13</v>
      </c>
      <c r="N1191" s="7">
        <v>4490000</v>
      </c>
      <c r="O1191" s="7">
        <v>4489999</v>
      </c>
      <c r="P1191" s="7">
        <v>0</v>
      </c>
      <c r="Q1191" s="7" t="str">
        <f t="shared" si="404"/>
        <v>都市整備部</v>
      </c>
      <c r="R1191" s="7" t="str">
        <f t="shared" si="399"/>
        <v>鳳土木事務所</v>
      </c>
    </row>
    <row r="1192" spans="1:18" s="1" customFormat="1" x14ac:dyDescent="0.45">
      <c r="A1192" s="7" t="str">
        <f t="shared" si="405"/>
        <v>08206000167</v>
      </c>
      <c r="B1192" s="7" t="str">
        <f t="shared" si="406"/>
        <v>浜寺公園</v>
      </c>
      <c r="C1192" s="7" t="str">
        <f t="shared" si="393"/>
        <v>行政財産</v>
      </c>
      <c r="D1192" s="7" t="str">
        <f t="shared" si="403"/>
        <v>公園</v>
      </c>
      <c r="E1192" s="7" t="str">
        <f t="shared" si="407"/>
        <v>大阪府堺市　西区浜寺　公園町３丁</v>
      </c>
      <c r="F1192" s="7"/>
      <c r="G1192" s="7" t="str">
        <f t="shared" si="398"/>
        <v>事業用資産</v>
      </c>
      <c r="H1192" s="7" t="str">
        <f t="shared" si="397"/>
        <v>棚卸以外</v>
      </c>
      <c r="I1192" s="7">
        <v>21</v>
      </c>
      <c r="J1192" s="7" t="str">
        <f>"監視員詰所（変形小）"</f>
        <v>監視員詰所（変形小）</v>
      </c>
      <c r="K1192" s="7" t="str">
        <f t="shared" si="408"/>
        <v>鉄筋コンクリート造</v>
      </c>
      <c r="L1192" s="7" t="str">
        <f t="shared" si="409"/>
        <v>S38.06.15</v>
      </c>
      <c r="M1192" s="7">
        <v>19.04</v>
      </c>
      <c r="N1192" s="7">
        <v>1044000</v>
      </c>
      <c r="O1192" s="7">
        <v>1043999</v>
      </c>
      <c r="P1192" s="7">
        <v>0</v>
      </c>
      <c r="Q1192" s="7" t="str">
        <f t="shared" si="404"/>
        <v>都市整備部</v>
      </c>
      <c r="R1192" s="7" t="str">
        <f t="shared" si="399"/>
        <v>鳳土木事務所</v>
      </c>
    </row>
    <row r="1193" spans="1:18" s="1" customFormat="1" x14ac:dyDescent="0.45">
      <c r="A1193" s="7" t="str">
        <f t="shared" si="405"/>
        <v>08206000167</v>
      </c>
      <c r="B1193" s="7" t="str">
        <f t="shared" si="406"/>
        <v>浜寺公園</v>
      </c>
      <c r="C1193" s="7" t="str">
        <f t="shared" si="393"/>
        <v>行政財産</v>
      </c>
      <c r="D1193" s="7" t="str">
        <f t="shared" si="403"/>
        <v>公園</v>
      </c>
      <c r="E1193" s="7" t="str">
        <f t="shared" si="407"/>
        <v>大阪府堺市　西区浜寺　公園町３丁</v>
      </c>
      <c r="F1193" s="7"/>
      <c r="G1193" s="7" t="str">
        <f t="shared" ref="G1193:G1224" si="410">"事業用資産"</f>
        <v>事業用資産</v>
      </c>
      <c r="H1193" s="7" t="str">
        <f t="shared" si="397"/>
        <v>棚卸以外</v>
      </c>
      <c r="I1193" s="7">
        <v>22</v>
      </c>
      <c r="J1193" s="7" t="str">
        <f>"監視員詰所（変形大）"</f>
        <v>監視員詰所（変形大）</v>
      </c>
      <c r="K1193" s="7" t="str">
        <f t="shared" si="408"/>
        <v>鉄筋コンクリート造</v>
      </c>
      <c r="L1193" s="7" t="str">
        <f t="shared" si="409"/>
        <v>S38.06.15</v>
      </c>
      <c r="M1193" s="7">
        <v>19.04</v>
      </c>
      <c r="N1193" s="7">
        <v>1044000</v>
      </c>
      <c r="O1193" s="7">
        <v>1043999</v>
      </c>
      <c r="P1193" s="7">
        <v>0</v>
      </c>
      <c r="Q1193" s="7" t="str">
        <f t="shared" si="404"/>
        <v>都市整備部</v>
      </c>
      <c r="R1193" s="7" t="str">
        <f t="shared" si="399"/>
        <v>鳳土木事務所</v>
      </c>
    </row>
    <row r="1194" spans="1:18" s="1" customFormat="1" x14ac:dyDescent="0.45">
      <c r="A1194" s="7" t="str">
        <f t="shared" si="405"/>
        <v>08206000167</v>
      </c>
      <c r="B1194" s="7" t="str">
        <f t="shared" si="406"/>
        <v>浜寺公園</v>
      </c>
      <c r="C1194" s="7" t="str">
        <f t="shared" si="393"/>
        <v>行政財産</v>
      </c>
      <c r="D1194" s="7" t="str">
        <f t="shared" si="403"/>
        <v>公園</v>
      </c>
      <c r="E1194" s="7" t="str">
        <f t="shared" si="407"/>
        <v>大阪府堺市　西区浜寺　公園町３丁</v>
      </c>
      <c r="F1194" s="7"/>
      <c r="G1194" s="7" t="str">
        <f t="shared" si="410"/>
        <v>事業用資産</v>
      </c>
      <c r="H1194" s="7" t="str">
        <f t="shared" si="397"/>
        <v>棚卸以外</v>
      </c>
      <c r="I1194" s="7">
        <v>23</v>
      </c>
      <c r="J1194" s="7" t="str">
        <f>"監視員詰所（５０ｍ１号）"</f>
        <v>監視員詰所（５０ｍ１号）</v>
      </c>
      <c r="K1194" s="7" t="str">
        <f t="shared" si="408"/>
        <v>鉄筋コンクリート造</v>
      </c>
      <c r="L1194" s="7" t="str">
        <f t="shared" si="409"/>
        <v>S38.06.15</v>
      </c>
      <c r="M1194" s="7">
        <v>19.04</v>
      </c>
      <c r="N1194" s="7">
        <v>1044000</v>
      </c>
      <c r="O1194" s="7">
        <v>1043999</v>
      </c>
      <c r="P1194" s="7">
        <v>0</v>
      </c>
      <c r="Q1194" s="7" t="str">
        <f t="shared" si="404"/>
        <v>都市整備部</v>
      </c>
      <c r="R1194" s="7" t="str">
        <f t="shared" si="399"/>
        <v>鳳土木事務所</v>
      </c>
    </row>
    <row r="1195" spans="1:18" s="1" customFormat="1" x14ac:dyDescent="0.45">
      <c r="A1195" s="7" t="str">
        <f t="shared" si="405"/>
        <v>08206000167</v>
      </c>
      <c r="B1195" s="7" t="str">
        <f t="shared" si="406"/>
        <v>浜寺公園</v>
      </c>
      <c r="C1195" s="7" t="str">
        <f t="shared" si="393"/>
        <v>行政財産</v>
      </c>
      <c r="D1195" s="7" t="str">
        <f t="shared" si="403"/>
        <v>公園</v>
      </c>
      <c r="E1195" s="7" t="str">
        <f t="shared" si="407"/>
        <v>大阪府堺市　西区浜寺　公園町３丁</v>
      </c>
      <c r="F1195" s="7"/>
      <c r="G1195" s="7" t="str">
        <f t="shared" si="410"/>
        <v>事業用資産</v>
      </c>
      <c r="H1195" s="7" t="str">
        <f t="shared" si="397"/>
        <v>棚卸以外</v>
      </c>
      <c r="I1195" s="7">
        <v>24</v>
      </c>
      <c r="J1195" s="7" t="str">
        <f>"Ｃブロック機械室"</f>
        <v>Ｃブロック機械室</v>
      </c>
      <c r="K1195" s="7" t="str">
        <f>"鉄骨コンクリート造"</f>
        <v>鉄骨コンクリート造</v>
      </c>
      <c r="L1195" s="7" t="str">
        <f t="shared" si="409"/>
        <v>S38.06.15</v>
      </c>
      <c r="M1195" s="7">
        <v>127.3</v>
      </c>
      <c r="N1195" s="7">
        <v>4497500</v>
      </c>
      <c r="O1195" s="7">
        <v>4497499</v>
      </c>
      <c r="P1195" s="7">
        <v>0</v>
      </c>
      <c r="Q1195" s="7" t="str">
        <f t="shared" si="404"/>
        <v>都市整備部</v>
      </c>
      <c r="R1195" s="7" t="str">
        <f t="shared" si="399"/>
        <v>鳳土木事務所</v>
      </c>
    </row>
    <row r="1196" spans="1:18" s="1" customFormat="1" x14ac:dyDescent="0.45">
      <c r="A1196" s="7" t="str">
        <f t="shared" si="405"/>
        <v>08206000167</v>
      </c>
      <c r="B1196" s="7" t="str">
        <f t="shared" si="406"/>
        <v>浜寺公園</v>
      </c>
      <c r="C1196" s="7" t="str">
        <f t="shared" si="393"/>
        <v>行政財産</v>
      </c>
      <c r="D1196" s="7" t="str">
        <f t="shared" si="403"/>
        <v>公園</v>
      </c>
      <c r="E1196" s="7" t="str">
        <f t="shared" si="407"/>
        <v>大阪府堺市　西区浜寺　公園町３丁</v>
      </c>
      <c r="F1196" s="7"/>
      <c r="G1196" s="7" t="str">
        <f t="shared" si="410"/>
        <v>事業用資産</v>
      </c>
      <c r="H1196" s="7" t="str">
        <f t="shared" si="397"/>
        <v>棚卸以外</v>
      </c>
      <c r="I1196" s="7">
        <v>30</v>
      </c>
      <c r="J1196" s="7" t="str">
        <f>"事務所前倉庫"</f>
        <v>事務所前倉庫</v>
      </c>
      <c r="K1196" s="7" t="str">
        <f>"木造"</f>
        <v>木造</v>
      </c>
      <c r="L1196" s="7" t="str">
        <f>"S38.10.11"</f>
        <v>S38.10.11</v>
      </c>
      <c r="M1196" s="7">
        <v>90.21</v>
      </c>
      <c r="N1196" s="7">
        <v>1750000</v>
      </c>
      <c r="O1196" s="7">
        <v>1749999</v>
      </c>
      <c r="P1196" s="7">
        <v>0</v>
      </c>
      <c r="Q1196" s="7" t="str">
        <f t="shared" si="404"/>
        <v>都市整備部</v>
      </c>
      <c r="R1196" s="7" t="str">
        <f t="shared" ref="R1196:R1227" si="411">"鳳土木事務所"</f>
        <v>鳳土木事務所</v>
      </c>
    </row>
    <row r="1197" spans="1:18" s="1" customFormat="1" x14ac:dyDescent="0.45">
      <c r="A1197" s="7" t="str">
        <f t="shared" si="405"/>
        <v>08206000167</v>
      </c>
      <c r="B1197" s="7" t="str">
        <f t="shared" si="406"/>
        <v>浜寺公園</v>
      </c>
      <c r="C1197" s="7" t="str">
        <f t="shared" si="393"/>
        <v>行政財産</v>
      </c>
      <c r="D1197" s="7" t="str">
        <f t="shared" si="403"/>
        <v>公園</v>
      </c>
      <c r="E1197" s="7" t="str">
        <f t="shared" si="407"/>
        <v>大阪府堺市　西区浜寺　公園町３丁</v>
      </c>
      <c r="F1197" s="7"/>
      <c r="G1197" s="7" t="str">
        <f t="shared" si="410"/>
        <v>事業用資産</v>
      </c>
      <c r="H1197" s="7" t="str">
        <f t="shared" si="397"/>
        <v>棚卸以外</v>
      </c>
      <c r="I1197" s="7">
        <v>44</v>
      </c>
      <c r="J1197" s="7" t="str">
        <f>"花壇広場前駅舎"</f>
        <v>花壇広場前駅舎</v>
      </c>
      <c r="K1197" s="7" t="str">
        <f>"鉄筋コンクリート造"</f>
        <v>鉄筋コンクリート造</v>
      </c>
      <c r="L1197" s="7" t="str">
        <f>"S41.02.15"</f>
        <v>S41.02.15</v>
      </c>
      <c r="M1197" s="7">
        <v>18.440000000000001</v>
      </c>
      <c r="N1197" s="7">
        <v>1173000</v>
      </c>
      <c r="O1197" s="7">
        <v>1172999</v>
      </c>
      <c r="P1197" s="7">
        <v>0</v>
      </c>
      <c r="Q1197" s="7" t="str">
        <f t="shared" si="404"/>
        <v>都市整備部</v>
      </c>
      <c r="R1197" s="7" t="str">
        <f t="shared" si="411"/>
        <v>鳳土木事務所</v>
      </c>
    </row>
    <row r="1198" spans="1:18" s="1" customFormat="1" x14ac:dyDescent="0.45">
      <c r="A1198" s="7" t="str">
        <f t="shared" si="405"/>
        <v>08206000167</v>
      </c>
      <c r="B1198" s="7" t="str">
        <f t="shared" si="406"/>
        <v>浜寺公園</v>
      </c>
      <c r="C1198" s="7" t="str">
        <f t="shared" si="393"/>
        <v>行政財産</v>
      </c>
      <c r="D1198" s="7" t="str">
        <f t="shared" si="403"/>
        <v>公園</v>
      </c>
      <c r="E1198" s="7" t="str">
        <f t="shared" si="407"/>
        <v>大阪府堺市　西区浜寺　公園町３丁</v>
      </c>
      <c r="F1198" s="7"/>
      <c r="G1198" s="7" t="str">
        <f t="shared" si="410"/>
        <v>事業用資産</v>
      </c>
      <c r="H1198" s="7" t="str">
        <f t="shared" si="397"/>
        <v>棚卸以外</v>
      </c>
      <c r="I1198" s="7">
        <v>46</v>
      </c>
      <c r="J1198" s="7" t="str">
        <f>"Ｂ停倉庫"</f>
        <v>Ｂ停倉庫</v>
      </c>
      <c r="K1198" s="7" t="str">
        <f>"鉄筋コンクリート造"</f>
        <v>鉄筋コンクリート造</v>
      </c>
      <c r="L1198" s="7" t="str">
        <f>"S41.02.15"</f>
        <v>S41.02.15</v>
      </c>
      <c r="M1198" s="7">
        <v>23.76</v>
      </c>
      <c r="N1198" s="7">
        <v>895000</v>
      </c>
      <c r="O1198" s="7">
        <v>894999</v>
      </c>
      <c r="P1198" s="7">
        <v>0</v>
      </c>
      <c r="Q1198" s="7" t="str">
        <f t="shared" si="404"/>
        <v>都市整備部</v>
      </c>
      <c r="R1198" s="7" t="str">
        <f t="shared" si="411"/>
        <v>鳳土木事務所</v>
      </c>
    </row>
    <row r="1199" spans="1:18" s="1" customFormat="1" x14ac:dyDescent="0.45">
      <c r="A1199" s="7" t="str">
        <f t="shared" si="405"/>
        <v>08206000167</v>
      </c>
      <c r="B1199" s="7" t="str">
        <f t="shared" si="406"/>
        <v>浜寺公園</v>
      </c>
      <c r="C1199" s="7" t="str">
        <f t="shared" si="393"/>
        <v>行政財産</v>
      </c>
      <c r="D1199" s="7" t="str">
        <f t="shared" si="403"/>
        <v>公園</v>
      </c>
      <c r="E1199" s="7" t="str">
        <f t="shared" si="407"/>
        <v>大阪府堺市　西区浜寺　公園町３丁</v>
      </c>
      <c r="F1199" s="7"/>
      <c r="G1199" s="7" t="str">
        <f t="shared" si="410"/>
        <v>事業用資産</v>
      </c>
      <c r="H1199" s="7" t="str">
        <f t="shared" si="397"/>
        <v>棚卸以外</v>
      </c>
      <c r="I1199" s="7">
        <v>55</v>
      </c>
      <c r="J1199" s="7" t="str">
        <f>"新脱衣場１（南館更衣室）"</f>
        <v>新脱衣場１（南館更衣室）</v>
      </c>
      <c r="K1199" s="7" t="str">
        <f>"鉄骨造"</f>
        <v>鉄骨造</v>
      </c>
      <c r="L1199" s="7" t="str">
        <f>"S42.06.30"</f>
        <v>S42.06.30</v>
      </c>
      <c r="M1199" s="7">
        <v>896.19</v>
      </c>
      <c r="N1199" s="7">
        <v>63293479</v>
      </c>
      <c r="O1199" s="7">
        <v>28060871</v>
      </c>
      <c r="P1199" s="7">
        <v>0</v>
      </c>
      <c r="Q1199" s="7" t="str">
        <f t="shared" si="404"/>
        <v>都市整備部</v>
      </c>
      <c r="R1199" s="7" t="str">
        <f t="shared" si="411"/>
        <v>鳳土木事務所</v>
      </c>
    </row>
    <row r="1200" spans="1:18" s="1" customFormat="1" x14ac:dyDescent="0.45">
      <c r="A1200" s="7" t="str">
        <f t="shared" si="405"/>
        <v>08206000167</v>
      </c>
      <c r="B1200" s="7" t="str">
        <f t="shared" si="406"/>
        <v>浜寺公園</v>
      </c>
      <c r="C1200" s="7" t="str">
        <f t="shared" si="393"/>
        <v>行政財産</v>
      </c>
      <c r="D1200" s="7" t="str">
        <f t="shared" si="403"/>
        <v>公園</v>
      </c>
      <c r="E1200" s="7" t="str">
        <f t="shared" si="407"/>
        <v>大阪府堺市　西区浜寺　公園町３丁</v>
      </c>
      <c r="F1200" s="7"/>
      <c r="G1200" s="7" t="str">
        <f t="shared" si="410"/>
        <v>事業用資産</v>
      </c>
      <c r="H1200" s="7" t="str">
        <f t="shared" si="397"/>
        <v>棚卸以外</v>
      </c>
      <c r="I1200" s="7">
        <v>61</v>
      </c>
      <c r="J1200" s="7" t="str">
        <f>"プール水道加圧室"</f>
        <v>プール水道加圧室</v>
      </c>
      <c r="K1200" s="7" t="str">
        <f>"レンガ、石積造"</f>
        <v>レンガ、石積造</v>
      </c>
      <c r="L1200" s="7" t="str">
        <f>"S45.03.30"</f>
        <v>S45.03.30</v>
      </c>
      <c r="M1200" s="7">
        <v>18.2</v>
      </c>
      <c r="N1200" s="7">
        <v>1160000</v>
      </c>
      <c r="O1200" s="7">
        <v>1159999</v>
      </c>
      <c r="P1200" s="7">
        <v>0</v>
      </c>
      <c r="Q1200" s="7" t="str">
        <f t="shared" si="404"/>
        <v>都市整備部</v>
      </c>
      <c r="R1200" s="7" t="str">
        <f t="shared" si="411"/>
        <v>鳳土木事務所</v>
      </c>
    </row>
    <row r="1201" spans="1:18" s="1" customFormat="1" x14ac:dyDescent="0.45">
      <c r="A1201" s="7" t="str">
        <f t="shared" si="405"/>
        <v>08206000167</v>
      </c>
      <c r="B1201" s="7" t="str">
        <f t="shared" si="406"/>
        <v>浜寺公園</v>
      </c>
      <c r="C1201" s="7" t="str">
        <f t="shared" si="393"/>
        <v>行政財産</v>
      </c>
      <c r="D1201" s="7" t="str">
        <f t="shared" si="403"/>
        <v>公園</v>
      </c>
      <c r="E1201" s="7" t="str">
        <f t="shared" si="407"/>
        <v>大阪府堺市　西区浜寺　公園町３丁</v>
      </c>
      <c r="F1201" s="7"/>
      <c r="G1201" s="7" t="str">
        <f t="shared" si="410"/>
        <v>事業用資産</v>
      </c>
      <c r="H1201" s="7" t="str">
        <f t="shared" si="397"/>
        <v>棚卸以外</v>
      </c>
      <c r="I1201" s="7">
        <v>63</v>
      </c>
      <c r="J1201" s="7" t="str">
        <f>"プールサイド便所（整形西）"</f>
        <v>プールサイド便所（整形西）</v>
      </c>
      <c r="K1201" s="7" t="str">
        <f>"鉄筋コンクリート造"</f>
        <v>鉄筋コンクリート造</v>
      </c>
      <c r="L1201" s="7" t="str">
        <f>"S45.03.30"</f>
        <v>S45.03.30</v>
      </c>
      <c r="M1201" s="7">
        <v>33.86</v>
      </c>
      <c r="N1201" s="7">
        <v>3500000</v>
      </c>
      <c r="O1201" s="7">
        <v>3499999</v>
      </c>
      <c r="P1201" s="7">
        <v>0</v>
      </c>
      <c r="Q1201" s="7" t="str">
        <f t="shared" si="404"/>
        <v>都市整備部</v>
      </c>
      <c r="R1201" s="7" t="str">
        <f t="shared" si="411"/>
        <v>鳳土木事務所</v>
      </c>
    </row>
    <row r="1202" spans="1:18" s="1" customFormat="1" x14ac:dyDescent="0.45">
      <c r="A1202" s="7" t="str">
        <f t="shared" si="405"/>
        <v>08206000167</v>
      </c>
      <c r="B1202" s="7" t="str">
        <f t="shared" si="406"/>
        <v>浜寺公園</v>
      </c>
      <c r="C1202" s="7" t="str">
        <f t="shared" si="393"/>
        <v>行政財産</v>
      </c>
      <c r="D1202" s="7" t="str">
        <f t="shared" ref="D1202:D1233" si="412">"公園"</f>
        <v>公園</v>
      </c>
      <c r="E1202" s="7" t="str">
        <f t="shared" si="407"/>
        <v>大阪府堺市　西区浜寺　公園町３丁</v>
      </c>
      <c r="F1202" s="7"/>
      <c r="G1202" s="7" t="str">
        <f t="shared" si="410"/>
        <v>事業用資産</v>
      </c>
      <c r="H1202" s="7" t="str">
        <f t="shared" si="397"/>
        <v>棚卸以外</v>
      </c>
      <c r="I1202" s="7">
        <v>68</v>
      </c>
      <c r="J1202" s="7" t="str">
        <f>"第５駐車場便所"</f>
        <v>第５駐車場便所</v>
      </c>
      <c r="K1202" s="7" t="str">
        <f>"鉄筋コンクリート造"</f>
        <v>鉄筋コンクリート造</v>
      </c>
      <c r="L1202" s="7" t="str">
        <f>"S38.06.15"</f>
        <v>S38.06.15</v>
      </c>
      <c r="M1202" s="7">
        <v>21</v>
      </c>
      <c r="N1202" s="7">
        <v>1473000</v>
      </c>
      <c r="O1202" s="7">
        <v>1472999</v>
      </c>
      <c r="P1202" s="7">
        <v>0</v>
      </c>
      <c r="Q1202" s="7" t="str">
        <f t="shared" si="404"/>
        <v>都市整備部</v>
      </c>
      <c r="R1202" s="7" t="str">
        <f t="shared" si="411"/>
        <v>鳳土木事務所</v>
      </c>
    </row>
    <row r="1203" spans="1:18" s="1" customFormat="1" x14ac:dyDescent="0.45">
      <c r="A1203" s="7" t="str">
        <f t="shared" si="405"/>
        <v>08206000167</v>
      </c>
      <c r="B1203" s="7" t="str">
        <f t="shared" si="406"/>
        <v>浜寺公園</v>
      </c>
      <c r="C1203" s="7" t="str">
        <f t="shared" si="393"/>
        <v>行政財産</v>
      </c>
      <c r="D1203" s="7" t="str">
        <f t="shared" si="412"/>
        <v>公園</v>
      </c>
      <c r="E1203" s="7" t="str">
        <f t="shared" si="407"/>
        <v>大阪府堺市　西区浜寺　公園町３丁</v>
      </c>
      <c r="F1203" s="7"/>
      <c r="G1203" s="7" t="str">
        <f t="shared" si="410"/>
        <v>事業用資産</v>
      </c>
      <c r="H1203" s="7" t="str">
        <f t="shared" si="397"/>
        <v>棚卸以外</v>
      </c>
      <c r="I1203" s="7">
        <v>74</v>
      </c>
      <c r="J1203" s="7" t="str">
        <f>"Ｂブロック機械室"</f>
        <v>Ｂブロック機械室</v>
      </c>
      <c r="K1203" s="7" t="str">
        <f>"鉄筋コンクリート造"</f>
        <v>鉄筋コンクリート造</v>
      </c>
      <c r="L1203" s="7" t="str">
        <f>"S38.10.11"</f>
        <v>S38.10.11</v>
      </c>
      <c r="M1203" s="7">
        <v>40</v>
      </c>
      <c r="N1203" s="7">
        <v>2700000</v>
      </c>
      <c r="O1203" s="7">
        <v>2699999</v>
      </c>
      <c r="P1203" s="7">
        <v>0</v>
      </c>
      <c r="Q1203" s="7" t="str">
        <f t="shared" si="404"/>
        <v>都市整備部</v>
      </c>
      <c r="R1203" s="7" t="str">
        <f t="shared" si="411"/>
        <v>鳳土木事務所</v>
      </c>
    </row>
    <row r="1204" spans="1:18" s="1" customFormat="1" x14ac:dyDescent="0.45">
      <c r="A1204" s="7" t="str">
        <f t="shared" si="405"/>
        <v>08206000167</v>
      </c>
      <c r="B1204" s="7" t="str">
        <f t="shared" si="406"/>
        <v>浜寺公園</v>
      </c>
      <c r="C1204" s="7" t="str">
        <f t="shared" si="393"/>
        <v>行政財産</v>
      </c>
      <c r="D1204" s="7" t="str">
        <f t="shared" si="412"/>
        <v>公園</v>
      </c>
      <c r="E1204" s="7" t="str">
        <f t="shared" si="407"/>
        <v>大阪府堺市　西区浜寺　公園町３丁</v>
      </c>
      <c r="F1204" s="7"/>
      <c r="G1204" s="7" t="str">
        <f t="shared" si="410"/>
        <v>事業用資産</v>
      </c>
      <c r="H1204" s="7" t="str">
        <f t="shared" si="397"/>
        <v>棚卸以外</v>
      </c>
      <c r="I1204" s="7">
        <v>77</v>
      </c>
      <c r="J1204" s="7" t="str">
        <f>"北テニス管理棟"</f>
        <v>北テニス管理棟</v>
      </c>
      <c r="K1204" s="7" t="str">
        <f>"鉄筋コンクリート造"</f>
        <v>鉄筋コンクリート造</v>
      </c>
      <c r="L1204" s="7" t="str">
        <f>"S40.07.01"</f>
        <v>S40.07.01</v>
      </c>
      <c r="M1204" s="7">
        <v>121</v>
      </c>
      <c r="N1204" s="7">
        <v>15016000</v>
      </c>
      <c r="O1204" s="7">
        <v>14690849</v>
      </c>
      <c r="P1204" s="7">
        <v>0</v>
      </c>
      <c r="Q1204" s="7" t="str">
        <f t="shared" si="404"/>
        <v>都市整備部</v>
      </c>
      <c r="R1204" s="7" t="str">
        <f t="shared" si="411"/>
        <v>鳳土木事務所</v>
      </c>
    </row>
    <row r="1205" spans="1:18" s="1" customFormat="1" x14ac:dyDescent="0.45">
      <c r="A1205" s="7" t="str">
        <f t="shared" si="405"/>
        <v>08206000167</v>
      </c>
      <c r="B1205" s="7" t="str">
        <f t="shared" si="406"/>
        <v>浜寺公園</v>
      </c>
      <c r="C1205" s="7" t="str">
        <f t="shared" si="393"/>
        <v>行政財産</v>
      </c>
      <c r="D1205" s="7" t="str">
        <f t="shared" si="412"/>
        <v>公園</v>
      </c>
      <c r="E1205" s="7" t="str">
        <f t="shared" si="407"/>
        <v>大阪府堺市　西区浜寺　公園町３丁</v>
      </c>
      <c r="F1205" s="7"/>
      <c r="G1205" s="7" t="str">
        <f t="shared" si="410"/>
        <v>事業用資産</v>
      </c>
      <c r="H1205" s="7" t="str">
        <f t="shared" si="397"/>
        <v>棚卸以外</v>
      </c>
      <c r="I1205" s="7">
        <v>78</v>
      </c>
      <c r="J1205" s="7" t="str">
        <f>"プール更衣室（浜水）"</f>
        <v>プール更衣室（浜水）</v>
      </c>
      <c r="K1205" s="7" t="str">
        <f>"軽量鉄骨造"</f>
        <v>軽量鉄骨造</v>
      </c>
      <c r="L1205" s="7" t="str">
        <f>"S41.02.15"</f>
        <v>S41.02.15</v>
      </c>
      <c r="M1205" s="7">
        <v>86.3</v>
      </c>
      <c r="N1205" s="7">
        <v>10423507</v>
      </c>
      <c r="O1205" s="7">
        <v>9522470</v>
      </c>
      <c r="P1205" s="7">
        <v>0</v>
      </c>
      <c r="Q1205" s="7" t="str">
        <f t="shared" si="404"/>
        <v>都市整備部</v>
      </c>
      <c r="R1205" s="7" t="str">
        <f t="shared" si="411"/>
        <v>鳳土木事務所</v>
      </c>
    </row>
    <row r="1206" spans="1:18" s="1" customFormat="1" x14ac:dyDescent="0.45">
      <c r="A1206" s="7" t="str">
        <f t="shared" si="405"/>
        <v>08206000167</v>
      </c>
      <c r="B1206" s="7" t="str">
        <f t="shared" si="406"/>
        <v>浜寺公園</v>
      </c>
      <c r="C1206" s="7" t="str">
        <f t="shared" si="393"/>
        <v>行政財産</v>
      </c>
      <c r="D1206" s="7" t="str">
        <f t="shared" si="412"/>
        <v>公園</v>
      </c>
      <c r="E1206" s="7" t="str">
        <f t="shared" si="407"/>
        <v>大阪府堺市　西区浜寺　公園町３丁</v>
      </c>
      <c r="F1206" s="7"/>
      <c r="G1206" s="7" t="str">
        <f t="shared" si="410"/>
        <v>事業用資産</v>
      </c>
      <c r="H1206" s="7" t="str">
        <f t="shared" si="397"/>
        <v>棚卸以外</v>
      </c>
      <c r="I1206" s="7">
        <v>81</v>
      </c>
      <c r="J1206" s="7" t="str">
        <f>"公園管理事務所"</f>
        <v>公園管理事務所</v>
      </c>
      <c r="K1206" s="7" t="str">
        <f>"鉄筋コンクリート造"</f>
        <v>鉄筋コンクリート造</v>
      </c>
      <c r="L1206" s="7" t="str">
        <f>"S41.02.15"</f>
        <v>S41.02.15</v>
      </c>
      <c r="M1206" s="7">
        <v>762.28</v>
      </c>
      <c r="N1206" s="7">
        <v>113672000</v>
      </c>
      <c r="O1206" s="7">
        <v>94985540</v>
      </c>
      <c r="P1206" s="7">
        <v>0</v>
      </c>
      <c r="Q1206" s="7" t="str">
        <f t="shared" si="404"/>
        <v>都市整備部</v>
      </c>
      <c r="R1206" s="7" t="str">
        <f t="shared" si="411"/>
        <v>鳳土木事務所</v>
      </c>
    </row>
    <row r="1207" spans="1:18" s="1" customFormat="1" x14ac:dyDescent="0.45">
      <c r="A1207" s="7" t="str">
        <f t="shared" si="405"/>
        <v>08206000167</v>
      </c>
      <c r="B1207" s="7" t="str">
        <f t="shared" si="406"/>
        <v>浜寺公園</v>
      </c>
      <c r="C1207" s="7" t="str">
        <f t="shared" si="393"/>
        <v>行政財産</v>
      </c>
      <c r="D1207" s="7" t="str">
        <f t="shared" si="412"/>
        <v>公園</v>
      </c>
      <c r="E1207" s="7" t="str">
        <f t="shared" si="407"/>
        <v>大阪府堺市　西区浜寺　公園町３丁</v>
      </c>
      <c r="F1207" s="7"/>
      <c r="G1207" s="7" t="str">
        <f t="shared" si="410"/>
        <v>事業用資産</v>
      </c>
      <c r="H1207" s="7" t="str">
        <f t="shared" si="397"/>
        <v>棚卸以外</v>
      </c>
      <c r="I1207" s="7">
        <v>82</v>
      </c>
      <c r="J1207" s="7" t="str">
        <f>"車庫"</f>
        <v>車庫</v>
      </c>
      <c r="K1207" s="7" t="str">
        <f>"鉄骨造"</f>
        <v>鉄骨造</v>
      </c>
      <c r="L1207" s="7" t="str">
        <f>"S42.06.30"</f>
        <v>S42.06.30</v>
      </c>
      <c r="M1207" s="7">
        <v>182</v>
      </c>
      <c r="N1207" s="7">
        <v>13745000</v>
      </c>
      <c r="O1207" s="7">
        <v>13744999</v>
      </c>
      <c r="P1207" s="7">
        <v>0</v>
      </c>
      <c r="Q1207" s="7" t="str">
        <f t="shared" si="404"/>
        <v>都市整備部</v>
      </c>
      <c r="R1207" s="7" t="str">
        <f t="shared" si="411"/>
        <v>鳳土木事務所</v>
      </c>
    </row>
    <row r="1208" spans="1:18" s="1" customFormat="1" x14ac:dyDescent="0.45">
      <c r="A1208" s="7" t="str">
        <f t="shared" si="405"/>
        <v>08206000167</v>
      </c>
      <c r="B1208" s="7" t="str">
        <f t="shared" si="406"/>
        <v>浜寺公園</v>
      </c>
      <c r="C1208" s="7" t="str">
        <f t="shared" ref="C1208:C1271" si="413">"行政財産"</f>
        <v>行政財産</v>
      </c>
      <c r="D1208" s="7" t="str">
        <f t="shared" si="412"/>
        <v>公園</v>
      </c>
      <c r="E1208" s="7" t="str">
        <f t="shared" si="407"/>
        <v>大阪府堺市　西区浜寺　公園町３丁</v>
      </c>
      <c r="F1208" s="7"/>
      <c r="G1208" s="7" t="str">
        <f t="shared" si="410"/>
        <v>事業用資産</v>
      </c>
      <c r="H1208" s="7" t="str">
        <f t="shared" si="397"/>
        <v>棚卸以外</v>
      </c>
      <c r="I1208" s="7">
        <v>83</v>
      </c>
      <c r="J1208" s="7" t="str">
        <f>"新倉庫"</f>
        <v>新倉庫</v>
      </c>
      <c r="K1208" s="7" t="str">
        <f>"鉄骨造"</f>
        <v>鉄骨造</v>
      </c>
      <c r="L1208" s="7" t="str">
        <f>"S45.03.30"</f>
        <v>S45.03.30</v>
      </c>
      <c r="M1208" s="7">
        <v>88</v>
      </c>
      <c r="N1208" s="7">
        <v>8157000</v>
      </c>
      <c r="O1208" s="7">
        <v>8156999</v>
      </c>
      <c r="P1208" s="7">
        <v>0</v>
      </c>
      <c r="Q1208" s="7" t="str">
        <f t="shared" si="404"/>
        <v>都市整備部</v>
      </c>
      <c r="R1208" s="7" t="str">
        <f t="shared" si="411"/>
        <v>鳳土木事務所</v>
      </c>
    </row>
    <row r="1209" spans="1:18" s="1" customFormat="1" x14ac:dyDescent="0.45">
      <c r="A1209" s="7" t="str">
        <f t="shared" si="405"/>
        <v>08206000167</v>
      </c>
      <c r="B1209" s="7" t="str">
        <f t="shared" si="406"/>
        <v>浜寺公園</v>
      </c>
      <c r="C1209" s="7" t="str">
        <f t="shared" si="413"/>
        <v>行政財産</v>
      </c>
      <c r="D1209" s="7" t="str">
        <f t="shared" si="412"/>
        <v>公園</v>
      </c>
      <c r="E1209" s="7" t="str">
        <f t="shared" si="407"/>
        <v>大阪府堺市　西区浜寺　公園町３丁</v>
      </c>
      <c r="F1209" s="7"/>
      <c r="G1209" s="7" t="str">
        <f t="shared" si="410"/>
        <v>事業用資産</v>
      </c>
      <c r="H1209" s="7" t="str">
        <f t="shared" si="397"/>
        <v>棚卸以外</v>
      </c>
      <c r="I1209" s="7">
        <v>84</v>
      </c>
      <c r="J1209" s="7" t="str">
        <f>"給油倉庫"</f>
        <v>給油倉庫</v>
      </c>
      <c r="K1209" s="7" t="str">
        <f>"軽量鉄骨造"</f>
        <v>軽量鉄骨造</v>
      </c>
      <c r="L1209" s="7" t="str">
        <f>"S45.03.30"</f>
        <v>S45.03.30</v>
      </c>
      <c r="M1209" s="7">
        <v>3</v>
      </c>
      <c r="N1209" s="7">
        <v>213000</v>
      </c>
      <c r="O1209" s="7">
        <v>212999</v>
      </c>
      <c r="P1209" s="7">
        <v>0</v>
      </c>
      <c r="Q1209" s="7" t="str">
        <f t="shared" si="404"/>
        <v>都市整備部</v>
      </c>
      <c r="R1209" s="7" t="str">
        <f t="shared" si="411"/>
        <v>鳳土木事務所</v>
      </c>
    </row>
    <row r="1210" spans="1:18" s="1" customFormat="1" x14ac:dyDescent="0.45">
      <c r="A1210" s="7" t="str">
        <f t="shared" si="405"/>
        <v>08206000167</v>
      </c>
      <c r="B1210" s="7" t="str">
        <f t="shared" si="406"/>
        <v>浜寺公園</v>
      </c>
      <c r="C1210" s="7" t="str">
        <f t="shared" si="413"/>
        <v>行政財産</v>
      </c>
      <c r="D1210" s="7" t="str">
        <f t="shared" si="412"/>
        <v>公園</v>
      </c>
      <c r="E1210" s="7" t="str">
        <f t="shared" si="407"/>
        <v>大阪府堺市　西区浜寺　公園町３丁</v>
      </c>
      <c r="F1210" s="7"/>
      <c r="G1210" s="7" t="str">
        <f t="shared" si="410"/>
        <v>事業用資産</v>
      </c>
      <c r="H1210" s="7" t="str">
        <f t="shared" si="397"/>
        <v>棚卸以外</v>
      </c>
      <c r="I1210" s="7">
        <v>87</v>
      </c>
      <c r="J1210" s="7" t="str">
        <f>"倉庫"</f>
        <v>倉庫</v>
      </c>
      <c r="K1210" s="7" t="str">
        <f>"木造"</f>
        <v>木造</v>
      </c>
      <c r="L1210" s="7" t="str">
        <f>"S36.12.01"</f>
        <v>S36.12.01</v>
      </c>
      <c r="M1210" s="7">
        <v>92.56</v>
      </c>
      <c r="N1210" s="7">
        <v>663000</v>
      </c>
      <c r="O1210" s="7">
        <v>662999</v>
      </c>
      <c r="P1210" s="7">
        <v>0</v>
      </c>
      <c r="Q1210" s="7" t="str">
        <f t="shared" si="404"/>
        <v>都市整備部</v>
      </c>
      <c r="R1210" s="7" t="str">
        <f t="shared" si="411"/>
        <v>鳳土木事務所</v>
      </c>
    </row>
    <row r="1211" spans="1:18" s="1" customFormat="1" x14ac:dyDescent="0.45">
      <c r="A1211" s="7" t="str">
        <f t="shared" si="405"/>
        <v>08206000167</v>
      </c>
      <c r="B1211" s="7" t="str">
        <f t="shared" si="406"/>
        <v>浜寺公園</v>
      </c>
      <c r="C1211" s="7" t="str">
        <f t="shared" si="413"/>
        <v>行政財産</v>
      </c>
      <c r="D1211" s="7" t="str">
        <f t="shared" si="412"/>
        <v>公園</v>
      </c>
      <c r="E1211" s="7" t="str">
        <f t="shared" si="407"/>
        <v>大阪府堺市　西区浜寺　公園町３丁</v>
      </c>
      <c r="F1211" s="7"/>
      <c r="G1211" s="7" t="str">
        <f t="shared" si="410"/>
        <v>事業用資産</v>
      </c>
      <c r="H1211" s="7" t="str">
        <f t="shared" si="397"/>
        <v>棚卸以外</v>
      </c>
      <c r="I1211" s="7">
        <v>88</v>
      </c>
      <c r="J1211" s="7" t="str">
        <f>"団体脱衣所（北館更衣室）"</f>
        <v>団体脱衣所（北館更衣室）</v>
      </c>
      <c r="K1211" s="7" t="str">
        <f>"鉄骨造"</f>
        <v>鉄骨造</v>
      </c>
      <c r="L1211" s="7" t="str">
        <f>"S45.06.15"</f>
        <v>S45.06.15</v>
      </c>
      <c r="M1211" s="7">
        <v>500</v>
      </c>
      <c r="N1211" s="7">
        <v>143602702</v>
      </c>
      <c r="O1211" s="7">
        <v>62436147</v>
      </c>
      <c r="P1211" s="7">
        <v>0</v>
      </c>
      <c r="Q1211" s="7" t="str">
        <f t="shared" si="404"/>
        <v>都市整備部</v>
      </c>
      <c r="R1211" s="7" t="str">
        <f t="shared" si="411"/>
        <v>鳳土木事務所</v>
      </c>
    </row>
    <row r="1212" spans="1:18" s="1" customFormat="1" x14ac:dyDescent="0.45">
      <c r="A1212" s="7" t="str">
        <f t="shared" si="405"/>
        <v>08206000167</v>
      </c>
      <c r="B1212" s="7" t="str">
        <f t="shared" si="406"/>
        <v>浜寺公園</v>
      </c>
      <c r="C1212" s="7" t="str">
        <f t="shared" si="413"/>
        <v>行政財産</v>
      </c>
      <c r="D1212" s="7" t="str">
        <f t="shared" si="412"/>
        <v>公園</v>
      </c>
      <c r="E1212" s="7" t="str">
        <f t="shared" si="407"/>
        <v>大阪府堺市　西区浜寺　公園町３丁</v>
      </c>
      <c r="F1212" s="7"/>
      <c r="G1212" s="7" t="str">
        <f t="shared" si="410"/>
        <v>事業用資産</v>
      </c>
      <c r="H1212" s="7" t="str">
        <f t="shared" si="397"/>
        <v>棚卸以外</v>
      </c>
      <c r="I1212" s="7">
        <v>90</v>
      </c>
      <c r="J1212" s="7" t="str">
        <f>"南テニスコート南便所"</f>
        <v>南テニスコート南便所</v>
      </c>
      <c r="K1212" s="7" t="str">
        <f>"鉄筋コンクリート造"</f>
        <v>鉄筋コンクリート造</v>
      </c>
      <c r="L1212" s="7" t="str">
        <f>"S60.02.05"</f>
        <v>S60.02.05</v>
      </c>
      <c r="M1212" s="7">
        <v>50.16</v>
      </c>
      <c r="N1212" s="7">
        <v>20784201</v>
      </c>
      <c r="O1212" s="7">
        <v>12912747</v>
      </c>
      <c r="P1212" s="7">
        <v>0</v>
      </c>
      <c r="Q1212" s="7" t="str">
        <f t="shared" si="404"/>
        <v>都市整備部</v>
      </c>
      <c r="R1212" s="7" t="str">
        <f t="shared" si="411"/>
        <v>鳳土木事務所</v>
      </c>
    </row>
    <row r="1213" spans="1:18" s="1" customFormat="1" x14ac:dyDescent="0.45">
      <c r="A1213" s="7" t="str">
        <f t="shared" si="405"/>
        <v>08206000167</v>
      </c>
      <c r="B1213" s="7" t="str">
        <f t="shared" si="406"/>
        <v>浜寺公園</v>
      </c>
      <c r="C1213" s="7" t="str">
        <f t="shared" si="413"/>
        <v>行政財産</v>
      </c>
      <c r="D1213" s="7" t="str">
        <f t="shared" si="412"/>
        <v>公園</v>
      </c>
      <c r="E1213" s="7" t="str">
        <f t="shared" si="407"/>
        <v>大阪府堺市　西区浜寺　公園町３丁</v>
      </c>
      <c r="F1213" s="7"/>
      <c r="G1213" s="7" t="str">
        <f t="shared" si="410"/>
        <v>事業用資産</v>
      </c>
      <c r="H1213" s="7" t="str">
        <f t="shared" si="397"/>
        <v>棚卸以外</v>
      </c>
      <c r="I1213" s="7">
        <v>91</v>
      </c>
      <c r="J1213" s="7" t="str">
        <f>"ばら庭園便所"</f>
        <v>ばら庭園便所</v>
      </c>
      <c r="K1213" s="7" t="str">
        <f>"木造"</f>
        <v>木造</v>
      </c>
      <c r="L1213" s="7" t="str">
        <f>"H02.03.30"</f>
        <v>H02.03.30</v>
      </c>
      <c r="M1213" s="7">
        <v>32.799999999999997</v>
      </c>
      <c r="N1213" s="7">
        <v>14627000</v>
      </c>
      <c r="O1213" s="7">
        <v>14626999</v>
      </c>
      <c r="P1213" s="7">
        <v>0</v>
      </c>
      <c r="Q1213" s="7" t="str">
        <f t="shared" si="404"/>
        <v>都市整備部</v>
      </c>
      <c r="R1213" s="7" t="str">
        <f t="shared" si="411"/>
        <v>鳳土木事務所</v>
      </c>
    </row>
    <row r="1214" spans="1:18" s="1" customFormat="1" x14ac:dyDescent="0.45">
      <c r="A1214" s="7" t="str">
        <f t="shared" si="405"/>
        <v>08206000167</v>
      </c>
      <c r="B1214" s="7" t="str">
        <f t="shared" si="406"/>
        <v>浜寺公園</v>
      </c>
      <c r="C1214" s="7" t="str">
        <f t="shared" si="413"/>
        <v>行政財産</v>
      </c>
      <c r="D1214" s="7" t="str">
        <f t="shared" si="412"/>
        <v>公園</v>
      </c>
      <c r="E1214" s="7" t="str">
        <f t="shared" si="407"/>
        <v>大阪府堺市　西区浜寺　公園町３丁</v>
      </c>
      <c r="F1214" s="7"/>
      <c r="G1214" s="7" t="str">
        <f t="shared" si="410"/>
        <v>事業用資産</v>
      </c>
      <c r="H1214" s="7" t="str">
        <f t="shared" si="397"/>
        <v>棚卸以外</v>
      </c>
      <c r="I1214" s="7">
        <v>92</v>
      </c>
      <c r="J1214" s="7" t="str">
        <f>"ばら庭園案内所"</f>
        <v>ばら庭園案内所</v>
      </c>
      <c r="K1214" s="7" t="str">
        <f>"木造"</f>
        <v>木造</v>
      </c>
      <c r="L1214" s="7" t="str">
        <f>"H02.03.30"</f>
        <v>H02.03.30</v>
      </c>
      <c r="M1214" s="7">
        <v>3.28</v>
      </c>
      <c r="N1214" s="7">
        <v>2227000</v>
      </c>
      <c r="O1214" s="7">
        <v>2226999</v>
      </c>
      <c r="P1214" s="7">
        <v>0</v>
      </c>
      <c r="Q1214" s="7" t="str">
        <f t="shared" si="404"/>
        <v>都市整備部</v>
      </c>
      <c r="R1214" s="7" t="str">
        <f t="shared" si="411"/>
        <v>鳳土木事務所</v>
      </c>
    </row>
    <row r="1215" spans="1:18" s="1" customFormat="1" x14ac:dyDescent="0.45">
      <c r="A1215" s="7" t="str">
        <f t="shared" si="405"/>
        <v>08206000167</v>
      </c>
      <c r="B1215" s="7" t="str">
        <f t="shared" si="406"/>
        <v>浜寺公園</v>
      </c>
      <c r="C1215" s="7" t="str">
        <f t="shared" si="413"/>
        <v>行政財産</v>
      </c>
      <c r="D1215" s="7" t="str">
        <f t="shared" si="412"/>
        <v>公園</v>
      </c>
      <c r="E1215" s="7" t="str">
        <f t="shared" si="407"/>
        <v>大阪府堺市　西区浜寺　公園町３丁</v>
      </c>
      <c r="F1215" s="7"/>
      <c r="G1215" s="7" t="str">
        <f t="shared" si="410"/>
        <v>事業用資産</v>
      </c>
      <c r="H1215" s="7" t="str">
        <f t="shared" si="397"/>
        <v>棚卸以外</v>
      </c>
      <c r="I1215" s="7">
        <v>93</v>
      </c>
      <c r="J1215" s="7" t="str">
        <f>"ばら庭園水車小屋"</f>
        <v>ばら庭園水車小屋</v>
      </c>
      <c r="K1215" s="7" t="str">
        <f>"木造"</f>
        <v>木造</v>
      </c>
      <c r="L1215" s="7" t="str">
        <f>"H02.03.30"</f>
        <v>H02.03.30</v>
      </c>
      <c r="M1215" s="7">
        <v>5.29</v>
      </c>
      <c r="N1215" s="7">
        <v>6630000</v>
      </c>
      <c r="O1215" s="7">
        <v>6423382</v>
      </c>
      <c r="P1215" s="7">
        <v>0</v>
      </c>
      <c r="Q1215" s="7" t="str">
        <f t="shared" si="404"/>
        <v>都市整備部</v>
      </c>
      <c r="R1215" s="7" t="str">
        <f t="shared" si="411"/>
        <v>鳳土木事務所</v>
      </c>
    </row>
    <row r="1216" spans="1:18" s="1" customFormat="1" x14ac:dyDescent="0.45">
      <c r="A1216" s="7" t="str">
        <f t="shared" si="405"/>
        <v>08206000167</v>
      </c>
      <c r="B1216" s="7" t="str">
        <f t="shared" si="406"/>
        <v>浜寺公園</v>
      </c>
      <c r="C1216" s="7" t="str">
        <f t="shared" si="413"/>
        <v>行政財産</v>
      </c>
      <c r="D1216" s="7" t="str">
        <f t="shared" si="412"/>
        <v>公園</v>
      </c>
      <c r="E1216" s="7" t="str">
        <f t="shared" si="407"/>
        <v>大阪府堺市　西区浜寺　公園町３丁</v>
      </c>
      <c r="F1216" s="7"/>
      <c r="G1216" s="7" t="str">
        <f t="shared" si="410"/>
        <v>事業用資産</v>
      </c>
      <c r="H1216" s="7" t="str">
        <f t="shared" si="397"/>
        <v>棚卸以外</v>
      </c>
      <c r="I1216" s="7">
        <v>94</v>
      </c>
      <c r="J1216" s="7" t="str">
        <f>"浜寺パークセンター"</f>
        <v>浜寺パークセンター</v>
      </c>
      <c r="K1216" s="7" t="str">
        <f>"鉄筋コンクリート造"</f>
        <v>鉄筋コンクリート造</v>
      </c>
      <c r="L1216" s="7" t="str">
        <f>"H03.03.27"</f>
        <v>H03.03.27</v>
      </c>
      <c r="M1216" s="7">
        <v>365.84</v>
      </c>
      <c r="N1216" s="7">
        <v>138325000</v>
      </c>
      <c r="O1216" s="7">
        <v>88528128</v>
      </c>
      <c r="P1216" s="7">
        <v>0</v>
      </c>
      <c r="Q1216" s="7" t="str">
        <f t="shared" si="404"/>
        <v>都市整備部</v>
      </c>
      <c r="R1216" s="7" t="str">
        <f t="shared" si="411"/>
        <v>鳳土木事務所</v>
      </c>
    </row>
    <row r="1217" spans="1:18" s="1" customFormat="1" x14ac:dyDescent="0.45">
      <c r="A1217" s="7" t="str">
        <f t="shared" si="405"/>
        <v>08206000167</v>
      </c>
      <c r="B1217" s="7" t="str">
        <f t="shared" si="406"/>
        <v>浜寺公園</v>
      </c>
      <c r="C1217" s="7" t="str">
        <f t="shared" si="413"/>
        <v>行政財産</v>
      </c>
      <c r="D1217" s="7" t="str">
        <f t="shared" si="412"/>
        <v>公園</v>
      </c>
      <c r="E1217" s="7" t="str">
        <f t="shared" si="407"/>
        <v>大阪府堺市　西区浜寺　公園町３丁</v>
      </c>
      <c r="F1217" s="7"/>
      <c r="G1217" s="7" t="str">
        <f t="shared" si="410"/>
        <v>事業用資産</v>
      </c>
      <c r="H1217" s="7" t="str">
        <f t="shared" si="397"/>
        <v>棚卸以外</v>
      </c>
      <c r="I1217" s="7">
        <v>95</v>
      </c>
      <c r="J1217" s="7" t="str">
        <f>"第４駐車場便所"</f>
        <v>第４駐車場便所</v>
      </c>
      <c r="K1217" s="7" t="str">
        <f>"鉄筋コンクリート造"</f>
        <v>鉄筋コンクリート造</v>
      </c>
      <c r="L1217" s="7" t="str">
        <f>"H03.03.27"</f>
        <v>H03.03.27</v>
      </c>
      <c r="M1217" s="7">
        <v>65.819999999999993</v>
      </c>
      <c r="N1217" s="7">
        <v>40751234</v>
      </c>
      <c r="O1217" s="7">
        <v>25242000</v>
      </c>
      <c r="P1217" s="7">
        <v>0</v>
      </c>
      <c r="Q1217" s="7" t="str">
        <f t="shared" si="404"/>
        <v>都市整備部</v>
      </c>
      <c r="R1217" s="7" t="str">
        <f t="shared" si="411"/>
        <v>鳳土木事務所</v>
      </c>
    </row>
    <row r="1218" spans="1:18" s="1" customFormat="1" x14ac:dyDescent="0.45">
      <c r="A1218" s="7" t="str">
        <f t="shared" si="405"/>
        <v>08206000167</v>
      </c>
      <c r="B1218" s="7" t="str">
        <f t="shared" si="406"/>
        <v>浜寺公園</v>
      </c>
      <c r="C1218" s="7" t="str">
        <f t="shared" si="413"/>
        <v>行政財産</v>
      </c>
      <c r="D1218" s="7" t="str">
        <f t="shared" si="412"/>
        <v>公園</v>
      </c>
      <c r="E1218" s="7" t="str">
        <f t="shared" si="407"/>
        <v>大阪府堺市　西区浜寺　公園町３丁</v>
      </c>
      <c r="F1218" s="7"/>
      <c r="G1218" s="7" t="str">
        <f t="shared" si="410"/>
        <v>事業用資産</v>
      </c>
      <c r="H1218" s="7" t="str">
        <f t="shared" si="397"/>
        <v>棚卸以外</v>
      </c>
      <c r="I1218" s="7">
        <v>96</v>
      </c>
      <c r="J1218" s="7" t="str">
        <f>"ばら庭園休憩所"</f>
        <v>ばら庭園休憩所</v>
      </c>
      <c r="K1218" s="7" t="str">
        <f>"木造"</f>
        <v>木造</v>
      </c>
      <c r="L1218" s="7" t="str">
        <f>"H03.03.22"</f>
        <v>H03.03.22</v>
      </c>
      <c r="M1218" s="7">
        <v>47.79</v>
      </c>
      <c r="N1218" s="7">
        <v>17819000</v>
      </c>
      <c r="O1218" s="7">
        <v>17818999</v>
      </c>
      <c r="P1218" s="7">
        <v>0</v>
      </c>
      <c r="Q1218" s="7" t="str">
        <f t="shared" si="404"/>
        <v>都市整備部</v>
      </c>
      <c r="R1218" s="7" t="str">
        <f t="shared" si="411"/>
        <v>鳳土木事務所</v>
      </c>
    </row>
    <row r="1219" spans="1:18" s="1" customFormat="1" x14ac:dyDescent="0.45">
      <c r="A1219" s="7" t="str">
        <f t="shared" si="405"/>
        <v>08206000167</v>
      </c>
      <c r="B1219" s="7" t="str">
        <f t="shared" si="406"/>
        <v>浜寺公園</v>
      </c>
      <c r="C1219" s="7" t="str">
        <f t="shared" si="413"/>
        <v>行政財産</v>
      </c>
      <c r="D1219" s="7" t="str">
        <f t="shared" si="412"/>
        <v>公園</v>
      </c>
      <c r="E1219" s="7" t="str">
        <f t="shared" si="407"/>
        <v>大阪府堺市　西区浜寺　公園町３丁</v>
      </c>
      <c r="F1219" s="7"/>
      <c r="G1219" s="7" t="str">
        <f t="shared" si="410"/>
        <v>事業用資産</v>
      </c>
      <c r="H1219" s="7" t="str">
        <f t="shared" si="397"/>
        <v>棚卸以外</v>
      </c>
      <c r="I1219" s="7">
        <v>97</v>
      </c>
      <c r="J1219" s="7" t="str">
        <f>"バラ庭園南便所"</f>
        <v>バラ庭園南便所</v>
      </c>
      <c r="K1219" s="7" t="str">
        <f>"鉄筋コンクリート造"</f>
        <v>鉄筋コンクリート造</v>
      </c>
      <c r="L1219" s="7" t="str">
        <f>"H03.03.27"</f>
        <v>H03.03.27</v>
      </c>
      <c r="M1219" s="7">
        <v>32.200000000000003</v>
      </c>
      <c r="N1219" s="7">
        <v>25492687</v>
      </c>
      <c r="O1219" s="7">
        <v>14395068</v>
      </c>
      <c r="P1219" s="7">
        <v>0</v>
      </c>
      <c r="Q1219" s="7" t="str">
        <f t="shared" si="404"/>
        <v>都市整備部</v>
      </c>
      <c r="R1219" s="7" t="str">
        <f t="shared" si="411"/>
        <v>鳳土木事務所</v>
      </c>
    </row>
    <row r="1220" spans="1:18" s="1" customFormat="1" x14ac:dyDescent="0.45">
      <c r="A1220" s="7" t="str">
        <f t="shared" ref="A1220:A1240" si="414">"08206000167"</f>
        <v>08206000167</v>
      </c>
      <c r="B1220" s="7" t="str">
        <f t="shared" ref="B1220:B1240" si="415">"浜寺公園"</f>
        <v>浜寺公園</v>
      </c>
      <c r="C1220" s="7" t="str">
        <f t="shared" si="413"/>
        <v>行政財産</v>
      </c>
      <c r="D1220" s="7" t="str">
        <f t="shared" si="412"/>
        <v>公園</v>
      </c>
      <c r="E1220" s="7" t="str">
        <f t="shared" ref="E1220:E1240" si="416">"大阪府堺市　西区浜寺　公園町３丁"</f>
        <v>大阪府堺市　西区浜寺　公園町３丁</v>
      </c>
      <c r="F1220" s="7"/>
      <c r="G1220" s="7" t="str">
        <f t="shared" si="410"/>
        <v>事業用資産</v>
      </c>
      <c r="H1220" s="7" t="str">
        <f t="shared" ref="H1220:H1283" si="417">"棚卸以外"</f>
        <v>棚卸以外</v>
      </c>
      <c r="I1220" s="7">
        <v>98</v>
      </c>
      <c r="J1220" s="7" t="str">
        <f>"球技広場便所"</f>
        <v>球技広場便所</v>
      </c>
      <c r="K1220" s="7" t="str">
        <f>"鉄筋コンクリート造"</f>
        <v>鉄筋コンクリート造</v>
      </c>
      <c r="L1220" s="7" t="str">
        <f>"H03.03.27"</f>
        <v>H03.03.27</v>
      </c>
      <c r="M1220" s="7">
        <v>53.02</v>
      </c>
      <c r="N1220" s="7">
        <v>24830000</v>
      </c>
      <c r="O1220" s="7">
        <v>20909568</v>
      </c>
      <c r="P1220" s="7">
        <v>0</v>
      </c>
      <c r="Q1220" s="7" t="str">
        <f t="shared" si="404"/>
        <v>都市整備部</v>
      </c>
      <c r="R1220" s="7" t="str">
        <f t="shared" si="411"/>
        <v>鳳土木事務所</v>
      </c>
    </row>
    <row r="1221" spans="1:18" s="1" customFormat="1" x14ac:dyDescent="0.45">
      <c r="A1221" s="7" t="str">
        <f t="shared" si="414"/>
        <v>08206000167</v>
      </c>
      <c r="B1221" s="7" t="str">
        <f t="shared" si="415"/>
        <v>浜寺公園</v>
      </c>
      <c r="C1221" s="7" t="str">
        <f t="shared" si="413"/>
        <v>行政財産</v>
      </c>
      <c r="D1221" s="7" t="str">
        <f t="shared" si="412"/>
        <v>公園</v>
      </c>
      <c r="E1221" s="7" t="str">
        <f t="shared" si="416"/>
        <v>大阪府堺市　西区浜寺　公園町３丁</v>
      </c>
      <c r="F1221" s="7"/>
      <c r="G1221" s="7" t="str">
        <f t="shared" si="410"/>
        <v>事業用資産</v>
      </c>
      <c r="H1221" s="7" t="str">
        <f t="shared" si="417"/>
        <v>棚卸以外</v>
      </c>
      <c r="I1221" s="7">
        <v>99</v>
      </c>
      <c r="J1221" s="7" t="str">
        <f>"プール薬品貯蔵庫"</f>
        <v>プール薬品貯蔵庫</v>
      </c>
      <c r="K1221" s="7" t="str">
        <f>"コンクリートブロック造"</f>
        <v>コンクリートブロック造</v>
      </c>
      <c r="L1221" s="7" t="str">
        <f>"H04.03.13"</f>
        <v>H04.03.13</v>
      </c>
      <c r="M1221" s="7">
        <v>7.2</v>
      </c>
      <c r="N1221" s="7">
        <v>2270000</v>
      </c>
      <c r="O1221" s="7">
        <v>2069808</v>
      </c>
      <c r="P1221" s="7">
        <v>0</v>
      </c>
      <c r="Q1221" s="7" t="str">
        <f t="shared" si="404"/>
        <v>都市整備部</v>
      </c>
      <c r="R1221" s="7" t="str">
        <f t="shared" si="411"/>
        <v>鳳土木事務所</v>
      </c>
    </row>
    <row r="1222" spans="1:18" s="1" customFormat="1" x14ac:dyDescent="0.45">
      <c r="A1222" s="7" t="str">
        <f t="shared" si="414"/>
        <v>08206000167</v>
      </c>
      <c r="B1222" s="7" t="str">
        <f t="shared" si="415"/>
        <v>浜寺公園</v>
      </c>
      <c r="C1222" s="7" t="str">
        <f t="shared" si="413"/>
        <v>行政財産</v>
      </c>
      <c r="D1222" s="7" t="str">
        <f t="shared" si="412"/>
        <v>公園</v>
      </c>
      <c r="E1222" s="7" t="str">
        <f t="shared" si="416"/>
        <v>大阪府堺市　西区浜寺　公園町３丁</v>
      </c>
      <c r="F1222" s="7"/>
      <c r="G1222" s="7" t="str">
        <f t="shared" si="410"/>
        <v>事業用資産</v>
      </c>
      <c r="H1222" s="7" t="str">
        <f t="shared" si="417"/>
        <v>棚卸以外</v>
      </c>
      <c r="I1222" s="7">
        <v>100</v>
      </c>
      <c r="J1222" s="7" t="str">
        <f>"南児童遊戯場便所"</f>
        <v>南児童遊戯場便所</v>
      </c>
      <c r="K1222" s="7" t="str">
        <f>"鉄筋コンクリート造"</f>
        <v>鉄筋コンクリート造</v>
      </c>
      <c r="L1222" s="7" t="str">
        <f>"H06.03.30"</f>
        <v>H06.03.30</v>
      </c>
      <c r="M1222" s="7">
        <v>61.4</v>
      </c>
      <c r="N1222" s="7">
        <v>38262000</v>
      </c>
      <c r="O1222" s="7">
        <v>29199984</v>
      </c>
      <c r="P1222" s="7">
        <v>0</v>
      </c>
      <c r="Q1222" s="7" t="str">
        <f t="shared" si="404"/>
        <v>都市整備部</v>
      </c>
      <c r="R1222" s="7" t="str">
        <f t="shared" si="411"/>
        <v>鳳土木事務所</v>
      </c>
    </row>
    <row r="1223" spans="1:18" s="1" customFormat="1" x14ac:dyDescent="0.45">
      <c r="A1223" s="7" t="str">
        <f t="shared" si="414"/>
        <v>08206000167</v>
      </c>
      <c r="B1223" s="7" t="str">
        <f t="shared" si="415"/>
        <v>浜寺公園</v>
      </c>
      <c r="C1223" s="7" t="str">
        <f t="shared" si="413"/>
        <v>行政財産</v>
      </c>
      <c r="D1223" s="7" t="str">
        <f t="shared" si="412"/>
        <v>公園</v>
      </c>
      <c r="E1223" s="7" t="str">
        <f t="shared" si="416"/>
        <v>大阪府堺市　西区浜寺　公園町３丁</v>
      </c>
      <c r="F1223" s="7"/>
      <c r="G1223" s="7" t="str">
        <f t="shared" si="410"/>
        <v>事業用資産</v>
      </c>
      <c r="H1223" s="7" t="str">
        <f t="shared" si="417"/>
        <v>棚卸以外</v>
      </c>
      <c r="I1223" s="7">
        <v>101</v>
      </c>
      <c r="J1223" s="7" t="str">
        <f>"子供汽車車庫"</f>
        <v>子供汽車車庫</v>
      </c>
      <c r="K1223" s="7" t="str">
        <f>"木造"</f>
        <v>木造</v>
      </c>
      <c r="L1223" s="7" t="str">
        <f>"H08.07.09"</f>
        <v>H08.07.09</v>
      </c>
      <c r="M1223" s="7">
        <v>100</v>
      </c>
      <c r="N1223" s="7">
        <v>44495000</v>
      </c>
      <c r="O1223" s="7">
        <v>44494998</v>
      </c>
      <c r="P1223" s="7">
        <v>0</v>
      </c>
      <c r="Q1223" s="7" t="str">
        <f t="shared" si="404"/>
        <v>都市整備部</v>
      </c>
      <c r="R1223" s="7" t="str">
        <f t="shared" si="411"/>
        <v>鳳土木事務所</v>
      </c>
    </row>
    <row r="1224" spans="1:18" s="1" customFormat="1" x14ac:dyDescent="0.45">
      <c r="A1224" s="7" t="str">
        <f t="shared" si="414"/>
        <v>08206000167</v>
      </c>
      <c r="B1224" s="7" t="str">
        <f t="shared" si="415"/>
        <v>浜寺公園</v>
      </c>
      <c r="C1224" s="7" t="str">
        <f t="shared" si="413"/>
        <v>行政財産</v>
      </c>
      <c r="D1224" s="7" t="str">
        <f t="shared" si="412"/>
        <v>公園</v>
      </c>
      <c r="E1224" s="7" t="str">
        <f t="shared" si="416"/>
        <v>大阪府堺市　西区浜寺　公園町３丁</v>
      </c>
      <c r="F1224" s="7"/>
      <c r="G1224" s="7" t="str">
        <f t="shared" si="410"/>
        <v>事業用資産</v>
      </c>
      <c r="H1224" s="7" t="str">
        <f t="shared" si="417"/>
        <v>棚卸以外</v>
      </c>
      <c r="I1224" s="7">
        <v>102</v>
      </c>
      <c r="J1224" s="7" t="str">
        <f>"ゴーカート収納庫"</f>
        <v>ゴーカート収納庫</v>
      </c>
      <c r="K1224" s="7" t="str">
        <f>"木造"</f>
        <v>木造</v>
      </c>
      <c r="L1224" s="7" t="str">
        <f>"H08.07.09"</f>
        <v>H08.07.09</v>
      </c>
      <c r="M1224" s="7">
        <v>182.25</v>
      </c>
      <c r="N1224" s="7">
        <v>29998000</v>
      </c>
      <c r="O1224" s="7">
        <v>29997999</v>
      </c>
      <c r="P1224" s="7">
        <v>0</v>
      </c>
      <c r="Q1224" s="7" t="str">
        <f t="shared" si="404"/>
        <v>都市整備部</v>
      </c>
      <c r="R1224" s="7" t="str">
        <f t="shared" si="411"/>
        <v>鳳土木事務所</v>
      </c>
    </row>
    <row r="1225" spans="1:18" s="1" customFormat="1" x14ac:dyDescent="0.45">
      <c r="A1225" s="7" t="str">
        <f t="shared" si="414"/>
        <v>08206000167</v>
      </c>
      <c r="B1225" s="7" t="str">
        <f t="shared" si="415"/>
        <v>浜寺公園</v>
      </c>
      <c r="C1225" s="7" t="str">
        <f t="shared" si="413"/>
        <v>行政財産</v>
      </c>
      <c r="D1225" s="7" t="str">
        <f t="shared" si="412"/>
        <v>公園</v>
      </c>
      <c r="E1225" s="7" t="str">
        <f t="shared" si="416"/>
        <v>大阪府堺市　西区浜寺　公園町３丁</v>
      </c>
      <c r="F1225" s="7"/>
      <c r="G1225" s="7" t="str">
        <f t="shared" ref="G1225:G1246" si="418">"事業用資産"</f>
        <v>事業用資産</v>
      </c>
      <c r="H1225" s="7" t="str">
        <f t="shared" si="417"/>
        <v>棚卸以外</v>
      </c>
      <c r="I1225" s="7">
        <v>103</v>
      </c>
      <c r="J1225" s="7" t="str">
        <f>"プール前便所"</f>
        <v>プール前便所</v>
      </c>
      <c r="K1225" s="7" t="str">
        <f>"鉄筋コンクリート造"</f>
        <v>鉄筋コンクリート造</v>
      </c>
      <c r="L1225" s="7" t="str">
        <f>"H10.03.31"</f>
        <v>H10.03.31</v>
      </c>
      <c r="M1225" s="7">
        <v>65.989999999999995</v>
      </c>
      <c r="N1225" s="7">
        <v>47947000</v>
      </c>
      <c r="O1225" s="7">
        <v>31544100</v>
      </c>
      <c r="P1225" s="7">
        <v>0</v>
      </c>
      <c r="Q1225" s="7" t="str">
        <f t="shared" si="404"/>
        <v>都市整備部</v>
      </c>
      <c r="R1225" s="7" t="str">
        <f t="shared" si="411"/>
        <v>鳳土木事務所</v>
      </c>
    </row>
    <row r="1226" spans="1:18" s="1" customFormat="1" x14ac:dyDescent="0.45">
      <c r="A1226" s="7" t="str">
        <f t="shared" si="414"/>
        <v>08206000167</v>
      </c>
      <c r="B1226" s="7" t="str">
        <f t="shared" si="415"/>
        <v>浜寺公園</v>
      </c>
      <c r="C1226" s="7" t="str">
        <f t="shared" si="413"/>
        <v>行政財産</v>
      </c>
      <c r="D1226" s="7" t="str">
        <f t="shared" si="412"/>
        <v>公園</v>
      </c>
      <c r="E1226" s="7" t="str">
        <f t="shared" si="416"/>
        <v>大阪府堺市　西区浜寺　公園町３丁</v>
      </c>
      <c r="F1226" s="7"/>
      <c r="G1226" s="7" t="str">
        <f t="shared" si="418"/>
        <v>事業用資産</v>
      </c>
      <c r="H1226" s="7" t="str">
        <f t="shared" si="417"/>
        <v>棚卸以外</v>
      </c>
      <c r="I1226" s="7">
        <v>104</v>
      </c>
      <c r="J1226" s="7" t="str">
        <f>"北児童遊戯場便所"</f>
        <v>北児童遊戯場便所</v>
      </c>
      <c r="K1226" s="7" t="str">
        <f>"鉄筋コンクリート造"</f>
        <v>鉄筋コンクリート造</v>
      </c>
      <c r="L1226" s="7" t="str">
        <f>"H10.03.31"</f>
        <v>H10.03.31</v>
      </c>
      <c r="M1226" s="7">
        <v>86.75</v>
      </c>
      <c r="N1226" s="7">
        <v>55125000</v>
      </c>
      <c r="O1226" s="7">
        <v>36266700</v>
      </c>
      <c r="P1226" s="7">
        <v>0</v>
      </c>
      <c r="Q1226" s="7" t="str">
        <f t="shared" si="404"/>
        <v>都市整備部</v>
      </c>
      <c r="R1226" s="7" t="str">
        <f t="shared" si="411"/>
        <v>鳳土木事務所</v>
      </c>
    </row>
    <row r="1227" spans="1:18" s="1" customFormat="1" x14ac:dyDescent="0.45">
      <c r="A1227" s="7" t="str">
        <f t="shared" si="414"/>
        <v>08206000167</v>
      </c>
      <c r="B1227" s="7" t="str">
        <f t="shared" si="415"/>
        <v>浜寺公園</v>
      </c>
      <c r="C1227" s="7" t="str">
        <f t="shared" si="413"/>
        <v>行政財産</v>
      </c>
      <c r="D1227" s="7" t="str">
        <f t="shared" si="412"/>
        <v>公園</v>
      </c>
      <c r="E1227" s="7" t="str">
        <f t="shared" si="416"/>
        <v>大阪府堺市　西区浜寺　公園町３丁</v>
      </c>
      <c r="F1227" s="7"/>
      <c r="G1227" s="7" t="str">
        <f t="shared" si="418"/>
        <v>事業用資産</v>
      </c>
      <c r="H1227" s="7" t="str">
        <f t="shared" si="417"/>
        <v>棚卸以外</v>
      </c>
      <c r="I1227" s="7">
        <v>105</v>
      </c>
      <c r="J1227" s="7" t="str">
        <f>"公園管理事務所前便所"</f>
        <v>公園管理事務所前便所</v>
      </c>
      <c r="K1227" s="7" t="str">
        <f>"鉄筋コンクリート造"</f>
        <v>鉄筋コンクリート造</v>
      </c>
      <c r="L1227" s="7" t="str">
        <f>"H10.03.31"</f>
        <v>H10.03.31</v>
      </c>
      <c r="M1227" s="7">
        <v>53.52</v>
      </c>
      <c r="N1227" s="7">
        <v>40253000</v>
      </c>
      <c r="O1227" s="7">
        <v>26482500</v>
      </c>
      <c r="P1227" s="7">
        <v>0</v>
      </c>
      <c r="Q1227" s="7" t="str">
        <f t="shared" si="404"/>
        <v>都市整備部</v>
      </c>
      <c r="R1227" s="7" t="str">
        <f t="shared" si="411"/>
        <v>鳳土木事務所</v>
      </c>
    </row>
    <row r="1228" spans="1:18" s="1" customFormat="1" x14ac:dyDescent="0.45">
      <c r="A1228" s="7" t="str">
        <f t="shared" si="414"/>
        <v>08206000167</v>
      </c>
      <c r="B1228" s="7" t="str">
        <f t="shared" si="415"/>
        <v>浜寺公園</v>
      </c>
      <c r="C1228" s="7" t="str">
        <f t="shared" si="413"/>
        <v>行政財産</v>
      </c>
      <c r="D1228" s="7" t="str">
        <f t="shared" si="412"/>
        <v>公園</v>
      </c>
      <c r="E1228" s="7" t="str">
        <f t="shared" si="416"/>
        <v>大阪府堺市　西区浜寺　公園町３丁</v>
      </c>
      <c r="F1228" s="7"/>
      <c r="G1228" s="7" t="str">
        <f t="shared" si="418"/>
        <v>事業用資産</v>
      </c>
      <c r="H1228" s="7" t="str">
        <f t="shared" si="417"/>
        <v>棚卸以外</v>
      </c>
      <c r="I1228" s="7">
        <v>106</v>
      </c>
      <c r="J1228" s="7" t="str">
        <f>"交通遊園内便所"</f>
        <v>交通遊園内便所</v>
      </c>
      <c r="K1228" s="7" t="str">
        <f>"鉄筋コンクリート造"</f>
        <v>鉄筋コンクリート造</v>
      </c>
      <c r="L1228" s="7" t="str">
        <f>"H09.03.28"</f>
        <v>H09.03.28</v>
      </c>
      <c r="M1228" s="7">
        <v>47.88</v>
      </c>
      <c r="N1228" s="7">
        <v>17290000</v>
      </c>
      <c r="O1228" s="7">
        <v>11830104</v>
      </c>
      <c r="P1228" s="7">
        <v>0</v>
      </c>
      <c r="Q1228" s="7" t="str">
        <f t="shared" si="404"/>
        <v>都市整備部</v>
      </c>
      <c r="R1228" s="7" t="str">
        <f t="shared" ref="R1228:R1256" si="419">"鳳土木事務所"</f>
        <v>鳳土木事務所</v>
      </c>
    </row>
    <row r="1229" spans="1:18" s="1" customFormat="1" x14ac:dyDescent="0.45">
      <c r="A1229" s="7" t="str">
        <f t="shared" si="414"/>
        <v>08206000167</v>
      </c>
      <c r="B1229" s="7" t="str">
        <f t="shared" si="415"/>
        <v>浜寺公園</v>
      </c>
      <c r="C1229" s="7" t="str">
        <f t="shared" si="413"/>
        <v>行政財産</v>
      </c>
      <c r="D1229" s="7" t="str">
        <f t="shared" si="412"/>
        <v>公園</v>
      </c>
      <c r="E1229" s="7" t="str">
        <f t="shared" si="416"/>
        <v>大阪府堺市　西区浜寺　公園町３丁</v>
      </c>
      <c r="F1229" s="7"/>
      <c r="G1229" s="7" t="str">
        <f t="shared" si="418"/>
        <v>事業用資産</v>
      </c>
      <c r="H1229" s="7" t="str">
        <f t="shared" si="417"/>
        <v>棚卸以外</v>
      </c>
      <c r="I1229" s="7">
        <v>107</v>
      </c>
      <c r="J1229" s="7" t="str">
        <f>"第１駐車場便所"</f>
        <v>第１駐車場便所</v>
      </c>
      <c r="K1229" s="7" t="str">
        <f>"鉄筋コンクリート造"</f>
        <v>鉄筋コンクリート造</v>
      </c>
      <c r="L1229" s="7" t="str">
        <f>"H10.03.31"</f>
        <v>H10.03.31</v>
      </c>
      <c r="M1229" s="7">
        <v>54.09</v>
      </c>
      <c r="N1229" s="7">
        <v>34721000</v>
      </c>
      <c r="O1229" s="7">
        <v>21929184</v>
      </c>
      <c r="P1229" s="7">
        <v>0</v>
      </c>
      <c r="Q1229" s="7" t="str">
        <f t="shared" si="404"/>
        <v>都市整備部</v>
      </c>
      <c r="R1229" s="7" t="str">
        <f t="shared" si="419"/>
        <v>鳳土木事務所</v>
      </c>
    </row>
    <row r="1230" spans="1:18" s="1" customFormat="1" x14ac:dyDescent="0.45">
      <c r="A1230" s="7" t="str">
        <f t="shared" si="414"/>
        <v>08206000167</v>
      </c>
      <c r="B1230" s="7" t="str">
        <f t="shared" si="415"/>
        <v>浜寺公園</v>
      </c>
      <c r="C1230" s="7" t="str">
        <f t="shared" si="413"/>
        <v>行政財産</v>
      </c>
      <c r="D1230" s="7" t="str">
        <f t="shared" si="412"/>
        <v>公園</v>
      </c>
      <c r="E1230" s="7" t="str">
        <f t="shared" si="416"/>
        <v>大阪府堺市　西区浜寺　公園町３丁</v>
      </c>
      <c r="F1230" s="7"/>
      <c r="G1230" s="7" t="str">
        <f t="shared" si="418"/>
        <v>事業用資産</v>
      </c>
      <c r="H1230" s="7" t="str">
        <f t="shared" si="417"/>
        <v>棚卸以外</v>
      </c>
      <c r="I1230" s="7">
        <v>108</v>
      </c>
      <c r="J1230" s="7" t="str">
        <f>"交通遊園給油庫西"</f>
        <v>交通遊園給油庫西</v>
      </c>
      <c r="K1230" s="7" t="str">
        <f>"コンクリートブロック造"</f>
        <v>コンクリートブロック造</v>
      </c>
      <c r="L1230" s="7" t="str">
        <f>"H08.07.09"</f>
        <v>H08.07.09</v>
      </c>
      <c r="M1230" s="7">
        <v>5.01</v>
      </c>
      <c r="N1230" s="7">
        <v>1140000</v>
      </c>
      <c r="O1230" s="7">
        <v>894400</v>
      </c>
      <c r="P1230" s="7">
        <v>0</v>
      </c>
      <c r="Q1230" s="7" t="str">
        <f t="shared" si="404"/>
        <v>都市整備部</v>
      </c>
      <c r="R1230" s="7" t="str">
        <f t="shared" si="419"/>
        <v>鳳土木事務所</v>
      </c>
    </row>
    <row r="1231" spans="1:18" s="1" customFormat="1" x14ac:dyDescent="0.45">
      <c r="A1231" s="7" t="str">
        <f t="shared" si="414"/>
        <v>08206000167</v>
      </c>
      <c r="B1231" s="7" t="str">
        <f t="shared" si="415"/>
        <v>浜寺公園</v>
      </c>
      <c r="C1231" s="7" t="str">
        <f t="shared" si="413"/>
        <v>行政財産</v>
      </c>
      <c r="D1231" s="7" t="str">
        <f t="shared" si="412"/>
        <v>公園</v>
      </c>
      <c r="E1231" s="7" t="str">
        <f t="shared" si="416"/>
        <v>大阪府堺市　西区浜寺　公園町３丁</v>
      </c>
      <c r="F1231" s="7"/>
      <c r="G1231" s="7" t="str">
        <f t="shared" si="418"/>
        <v>事業用資産</v>
      </c>
      <c r="H1231" s="7" t="str">
        <f t="shared" si="417"/>
        <v>棚卸以外</v>
      </c>
      <c r="I1231" s="7">
        <v>109</v>
      </c>
      <c r="J1231" s="7" t="str">
        <f>"交通遊園給油庫東"</f>
        <v>交通遊園給油庫東</v>
      </c>
      <c r="K1231" s="7" t="str">
        <f>"コンクリートブロック造"</f>
        <v>コンクリートブロック造</v>
      </c>
      <c r="L1231" s="7" t="str">
        <f>"H08.07.09"</f>
        <v>H08.07.09</v>
      </c>
      <c r="M1231" s="7">
        <v>5.01</v>
      </c>
      <c r="N1231" s="7">
        <v>1140000</v>
      </c>
      <c r="O1231" s="7">
        <v>894400</v>
      </c>
      <c r="P1231" s="7">
        <v>0</v>
      </c>
      <c r="Q1231" s="7" t="str">
        <f t="shared" si="404"/>
        <v>都市整備部</v>
      </c>
      <c r="R1231" s="7" t="str">
        <f t="shared" si="419"/>
        <v>鳳土木事務所</v>
      </c>
    </row>
    <row r="1232" spans="1:18" s="1" customFormat="1" x14ac:dyDescent="0.45">
      <c r="A1232" s="7" t="str">
        <f t="shared" si="414"/>
        <v>08206000167</v>
      </c>
      <c r="B1232" s="7" t="str">
        <f t="shared" si="415"/>
        <v>浜寺公園</v>
      </c>
      <c r="C1232" s="7" t="str">
        <f t="shared" si="413"/>
        <v>行政財産</v>
      </c>
      <c r="D1232" s="7" t="str">
        <f t="shared" si="412"/>
        <v>公園</v>
      </c>
      <c r="E1232" s="7" t="str">
        <f t="shared" si="416"/>
        <v>大阪府堺市　西区浜寺　公園町３丁</v>
      </c>
      <c r="F1232" s="7"/>
      <c r="G1232" s="7" t="str">
        <f t="shared" si="418"/>
        <v>事業用資産</v>
      </c>
      <c r="H1232" s="7" t="str">
        <f t="shared" si="417"/>
        <v>棚卸以外</v>
      </c>
      <c r="I1232" s="7">
        <v>111</v>
      </c>
      <c r="J1232" s="7" t="str">
        <f>"交通遊園前便所"</f>
        <v>交通遊園前便所</v>
      </c>
      <c r="K1232" s="7" t="str">
        <f>"鉄筋コンクリート造"</f>
        <v>鉄筋コンクリート造</v>
      </c>
      <c r="L1232" s="7" t="str">
        <f>"H13.05.08"</f>
        <v>H13.05.08</v>
      </c>
      <c r="M1232" s="7">
        <v>46.75</v>
      </c>
      <c r="N1232" s="7">
        <v>18526000</v>
      </c>
      <c r="O1232" s="7">
        <v>10644536</v>
      </c>
      <c r="P1232" s="7">
        <v>0</v>
      </c>
      <c r="Q1232" s="7" t="str">
        <f t="shared" si="404"/>
        <v>都市整備部</v>
      </c>
      <c r="R1232" s="7" t="str">
        <f t="shared" si="419"/>
        <v>鳳土木事務所</v>
      </c>
    </row>
    <row r="1233" spans="1:18" s="1" customFormat="1" x14ac:dyDescent="0.45">
      <c r="A1233" s="7" t="str">
        <f t="shared" si="414"/>
        <v>08206000167</v>
      </c>
      <c r="B1233" s="7" t="str">
        <f t="shared" si="415"/>
        <v>浜寺公園</v>
      </c>
      <c r="C1233" s="7" t="str">
        <f t="shared" si="413"/>
        <v>行政財産</v>
      </c>
      <c r="D1233" s="7" t="str">
        <f t="shared" si="412"/>
        <v>公園</v>
      </c>
      <c r="E1233" s="7" t="str">
        <f t="shared" si="416"/>
        <v>大阪府堺市　西区浜寺　公園町３丁</v>
      </c>
      <c r="F1233" s="7"/>
      <c r="G1233" s="7" t="str">
        <f t="shared" si="418"/>
        <v>事業用資産</v>
      </c>
      <c r="H1233" s="7" t="str">
        <f t="shared" si="417"/>
        <v>棚卸以外</v>
      </c>
      <c r="I1233" s="7">
        <v>112</v>
      </c>
      <c r="J1233" s="7" t="str">
        <f>"野球場便所"</f>
        <v>野球場便所</v>
      </c>
      <c r="K1233" s="7" t="str">
        <f>"鉄筋コンクリート造"</f>
        <v>鉄筋コンクリート造</v>
      </c>
      <c r="L1233" s="7" t="str">
        <f>"H13.05.02"</f>
        <v>H13.05.02</v>
      </c>
      <c r="M1233" s="7">
        <v>46.75</v>
      </c>
      <c r="N1233" s="7">
        <v>33725173</v>
      </c>
      <c r="O1233" s="7">
        <v>14303270</v>
      </c>
      <c r="P1233" s="7">
        <v>0</v>
      </c>
      <c r="Q1233" s="7" t="str">
        <f t="shared" si="404"/>
        <v>都市整備部</v>
      </c>
      <c r="R1233" s="7" t="str">
        <f t="shared" si="419"/>
        <v>鳳土木事務所</v>
      </c>
    </row>
    <row r="1234" spans="1:18" s="1" customFormat="1" ht="26.4" x14ac:dyDescent="0.45">
      <c r="A1234" s="7" t="str">
        <f t="shared" si="414"/>
        <v>08206000167</v>
      </c>
      <c r="B1234" s="7" t="str">
        <f t="shared" si="415"/>
        <v>浜寺公園</v>
      </c>
      <c r="C1234" s="7" t="str">
        <f t="shared" si="413"/>
        <v>行政財産</v>
      </c>
      <c r="D1234" s="7" t="str">
        <f t="shared" ref="D1234:D1240" si="420">"公園"</f>
        <v>公園</v>
      </c>
      <c r="E1234" s="7" t="str">
        <f t="shared" si="416"/>
        <v>大阪府堺市　西区浜寺　公園町３丁</v>
      </c>
      <c r="F1234" s="7"/>
      <c r="G1234" s="7" t="str">
        <f t="shared" si="418"/>
        <v>事業用資産</v>
      </c>
      <c r="H1234" s="7" t="str">
        <f t="shared" si="417"/>
        <v>棚卸以外</v>
      </c>
      <c r="I1234" s="7">
        <v>113</v>
      </c>
      <c r="J1234" s="7" t="str">
        <f>"交通遊園教室"</f>
        <v>交通遊園教室</v>
      </c>
      <c r="K1234" s="7" t="str">
        <f>"鉄骨鉄筋コンクリート造"</f>
        <v>鉄骨鉄筋コンクリート造</v>
      </c>
      <c r="L1234" s="7" t="str">
        <f>"H14.03.25"</f>
        <v>H14.03.25</v>
      </c>
      <c r="M1234" s="7">
        <v>427.86</v>
      </c>
      <c r="N1234" s="7">
        <v>78289000</v>
      </c>
      <c r="O1234" s="7">
        <v>32881464</v>
      </c>
      <c r="P1234" s="7">
        <v>0</v>
      </c>
      <c r="Q1234" s="7" t="str">
        <f t="shared" si="404"/>
        <v>都市整備部</v>
      </c>
      <c r="R1234" s="7" t="str">
        <f t="shared" si="419"/>
        <v>鳳土木事務所</v>
      </c>
    </row>
    <row r="1235" spans="1:18" s="1" customFormat="1" x14ac:dyDescent="0.45">
      <c r="A1235" s="7" t="str">
        <f t="shared" si="414"/>
        <v>08206000167</v>
      </c>
      <c r="B1235" s="7" t="str">
        <f t="shared" si="415"/>
        <v>浜寺公園</v>
      </c>
      <c r="C1235" s="7" t="str">
        <f t="shared" si="413"/>
        <v>行政財産</v>
      </c>
      <c r="D1235" s="7" t="str">
        <f t="shared" si="420"/>
        <v>公園</v>
      </c>
      <c r="E1235" s="7" t="str">
        <f t="shared" si="416"/>
        <v>大阪府堺市　西区浜寺　公園町３丁</v>
      </c>
      <c r="F1235" s="7"/>
      <c r="G1235" s="7" t="str">
        <f t="shared" si="418"/>
        <v>事業用資産</v>
      </c>
      <c r="H1235" s="7" t="str">
        <f t="shared" si="417"/>
        <v>棚卸以外</v>
      </c>
      <c r="I1235" s="7">
        <v>114</v>
      </c>
      <c r="J1235" s="7" t="str">
        <f>"アーチェリー練習場射場"</f>
        <v>アーチェリー練習場射場</v>
      </c>
      <c r="K1235" s="7" t="str">
        <f>"鉄骨造"</f>
        <v>鉄骨造</v>
      </c>
      <c r="L1235" s="7" t="str">
        <f>"H17.03.11"</f>
        <v>H17.03.11</v>
      </c>
      <c r="M1235" s="7">
        <v>190</v>
      </c>
      <c r="N1235" s="7">
        <v>21070000</v>
      </c>
      <c r="O1235" s="7">
        <v>11154888</v>
      </c>
      <c r="P1235" s="7">
        <v>0</v>
      </c>
      <c r="Q1235" s="7" t="str">
        <f t="shared" si="404"/>
        <v>都市整備部</v>
      </c>
      <c r="R1235" s="7" t="str">
        <f t="shared" si="419"/>
        <v>鳳土木事務所</v>
      </c>
    </row>
    <row r="1236" spans="1:18" s="1" customFormat="1" x14ac:dyDescent="0.45">
      <c r="A1236" s="7" t="str">
        <f t="shared" si="414"/>
        <v>08206000167</v>
      </c>
      <c r="B1236" s="7" t="str">
        <f t="shared" si="415"/>
        <v>浜寺公園</v>
      </c>
      <c r="C1236" s="7" t="str">
        <f t="shared" si="413"/>
        <v>行政財産</v>
      </c>
      <c r="D1236" s="7" t="str">
        <f t="shared" si="420"/>
        <v>公園</v>
      </c>
      <c r="E1236" s="7" t="str">
        <f t="shared" si="416"/>
        <v>大阪府堺市　西区浜寺　公園町３丁</v>
      </c>
      <c r="F1236" s="7"/>
      <c r="G1236" s="7" t="str">
        <f t="shared" si="418"/>
        <v>事業用資産</v>
      </c>
      <c r="H1236" s="7" t="str">
        <f t="shared" si="417"/>
        <v>棚卸以外</v>
      </c>
      <c r="I1236" s="7">
        <v>115</v>
      </c>
      <c r="J1236" s="7" t="str">
        <f>"アーチェリー練習場的場"</f>
        <v>アーチェリー練習場的場</v>
      </c>
      <c r="K1236" s="7" t="str">
        <f>"鉄骨造"</f>
        <v>鉄骨造</v>
      </c>
      <c r="L1236" s="7" t="str">
        <f>"H17.03.11"</f>
        <v>H17.03.11</v>
      </c>
      <c r="M1236" s="7">
        <v>88</v>
      </c>
      <c r="N1236" s="7">
        <v>1910724</v>
      </c>
      <c r="O1236" s="7">
        <v>822772</v>
      </c>
      <c r="P1236" s="7">
        <v>0</v>
      </c>
      <c r="Q1236" s="7" t="str">
        <f t="shared" si="404"/>
        <v>都市整備部</v>
      </c>
      <c r="R1236" s="7" t="str">
        <f t="shared" si="419"/>
        <v>鳳土木事務所</v>
      </c>
    </row>
    <row r="1237" spans="1:18" s="1" customFormat="1" x14ac:dyDescent="0.45">
      <c r="A1237" s="7" t="str">
        <f t="shared" si="414"/>
        <v>08206000167</v>
      </c>
      <c r="B1237" s="7" t="str">
        <f t="shared" si="415"/>
        <v>浜寺公園</v>
      </c>
      <c r="C1237" s="7" t="str">
        <f t="shared" si="413"/>
        <v>行政財産</v>
      </c>
      <c r="D1237" s="7" t="str">
        <f t="shared" si="420"/>
        <v>公園</v>
      </c>
      <c r="E1237" s="7" t="str">
        <f t="shared" si="416"/>
        <v>大阪府堺市　西区浜寺　公園町３丁</v>
      </c>
      <c r="F1237" s="7"/>
      <c r="G1237" s="7" t="str">
        <f t="shared" si="418"/>
        <v>事業用資産</v>
      </c>
      <c r="H1237" s="7" t="str">
        <f t="shared" si="417"/>
        <v>棚卸以外</v>
      </c>
      <c r="I1237" s="7">
        <v>116</v>
      </c>
      <c r="J1237" s="7" t="str">
        <f>"交通遊園外倉庫"</f>
        <v>交通遊園外倉庫</v>
      </c>
      <c r="K1237" s="7" t="str">
        <f>"木造"</f>
        <v>木造</v>
      </c>
      <c r="L1237" s="7" t="str">
        <f>"H17.03.31"</f>
        <v>H17.03.31</v>
      </c>
      <c r="M1237" s="7">
        <v>38.6</v>
      </c>
      <c r="N1237" s="7">
        <v>4559000</v>
      </c>
      <c r="O1237" s="7">
        <v>4558999</v>
      </c>
      <c r="P1237" s="7">
        <v>0</v>
      </c>
      <c r="Q1237" s="7" t="str">
        <f t="shared" si="404"/>
        <v>都市整備部</v>
      </c>
      <c r="R1237" s="7" t="str">
        <f t="shared" si="419"/>
        <v>鳳土木事務所</v>
      </c>
    </row>
    <row r="1238" spans="1:18" s="1" customFormat="1" x14ac:dyDescent="0.45">
      <c r="A1238" s="7" t="str">
        <f t="shared" si="414"/>
        <v>08206000167</v>
      </c>
      <c r="B1238" s="7" t="str">
        <f t="shared" si="415"/>
        <v>浜寺公園</v>
      </c>
      <c r="C1238" s="7" t="str">
        <f t="shared" si="413"/>
        <v>行政財産</v>
      </c>
      <c r="D1238" s="7" t="str">
        <f t="shared" si="420"/>
        <v>公園</v>
      </c>
      <c r="E1238" s="7" t="str">
        <f t="shared" si="416"/>
        <v>大阪府堺市　西区浜寺　公園町３丁</v>
      </c>
      <c r="F1238" s="7"/>
      <c r="G1238" s="7" t="str">
        <f t="shared" si="418"/>
        <v>事業用資産</v>
      </c>
      <c r="H1238" s="7" t="str">
        <f t="shared" si="417"/>
        <v>棚卸以外</v>
      </c>
      <c r="I1238" s="7">
        <v>117</v>
      </c>
      <c r="J1238" s="7" t="str">
        <f>"自家発オイルタンク室"</f>
        <v>自家発オイルタンク室</v>
      </c>
      <c r="K1238" s="7" t="str">
        <f>"コンクリートブロック造"</f>
        <v>コンクリートブロック造</v>
      </c>
      <c r="L1238" s="7" t="str">
        <f>"H21.03.23"</f>
        <v>H21.03.23</v>
      </c>
      <c r="M1238" s="7">
        <v>18.260000000000002</v>
      </c>
      <c r="N1238" s="7">
        <v>2680000</v>
      </c>
      <c r="O1238" s="7">
        <v>1103592</v>
      </c>
      <c r="P1238" s="7">
        <v>0</v>
      </c>
      <c r="Q1238" s="7" t="str">
        <f t="shared" si="404"/>
        <v>都市整備部</v>
      </c>
      <c r="R1238" s="7" t="str">
        <f t="shared" si="419"/>
        <v>鳳土木事務所</v>
      </c>
    </row>
    <row r="1239" spans="1:18" s="1" customFormat="1" x14ac:dyDescent="0.45">
      <c r="A1239" s="7" t="str">
        <f t="shared" si="414"/>
        <v>08206000167</v>
      </c>
      <c r="B1239" s="7" t="str">
        <f t="shared" si="415"/>
        <v>浜寺公園</v>
      </c>
      <c r="C1239" s="7" t="str">
        <f t="shared" si="413"/>
        <v>行政財産</v>
      </c>
      <c r="D1239" s="7" t="str">
        <f t="shared" si="420"/>
        <v>公園</v>
      </c>
      <c r="E1239" s="7" t="str">
        <f t="shared" si="416"/>
        <v>大阪府堺市　西区浜寺　公園町３丁</v>
      </c>
      <c r="F1239" s="7"/>
      <c r="G1239" s="7" t="str">
        <f t="shared" si="418"/>
        <v>事業用資産</v>
      </c>
      <c r="H1239" s="7" t="str">
        <f t="shared" si="417"/>
        <v>棚卸以外</v>
      </c>
      <c r="I1239" s="7">
        <v>120</v>
      </c>
      <c r="J1239" s="7" t="str">
        <f>"園内移動用施設（駅舎）"</f>
        <v>園内移動用施設（駅舎）</v>
      </c>
      <c r="K1239" s="7" t="str">
        <f>"木造"</f>
        <v>木造</v>
      </c>
      <c r="L1239" s="7" t="str">
        <f>"R02.02.12"</f>
        <v>R02.02.12</v>
      </c>
      <c r="M1239" s="7">
        <v>84.78</v>
      </c>
      <c r="N1239" s="7">
        <v>28002700</v>
      </c>
      <c r="O1239" s="7">
        <v>3597584</v>
      </c>
      <c r="P1239" s="7">
        <v>0</v>
      </c>
      <c r="Q1239" s="7" t="str">
        <f t="shared" si="404"/>
        <v>都市整備部</v>
      </c>
      <c r="R1239" s="7" t="str">
        <f t="shared" si="419"/>
        <v>鳳土木事務所</v>
      </c>
    </row>
    <row r="1240" spans="1:18" s="1" customFormat="1" x14ac:dyDescent="0.45">
      <c r="A1240" s="7" t="str">
        <f t="shared" si="414"/>
        <v>08206000167</v>
      </c>
      <c r="B1240" s="7" t="str">
        <f t="shared" si="415"/>
        <v>浜寺公園</v>
      </c>
      <c r="C1240" s="7" t="str">
        <f t="shared" si="413"/>
        <v>行政財産</v>
      </c>
      <c r="D1240" s="7" t="str">
        <f t="shared" si="420"/>
        <v>公園</v>
      </c>
      <c r="E1240" s="7" t="str">
        <f t="shared" si="416"/>
        <v>大阪府堺市　西区浜寺　公園町３丁</v>
      </c>
      <c r="F1240" s="7"/>
      <c r="G1240" s="7" t="str">
        <f t="shared" si="418"/>
        <v>事業用資産</v>
      </c>
      <c r="H1240" s="7" t="str">
        <f t="shared" si="417"/>
        <v>棚卸以外</v>
      </c>
      <c r="I1240" s="7">
        <v>121</v>
      </c>
      <c r="J1240" s="7" t="str">
        <f>"プールクラブハウス"</f>
        <v>プールクラブハウス</v>
      </c>
      <c r="K1240" s="7" t="str">
        <f>"鉄骨造"</f>
        <v>鉄骨造</v>
      </c>
      <c r="L1240" s="7" t="str">
        <f>"R02.02.21"</f>
        <v>R02.02.21</v>
      </c>
      <c r="M1240" s="7">
        <v>484.8</v>
      </c>
      <c r="N1240" s="7">
        <v>198497680</v>
      </c>
      <c r="O1240" s="7">
        <v>16106174</v>
      </c>
      <c r="P1240" s="7">
        <v>0</v>
      </c>
      <c r="Q1240" s="7" t="str">
        <f t="shared" si="404"/>
        <v>都市整備部</v>
      </c>
      <c r="R1240" s="7" t="str">
        <f t="shared" si="419"/>
        <v>鳳土木事務所</v>
      </c>
    </row>
    <row r="1241" spans="1:18" s="1" customFormat="1" x14ac:dyDescent="0.45">
      <c r="A1241" s="7" t="str">
        <f>"08206000200"</f>
        <v>08206000200</v>
      </c>
      <c r="B1241" s="7" t="str">
        <f>"水防倉庫（毛穴水防倉庫）"</f>
        <v>水防倉庫（毛穴水防倉庫）</v>
      </c>
      <c r="C1241" s="7" t="str">
        <f t="shared" si="413"/>
        <v>行政財産</v>
      </c>
      <c r="D1241" s="7" t="str">
        <f t="shared" ref="D1241:D1251" si="421">"その他（行政機関）の施設"</f>
        <v>その他（行政機関）の施設</v>
      </c>
      <c r="E1241" s="7" t="str">
        <f>"大阪府堺市　中区毛穴町"</f>
        <v>大阪府堺市　中区毛穴町</v>
      </c>
      <c r="F1241" s="7"/>
      <c r="G1241" s="7" t="str">
        <f t="shared" si="418"/>
        <v>事業用資産</v>
      </c>
      <c r="H1241" s="7" t="str">
        <f t="shared" si="417"/>
        <v>棚卸以外</v>
      </c>
      <c r="I1241" s="7">
        <v>1</v>
      </c>
      <c r="J1241" s="7" t="str">
        <f>"毛穴水防倉庫１"</f>
        <v>毛穴水防倉庫１</v>
      </c>
      <c r="K1241" s="7" t="str">
        <f>"軽量鉄骨造"</f>
        <v>軽量鉄骨造</v>
      </c>
      <c r="L1241" s="7" t="str">
        <f>"S62.03.30"</f>
        <v>S62.03.30</v>
      </c>
      <c r="M1241" s="7">
        <v>42.2</v>
      </c>
      <c r="N1241" s="7">
        <v>1614000</v>
      </c>
      <c r="O1241" s="7">
        <v>1613999</v>
      </c>
      <c r="P1241" s="7">
        <v>0</v>
      </c>
      <c r="Q1241" s="7" t="str">
        <f t="shared" si="404"/>
        <v>都市整備部</v>
      </c>
      <c r="R1241" s="7" t="str">
        <f t="shared" si="419"/>
        <v>鳳土木事務所</v>
      </c>
    </row>
    <row r="1242" spans="1:18" s="1" customFormat="1" x14ac:dyDescent="0.45">
      <c r="A1242" s="7" t="str">
        <f>"08206000200"</f>
        <v>08206000200</v>
      </c>
      <c r="B1242" s="7" t="str">
        <f>"水防倉庫（毛穴水防倉庫）"</f>
        <v>水防倉庫（毛穴水防倉庫）</v>
      </c>
      <c r="C1242" s="7" t="str">
        <f t="shared" si="413"/>
        <v>行政財産</v>
      </c>
      <c r="D1242" s="7" t="str">
        <f t="shared" si="421"/>
        <v>その他（行政機関）の施設</v>
      </c>
      <c r="E1242" s="7" t="str">
        <f>"大阪府堺市　中区毛穴町"</f>
        <v>大阪府堺市　中区毛穴町</v>
      </c>
      <c r="F1242" s="7"/>
      <c r="G1242" s="7" t="str">
        <f t="shared" si="418"/>
        <v>事業用資産</v>
      </c>
      <c r="H1242" s="7" t="str">
        <f t="shared" si="417"/>
        <v>棚卸以外</v>
      </c>
      <c r="I1242" s="7">
        <v>2</v>
      </c>
      <c r="J1242" s="7" t="str">
        <f>"毛穴水防倉庫２"</f>
        <v>毛穴水防倉庫２</v>
      </c>
      <c r="K1242" s="7" t="str">
        <f>"軽量鉄骨造"</f>
        <v>軽量鉄骨造</v>
      </c>
      <c r="L1242" s="7" t="str">
        <f>"S62.03.30"</f>
        <v>S62.03.30</v>
      </c>
      <c r="M1242" s="7">
        <v>42.2</v>
      </c>
      <c r="N1242" s="7">
        <v>1614000</v>
      </c>
      <c r="O1242" s="7">
        <v>1613999</v>
      </c>
      <c r="P1242" s="7">
        <v>0</v>
      </c>
      <c r="Q1242" s="7" t="str">
        <f t="shared" si="404"/>
        <v>都市整備部</v>
      </c>
      <c r="R1242" s="7" t="str">
        <f t="shared" si="419"/>
        <v>鳳土木事務所</v>
      </c>
    </row>
    <row r="1243" spans="1:18" s="1" customFormat="1" x14ac:dyDescent="0.45">
      <c r="A1243" s="7" t="str">
        <f>"08206001001"</f>
        <v>08206001001</v>
      </c>
      <c r="B1243" s="7" t="str">
        <f>"鳳土木事務所和泉工区"</f>
        <v>鳳土木事務所和泉工区</v>
      </c>
      <c r="C1243" s="7" t="str">
        <f t="shared" si="413"/>
        <v>行政財産</v>
      </c>
      <c r="D1243" s="7" t="str">
        <f t="shared" si="421"/>
        <v>その他（行政機関）の施設</v>
      </c>
      <c r="E1243" s="7" t="str">
        <f>"大阪府泉大津市東豊中町３丁目"</f>
        <v>大阪府泉大津市東豊中町３丁目</v>
      </c>
      <c r="F1243" s="7"/>
      <c r="G1243" s="7" t="str">
        <f t="shared" si="418"/>
        <v>事業用資産</v>
      </c>
      <c r="H1243" s="7" t="str">
        <f t="shared" si="417"/>
        <v>棚卸以外</v>
      </c>
      <c r="I1243" s="7">
        <v>1</v>
      </c>
      <c r="J1243" s="7" t="str">
        <f>"事務所"</f>
        <v>事務所</v>
      </c>
      <c r="K1243" s="7" t="str">
        <f>"コンクリートブロック造"</f>
        <v>コンクリートブロック造</v>
      </c>
      <c r="L1243" s="7" t="str">
        <f>"H08.12.12"</f>
        <v>H08.12.12</v>
      </c>
      <c r="M1243" s="7">
        <v>167.8</v>
      </c>
      <c r="N1243" s="7">
        <v>30669000</v>
      </c>
      <c r="O1243" s="7">
        <v>26181120</v>
      </c>
      <c r="P1243" s="7">
        <v>0</v>
      </c>
      <c r="Q1243" s="7" t="str">
        <f t="shared" ref="Q1243:Q1306" si="422">"都市整備部"</f>
        <v>都市整備部</v>
      </c>
      <c r="R1243" s="7" t="str">
        <f t="shared" si="419"/>
        <v>鳳土木事務所</v>
      </c>
    </row>
    <row r="1244" spans="1:18" s="1" customFormat="1" x14ac:dyDescent="0.45">
      <c r="A1244" s="7" t="str">
        <f>"08206001001"</f>
        <v>08206001001</v>
      </c>
      <c r="B1244" s="7" t="str">
        <f>"鳳土木事務所和泉工区"</f>
        <v>鳳土木事務所和泉工区</v>
      </c>
      <c r="C1244" s="7" t="str">
        <f t="shared" si="413"/>
        <v>行政財産</v>
      </c>
      <c r="D1244" s="7" t="str">
        <f t="shared" si="421"/>
        <v>その他（行政機関）の施設</v>
      </c>
      <c r="E1244" s="7" t="str">
        <f>"大阪府泉大津市東豊中町３丁目"</f>
        <v>大阪府泉大津市東豊中町３丁目</v>
      </c>
      <c r="F1244" s="7"/>
      <c r="G1244" s="7" t="str">
        <f t="shared" si="418"/>
        <v>事業用資産</v>
      </c>
      <c r="H1244" s="7" t="str">
        <f t="shared" si="417"/>
        <v>棚卸以外</v>
      </c>
      <c r="I1244" s="7">
        <v>2</v>
      </c>
      <c r="J1244" s="7" t="str">
        <f>"倉庫"</f>
        <v>倉庫</v>
      </c>
      <c r="K1244" s="7" t="str">
        <f>"コンクリートブロック造"</f>
        <v>コンクリートブロック造</v>
      </c>
      <c r="L1244" s="7" t="str">
        <f>"H08.12.12"</f>
        <v>H08.12.12</v>
      </c>
      <c r="M1244" s="7">
        <v>33.96</v>
      </c>
      <c r="N1244" s="7">
        <v>4542000</v>
      </c>
      <c r="O1244" s="7">
        <v>4408668</v>
      </c>
      <c r="P1244" s="7">
        <v>0</v>
      </c>
      <c r="Q1244" s="7" t="str">
        <f t="shared" si="422"/>
        <v>都市整備部</v>
      </c>
      <c r="R1244" s="7" t="str">
        <f t="shared" si="419"/>
        <v>鳳土木事務所</v>
      </c>
    </row>
    <row r="1245" spans="1:18" s="1" customFormat="1" x14ac:dyDescent="0.45">
      <c r="A1245" s="7" t="str">
        <f>"08206001001"</f>
        <v>08206001001</v>
      </c>
      <c r="B1245" s="7" t="str">
        <f>"鳳土木事務所和泉工区"</f>
        <v>鳳土木事務所和泉工区</v>
      </c>
      <c r="C1245" s="7" t="str">
        <f t="shared" si="413"/>
        <v>行政財産</v>
      </c>
      <c r="D1245" s="7" t="str">
        <f t="shared" si="421"/>
        <v>その他（行政機関）の施設</v>
      </c>
      <c r="E1245" s="7" t="str">
        <f>"大阪府泉大津市東豊中町３丁目"</f>
        <v>大阪府泉大津市東豊中町３丁目</v>
      </c>
      <c r="F1245" s="7"/>
      <c r="G1245" s="7" t="str">
        <f t="shared" si="418"/>
        <v>事業用資産</v>
      </c>
      <c r="H1245" s="7" t="str">
        <f t="shared" si="417"/>
        <v>棚卸以外</v>
      </c>
      <c r="I1245" s="7">
        <v>3</v>
      </c>
      <c r="J1245" s="7" t="str">
        <f>"車庫"</f>
        <v>車庫</v>
      </c>
      <c r="K1245" s="7" t="str">
        <f>"コンクリートブロック造"</f>
        <v>コンクリートブロック造</v>
      </c>
      <c r="L1245" s="7" t="str">
        <f>"H08.12.12"</f>
        <v>H08.12.12</v>
      </c>
      <c r="M1245" s="7">
        <v>28.52</v>
      </c>
      <c r="N1245" s="7">
        <v>957000</v>
      </c>
      <c r="O1245" s="7">
        <v>956999</v>
      </c>
      <c r="P1245" s="7">
        <v>0</v>
      </c>
      <c r="Q1245" s="7" t="str">
        <f t="shared" si="422"/>
        <v>都市整備部</v>
      </c>
      <c r="R1245" s="7" t="str">
        <f t="shared" si="419"/>
        <v>鳳土木事務所</v>
      </c>
    </row>
    <row r="1246" spans="1:18" s="1" customFormat="1" x14ac:dyDescent="0.45">
      <c r="A1246" s="7" t="str">
        <f>"08206001001"</f>
        <v>08206001001</v>
      </c>
      <c r="B1246" s="7" t="str">
        <f>"鳳土木事務所和泉工区"</f>
        <v>鳳土木事務所和泉工区</v>
      </c>
      <c r="C1246" s="7" t="str">
        <f t="shared" si="413"/>
        <v>行政財産</v>
      </c>
      <c r="D1246" s="7" t="str">
        <f t="shared" si="421"/>
        <v>その他（行政機関）の施設</v>
      </c>
      <c r="E1246" s="7" t="str">
        <f>"大阪府泉大津市東豊中町３丁目"</f>
        <v>大阪府泉大津市東豊中町３丁目</v>
      </c>
      <c r="F1246" s="7"/>
      <c r="G1246" s="7" t="str">
        <f t="shared" si="418"/>
        <v>事業用資産</v>
      </c>
      <c r="H1246" s="7" t="str">
        <f t="shared" si="417"/>
        <v>棚卸以外</v>
      </c>
      <c r="I1246" s="7">
        <v>4</v>
      </c>
      <c r="J1246" s="7" t="str">
        <f>"会議室"</f>
        <v>会議室</v>
      </c>
      <c r="K1246" s="7" t="str">
        <f>"軽量鉄骨造"</f>
        <v>軽量鉄骨造</v>
      </c>
      <c r="L1246" s="7" t="str">
        <f>"S25.01.01"</f>
        <v>S25.01.01</v>
      </c>
      <c r="M1246" s="7">
        <v>66.239999999999995</v>
      </c>
      <c r="N1246" s="7">
        <v>10426000</v>
      </c>
      <c r="O1246" s="7">
        <v>10136700</v>
      </c>
      <c r="P1246" s="7">
        <v>0</v>
      </c>
      <c r="Q1246" s="7" t="str">
        <f t="shared" si="422"/>
        <v>都市整備部</v>
      </c>
      <c r="R1246" s="7" t="str">
        <f t="shared" si="419"/>
        <v>鳳土木事務所</v>
      </c>
    </row>
    <row r="1247" spans="1:18" s="1" customFormat="1" x14ac:dyDescent="0.45">
      <c r="A1247" s="7" t="str">
        <f>"08206001003"</f>
        <v>08206001003</v>
      </c>
      <c r="B1247" s="7" t="str">
        <f>"王子川排水機場"</f>
        <v>王子川排水機場</v>
      </c>
      <c r="C1247" s="7" t="str">
        <f t="shared" si="413"/>
        <v>行政財産</v>
      </c>
      <c r="D1247" s="7" t="str">
        <f t="shared" si="421"/>
        <v>その他（行政機関）の施設</v>
      </c>
      <c r="E1247" s="7" t="str">
        <f>"大阪府泉大津市助松町１丁目"</f>
        <v>大阪府泉大津市助松町１丁目</v>
      </c>
      <c r="F1247" s="7"/>
      <c r="G1247" s="7" t="str">
        <f>"インフラ資産"</f>
        <v>インフラ資産</v>
      </c>
      <c r="H1247" s="7" t="str">
        <f t="shared" si="417"/>
        <v>棚卸以外</v>
      </c>
      <c r="I1247" s="7">
        <v>2</v>
      </c>
      <c r="J1247" s="7" t="str">
        <f>"管理事務所"</f>
        <v>管理事務所</v>
      </c>
      <c r="K1247" s="7" t="str">
        <f>"区分なし"</f>
        <v>区分なし</v>
      </c>
      <c r="L1247" s="7" t="str">
        <f>"H26.08.29"</f>
        <v>H26.08.29</v>
      </c>
      <c r="M1247" s="7">
        <v>75.42</v>
      </c>
      <c r="N1247" s="7">
        <v>118556640</v>
      </c>
      <c r="O1247" s="7">
        <v>29670672</v>
      </c>
      <c r="P1247" s="7">
        <v>0</v>
      </c>
      <c r="Q1247" s="7" t="str">
        <f t="shared" si="422"/>
        <v>都市整備部</v>
      </c>
      <c r="R1247" s="7" t="str">
        <f t="shared" si="419"/>
        <v>鳳土木事務所</v>
      </c>
    </row>
    <row r="1248" spans="1:18" s="1" customFormat="1" x14ac:dyDescent="0.45">
      <c r="A1248" s="7" t="str">
        <f>"08206001003"</f>
        <v>08206001003</v>
      </c>
      <c r="B1248" s="7" t="str">
        <f>"王子川排水機場"</f>
        <v>王子川排水機場</v>
      </c>
      <c r="C1248" s="7" t="str">
        <f t="shared" si="413"/>
        <v>行政財産</v>
      </c>
      <c r="D1248" s="7" t="str">
        <f t="shared" si="421"/>
        <v>その他（行政機関）の施設</v>
      </c>
      <c r="E1248" s="7" t="str">
        <f>"大阪府泉大津市助松町１丁目"</f>
        <v>大阪府泉大津市助松町１丁目</v>
      </c>
      <c r="F1248" s="7"/>
      <c r="G1248" s="7" t="str">
        <f>"インフラ資産"</f>
        <v>インフラ資産</v>
      </c>
      <c r="H1248" s="7" t="str">
        <f t="shared" si="417"/>
        <v>棚卸以外</v>
      </c>
      <c r="I1248" s="7">
        <v>3</v>
      </c>
      <c r="J1248" s="7" t="str">
        <f>"オイル倉庫"</f>
        <v>オイル倉庫</v>
      </c>
      <c r="K1248" s="7" t="str">
        <f>"コンクリートブロック造"</f>
        <v>コンクリートブロック造</v>
      </c>
      <c r="L1248" s="7" t="str">
        <f>"S54.03.31"</f>
        <v>S54.03.31</v>
      </c>
      <c r="M1248" s="7">
        <v>19.2</v>
      </c>
      <c r="N1248" s="7">
        <v>791000</v>
      </c>
      <c r="O1248" s="7">
        <v>790999</v>
      </c>
      <c r="P1248" s="7">
        <v>0</v>
      </c>
      <c r="Q1248" s="7" t="str">
        <f t="shared" si="422"/>
        <v>都市整備部</v>
      </c>
      <c r="R1248" s="7" t="str">
        <f t="shared" si="419"/>
        <v>鳳土木事務所</v>
      </c>
    </row>
    <row r="1249" spans="1:18" s="1" customFormat="1" x14ac:dyDescent="0.45">
      <c r="A1249" s="7" t="str">
        <f>"08206001004"</f>
        <v>08206001004</v>
      </c>
      <c r="B1249" s="7" t="str">
        <f>"鳳土木事務所津久野倉庫"</f>
        <v>鳳土木事務所津久野倉庫</v>
      </c>
      <c r="C1249" s="7" t="str">
        <f t="shared" si="413"/>
        <v>行政財産</v>
      </c>
      <c r="D1249" s="7" t="str">
        <f t="shared" si="421"/>
        <v>その他（行政機関）の施設</v>
      </c>
      <c r="E1249" s="7" t="str">
        <f>"大阪府堺市　西区鶴田町"</f>
        <v>大阪府堺市　西区鶴田町</v>
      </c>
      <c r="F1249" s="7"/>
      <c r="G1249" s="7" t="str">
        <f>"事業用資産"</f>
        <v>事業用資産</v>
      </c>
      <c r="H1249" s="7" t="str">
        <f t="shared" si="417"/>
        <v>棚卸以外</v>
      </c>
      <c r="I1249" s="7">
        <v>1</v>
      </c>
      <c r="J1249" s="7" t="str">
        <f>"倉庫"</f>
        <v>倉庫</v>
      </c>
      <c r="K1249" s="7" t="str">
        <f>"軽量鉄骨造"</f>
        <v>軽量鉄骨造</v>
      </c>
      <c r="L1249" s="7" t="str">
        <f>"S58.07.15"</f>
        <v>S58.07.15</v>
      </c>
      <c r="M1249" s="7">
        <v>636.19000000000005</v>
      </c>
      <c r="N1249" s="7">
        <v>19626651</v>
      </c>
      <c r="O1249" s="7">
        <v>19626650</v>
      </c>
      <c r="P1249" s="7">
        <v>0</v>
      </c>
      <c r="Q1249" s="7" t="str">
        <f t="shared" si="422"/>
        <v>都市整備部</v>
      </c>
      <c r="R1249" s="7" t="str">
        <f t="shared" si="419"/>
        <v>鳳土木事務所</v>
      </c>
    </row>
    <row r="1250" spans="1:18" s="1" customFormat="1" x14ac:dyDescent="0.45">
      <c r="A1250" s="7" t="str">
        <f>"08206001004"</f>
        <v>08206001004</v>
      </c>
      <c r="B1250" s="7" t="str">
        <f>"鳳土木事務所津久野倉庫"</f>
        <v>鳳土木事務所津久野倉庫</v>
      </c>
      <c r="C1250" s="7" t="str">
        <f t="shared" si="413"/>
        <v>行政財産</v>
      </c>
      <c r="D1250" s="7" t="str">
        <f t="shared" si="421"/>
        <v>その他（行政機関）の施設</v>
      </c>
      <c r="E1250" s="7" t="str">
        <f>"大阪府堺市　西区鶴田町"</f>
        <v>大阪府堺市　西区鶴田町</v>
      </c>
      <c r="F1250" s="7"/>
      <c r="G1250" s="7" t="str">
        <f>"事業用資産"</f>
        <v>事業用資産</v>
      </c>
      <c r="H1250" s="7" t="str">
        <f t="shared" si="417"/>
        <v>棚卸以外</v>
      </c>
      <c r="I1250" s="7">
        <v>2</v>
      </c>
      <c r="J1250" s="7" t="str">
        <f>"倉庫"</f>
        <v>倉庫</v>
      </c>
      <c r="K1250" s="7" t="str">
        <f>"軽量鉄骨造"</f>
        <v>軽量鉄骨造</v>
      </c>
      <c r="L1250" s="7" t="str">
        <f>"S58.07.15"</f>
        <v>S58.07.15</v>
      </c>
      <c r="M1250" s="7">
        <v>116.64</v>
      </c>
      <c r="N1250" s="7">
        <v>10226000</v>
      </c>
      <c r="O1250" s="7">
        <v>10225999</v>
      </c>
      <c r="P1250" s="7">
        <v>0</v>
      </c>
      <c r="Q1250" s="7" t="str">
        <f t="shared" si="422"/>
        <v>都市整備部</v>
      </c>
      <c r="R1250" s="7" t="str">
        <f t="shared" si="419"/>
        <v>鳳土木事務所</v>
      </c>
    </row>
    <row r="1251" spans="1:18" s="1" customFormat="1" x14ac:dyDescent="0.45">
      <c r="A1251" s="7" t="str">
        <f>"08206001004"</f>
        <v>08206001004</v>
      </c>
      <c r="B1251" s="7" t="str">
        <f>"鳳土木事務所津久野倉庫"</f>
        <v>鳳土木事務所津久野倉庫</v>
      </c>
      <c r="C1251" s="7" t="str">
        <f t="shared" si="413"/>
        <v>行政財産</v>
      </c>
      <c r="D1251" s="7" t="str">
        <f t="shared" si="421"/>
        <v>その他（行政機関）の施設</v>
      </c>
      <c r="E1251" s="7" t="str">
        <f>"大阪府堺市　西区鶴田町"</f>
        <v>大阪府堺市　西区鶴田町</v>
      </c>
      <c r="F1251" s="7"/>
      <c r="G1251" s="7" t="str">
        <f>"事業用資産"</f>
        <v>事業用資産</v>
      </c>
      <c r="H1251" s="7" t="str">
        <f t="shared" si="417"/>
        <v>棚卸以外</v>
      </c>
      <c r="I1251" s="7">
        <v>4</v>
      </c>
      <c r="J1251" s="7" t="str">
        <f>"倉庫"</f>
        <v>倉庫</v>
      </c>
      <c r="K1251" s="7" t="str">
        <f>"軽量鉄骨造"</f>
        <v>軽量鉄骨造</v>
      </c>
      <c r="L1251" s="7" t="str">
        <f>"H13.03.27"</f>
        <v>H13.03.27</v>
      </c>
      <c r="M1251" s="7">
        <v>146.85</v>
      </c>
      <c r="N1251" s="7">
        <v>6278000</v>
      </c>
      <c r="O1251" s="7">
        <v>5754936</v>
      </c>
      <c r="P1251" s="7">
        <v>0</v>
      </c>
      <c r="Q1251" s="7" t="str">
        <f t="shared" si="422"/>
        <v>都市整備部</v>
      </c>
      <c r="R1251" s="7" t="str">
        <f t="shared" si="419"/>
        <v>鳳土木事務所</v>
      </c>
    </row>
    <row r="1252" spans="1:18" s="1" customFormat="1" x14ac:dyDescent="0.45">
      <c r="A1252" s="7" t="str">
        <f>"08206001005"</f>
        <v>08206001005</v>
      </c>
      <c r="B1252" s="7" t="str">
        <f>"芦田川排水機場"</f>
        <v>芦田川排水機場</v>
      </c>
      <c r="C1252" s="7" t="str">
        <f t="shared" si="413"/>
        <v>行政財産</v>
      </c>
      <c r="D1252" s="7" t="str">
        <f>"その他（公共用）の施設"</f>
        <v>その他（公共用）の施設</v>
      </c>
      <c r="E1252" s="7" t="str">
        <f>"大阪府高石市羽衣４丁目"</f>
        <v>大阪府高石市羽衣４丁目</v>
      </c>
      <c r="F1252" s="7"/>
      <c r="G1252" s="7" t="str">
        <f>"インフラ資産"</f>
        <v>インフラ資産</v>
      </c>
      <c r="H1252" s="7" t="str">
        <f t="shared" si="417"/>
        <v>棚卸以外</v>
      </c>
      <c r="I1252" s="7">
        <v>2</v>
      </c>
      <c r="J1252" s="7" t="str">
        <f>"管理事務所"</f>
        <v>管理事務所</v>
      </c>
      <c r="K1252" s="7" t="str">
        <f>"コンクリートブロック造"</f>
        <v>コンクリートブロック造</v>
      </c>
      <c r="L1252" s="7" t="str">
        <f>"H02.03.31"</f>
        <v>H02.03.31</v>
      </c>
      <c r="M1252" s="7">
        <v>46.36</v>
      </c>
      <c r="N1252" s="7">
        <v>2807000</v>
      </c>
      <c r="O1252" s="7">
        <v>2259576</v>
      </c>
      <c r="P1252" s="7">
        <v>0</v>
      </c>
      <c r="Q1252" s="7" t="str">
        <f t="shared" si="422"/>
        <v>都市整備部</v>
      </c>
      <c r="R1252" s="7" t="str">
        <f t="shared" si="419"/>
        <v>鳳土木事務所</v>
      </c>
    </row>
    <row r="1253" spans="1:18" s="1" customFormat="1" x14ac:dyDescent="0.45">
      <c r="A1253" s="7" t="str">
        <f>"08206001005"</f>
        <v>08206001005</v>
      </c>
      <c r="B1253" s="7" t="str">
        <f>"芦田川排水機場"</f>
        <v>芦田川排水機場</v>
      </c>
      <c r="C1253" s="7" t="str">
        <f t="shared" si="413"/>
        <v>行政財産</v>
      </c>
      <c r="D1253" s="7" t="str">
        <f>"その他（公共用）の施設"</f>
        <v>その他（公共用）の施設</v>
      </c>
      <c r="E1253" s="7" t="str">
        <f>"大阪府高石市羽衣４丁目"</f>
        <v>大阪府高石市羽衣４丁目</v>
      </c>
      <c r="F1253" s="7"/>
      <c r="G1253" s="7" t="str">
        <f>"インフラ資産"</f>
        <v>インフラ資産</v>
      </c>
      <c r="H1253" s="7" t="str">
        <f t="shared" si="417"/>
        <v>棚卸以外</v>
      </c>
      <c r="I1253" s="7">
        <v>3</v>
      </c>
      <c r="J1253" s="7" t="str">
        <f>"オイル倉庫"</f>
        <v>オイル倉庫</v>
      </c>
      <c r="K1253" s="7" t="str">
        <f>"コンクリートブロック造"</f>
        <v>コンクリートブロック造</v>
      </c>
      <c r="L1253" s="7" t="str">
        <f>"H02.03.31"</f>
        <v>H02.03.31</v>
      </c>
      <c r="M1253" s="7">
        <v>6.44</v>
      </c>
      <c r="N1253" s="7">
        <v>266000</v>
      </c>
      <c r="O1253" s="7">
        <v>258192</v>
      </c>
      <c r="P1253" s="7">
        <v>0</v>
      </c>
      <c r="Q1253" s="7" t="str">
        <f t="shared" si="422"/>
        <v>都市整備部</v>
      </c>
      <c r="R1253" s="7" t="str">
        <f t="shared" si="419"/>
        <v>鳳土木事務所</v>
      </c>
    </row>
    <row r="1254" spans="1:18" s="1" customFormat="1" x14ac:dyDescent="0.45">
      <c r="A1254" s="7" t="str">
        <f>"08206001007"</f>
        <v>08206001007</v>
      </c>
      <c r="B1254" s="7" t="str">
        <f>"水防倉庫（大津川水防倉庫）"</f>
        <v>水防倉庫（大津川水防倉庫）</v>
      </c>
      <c r="C1254" s="7" t="str">
        <f t="shared" si="413"/>
        <v>行政財産</v>
      </c>
      <c r="D1254" s="7" t="str">
        <f>"その他（行政機関）の施設"</f>
        <v>その他（行政機関）の施設</v>
      </c>
      <c r="E1254" s="7" t="str">
        <f>"大阪府泉北郡　忠岡町忠岡東３丁目"</f>
        <v>大阪府泉北郡　忠岡町忠岡東３丁目</v>
      </c>
      <c r="F1254" s="7"/>
      <c r="G1254" s="7" t="str">
        <f t="shared" ref="G1254:G1285" si="423">"事業用資産"</f>
        <v>事業用資産</v>
      </c>
      <c r="H1254" s="7" t="str">
        <f t="shared" si="417"/>
        <v>棚卸以外</v>
      </c>
      <c r="I1254" s="7">
        <v>1</v>
      </c>
      <c r="J1254" s="7" t="str">
        <f>"大津川水防倉庫"</f>
        <v>大津川水防倉庫</v>
      </c>
      <c r="K1254" s="7" t="str">
        <f>"軽量鉄骨造"</f>
        <v>軽量鉄骨造</v>
      </c>
      <c r="L1254" s="7" t="str">
        <f>"S54.03.29"</f>
        <v>S54.03.29</v>
      </c>
      <c r="M1254" s="7">
        <v>97.2</v>
      </c>
      <c r="N1254" s="7">
        <v>2395000</v>
      </c>
      <c r="O1254" s="7">
        <v>2394999</v>
      </c>
      <c r="P1254" s="7">
        <v>0</v>
      </c>
      <c r="Q1254" s="7" t="str">
        <f t="shared" si="422"/>
        <v>都市整備部</v>
      </c>
      <c r="R1254" s="7" t="str">
        <f t="shared" si="419"/>
        <v>鳳土木事務所</v>
      </c>
    </row>
    <row r="1255" spans="1:18" s="1" customFormat="1" ht="26.4" x14ac:dyDescent="0.45">
      <c r="A1255" s="7" t="str">
        <f>"08206003080"</f>
        <v>08206003080</v>
      </c>
      <c r="B1255" s="7" t="str">
        <f>"浜寺公園"</f>
        <v>浜寺公園</v>
      </c>
      <c r="C1255" s="7" t="str">
        <f t="shared" si="413"/>
        <v>行政財産</v>
      </c>
      <c r="D1255" s="7" t="str">
        <f>"公園"</f>
        <v>公園</v>
      </c>
      <c r="E1255" s="7" t="str">
        <f>"大阪府堺市　西区浜寺　公園町２丁"</f>
        <v>大阪府堺市　西区浜寺　公園町２丁</v>
      </c>
      <c r="F1255" s="7" t="str">
        <f>"浜寺公園プール"</f>
        <v>浜寺公園プール</v>
      </c>
      <c r="G1255" s="7" t="str">
        <f t="shared" si="423"/>
        <v>事業用資産</v>
      </c>
      <c r="H1255" s="7" t="str">
        <f t="shared" si="417"/>
        <v>棚卸以外</v>
      </c>
      <c r="I1255" s="7">
        <v>1</v>
      </c>
      <c r="J1255" s="7" t="str">
        <f>"プール切符売り場"</f>
        <v>プール切符売り場</v>
      </c>
      <c r="K1255" s="7" t="str">
        <f>"区分なし"</f>
        <v>区分なし</v>
      </c>
      <c r="L1255" s="7" t="str">
        <f>"H29.03.28"</f>
        <v>H29.03.28</v>
      </c>
      <c r="M1255" s="7">
        <v>23.66</v>
      </c>
      <c r="N1255" s="7">
        <v>20538506</v>
      </c>
      <c r="O1255" s="7">
        <v>4107744</v>
      </c>
      <c r="P1255" s="7">
        <v>0</v>
      </c>
      <c r="Q1255" s="7" t="str">
        <f t="shared" si="422"/>
        <v>都市整備部</v>
      </c>
      <c r="R1255" s="7" t="str">
        <f t="shared" si="419"/>
        <v>鳳土木事務所</v>
      </c>
    </row>
    <row r="1256" spans="1:18" s="1" customFormat="1" ht="26.4" x14ac:dyDescent="0.45">
      <c r="A1256" s="7" t="str">
        <f>"08206003111"</f>
        <v>08206003111</v>
      </c>
      <c r="B1256" s="7" t="str">
        <f>"浜寺公園"</f>
        <v>浜寺公園</v>
      </c>
      <c r="C1256" s="7" t="str">
        <f t="shared" si="413"/>
        <v>行政財産</v>
      </c>
      <c r="D1256" s="7" t="str">
        <f>"その他"</f>
        <v>その他</v>
      </c>
      <c r="E1256" s="7" t="str">
        <f>"大阪府堺市　西区"</f>
        <v>大阪府堺市　西区</v>
      </c>
      <c r="F1256" s="7" t="str">
        <f>"浜寺公園町地内"</f>
        <v>浜寺公園町地内</v>
      </c>
      <c r="G1256" s="7" t="str">
        <f t="shared" si="423"/>
        <v>事業用資産</v>
      </c>
      <c r="H1256" s="7" t="str">
        <f t="shared" si="417"/>
        <v>棚卸以外</v>
      </c>
      <c r="I1256" s="7">
        <v>1</v>
      </c>
      <c r="J1256" s="7" t="str">
        <f>"第二管理事務所"</f>
        <v>第二管理事務所</v>
      </c>
      <c r="K1256" s="7" t="str">
        <f>"軽量鉄骨造"</f>
        <v>軽量鉄骨造</v>
      </c>
      <c r="L1256" s="7" t="str">
        <f>"R04.06.10"</f>
        <v>R04.06.10</v>
      </c>
      <c r="M1256" s="7">
        <v>238.49</v>
      </c>
      <c r="N1256" s="7">
        <v>68364975</v>
      </c>
      <c r="O1256" s="7">
        <v>759612</v>
      </c>
      <c r="P1256" s="7">
        <v>0</v>
      </c>
      <c r="Q1256" s="7" t="str">
        <f t="shared" si="422"/>
        <v>都市整備部</v>
      </c>
      <c r="R1256" s="7" t="str">
        <f t="shared" si="419"/>
        <v>鳳土木事務所</v>
      </c>
    </row>
    <row r="1257" spans="1:18" s="1" customFormat="1" x14ac:dyDescent="0.45">
      <c r="A1257" s="7" t="str">
        <f>"08207000039"</f>
        <v>08207000039</v>
      </c>
      <c r="B1257" s="7" t="str">
        <f>"岸和田土木事務所材料置場"</f>
        <v>岸和田土木事務所材料置場</v>
      </c>
      <c r="C1257" s="7" t="str">
        <f t="shared" si="413"/>
        <v>行政財産</v>
      </c>
      <c r="D1257" s="7" t="str">
        <f>"その他（行政機関）の施設"</f>
        <v>その他（行政機関）の施設</v>
      </c>
      <c r="E1257" s="7" t="str">
        <f>"大阪府貝塚市石才"</f>
        <v>大阪府貝塚市石才</v>
      </c>
      <c r="F1257" s="7"/>
      <c r="G1257" s="7" t="str">
        <f t="shared" si="423"/>
        <v>事業用資産</v>
      </c>
      <c r="H1257" s="7" t="str">
        <f t="shared" si="417"/>
        <v>棚卸以外</v>
      </c>
      <c r="I1257" s="7">
        <v>1</v>
      </c>
      <c r="J1257" s="7" t="str">
        <f>"水防倉庫"</f>
        <v>水防倉庫</v>
      </c>
      <c r="K1257" s="7" t="str">
        <f>"土蔵造(簡易建物)"</f>
        <v>土蔵造(簡易建物)</v>
      </c>
      <c r="L1257" s="7" t="str">
        <f>"H06.02.28"</f>
        <v>H06.02.28</v>
      </c>
      <c r="M1257" s="7">
        <v>225.24</v>
      </c>
      <c r="N1257" s="7">
        <v>4265000</v>
      </c>
      <c r="O1257" s="7">
        <v>3989562</v>
      </c>
      <c r="P1257" s="7">
        <v>0</v>
      </c>
      <c r="Q1257" s="7" t="str">
        <f t="shared" si="422"/>
        <v>都市整備部</v>
      </c>
      <c r="R1257" s="7" t="str">
        <f t="shared" ref="R1257:R1288" si="424">"岸和田土木事務所"</f>
        <v>岸和田土木事務所</v>
      </c>
    </row>
    <row r="1258" spans="1:18" s="1" customFormat="1" x14ac:dyDescent="0.45">
      <c r="A1258" s="7" t="str">
        <f>"08207000039"</f>
        <v>08207000039</v>
      </c>
      <c r="B1258" s="7" t="str">
        <f>"岸和田土木事務所材料置場"</f>
        <v>岸和田土木事務所材料置場</v>
      </c>
      <c r="C1258" s="7" t="str">
        <f t="shared" si="413"/>
        <v>行政財産</v>
      </c>
      <c r="D1258" s="7" t="str">
        <f>"その他（行政機関）の施設"</f>
        <v>その他（行政機関）の施設</v>
      </c>
      <c r="E1258" s="7" t="str">
        <f>"大阪府貝塚市石才"</f>
        <v>大阪府貝塚市石才</v>
      </c>
      <c r="F1258" s="7"/>
      <c r="G1258" s="7" t="str">
        <f t="shared" si="423"/>
        <v>事業用資産</v>
      </c>
      <c r="H1258" s="7" t="str">
        <f t="shared" si="417"/>
        <v>棚卸以外</v>
      </c>
      <c r="I1258" s="7">
        <v>2</v>
      </c>
      <c r="J1258" s="7" t="str">
        <f>"書類庫（１）"</f>
        <v>書類庫（１）</v>
      </c>
      <c r="K1258" s="7" t="str">
        <f>"鉄骨造"</f>
        <v>鉄骨造</v>
      </c>
      <c r="L1258" s="7" t="str">
        <f>"H11.03.26"</f>
        <v>H11.03.26</v>
      </c>
      <c r="M1258" s="7">
        <v>103.68</v>
      </c>
      <c r="N1258" s="7">
        <v>6043000</v>
      </c>
      <c r="O1258" s="7">
        <v>4834656</v>
      </c>
      <c r="P1258" s="7">
        <v>0</v>
      </c>
      <c r="Q1258" s="7" t="str">
        <f t="shared" si="422"/>
        <v>都市整備部</v>
      </c>
      <c r="R1258" s="7" t="str">
        <f t="shared" si="424"/>
        <v>岸和田土木事務所</v>
      </c>
    </row>
    <row r="1259" spans="1:18" s="1" customFormat="1" x14ac:dyDescent="0.45">
      <c r="A1259" s="7" t="str">
        <f>"08207000039"</f>
        <v>08207000039</v>
      </c>
      <c r="B1259" s="7" t="str">
        <f>"岸和田土木事務所材料置場"</f>
        <v>岸和田土木事務所材料置場</v>
      </c>
      <c r="C1259" s="7" t="str">
        <f t="shared" si="413"/>
        <v>行政財産</v>
      </c>
      <c r="D1259" s="7" t="str">
        <f>"その他（行政機関）の施設"</f>
        <v>その他（行政機関）の施設</v>
      </c>
      <c r="E1259" s="7" t="str">
        <f>"大阪府貝塚市石才"</f>
        <v>大阪府貝塚市石才</v>
      </c>
      <c r="F1259" s="7"/>
      <c r="G1259" s="7" t="str">
        <f t="shared" si="423"/>
        <v>事業用資産</v>
      </c>
      <c r="H1259" s="7" t="str">
        <f t="shared" si="417"/>
        <v>棚卸以外</v>
      </c>
      <c r="I1259" s="7">
        <v>3</v>
      </c>
      <c r="J1259" s="7" t="str">
        <f>"書類庫（２）"</f>
        <v>書類庫（２）</v>
      </c>
      <c r="K1259" s="7" t="str">
        <f>"鉄骨造"</f>
        <v>鉄骨造</v>
      </c>
      <c r="L1259" s="7" t="str">
        <f>"H11.03.26"</f>
        <v>H11.03.26</v>
      </c>
      <c r="M1259" s="7">
        <v>103.68</v>
      </c>
      <c r="N1259" s="7">
        <v>6043000</v>
      </c>
      <c r="O1259" s="7">
        <v>4834656</v>
      </c>
      <c r="P1259" s="7">
        <v>0</v>
      </c>
      <c r="Q1259" s="7" t="str">
        <f t="shared" si="422"/>
        <v>都市整備部</v>
      </c>
      <c r="R1259" s="7" t="str">
        <f t="shared" si="424"/>
        <v>岸和田土木事務所</v>
      </c>
    </row>
    <row r="1260" spans="1:18" s="1" customFormat="1" x14ac:dyDescent="0.45">
      <c r="A1260" s="7" t="str">
        <f t="shared" ref="A1260:A1278" si="425">"08207000168"</f>
        <v>08207000168</v>
      </c>
      <c r="B1260" s="7" t="str">
        <f t="shared" ref="B1260:B1278" si="426">"二色の浜公園"</f>
        <v>二色の浜公園</v>
      </c>
      <c r="C1260" s="7" t="str">
        <f t="shared" si="413"/>
        <v>行政財産</v>
      </c>
      <c r="D1260" s="7" t="str">
        <f t="shared" ref="D1260:D1291" si="427">"公園"</f>
        <v>公園</v>
      </c>
      <c r="E1260" s="7" t="str">
        <f t="shared" ref="E1260:E1278" si="428">"大阪府貝塚市脇浜４丁目"</f>
        <v>大阪府貝塚市脇浜４丁目</v>
      </c>
      <c r="F1260" s="7"/>
      <c r="G1260" s="7" t="str">
        <f t="shared" si="423"/>
        <v>事業用資産</v>
      </c>
      <c r="H1260" s="7" t="str">
        <f t="shared" si="417"/>
        <v>棚卸以外</v>
      </c>
      <c r="I1260" s="7">
        <v>18</v>
      </c>
      <c r="J1260" s="7" t="str">
        <f>"公園管理事務所"</f>
        <v>公園管理事務所</v>
      </c>
      <c r="K1260" s="7" t="str">
        <f>"鉄筋コンクリート造"</f>
        <v>鉄筋コンクリート造</v>
      </c>
      <c r="L1260" s="7" t="str">
        <f t="shared" ref="L1260:L1265" si="429">"S25.01.01"</f>
        <v>S25.01.01</v>
      </c>
      <c r="M1260" s="7">
        <v>248.84</v>
      </c>
      <c r="N1260" s="7">
        <v>24968900</v>
      </c>
      <c r="O1260" s="7">
        <v>11063029</v>
      </c>
      <c r="P1260" s="7">
        <v>0</v>
      </c>
      <c r="Q1260" s="7" t="str">
        <f t="shared" si="422"/>
        <v>都市整備部</v>
      </c>
      <c r="R1260" s="7" t="str">
        <f t="shared" si="424"/>
        <v>岸和田土木事務所</v>
      </c>
    </row>
    <row r="1261" spans="1:18" s="1" customFormat="1" x14ac:dyDescent="0.45">
      <c r="A1261" s="7" t="str">
        <f t="shared" si="425"/>
        <v>08207000168</v>
      </c>
      <c r="B1261" s="7" t="str">
        <f t="shared" si="426"/>
        <v>二色の浜公園</v>
      </c>
      <c r="C1261" s="7" t="str">
        <f t="shared" si="413"/>
        <v>行政財産</v>
      </c>
      <c r="D1261" s="7" t="str">
        <f t="shared" si="427"/>
        <v>公園</v>
      </c>
      <c r="E1261" s="7" t="str">
        <f t="shared" si="428"/>
        <v>大阪府貝塚市脇浜４丁目</v>
      </c>
      <c r="F1261" s="7"/>
      <c r="G1261" s="7" t="str">
        <f t="shared" si="423"/>
        <v>事業用資産</v>
      </c>
      <c r="H1261" s="7" t="str">
        <f t="shared" si="417"/>
        <v>棚卸以外</v>
      </c>
      <c r="I1261" s="7">
        <v>22</v>
      </c>
      <c r="J1261" s="7" t="str">
        <f>"レストハウス横便所"</f>
        <v>レストハウス横便所</v>
      </c>
      <c r="K1261" s="7" t="str">
        <f>"鉄筋コンクリート造"</f>
        <v>鉄筋コンクリート造</v>
      </c>
      <c r="L1261" s="7" t="str">
        <f t="shared" si="429"/>
        <v>S25.01.01</v>
      </c>
      <c r="M1261" s="7">
        <v>36</v>
      </c>
      <c r="N1261" s="7">
        <v>16387000</v>
      </c>
      <c r="O1261" s="7">
        <v>14125765</v>
      </c>
      <c r="P1261" s="7">
        <v>0</v>
      </c>
      <c r="Q1261" s="7" t="str">
        <f t="shared" si="422"/>
        <v>都市整備部</v>
      </c>
      <c r="R1261" s="7" t="str">
        <f t="shared" si="424"/>
        <v>岸和田土木事務所</v>
      </c>
    </row>
    <row r="1262" spans="1:18" s="1" customFormat="1" x14ac:dyDescent="0.45">
      <c r="A1262" s="7" t="str">
        <f t="shared" si="425"/>
        <v>08207000168</v>
      </c>
      <c r="B1262" s="7" t="str">
        <f t="shared" si="426"/>
        <v>二色の浜公園</v>
      </c>
      <c r="C1262" s="7" t="str">
        <f t="shared" si="413"/>
        <v>行政財産</v>
      </c>
      <c r="D1262" s="7" t="str">
        <f t="shared" si="427"/>
        <v>公園</v>
      </c>
      <c r="E1262" s="7" t="str">
        <f t="shared" si="428"/>
        <v>大阪府貝塚市脇浜４丁目</v>
      </c>
      <c r="F1262" s="7"/>
      <c r="G1262" s="7" t="str">
        <f t="shared" si="423"/>
        <v>事業用資産</v>
      </c>
      <c r="H1262" s="7" t="str">
        <f t="shared" si="417"/>
        <v>棚卸以外</v>
      </c>
      <c r="I1262" s="7">
        <v>23</v>
      </c>
      <c r="J1262" s="7" t="str">
        <f>"松風広場便所"</f>
        <v>松風広場便所</v>
      </c>
      <c r="K1262" s="7" t="str">
        <f>"鉄筋コンクリート造"</f>
        <v>鉄筋コンクリート造</v>
      </c>
      <c r="L1262" s="7" t="str">
        <f t="shared" si="429"/>
        <v>S25.01.01</v>
      </c>
      <c r="M1262" s="7">
        <v>41</v>
      </c>
      <c r="N1262" s="7">
        <v>32411134</v>
      </c>
      <c r="O1262" s="7">
        <v>17483474</v>
      </c>
      <c r="P1262" s="7">
        <v>0</v>
      </c>
      <c r="Q1262" s="7" t="str">
        <f t="shared" si="422"/>
        <v>都市整備部</v>
      </c>
      <c r="R1262" s="7" t="str">
        <f t="shared" si="424"/>
        <v>岸和田土木事務所</v>
      </c>
    </row>
    <row r="1263" spans="1:18" s="1" customFormat="1" x14ac:dyDescent="0.45">
      <c r="A1263" s="7" t="str">
        <f t="shared" si="425"/>
        <v>08207000168</v>
      </c>
      <c r="B1263" s="7" t="str">
        <f t="shared" si="426"/>
        <v>二色の浜公園</v>
      </c>
      <c r="C1263" s="7" t="str">
        <f t="shared" si="413"/>
        <v>行政財産</v>
      </c>
      <c r="D1263" s="7" t="str">
        <f t="shared" si="427"/>
        <v>公園</v>
      </c>
      <c r="E1263" s="7" t="str">
        <f t="shared" si="428"/>
        <v>大阪府貝塚市脇浜４丁目</v>
      </c>
      <c r="F1263" s="7"/>
      <c r="G1263" s="7" t="str">
        <f t="shared" si="423"/>
        <v>事業用資産</v>
      </c>
      <c r="H1263" s="7" t="str">
        <f t="shared" si="417"/>
        <v>棚卸以外</v>
      </c>
      <c r="I1263" s="7">
        <v>24</v>
      </c>
      <c r="J1263" s="7" t="str">
        <f>"公園管理事務所詰所兼倉庫"</f>
        <v>公園管理事務所詰所兼倉庫</v>
      </c>
      <c r="K1263" s="7" t="str">
        <f>"軽量鉄骨造"</f>
        <v>軽量鉄骨造</v>
      </c>
      <c r="L1263" s="7" t="str">
        <f t="shared" si="429"/>
        <v>S25.01.01</v>
      </c>
      <c r="M1263" s="7">
        <v>30.8</v>
      </c>
      <c r="N1263" s="7">
        <v>1039000</v>
      </c>
      <c r="O1263" s="7">
        <v>1038999</v>
      </c>
      <c r="P1263" s="7">
        <v>0</v>
      </c>
      <c r="Q1263" s="7" t="str">
        <f t="shared" si="422"/>
        <v>都市整備部</v>
      </c>
      <c r="R1263" s="7" t="str">
        <f t="shared" si="424"/>
        <v>岸和田土木事務所</v>
      </c>
    </row>
    <row r="1264" spans="1:18" s="1" customFormat="1" x14ac:dyDescent="0.45">
      <c r="A1264" s="7" t="str">
        <f t="shared" si="425"/>
        <v>08207000168</v>
      </c>
      <c r="B1264" s="7" t="str">
        <f t="shared" si="426"/>
        <v>二色の浜公園</v>
      </c>
      <c r="C1264" s="7" t="str">
        <f t="shared" si="413"/>
        <v>行政財産</v>
      </c>
      <c r="D1264" s="7" t="str">
        <f t="shared" si="427"/>
        <v>公園</v>
      </c>
      <c r="E1264" s="7" t="str">
        <f t="shared" si="428"/>
        <v>大阪府貝塚市脇浜４丁目</v>
      </c>
      <c r="F1264" s="7"/>
      <c r="G1264" s="7" t="str">
        <f t="shared" si="423"/>
        <v>事業用資産</v>
      </c>
      <c r="H1264" s="7" t="str">
        <f t="shared" si="417"/>
        <v>棚卸以外</v>
      </c>
      <c r="I1264" s="7">
        <v>25</v>
      </c>
      <c r="J1264" s="7" t="str">
        <f>"中央児童遊戯場便所"</f>
        <v>中央児童遊戯場便所</v>
      </c>
      <c r="K1264" s="7" t="str">
        <f>"鉄筋コンクリート造"</f>
        <v>鉄筋コンクリート造</v>
      </c>
      <c r="L1264" s="7" t="str">
        <f t="shared" si="429"/>
        <v>S25.01.01</v>
      </c>
      <c r="M1264" s="7">
        <v>70.099999999999994</v>
      </c>
      <c r="N1264" s="7">
        <v>59863455</v>
      </c>
      <c r="O1264" s="7">
        <v>40332672</v>
      </c>
      <c r="P1264" s="7">
        <v>0</v>
      </c>
      <c r="Q1264" s="7" t="str">
        <f t="shared" si="422"/>
        <v>都市整備部</v>
      </c>
      <c r="R1264" s="7" t="str">
        <f t="shared" si="424"/>
        <v>岸和田土木事務所</v>
      </c>
    </row>
    <row r="1265" spans="1:18" s="1" customFormat="1" x14ac:dyDescent="0.45">
      <c r="A1265" s="7" t="str">
        <f t="shared" si="425"/>
        <v>08207000168</v>
      </c>
      <c r="B1265" s="7" t="str">
        <f t="shared" si="426"/>
        <v>二色の浜公園</v>
      </c>
      <c r="C1265" s="7" t="str">
        <f t="shared" si="413"/>
        <v>行政財産</v>
      </c>
      <c r="D1265" s="7" t="str">
        <f t="shared" si="427"/>
        <v>公園</v>
      </c>
      <c r="E1265" s="7" t="str">
        <f t="shared" si="428"/>
        <v>大阪府貝塚市脇浜４丁目</v>
      </c>
      <c r="F1265" s="7"/>
      <c r="G1265" s="7" t="str">
        <f t="shared" si="423"/>
        <v>事業用資産</v>
      </c>
      <c r="H1265" s="7" t="str">
        <f t="shared" si="417"/>
        <v>棚卸以外</v>
      </c>
      <c r="I1265" s="7">
        <v>26</v>
      </c>
      <c r="J1265" s="7" t="str">
        <f>"スポーツハウス"</f>
        <v>スポーツハウス</v>
      </c>
      <c r="K1265" s="7" t="str">
        <f>"鉄骨造"</f>
        <v>鉄骨造</v>
      </c>
      <c r="L1265" s="7" t="str">
        <f t="shared" si="429"/>
        <v>S25.01.01</v>
      </c>
      <c r="M1265" s="7">
        <v>236.4</v>
      </c>
      <c r="N1265" s="7">
        <v>74160000</v>
      </c>
      <c r="O1265" s="7">
        <v>60499104</v>
      </c>
      <c r="P1265" s="7">
        <v>0</v>
      </c>
      <c r="Q1265" s="7" t="str">
        <f t="shared" si="422"/>
        <v>都市整備部</v>
      </c>
      <c r="R1265" s="7" t="str">
        <f t="shared" si="424"/>
        <v>岸和田土木事務所</v>
      </c>
    </row>
    <row r="1266" spans="1:18" s="1" customFormat="1" x14ac:dyDescent="0.45">
      <c r="A1266" s="7" t="str">
        <f t="shared" si="425"/>
        <v>08207000168</v>
      </c>
      <c r="B1266" s="7" t="str">
        <f t="shared" si="426"/>
        <v>二色の浜公園</v>
      </c>
      <c r="C1266" s="7" t="str">
        <f t="shared" si="413"/>
        <v>行政財産</v>
      </c>
      <c r="D1266" s="7" t="str">
        <f t="shared" si="427"/>
        <v>公園</v>
      </c>
      <c r="E1266" s="7" t="str">
        <f t="shared" si="428"/>
        <v>大阪府貝塚市脇浜４丁目</v>
      </c>
      <c r="F1266" s="7"/>
      <c r="G1266" s="7" t="str">
        <f t="shared" si="423"/>
        <v>事業用資産</v>
      </c>
      <c r="H1266" s="7" t="str">
        <f t="shared" si="417"/>
        <v>棚卸以外</v>
      </c>
      <c r="I1266" s="7">
        <v>27</v>
      </c>
      <c r="J1266" s="7" t="str">
        <f>"レストハウス"</f>
        <v>レストハウス</v>
      </c>
      <c r="K1266" s="7" t="str">
        <f>"鉄筋コンクリート造"</f>
        <v>鉄筋コンクリート造</v>
      </c>
      <c r="L1266" s="7" t="str">
        <f>"H05.03.18"</f>
        <v>H05.03.18</v>
      </c>
      <c r="M1266" s="7">
        <v>745.18</v>
      </c>
      <c r="N1266" s="7">
        <v>328802396</v>
      </c>
      <c r="O1266" s="7">
        <v>185727432</v>
      </c>
      <c r="P1266" s="7">
        <v>0</v>
      </c>
      <c r="Q1266" s="7" t="str">
        <f t="shared" si="422"/>
        <v>都市整備部</v>
      </c>
      <c r="R1266" s="7" t="str">
        <f t="shared" si="424"/>
        <v>岸和田土木事務所</v>
      </c>
    </row>
    <row r="1267" spans="1:18" s="1" customFormat="1" x14ac:dyDescent="0.45">
      <c r="A1267" s="7" t="str">
        <f t="shared" si="425"/>
        <v>08207000168</v>
      </c>
      <c r="B1267" s="7" t="str">
        <f t="shared" si="426"/>
        <v>二色の浜公園</v>
      </c>
      <c r="C1267" s="7" t="str">
        <f t="shared" si="413"/>
        <v>行政財産</v>
      </c>
      <c r="D1267" s="7" t="str">
        <f t="shared" si="427"/>
        <v>公園</v>
      </c>
      <c r="E1267" s="7" t="str">
        <f t="shared" si="428"/>
        <v>大阪府貝塚市脇浜４丁目</v>
      </c>
      <c r="F1267" s="7"/>
      <c r="G1267" s="7" t="str">
        <f t="shared" si="423"/>
        <v>事業用資産</v>
      </c>
      <c r="H1267" s="7" t="str">
        <f t="shared" si="417"/>
        <v>棚卸以外</v>
      </c>
      <c r="I1267" s="7">
        <v>28</v>
      </c>
      <c r="J1267" s="7" t="str">
        <f>"花見の丘便所"</f>
        <v>花見の丘便所</v>
      </c>
      <c r="K1267" s="7" t="str">
        <f>"鉄筋コンクリート造"</f>
        <v>鉄筋コンクリート造</v>
      </c>
      <c r="L1267" s="7" t="str">
        <f>"H05.02.26"</f>
        <v>H05.02.26</v>
      </c>
      <c r="M1267" s="7">
        <v>73.959999999999994</v>
      </c>
      <c r="N1267" s="7">
        <v>40202729</v>
      </c>
      <c r="O1267" s="7">
        <v>23919225</v>
      </c>
      <c r="P1267" s="7">
        <v>0</v>
      </c>
      <c r="Q1267" s="7" t="str">
        <f t="shared" si="422"/>
        <v>都市整備部</v>
      </c>
      <c r="R1267" s="7" t="str">
        <f t="shared" si="424"/>
        <v>岸和田土木事務所</v>
      </c>
    </row>
    <row r="1268" spans="1:18" s="1" customFormat="1" x14ac:dyDescent="0.45">
      <c r="A1268" s="7" t="str">
        <f t="shared" si="425"/>
        <v>08207000168</v>
      </c>
      <c r="B1268" s="7" t="str">
        <f t="shared" si="426"/>
        <v>二色の浜公園</v>
      </c>
      <c r="C1268" s="7" t="str">
        <f t="shared" si="413"/>
        <v>行政財産</v>
      </c>
      <c r="D1268" s="7" t="str">
        <f t="shared" si="427"/>
        <v>公園</v>
      </c>
      <c r="E1268" s="7" t="str">
        <f t="shared" si="428"/>
        <v>大阪府貝塚市脇浜４丁目</v>
      </c>
      <c r="F1268" s="7"/>
      <c r="G1268" s="7" t="str">
        <f t="shared" si="423"/>
        <v>事業用資産</v>
      </c>
      <c r="H1268" s="7" t="str">
        <f t="shared" si="417"/>
        <v>棚卸以外</v>
      </c>
      <c r="I1268" s="7">
        <v>29</v>
      </c>
      <c r="J1268" s="7" t="str">
        <f>"第３駐車場横便所"</f>
        <v>第３駐車場横便所</v>
      </c>
      <c r="K1268" s="7" t="str">
        <f>"土蔵造(簡易建物)"</f>
        <v>土蔵造(簡易建物)</v>
      </c>
      <c r="L1268" s="7" t="str">
        <f>"H05.02.26"</f>
        <v>H05.02.26</v>
      </c>
      <c r="M1268" s="7">
        <v>73.959999999999994</v>
      </c>
      <c r="N1268" s="7">
        <v>42841906</v>
      </c>
      <c r="O1268" s="7">
        <v>23615251</v>
      </c>
      <c r="P1268" s="7">
        <v>0</v>
      </c>
      <c r="Q1268" s="7" t="str">
        <f t="shared" si="422"/>
        <v>都市整備部</v>
      </c>
      <c r="R1268" s="7" t="str">
        <f t="shared" si="424"/>
        <v>岸和田土木事務所</v>
      </c>
    </row>
    <row r="1269" spans="1:18" s="1" customFormat="1" x14ac:dyDescent="0.45">
      <c r="A1269" s="7" t="str">
        <f t="shared" si="425"/>
        <v>08207000168</v>
      </c>
      <c r="B1269" s="7" t="str">
        <f t="shared" si="426"/>
        <v>二色の浜公園</v>
      </c>
      <c r="C1269" s="7" t="str">
        <f t="shared" si="413"/>
        <v>行政財産</v>
      </c>
      <c r="D1269" s="7" t="str">
        <f t="shared" si="427"/>
        <v>公園</v>
      </c>
      <c r="E1269" s="7" t="str">
        <f t="shared" si="428"/>
        <v>大阪府貝塚市脇浜４丁目</v>
      </c>
      <c r="F1269" s="7"/>
      <c r="G1269" s="7" t="str">
        <f t="shared" si="423"/>
        <v>事業用資産</v>
      </c>
      <c r="H1269" s="7" t="str">
        <f t="shared" si="417"/>
        <v>棚卸以外</v>
      </c>
      <c r="I1269" s="7">
        <v>30</v>
      </c>
      <c r="J1269" s="7" t="str">
        <f>"車庫"</f>
        <v>車庫</v>
      </c>
      <c r="K1269" s="7" t="str">
        <f>"土蔵造(簡易建物)"</f>
        <v>土蔵造(簡易建物)</v>
      </c>
      <c r="L1269" s="7" t="str">
        <f>"H06.10.24"</f>
        <v>H06.10.24</v>
      </c>
      <c r="M1269" s="7">
        <v>16.899999999999999</v>
      </c>
      <c r="N1269" s="7">
        <v>2421000</v>
      </c>
      <c r="O1269" s="7">
        <v>2420999</v>
      </c>
      <c r="P1269" s="7">
        <v>0</v>
      </c>
      <c r="Q1269" s="7" t="str">
        <f t="shared" si="422"/>
        <v>都市整備部</v>
      </c>
      <c r="R1269" s="7" t="str">
        <f t="shared" si="424"/>
        <v>岸和田土木事務所</v>
      </c>
    </row>
    <row r="1270" spans="1:18" s="1" customFormat="1" x14ac:dyDescent="0.45">
      <c r="A1270" s="7" t="str">
        <f t="shared" si="425"/>
        <v>08207000168</v>
      </c>
      <c r="B1270" s="7" t="str">
        <f t="shared" si="426"/>
        <v>二色の浜公園</v>
      </c>
      <c r="C1270" s="7" t="str">
        <f t="shared" si="413"/>
        <v>行政財産</v>
      </c>
      <c r="D1270" s="7" t="str">
        <f t="shared" si="427"/>
        <v>公園</v>
      </c>
      <c r="E1270" s="7" t="str">
        <f t="shared" si="428"/>
        <v>大阪府貝塚市脇浜４丁目</v>
      </c>
      <c r="F1270" s="7"/>
      <c r="G1270" s="7" t="str">
        <f t="shared" si="423"/>
        <v>事業用資産</v>
      </c>
      <c r="H1270" s="7" t="str">
        <f t="shared" si="417"/>
        <v>棚卸以外</v>
      </c>
      <c r="I1270" s="7">
        <v>31</v>
      </c>
      <c r="J1270" s="7" t="str">
        <f>"第１駐車場横便所"</f>
        <v>第１駐車場横便所</v>
      </c>
      <c r="K1270" s="7" t="str">
        <f>"鉄筋コンクリート造"</f>
        <v>鉄筋コンクリート造</v>
      </c>
      <c r="L1270" s="7" t="str">
        <f>"H12.03.07"</f>
        <v>H12.03.07</v>
      </c>
      <c r="M1270" s="7">
        <v>46.75</v>
      </c>
      <c r="N1270" s="7">
        <v>28679000</v>
      </c>
      <c r="O1270" s="7">
        <v>17358468</v>
      </c>
      <c r="P1270" s="7">
        <v>0</v>
      </c>
      <c r="Q1270" s="7" t="str">
        <f t="shared" si="422"/>
        <v>都市整備部</v>
      </c>
      <c r="R1270" s="7" t="str">
        <f t="shared" si="424"/>
        <v>岸和田土木事務所</v>
      </c>
    </row>
    <row r="1271" spans="1:18" s="1" customFormat="1" x14ac:dyDescent="0.45">
      <c r="A1271" s="7" t="str">
        <f t="shared" si="425"/>
        <v>08207000168</v>
      </c>
      <c r="B1271" s="7" t="str">
        <f t="shared" si="426"/>
        <v>二色の浜公園</v>
      </c>
      <c r="C1271" s="7" t="str">
        <f t="shared" si="413"/>
        <v>行政財産</v>
      </c>
      <c r="D1271" s="7" t="str">
        <f t="shared" si="427"/>
        <v>公園</v>
      </c>
      <c r="E1271" s="7" t="str">
        <f t="shared" si="428"/>
        <v>大阪府貝塚市脇浜４丁目</v>
      </c>
      <c r="F1271" s="7"/>
      <c r="G1271" s="7" t="str">
        <f t="shared" si="423"/>
        <v>事業用資産</v>
      </c>
      <c r="H1271" s="7" t="str">
        <f t="shared" si="417"/>
        <v>棚卸以外</v>
      </c>
      <c r="I1271" s="7">
        <v>32</v>
      </c>
      <c r="J1271" s="7" t="str">
        <f>"海浜多目的広場便所"</f>
        <v>海浜多目的広場便所</v>
      </c>
      <c r="K1271" s="7" t="str">
        <f>"鉄筋コンクリート造"</f>
        <v>鉄筋コンクリート造</v>
      </c>
      <c r="L1271" s="7" t="str">
        <f t="shared" ref="L1271:L1276" si="430">"H12.04.01"</f>
        <v>H12.04.01</v>
      </c>
      <c r="M1271" s="7">
        <v>68.14</v>
      </c>
      <c r="N1271" s="7">
        <v>23181000</v>
      </c>
      <c r="O1271" s="7">
        <v>13979900</v>
      </c>
      <c r="P1271" s="7">
        <v>0</v>
      </c>
      <c r="Q1271" s="7" t="str">
        <f t="shared" si="422"/>
        <v>都市整備部</v>
      </c>
      <c r="R1271" s="7" t="str">
        <f t="shared" si="424"/>
        <v>岸和田土木事務所</v>
      </c>
    </row>
    <row r="1272" spans="1:18" s="1" customFormat="1" x14ac:dyDescent="0.45">
      <c r="A1272" s="7" t="str">
        <f t="shared" si="425"/>
        <v>08207000168</v>
      </c>
      <c r="B1272" s="7" t="str">
        <f t="shared" si="426"/>
        <v>二色の浜公園</v>
      </c>
      <c r="C1272" s="7" t="str">
        <f t="shared" ref="C1272:C1335" si="431">"行政財産"</f>
        <v>行政財産</v>
      </c>
      <c r="D1272" s="7" t="str">
        <f t="shared" si="427"/>
        <v>公園</v>
      </c>
      <c r="E1272" s="7" t="str">
        <f t="shared" si="428"/>
        <v>大阪府貝塚市脇浜４丁目</v>
      </c>
      <c r="F1272" s="7"/>
      <c r="G1272" s="7" t="str">
        <f t="shared" si="423"/>
        <v>事業用資産</v>
      </c>
      <c r="H1272" s="7" t="str">
        <f t="shared" si="417"/>
        <v>棚卸以外</v>
      </c>
      <c r="I1272" s="7">
        <v>33</v>
      </c>
      <c r="J1272" s="7" t="str">
        <f>"倉庫"</f>
        <v>倉庫</v>
      </c>
      <c r="K1272" s="7" t="str">
        <f>"鉄骨造"</f>
        <v>鉄骨造</v>
      </c>
      <c r="L1272" s="7" t="str">
        <f t="shared" si="430"/>
        <v>H12.04.01</v>
      </c>
      <c r="M1272" s="7">
        <v>12</v>
      </c>
      <c r="N1272" s="7">
        <v>3246000</v>
      </c>
      <c r="O1272" s="7">
        <v>2399650</v>
      </c>
      <c r="P1272" s="7">
        <v>0</v>
      </c>
      <c r="Q1272" s="7" t="str">
        <f t="shared" si="422"/>
        <v>都市整備部</v>
      </c>
      <c r="R1272" s="7" t="str">
        <f t="shared" si="424"/>
        <v>岸和田土木事務所</v>
      </c>
    </row>
    <row r="1273" spans="1:18" s="1" customFormat="1" x14ac:dyDescent="0.45">
      <c r="A1273" s="7" t="str">
        <f t="shared" si="425"/>
        <v>08207000168</v>
      </c>
      <c r="B1273" s="7" t="str">
        <f t="shared" si="426"/>
        <v>二色の浜公園</v>
      </c>
      <c r="C1273" s="7" t="str">
        <f t="shared" si="431"/>
        <v>行政財産</v>
      </c>
      <c r="D1273" s="7" t="str">
        <f t="shared" si="427"/>
        <v>公園</v>
      </c>
      <c r="E1273" s="7" t="str">
        <f t="shared" si="428"/>
        <v>大阪府貝塚市脇浜４丁目</v>
      </c>
      <c r="F1273" s="7"/>
      <c r="G1273" s="7" t="str">
        <f t="shared" si="423"/>
        <v>事業用資産</v>
      </c>
      <c r="H1273" s="7" t="str">
        <f t="shared" si="417"/>
        <v>棚卸以外</v>
      </c>
      <c r="I1273" s="7">
        <v>34</v>
      </c>
      <c r="J1273" s="7" t="str">
        <f>"海浜緑地事務所"</f>
        <v>海浜緑地事務所</v>
      </c>
      <c r="K1273" s="7" t="str">
        <f>"鉄筋コンクリート造"</f>
        <v>鉄筋コンクリート造</v>
      </c>
      <c r="L1273" s="7" t="str">
        <f t="shared" si="430"/>
        <v>H12.04.01</v>
      </c>
      <c r="M1273" s="7">
        <v>346.25</v>
      </c>
      <c r="N1273" s="7">
        <v>97027000</v>
      </c>
      <c r="O1273" s="7">
        <v>44470800</v>
      </c>
      <c r="P1273" s="7">
        <v>0</v>
      </c>
      <c r="Q1273" s="7" t="str">
        <f t="shared" si="422"/>
        <v>都市整備部</v>
      </c>
      <c r="R1273" s="7" t="str">
        <f t="shared" si="424"/>
        <v>岸和田土木事務所</v>
      </c>
    </row>
    <row r="1274" spans="1:18" s="1" customFormat="1" x14ac:dyDescent="0.45">
      <c r="A1274" s="7" t="str">
        <f t="shared" si="425"/>
        <v>08207000168</v>
      </c>
      <c r="B1274" s="7" t="str">
        <f t="shared" si="426"/>
        <v>二色の浜公園</v>
      </c>
      <c r="C1274" s="7" t="str">
        <f t="shared" si="431"/>
        <v>行政財産</v>
      </c>
      <c r="D1274" s="7" t="str">
        <f t="shared" si="427"/>
        <v>公園</v>
      </c>
      <c r="E1274" s="7" t="str">
        <f t="shared" si="428"/>
        <v>大阪府貝塚市脇浜４丁目</v>
      </c>
      <c r="F1274" s="7"/>
      <c r="G1274" s="7" t="str">
        <f t="shared" si="423"/>
        <v>事業用資産</v>
      </c>
      <c r="H1274" s="7" t="str">
        <f t="shared" si="417"/>
        <v>棚卸以外</v>
      </c>
      <c r="I1274" s="7">
        <v>35</v>
      </c>
      <c r="J1274" s="7" t="str">
        <f>"マリンスポーツ管理事務所"</f>
        <v>マリンスポーツ管理事務所</v>
      </c>
      <c r="K1274" s="7" t="str">
        <f>"鉄筋コンクリート造"</f>
        <v>鉄筋コンクリート造</v>
      </c>
      <c r="L1274" s="7" t="str">
        <f t="shared" si="430"/>
        <v>H12.04.01</v>
      </c>
      <c r="M1274" s="7">
        <v>346.25</v>
      </c>
      <c r="N1274" s="7">
        <v>124812531</v>
      </c>
      <c r="O1274" s="7">
        <v>59245433</v>
      </c>
      <c r="P1274" s="7">
        <v>0</v>
      </c>
      <c r="Q1274" s="7" t="str">
        <f t="shared" si="422"/>
        <v>都市整備部</v>
      </c>
      <c r="R1274" s="7" t="str">
        <f t="shared" si="424"/>
        <v>岸和田土木事務所</v>
      </c>
    </row>
    <row r="1275" spans="1:18" s="1" customFormat="1" x14ac:dyDescent="0.45">
      <c r="A1275" s="7" t="str">
        <f t="shared" si="425"/>
        <v>08207000168</v>
      </c>
      <c r="B1275" s="7" t="str">
        <f t="shared" si="426"/>
        <v>二色の浜公園</v>
      </c>
      <c r="C1275" s="7" t="str">
        <f t="shared" si="431"/>
        <v>行政財産</v>
      </c>
      <c r="D1275" s="7" t="str">
        <f t="shared" si="427"/>
        <v>公園</v>
      </c>
      <c r="E1275" s="7" t="str">
        <f t="shared" si="428"/>
        <v>大阪府貝塚市脇浜４丁目</v>
      </c>
      <c r="F1275" s="7"/>
      <c r="G1275" s="7" t="str">
        <f t="shared" si="423"/>
        <v>事業用資産</v>
      </c>
      <c r="H1275" s="7" t="str">
        <f t="shared" si="417"/>
        <v>棚卸以外</v>
      </c>
      <c r="I1275" s="7">
        <v>36</v>
      </c>
      <c r="J1275" s="7" t="str">
        <f>"海浜エントランス広場便所兼詰所"</f>
        <v>海浜エントランス広場便所兼詰所</v>
      </c>
      <c r="K1275" s="7" t="str">
        <f>"鉄筋コンクリート造"</f>
        <v>鉄筋コンクリート造</v>
      </c>
      <c r="L1275" s="7" t="str">
        <f t="shared" si="430"/>
        <v>H12.04.01</v>
      </c>
      <c r="M1275" s="7">
        <v>86.75</v>
      </c>
      <c r="N1275" s="7">
        <v>31677000</v>
      </c>
      <c r="O1275" s="7">
        <v>19103700</v>
      </c>
      <c r="P1275" s="7">
        <v>0</v>
      </c>
      <c r="Q1275" s="7" t="str">
        <f t="shared" si="422"/>
        <v>都市整備部</v>
      </c>
      <c r="R1275" s="7" t="str">
        <f t="shared" si="424"/>
        <v>岸和田土木事務所</v>
      </c>
    </row>
    <row r="1276" spans="1:18" s="1" customFormat="1" x14ac:dyDescent="0.45">
      <c r="A1276" s="7" t="str">
        <f t="shared" si="425"/>
        <v>08207000168</v>
      </c>
      <c r="B1276" s="7" t="str">
        <f t="shared" si="426"/>
        <v>二色の浜公園</v>
      </c>
      <c r="C1276" s="7" t="str">
        <f t="shared" si="431"/>
        <v>行政財産</v>
      </c>
      <c r="D1276" s="7" t="str">
        <f t="shared" si="427"/>
        <v>公園</v>
      </c>
      <c r="E1276" s="7" t="str">
        <f t="shared" si="428"/>
        <v>大阪府貝塚市脇浜４丁目</v>
      </c>
      <c r="F1276" s="7"/>
      <c r="G1276" s="7" t="str">
        <f t="shared" si="423"/>
        <v>事業用資産</v>
      </c>
      <c r="H1276" s="7" t="str">
        <f t="shared" si="417"/>
        <v>棚卸以外</v>
      </c>
      <c r="I1276" s="7">
        <v>37</v>
      </c>
      <c r="J1276" s="7" t="str">
        <f>"検艇用詰所"</f>
        <v>検艇用詰所</v>
      </c>
      <c r="K1276" s="7" t="str">
        <f>"鉄骨造"</f>
        <v>鉄骨造</v>
      </c>
      <c r="L1276" s="7" t="str">
        <f t="shared" si="430"/>
        <v>H12.04.01</v>
      </c>
      <c r="M1276" s="7">
        <v>8.91</v>
      </c>
      <c r="N1276" s="7">
        <v>1365000</v>
      </c>
      <c r="O1276" s="7">
        <v>823350</v>
      </c>
      <c r="P1276" s="7">
        <v>0</v>
      </c>
      <c r="Q1276" s="7" t="str">
        <f t="shared" si="422"/>
        <v>都市整備部</v>
      </c>
      <c r="R1276" s="7" t="str">
        <f t="shared" si="424"/>
        <v>岸和田土木事務所</v>
      </c>
    </row>
    <row r="1277" spans="1:18" s="1" customFormat="1" x14ac:dyDescent="0.45">
      <c r="A1277" s="7" t="str">
        <f t="shared" si="425"/>
        <v>08207000168</v>
      </c>
      <c r="B1277" s="7" t="str">
        <f t="shared" si="426"/>
        <v>二色の浜公園</v>
      </c>
      <c r="C1277" s="7" t="str">
        <f t="shared" si="431"/>
        <v>行政財産</v>
      </c>
      <c r="D1277" s="7" t="str">
        <f t="shared" si="427"/>
        <v>公園</v>
      </c>
      <c r="E1277" s="7" t="str">
        <f t="shared" si="428"/>
        <v>大阪府貝塚市脇浜４丁目</v>
      </c>
      <c r="F1277" s="7"/>
      <c r="G1277" s="7" t="str">
        <f t="shared" si="423"/>
        <v>事業用資産</v>
      </c>
      <c r="H1277" s="7" t="str">
        <f t="shared" si="417"/>
        <v>棚卸以外</v>
      </c>
      <c r="I1277" s="7">
        <v>38</v>
      </c>
      <c r="J1277" s="7" t="str">
        <f>"管理事務所倉庫"</f>
        <v>管理事務所倉庫</v>
      </c>
      <c r="K1277" s="7" t="str">
        <f>"土蔵造(簡易建物)"</f>
        <v>土蔵造(簡易建物)</v>
      </c>
      <c r="L1277" s="7" t="str">
        <f>"H13.03.30"</f>
        <v>H13.03.30</v>
      </c>
      <c r="M1277" s="7">
        <v>16.88</v>
      </c>
      <c r="N1277" s="7">
        <v>836000</v>
      </c>
      <c r="O1277" s="7">
        <v>766392</v>
      </c>
      <c r="P1277" s="7">
        <v>0</v>
      </c>
      <c r="Q1277" s="7" t="str">
        <f t="shared" si="422"/>
        <v>都市整備部</v>
      </c>
      <c r="R1277" s="7" t="str">
        <f t="shared" si="424"/>
        <v>岸和田土木事務所</v>
      </c>
    </row>
    <row r="1278" spans="1:18" s="1" customFormat="1" x14ac:dyDescent="0.45">
      <c r="A1278" s="7" t="str">
        <f t="shared" si="425"/>
        <v>08207000168</v>
      </c>
      <c r="B1278" s="7" t="str">
        <f t="shared" si="426"/>
        <v>二色の浜公園</v>
      </c>
      <c r="C1278" s="7" t="str">
        <f t="shared" si="431"/>
        <v>行政財産</v>
      </c>
      <c r="D1278" s="7" t="str">
        <f t="shared" si="427"/>
        <v>公園</v>
      </c>
      <c r="E1278" s="7" t="str">
        <f t="shared" si="428"/>
        <v>大阪府貝塚市脇浜４丁目</v>
      </c>
      <c r="F1278" s="7"/>
      <c r="G1278" s="7" t="str">
        <f t="shared" si="423"/>
        <v>事業用資産</v>
      </c>
      <c r="H1278" s="7" t="str">
        <f t="shared" si="417"/>
        <v>棚卸以外</v>
      </c>
      <c r="I1278" s="7">
        <v>39</v>
      </c>
      <c r="J1278" s="7" t="str">
        <f>"松風児童遊戯場便所"</f>
        <v>松風児童遊戯場便所</v>
      </c>
      <c r="K1278" s="7" t="str">
        <f>"鉄筋コンクリート造"</f>
        <v>鉄筋コンクリート造</v>
      </c>
      <c r="L1278" s="7" t="str">
        <f>"H14.03.07"</f>
        <v>H14.03.07</v>
      </c>
      <c r="M1278" s="7">
        <v>61.22</v>
      </c>
      <c r="N1278" s="7">
        <v>39239000</v>
      </c>
      <c r="O1278" s="7">
        <v>21684852</v>
      </c>
      <c r="P1278" s="7">
        <v>0</v>
      </c>
      <c r="Q1278" s="7" t="str">
        <f t="shared" si="422"/>
        <v>都市整備部</v>
      </c>
      <c r="R1278" s="7" t="str">
        <f t="shared" si="424"/>
        <v>岸和田土木事務所</v>
      </c>
    </row>
    <row r="1279" spans="1:18" s="1" customFormat="1" x14ac:dyDescent="0.45">
      <c r="A1279" s="7" t="str">
        <f t="shared" ref="A1279:A1295" si="432">"08207000169"</f>
        <v>08207000169</v>
      </c>
      <c r="B1279" s="7" t="str">
        <f t="shared" ref="B1279:B1295" si="433">"蜻蛉池公園"</f>
        <v>蜻蛉池公園</v>
      </c>
      <c r="C1279" s="7" t="str">
        <f t="shared" si="431"/>
        <v>行政財産</v>
      </c>
      <c r="D1279" s="7" t="str">
        <f t="shared" si="427"/>
        <v>公園</v>
      </c>
      <c r="E1279" s="7" t="str">
        <f t="shared" ref="E1279:E1295" si="434">"大阪府岸和田市尾生町"</f>
        <v>大阪府岸和田市尾生町</v>
      </c>
      <c r="F1279" s="7"/>
      <c r="G1279" s="7" t="str">
        <f t="shared" si="423"/>
        <v>事業用資産</v>
      </c>
      <c r="H1279" s="7" t="str">
        <f t="shared" si="417"/>
        <v>棚卸以外</v>
      </c>
      <c r="I1279" s="7">
        <v>1</v>
      </c>
      <c r="J1279" s="7" t="str">
        <f>"公園管理事務所"</f>
        <v>公園管理事務所</v>
      </c>
      <c r="K1279" s="7" t="str">
        <f>"軽量鉄骨造"</f>
        <v>軽量鉄骨造</v>
      </c>
      <c r="L1279" s="7" t="str">
        <f>"H01.03.03"</f>
        <v>H01.03.03</v>
      </c>
      <c r="M1279" s="7">
        <v>298.08</v>
      </c>
      <c r="N1279" s="7">
        <v>36285000</v>
      </c>
      <c r="O1279" s="7">
        <v>36284999</v>
      </c>
      <c r="P1279" s="7">
        <v>0</v>
      </c>
      <c r="Q1279" s="7" t="str">
        <f t="shared" si="422"/>
        <v>都市整備部</v>
      </c>
      <c r="R1279" s="7" t="str">
        <f t="shared" si="424"/>
        <v>岸和田土木事務所</v>
      </c>
    </row>
    <row r="1280" spans="1:18" s="1" customFormat="1" x14ac:dyDescent="0.45">
      <c r="A1280" s="7" t="str">
        <f t="shared" si="432"/>
        <v>08207000169</v>
      </c>
      <c r="B1280" s="7" t="str">
        <f t="shared" si="433"/>
        <v>蜻蛉池公園</v>
      </c>
      <c r="C1280" s="7" t="str">
        <f t="shared" si="431"/>
        <v>行政財産</v>
      </c>
      <c r="D1280" s="7" t="str">
        <f t="shared" si="427"/>
        <v>公園</v>
      </c>
      <c r="E1280" s="7" t="str">
        <f t="shared" si="434"/>
        <v>大阪府岸和田市尾生町</v>
      </c>
      <c r="F1280" s="7"/>
      <c r="G1280" s="7" t="str">
        <f t="shared" si="423"/>
        <v>事業用資産</v>
      </c>
      <c r="H1280" s="7" t="str">
        <f t="shared" si="417"/>
        <v>棚卸以外</v>
      </c>
      <c r="I1280" s="7">
        <v>2</v>
      </c>
      <c r="J1280" s="7" t="str">
        <f>"公園管理事務所車庫"</f>
        <v>公園管理事務所車庫</v>
      </c>
      <c r="K1280" s="7" t="str">
        <f>"軽量鉄骨造"</f>
        <v>軽量鉄骨造</v>
      </c>
      <c r="L1280" s="7" t="str">
        <f>"H01.03.03"</f>
        <v>H01.03.03</v>
      </c>
      <c r="M1280" s="7">
        <v>69</v>
      </c>
      <c r="N1280" s="7">
        <v>4416000</v>
      </c>
      <c r="O1280" s="7">
        <v>4415999</v>
      </c>
      <c r="P1280" s="7">
        <v>0</v>
      </c>
      <c r="Q1280" s="7" t="str">
        <f t="shared" si="422"/>
        <v>都市整備部</v>
      </c>
      <c r="R1280" s="7" t="str">
        <f t="shared" si="424"/>
        <v>岸和田土木事務所</v>
      </c>
    </row>
    <row r="1281" spans="1:18" s="1" customFormat="1" x14ac:dyDescent="0.45">
      <c r="A1281" s="7" t="str">
        <f t="shared" si="432"/>
        <v>08207000169</v>
      </c>
      <c r="B1281" s="7" t="str">
        <f t="shared" si="433"/>
        <v>蜻蛉池公園</v>
      </c>
      <c r="C1281" s="7" t="str">
        <f t="shared" si="431"/>
        <v>行政財産</v>
      </c>
      <c r="D1281" s="7" t="str">
        <f t="shared" si="427"/>
        <v>公園</v>
      </c>
      <c r="E1281" s="7" t="str">
        <f t="shared" si="434"/>
        <v>大阪府岸和田市尾生町</v>
      </c>
      <c r="F1281" s="7"/>
      <c r="G1281" s="7" t="str">
        <f t="shared" si="423"/>
        <v>事業用資産</v>
      </c>
      <c r="H1281" s="7" t="str">
        <f t="shared" si="417"/>
        <v>棚卸以外</v>
      </c>
      <c r="I1281" s="7">
        <v>4</v>
      </c>
      <c r="J1281" s="7" t="str">
        <f>"子供の国旧便所"</f>
        <v>子供の国旧便所</v>
      </c>
      <c r="K1281" s="7" t="str">
        <f>"鉄筋コンクリート造"</f>
        <v>鉄筋コンクリート造</v>
      </c>
      <c r="L1281" s="7" t="str">
        <f>"H05.04.01"</f>
        <v>H05.04.01</v>
      </c>
      <c r="M1281" s="7">
        <v>67.28</v>
      </c>
      <c r="N1281" s="7">
        <v>30861000</v>
      </c>
      <c r="O1281" s="7">
        <v>25988352</v>
      </c>
      <c r="P1281" s="7">
        <v>0</v>
      </c>
      <c r="Q1281" s="7" t="str">
        <f t="shared" si="422"/>
        <v>都市整備部</v>
      </c>
      <c r="R1281" s="7" t="str">
        <f t="shared" si="424"/>
        <v>岸和田土木事務所</v>
      </c>
    </row>
    <row r="1282" spans="1:18" s="1" customFormat="1" x14ac:dyDescent="0.45">
      <c r="A1282" s="7" t="str">
        <f t="shared" si="432"/>
        <v>08207000169</v>
      </c>
      <c r="B1282" s="7" t="str">
        <f t="shared" si="433"/>
        <v>蜻蛉池公園</v>
      </c>
      <c r="C1282" s="7" t="str">
        <f t="shared" si="431"/>
        <v>行政財産</v>
      </c>
      <c r="D1282" s="7" t="str">
        <f t="shared" si="427"/>
        <v>公園</v>
      </c>
      <c r="E1282" s="7" t="str">
        <f t="shared" si="434"/>
        <v>大阪府岸和田市尾生町</v>
      </c>
      <c r="F1282" s="7"/>
      <c r="G1282" s="7" t="str">
        <f t="shared" si="423"/>
        <v>事業用資産</v>
      </c>
      <c r="H1282" s="7" t="str">
        <f t="shared" si="417"/>
        <v>棚卸以外</v>
      </c>
      <c r="I1282" s="7">
        <v>7</v>
      </c>
      <c r="J1282" s="7" t="str">
        <f>"花木園便所"</f>
        <v>花木園便所</v>
      </c>
      <c r="K1282" s="7" t="str">
        <f>"木造"</f>
        <v>木造</v>
      </c>
      <c r="L1282" s="7" t="str">
        <f>"S25.01.01"</f>
        <v>S25.01.01</v>
      </c>
      <c r="M1282" s="7">
        <v>47.67</v>
      </c>
      <c r="N1282" s="7">
        <v>35024000</v>
      </c>
      <c r="O1282" s="7">
        <v>35023999</v>
      </c>
      <c r="P1282" s="7">
        <v>0</v>
      </c>
      <c r="Q1282" s="7" t="str">
        <f t="shared" si="422"/>
        <v>都市整備部</v>
      </c>
      <c r="R1282" s="7" t="str">
        <f t="shared" si="424"/>
        <v>岸和田土木事務所</v>
      </c>
    </row>
    <row r="1283" spans="1:18" s="1" customFormat="1" x14ac:dyDescent="0.45">
      <c r="A1283" s="7" t="str">
        <f t="shared" si="432"/>
        <v>08207000169</v>
      </c>
      <c r="B1283" s="7" t="str">
        <f t="shared" si="433"/>
        <v>蜻蛉池公園</v>
      </c>
      <c r="C1283" s="7" t="str">
        <f t="shared" si="431"/>
        <v>行政財産</v>
      </c>
      <c r="D1283" s="7" t="str">
        <f t="shared" si="427"/>
        <v>公園</v>
      </c>
      <c r="E1283" s="7" t="str">
        <f t="shared" si="434"/>
        <v>大阪府岸和田市尾生町</v>
      </c>
      <c r="F1283" s="7"/>
      <c r="G1283" s="7" t="str">
        <f t="shared" si="423"/>
        <v>事業用資産</v>
      </c>
      <c r="H1283" s="7" t="str">
        <f t="shared" si="417"/>
        <v>棚卸以外</v>
      </c>
      <c r="I1283" s="7">
        <v>8</v>
      </c>
      <c r="J1283" s="7" t="str">
        <f>"燃料倉庫"</f>
        <v>燃料倉庫</v>
      </c>
      <c r="K1283" s="7" t="str">
        <f>"鉄筋コンクリート造"</f>
        <v>鉄筋コンクリート造</v>
      </c>
      <c r="L1283" s="7" t="str">
        <f>"H01.03.03"</f>
        <v>H01.03.03</v>
      </c>
      <c r="M1283" s="7">
        <v>9.99</v>
      </c>
      <c r="N1283" s="7">
        <v>1483000</v>
      </c>
      <c r="O1283" s="7">
        <v>1249152</v>
      </c>
      <c r="P1283" s="7">
        <v>0</v>
      </c>
      <c r="Q1283" s="7" t="str">
        <f t="shared" si="422"/>
        <v>都市整備部</v>
      </c>
      <c r="R1283" s="7" t="str">
        <f t="shared" si="424"/>
        <v>岸和田土木事務所</v>
      </c>
    </row>
    <row r="1284" spans="1:18" s="1" customFormat="1" x14ac:dyDescent="0.45">
      <c r="A1284" s="7" t="str">
        <f t="shared" si="432"/>
        <v>08207000169</v>
      </c>
      <c r="B1284" s="7" t="str">
        <f t="shared" si="433"/>
        <v>蜻蛉池公園</v>
      </c>
      <c r="C1284" s="7" t="str">
        <f t="shared" si="431"/>
        <v>行政財産</v>
      </c>
      <c r="D1284" s="7" t="str">
        <f t="shared" si="427"/>
        <v>公園</v>
      </c>
      <c r="E1284" s="7" t="str">
        <f t="shared" si="434"/>
        <v>大阪府岸和田市尾生町</v>
      </c>
      <c r="F1284" s="7"/>
      <c r="G1284" s="7" t="str">
        <f t="shared" si="423"/>
        <v>事業用資産</v>
      </c>
      <c r="H1284" s="7" t="str">
        <f t="shared" ref="H1284:H1347" si="435">"棚卸以外"</f>
        <v>棚卸以外</v>
      </c>
      <c r="I1284" s="7">
        <v>9</v>
      </c>
      <c r="J1284" s="7" t="str">
        <f>"管理事務所倉庫"</f>
        <v>管理事務所倉庫</v>
      </c>
      <c r="K1284" s="7" t="str">
        <f>"鉄骨造"</f>
        <v>鉄骨造</v>
      </c>
      <c r="L1284" s="7" t="str">
        <f>"H01.03.03"</f>
        <v>H01.03.03</v>
      </c>
      <c r="M1284" s="7">
        <v>60.3</v>
      </c>
      <c r="N1284" s="7">
        <v>6180000</v>
      </c>
      <c r="O1284" s="7">
        <v>5853386</v>
      </c>
      <c r="P1284" s="7">
        <v>0</v>
      </c>
      <c r="Q1284" s="7" t="str">
        <f t="shared" si="422"/>
        <v>都市整備部</v>
      </c>
      <c r="R1284" s="7" t="str">
        <f t="shared" si="424"/>
        <v>岸和田土木事務所</v>
      </c>
    </row>
    <row r="1285" spans="1:18" s="1" customFormat="1" x14ac:dyDescent="0.45">
      <c r="A1285" s="7" t="str">
        <f t="shared" si="432"/>
        <v>08207000169</v>
      </c>
      <c r="B1285" s="7" t="str">
        <f t="shared" si="433"/>
        <v>蜻蛉池公園</v>
      </c>
      <c r="C1285" s="7" t="str">
        <f t="shared" si="431"/>
        <v>行政財産</v>
      </c>
      <c r="D1285" s="7" t="str">
        <f t="shared" si="427"/>
        <v>公園</v>
      </c>
      <c r="E1285" s="7" t="str">
        <f t="shared" si="434"/>
        <v>大阪府岸和田市尾生町</v>
      </c>
      <c r="F1285" s="7"/>
      <c r="G1285" s="7" t="str">
        <f t="shared" si="423"/>
        <v>事業用資産</v>
      </c>
      <c r="H1285" s="7" t="str">
        <f t="shared" si="435"/>
        <v>棚卸以外</v>
      </c>
      <c r="I1285" s="7">
        <v>10</v>
      </c>
      <c r="J1285" s="7" t="str">
        <f>"憩いの広場売店休憩所"</f>
        <v>憩いの広場売店休憩所</v>
      </c>
      <c r="K1285" s="7" t="str">
        <f>"鉄筋コンクリート造"</f>
        <v>鉄筋コンクリート造</v>
      </c>
      <c r="L1285" s="7" t="str">
        <f>"H06.06.20"</f>
        <v>H06.06.20</v>
      </c>
      <c r="M1285" s="7">
        <v>183.77</v>
      </c>
      <c r="N1285" s="7">
        <v>145889491</v>
      </c>
      <c r="O1285" s="7">
        <v>74126400</v>
      </c>
      <c r="P1285" s="7">
        <v>0</v>
      </c>
      <c r="Q1285" s="7" t="str">
        <f t="shared" si="422"/>
        <v>都市整備部</v>
      </c>
      <c r="R1285" s="7" t="str">
        <f t="shared" si="424"/>
        <v>岸和田土木事務所</v>
      </c>
    </row>
    <row r="1286" spans="1:18" s="1" customFormat="1" ht="26.4" x14ac:dyDescent="0.45">
      <c r="A1286" s="7" t="str">
        <f t="shared" si="432"/>
        <v>08207000169</v>
      </c>
      <c r="B1286" s="7" t="str">
        <f t="shared" si="433"/>
        <v>蜻蛉池公園</v>
      </c>
      <c r="C1286" s="7" t="str">
        <f t="shared" si="431"/>
        <v>行政財産</v>
      </c>
      <c r="D1286" s="7" t="str">
        <f t="shared" si="427"/>
        <v>公園</v>
      </c>
      <c r="E1286" s="7" t="str">
        <f t="shared" si="434"/>
        <v>大阪府岸和田市尾生町</v>
      </c>
      <c r="F1286" s="7"/>
      <c r="G1286" s="7" t="str">
        <f t="shared" ref="G1286:G1317" si="436">"事業用資産"</f>
        <v>事業用資産</v>
      </c>
      <c r="H1286" s="7" t="str">
        <f t="shared" si="435"/>
        <v>棚卸以外</v>
      </c>
      <c r="I1286" s="7">
        <v>11</v>
      </c>
      <c r="J1286" s="7" t="str">
        <f>"スポーツハウス"</f>
        <v>スポーツハウス</v>
      </c>
      <c r="K1286" s="7" t="str">
        <f>"鉄骨鉄筋コンクリート造"</f>
        <v>鉄骨鉄筋コンクリート造</v>
      </c>
      <c r="L1286" s="7" t="str">
        <f>"H08.03.21"</f>
        <v>H08.03.21</v>
      </c>
      <c r="M1286" s="7">
        <v>483.12</v>
      </c>
      <c r="N1286" s="7">
        <v>319368446</v>
      </c>
      <c r="O1286" s="7">
        <v>146320548</v>
      </c>
      <c r="P1286" s="7">
        <v>0</v>
      </c>
      <c r="Q1286" s="7" t="str">
        <f t="shared" si="422"/>
        <v>都市整備部</v>
      </c>
      <c r="R1286" s="7" t="str">
        <f t="shared" si="424"/>
        <v>岸和田土木事務所</v>
      </c>
    </row>
    <row r="1287" spans="1:18" s="1" customFormat="1" x14ac:dyDescent="0.45">
      <c r="A1287" s="7" t="str">
        <f t="shared" si="432"/>
        <v>08207000169</v>
      </c>
      <c r="B1287" s="7" t="str">
        <f t="shared" si="433"/>
        <v>蜻蛉池公園</v>
      </c>
      <c r="C1287" s="7" t="str">
        <f t="shared" si="431"/>
        <v>行政財産</v>
      </c>
      <c r="D1287" s="7" t="str">
        <f t="shared" si="427"/>
        <v>公園</v>
      </c>
      <c r="E1287" s="7" t="str">
        <f t="shared" si="434"/>
        <v>大阪府岸和田市尾生町</v>
      </c>
      <c r="F1287" s="7"/>
      <c r="G1287" s="7" t="str">
        <f t="shared" si="436"/>
        <v>事業用資産</v>
      </c>
      <c r="H1287" s="7" t="str">
        <f t="shared" si="435"/>
        <v>棚卸以外</v>
      </c>
      <c r="I1287" s="7">
        <v>12</v>
      </c>
      <c r="J1287" s="7" t="str">
        <f>"テニス村便所"</f>
        <v>テニス村便所</v>
      </c>
      <c r="K1287" s="7" t="str">
        <f>"鉄筋コンクリート造"</f>
        <v>鉄筋コンクリート造</v>
      </c>
      <c r="L1287" s="7" t="str">
        <f>"H08.09.10"</f>
        <v>H08.09.10</v>
      </c>
      <c r="M1287" s="7">
        <v>56.36</v>
      </c>
      <c r="N1287" s="7">
        <v>63108883</v>
      </c>
      <c r="O1287" s="7">
        <v>38723275</v>
      </c>
      <c r="P1287" s="7">
        <v>0</v>
      </c>
      <c r="Q1287" s="7" t="str">
        <f t="shared" si="422"/>
        <v>都市整備部</v>
      </c>
      <c r="R1287" s="7" t="str">
        <f t="shared" si="424"/>
        <v>岸和田土木事務所</v>
      </c>
    </row>
    <row r="1288" spans="1:18" s="1" customFormat="1" x14ac:dyDescent="0.45">
      <c r="A1288" s="7" t="str">
        <f t="shared" si="432"/>
        <v>08207000169</v>
      </c>
      <c r="B1288" s="7" t="str">
        <f t="shared" si="433"/>
        <v>蜻蛉池公園</v>
      </c>
      <c r="C1288" s="7" t="str">
        <f t="shared" si="431"/>
        <v>行政財産</v>
      </c>
      <c r="D1288" s="7" t="str">
        <f t="shared" si="427"/>
        <v>公園</v>
      </c>
      <c r="E1288" s="7" t="str">
        <f t="shared" si="434"/>
        <v>大阪府岸和田市尾生町</v>
      </c>
      <c r="F1288" s="7"/>
      <c r="G1288" s="7" t="str">
        <f t="shared" si="436"/>
        <v>事業用資産</v>
      </c>
      <c r="H1288" s="7" t="str">
        <f t="shared" si="435"/>
        <v>棚卸以外</v>
      </c>
      <c r="I1288" s="7">
        <v>13</v>
      </c>
      <c r="J1288" s="7" t="str">
        <f>"第１駐車場便所"</f>
        <v>第１駐車場便所</v>
      </c>
      <c r="K1288" s="7" t="str">
        <f>"鉄骨造"</f>
        <v>鉄骨造</v>
      </c>
      <c r="L1288" s="7" t="str">
        <f>"H10.05.14"</f>
        <v>H10.05.14</v>
      </c>
      <c r="M1288" s="7">
        <v>79.97</v>
      </c>
      <c r="N1288" s="7">
        <v>57329000</v>
      </c>
      <c r="O1288" s="7">
        <v>45925048</v>
      </c>
      <c r="P1288" s="7">
        <v>0</v>
      </c>
      <c r="Q1288" s="7" t="str">
        <f t="shared" si="422"/>
        <v>都市整備部</v>
      </c>
      <c r="R1288" s="7" t="str">
        <f t="shared" si="424"/>
        <v>岸和田土木事務所</v>
      </c>
    </row>
    <row r="1289" spans="1:18" s="1" customFormat="1" x14ac:dyDescent="0.45">
      <c r="A1289" s="7" t="str">
        <f t="shared" si="432"/>
        <v>08207000169</v>
      </c>
      <c r="B1289" s="7" t="str">
        <f t="shared" si="433"/>
        <v>蜻蛉池公園</v>
      </c>
      <c r="C1289" s="7" t="str">
        <f t="shared" si="431"/>
        <v>行政財産</v>
      </c>
      <c r="D1289" s="7" t="str">
        <f t="shared" si="427"/>
        <v>公園</v>
      </c>
      <c r="E1289" s="7" t="str">
        <f t="shared" si="434"/>
        <v>大阪府岸和田市尾生町</v>
      </c>
      <c r="F1289" s="7"/>
      <c r="G1289" s="7" t="str">
        <f t="shared" si="436"/>
        <v>事業用資産</v>
      </c>
      <c r="H1289" s="7" t="str">
        <f t="shared" si="435"/>
        <v>棚卸以外</v>
      </c>
      <c r="I1289" s="7">
        <v>15</v>
      </c>
      <c r="J1289" s="7" t="str">
        <f>"大芝生広場便所"</f>
        <v>大芝生広場便所</v>
      </c>
      <c r="K1289" s="7" t="str">
        <f t="shared" ref="K1289:K1294" si="437">"鉄筋コンクリート造"</f>
        <v>鉄筋コンクリート造</v>
      </c>
      <c r="L1289" s="7" t="str">
        <f>"H16.03.25"</f>
        <v>H16.03.25</v>
      </c>
      <c r="M1289" s="7">
        <v>69.790000000000006</v>
      </c>
      <c r="N1289" s="7">
        <v>29408000</v>
      </c>
      <c r="O1289" s="7">
        <v>14704176</v>
      </c>
      <c r="P1289" s="7">
        <v>0</v>
      </c>
      <c r="Q1289" s="7" t="str">
        <f t="shared" si="422"/>
        <v>都市整備部</v>
      </c>
      <c r="R1289" s="7" t="str">
        <f t="shared" ref="R1289:R1320" si="438">"岸和田土木事務所"</f>
        <v>岸和田土木事務所</v>
      </c>
    </row>
    <row r="1290" spans="1:18" s="1" customFormat="1" x14ac:dyDescent="0.45">
      <c r="A1290" s="7" t="str">
        <f t="shared" si="432"/>
        <v>08207000169</v>
      </c>
      <c r="B1290" s="7" t="str">
        <f t="shared" si="433"/>
        <v>蜻蛉池公園</v>
      </c>
      <c r="C1290" s="7" t="str">
        <f t="shared" si="431"/>
        <v>行政財産</v>
      </c>
      <c r="D1290" s="7" t="str">
        <f t="shared" si="427"/>
        <v>公園</v>
      </c>
      <c r="E1290" s="7" t="str">
        <f t="shared" si="434"/>
        <v>大阪府岸和田市尾生町</v>
      </c>
      <c r="F1290" s="7"/>
      <c r="G1290" s="7" t="str">
        <f t="shared" si="436"/>
        <v>事業用資産</v>
      </c>
      <c r="H1290" s="7" t="str">
        <f t="shared" si="435"/>
        <v>棚卸以外</v>
      </c>
      <c r="I1290" s="7">
        <v>16</v>
      </c>
      <c r="J1290" s="7" t="str">
        <f>"第２駐車場便所"</f>
        <v>第２駐車場便所</v>
      </c>
      <c r="K1290" s="7" t="str">
        <f t="shared" si="437"/>
        <v>鉄筋コンクリート造</v>
      </c>
      <c r="L1290" s="7" t="str">
        <f>"H16.03.25"</f>
        <v>H16.03.25</v>
      </c>
      <c r="M1290" s="7">
        <v>80.05</v>
      </c>
      <c r="N1290" s="7">
        <v>30911000</v>
      </c>
      <c r="O1290" s="7">
        <v>15455664</v>
      </c>
      <c r="P1290" s="7">
        <v>0</v>
      </c>
      <c r="Q1290" s="7" t="str">
        <f t="shared" si="422"/>
        <v>都市整備部</v>
      </c>
      <c r="R1290" s="7" t="str">
        <f t="shared" si="438"/>
        <v>岸和田土木事務所</v>
      </c>
    </row>
    <row r="1291" spans="1:18" s="1" customFormat="1" x14ac:dyDescent="0.45">
      <c r="A1291" s="7" t="str">
        <f t="shared" si="432"/>
        <v>08207000169</v>
      </c>
      <c r="B1291" s="7" t="str">
        <f t="shared" si="433"/>
        <v>蜻蛉池公園</v>
      </c>
      <c r="C1291" s="7" t="str">
        <f t="shared" si="431"/>
        <v>行政財産</v>
      </c>
      <c r="D1291" s="7" t="str">
        <f t="shared" si="427"/>
        <v>公園</v>
      </c>
      <c r="E1291" s="7" t="str">
        <f t="shared" si="434"/>
        <v>大阪府岸和田市尾生町</v>
      </c>
      <c r="F1291" s="7"/>
      <c r="G1291" s="7" t="str">
        <f t="shared" si="436"/>
        <v>事業用資産</v>
      </c>
      <c r="H1291" s="7" t="str">
        <f t="shared" si="435"/>
        <v>棚卸以外</v>
      </c>
      <c r="I1291" s="7">
        <v>17</v>
      </c>
      <c r="J1291" s="7" t="str">
        <f>"ふれあいの森便所"</f>
        <v>ふれあいの森便所</v>
      </c>
      <c r="K1291" s="7" t="str">
        <f t="shared" si="437"/>
        <v>鉄筋コンクリート造</v>
      </c>
      <c r="L1291" s="7" t="str">
        <f>"H17.03.31"</f>
        <v>H17.03.31</v>
      </c>
      <c r="M1291" s="7">
        <v>57.59</v>
      </c>
      <c r="N1291" s="7">
        <v>27975000</v>
      </c>
      <c r="O1291" s="7">
        <v>13251384</v>
      </c>
      <c r="P1291" s="7">
        <v>0</v>
      </c>
      <c r="Q1291" s="7" t="str">
        <f t="shared" si="422"/>
        <v>都市整備部</v>
      </c>
      <c r="R1291" s="7" t="str">
        <f t="shared" si="438"/>
        <v>岸和田土木事務所</v>
      </c>
    </row>
    <row r="1292" spans="1:18" s="1" customFormat="1" x14ac:dyDescent="0.45">
      <c r="A1292" s="7" t="str">
        <f t="shared" si="432"/>
        <v>08207000169</v>
      </c>
      <c r="B1292" s="7" t="str">
        <f t="shared" si="433"/>
        <v>蜻蛉池公園</v>
      </c>
      <c r="C1292" s="7" t="str">
        <f t="shared" si="431"/>
        <v>行政財産</v>
      </c>
      <c r="D1292" s="7" t="str">
        <f t="shared" ref="D1292:D1323" si="439">"公園"</f>
        <v>公園</v>
      </c>
      <c r="E1292" s="7" t="str">
        <f t="shared" si="434"/>
        <v>大阪府岸和田市尾生町</v>
      </c>
      <c r="F1292" s="7"/>
      <c r="G1292" s="7" t="str">
        <f t="shared" si="436"/>
        <v>事業用資産</v>
      </c>
      <c r="H1292" s="7" t="str">
        <f t="shared" si="435"/>
        <v>棚卸以外</v>
      </c>
      <c r="I1292" s="7">
        <v>18</v>
      </c>
      <c r="J1292" s="7" t="str">
        <f>"子供の国便所"</f>
        <v>子供の国便所</v>
      </c>
      <c r="K1292" s="7" t="str">
        <f t="shared" si="437"/>
        <v>鉄筋コンクリート造</v>
      </c>
      <c r="L1292" s="7" t="str">
        <f>"H17.03.31"</f>
        <v>H17.03.31</v>
      </c>
      <c r="M1292" s="7">
        <v>74.58</v>
      </c>
      <c r="N1292" s="7">
        <v>34146000</v>
      </c>
      <c r="O1292" s="7">
        <v>16174512</v>
      </c>
      <c r="P1292" s="7">
        <v>0</v>
      </c>
      <c r="Q1292" s="7" t="str">
        <f t="shared" si="422"/>
        <v>都市整備部</v>
      </c>
      <c r="R1292" s="7" t="str">
        <f t="shared" si="438"/>
        <v>岸和田土木事務所</v>
      </c>
    </row>
    <row r="1293" spans="1:18" s="1" customFormat="1" x14ac:dyDescent="0.45">
      <c r="A1293" s="7" t="str">
        <f t="shared" si="432"/>
        <v>08207000169</v>
      </c>
      <c r="B1293" s="7" t="str">
        <f t="shared" si="433"/>
        <v>蜻蛉池公園</v>
      </c>
      <c r="C1293" s="7" t="str">
        <f t="shared" si="431"/>
        <v>行政財産</v>
      </c>
      <c r="D1293" s="7" t="str">
        <f t="shared" si="439"/>
        <v>公園</v>
      </c>
      <c r="E1293" s="7" t="str">
        <f t="shared" si="434"/>
        <v>大阪府岸和田市尾生町</v>
      </c>
      <c r="F1293" s="7"/>
      <c r="G1293" s="7" t="str">
        <f t="shared" si="436"/>
        <v>事業用資産</v>
      </c>
      <c r="H1293" s="7" t="str">
        <f t="shared" si="435"/>
        <v>棚卸以外</v>
      </c>
      <c r="I1293" s="7">
        <v>19</v>
      </c>
      <c r="J1293" s="7" t="str">
        <f>"長池西便所"</f>
        <v>長池西便所</v>
      </c>
      <c r="K1293" s="7" t="str">
        <f t="shared" si="437"/>
        <v>鉄筋コンクリート造</v>
      </c>
      <c r="L1293" s="7" t="str">
        <f>"H20.05.16"</f>
        <v>H20.05.16</v>
      </c>
      <c r="M1293" s="7">
        <v>67.12</v>
      </c>
      <c r="N1293" s="7">
        <v>33198000</v>
      </c>
      <c r="O1293" s="7">
        <v>12958934</v>
      </c>
      <c r="P1293" s="7">
        <v>0</v>
      </c>
      <c r="Q1293" s="7" t="str">
        <f t="shared" si="422"/>
        <v>都市整備部</v>
      </c>
      <c r="R1293" s="7" t="str">
        <f t="shared" si="438"/>
        <v>岸和田土木事務所</v>
      </c>
    </row>
    <row r="1294" spans="1:18" s="1" customFormat="1" x14ac:dyDescent="0.45">
      <c r="A1294" s="7" t="str">
        <f t="shared" si="432"/>
        <v>08207000169</v>
      </c>
      <c r="B1294" s="7" t="str">
        <f t="shared" si="433"/>
        <v>蜻蛉池公園</v>
      </c>
      <c r="C1294" s="7" t="str">
        <f t="shared" si="431"/>
        <v>行政財産</v>
      </c>
      <c r="D1294" s="7" t="str">
        <f t="shared" si="439"/>
        <v>公園</v>
      </c>
      <c r="E1294" s="7" t="str">
        <f t="shared" si="434"/>
        <v>大阪府岸和田市尾生町</v>
      </c>
      <c r="F1294" s="7"/>
      <c r="G1294" s="7" t="str">
        <f t="shared" si="436"/>
        <v>事業用資産</v>
      </c>
      <c r="H1294" s="7" t="str">
        <f t="shared" si="435"/>
        <v>棚卸以外</v>
      </c>
      <c r="I1294" s="7">
        <v>20</v>
      </c>
      <c r="J1294" s="7" t="str">
        <f>"第３駐車場便所"</f>
        <v>第３駐車場便所</v>
      </c>
      <c r="K1294" s="7" t="str">
        <f t="shared" si="437"/>
        <v>鉄筋コンクリート造</v>
      </c>
      <c r="L1294" s="7" t="str">
        <f>"H26.03.17"</f>
        <v>H26.03.17</v>
      </c>
      <c r="M1294" s="7">
        <v>138.84</v>
      </c>
      <c r="N1294" s="7">
        <v>61196100</v>
      </c>
      <c r="O1294" s="7">
        <v>13554503</v>
      </c>
      <c r="P1294" s="7">
        <v>0</v>
      </c>
      <c r="Q1294" s="7" t="str">
        <f t="shared" si="422"/>
        <v>都市整備部</v>
      </c>
      <c r="R1294" s="7" t="str">
        <f t="shared" si="438"/>
        <v>岸和田土木事務所</v>
      </c>
    </row>
    <row r="1295" spans="1:18" s="1" customFormat="1" x14ac:dyDescent="0.45">
      <c r="A1295" s="7" t="str">
        <f t="shared" si="432"/>
        <v>08207000169</v>
      </c>
      <c r="B1295" s="7" t="str">
        <f t="shared" si="433"/>
        <v>蜻蛉池公園</v>
      </c>
      <c r="C1295" s="7" t="str">
        <f t="shared" si="431"/>
        <v>行政財産</v>
      </c>
      <c r="D1295" s="7" t="str">
        <f t="shared" si="439"/>
        <v>公園</v>
      </c>
      <c r="E1295" s="7" t="str">
        <f t="shared" si="434"/>
        <v>大阪府岸和田市尾生町</v>
      </c>
      <c r="F1295" s="7"/>
      <c r="G1295" s="7" t="str">
        <f t="shared" si="436"/>
        <v>事業用資産</v>
      </c>
      <c r="H1295" s="7" t="str">
        <f t="shared" si="435"/>
        <v>棚卸以外</v>
      </c>
      <c r="I1295" s="7">
        <v>21</v>
      </c>
      <c r="J1295" s="7" t="str">
        <f>"大芝生広場休憩所"</f>
        <v>大芝生広場休憩所</v>
      </c>
      <c r="K1295" s="7" t="str">
        <f>"鉄骨造"</f>
        <v>鉄骨造</v>
      </c>
      <c r="L1295" s="7" t="str">
        <f>"R04.03.24"</f>
        <v>R04.03.24</v>
      </c>
      <c r="M1295" s="7">
        <v>52.17</v>
      </c>
      <c r="N1295" s="7">
        <v>37466000</v>
      </c>
      <c r="O1295" s="7">
        <v>3746616</v>
      </c>
      <c r="P1295" s="7">
        <v>0</v>
      </c>
      <c r="Q1295" s="7" t="str">
        <f t="shared" si="422"/>
        <v>都市整備部</v>
      </c>
      <c r="R1295" s="7" t="str">
        <f t="shared" si="438"/>
        <v>岸和田土木事務所</v>
      </c>
    </row>
    <row r="1296" spans="1:18" s="1" customFormat="1" x14ac:dyDescent="0.45">
      <c r="A1296" s="7" t="str">
        <f t="shared" ref="A1296:A1309" si="440">"08207000170"</f>
        <v>08207000170</v>
      </c>
      <c r="B1296" s="7" t="str">
        <f t="shared" ref="B1296:B1309" si="441">"せんなん里海公園"</f>
        <v>せんなん里海公園</v>
      </c>
      <c r="C1296" s="7" t="str">
        <f t="shared" si="431"/>
        <v>行政財産</v>
      </c>
      <c r="D1296" s="7" t="str">
        <f t="shared" si="439"/>
        <v>公園</v>
      </c>
      <c r="E1296" s="7" t="str">
        <f t="shared" ref="E1296:E1309" si="442">"大阪府阪南市箱作"</f>
        <v>大阪府阪南市箱作</v>
      </c>
      <c r="F1296" s="7"/>
      <c r="G1296" s="7" t="str">
        <f t="shared" si="436"/>
        <v>事業用資産</v>
      </c>
      <c r="H1296" s="7" t="str">
        <f t="shared" si="435"/>
        <v>棚卸以外</v>
      </c>
      <c r="I1296" s="7">
        <v>1</v>
      </c>
      <c r="J1296" s="7" t="str">
        <f>"旧工区事務所"</f>
        <v>旧工区事務所</v>
      </c>
      <c r="K1296" s="7" t="str">
        <f>"軽量鉄骨造"</f>
        <v>軽量鉄骨造</v>
      </c>
      <c r="L1296" s="7" t="str">
        <f>"H05.11.05"</f>
        <v>H05.11.05</v>
      </c>
      <c r="M1296" s="7">
        <v>284.01</v>
      </c>
      <c r="N1296" s="7">
        <v>60452100</v>
      </c>
      <c r="O1296" s="7">
        <v>50616383</v>
      </c>
      <c r="P1296" s="7">
        <v>0</v>
      </c>
      <c r="Q1296" s="7" t="str">
        <f t="shared" si="422"/>
        <v>都市整備部</v>
      </c>
      <c r="R1296" s="7" t="str">
        <f t="shared" si="438"/>
        <v>岸和田土木事務所</v>
      </c>
    </row>
    <row r="1297" spans="1:18" s="1" customFormat="1" x14ac:dyDescent="0.45">
      <c r="A1297" s="7" t="str">
        <f t="shared" si="440"/>
        <v>08207000170</v>
      </c>
      <c r="B1297" s="7" t="str">
        <f t="shared" si="441"/>
        <v>せんなん里海公園</v>
      </c>
      <c r="C1297" s="7" t="str">
        <f t="shared" si="431"/>
        <v>行政財産</v>
      </c>
      <c r="D1297" s="7" t="str">
        <f t="shared" si="439"/>
        <v>公園</v>
      </c>
      <c r="E1297" s="7" t="str">
        <f t="shared" si="442"/>
        <v>大阪府阪南市箱作</v>
      </c>
      <c r="F1297" s="7"/>
      <c r="G1297" s="7" t="str">
        <f t="shared" si="436"/>
        <v>事業用資産</v>
      </c>
      <c r="H1297" s="7" t="str">
        <f t="shared" si="435"/>
        <v>棚卸以外</v>
      </c>
      <c r="I1297" s="7">
        <v>2</v>
      </c>
      <c r="J1297" s="7" t="str">
        <f>"多目的広場阪南１便所"</f>
        <v>多目的広場阪南１便所</v>
      </c>
      <c r="K1297" s="7" t="str">
        <f>"木造"</f>
        <v>木造</v>
      </c>
      <c r="L1297" s="7" t="str">
        <f>"H06.06.09"</f>
        <v>H06.06.09</v>
      </c>
      <c r="M1297" s="7">
        <v>60.48</v>
      </c>
      <c r="N1297" s="7">
        <v>40994000</v>
      </c>
      <c r="O1297" s="7">
        <v>40993999</v>
      </c>
      <c r="P1297" s="7">
        <v>0</v>
      </c>
      <c r="Q1297" s="7" t="str">
        <f t="shared" si="422"/>
        <v>都市整備部</v>
      </c>
      <c r="R1297" s="7" t="str">
        <f t="shared" si="438"/>
        <v>岸和田土木事務所</v>
      </c>
    </row>
    <row r="1298" spans="1:18" s="1" customFormat="1" x14ac:dyDescent="0.45">
      <c r="A1298" s="7" t="str">
        <f t="shared" si="440"/>
        <v>08207000170</v>
      </c>
      <c r="B1298" s="7" t="str">
        <f t="shared" si="441"/>
        <v>せんなん里海公園</v>
      </c>
      <c r="C1298" s="7" t="str">
        <f t="shared" si="431"/>
        <v>行政財産</v>
      </c>
      <c r="D1298" s="7" t="str">
        <f t="shared" si="439"/>
        <v>公園</v>
      </c>
      <c r="E1298" s="7" t="str">
        <f t="shared" si="442"/>
        <v>大阪府阪南市箱作</v>
      </c>
      <c r="F1298" s="7"/>
      <c r="G1298" s="7" t="str">
        <f t="shared" si="436"/>
        <v>事業用資産</v>
      </c>
      <c r="H1298" s="7" t="str">
        <f t="shared" si="435"/>
        <v>棚卸以外</v>
      </c>
      <c r="I1298" s="7">
        <v>3</v>
      </c>
      <c r="J1298" s="7" t="str">
        <f>"阪南ビーチハウス"</f>
        <v>阪南ビーチハウス</v>
      </c>
      <c r="K1298" s="7" t="str">
        <f>"木造"</f>
        <v>木造</v>
      </c>
      <c r="L1298" s="7" t="str">
        <f>"H06.06.09"</f>
        <v>H06.06.09</v>
      </c>
      <c r="M1298" s="7">
        <v>181.44</v>
      </c>
      <c r="N1298" s="7">
        <v>94812000</v>
      </c>
      <c r="O1298" s="7">
        <v>94811999</v>
      </c>
      <c r="P1298" s="7">
        <v>0</v>
      </c>
      <c r="Q1298" s="7" t="str">
        <f t="shared" si="422"/>
        <v>都市整備部</v>
      </c>
      <c r="R1298" s="7" t="str">
        <f t="shared" si="438"/>
        <v>岸和田土木事務所</v>
      </c>
    </row>
    <row r="1299" spans="1:18" s="1" customFormat="1" x14ac:dyDescent="0.45">
      <c r="A1299" s="7" t="str">
        <f t="shared" si="440"/>
        <v>08207000170</v>
      </c>
      <c r="B1299" s="7" t="str">
        <f t="shared" si="441"/>
        <v>せんなん里海公園</v>
      </c>
      <c r="C1299" s="7" t="str">
        <f t="shared" si="431"/>
        <v>行政財産</v>
      </c>
      <c r="D1299" s="7" t="str">
        <f t="shared" si="439"/>
        <v>公園</v>
      </c>
      <c r="E1299" s="7" t="str">
        <f t="shared" si="442"/>
        <v>大阪府阪南市箱作</v>
      </c>
      <c r="F1299" s="7"/>
      <c r="G1299" s="7" t="str">
        <f t="shared" si="436"/>
        <v>事業用資産</v>
      </c>
      <c r="H1299" s="7" t="str">
        <f t="shared" si="435"/>
        <v>棚卸以外</v>
      </c>
      <c r="I1299" s="7">
        <v>4</v>
      </c>
      <c r="J1299" s="7" t="str">
        <f>"岬ビーチハウス"</f>
        <v>岬ビーチハウス</v>
      </c>
      <c r="K1299" s="7" t="str">
        <f>"木造"</f>
        <v>木造</v>
      </c>
      <c r="L1299" s="7" t="str">
        <f>"H06.06.09"</f>
        <v>H06.06.09</v>
      </c>
      <c r="M1299" s="7">
        <v>181.44</v>
      </c>
      <c r="N1299" s="7">
        <v>92700000</v>
      </c>
      <c r="O1299" s="7">
        <v>92699999</v>
      </c>
      <c r="P1299" s="7">
        <v>0</v>
      </c>
      <c r="Q1299" s="7" t="str">
        <f t="shared" si="422"/>
        <v>都市整備部</v>
      </c>
      <c r="R1299" s="7" t="str">
        <f t="shared" si="438"/>
        <v>岸和田土木事務所</v>
      </c>
    </row>
    <row r="1300" spans="1:18" s="1" customFormat="1" x14ac:dyDescent="0.45">
      <c r="A1300" s="7" t="str">
        <f t="shared" si="440"/>
        <v>08207000170</v>
      </c>
      <c r="B1300" s="7" t="str">
        <f t="shared" si="441"/>
        <v>せんなん里海公園</v>
      </c>
      <c r="C1300" s="7" t="str">
        <f t="shared" si="431"/>
        <v>行政財産</v>
      </c>
      <c r="D1300" s="7" t="str">
        <f t="shared" si="439"/>
        <v>公園</v>
      </c>
      <c r="E1300" s="7" t="str">
        <f t="shared" si="442"/>
        <v>大阪府阪南市箱作</v>
      </c>
      <c r="F1300" s="7"/>
      <c r="G1300" s="7" t="str">
        <f t="shared" si="436"/>
        <v>事業用資産</v>
      </c>
      <c r="H1300" s="7" t="str">
        <f t="shared" si="435"/>
        <v>棚卸以外</v>
      </c>
      <c r="I1300" s="7">
        <v>5</v>
      </c>
      <c r="J1300" s="7" t="str">
        <f>"多目的広場阪南２便所"</f>
        <v>多目的広場阪南２便所</v>
      </c>
      <c r="K1300" s="7" t="str">
        <f>"木造"</f>
        <v>木造</v>
      </c>
      <c r="L1300" s="7" t="str">
        <f>"H06.10.07"</f>
        <v>H06.10.07</v>
      </c>
      <c r="M1300" s="7">
        <v>60.48</v>
      </c>
      <c r="N1300" s="7">
        <v>53560000</v>
      </c>
      <c r="O1300" s="7">
        <v>53559999</v>
      </c>
      <c r="P1300" s="7">
        <v>0</v>
      </c>
      <c r="Q1300" s="7" t="str">
        <f t="shared" si="422"/>
        <v>都市整備部</v>
      </c>
      <c r="R1300" s="7" t="str">
        <f t="shared" si="438"/>
        <v>岸和田土木事務所</v>
      </c>
    </row>
    <row r="1301" spans="1:18" s="1" customFormat="1" x14ac:dyDescent="0.45">
      <c r="A1301" s="7" t="str">
        <f t="shared" si="440"/>
        <v>08207000170</v>
      </c>
      <c r="B1301" s="7" t="str">
        <f t="shared" si="441"/>
        <v>せんなん里海公園</v>
      </c>
      <c r="C1301" s="7" t="str">
        <f t="shared" si="431"/>
        <v>行政財産</v>
      </c>
      <c r="D1301" s="7" t="str">
        <f t="shared" si="439"/>
        <v>公園</v>
      </c>
      <c r="E1301" s="7" t="str">
        <f t="shared" si="442"/>
        <v>大阪府阪南市箱作</v>
      </c>
      <c r="F1301" s="7"/>
      <c r="G1301" s="7" t="str">
        <f t="shared" si="436"/>
        <v>事業用資産</v>
      </c>
      <c r="H1301" s="7" t="str">
        <f t="shared" si="435"/>
        <v>棚卸以外</v>
      </c>
      <c r="I1301" s="7">
        <v>6</v>
      </c>
      <c r="J1301" s="7" t="str">
        <f>"岬２便所（東側）"</f>
        <v>岬２便所（東側）</v>
      </c>
      <c r="K1301" s="7" t="str">
        <f>"木造"</f>
        <v>木造</v>
      </c>
      <c r="L1301" s="7" t="str">
        <f>"H07.03.31"</f>
        <v>H07.03.31</v>
      </c>
      <c r="M1301" s="7">
        <v>60.48</v>
      </c>
      <c r="N1301" s="7">
        <v>53284691</v>
      </c>
      <c r="O1301" s="7">
        <v>35019999</v>
      </c>
      <c r="P1301" s="7">
        <v>0</v>
      </c>
      <c r="Q1301" s="7" t="str">
        <f t="shared" si="422"/>
        <v>都市整備部</v>
      </c>
      <c r="R1301" s="7" t="str">
        <f t="shared" si="438"/>
        <v>岸和田土木事務所</v>
      </c>
    </row>
    <row r="1302" spans="1:18" s="1" customFormat="1" x14ac:dyDescent="0.45">
      <c r="A1302" s="7" t="str">
        <f t="shared" si="440"/>
        <v>08207000170</v>
      </c>
      <c r="B1302" s="7" t="str">
        <f t="shared" si="441"/>
        <v>せんなん里海公園</v>
      </c>
      <c r="C1302" s="7" t="str">
        <f t="shared" si="431"/>
        <v>行政財産</v>
      </c>
      <c r="D1302" s="7" t="str">
        <f t="shared" si="439"/>
        <v>公園</v>
      </c>
      <c r="E1302" s="7" t="str">
        <f t="shared" si="442"/>
        <v>大阪府阪南市箱作</v>
      </c>
      <c r="F1302" s="7"/>
      <c r="G1302" s="7" t="str">
        <f t="shared" si="436"/>
        <v>事業用資産</v>
      </c>
      <c r="H1302" s="7" t="str">
        <f t="shared" si="435"/>
        <v>棚卸以外</v>
      </c>
      <c r="I1302" s="7">
        <v>7</v>
      </c>
      <c r="J1302" s="7" t="str">
        <f>"ビーチバレー競技場"</f>
        <v>ビーチバレー競技場</v>
      </c>
      <c r="K1302" s="7" t="str">
        <f>"鉄筋コンクリート造"</f>
        <v>鉄筋コンクリート造</v>
      </c>
      <c r="L1302" s="7" t="str">
        <f>"H08.12.24"</f>
        <v>H08.12.24</v>
      </c>
      <c r="M1302" s="7">
        <v>2429.4299999999998</v>
      </c>
      <c r="N1302" s="7">
        <v>1216680519</v>
      </c>
      <c r="O1302" s="7">
        <v>680502880</v>
      </c>
      <c r="P1302" s="7">
        <v>0</v>
      </c>
      <c r="Q1302" s="7" t="str">
        <f t="shared" si="422"/>
        <v>都市整備部</v>
      </c>
      <c r="R1302" s="7" t="str">
        <f t="shared" si="438"/>
        <v>岸和田土木事務所</v>
      </c>
    </row>
    <row r="1303" spans="1:18" s="1" customFormat="1" x14ac:dyDescent="0.45">
      <c r="A1303" s="7" t="str">
        <f t="shared" si="440"/>
        <v>08207000170</v>
      </c>
      <c r="B1303" s="7" t="str">
        <f t="shared" si="441"/>
        <v>せんなん里海公園</v>
      </c>
      <c r="C1303" s="7" t="str">
        <f t="shared" si="431"/>
        <v>行政財産</v>
      </c>
      <c r="D1303" s="7" t="str">
        <f t="shared" si="439"/>
        <v>公園</v>
      </c>
      <c r="E1303" s="7" t="str">
        <f t="shared" si="442"/>
        <v>大阪府阪南市箱作</v>
      </c>
      <c r="F1303" s="7"/>
      <c r="G1303" s="7" t="str">
        <f t="shared" si="436"/>
        <v>事業用資産</v>
      </c>
      <c r="H1303" s="7" t="str">
        <f t="shared" si="435"/>
        <v>棚卸以外</v>
      </c>
      <c r="I1303" s="7">
        <v>8</v>
      </c>
      <c r="J1303" s="7" t="str">
        <f>"岬１便所（西側）"</f>
        <v>岬１便所（西側）</v>
      </c>
      <c r="K1303" s="7" t="str">
        <f>"木造"</f>
        <v>木造</v>
      </c>
      <c r="L1303" s="7" t="str">
        <f>"H10.03.23"</f>
        <v>H10.03.23</v>
      </c>
      <c r="M1303" s="7">
        <v>60.48</v>
      </c>
      <c r="N1303" s="7">
        <v>29820000</v>
      </c>
      <c r="O1303" s="7">
        <v>29819999</v>
      </c>
      <c r="P1303" s="7">
        <v>0</v>
      </c>
      <c r="Q1303" s="7" t="str">
        <f t="shared" si="422"/>
        <v>都市整備部</v>
      </c>
      <c r="R1303" s="7" t="str">
        <f t="shared" si="438"/>
        <v>岸和田土木事務所</v>
      </c>
    </row>
    <row r="1304" spans="1:18" s="1" customFormat="1" x14ac:dyDescent="0.45">
      <c r="A1304" s="7" t="str">
        <f t="shared" si="440"/>
        <v>08207000170</v>
      </c>
      <c r="B1304" s="7" t="str">
        <f t="shared" si="441"/>
        <v>せんなん里海公園</v>
      </c>
      <c r="C1304" s="7" t="str">
        <f t="shared" si="431"/>
        <v>行政財産</v>
      </c>
      <c r="D1304" s="7" t="str">
        <f t="shared" si="439"/>
        <v>公園</v>
      </c>
      <c r="E1304" s="7" t="str">
        <f t="shared" si="442"/>
        <v>大阪府阪南市箱作</v>
      </c>
      <c r="F1304" s="7"/>
      <c r="G1304" s="7" t="str">
        <f t="shared" si="436"/>
        <v>事業用資産</v>
      </c>
      <c r="H1304" s="7" t="str">
        <f t="shared" si="435"/>
        <v>棚卸以外</v>
      </c>
      <c r="I1304" s="7">
        <v>9</v>
      </c>
      <c r="J1304" s="7" t="str">
        <f>"タコ遊園阪南３便所"</f>
        <v>タコ遊園阪南３便所</v>
      </c>
      <c r="K1304" s="7" t="str">
        <f>"鉄筋コンクリート造"</f>
        <v>鉄筋コンクリート造</v>
      </c>
      <c r="L1304" s="7" t="str">
        <f>"H12.03.09"</f>
        <v>H12.03.09</v>
      </c>
      <c r="M1304" s="7">
        <v>46.75</v>
      </c>
      <c r="N1304" s="7">
        <v>30756000</v>
      </c>
      <c r="O1304" s="7">
        <v>18615648</v>
      </c>
      <c r="P1304" s="7">
        <v>0</v>
      </c>
      <c r="Q1304" s="7" t="str">
        <f t="shared" si="422"/>
        <v>都市整備部</v>
      </c>
      <c r="R1304" s="7" t="str">
        <f t="shared" si="438"/>
        <v>岸和田土木事務所</v>
      </c>
    </row>
    <row r="1305" spans="1:18" s="1" customFormat="1" x14ac:dyDescent="0.45">
      <c r="A1305" s="7" t="str">
        <f t="shared" si="440"/>
        <v>08207000170</v>
      </c>
      <c r="B1305" s="7" t="str">
        <f t="shared" si="441"/>
        <v>せんなん里海公園</v>
      </c>
      <c r="C1305" s="7" t="str">
        <f t="shared" si="431"/>
        <v>行政財産</v>
      </c>
      <c r="D1305" s="7" t="str">
        <f t="shared" si="439"/>
        <v>公園</v>
      </c>
      <c r="E1305" s="7" t="str">
        <f t="shared" si="442"/>
        <v>大阪府阪南市箱作</v>
      </c>
      <c r="F1305" s="7"/>
      <c r="G1305" s="7" t="str">
        <f t="shared" si="436"/>
        <v>事業用資産</v>
      </c>
      <c r="H1305" s="7" t="str">
        <f t="shared" si="435"/>
        <v>棚卸以外</v>
      </c>
      <c r="I1305" s="7">
        <v>10</v>
      </c>
      <c r="J1305" s="7" t="str">
        <f>"車庫"</f>
        <v>車庫</v>
      </c>
      <c r="K1305" s="7" t="str">
        <f>"軽量鉄骨造"</f>
        <v>軽量鉄骨造</v>
      </c>
      <c r="L1305" s="7" t="str">
        <f>"H05.11.05"</f>
        <v>H05.11.05</v>
      </c>
      <c r="M1305" s="7">
        <v>69.56</v>
      </c>
      <c r="N1305" s="7">
        <v>6407000</v>
      </c>
      <c r="O1305" s="7">
        <v>6406999</v>
      </c>
      <c r="P1305" s="7">
        <v>0</v>
      </c>
      <c r="Q1305" s="7" t="str">
        <f t="shared" si="422"/>
        <v>都市整備部</v>
      </c>
      <c r="R1305" s="7" t="str">
        <f t="shared" si="438"/>
        <v>岸和田土木事務所</v>
      </c>
    </row>
    <row r="1306" spans="1:18" s="1" customFormat="1" x14ac:dyDescent="0.45">
      <c r="A1306" s="7" t="str">
        <f t="shared" si="440"/>
        <v>08207000170</v>
      </c>
      <c r="B1306" s="7" t="str">
        <f t="shared" si="441"/>
        <v>せんなん里海公園</v>
      </c>
      <c r="C1306" s="7" t="str">
        <f t="shared" si="431"/>
        <v>行政財産</v>
      </c>
      <c r="D1306" s="7" t="str">
        <f t="shared" si="439"/>
        <v>公園</v>
      </c>
      <c r="E1306" s="7" t="str">
        <f t="shared" si="442"/>
        <v>大阪府阪南市箱作</v>
      </c>
      <c r="F1306" s="7"/>
      <c r="G1306" s="7" t="str">
        <f t="shared" si="436"/>
        <v>事業用資産</v>
      </c>
      <c r="H1306" s="7" t="str">
        <f t="shared" si="435"/>
        <v>棚卸以外</v>
      </c>
      <c r="I1306" s="7">
        <v>11</v>
      </c>
      <c r="J1306" s="7" t="str">
        <f>"イルカ遊園阪南４便所"</f>
        <v>イルカ遊園阪南４便所</v>
      </c>
      <c r="K1306" s="7" t="str">
        <f>"鉄筋コンクリート造"</f>
        <v>鉄筋コンクリート造</v>
      </c>
      <c r="L1306" s="7" t="str">
        <f>"H15.03.13"</f>
        <v>H15.03.13</v>
      </c>
      <c r="M1306" s="7">
        <v>83.16</v>
      </c>
      <c r="N1306" s="7">
        <v>28127000</v>
      </c>
      <c r="O1306" s="7">
        <v>14803920</v>
      </c>
      <c r="P1306" s="7">
        <v>0</v>
      </c>
      <c r="Q1306" s="7" t="str">
        <f t="shared" si="422"/>
        <v>都市整備部</v>
      </c>
      <c r="R1306" s="7" t="str">
        <f t="shared" si="438"/>
        <v>岸和田土木事務所</v>
      </c>
    </row>
    <row r="1307" spans="1:18" s="1" customFormat="1" x14ac:dyDescent="0.45">
      <c r="A1307" s="7" t="str">
        <f t="shared" si="440"/>
        <v>08207000170</v>
      </c>
      <c r="B1307" s="7" t="str">
        <f t="shared" si="441"/>
        <v>せんなん里海公園</v>
      </c>
      <c r="C1307" s="7" t="str">
        <f t="shared" si="431"/>
        <v>行政財産</v>
      </c>
      <c r="D1307" s="7" t="str">
        <f t="shared" si="439"/>
        <v>公園</v>
      </c>
      <c r="E1307" s="7" t="str">
        <f t="shared" si="442"/>
        <v>大阪府阪南市箱作</v>
      </c>
      <c r="F1307" s="7"/>
      <c r="G1307" s="7" t="str">
        <f t="shared" si="436"/>
        <v>事業用資産</v>
      </c>
      <c r="H1307" s="7" t="str">
        <f t="shared" si="435"/>
        <v>棚卸以外</v>
      </c>
      <c r="I1307" s="7">
        <v>12</v>
      </c>
      <c r="J1307" s="7" t="str">
        <f>"海辺の広場阪南５便所"</f>
        <v>海辺の広場阪南５便所</v>
      </c>
      <c r="K1307" s="7" t="str">
        <f>"木造"</f>
        <v>木造</v>
      </c>
      <c r="L1307" s="7" t="str">
        <f>"H18.03.01"</f>
        <v>H18.03.01</v>
      </c>
      <c r="M1307" s="7">
        <v>106.46</v>
      </c>
      <c r="N1307" s="7">
        <v>25145000</v>
      </c>
      <c r="O1307" s="7">
        <v>25144999</v>
      </c>
      <c r="P1307" s="7">
        <v>0</v>
      </c>
      <c r="Q1307" s="7" t="str">
        <f t="shared" ref="Q1307:Q1370" si="443">"都市整備部"</f>
        <v>都市整備部</v>
      </c>
      <c r="R1307" s="7" t="str">
        <f t="shared" si="438"/>
        <v>岸和田土木事務所</v>
      </c>
    </row>
    <row r="1308" spans="1:18" s="1" customFormat="1" x14ac:dyDescent="0.45">
      <c r="A1308" s="7" t="str">
        <f t="shared" si="440"/>
        <v>08207000170</v>
      </c>
      <c r="B1308" s="7" t="str">
        <f t="shared" si="441"/>
        <v>せんなん里海公園</v>
      </c>
      <c r="C1308" s="7" t="str">
        <f t="shared" si="431"/>
        <v>行政財産</v>
      </c>
      <c r="D1308" s="7" t="str">
        <f t="shared" si="439"/>
        <v>公園</v>
      </c>
      <c r="E1308" s="7" t="str">
        <f t="shared" si="442"/>
        <v>大阪府阪南市箱作</v>
      </c>
      <c r="F1308" s="7"/>
      <c r="G1308" s="7" t="str">
        <f t="shared" si="436"/>
        <v>事業用資産</v>
      </c>
      <c r="H1308" s="7" t="str">
        <f t="shared" si="435"/>
        <v>棚卸以外</v>
      </c>
      <c r="I1308" s="7">
        <v>13</v>
      </c>
      <c r="J1308" s="7" t="str">
        <f>"倉庫"</f>
        <v>倉庫</v>
      </c>
      <c r="K1308" s="7" t="str">
        <f>"鉄骨造"</f>
        <v>鉄骨造</v>
      </c>
      <c r="L1308" s="7" t="str">
        <f>"H18.03.25"</f>
        <v>H18.03.25</v>
      </c>
      <c r="M1308" s="7">
        <v>46.2</v>
      </c>
      <c r="N1308" s="7">
        <v>3717000</v>
      </c>
      <c r="O1308" s="7">
        <v>2038368</v>
      </c>
      <c r="P1308" s="7">
        <v>0</v>
      </c>
      <c r="Q1308" s="7" t="str">
        <f t="shared" si="443"/>
        <v>都市整備部</v>
      </c>
      <c r="R1308" s="7" t="str">
        <f t="shared" si="438"/>
        <v>岸和田土木事務所</v>
      </c>
    </row>
    <row r="1309" spans="1:18" s="1" customFormat="1" x14ac:dyDescent="0.45">
      <c r="A1309" s="7" t="str">
        <f t="shared" si="440"/>
        <v>08207000170</v>
      </c>
      <c r="B1309" s="7" t="str">
        <f t="shared" si="441"/>
        <v>せんなん里海公園</v>
      </c>
      <c r="C1309" s="7" t="str">
        <f t="shared" si="431"/>
        <v>行政財産</v>
      </c>
      <c r="D1309" s="7" t="str">
        <f t="shared" si="439"/>
        <v>公園</v>
      </c>
      <c r="E1309" s="7" t="str">
        <f t="shared" si="442"/>
        <v>大阪府阪南市箱作</v>
      </c>
      <c r="F1309" s="7"/>
      <c r="G1309" s="7" t="str">
        <f t="shared" si="436"/>
        <v>事業用資産</v>
      </c>
      <c r="H1309" s="7" t="str">
        <f t="shared" si="435"/>
        <v>棚卸以外</v>
      </c>
      <c r="I1309" s="7">
        <v>15</v>
      </c>
      <c r="J1309" s="7" t="str">
        <f>"しおさい楽習館"</f>
        <v>しおさい楽習館</v>
      </c>
      <c r="K1309" s="7" t="str">
        <f>"鉄骨造"</f>
        <v>鉄骨造</v>
      </c>
      <c r="L1309" s="7" t="str">
        <f>"H29.03.24"</f>
        <v>H29.03.24</v>
      </c>
      <c r="M1309" s="7">
        <v>266</v>
      </c>
      <c r="N1309" s="7">
        <v>74266200</v>
      </c>
      <c r="O1309" s="7">
        <v>11726352</v>
      </c>
      <c r="P1309" s="7">
        <v>0</v>
      </c>
      <c r="Q1309" s="7" t="str">
        <f t="shared" si="443"/>
        <v>都市整備部</v>
      </c>
      <c r="R1309" s="7" t="str">
        <f t="shared" si="438"/>
        <v>岸和田土木事務所</v>
      </c>
    </row>
    <row r="1310" spans="1:18" s="1" customFormat="1" x14ac:dyDescent="0.45">
      <c r="A1310" s="7" t="str">
        <f t="shared" ref="A1310:A1321" si="444">"08207000171"</f>
        <v>08207000171</v>
      </c>
      <c r="B1310" s="7" t="str">
        <f t="shared" ref="B1310:B1321" si="445">"りんくう公園（一般会計）泉佐野市"</f>
        <v>りんくう公園（一般会計）泉佐野市</v>
      </c>
      <c r="C1310" s="7" t="str">
        <f t="shared" si="431"/>
        <v>行政財産</v>
      </c>
      <c r="D1310" s="7" t="str">
        <f t="shared" si="439"/>
        <v>公園</v>
      </c>
      <c r="E1310" s="7" t="str">
        <f t="shared" ref="E1310:E1321" si="446">"大阪府泉佐野市りんくう往来南"</f>
        <v>大阪府泉佐野市りんくう往来南</v>
      </c>
      <c r="F1310" s="7"/>
      <c r="G1310" s="7" t="str">
        <f t="shared" si="436"/>
        <v>事業用資産</v>
      </c>
      <c r="H1310" s="7" t="str">
        <f t="shared" si="435"/>
        <v>棚卸以外</v>
      </c>
      <c r="I1310" s="7">
        <v>1</v>
      </c>
      <c r="J1310" s="7" t="str">
        <f>"シンボル緑地№１便所"</f>
        <v>シンボル緑地№１便所</v>
      </c>
      <c r="K1310" s="7" t="str">
        <f>"鉄筋コンクリート造"</f>
        <v>鉄筋コンクリート造</v>
      </c>
      <c r="L1310" s="7" t="str">
        <f t="shared" ref="L1310:L1318" si="447">"H10.04.01"</f>
        <v>H10.04.01</v>
      </c>
      <c r="M1310" s="7">
        <v>113.81</v>
      </c>
      <c r="N1310" s="7">
        <v>43034000</v>
      </c>
      <c r="O1310" s="7">
        <v>28217527</v>
      </c>
      <c r="P1310" s="7">
        <v>0</v>
      </c>
      <c r="Q1310" s="7" t="str">
        <f t="shared" si="443"/>
        <v>都市整備部</v>
      </c>
      <c r="R1310" s="7" t="str">
        <f t="shared" si="438"/>
        <v>岸和田土木事務所</v>
      </c>
    </row>
    <row r="1311" spans="1:18" s="1" customFormat="1" x14ac:dyDescent="0.45">
      <c r="A1311" s="7" t="str">
        <f t="shared" si="444"/>
        <v>08207000171</v>
      </c>
      <c r="B1311" s="7" t="str">
        <f t="shared" si="445"/>
        <v>りんくう公園（一般会計）泉佐野市</v>
      </c>
      <c r="C1311" s="7" t="str">
        <f t="shared" si="431"/>
        <v>行政財産</v>
      </c>
      <c r="D1311" s="7" t="str">
        <f t="shared" si="439"/>
        <v>公園</v>
      </c>
      <c r="E1311" s="7" t="str">
        <f t="shared" si="446"/>
        <v>大阪府泉佐野市りんくう往来南</v>
      </c>
      <c r="F1311" s="7"/>
      <c r="G1311" s="7" t="str">
        <f t="shared" si="436"/>
        <v>事業用資産</v>
      </c>
      <c r="H1311" s="7" t="str">
        <f t="shared" si="435"/>
        <v>棚卸以外</v>
      </c>
      <c r="I1311" s="7">
        <v>2</v>
      </c>
      <c r="J1311" s="7" t="str">
        <f>"シンボル緑地№２便所"</f>
        <v>シンボル緑地№２便所</v>
      </c>
      <c r="K1311" s="7" t="str">
        <f>"鉄筋コンクリート造"</f>
        <v>鉄筋コンクリート造</v>
      </c>
      <c r="L1311" s="7" t="str">
        <f t="shared" si="447"/>
        <v>H10.04.01</v>
      </c>
      <c r="M1311" s="7">
        <v>116.16</v>
      </c>
      <c r="N1311" s="7">
        <v>44998000</v>
      </c>
      <c r="O1311" s="7">
        <v>29505320</v>
      </c>
      <c r="P1311" s="7">
        <v>0</v>
      </c>
      <c r="Q1311" s="7" t="str">
        <f t="shared" si="443"/>
        <v>都市整備部</v>
      </c>
      <c r="R1311" s="7" t="str">
        <f t="shared" si="438"/>
        <v>岸和田土木事務所</v>
      </c>
    </row>
    <row r="1312" spans="1:18" s="1" customFormat="1" x14ac:dyDescent="0.45">
      <c r="A1312" s="7" t="str">
        <f t="shared" si="444"/>
        <v>08207000171</v>
      </c>
      <c r="B1312" s="7" t="str">
        <f t="shared" si="445"/>
        <v>りんくう公園（一般会計）泉佐野市</v>
      </c>
      <c r="C1312" s="7" t="str">
        <f t="shared" si="431"/>
        <v>行政財産</v>
      </c>
      <c r="D1312" s="7" t="str">
        <f t="shared" si="439"/>
        <v>公園</v>
      </c>
      <c r="E1312" s="7" t="str">
        <f t="shared" si="446"/>
        <v>大阪府泉佐野市りんくう往来南</v>
      </c>
      <c r="F1312" s="7"/>
      <c r="G1312" s="7" t="str">
        <f t="shared" si="436"/>
        <v>事業用資産</v>
      </c>
      <c r="H1312" s="7" t="str">
        <f t="shared" si="435"/>
        <v>棚卸以外</v>
      </c>
      <c r="I1312" s="7">
        <v>3</v>
      </c>
      <c r="J1312" s="7" t="str">
        <f>"シンボル緑地№３便所"</f>
        <v>シンボル緑地№３便所</v>
      </c>
      <c r="K1312" s="7" t="str">
        <f>"鉄筋コンクリート造"</f>
        <v>鉄筋コンクリート造</v>
      </c>
      <c r="L1312" s="7" t="str">
        <f t="shared" si="447"/>
        <v>H10.04.01</v>
      </c>
      <c r="M1312" s="7">
        <v>90.23</v>
      </c>
      <c r="N1312" s="7">
        <v>35500000</v>
      </c>
      <c r="O1312" s="7">
        <v>23277449</v>
      </c>
      <c r="P1312" s="7">
        <v>0</v>
      </c>
      <c r="Q1312" s="7" t="str">
        <f t="shared" si="443"/>
        <v>都市整備部</v>
      </c>
      <c r="R1312" s="7" t="str">
        <f t="shared" si="438"/>
        <v>岸和田土木事務所</v>
      </c>
    </row>
    <row r="1313" spans="1:18" s="1" customFormat="1" x14ac:dyDescent="0.45">
      <c r="A1313" s="7" t="str">
        <f t="shared" si="444"/>
        <v>08207000171</v>
      </c>
      <c r="B1313" s="7" t="str">
        <f t="shared" si="445"/>
        <v>りんくう公園（一般会計）泉佐野市</v>
      </c>
      <c r="C1313" s="7" t="str">
        <f t="shared" si="431"/>
        <v>行政財産</v>
      </c>
      <c r="D1313" s="7" t="str">
        <f t="shared" si="439"/>
        <v>公園</v>
      </c>
      <c r="E1313" s="7" t="str">
        <f t="shared" si="446"/>
        <v>大阪府泉佐野市りんくう往来南</v>
      </c>
      <c r="F1313" s="7"/>
      <c r="G1313" s="7" t="str">
        <f t="shared" si="436"/>
        <v>事業用資産</v>
      </c>
      <c r="H1313" s="7" t="str">
        <f t="shared" si="435"/>
        <v>棚卸以外</v>
      </c>
      <c r="I1313" s="7">
        <v>4</v>
      </c>
      <c r="J1313" s="7" t="str">
        <f>"総合休憩所"</f>
        <v>総合休憩所</v>
      </c>
      <c r="K1313" s="7" t="str">
        <f>"鉄骨造"</f>
        <v>鉄骨造</v>
      </c>
      <c r="L1313" s="7" t="str">
        <f t="shared" si="447"/>
        <v>H10.04.01</v>
      </c>
      <c r="M1313" s="7">
        <v>775.07</v>
      </c>
      <c r="N1313" s="7">
        <v>323908000</v>
      </c>
      <c r="O1313" s="7">
        <v>212387175</v>
      </c>
      <c r="P1313" s="7">
        <v>0</v>
      </c>
      <c r="Q1313" s="7" t="str">
        <f t="shared" si="443"/>
        <v>都市整備部</v>
      </c>
      <c r="R1313" s="7" t="str">
        <f t="shared" si="438"/>
        <v>岸和田土木事務所</v>
      </c>
    </row>
    <row r="1314" spans="1:18" s="1" customFormat="1" x14ac:dyDescent="0.45">
      <c r="A1314" s="7" t="str">
        <f t="shared" si="444"/>
        <v>08207000171</v>
      </c>
      <c r="B1314" s="7" t="str">
        <f t="shared" si="445"/>
        <v>りんくう公園（一般会計）泉佐野市</v>
      </c>
      <c r="C1314" s="7" t="str">
        <f t="shared" si="431"/>
        <v>行政財産</v>
      </c>
      <c r="D1314" s="7" t="str">
        <f t="shared" si="439"/>
        <v>公園</v>
      </c>
      <c r="E1314" s="7" t="str">
        <f t="shared" si="446"/>
        <v>大阪府泉佐野市りんくう往来南</v>
      </c>
      <c r="F1314" s="7"/>
      <c r="G1314" s="7" t="str">
        <f t="shared" si="436"/>
        <v>事業用資産</v>
      </c>
      <c r="H1314" s="7" t="str">
        <f t="shared" si="435"/>
        <v>棚卸以外</v>
      </c>
      <c r="I1314" s="7">
        <v>5</v>
      </c>
      <c r="J1314" s="7" t="str">
        <f>"公園管理事務所"</f>
        <v>公園管理事務所</v>
      </c>
      <c r="K1314" s="7" t="str">
        <f>"鉄筋コンクリート造"</f>
        <v>鉄筋コンクリート造</v>
      </c>
      <c r="L1314" s="7" t="str">
        <f t="shared" si="447"/>
        <v>H10.04.01</v>
      </c>
      <c r="M1314" s="7">
        <v>666.46</v>
      </c>
      <c r="N1314" s="7">
        <v>265194000</v>
      </c>
      <c r="O1314" s="7">
        <v>132155010</v>
      </c>
      <c r="P1314" s="7">
        <v>0</v>
      </c>
      <c r="Q1314" s="7" t="str">
        <f t="shared" si="443"/>
        <v>都市整備部</v>
      </c>
      <c r="R1314" s="7" t="str">
        <f t="shared" si="438"/>
        <v>岸和田土木事務所</v>
      </c>
    </row>
    <row r="1315" spans="1:18" s="1" customFormat="1" x14ac:dyDescent="0.45">
      <c r="A1315" s="7" t="str">
        <f t="shared" si="444"/>
        <v>08207000171</v>
      </c>
      <c r="B1315" s="7" t="str">
        <f t="shared" si="445"/>
        <v>りんくう公園（一般会計）泉佐野市</v>
      </c>
      <c r="C1315" s="7" t="str">
        <f t="shared" si="431"/>
        <v>行政財産</v>
      </c>
      <c r="D1315" s="7" t="str">
        <f t="shared" si="439"/>
        <v>公園</v>
      </c>
      <c r="E1315" s="7" t="str">
        <f t="shared" si="446"/>
        <v>大阪府泉佐野市りんくう往来南</v>
      </c>
      <c r="F1315" s="7"/>
      <c r="G1315" s="7" t="str">
        <f t="shared" si="436"/>
        <v>事業用資産</v>
      </c>
      <c r="H1315" s="7" t="str">
        <f t="shared" si="435"/>
        <v>棚卸以外</v>
      </c>
      <c r="I1315" s="7">
        <v>6</v>
      </c>
      <c r="J1315" s="7" t="str">
        <f>"シーサイド緑地北便所"</f>
        <v>シーサイド緑地北便所</v>
      </c>
      <c r="K1315" s="7" t="str">
        <f>"鉄筋コンクリート造"</f>
        <v>鉄筋コンクリート造</v>
      </c>
      <c r="L1315" s="7" t="str">
        <f t="shared" si="447"/>
        <v>H10.04.01</v>
      </c>
      <c r="M1315" s="7">
        <v>47.14</v>
      </c>
      <c r="N1315" s="7">
        <v>39900617</v>
      </c>
      <c r="O1315" s="7">
        <v>17604522</v>
      </c>
      <c r="P1315" s="7">
        <v>0</v>
      </c>
      <c r="Q1315" s="7" t="str">
        <f t="shared" si="443"/>
        <v>都市整備部</v>
      </c>
      <c r="R1315" s="7" t="str">
        <f t="shared" si="438"/>
        <v>岸和田土木事務所</v>
      </c>
    </row>
    <row r="1316" spans="1:18" s="1" customFormat="1" x14ac:dyDescent="0.45">
      <c r="A1316" s="7" t="str">
        <f t="shared" si="444"/>
        <v>08207000171</v>
      </c>
      <c r="B1316" s="7" t="str">
        <f t="shared" si="445"/>
        <v>りんくう公園（一般会計）泉佐野市</v>
      </c>
      <c r="C1316" s="7" t="str">
        <f t="shared" si="431"/>
        <v>行政財産</v>
      </c>
      <c r="D1316" s="7" t="str">
        <f t="shared" si="439"/>
        <v>公園</v>
      </c>
      <c r="E1316" s="7" t="str">
        <f t="shared" si="446"/>
        <v>大阪府泉佐野市りんくう往来南</v>
      </c>
      <c r="F1316" s="7"/>
      <c r="G1316" s="7" t="str">
        <f t="shared" si="436"/>
        <v>事業用資産</v>
      </c>
      <c r="H1316" s="7" t="str">
        <f t="shared" si="435"/>
        <v>棚卸以外</v>
      </c>
      <c r="I1316" s="7">
        <v>7</v>
      </c>
      <c r="J1316" s="7" t="str">
        <f>"シーサイド緑地南便所"</f>
        <v>シーサイド緑地南便所</v>
      </c>
      <c r="K1316" s="7" t="str">
        <f>"鉄筋コンクリート造"</f>
        <v>鉄筋コンクリート造</v>
      </c>
      <c r="L1316" s="7" t="str">
        <f t="shared" si="447"/>
        <v>H10.04.01</v>
      </c>
      <c r="M1316" s="7">
        <v>50.33</v>
      </c>
      <c r="N1316" s="7">
        <v>51396030</v>
      </c>
      <c r="O1316" s="7">
        <v>24192389</v>
      </c>
      <c r="P1316" s="7">
        <v>0</v>
      </c>
      <c r="Q1316" s="7" t="str">
        <f t="shared" si="443"/>
        <v>都市整備部</v>
      </c>
      <c r="R1316" s="7" t="str">
        <f t="shared" si="438"/>
        <v>岸和田土木事務所</v>
      </c>
    </row>
    <row r="1317" spans="1:18" s="1" customFormat="1" x14ac:dyDescent="0.45">
      <c r="A1317" s="7" t="str">
        <f t="shared" si="444"/>
        <v>08207000171</v>
      </c>
      <c r="B1317" s="7" t="str">
        <f t="shared" si="445"/>
        <v>りんくう公園（一般会計）泉佐野市</v>
      </c>
      <c r="C1317" s="7" t="str">
        <f t="shared" si="431"/>
        <v>行政財産</v>
      </c>
      <c r="D1317" s="7" t="str">
        <f t="shared" si="439"/>
        <v>公園</v>
      </c>
      <c r="E1317" s="7" t="str">
        <f t="shared" si="446"/>
        <v>大阪府泉佐野市りんくう往来南</v>
      </c>
      <c r="F1317" s="7"/>
      <c r="G1317" s="7" t="str">
        <f t="shared" si="436"/>
        <v>事業用資産</v>
      </c>
      <c r="H1317" s="7" t="str">
        <f t="shared" si="435"/>
        <v>棚卸以外</v>
      </c>
      <c r="I1317" s="7">
        <v>8</v>
      </c>
      <c r="J1317" s="7" t="str">
        <f>"炊事棟"</f>
        <v>炊事棟</v>
      </c>
      <c r="K1317" s="7" t="str">
        <f>"鉄筋コンクリート造"</f>
        <v>鉄筋コンクリート造</v>
      </c>
      <c r="L1317" s="7" t="str">
        <f t="shared" si="447"/>
        <v>H10.04.01</v>
      </c>
      <c r="M1317" s="7">
        <v>27</v>
      </c>
      <c r="N1317" s="7">
        <v>5393000</v>
      </c>
      <c r="O1317" s="7">
        <v>3536273</v>
      </c>
      <c r="P1317" s="7">
        <v>0</v>
      </c>
      <c r="Q1317" s="7" t="str">
        <f t="shared" si="443"/>
        <v>都市整備部</v>
      </c>
      <c r="R1317" s="7" t="str">
        <f t="shared" si="438"/>
        <v>岸和田土木事務所</v>
      </c>
    </row>
    <row r="1318" spans="1:18" s="1" customFormat="1" x14ac:dyDescent="0.45">
      <c r="A1318" s="7" t="str">
        <f t="shared" si="444"/>
        <v>08207000171</v>
      </c>
      <c r="B1318" s="7" t="str">
        <f t="shared" si="445"/>
        <v>りんくう公園（一般会計）泉佐野市</v>
      </c>
      <c r="C1318" s="7" t="str">
        <f t="shared" si="431"/>
        <v>行政財産</v>
      </c>
      <c r="D1318" s="7" t="str">
        <f t="shared" si="439"/>
        <v>公園</v>
      </c>
      <c r="E1318" s="7" t="str">
        <f t="shared" si="446"/>
        <v>大阪府泉佐野市りんくう往来南</v>
      </c>
      <c r="F1318" s="7"/>
      <c r="G1318" s="7" t="str">
        <f t="shared" ref="G1318:G1336" si="448">"事業用資産"</f>
        <v>事業用資産</v>
      </c>
      <c r="H1318" s="7" t="str">
        <f t="shared" si="435"/>
        <v>棚卸以外</v>
      </c>
      <c r="I1318" s="7">
        <v>9</v>
      </c>
      <c r="J1318" s="7" t="str">
        <f>"萩の休憩所"</f>
        <v>萩の休憩所</v>
      </c>
      <c r="K1318" s="7" t="str">
        <f>"鉄骨造"</f>
        <v>鉄骨造</v>
      </c>
      <c r="L1318" s="7" t="str">
        <f t="shared" si="447"/>
        <v>H10.04.01</v>
      </c>
      <c r="M1318" s="7">
        <v>224.53</v>
      </c>
      <c r="N1318" s="7">
        <v>115572754</v>
      </c>
      <c r="O1318" s="7">
        <v>57075811</v>
      </c>
      <c r="P1318" s="7">
        <v>0</v>
      </c>
      <c r="Q1318" s="7" t="str">
        <f t="shared" si="443"/>
        <v>都市整備部</v>
      </c>
      <c r="R1318" s="7" t="str">
        <f t="shared" si="438"/>
        <v>岸和田土木事務所</v>
      </c>
    </row>
    <row r="1319" spans="1:18" s="1" customFormat="1" x14ac:dyDescent="0.45">
      <c r="A1319" s="7" t="str">
        <f t="shared" si="444"/>
        <v>08207000171</v>
      </c>
      <c r="B1319" s="7" t="str">
        <f t="shared" si="445"/>
        <v>りんくう公園（一般会計）泉佐野市</v>
      </c>
      <c r="C1319" s="7" t="str">
        <f t="shared" si="431"/>
        <v>行政財産</v>
      </c>
      <c r="D1319" s="7" t="str">
        <f t="shared" si="439"/>
        <v>公園</v>
      </c>
      <c r="E1319" s="7" t="str">
        <f t="shared" si="446"/>
        <v>大阪府泉佐野市りんくう往来南</v>
      </c>
      <c r="F1319" s="7"/>
      <c r="G1319" s="7" t="str">
        <f t="shared" si="448"/>
        <v>事業用資産</v>
      </c>
      <c r="H1319" s="7" t="str">
        <f t="shared" si="435"/>
        <v>棚卸以外</v>
      </c>
      <c r="I1319" s="7">
        <v>10</v>
      </c>
      <c r="J1319" s="7" t="str">
        <f>"第２駐車場便所"</f>
        <v>第２駐車場便所</v>
      </c>
      <c r="K1319" s="7" t="str">
        <f>"鉄筋コンクリート造"</f>
        <v>鉄筋コンクリート造</v>
      </c>
      <c r="L1319" s="7" t="str">
        <f>"H15.03.27"</f>
        <v>H15.03.27</v>
      </c>
      <c r="M1319" s="7">
        <v>16.52</v>
      </c>
      <c r="N1319" s="7">
        <v>8953000</v>
      </c>
      <c r="O1319" s="7">
        <v>4712160</v>
      </c>
      <c r="P1319" s="7">
        <v>0</v>
      </c>
      <c r="Q1319" s="7" t="str">
        <f t="shared" si="443"/>
        <v>都市整備部</v>
      </c>
      <c r="R1319" s="7" t="str">
        <f t="shared" si="438"/>
        <v>岸和田土木事務所</v>
      </c>
    </row>
    <row r="1320" spans="1:18" s="1" customFormat="1" x14ac:dyDescent="0.45">
      <c r="A1320" s="7" t="str">
        <f t="shared" si="444"/>
        <v>08207000171</v>
      </c>
      <c r="B1320" s="7" t="str">
        <f t="shared" si="445"/>
        <v>りんくう公園（一般会計）泉佐野市</v>
      </c>
      <c r="C1320" s="7" t="str">
        <f t="shared" si="431"/>
        <v>行政財産</v>
      </c>
      <c r="D1320" s="7" t="str">
        <f t="shared" si="439"/>
        <v>公園</v>
      </c>
      <c r="E1320" s="7" t="str">
        <f t="shared" si="446"/>
        <v>大阪府泉佐野市りんくう往来南</v>
      </c>
      <c r="F1320" s="7"/>
      <c r="G1320" s="7" t="str">
        <f t="shared" si="448"/>
        <v>事業用資産</v>
      </c>
      <c r="H1320" s="7" t="str">
        <f t="shared" si="435"/>
        <v>棚卸以外</v>
      </c>
      <c r="I1320" s="7">
        <v>11</v>
      </c>
      <c r="J1320" s="7" t="str">
        <f>"人工海浜緑地トイレ"</f>
        <v>人工海浜緑地トイレ</v>
      </c>
      <c r="K1320" s="7" t="str">
        <f>"鉄筋コンクリート造"</f>
        <v>鉄筋コンクリート造</v>
      </c>
      <c r="L1320" s="7" t="str">
        <f>"H08.07.15"</f>
        <v>H08.07.15</v>
      </c>
      <c r="M1320" s="7">
        <v>63</v>
      </c>
      <c r="N1320" s="7">
        <v>31415000</v>
      </c>
      <c r="O1320" s="7">
        <v>9093876</v>
      </c>
      <c r="P1320" s="7">
        <v>0</v>
      </c>
      <c r="Q1320" s="7" t="str">
        <f t="shared" si="443"/>
        <v>都市整備部</v>
      </c>
      <c r="R1320" s="7" t="str">
        <f t="shared" si="438"/>
        <v>岸和田土木事務所</v>
      </c>
    </row>
    <row r="1321" spans="1:18" s="1" customFormat="1" x14ac:dyDescent="0.45">
      <c r="A1321" s="7" t="str">
        <f t="shared" si="444"/>
        <v>08207000171</v>
      </c>
      <c r="B1321" s="7" t="str">
        <f t="shared" si="445"/>
        <v>りんくう公園（一般会計）泉佐野市</v>
      </c>
      <c r="C1321" s="7" t="str">
        <f t="shared" si="431"/>
        <v>行政財産</v>
      </c>
      <c r="D1321" s="7" t="str">
        <f t="shared" si="439"/>
        <v>公園</v>
      </c>
      <c r="E1321" s="7" t="str">
        <f t="shared" si="446"/>
        <v>大阪府泉佐野市りんくう往来南</v>
      </c>
      <c r="F1321" s="7"/>
      <c r="G1321" s="7" t="str">
        <f t="shared" si="448"/>
        <v>事業用資産</v>
      </c>
      <c r="H1321" s="7" t="str">
        <f t="shared" si="435"/>
        <v>棚卸以外</v>
      </c>
      <c r="I1321" s="7">
        <v>12</v>
      </c>
      <c r="J1321" s="7" t="str">
        <f>"シーサイド緑地トイレ"</f>
        <v>シーサイド緑地トイレ</v>
      </c>
      <c r="K1321" s="7" t="str">
        <f>"鉄筋コンクリート造"</f>
        <v>鉄筋コンクリート造</v>
      </c>
      <c r="L1321" s="7" t="str">
        <f>"H09.03.25"</f>
        <v>H09.03.25</v>
      </c>
      <c r="M1321" s="7">
        <v>44.54</v>
      </c>
      <c r="N1321" s="7">
        <v>22969000</v>
      </c>
      <c r="O1321" s="7">
        <v>6648972</v>
      </c>
      <c r="P1321" s="7">
        <v>0</v>
      </c>
      <c r="Q1321" s="7" t="str">
        <f t="shared" si="443"/>
        <v>都市整備部</v>
      </c>
      <c r="R1321" s="7" t="str">
        <f t="shared" ref="R1321:R1341" si="449">"岸和田土木事務所"</f>
        <v>岸和田土木事務所</v>
      </c>
    </row>
    <row r="1322" spans="1:18" s="1" customFormat="1" x14ac:dyDescent="0.45">
      <c r="A1322" s="7" t="str">
        <f t="shared" ref="A1322:A1336" si="450">"08207000496"</f>
        <v>08207000496</v>
      </c>
      <c r="B1322" s="7" t="str">
        <f t="shared" ref="B1322:B1336" si="451">"泉佐野丘陵緑地"</f>
        <v>泉佐野丘陵緑地</v>
      </c>
      <c r="C1322" s="7" t="str">
        <f t="shared" si="431"/>
        <v>行政財産</v>
      </c>
      <c r="D1322" s="7" t="str">
        <f t="shared" si="439"/>
        <v>公園</v>
      </c>
      <c r="E1322" s="7" t="str">
        <f t="shared" ref="E1322:E1336" si="452">"大阪府泉佐野市上之郷"</f>
        <v>大阪府泉佐野市上之郷</v>
      </c>
      <c r="F1322" s="7"/>
      <c r="G1322" s="7" t="str">
        <f t="shared" si="448"/>
        <v>事業用資産</v>
      </c>
      <c r="H1322" s="7" t="str">
        <f t="shared" si="435"/>
        <v>棚卸以外</v>
      </c>
      <c r="I1322" s="7">
        <v>2</v>
      </c>
      <c r="J1322" s="7" t="str">
        <f>"ﾊﾟｰｸｾﾝﾀｰ"</f>
        <v>ﾊﾟｰｸｾﾝﾀｰ</v>
      </c>
      <c r="K1322" s="7" t="str">
        <f>"木造"</f>
        <v>木造</v>
      </c>
      <c r="L1322" s="7" t="str">
        <f>"H26.02.28"</f>
        <v>H26.02.28</v>
      </c>
      <c r="M1322" s="7">
        <v>370.98</v>
      </c>
      <c r="N1322" s="7">
        <v>141156542</v>
      </c>
      <c r="O1322" s="7">
        <v>50483184</v>
      </c>
      <c r="P1322" s="7">
        <v>0</v>
      </c>
      <c r="Q1322" s="7" t="str">
        <f t="shared" si="443"/>
        <v>都市整備部</v>
      </c>
      <c r="R1322" s="7" t="str">
        <f t="shared" si="449"/>
        <v>岸和田土木事務所</v>
      </c>
    </row>
    <row r="1323" spans="1:18" s="1" customFormat="1" x14ac:dyDescent="0.45">
      <c r="A1323" s="7" t="str">
        <f t="shared" si="450"/>
        <v>08207000496</v>
      </c>
      <c r="B1323" s="7" t="str">
        <f t="shared" si="451"/>
        <v>泉佐野丘陵緑地</v>
      </c>
      <c r="C1323" s="7" t="str">
        <f t="shared" si="431"/>
        <v>行政財産</v>
      </c>
      <c r="D1323" s="7" t="str">
        <f t="shared" si="439"/>
        <v>公園</v>
      </c>
      <c r="E1323" s="7" t="str">
        <f t="shared" si="452"/>
        <v>大阪府泉佐野市上之郷</v>
      </c>
      <c r="F1323" s="7"/>
      <c r="G1323" s="7" t="str">
        <f t="shared" si="448"/>
        <v>事業用資産</v>
      </c>
      <c r="H1323" s="7" t="str">
        <f t="shared" si="435"/>
        <v>棚卸以外</v>
      </c>
      <c r="I1323" s="7">
        <v>3</v>
      </c>
      <c r="J1323" s="7" t="str">
        <f>"研修棟"</f>
        <v>研修棟</v>
      </c>
      <c r="K1323" s="7" t="str">
        <f>"木造"</f>
        <v>木造</v>
      </c>
      <c r="L1323" s="7" t="str">
        <f>"H26.02.28"</f>
        <v>H26.02.28</v>
      </c>
      <c r="M1323" s="7">
        <v>106.39</v>
      </c>
      <c r="N1323" s="7">
        <v>58927885</v>
      </c>
      <c r="O1323" s="7">
        <v>22990836</v>
      </c>
      <c r="P1323" s="7">
        <v>0</v>
      </c>
      <c r="Q1323" s="7" t="str">
        <f t="shared" si="443"/>
        <v>都市整備部</v>
      </c>
      <c r="R1323" s="7" t="str">
        <f t="shared" si="449"/>
        <v>岸和田土木事務所</v>
      </c>
    </row>
    <row r="1324" spans="1:18" s="1" customFormat="1" x14ac:dyDescent="0.45">
      <c r="A1324" s="7" t="str">
        <f t="shared" si="450"/>
        <v>08207000496</v>
      </c>
      <c r="B1324" s="7" t="str">
        <f t="shared" si="451"/>
        <v>泉佐野丘陵緑地</v>
      </c>
      <c r="C1324" s="7" t="str">
        <f t="shared" si="431"/>
        <v>行政財産</v>
      </c>
      <c r="D1324" s="7" t="str">
        <f t="shared" ref="D1324:D1336" si="453">"公園"</f>
        <v>公園</v>
      </c>
      <c r="E1324" s="7" t="str">
        <f t="shared" si="452"/>
        <v>大阪府泉佐野市上之郷</v>
      </c>
      <c r="F1324" s="7"/>
      <c r="G1324" s="7" t="str">
        <f t="shared" si="448"/>
        <v>事業用資産</v>
      </c>
      <c r="H1324" s="7" t="str">
        <f t="shared" si="435"/>
        <v>棚卸以外</v>
      </c>
      <c r="I1324" s="7">
        <v>4</v>
      </c>
      <c r="J1324" s="7" t="str">
        <f>"ﾊﾟｰｸｾﾝﾀｰ横倉庫"</f>
        <v>ﾊﾟｰｸｾﾝﾀｰ横倉庫</v>
      </c>
      <c r="K1324" s="7" t="str">
        <f>"木造"</f>
        <v>木造</v>
      </c>
      <c r="L1324" s="7" t="str">
        <f>"H26.02.28"</f>
        <v>H26.02.28</v>
      </c>
      <c r="M1324" s="7">
        <v>50.4</v>
      </c>
      <c r="N1324" s="7">
        <v>14760273</v>
      </c>
      <c r="O1324" s="7">
        <v>8446206</v>
      </c>
      <c r="P1324" s="7">
        <v>0</v>
      </c>
      <c r="Q1324" s="7" t="str">
        <f t="shared" si="443"/>
        <v>都市整備部</v>
      </c>
      <c r="R1324" s="7" t="str">
        <f t="shared" si="449"/>
        <v>岸和田土木事務所</v>
      </c>
    </row>
    <row r="1325" spans="1:18" s="1" customFormat="1" x14ac:dyDescent="0.45">
      <c r="A1325" s="7" t="str">
        <f t="shared" si="450"/>
        <v>08207000496</v>
      </c>
      <c r="B1325" s="7" t="str">
        <f t="shared" si="451"/>
        <v>泉佐野丘陵緑地</v>
      </c>
      <c r="C1325" s="7" t="str">
        <f t="shared" si="431"/>
        <v>行政財産</v>
      </c>
      <c r="D1325" s="7" t="str">
        <f t="shared" si="453"/>
        <v>公園</v>
      </c>
      <c r="E1325" s="7" t="str">
        <f t="shared" si="452"/>
        <v>大阪府泉佐野市上之郷</v>
      </c>
      <c r="F1325" s="7"/>
      <c r="G1325" s="7" t="str">
        <f t="shared" si="448"/>
        <v>事業用資産</v>
      </c>
      <c r="H1325" s="7" t="str">
        <f t="shared" si="435"/>
        <v>棚卸以外</v>
      </c>
      <c r="I1325" s="7">
        <v>5</v>
      </c>
      <c r="J1325" s="7" t="str">
        <f>"休憩所(郷の館）"</f>
        <v>休憩所(郷の館）</v>
      </c>
      <c r="K1325" s="7" t="str">
        <f>"木造"</f>
        <v>木造</v>
      </c>
      <c r="L1325" s="7" t="str">
        <f>"H23.03.15"</f>
        <v>H23.03.15</v>
      </c>
      <c r="M1325" s="7">
        <v>87.75</v>
      </c>
      <c r="N1325" s="7">
        <v>41405700</v>
      </c>
      <c r="O1325" s="7">
        <v>14808310</v>
      </c>
      <c r="P1325" s="7">
        <v>0</v>
      </c>
      <c r="Q1325" s="7" t="str">
        <f t="shared" si="443"/>
        <v>都市整備部</v>
      </c>
      <c r="R1325" s="7" t="str">
        <f t="shared" si="449"/>
        <v>岸和田土木事務所</v>
      </c>
    </row>
    <row r="1326" spans="1:18" s="1" customFormat="1" x14ac:dyDescent="0.45">
      <c r="A1326" s="7" t="str">
        <f t="shared" si="450"/>
        <v>08207000496</v>
      </c>
      <c r="B1326" s="7" t="str">
        <f t="shared" si="451"/>
        <v>泉佐野丘陵緑地</v>
      </c>
      <c r="C1326" s="7" t="str">
        <f t="shared" si="431"/>
        <v>行政財産</v>
      </c>
      <c r="D1326" s="7" t="str">
        <f t="shared" si="453"/>
        <v>公園</v>
      </c>
      <c r="E1326" s="7" t="str">
        <f t="shared" si="452"/>
        <v>大阪府泉佐野市上之郷</v>
      </c>
      <c r="F1326" s="7"/>
      <c r="G1326" s="7" t="str">
        <f t="shared" si="448"/>
        <v>事業用資産</v>
      </c>
      <c r="H1326" s="7" t="str">
        <f t="shared" si="435"/>
        <v>棚卸以外</v>
      </c>
      <c r="I1326" s="7">
        <v>6</v>
      </c>
      <c r="J1326" s="7" t="str">
        <f>"パーククラブ詰所"</f>
        <v>パーククラブ詰所</v>
      </c>
      <c r="K1326" s="7" t="str">
        <f>"プレハブ"</f>
        <v>プレハブ</v>
      </c>
      <c r="L1326" s="7" t="str">
        <f>"H25.03.29"</f>
        <v>H25.03.29</v>
      </c>
      <c r="M1326" s="7">
        <v>48.46</v>
      </c>
      <c r="N1326" s="7">
        <v>51448910</v>
      </c>
      <c r="O1326" s="7">
        <v>11645478</v>
      </c>
      <c r="P1326" s="7">
        <v>0</v>
      </c>
      <c r="Q1326" s="7" t="str">
        <f t="shared" si="443"/>
        <v>都市整備部</v>
      </c>
      <c r="R1326" s="7" t="str">
        <f t="shared" si="449"/>
        <v>岸和田土木事務所</v>
      </c>
    </row>
    <row r="1327" spans="1:18" s="1" customFormat="1" x14ac:dyDescent="0.45">
      <c r="A1327" s="7" t="str">
        <f t="shared" si="450"/>
        <v>08207000496</v>
      </c>
      <c r="B1327" s="7" t="str">
        <f t="shared" si="451"/>
        <v>泉佐野丘陵緑地</v>
      </c>
      <c r="C1327" s="7" t="str">
        <f t="shared" si="431"/>
        <v>行政財産</v>
      </c>
      <c r="D1327" s="7" t="str">
        <f t="shared" si="453"/>
        <v>公園</v>
      </c>
      <c r="E1327" s="7" t="str">
        <f t="shared" si="452"/>
        <v>大阪府泉佐野市上之郷</v>
      </c>
      <c r="F1327" s="7"/>
      <c r="G1327" s="7" t="str">
        <f t="shared" si="448"/>
        <v>事業用資産</v>
      </c>
      <c r="H1327" s="7" t="str">
        <f t="shared" si="435"/>
        <v>棚卸以外</v>
      </c>
      <c r="I1327" s="7">
        <v>7</v>
      </c>
      <c r="J1327" s="7" t="str">
        <f>"倉庫１"</f>
        <v>倉庫１</v>
      </c>
      <c r="K1327" s="7" t="str">
        <f>"プレハブ"</f>
        <v>プレハブ</v>
      </c>
      <c r="L1327" s="7" t="str">
        <f>"H26.03.29"</f>
        <v>H26.03.29</v>
      </c>
      <c r="M1327" s="7">
        <v>81</v>
      </c>
      <c r="N1327" s="7">
        <v>7271953</v>
      </c>
      <c r="O1327" s="7">
        <v>1876704</v>
      </c>
      <c r="P1327" s="7">
        <v>0</v>
      </c>
      <c r="Q1327" s="7" t="str">
        <f t="shared" si="443"/>
        <v>都市整備部</v>
      </c>
      <c r="R1327" s="7" t="str">
        <f t="shared" si="449"/>
        <v>岸和田土木事務所</v>
      </c>
    </row>
    <row r="1328" spans="1:18" s="1" customFormat="1" x14ac:dyDescent="0.45">
      <c r="A1328" s="7" t="str">
        <f t="shared" si="450"/>
        <v>08207000496</v>
      </c>
      <c r="B1328" s="7" t="str">
        <f t="shared" si="451"/>
        <v>泉佐野丘陵緑地</v>
      </c>
      <c r="C1328" s="7" t="str">
        <f t="shared" si="431"/>
        <v>行政財産</v>
      </c>
      <c r="D1328" s="7" t="str">
        <f t="shared" si="453"/>
        <v>公園</v>
      </c>
      <c r="E1328" s="7" t="str">
        <f t="shared" si="452"/>
        <v>大阪府泉佐野市上之郷</v>
      </c>
      <c r="F1328" s="7"/>
      <c r="G1328" s="7" t="str">
        <f t="shared" si="448"/>
        <v>事業用資産</v>
      </c>
      <c r="H1328" s="7" t="str">
        <f t="shared" si="435"/>
        <v>棚卸以外</v>
      </c>
      <c r="I1328" s="7">
        <v>8</v>
      </c>
      <c r="J1328" s="7" t="str">
        <f>"倉庫２"</f>
        <v>倉庫２</v>
      </c>
      <c r="K1328" s="7" t="str">
        <f>"プレハブ"</f>
        <v>プレハブ</v>
      </c>
      <c r="L1328" s="7" t="str">
        <f>"H25.12.10"</f>
        <v>H25.12.10</v>
      </c>
      <c r="M1328" s="7">
        <v>34.630000000000003</v>
      </c>
      <c r="N1328" s="7">
        <v>1522500</v>
      </c>
      <c r="O1328" s="7">
        <v>392928</v>
      </c>
      <c r="P1328" s="7">
        <v>0</v>
      </c>
      <c r="Q1328" s="7" t="str">
        <f t="shared" si="443"/>
        <v>都市整備部</v>
      </c>
      <c r="R1328" s="7" t="str">
        <f t="shared" si="449"/>
        <v>岸和田土木事務所</v>
      </c>
    </row>
    <row r="1329" spans="1:18" s="1" customFormat="1" x14ac:dyDescent="0.45">
      <c r="A1329" s="7" t="str">
        <f t="shared" si="450"/>
        <v>08207000496</v>
      </c>
      <c r="B1329" s="7" t="str">
        <f t="shared" si="451"/>
        <v>泉佐野丘陵緑地</v>
      </c>
      <c r="C1329" s="7" t="str">
        <f t="shared" si="431"/>
        <v>行政財産</v>
      </c>
      <c r="D1329" s="7" t="str">
        <f t="shared" si="453"/>
        <v>公園</v>
      </c>
      <c r="E1329" s="7" t="str">
        <f t="shared" si="452"/>
        <v>大阪府泉佐野市上之郷</v>
      </c>
      <c r="F1329" s="7"/>
      <c r="G1329" s="7" t="str">
        <f t="shared" si="448"/>
        <v>事業用資産</v>
      </c>
      <c r="H1329" s="7" t="str">
        <f t="shared" si="435"/>
        <v>棚卸以外</v>
      </c>
      <c r="I1329" s="7">
        <v>9</v>
      </c>
      <c r="J1329" s="7" t="str">
        <f>"芝生の広場便所"</f>
        <v>芝生の広場便所</v>
      </c>
      <c r="K1329" s="7" t="str">
        <f>"鉄筋コンクリート造"</f>
        <v>鉄筋コンクリート造</v>
      </c>
      <c r="L1329" s="7" t="str">
        <f>"H27.03.06"</f>
        <v>H27.03.06</v>
      </c>
      <c r="M1329" s="7">
        <v>20.39</v>
      </c>
      <c r="N1329" s="7">
        <v>26331480</v>
      </c>
      <c r="O1329" s="7">
        <v>5543520</v>
      </c>
      <c r="P1329" s="7">
        <v>0</v>
      </c>
      <c r="Q1329" s="7" t="str">
        <f t="shared" si="443"/>
        <v>都市整備部</v>
      </c>
      <c r="R1329" s="7" t="str">
        <f t="shared" si="449"/>
        <v>岸和田土木事務所</v>
      </c>
    </row>
    <row r="1330" spans="1:18" s="1" customFormat="1" x14ac:dyDescent="0.45">
      <c r="A1330" s="7" t="str">
        <f t="shared" si="450"/>
        <v>08207000496</v>
      </c>
      <c r="B1330" s="7" t="str">
        <f t="shared" si="451"/>
        <v>泉佐野丘陵緑地</v>
      </c>
      <c r="C1330" s="7" t="str">
        <f t="shared" si="431"/>
        <v>行政財産</v>
      </c>
      <c r="D1330" s="7" t="str">
        <f t="shared" si="453"/>
        <v>公園</v>
      </c>
      <c r="E1330" s="7" t="str">
        <f t="shared" si="452"/>
        <v>大阪府泉佐野市上之郷</v>
      </c>
      <c r="F1330" s="7"/>
      <c r="G1330" s="7" t="str">
        <f t="shared" si="448"/>
        <v>事業用資産</v>
      </c>
      <c r="H1330" s="7" t="str">
        <f t="shared" si="435"/>
        <v>棚卸以外</v>
      </c>
      <c r="I1330" s="7">
        <v>10</v>
      </c>
      <c r="J1330" s="7" t="str">
        <f>"ガラス温室"</f>
        <v>ガラス温室</v>
      </c>
      <c r="K1330" s="7" t="str">
        <f>"鉄骨造"</f>
        <v>鉄骨造</v>
      </c>
      <c r="L1330" s="7" t="str">
        <f>"H27.03.25"</f>
        <v>H27.03.25</v>
      </c>
      <c r="M1330" s="7">
        <v>123.49</v>
      </c>
      <c r="N1330" s="7">
        <v>14990400</v>
      </c>
      <c r="O1330" s="7">
        <v>3828215</v>
      </c>
      <c r="P1330" s="7">
        <v>0</v>
      </c>
      <c r="Q1330" s="7" t="str">
        <f t="shared" si="443"/>
        <v>都市整備部</v>
      </c>
      <c r="R1330" s="7" t="str">
        <f t="shared" si="449"/>
        <v>岸和田土木事務所</v>
      </c>
    </row>
    <row r="1331" spans="1:18" s="1" customFormat="1" x14ac:dyDescent="0.45">
      <c r="A1331" s="7" t="str">
        <f t="shared" si="450"/>
        <v>08207000496</v>
      </c>
      <c r="B1331" s="7" t="str">
        <f t="shared" si="451"/>
        <v>泉佐野丘陵緑地</v>
      </c>
      <c r="C1331" s="7" t="str">
        <f t="shared" si="431"/>
        <v>行政財産</v>
      </c>
      <c r="D1331" s="7" t="str">
        <f t="shared" si="453"/>
        <v>公園</v>
      </c>
      <c r="E1331" s="7" t="str">
        <f t="shared" si="452"/>
        <v>大阪府泉佐野市上之郷</v>
      </c>
      <c r="F1331" s="7"/>
      <c r="G1331" s="7" t="str">
        <f t="shared" si="448"/>
        <v>事業用資産</v>
      </c>
      <c r="H1331" s="7" t="str">
        <f t="shared" si="435"/>
        <v>棚卸以外</v>
      </c>
      <c r="I1331" s="7">
        <v>11</v>
      </c>
      <c r="J1331" s="7" t="str">
        <f>"倉庫３"</f>
        <v>倉庫３</v>
      </c>
      <c r="K1331" s="7" t="str">
        <f>"鉄骨造"</f>
        <v>鉄骨造</v>
      </c>
      <c r="L1331" s="7" t="str">
        <f>"H27.03.25"</f>
        <v>H27.03.25</v>
      </c>
      <c r="M1331" s="7">
        <v>82.72</v>
      </c>
      <c r="N1331" s="7">
        <v>8640000</v>
      </c>
      <c r="O1331" s="7">
        <v>2206470</v>
      </c>
      <c r="P1331" s="7">
        <v>0</v>
      </c>
      <c r="Q1331" s="7" t="str">
        <f t="shared" si="443"/>
        <v>都市整備部</v>
      </c>
      <c r="R1331" s="7" t="str">
        <f t="shared" si="449"/>
        <v>岸和田土木事務所</v>
      </c>
    </row>
    <row r="1332" spans="1:18" s="1" customFormat="1" x14ac:dyDescent="0.45">
      <c r="A1332" s="7" t="str">
        <f t="shared" si="450"/>
        <v>08207000496</v>
      </c>
      <c r="B1332" s="7" t="str">
        <f t="shared" si="451"/>
        <v>泉佐野丘陵緑地</v>
      </c>
      <c r="C1332" s="7" t="str">
        <f t="shared" si="431"/>
        <v>行政財産</v>
      </c>
      <c r="D1332" s="7" t="str">
        <f t="shared" si="453"/>
        <v>公園</v>
      </c>
      <c r="E1332" s="7" t="str">
        <f t="shared" si="452"/>
        <v>大阪府泉佐野市上之郷</v>
      </c>
      <c r="F1332" s="7"/>
      <c r="G1332" s="7" t="str">
        <f t="shared" si="448"/>
        <v>事業用資産</v>
      </c>
      <c r="H1332" s="7" t="str">
        <f t="shared" si="435"/>
        <v>棚卸以外</v>
      </c>
      <c r="I1332" s="7">
        <v>12</v>
      </c>
      <c r="J1332" s="7" t="str">
        <f>"水辺の広場　休憩所"</f>
        <v>水辺の広場　休憩所</v>
      </c>
      <c r="K1332" s="7" t="str">
        <f>"木造"</f>
        <v>木造</v>
      </c>
      <c r="L1332" s="7" t="str">
        <f>"H28.01.25"</f>
        <v>H28.01.25</v>
      </c>
      <c r="M1332" s="7">
        <v>33.119999999999997</v>
      </c>
      <c r="N1332" s="7">
        <v>11705392</v>
      </c>
      <c r="O1332" s="7">
        <v>5278601</v>
      </c>
      <c r="P1332" s="7">
        <v>0</v>
      </c>
      <c r="Q1332" s="7" t="str">
        <f t="shared" si="443"/>
        <v>都市整備部</v>
      </c>
      <c r="R1332" s="7" t="str">
        <f t="shared" si="449"/>
        <v>岸和田土木事務所</v>
      </c>
    </row>
    <row r="1333" spans="1:18" s="1" customFormat="1" x14ac:dyDescent="0.45">
      <c r="A1333" s="7" t="str">
        <f t="shared" si="450"/>
        <v>08207000496</v>
      </c>
      <c r="B1333" s="7" t="str">
        <f t="shared" si="451"/>
        <v>泉佐野丘陵緑地</v>
      </c>
      <c r="C1333" s="7" t="str">
        <f t="shared" si="431"/>
        <v>行政財産</v>
      </c>
      <c r="D1333" s="7" t="str">
        <f t="shared" si="453"/>
        <v>公園</v>
      </c>
      <c r="E1333" s="7" t="str">
        <f t="shared" si="452"/>
        <v>大阪府泉佐野市上之郷</v>
      </c>
      <c r="F1333" s="7"/>
      <c r="G1333" s="7" t="str">
        <f t="shared" si="448"/>
        <v>事業用資産</v>
      </c>
      <c r="H1333" s="7" t="str">
        <f t="shared" si="435"/>
        <v>棚卸以外</v>
      </c>
      <c r="I1333" s="7">
        <v>13</v>
      </c>
      <c r="J1333" s="7" t="str">
        <f>"水辺の広場　便所"</f>
        <v>水辺の広場　便所</v>
      </c>
      <c r="K1333" s="7" t="str">
        <f>"木造"</f>
        <v>木造</v>
      </c>
      <c r="L1333" s="7" t="str">
        <f>"H28.01.25"</f>
        <v>H28.01.25</v>
      </c>
      <c r="M1333" s="7">
        <v>19.87</v>
      </c>
      <c r="N1333" s="7">
        <v>10029250</v>
      </c>
      <c r="O1333" s="7">
        <v>4518279</v>
      </c>
      <c r="P1333" s="7">
        <v>0</v>
      </c>
      <c r="Q1333" s="7" t="str">
        <f t="shared" si="443"/>
        <v>都市整備部</v>
      </c>
      <c r="R1333" s="7" t="str">
        <f t="shared" si="449"/>
        <v>岸和田土木事務所</v>
      </c>
    </row>
    <row r="1334" spans="1:18" s="1" customFormat="1" x14ac:dyDescent="0.45">
      <c r="A1334" s="7" t="str">
        <f t="shared" si="450"/>
        <v>08207000496</v>
      </c>
      <c r="B1334" s="7" t="str">
        <f t="shared" si="451"/>
        <v>泉佐野丘陵緑地</v>
      </c>
      <c r="C1334" s="7" t="str">
        <f t="shared" si="431"/>
        <v>行政財産</v>
      </c>
      <c r="D1334" s="7" t="str">
        <f t="shared" si="453"/>
        <v>公園</v>
      </c>
      <c r="E1334" s="7" t="str">
        <f t="shared" si="452"/>
        <v>大阪府泉佐野市上之郷</v>
      </c>
      <c r="F1334" s="7"/>
      <c r="G1334" s="7" t="str">
        <f t="shared" si="448"/>
        <v>事業用資産</v>
      </c>
      <c r="H1334" s="7" t="str">
        <f t="shared" si="435"/>
        <v>棚卸以外</v>
      </c>
      <c r="I1334" s="7">
        <v>14</v>
      </c>
      <c r="J1334" s="7" t="str">
        <f>"倉庫（活動拠点施設）１"</f>
        <v>倉庫（活動拠点施設）１</v>
      </c>
      <c r="K1334" s="7" t="str">
        <f>"鉄骨造"</f>
        <v>鉄骨造</v>
      </c>
      <c r="L1334" s="7" t="str">
        <f>"H28.06.07"</f>
        <v>H28.06.07</v>
      </c>
      <c r="M1334" s="7">
        <v>47.43</v>
      </c>
      <c r="N1334" s="7">
        <v>2889178</v>
      </c>
      <c r="O1334" s="7">
        <v>629127</v>
      </c>
      <c r="P1334" s="7">
        <v>0</v>
      </c>
      <c r="Q1334" s="7" t="str">
        <f t="shared" si="443"/>
        <v>都市整備部</v>
      </c>
      <c r="R1334" s="7" t="str">
        <f t="shared" si="449"/>
        <v>岸和田土木事務所</v>
      </c>
    </row>
    <row r="1335" spans="1:18" s="1" customFormat="1" x14ac:dyDescent="0.45">
      <c r="A1335" s="7" t="str">
        <f t="shared" si="450"/>
        <v>08207000496</v>
      </c>
      <c r="B1335" s="7" t="str">
        <f t="shared" si="451"/>
        <v>泉佐野丘陵緑地</v>
      </c>
      <c r="C1335" s="7" t="str">
        <f t="shared" si="431"/>
        <v>行政財産</v>
      </c>
      <c r="D1335" s="7" t="str">
        <f t="shared" si="453"/>
        <v>公園</v>
      </c>
      <c r="E1335" s="7" t="str">
        <f t="shared" si="452"/>
        <v>大阪府泉佐野市上之郷</v>
      </c>
      <c r="F1335" s="7"/>
      <c r="G1335" s="7" t="str">
        <f t="shared" si="448"/>
        <v>事業用資産</v>
      </c>
      <c r="H1335" s="7" t="str">
        <f t="shared" si="435"/>
        <v>棚卸以外</v>
      </c>
      <c r="I1335" s="7">
        <v>15</v>
      </c>
      <c r="J1335" s="7" t="str">
        <f>"倉庫（活動拠点施設）２"</f>
        <v>倉庫（活動拠点施設）２</v>
      </c>
      <c r="K1335" s="7" t="str">
        <f>"鉄骨造"</f>
        <v>鉄骨造</v>
      </c>
      <c r="L1335" s="7" t="str">
        <f>"H28.06.07"</f>
        <v>H28.06.07</v>
      </c>
      <c r="M1335" s="7">
        <v>47.43</v>
      </c>
      <c r="N1335" s="7">
        <v>2889178</v>
      </c>
      <c r="O1335" s="7">
        <v>629127</v>
      </c>
      <c r="P1335" s="7">
        <v>0</v>
      </c>
      <c r="Q1335" s="7" t="str">
        <f t="shared" si="443"/>
        <v>都市整備部</v>
      </c>
      <c r="R1335" s="7" t="str">
        <f t="shared" si="449"/>
        <v>岸和田土木事務所</v>
      </c>
    </row>
    <row r="1336" spans="1:18" s="1" customFormat="1" x14ac:dyDescent="0.45">
      <c r="A1336" s="7" t="str">
        <f t="shared" si="450"/>
        <v>08207000496</v>
      </c>
      <c r="B1336" s="7" t="str">
        <f t="shared" si="451"/>
        <v>泉佐野丘陵緑地</v>
      </c>
      <c r="C1336" s="7" t="str">
        <f t="shared" ref="C1336:C1399" si="454">"行政財産"</f>
        <v>行政財産</v>
      </c>
      <c r="D1336" s="7" t="str">
        <f t="shared" si="453"/>
        <v>公園</v>
      </c>
      <c r="E1336" s="7" t="str">
        <f t="shared" si="452"/>
        <v>大阪府泉佐野市上之郷</v>
      </c>
      <c r="F1336" s="7"/>
      <c r="G1336" s="7" t="str">
        <f t="shared" si="448"/>
        <v>事業用資産</v>
      </c>
      <c r="H1336" s="7" t="str">
        <f t="shared" si="435"/>
        <v>棚卸以外</v>
      </c>
      <c r="I1336" s="7">
        <v>16</v>
      </c>
      <c r="J1336" s="7" t="str">
        <f>"ガラス温室２"</f>
        <v>ガラス温室２</v>
      </c>
      <c r="K1336" s="7" t="str">
        <f>"鉄骨造"</f>
        <v>鉄骨造</v>
      </c>
      <c r="L1336" s="7" t="str">
        <f>"H27.11.30"</f>
        <v>H27.11.30</v>
      </c>
      <c r="M1336" s="7">
        <v>99.05</v>
      </c>
      <c r="N1336" s="7">
        <v>13986000</v>
      </c>
      <c r="O1336" s="7">
        <v>3082954</v>
      </c>
      <c r="P1336" s="7">
        <v>0</v>
      </c>
      <c r="Q1336" s="7" t="str">
        <f t="shared" si="443"/>
        <v>都市整備部</v>
      </c>
      <c r="R1336" s="7" t="str">
        <f t="shared" si="449"/>
        <v>岸和田土木事務所</v>
      </c>
    </row>
    <row r="1337" spans="1:18" s="1" customFormat="1" x14ac:dyDescent="0.45">
      <c r="A1337" s="7" t="str">
        <f>"08207001005"</f>
        <v>08207001005</v>
      </c>
      <c r="B1337" s="7" t="str">
        <f>"岸和田土木事務所尾崎出張所"</f>
        <v>岸和田土木事務所尾崎出張所</v>
      </c>
      <c r="C1337" s="7" t="str">
        <f t="shared" si="454"/>
        <v>行政財産</v>
      </c>
      <c r="D1337" s="7" t="str">
        <f t="shared" ref="D1337:D1348" si="455">"その他（行政機関）の施設"</f>
        <v>その他（行政機関）の施設</v>
      </c>
      <c r="E1337" s="7" t="str">
        <f>"大阪府阪南市黒田"</f>
        <v>大阪府阪南市黒田</v>
      </c>
      <c r="F1337" s="7"/>
      <c r="G1337" s="7" t="str">
        <f>"インフラ資産"</f>
        <v>インフラ資産</v>
      </c>
      <c r="H1337" s="7" t="str">
        <f t="shared" si="435"/>
        <v>棚卸以外</v>
      </c>
      <c r="I1337" s="7">
        <v>1</v>
      </c>
      <c r="J1337" s="7" t="str">
        <f>"事務所"</f>
        <v>事務所</v>
      </c>
      <c r="K1337" s="7" t="str">
        <f>"鉄筋コンクリート造"</f>
        <v>鉄筋コンクリート造</v>
      </c>
      <c r="L1337" s="7" t="str">
        <f>"S48.12.25"</f>
        <v>S48.12.25</v>
      </c>
      <c r="M1337" s="7">
        <v>420</v>
      </c>
      <c r="N1337" s="7">
        <v>44675450</v>
      </c>
      <c r="O1337" s="7">
        <v>38247978</v>
      </c>
      <c r="P1337" s="7">
        <v>0</v>
      </c>
      <c r="Q1337" s="7" t="str">
        <f t="shared" si="443"/>
        <v>都市整備部</v>
      </c>
      <c r="R1337" s="7" t="str">
        <f t="shared" si="449"/>
        <v>岸和田土木事務所</v>
      </c>
    </row>
    <row r="1338" spans="1:18" s="1" customFormat="1" x14ac:dyDescent="0.45">
      <c r="A1338" s="7" t="str">
        <f>"08207001005"</f>
        <v>08207001005</v>
      </c>
      <c r="B1338" s="7" t="str">
        <f>"岸和田土木事務所尾崎出張所"</f>
        <v>岸和田土木事務所尾崎出張所</v>
      </c>
      <c r="C1338" s="7" t="str">
        <f t="shared" si="454"/>
        <v>行政財産</v>
      </c>
      <c r="D1338" s="7" t="str">
        <f t="shared" si="455"/>
        <v>その他（行政機関）の施設</v>
      </c>
      <c r="E1338" s="7" t="str">
        <f>"大阪府阪南市黒田"</f>
        <v>大阪府阪南市黒田</v>
      </c>
      <c r="F1338" s="7"/>
      <c r="G1338" s="7" t="str">
        <f>"インフラ資産"</f>
        <v>インフラ資産</v>
      </c>
      <c r="H1338" s="7" t="str">
        <f t="shared" si="435"/>
        <v>棚卸以外</v>
      </c>
      <c r="I1338" s="7">
        <v>2</v>
      </c>
      <c r="J1338" s="7" t="str">
        <f>"車庫兼倉庫"</f>
        <v>車庫兼倉庫</v>
      </c>
      <c r="K1338" s="7" t="str">
        <f>"鉄骨造"</f>
        <v>鉄骨造</v>
      </c>
      <c r="L1338" s="7" t="str">
        <f>"S48.12.25"</f>
        <v>S48.12.25</v>
      </c>
      <c r="M1338" s="7">
        <v>173.48</v>
      </c>
      <c r="N1338" s="7">
        <v>5163000</v>
      </c>
      <c r="O1338" s="7">
        <v>5162999</v>
      </c>
      <c r="P1338" s="7">
        <v>0</v>
      </c>
      <c r="Q1338" s="7" t="str">
        <f t="shared" si="443"/>
        <v>都市整備部</v>
      </c>
      <c r="R1338" s="7" t="str">
        <f t="shared" si="449"/>
        <v>岸和田土木事務所</v>
      </c>
    </row>
    <row r="1339" spans="1:18" s="1" customFormat="1" x14ac:dyDescent="0.45">
      <c r="A1339" s="7" t="str">
        <f>"08207001005"</f>
        <v>08207001005</v>
      </c>
      <c r="B1339" s="7" t="str">
        <f>"岸和田土木事務所尾崎出張所"</f>
        <v>岸和田土木事務所尾崎出張所</v>
      </c>
      <c r="C1339" s="7" t="str">
        <f t="shared" si="454"/>
        <v>行政財産</v>
      </c>
      <c r="D1339" s="7" t="str">
        <f t="shared" si="455"/>
        <v>その他（行政機関）の施設</v>
      </c>
      <c r="E1339" s="7" t="str">
        <f>"大阪府阪南市黒田"</f>
        <v>大阪府阪南市黒田</v>
      </c>
      <c r="F1339" s="7"/>
      <c r="G1339" s="7" t="str">
        <f>"インフラ資産"</f>
        <v>インフラ資産</v>
      </c>
      <c r="H1339" s="7" t="str">
        <f t="shared" si="435"/>
        <v>棚卸以外</v>
      </c>
      <c r="I1339" s="7">
        <v>3</v>
      </c>
      <c r="J1339" s="7" t="str">
        <f>"ボンベ置場"</f>
        <v>ボンベ置場</v>
      </c>
      <c r="K1339" s="7" t="str">
        <f>"鉄骨造"</f>
        <v>鉄骨造</v>
      </c>
      <c r="L1339" s="7" t="str">
        <f>"S48.12.25"</f>
        <v>S48.12.25</v>
      </c>
      <c r="M1339" s="7">
        <v>3.03</v>
      </c>
      <c r="N1339" s="7">
        <v>292000</v>
      </c>
      <c r="O1339" s="7">
        <v>291999</v>
      </c>
      <c r="P1339" s="7">
        <v>0</v>
      </c>
      <c r="Q1339" s="7" t="str">
        <f t="shared" si="443"/>
        <v>都市整備部</v>
      </c>
      <c r="R1339" s="7" t="str">
        <f t="shared" si="449"/>
        <v>岸和田土木事務所</v>
      </c>
    </row>
    <row r="1340" spans="1:18" s="1" customFormat="1" x14ac:dyDescent="0.45">
      <c r="A1340" s="7" t="str">
        <f>"08207001005"</f>
        <v>08207001005</v>
      </c>
      <c r="B1340" s="7" t="str">
        <f>"岸和田土木事務所尾崎出張所"</f>
        <v>岸和田土木事務所尾崎出張所</v>
      </c>
      <c r="C1340" s="7" t="str">
        <f t="shared" si="454"/>
        <v>行政財産</v>
      </c>
      <c r="D1340" s="7" t="str">
        <f t="shared" si="455"/>
        <v>その他（行政機関）の施設</v>
      </c>
      <c r="E1340" s="7" t="str">
        <f>"大阪府阪南市黒田"</f>
        <v>大阪府阪南市黒田</v>
      </c>
      <c r="F1340" s="7"/>
      <c r="G1340" s="7" t="str">
        <f>"インフラ資産"</f>
        <v>インフラ資産</v>
      </c>
      <c r="H1340" s="7" t="str">
        <f t="shared" si="435"/>
        <v>棚卸以外</v>
      </c>
      <c r="I1340" s="7">
        <v>4</v>
      </c>
      <c r="J1340" s="7" t="str">
        <f>"現説室"</f>
        <v>現説室</v>
      </c>
      <c r="K1340" s="7" t="str">
        <f>"鉄骨造"</f>
        <v>鉄骨造</v>
      </c>
      <c r="L1340" s="7" t="str">
        <f>"H09.09.11"</f>
        <v>H09.09.11</v>
      </c>
      <c r="M1340" s="7">
        <v>112.86</v>
      </c>
      <c r="N1340" s="7">
        <v>4729000</v>
      </c>
      <c r="O1340" s="7">
        <v>4454625</v>
      </c>
      <c r="P1340" s="7">
        <v>0</v>
      </c>
      <c r="Q1340" s="7" t="str">
        <f t="shared" si="443"/>
        <v>都市整備部</v>
      </c>
      <c r="R1340" s="7" t="str">
        <f t="shared" si="449"/>
        <v>岸和田土木事務所</v>
      </c>
    </row>
    <row r="1341" spans="1:18" s="1" customFormat="1" x14ac:dyDescent="0.45">
      <c r="A1341" s="7" t="str">
        <f>"08207001006"</f>
        <v>08207001006</v>
      </c>
      <c r="B1341" s="7" t="str">
        <f>"水防倉庫（尾崎水防倉庫）"</f>
        <v>水防倉庫（尾崎水防倉庫）</v>
      </c>
      <c r="C1341" s="7" t="str">
        <f t="shared" si="454"/>
        <v>行政財産</v>
      </c>
      <c r="D1341" s="7" t="str">
        <f t="shared" si="455"/>
        <v>その他（行政機関）の施設</v>
      </c>
      <c r="E1341" s="7" t="str">
        <f>"大阪府阪南市自然田"</f>
        <v>大阪府阪南市自然田</v>
      </c>
      <c r="F1341" s="7"/>
      <c r="G1341" s="7" t="str">
        <f t="shared" ref="G1341:G1355" si="456">"事業用資産"</f>
        <v>事業用資産</v>
      </c>
      <c r="H1341" s="7" t="str">
        <f t="shared" si="435"/>
        <v>棚卸以外</v>
      </c>
      <c r="I1341" s="7">
        <v>1</v>
      </c>
      <c r="J1341" s="7" t="str">
        <f>"尾崎水防倉庫"</f>
        <v>尾崎水防倉庫</v>
      </c>
      <c r="K1341" s="7" t="str">
        <f>"軽量鉄骨造"</f>
        <v>軽量鉄骨造</v>
      </c>
      <c r="L1341" s="7" t="str">
        <f>"S51.01.22"</f>
        <v>S51.01.22</v>
      </c>
      <c r="M1341" s="7">
        <v>104.2</v>
      </c>
      <c r="N1341" s="7">
        <v>591865</v>
      </c>
      <c r="O1341" s="7">
        <v>591864</v>
      </c>
      <c r="P1341" s="7">
        <v>0</v>
      </c>
      <c r="Q1341" s="7" t="str">
        <f t="shared" si="443"/>
        <v>都市整備部</v>
      </c>
      <c r="R1341" s="7" t="str">
        <f t="shared" si="449"/>
        <v>岸和田土木事務所</v>
      </c>
    </row>
    <row r="1342" spans="1:18" s="1" customFormat="1" x14ac:dyDescent="0.45">
      <c r="A1342" s="7" t="str">
        <f t="shared" ref="A1342:A1348" si="457">"08208000000"</f>
        <v>08208000000</v>
      </c>
      <c r="B1342" s="7" t="str">
        <f t="shared" ref="B1342:B1348" si="458">"西大阪治水事務所神崎川出張所"</f>
        <v>西大阪治水事務所神崎川出張所</v>
      </c>
      <c r="C1342" s="7" t="str">
        <f t="shared" si="454"/>
        <v>行政財産</v>
      </c>
      <c r="D1342" s="7" t="str">
        <f t="shared" si="455"/>
        <v>その他（行政機関）の施設</v>
      </c>
      <c r="E1342" s="7" t="str">
        <f t="shared" ref="E1342:E1348" si="459">"大阪府大阪市　淀川区新高５丁目"</f>
        <v>大阪府大阪市　淀川区新高５丁目</v>
      </c>
      <c r="F1342" s="7"/>
      <c r="G1342" s="7" t="str">
        <f t="shared" si="456"/>
        <v>事業用資産</v>
      </c>
      <c r="H1342" s="7" t="str">
        <f t="shared" si="435"/>
        <v>棚卸以外</v>
      </c>
      <c r="I1342" s="7">
        <v>21</v>
      </c>
      <c r="J1342" s="7" t="str">
        <f>"防災無線神崎川局操作室"</f>
        <v>防災無線神崎川局操作室</v>
      </c>
      <c r="K1342" s="7" t="str">
        <f>"鉄骨造"</f>
        <v>鉄骨造</v>
      </c>
      <c r="L1342" s="7" t="str">
        <f>"S51.02.17"</f>
        <v>S51.02.17</v>
      </c>
      <c r="M1342" s="7">
        <v>48.23</v>
      </c>
      <c r="N1342" s="7">
        <v>37114000</v>
      </c>
      <c r="O1342" s="7">
        <v>36622663</v>
      </c>
      <c r="P1342" s="7">
        <v>0</v>
      </c>
      <c r="Q1342" s="7" t="str">
        <f t="shared" si="443"/>
        <v>都市整備部</v>
      </c>
      <c r="R1342" s="7" t="str">
        <f t="shared" ref="R1342:R1368" si="460">"西大阪治水事務所"</f>
        <v>西大阪治水事務所</v>
      </c>
    </row>
    <row r="1343" spans="1:18" s="1" customFormat="1" x14ac:dyDescent="0.45">
      <c r="A1343" s="7" t="str">
        <f t="shared" si="457"/>
        <v>08208000000</v>
      </c>
      <c r="B1343" s="7" t="str">
        <f t="shared" si="458"/>
        <v>西大阪治水事務所神崎川出張所</v>
      </c>
      <c r="C1343" s="7" t="str">
        <f t="shared" si="454"/>
        <v>行政財産</v>
      </c>
      <c r="D1343" s="7" t="str">
        <f t="shared" si="455"/>
        <v>その他（行政機関）の施設</v>
      </c>
      <c r="E1343" s="7" t="str">
        <f t="shared" si="459"/>
        <v>大阪府大阪市　淀川区新高５丁目</v>
      </c>
      <c r="F1343" s="7"/>
      <c r="G1343" s="7" t="str">
        <f t="shared" si="456"/>
        <v>事業用資産</v>
      </c>
      <c r="H1343" s="7" t="str">
        <f t="shared" si="435"/>
        <v>棚卸以外</v>
      </c>
      <c r="I1343" s="7">
        <v>22</v>
      </c>
      <c r="J1343" s="7" t="str">
        <f>"防災無線神崎川局発電室"</f>
        <v>防災無線神崎川局発電室</v>
      </c>
      <c r="K1343" s="7" t="str">
        <f>"鉄筋コンクリート造"</f>
        <v>鉄筋コンクリート造</v>
      </c>
      <c r="L1343" s="7" t="str">
        <f>"S51.02.17"</f>
        <v>S51.02.17</v>
      </c>
      <c r="M1343" s="7">
        <v>16</v>
      </c>
      <c r="N1343" s="7">
        <v>2743000</v>
      </c>
      <c r="O1343" s="7">
        <v>2742999</v>
      </c>
      <c r="P1343" s="7">
        <v>0</v>
      </c>
      <c r="Q1343" s="7" t="str">
        <f t="shared" si="443"/>
        <v>都市整備部</v>
      </c>
      <c r="R1343" s="7" t="str">
        <f t="shared" si="460"/>
        <v>西大阪治水事務所</v>
      </c>
    </row>
    <row r="1344" spans="1:18" s="1" customFormat="1" x14ac:dyDescent="0.45">
      <c r="A1344" s="7" t="str">
        <f t="shared" si="457"/>
        <v>08208000000</v>
      </c>
      <c r="B1344" s="7" t="str">
        <f t="shared" si="458"/>
        <v>西大阪治水事務所神崎川出張所</v>
      </c>
      <c r="C1344" s="7" t="str">
        <f t="shared" si="454"/>
        <v>行政財産</v>
      </c>
      <c r="D1344" s="7" t="str">
        <f t="shared" si="455"/>
        <v>その他（行政機関）の施設</v>
      </c>
      <c r="E1344" s="7" t="str">
        <f t="shared" si="459"/>
        <v>大阪府大阪市　淀川区新高５丁目</v>
      </c>
      <c r="F1344" s="7"/>
      <c r="G1344" s="7" t="str">
        <f t="shared" si="456"/>
        <v>事業用資産</v>
      </c>
      <c r="H1344" s="7" t="str">
        <f t="shared" si="435"/>
        <v>棚卸以外</v>
      </c>
      <c r="I1344" s="7">
        <v>23</v>
      </c>
      <c r="J1344" s="7" t="str">
        <f>"非常用自家発電室"</f>
        <v>非常用自家発電室</v>
      </c>
      <c r="K1344" s="7" t="str">
        <f>"コンクリートブロック造"</f>
        <v>コンクリートブロック造</v>
      </c>
      <c r="L1344" s="7" t="str">
        <f>"S60.03.30"</f>
        <v>S60.03.30</v>
      </c>
      <c r="M1344" s="7">
        <v>33.6</v>
      </c>
      <c r="N1344" s="7">
        <v>7648000</v>
      </c>
      <c r="O1344" s="7">
        <v>6452111</v>
      </c>
      <c r="P1344" s="7">
        <v>0</v>
      </c>
      <c r="Q1344" s="7" t="str">
        <f t="shared" si="443"/>
        <v>都市整備部</v>
      </c>
      <c r="R1344" s="7" t="str">
        <f t="shared" si="460"/>
        <v>西大阪治水事務所</v>
      </c>
    </row>
    <row r="1345" spans="1:18" s="1" customFormat="1" x14ac:dyDescent="0.45">
      <c r="A1345" s="7" t="str">
        <f t="shared" si="457"/>
        <v>08208000000</v>
      </c>
      <c r="B1345" s="7" t="str">
        <f t="shared" si="458"/>
        <v>西大阪治水事務所神崎川出張所</v>
      </c>
      <c r="C1345" s="7" t="str">
        <f t="shared" si="454"/>
        <v>行政財産</v>
      </c>
      <c r="D1345" s="7" t="str">
        <f t="shared" si="455"/>
        <v>その他（行政機関）の施設</v>
      </c>
      <c r="E1345" s="7" t="str">
        <f t="shared" si="459"/>
        <v>大阪府大阪市　淀川区新高５丁目</v>
      </c>
      <c r="F1345" s="7"/>
      <c r="G1345" s="7" t="str">
        <f t="shared" si="456"/>
        <v>事業用資産</v>
      </c>
      <c r="H1345" s="7" t="str">
        <f t="shared" si="435"/>
        <v>棚卸以外</v>
      </c>
      <c r="I1345" s="7">
        <v>24</v>
      </c>
      <c r="J1345" s="7" t="str">
        <f>"水防倉庫"</f>
        <v>水防倉庫</v>
      </c>
      <c r="K1345" s="7" t="str">
        <f>"土蔵造(簡易建物)"</f>
        <v>土蔵造(簡易建物)</v>
      </c>
      <c r="L1345" s="7" t="str">
        <f>"S63.11.11"</f>
        <v>S63.11.11</v>
      </c>
      <c r="M1345" s="7">
        <v>134.68</v>
      </c>
      <c r="N1345" s="7">
        <v>6448000</v>
      </c>
      <c r="O1345" s="7">
        <v>6447999</v>
      </c>
      <c r="P1345" s="7">
        <v>0</v>
      </c>
      <c r="Q1345" s="7" t="str">
        <f t="shared" si="443"/>
        <v>都市整備部</v>
      </c>
      <c r="R1345" s="7" t="str">
        <f t="shared" si="460"/>
        <v>西大阪治水事務所</v>
      </c>
    </row>
    <row r="1346" spans="1:18" s="1" customFormat="1" x14ac:dyDescent="0.45">
      <c r="A1346" s="7" t="str">
        <f t="shared" si="457"/>
        <v>08208000000</v>
      </c>
      <c r="B1346" s="7" t="str">
        <f t="shared" si="458"/>
        <v>西大阪治水事務所神崎川出張所</v>
      </c>
      <c r="C1346" s="7" t="str">
        <f t="shared" si="454"/>
        <v>行政財産</v>
      </c>
      <c r="D1346" s="7" t="str">
        <f t="shared" si="455"/>
        <v>その他（行政機関）の施設</v>
      </c>
      <c r="E1346" s="7" t="str">
        <f t="shared" si="459"/>
        <v>大阪府大阪市　淀川区新高５丁目</v>
      </c>
      <c r="F1346" s="7"/>
      <c r="G1346" s="7" t="str">
        <f t="shared" si="456"/>
        <v>事業用資産</v>
      </c>
      <c r="H1346" s="7" t="str">
        <f t="shared" si="435"/>
        <v>棚卸以外</v>
      </c>
      <c r="I1346" s="7">
        <v>25</v>
      </c>
      <c r="J1346" s="7" t="str">
        <f>"神崎川出張所庁舎"</f>
        <v>神崎川出張所庁舎</v>
      </c>
      <c r="K1346" s="7" t="str">
        <f>"プレハブ"</f>
        <v>プレハブ</v>
      </c>
      <c r="L1346" s="7" t="str">
        <f>"H03.06.28"</f>
        <v>H03.06.28</v>
      </c>
      <c r="M1346" s="7">
        <v>426.77</v>
      </c>
      <c r="N1346" s="7">
        <v>120934080</v>
      </c>
      <c r="O1346" s="7">
        <v>104212403</v>
      </c>
      <c r="P1346" s="7">
        <v>0</v>
      </c>
      <c r="Q1346" s="7" t="str">
        <f t="shared" si="443"/>
        <v>都市整備部</v>
      </c>
      <c r="R1346" s="7" t="str">
        <f t="shared" si="460"/>
        <v>西大阪治水事務所</v>
      </c>
    </row>
    <row r="1347" spans="1:18" s="1" customFormat="1" x14ac:dyDescent="0.45">
      <c r="A1347" s="7" t="str">
        <f t="shared" si="457"/>
        <v>08208000000</v>
      </c>
      <c r="B1347" s="7" t="str">
        <f t="shared" si="458"/>
        <v>西大阪治水事務所神崎川出張所</v>
      </c>
      <c r="C1347" s="7" t="str">
        <f t="shared" si="454"/>
        <v>行政財産</v>
      </c>
      <c r="D1347" s="7" t="str">
        <f t="shared" si="455"/>
        <v>その他（行政機関）の施設</v>
      </c>
      <c r="E1347" s="7" t="str">
        <f t="shared" si="459"/>
        <v>大阪府大阪市　淀川区新高５丁目</v>
      </c>
      <c r="F1347" s="7"/>
      <c r="G1347" s="7" t="str">
        <f t="shared" si="456"/>
        <v>事業用資産</v>
      </c>
      <c r="H1347" s="7" t="str">
        <f t="shared" si="435"/>
        <v>棚卸以外</v>
      </c>
      <c r="I1347" s="7">
        <v>26</v>
      </c>
      <c r="J1347" s="7" t="str">
        <f>"神崎川出張所附属棟"</f>
        <v>神崎川出張所附属棟</v>
      </c>
      <c r="K1347" s="7" t="str">
        <f>"プレハブ"</f>
        <v>プレハブ</v>
      </c>
      <c r="L1347" s="7" t="str">
        <f>"H03.06.28"</f>
        <v>H03.06.28</v>
      </c>
      <c r="M1347" s="7">
        <v>174.63</v>
      </c>
      <c r="N1347" s="7">
        <v>16556000</v>
      </c>
      <c r="O1347" s="7">
        <v>16555999</v>
      </c>
      <c r="P1347" s="7">
        <v>0</v>
      </c>
      <c r="Q1347" s="7" t="str">
        <f t="shared" si="443"/>
        <v>都市整備部</v>
      </c>
      <c r="R1347" s="7" t="str">
        <f t="shared" si="460"/>
        <v>西大阪治水事務所</v>
      </c>
    </row>
    <row r="1348" spans="1:18" s="1" customFormat="1" x14ac:dyDescent="0.45">
      <c r="A1348" s="7" t="str">
        <f t="shared" si="457"/>
        <v>08208000000</v>
      </c>
      <c r="B1348" s="7" t="str">
        <f t="shared" si="458"/>
        <v>西大阪治水事務所神崎川出張所</v>
      </c>
      <c r="C1348" s="7" t="str">
        <f t="shared" si="454"/>
        <v>行政財産</v>
      </c>
      <c r="D1348" s="7" t="str">
        <f t="shared" si="455"/>
        <v>その他（行政機関）の施設</v>
      </c>
      <c r="E1348" s="7" t="str">
        <f t="shared" si="459"/>
        <v>大阪府大阪市　淀川区新高５丁目</v>
      </c>
      <c r="F1348" s="7"/>
      <c r="G1348" s="7" t="str">
        <f t="shared" si="456"/>
        <v>事業用資産</v>
      </c>
      <c r="H1348" s="7" t="str">
        <f t="shared" ref="H1348:H1411" si="461">"棚卸以外"</f>
        <v>棚卸以外</v>
      </c>
      <c r="I1348" s="7">
        <v>27</v>
      </c>
      <c r="J1348" s="7" t="str">
        <f>"油保管庫"</f>
        <v>油保管庫</v>
      </c>
      <c r="K1348" s="7" t="str">
        <f>"鉄筋コンクリート造"</f>
        <v>鉄筋コンクリート造</v>
      </c>
      <c r="L1348" s="7" t="str">
        <f>"H09.02.28"</f>
        <v>H09.02.28</v>
      </c>
      <c r="M1348" s="7">
        <v>3.36</v>
      </c>
      <c r="N1348" s="7">
        <v>716000</v>
      </c>
      <c r="O1348" s="7">
        <v>491723</v>
      </c>
      <c r="P1348" s="7">
        <v>0</v>
      </c>
      <c r="Q1348" s="7" t="str">
        <f t="shared" si="443"/>
        <v>都市整備部</v>
      </c>
      <c r="R1348" s="7" t="str">
        <f t="shared" si="460"/>
        <v>西大阪治水事務所</v>
      </c>
    </row>
    <row r="1349" spans="1:18" s="1" customFormat="1" x14ac:dyDescent="0.45">
      <c r="A1349" s="7" t="str">
        <f>"08208000098"</f>
        <v>08208000098</v>
      </c>
      <c r="B1349" s="7" t="str">
        <f>"水防倉庫（尻無川水防倉庫）"</f>
        <v>水防倉庫（尻無川水防倉庫）</v>
      </c>
      <c r="C1349" s="7" t="str">
        <f t="shared" si="454"/>
        <v>行政財産</v>
      </c>
      <c r="D1349" s="7" t="str">
        <f>"その他（公共用）の施設"</f>
        <v>その他（公共用）の施設</v>
      </c>
      <c r="E1349" s="7" t="str">
        <f>"大阪府大阪市　大正区泉尾６丁目"</f>
        <v>大阪府大阪市　大正区泉尾６丁目</v>
      </c>
      <c r="F1349" s="7" t="str">
        <f>"４"</f>
        <v>４</v>
      </c>
      <c r="G1349" s="7" t="str">
        <f t="shared" si="456"/>
        <v>事業用資産</v>
      </c>
      <c r="H1349" s="7" t="str">
        <f t="shared" si="461"/>
        <v>棚卸以外</v>
      </c>
      <c r="I1349" s="7">
        <v>1</v>
      </c>
      <c r="J1349" s="7" t="str">
        <f>"尻無川水防倉庫"</f>
        <v>尻無川水防倉庫</v>
      </c>
      <c r="K1349" s="7" t="str">
        <f>"プレハブ"</f>
        <v>プレハブ</v>
      </c>
      <c r="L1349" s="7" t="str">
        <f>"H17.03.31"</f>
        <v>H17.03.31</v>
      </c>
      <c r="M1349" s="7">
        <v>21.17</v>
      </c>
      <c r="N1349" s="7">
        <v>1128000</v>
      </c>
      <c r="O1349" s="7">
        <v>846072</v>
      </c>
      <c r="P1349" s="7">
        <v>0</v>
      </c>
      <c r="Q1349" s="7" t="str">
        <f t="shared" si="443"/>
        <v>都市整備部</v>
      </c>
      <c r="R1349" s="7" t="str">
        <f t="shared" si="460"/>
        <v>西大阪治水事務所</v>
      </c>
    </row>
    <row r="1350" spans="1:18" s="1" customFormat="1" x14ac:dyDescent="0.45">
      <c r="A1350" s="7" t="str">
        <f>"08208000099"</f>
        <v>08208000099</v>
      </c>
      <c r="B1350" s="7" t="str">
        <f>"水防倉庫（木津川水防倉庫）"</f>
        <v>水防倉庫（木津川水防倉庫）</v>
      </c>
      <c r="C1350" s="7" t="str">
        <f t="shared" si="454"/>
        <v>行政財産</v>
      </c>
      <c r="D1350" s="7" t="str">
        <f>"その他（公共用）の施設"</f>
        <v>その他（公共用）の施設</v>
      </c>
      <c r="E1350" s="7" t="str">
        <f>"大阪府大阪市　住之江区柴谷１丁目"</f>
        <v>大阪府大阪市　住之江区柴谷１丁目</v>
      </c>
      <c r="F1350" s="7"/>
      <c r="G1350" s="7" t="str">
        <f t="shared" si="456"/>
        <v>事業用資産</v>
      </c>
      <c r="H1350" s="7" t="str">
        <f t="shared" si="461"/>
        <v>棚卸以外</v>
      </c>
      <c r="I1350" s="7">
        <v>1</v>
      </c>
      <c r="J1350" s="7" t="str">
        <f>"木津川水防倉庫１号"</f>
        <v>木津川水防倉庫１号</v>
      </c>
      <c r="K1350" s="7" t="str">
        <f>"プレハブ"</f>
        <v>プレハブ</v>
      </c>
      <c r="L1350" s="7" t="str">
        <f>"H17.03.31"</f>
        <v>H17.03.31</v>
      </c>
      <c r="M1350" s="7">
        <v>9.3000000000000007</v>
      </c>
      <c r="N1350" s="7">
        <v>686000</v>
      </c>
      <c r="O1350" s="7">
        <v>514512</v>
      </c>
      <c r="P1350" s="7">
        <v>0</v>
      </c>
      <c r="Q1350" s="7" t="str">
        <f t="shared" si="443"/>
        <v>都市整備部</v>
      </c>
      <c r="R1350" s="7" t="str">
        <f t="shared" si="460"/>
        <v>西大阪治水事務所</v>
      </c>
    </row>
    <row r="1351" spans="1:18" s="1" customFormat="1" x14ac:dyDescent="0.45">
      <c r="A1351" s="7" t="str">
        <f>"08208000099"</f>
        <v>08208000099</v>
      </c>
      <c r="B1351" s="7" t="str">
        <f>"水防倉庫（木津川水防倉庫）"</f>
        <v>水防倉庫（木津川水防倉庫）</v>
      </c>
      <c r="C1351" s="7" t="str">
        <f t="shared" si="454"/>
        <v>行政財産</v>
      </c>
      <c r="D1351" s="7" t="str">
        <f>"その他（公共用）の施設"</f>
        <v>その他（公共用）の施設</v>
      </c>
      <c r="E1351" s="7" t="str">
        <f>"大阪府大阪市　住之江区柴谷１丁目"</f>
        <v>大阪府大阪市　住之江区柴谷１丁目</v>
      </c>
      <c r="F1351" s="7"/>
      <c r="G1351" s="7" t="str">
        <f t="shared" si="456"/>
        <v>事業用資産</v>
      </c>
      <c r="H1351" s="7" t="str">
        <f t="shared" si="461"/>
        <v>棚卸以外</v>
      </c>
      <c r="I1351" s="7">
        <v>2</v>
      </c>
      <c r="J1351" s="7" t="str">
        <f>"木津川水防倉庫２号"</f>
        <v>木津川水防倉庫２号</v>
      </c>
      <c r="K1351" s="7" t="str">
        <f>"プレハブ"</f>
        <v>プレハブ</v>
      </c>
      <c r="L1351" s="7" t="str">
        <f>"H17.03.31"</f>
        <v>H17.03.31</v>
      </c>
      <c r="M1351" s="7">
        <v>9.3000000000000007</v>
      </c>
      <c r="N1351" s="7">
        <v>686000</v>
      </c>
      <c r="O1351" s="7">
        <v>514512</v>
      </c>
      <c r="P1351" s="7">
        <v>0</v>
      </c>
      <c r="Q1351" s="7" t="str">
        <f t="shared" si="443"/>
        <v>都市整備部</v>
      </c>
      <c r="R1351" s="7" t="str">
        <f t="shared" si="460"/>
        <v>西大阪治水事務所</v>
      </c>
    </row>
    <row r="1352" spans="1:18" s="1" customFormat="1" x14ac:dyDescent="0.45">
      <c r="A1352" s="7" t="str">
        <f>"08208001003"</f>
        <v>08208001003</v>
      </c>
      <c r="B1352" s="7" t="str">
        <f>"西大阪治水事務所"</f>
        <v>西大阪治水事務所</v>
      </c>
      <c r="C1352" s="7" t="str">
        <f t="shared" si="454"/>
        <v>行政財産</v>
      </c>
      <c r="D1352" s="7" t="str">
        <f>"その他（行政機関）の施設"</f>
        <v>その他（行政機関）の施設</v>
      </c>
      <c r="E1352" s="7" t="str">
        <f>"大阪府大阪市　西区江之子島２丁目"</f>
        <v>大阪府大阪市　西区江之子島２丁目</v>
      </c>
      <c r="F1352" s="7"/>
      <c r="G1352" s="7" t="str">
        <f t="shared" si="456"/>
        <v>事業用資産</v>
      </c>
      <c r="H1352" s="7" t="str">
        <f t="shared" si="461"/>
        <v>棚卸以外</v>
      </c>
      <c r="I1352" s="7">
        <v>16</v>
      </c>
      <c r="J1352" s="7" t="str">
        <f>"水防倉庫"</f>
        <v>水防倉庫</v>
      </c>
      <c r="K1352" s="7" t="str">
        <f>"軽量鉄骨造"</f>
        <v>軽量鉄骨造</v>
      </c>
      <c r="L1352" s="7" t="str">
        <f>"H11.03.16"</f>
        <v>H11.03.16</v>
      </c>
      <c r="M1352" s="7">
        <v>98.82</v>
      </c>
      <c r="N1352" s="7">
        <v>10033000</v>
      </c>
      <c r="O1352" s="7">
        <v>10032999</v>
      </c>
      <c r="P1352" s="7">
        <v>0</v>
      </c>
      <c r="Q1352" s="7" t="str">
        <f t="shared" si="443"/>
        <v>都市整備部</v>
      </c>
      <c r="R1352" s="7" t="str">
        <f t="shared" si="460"/>
        <v>西大阪治水事務所</v>
      </c>
    </row>
    <row r="1353" spans="1:18" s="1" customFormat="1" x14ac:dyDescent="0.45">
      <c r="A1353" s="7" t="str">
        <f>"08208001003"</f>
        <v>08208001003</v>
      </c>
      <c r="B1353" s="7" t="str">
        <f>"西大阪治水事務所"</f>
        <v>西大阪治水事務所</v>
      </c>
      <c r="C1353" s="7" t="str">
        <f t="shared" si="454"/>
        <v>行政財産</v>
      </c>
      <c r="D1353" s="7" t="str">
        <f>"その他（行政機関）の施設"</f>
        <v>その他（行政機関）の施設</v>
      </c>
      <c r="E1353" s="7" t="str">
        <f>"大阪府大阪市　西区江之子島２丁目"</f>
        <v>大阪府大阪市　西区江之子島２丁目</v>
      </c>
      <c r="F1353" s="7"/>
      <c r="G1353" s="7" t="str">
        <f t="shared" si="456"/>
        <v>事業用資産</v>
      </c>
      <c r="H1353" s="7" t="str">
        <f t="shared" si="461"/>
        <v>棚卸以外</v>
      </c>
      <c r="I1353" s="7">
        <v>17</v>
      </c>
      <c r="J1353" s="7" t="str">
        <f>"事務所"</f>
        <v>事務所</v>
      </c>
      <c r="K1353" s="7" t="str">
        <f>"鉄筋コンクリート造"</f>
        <v>鉄筋コンクリート造</v>
      </c>
      <c r="L1353" s="7" t="str">
        <f>"H19.06.11"</f>
        <v>H19.06.11</v>
      </c>
      <c r="M1353" s="7">
        <v>2025.71</v>
      </c>
      <c r="N1353" s="7">
        <v>689002199</v>
      </c>
      <c r="O1353" s="7">
        <v>203718057</v>
      </c>
      <c r="P1353" s="7">
        <v>0</v>
      </c>
      <c r="Q1353" s="7" t="str">
        <f t="shared" si="443"/>
        <v>都市整備部</v>
      </c>
      <c r="R1353" s="7" t="str">
        <f t="shared" si="460"/>
        <v>西大阪治水事務所</v>
      </c>
    </row>
    <row r="1354" spans="1:18" s="1" customFormat="1" x14ac:dyDescent="0.45">
      <c r="A1354" s="7" t="str">
        <f>"08208001003"</f>
        <v>08208001003</v>
      </c>
      <c r="B1354" s="7" t="str">
        <f>"西大阪治水事務所"</f>
        <v>西大阪治水事務所</v>
      </c>
      <c r="C1354" s="7" t="str">
        <f t="shared" si="454"/>
        <v>行政財産</v>
      </c>
      <c r="D1354" s="7" t="str">
        <f>"その他（行政機関）の施設"</f>
        <v>その他（行政機関）の施設</v>
      </c>
      <c r="E1354" s="7" t="str">
        <f>"大阪府大阪市　西区江之子島２丁目"</f>
        <v>大阪府大阪市　西区江之子島２丁目</v>
      </c>
      <c r="F1354" s="7"/>
      <c r="G1354" s="7" t="str">
        <f t="shared" si="456"/>
        <v>事業用資産</v>
      </c>
      <c r="H1354" s="7" t="str">
        <f t="shared" si="461"/>
        <v>棚卸以外</v>
      </c>
      <c r="I1354" s="7">
        <v>18</v>
      </c>
      <c r="J1354" s="7" t="str">
        <f>"ゴミ置場"</f>
        <v>ゴミ置場</v>
      </c>
      <c r="K1354" s="7" t="str">
        <f>"土蔵造(簡易建物)"</f>
        <v>土蔵造(簡易建物)</v>
      </c>
      <c r="L1354" s="7" t="str">
        <f>"H19.06.11"</f>
        <v>H19.06.11</v>
      </c>
      <c r="M1354" s="7">
        <v>4.5999999999999996</v>
      </c>
      <c r="N1354" s="7">
        <v>839013</v>
      </c>
      <c r="O1354" s="7">
        <v>550746</v>
      </c>
      <c r="P1354" s="7">
        <v>0</v>
      </c>
      <c r="Q1354" s="7" t="str">
        <f t="shared" si="443"/>
        <v>都市整備部</v>
      </c>
      <c r="R1354" s="7" t="str">
        <f t="shared" si="460"/>
        <v>西大阪治水事務所</v>
      </c>
    </row>
    <row r="1355" spans="1:18" s="1" customFormat="1" x14ac:dyDescent="0.45">
      <c r="A1355" s="7" t="str">
        <f>"08208002001"</f>
        <v>08208002001</v>
      </c>
      <c r="B1355" s="7" t="str">
        <f>"水防倉庫（安治川水防倉庫）"</f>
        <v>水防倉庫（安治川水防倉庫）</v>
      </c>
      <c r="C1355" s="7" t="str">
        <f t="shared" si="454"/>
        <v>行政財産</v>
      </c>
      <c r="D1355" s="7" t="str">
        <f t="shared" ref="D1355:D1368" si="462">"その他"</f>
        <v>その他</v>
      </c>
      <c r="E1355" s="7" t="str">
        <f>"大阪府大阪市　此花区西九条１丁目"</f>
        <v>大阪府大阪市　此花区西九条１丁目</v>
      </c>
      <c r="F1355" s="7"/>
      <c r="G1355" s="7" t="str">
        <f t="shared" si="456"/>
        <v>事業用資産</v>
      </c>
      <c r="H1355" s="7" t="str">
        <f t="shared" si="461"/>
        <v>棚卸以外</v>
      </c>
      <c r="I1355" s="7">
        <v>36</v>
      </c>
      <c r="J1355" s="7" t="str">
        <f>"安治川水防倉庫"</f>
        <v>安治川水防倉庫</v>
      </c>
      <c r="K1355" s="7" t="str">
        <f>"鉄骨造"</f>
        <v>鉄骨造</v>
      </c>
      <c r="L1355" s="7" t="str">
        <f>"H21.07.31"</f>
        <v>H21.07.31</v>
      </c>
      <c r="M1355" s="7">
        <v>74.19</v>
      </c>
      <c r="N1355" s="7">
        <v>5238450</v>
      </c>
      <c r="O1355" s="7">
        <v>2309448</v>
      </c>
      <c r="P1355" s="7">
        <v>0</v>
      </c>
      <c r="Q1355" s="7" t="str">
        <f t="shared" si="443"/>
        <v>都市整備部</v>
      </c>
      <c r="R1355" s="7" t="str">
        <f t="shared" si="460"/>
        <v>西大阪治水事務所</v>
      </c>
    </row>
    <row r="1356" spans="1:18" s="1" customFormat="1" x14ac:dyDescent="0.45">
      <c r="A1356" s="7" t="str">
        <f>"08208002002"</f>
        <v>08208002002</v>
      </c>
      <c r="B1356" s="7" t="str">
        <f>"安治川水門"</f>
        <v>安治川水門</v>
      </c>
      <c r="C1356" s="7" t="str">
        <f t="shared" si="454"/>
        <v>行政財産</v>
      </c>
      <c r="D1356" s="7" t="str">
        <f t="shared" si="462"/>
        <v>その他</v>
      </c>
      <c r="E1356" s="7" t="str">
        <f>"大阪府大阪市　港区弁天６丁目"</f>
        <v>大阪府大阪市　港区弁天６丁目</v>
      </c>
      <c r="F1356" s="7" t="str">
        <f>"3-13"</f>
        <v>3-13</v>
      </c>
      <c r="G1356" s="7" t="str">
        <f t="shared" ref="G1356:G1368" si="463">"インフラ資産"</f>
        <v>インフラ資産</v>
      </c>
      <c r="H1356" s="7" t="str">
        <f t="shared" si="461"/>
        <v>棚卸以外</v>
      </c>
      <c r="I1356" s="7">
        <v>40</v>
      </c>
      <c r="J1356" s="7" t="str">
        <f>"安治川水門管理棟"</f>
        <v>安治川水門管理棟</v>
      </c>
      <c r="K1356" s="7" t="str">
        <f>"鉄筋コンクリート造"</f>
        <v>鉄筋コンクリート造</v>
      </c>
      <c r="L1356" s="7" t="str">
        <f>"S45.03.25"</f>
        <v>S45.03.25</v>
      </c>
      <c r="M1356" s="7">
        <v>909.9</v>
      </c>
      <c r="N1356" s="7">
        <v>385162440</v>
      </c>
      <c r="O1356" s="7">
        <v>367734274</v>
      </c>
      <c r="P1356" s="7">
        <v>0</v>
      </c>
      <c r="Q1356" s="7" t="str">
        <f t="shared" si="443"/>
        <v>都市整備部</v>
      </c>
      <c r="R1356" s="7" t="str">
        <f t="shared" si="460"/>
        <v>西大阪治水事務所</v>
      </c>
    </row>
    <row r="1357" spans="1:18" s="1" customFormat="1" x14ac:dyDescent="0.45">
      <c r="A1357" s="7" t="str">
        <f>"08208002003"</f>
        <v>08208002003</v>
      </c>
      <c r="B1357" s="7" t="str">
        <f>"旧猪名川排水機場"</f>
        <v>旧猪名川排水機場</v>
      </c>
      <c r="C1357" s="7" t="str">
        <f t="shared" si="454"/>
        <v>行政財産</v>
      </c>
      <c r="D1357" s="7" t="str">
        <f t="shared" si="462"/>
        <v>その他</v>
      </c>
      <c r="E1357" s="7" t="str">
        <f>"兵庫県尼崎市戸ノ内"</f>
        <v>兵庫県尼崎市戸ノ内</v>
      </c>
      <c r="F1357" s="7"/>
      <c r="G1357" s="7" t="str">
        <f t="shared" si="463"/>
        <v>インフラ資産</v>
      </c>
      <c r="H1357" s="7" t="str">
        <f t="shared" si="461"/>
        <v>棚卸以外</v>
      </c>
      <c r="I1357" s="7">
        <v>35</v>
      </c>
      <c r="J1357" s="7" t="str">
        <f>"排水機場"</f>
        <v>排水機場</v>
      </c>
      <c r="K1357" s="7" t="str">
        <f>"鉄筋コンクリート造"</f>
        <v>鉄筋コンクリート造</v>
      </c>
      <c r="L1357" s="7" t="str">
        <f>"S44.06.30"</f>
        <v>S44.06.30</v>
      </c>
      <c r="M1357" s="7">
        <v>769.36</v>
      </c>
      <c r="N1357" s="7">
        <v>36652550</v>
      </c>
      <c r="O1357" s="7">
        <v>36652549</v>
      </c>
      <c r="P1357" s="7">
        <v>0</v>
      </c>
      <c r="Q1357" s="7" t="str">
        <f t="shared" si="443"/>
        <v>都市整備部</v>
      </c>
      <c r="R1357" s="7" t="str">
        <f t="shared" si="460"/>
        <v>西大阪治水事務所</v>
      </c>
    </row>
    <row r="1358" spans="1:18" s="1" customFormat="1" x14ac:dyDescent="0.45">
      <c r="A1358" s="7" t="str">
        <f>"08208002011"</f>
        <v>08208002011</v>
      </c>
      <c r="B1358" s="7" t="str">
        <f>"正蓮寺川水門"</f>
        <v>正蓮寺川水門</v>
      </c>
      <c r="C1358" s="7" t="str">
        <f t="shared" si="454"/>
        <v>行政財産</v>
      </c>
      <c r="D1358" s="7" t="str">
        <f t="shared" si="462"/>
        <v>その他</v>
      </c>
      <c r="E1358" s="7" t="str">
        <f>"大阪府大阪市　此花区島屋２丁目"</f>
        <v>大阪府大阪市　此花区島屋２丁目</v>
      </c>
      <c r="F1358" s="7"/>
      <c r="G1358" s="7" t="str">
        <f t="shared" si="463"/>
        <v>インフラ資産</v>
      </c>
      <c r="H1358" s="7" t="str">
        <f t="shared" si="461"/>
        <v>棚卸以外</v>
      </c>
      <c r="I1358" s="7">
        <v>43</v>
      </c>
      <c r="J1358" s="7" t="str">
        <f>"正蓮寺川水門管理棟"</f>
        <v>正蓮寺川水門管理棟</v>
      </c>
      <c r="K1358" s="7" t="str">
        <f>"区分なし"</f>
        <v>区分なし</v>
      </c>
      <c r="L1358" s="7" t="str">
        <f>"H26.09.18"</f>
        <v>H26.09.18</v>
      </c>
      <c r="M1358" s="7">
        <v>212.85</v>
      </c>
      <c r="N1358" s="7">
        <v>152110225</v>
      </c>
      <c r="O1358" s="7">
        <v>64923171</v>
      </c>
      <c r="P1358" s="7">
        <v>0</v>
      </c>
      <c r="Q1358" s="7" t="str">
        <f t="shared" si="443"/>
        <v>都市整備部</v>
      </c>
      <c r="R1358" s="7" t="str">
        <f t="shared" si="460"/>
        <v>西大阪治水事務所</v>
      </c>
    </row>
    <row r="1359" spans="1:18" s="1" customFormat="1" x14ac:dyDescent="0.45">
      <c r="A1359" s="7" t="str">
        <f>"08208002016"</f>
        <v>08208002016</v>
      </c>
      <c r="B1359" s="7" t="str">
        <f>"六軒家川水門"</f>
        <v>六軒家川水門</v>
      </c>
      <c r="C1359" s="7" t="str">
        <f t="shared" si="454"/>
        <v>行政財産</v>
      </c>
      <c r="D1359" s="7" t="str">
        <f t="shared" si="462"/>
        <v>その他</v>
      </c>
      <c r="E1359" s="7" t="str">
        <f>"大阪府大阪市　此花区春日出南１丁目"</f>
        <v>大阪府大阪市　此花区春日出南１丁目</v>
      </c>
      <c r="F1359" s="7"/>
      <c r="G1359" s="7" t="str">
        <f t="shared" si="463"/>
        <v>インフラ資産</v>
      </c>
      <c r="H1359" s="7" t="str">
        <f t="shared" si="461"/>
        <v>棚卸以外</v>
      </c>
      <c r="I1359" s="7">
        <v>44</v>
      </c>
      <c r="J1359" s="7" t="str">
        <f>"六軒家川水門管理棟"</f>
        <v>六軒家川水門管理棟</v>
      </c>
      <c r="K1359" s="7" t="str">
        <f>"区分なし"</f>
        <v>区分なし</v>
      </c>
      <c r="L1359" s="7" t="str">
        <f>"H26.09.18"</f>
        <v>H26.09.18</v>
      </c>
      <c r="M1359" s="7">
        <v>280.39</v>
      </c>
      <c r="N1359" s="7">
        <v>126119923</v>
      </c>
      <c r="O1359" s="7">
        <v>107189184</v>
      </c>
      <c r="P1359" s="7">
        <v>0</v>
      </c>
      <c r="Q1359" s="7" t="str">
        <f t="shared" si="443"/>
        <v>都市整備部</v>
      </c>
      <c r="R1359" s="7" t="str">
        <f t="shared" si="460"/>
        <v>西大阪治水事務所</v>
      </c>
    </row>
    <row r="1360" spans="1:18" s="1" customFormat="1" x14ac:dyDescent="0.45">
      <c r="A1360" s="7" t="str">
        <f>"08208002021"</f>
        <v>08208002021</v>
      </c>
      <c r="B1360" s="7" t="str">
        <f>"三軒家水門"</f>
        <v>三軒家水門</v>
      </c>
      <c r="C1360" s="7" t="str">
        <f t="shared" si="454"/>
        <v>行政財産</v>
      </c>
      <c r="D1360" s="7" t="str">
        <f t="shared" si="462"/>
        <v>その他</v>
      </c>
      <c r="E1360" s="7" t="str">
        <f>"大阪府大阪市　大正区千島１丁目"</f>
        <v>大阪府大阪市　大正区千島１丁目</v>
      </c>
      <c r="F1360" s="7" t="str">
        <f>"29-58"</f>
        <v>29-58</v>
      </c>
      <c r="G1360" s="7" t="str">
        <f t="shared" si="463"/>
        <v>インフラ資産</v>
      </c>
      <c r="H1360" s="7" t="str">
        <f t="shared" si="461"/>
        <v>棚卸以外</v>
      </c>
      <c r="I1360" s="7">
        <v>45</v>
      </c>
      <c r="J1360" s="7" t="str">
        <f>"三軒家水門管理棟"</f>
        <v>三軒家水門管理棟</v>
      </c>
      <c r="K1360" s="7" t="str">
        <f>"区分なし"</f>
        <v>区分なし</v>
      </c>
      <c r="L1360" s="7" t="str">
        <f>"H26.09.18"</f>
        <v>H26.09.18</v>
      </c>
      <c r="M1360" s="7">
        <v>125.68</v>
      </c>
      <c r="N1360" s="7">
        <v>154983212</v>
      </c>
      <c r="O1360" s="7">
        <v>126462152</v>
      </c>
      <c r="P1360" s="7">
        <v>0</v>
      </c>
      <c r="Q1360" s="7" t="str">
        <f t="shared" si="443"/>
        <v>都市整備部</v>
      </c>
      <c r="R1360" s="7" t="str">
        <f t="shared" si="460"/>
        <v>西大阪治水事務所</v>
      </c>
    </row>
    <row r="1361" spans="1:18" s="1" customFormat="1" x14ac:dyDescent="0.45">
      <c r="A1361" s="7" t="str">
        <f>"08208002022"</f>
        <v>08208002022</v>
      </c>
      <c r="B1361" s="7" t="str">
        <f>"出来島水門"</f>
        <v>出来島水門</v>
      </c>
      <c r="C1361" s="7" t="str">
        <f t="shared" si="454"/>
        <v>行政財産</v>
      </c>
      <c r="D1361" s="7" t="str">
        <f t="shared" si="462"/>
        <v>その他</v>
      </c>
      <c r="E1361" s="7" t="str">
        <f>"大阪府大阪市　西淀川区西島１丁目"</f>
        <v>大阪府大阪市　西淀川区西島１丁目</v>
      </c>
      <c r="F1361" s="7" t="str">
        <f>"2-103"</f>
        <v>2-103</v>
      </c>
      <c r="G1361" s="7" t="str">
        <f t="shared" si="463"/>
        <v>インフラ資産</v>
      </c>
      <c r="H1361" s="7" t="str">
        <f t="shared" si="461"/>
        <v>棚卸以外</v>
      </c>
      <c r="I1361" s="7">
        <v>39</v>
      </c>
      <c r="J1361" s="7" t="str">
        <f>"出来島水門管理棟"</f>
        <v>出来島水門管理棟</v>
      </c>
      <c r="K1361" s="7" t="str">
        <f>"鉄筋コンクリート造"</f>
        <v>鉄筋コンクリート造</v>
      </c>
      <c r="L1361" s="7" t="str">
        <f>"S44.09.20"</f>
        <v>S44.09.20</v>
      </c>
      <c r="M1361" s="7">
        <v>151.76</v>
      </c>
      <c r="N1361" s="7">
        <v>12039327</v>
      </c>
      <c r="O1361" s="7">
        <v>3066017</v>
      </c>
      <c r="P1361" s="7">
        <v>0</v>
      </c>
      <c r="Q1361" s="7" t="str">
        <f t="shared" si="443"/>
        <v>都市整備部</v>
      </c>
      <c r="R1361" s="7" t="str">
        <f t="shared" si="460"/>
        <v>西大阪治水事務所</v>
      </c>
    </row>
    <row r="1362" spans="1:18" s="1" customFormat="1" x14ac:dyDescent="0.45">
      <c r="A1362" s="7" t="str">
        <f>"08208002023"</f>
        <v>08208002023</v>
      </c>
      <c r="B1362" s="7" t="str">
        <f>"尻無川水門"</f>
        <v>尻無川水門</v>
      </c>
      <c r="C1362" s="7" t="str">
        <f t="shared" si="454"/>
        <v>行政財産</v>
      </c>
      <c r="D1362" s="7" t="str">
        <f t="shared" si="462"/>
        <v>その他</v>
      </c>
      <c r="E1362" s="7" t="str">
        <f>"大阪府大阪市　大正区泉尾７丁目"</f>
        <v>大阪府大阪市　大正区泉尾７丁目</v>
      </c>
      <c r="F1362" s="7" t="str">
        <f>"5-30"</f>
        <v>5-30</v>
      </c>
      <c r="G1362" s="7" t="str">
        <f t="shared" si="463"/>
        <v>インフラ資産</v>
      </c>
      <c r="H1362" s="7" t="str">
        <f t="shared" si="461"/>
        <v>棚卸以外</v>
      </c>
      <c r="I1362" s="7">
        <v>41</v>
      </c>
      <c r="J1362" s="7" t="str">
        <f>"尻無川水門管理棟"</f>
        <v>尻無川水門管理棟</v>
      </c>
      <c r="K1362" s="7" t="str">
        <f>"鉄筋コンクリート造"</f>
        <v>鉄筋コンクリート造</v>
      </c>
      <c r="L1362" s="7" t="str">
        <f>"S45.12.15"</f>
        <v>S45.12.15</v>
      </c>
      <c r="M1362" s="7">
        <v>886.77</v>
      </c>
      <c r="N1362" s="7">
        <v>440423440</v>
      </c>
      <c r="O1362" s="7">
        <v>433699458</v>
      </c>
      <c r="P1362" s="7">
        <v>0</v>
      </c>
      <c r="Q1362" s="7" t="str">
        <f t="shared" si="443"/>
        <v>都市整備部</v>
      </c>
      <c r="R1362" s="7" t="str">
        <f t="shared" si="460"/>
        <v>西大阪治水事務所</v>
      </c>
    </row>
    <row r="1363" spans="1:18" s="1" customFormat="1" x14ac:dyDescent="0.45">
      <c r="A1363" s="7" t="str">
        <f>"08208002027"</f>
        <v>08208002027</v>
      </c>
      <c r="B1363" s="7" t="str">
        <f>"川の駅はちけんや"</f>
        <v>川の駅はちけんや</v>
      </c>
      <c r="C1363" s="7" t="str">
        <f t="shared" si="454"/>
        <v>行政財産</v>
      </c>
      <c r="D1363" s="7" t="str">
        <f t="shared" si="462"/>
        <v>その他</v>
      </c>
      <c r="E1363" s="7" t="str">
        <f>"大阪府大阪市　中央区北浜東"</f>
        <v>大阪府大阪市　中央区北浜東</v>
      </c>
      <c r="F1363" s="7" t="str">
        <f>"1-6"</f>
        <v>1-6</v>
      </c>
      <c r="G1363" s="7" t="str">
        <f t="shared" si="463"/>
        <v>インフラ資産</v>
      </c>
      <c r="H1363" s="7" t="str">
        <f t="shared" si="461"/>
        <v>棚卸以外</v>
      </c>
      <c r="I1363" s="7">
        <v>51</v>
      </c>
      <c r="J1363" s="7" t="str">
        <f>"川の駅はちけんや"</f>
        <v>川の駅はちけんや</v>
      </c>
      <c r="K1363" s="7" t="str">
        <f>"鉄筋コンクリート造"</f>
        <v>鉄筋コンクリート造</v>
      </c>
      <c r="L1363" s="7" t="str">
        <f>"H21.08.01"</f>
        <v>H21.08.01</v>
      </c>
      <c r="M1363" s="7">
        <v>1345.9</v>
      </c>
      <c r="N1363" s="7">
        <v>399861000</v>
      </c>
      <c r="O1363" s="7">
        <v>115562762</v>
      </c>
      <c r="P1363" s="7">
        <v>0</v>
      </c>
      <c r="Q1363" s="7" t="str">
        <f t="shared" si="443"/>
        <v>都市整備部</v>
      </c>
      <c r="R1363" s="7" t="str">
        <f t="shared" si="460"/>
        <v>西大阪治水事務所</v>
      </c>
    </row>
    <row r="1364" spans="1:18" s="1" customFormat="1" x14ac:dyDescent="0.45">
      <c r="A1364" s="7" t="str">
        <f>"08208002028"</f>
        <v>08208002028</v>
      </c>
      <c r="B1364" s="7" t="str">
        <f>"津波・高潮ステーション"</f>
        <v>津波・高潮ステーション</v>
      </c>
      <c r="C1364" s="7" t="str">
        <f t="shared" si="454"/>
        <v>行政財産</v>
      </c>
      <c r="D1364" s="7" t="str">
        <f t="shared" si="462"/>
        <v>その他</v>
      </c>
      <c r="E1364" s="7" t="str">
        <f>"大阪府大阪市　西区江之子島２丁目"</f>
        <v>大阪府大阪市　西区江之子島２丁目</v>
      </c>
      <c r="F1364" s="7" t="str">
        <f>"１－６４"</f>
        <v>１－６４</v>
      </c>
      <c r="G1364" s="7" t="str">
        <f t="shared" si="463"/>
        <v>インフラ資産</v>
      </c>
      <c r="H1364" s="7" t="str">
        <f t="shared" si="461"/>
        <v>棚卸以外</v>
      </c>
      <c r="I1364" s="7">
        <v>37</v>
      </c>
      <c r="J1364" s="7" t="str">
        <f>"津波・高潮ステーション"</f>
        <v>津波・高潮ステーション</v>
      </c>
      <c r="K1364" s="7" t="str">
        <f>"鉄筋コンクリート造"</f>
        <v>鉄筋コンクリート造</v>
      </c>
      <c r="L1364" s="7" t="str">
        <f>"H21.07.16"</f>
        <v>H21.07.16</v>
      </c>
      <c r="M1364" s="7">
        <v>724.02</v>
      </c>
      <c r="N1364" s="7">
        <v>304533000</v>
      </c>
      <c r="O1364" s="7">
        <v>83239020</v>
      </c>
      <c r="P1364" s="7">
        <v>0</v>
      </c>
      <c r="Q1364" s="7" t="str">
        <f t="shared" si="443"/>
        <v>都市整備部</v>
      </c>
      <c r="R1364" s="7" t="str">
        <f t="shared" si="460"/>
        <v>西大阪治水事務所</v>
      </c>
    </row>
    <row r="1365" spans="1:18" s="1" customFormat="1" x14ac:dyDescent="0.45">
      <c r="A1365" s="7" t="str">
        <f>"08208002028"</f>
        <v>08208002028</v>
      </c>
      <c r="B1365" s="7" t="str">
        <f>"津波・高潮ステーション"</f>
        <v>津波・高潮ステーション</v>
      </c>
      <c r="C1365" s="7" t="str">
        <f t="shared" si="454"/>
        <v>行政財産</v>
      </c>
      <c r="D1365" s="7" t="str">
        <f t="shared" si="462"/>
        <v>その他</v>
      </c>
      <c r="E1365" s="7" t="str">
        <f>"大阪府大阪市　西区江之子島２丁目"</f>
        <v>大阪府大阪市　西区江之子島２丁目</v>
      </c>
      <c r="F1365" s="7" t="str">
        <f>"１－６４"</f>
        <v>１－６４</v>
      </c>
      <c r="G1365" s="7" t="str">
        <f t="shared" si="463"/>
        <v>インフラ資産</v>
      </c>
      <c r="H1365" s="7" t="str">
        <f t="shared" si="461"/>
        <v>棚卸以外</v>
      </c>
      <c r="I1365" s="7">
        <v>52</v>
      </c>
      <c r="J1365" s="7" t="str">
        <f>"車庫棟"</f>
        <v>車庫棟</v>
      </c>
      <c r="K1365" s="7" t="str">
        <f>"鉄骨造"</f>
        <v>鉄骨造</v>
      </c>
      <c r="L1365" s="7" t="str">
        <f>"H22.06.17"</f>
        <v>H22.06.17</v>
      </c>
      <c r="M1365" s="7">
        <v>192</v>
      </c>
      <c r="N1365" s="7">
        <v>34352850</v>
      </c>
      <c r="O1365" s="7">
        <v>14129091</v>
      </c>
      <c r="P1365" s="7">
        <v>0</v>
      </c>
      <c r="Q1365" s="7" t="str">
        <f t="shared" si="443"/>
        <v>都市整備部</v>
      </c>
      <c r="R1365" s="7" t="str">
        <f t="shared" si="460"/>
        <v>西大阪治水事務所</v>
      </c>
    </row>
    <row r="1366" spans="1:18" s="1" customFormat="1" x14ac:dyDescent="0.45">
      <c r="A1366" s="7" t="str">
        <f>"08208002032"</f>
        <v>08208002032</v>
      </c>
      <c r="B1366" s="7" t="str">
        <f>"番田水門"</f>
        <v>番田水門</v>
      </c>
      <c r="C1366" s="7" t="str">
        <f t="shared" si="454"/>
        <v>行政財産</v>
      </c>
      <c r="D1366" s="7" t="str">
        <f t="shared" si="462"/>
        <v>その他</v>
      </c>
      <c r="E1366" s="7" t="str">
        <f>"大阪府大阪市　東淀川区北江口１丁目"</f>
        <v>大阪府大阪市　東淀川区北江口１丁目</v>
      </c>
      <c r="F1366" s="7"/>
      <c r="G1366" s="7" t="str">
        <f t="shared" si="463"/>
        <v>インフラ資産</v>
      </c>
      <c r="H1366" s="7" t="str">
        <f t="shared" si="461"/>
        <v>棚卸以外</v>
      </c>
      <c r="I1366" s="7">
        <v>38</v>
      </c>
      <c r="J1366" s="7" t="str">
        <f>"番田水門管理棟"</f>
        <v>番田水門管理棟</v>
      </c>
      <c r="K1366" s="7" t="str">
        <f>"鉄筋コンクリート造"</f>
        <v>鉄筋コンクリート造</v>
      </c>
      <c r="L1366" s="7" t="str">
        <f>"H18.10.20"</f>
        <v>H18.10.20</v>
      </c>
      <c r="M1366" s="7">
        <v>342.18</v>
      </c>
      <c r="N1366" s="7">
        <v>76138000</v>
      </c>
      <c r="O1366" s="7">
        <v>24998709</v>
      </c>
      <c r="P1366" s="7">
        <v>0</v>
      </c>
      <c r="Q1366" s="7" t="str">
        <f t="shared" si="443"/>
        <v>都市整備部</v>
      </c>
      <c r="R1366" s="7" t="str">
        <f t="shared" si="460"/>
        <v>西大阪治水事務所</v>
      </c>
    </row>
    <row r="1367" spans="1:18" s="1" customFormat="1" x14ac:dyDescent="0.45">
      <c r="A1367" s="7" t="str">
        <f>"08208002032"</f>
        <v>08208002032</v>
      </c>
      <c r="B1367" s="7" t="str">
        <f>"番田水門"</f>
        <v>番田水門</v>
      </c>
      <c r="C1367" s="7" t="str">
        <f t="shared" si="454"/>
        <v>行政財産</v>
      </c>
      <c r="D1367" s="7" t="str">
        <f t="shared" si="462"/>
        <v>その他</v>
      </c>
      <c r="E1367" s="7" t="str">
        <f>"大阪府大阪市　東淀川区北江口１丁目"</f>
        <v>大阪府大阪市　東淀川区北江口１丁目</v>
      </c>
      <c r="F1367" s="7"/>
      <c r="G1367" s="7" t="str">
        <f t="shared" si="463"/>
        <v>インフラ資産</v>
      </c>
      <c r="H1367" s="7" t="str">
        <f t="shared" si="461"/>
        <v>棚卸以外</v>
      </c>
      <c r="I1367" s="7">
        <v>39</v>
      </c>
      <c r="J1367" s="7" t="str">
        <f>"番田水門倉庫"</f>
        <v>番田水門倉庫</v>
      </c>
      <c r="K1367" s="7" t="str">
        <f>"鉄筋コンクリート造"</f>
        <v>鉄筋コンクリート造</v>
      </c>
      <c r="L1367" s="7" t="str">
        <f>"H11.03.31"</f>
        <v>H11.03.31</v>
      </c>
      <c r="M1367" s="7">
        <v>48.6</v>
      </c>
      <c r="N1367" s="7">
        <v>12600000</v>
      </c>
      <c r="O1367" s="7">
        <v>7958016</v>
      </c>
      <c r="P1367" s="7">
        <v>0</v>
      </c>
      <c r="Q1367" s="7" t="str">
        <f t="shared" si="443"/>
        <v>都市整備部</v>
      </c>
      <c r="R1367" s="7" t="str">
        <f t="shared" si="460"/>
        <v>西大阪治水事務所</v>
      </c>
    </row>
    <row r="1368" spans="1:18" s="1" customFormat="1" x14ac:dyDescent="0.45">
      <c r="A1368" s="7" t="str">
        <f>"08208002035"</f>
        <v>08208002035</v>
      </c>
      <c r="B1368" s="7" t="str">
        <f>"木津川水門"</f>
        <v>木津川水門</v>
      </c>
      <c r="C1368" s="7" t="str">
        <f t="shared" si="454"/>
        <v>行政財産</v>
      </c>
      <c r="D1368" s="7" t="str">
        <f t="shared" si="462"/>
        <v>その他</v>
      </c>
      <c r="E1368" s="7" t="str">
        <f>"大阪府大阪市　大正区三軒家東３丁目"</f>
        <v>大阪府大阪市　大正区三軒家東３丁目</v>
      </c>
      <c r="F1368" s="7" t="str">
        <f>"6-7"</f>
        <v>6-7</v>
      </c>
      <c r="G1368" s="7" t="str">
        <f t="shared" si="463"/>
        <v>インフラ資産</v>
      </c>
      <c r="H1368" s="7" t="str">
        <f t="shared" si="461"/>
        <v>棚卸以外</v>
      </c>
      <c r="I1368" s="7">
        <v>42</v>
      </c>
      <c r="J1368" s="7" t="str">
        <f>"木津川水門管理棟"</f>
        <v>木津川水門管理棟</v>
      </c>
      <c r="K1368" s="7" t="str">
        <f>"鉄筋コンクリート造"</f>
        <v>鉄筋コンクリート造</v>
      </c>
      <c r="L1368" s="7" t="str">
        <f>"S45.12.15"</f>
        <v>S45.12.15</v>
      </c>
      <c r="M1368" s="7">
        <v>866.25</v>
      </c>
      <c r="N1368" s="7">
        <v>247058440</v>
      </c>
      <c r="O1368" s="7">
        <v>240334458</v>
      </c>
      <c r="P1368" s="7">
        <v>0</v>
      </c>
      <c r="Q1368" s="7" t="str">
        <f t="shared" si="443"/>
        <v>都市整備部</v>
      </c>
      <c r="R1368" s="7" t="str">
        <f t="shared" si="460"/>
        <v>西大阪治水事務所</v>
      </c>
    </row>
    <row r="1369" spans="1:18" s="1" customFormat="1" x14ac:dyDescent="0.45">
      <c r="A1369" s="7" t="str">
        <f t="shared" ref="A1369:A1374" si="464">"08209000000"</f>
        <v>08209000000</v>
      </c>
      <c r="B1369" s="7" t="str">
        <f t="shared" ref="B1369:B1374" si="465">"寝屋川水系改修工営所"</f>
        <v>寝屋川水系改修工営所</v>
      </c>
      <c r="C1369" s="7" t="str">
        <f t="shared" si="454"/>
        <v>行政財産</v>
      </c>
      <c r="D1369" s="7" t="str">
        <f t="shared" ref="D1369:D1380" si="466">"その他（行政機関）の施設"</f>
        <v>その他（行政機関）の施設</v>
      </c>
      <c r="E1369" s="7" t="str">
        <f t="shared" ref="E1369:E1374" si="467">"大阪府大阪市　城東区東中浜４丁目"</f>
        <v>大阪府大阪市　城東区東中浜４丁目</v>
      </c>
      <c r="F1369" s="7"/>
      <c r="G1369" s="7" t="str">
        <f t="shared" ref="G1369:G1380" si="468">"事業用資産"</f>
        <v>事業用資産</v>
      </c>
      <c r="H1369" s="7" t="str">
        <f t="shared" si="461"/>
        <v>棚卸以外</v>
      </c>
      <c r="I1369" s="7">
        <v>7</v>
      </c>
      <c r="J1369" s="7" t="str">
        <f>"水防中央倉庫"</f>
        <v>水防中央倉庫</v>
      </c>
      <c r="K1369" s="7" t="str">
        <f>"木造"</f>
        <v>木造</v>
      </c>
      <c r="L1369" s="7" t="str">
        <f>"S35.08.31"</f>
        <v>S35.08.31</v>
      </c>
      <c r="M1369" s="7">
        <v>214.21</v>
      </c>
      <c r="N1369" s="7">
        <v>2400000</v>
      </c>
      <c r="O1369" s="7">
        <v>2399999</v>
      </c>
      <c r="P1369" s="7">
        <v>0</v>
      </c>
      <c r="Q1369" s="7" t="str">
        <f t="shared" si="443"/>
        <v>都市整備部</v>
      </c>
      <c r="R1369" s="7" t="str">
        <f t="shared" ref="R1369:R1400" si="469">"寝屋川水系改修工営所"</f>
        <v>寝屋川水系改修工営所</v>
      </c>
    </row>
    <row r="1370" spans="1:18" s="1" customFormat="1" x14ac:dyDescent="0.45">
      <c r="A1370" s="7" t="str">
        <f t="shared" si="464"/>
        <v>08209000000</v>
      </c>
      <c r="B1370" s="7" t="str">
        <f t="shared" si="465"/>
        <v>寝屋川水系改修工営所</v>
      </c>
      <c r="C1370" s="7" t="str">
        <f t="shared" si="454"/>
        <v>行政財産</v>
      </c>
      <c r="D1370" s="7" t="str">
        <f t="shared" si="466"/>
        <v>その他（行政機関）の施設</v>
      </c>
      <c r="E1370" s="7" t="str">
        <f t="shared" si="467"/>
        <v>大阪府大阪市　城東区東中浜４丁目</v>
      </c>
      <c r="F1370" s="7"/>
      <c r="G1370" s="7" t="str">
        <f t="shared" si="468"/>
        <v>事業用資産</v>
      </c>
      <c r="H1370" s="7" t="str">
        <f t="shared" si="461"/>
        <v>棚卸以外</v>
      </c>
      <c r="I1370" s="7">
        <v>8</v>
      </c>
      <c r="J1370" s="7" t="str">
        <f>"倉庫"</f>
        <v>倉庫</v>
      </c>
      <c r="K1370" s="7" t="str">
        <f>"木造"</f>
        <v>木造</v>
      </c>
      <c r="L1370" s="7" t="str">
        <f>"S35.08.31"</f>
        <v>S35.08.31</v>
      </c>
      <c r="M1370" s="7">
        <v>127.27</v>
      </c>
      <c r="N1370" s="7">
        <v>1322492</v>
      </c>
      <c r="O1370" s="7">
        <v>1322491</v>
      </c>
      <c r="P1370" s="7">
        <v>0</v>
      </c>
      <c r="Q1370" s="7" t="str">
        <f t="shared" si="443"/>
        <v>都市整備部</v>
      </c>
      <c r="R1370" s="7" t="str">
        <f t="shared" si="469"/>
        <v>寝屋川水系改修工営所</v>
      </c>
    </row>
    <row r="1371" spans="1:18" s="1" customFormat="1" x14ac:dyDescent="0.45">
      <c r="A1371" s="7" t="str">
        <f t="shared" si="464"/>
        <v>08209000000</v>
      </c>
      <c r="B1371" s="7" t="str">
        <f t="shared" si="465"/>
        <v>寝屋川水系改修工営所</v>
      </c>
      <c r="C1371" s="7" t="str">
        <f t="shared" si="454"/>
        <v>行政財産</v>
      </c>
      <c r="D1371" s="7" t="str">
        <f t="shared" si="466"/>
        <v>その他（行政機関）の施設</v>
      </c>
      <c r="E1371" s="7" t="str">
        <f t="shared" si="467"/>
        <v>大阪府大阪市　城東区東中浜４丁目</v>
      </c>
      <c r="F1371" s="7"/>
      <c r="G1371" s="7" t="str">
        <f t="shared" si="468"/>
        <v>事業用資産</v>
      </c>
      <c r="H1371" s="7" t="str">
        <f t="shared" si="461"/>
        <v>棚卸以外</v>
      </c>
      <c r="I1371" s="7">
        <v>13</v>
      </c>
      <c r="J1371" s="7" t="str">
        <f>"書庫"</f>
        <v>書庫</v>
      </c>
      <c r="K1371" s="7" t="str">
        <f>"鉄骨造"</f>
        <v>鉄骨造</v>
      </c>
      <c r="L1371" s="7" t="str">
        <f>"S46.03.31"</f>
        <v>S46.03.31</v>
      </c>
      <c r="M1371" s="7">
        <v>93.08</v>
      </c>
      <c r="N1371" s="7">
        <v>6264000</v>
      </c>
      <c r="O1371" s="7">
        <v>5485599</v>
      </c>
      <c r="P1371" s="7">
        <v>0</v>
      </c>
      <c r="Q1371" s="7" t="str">
        <f t="shared" ref="Q1371:Q1434" si="470">"都市整備部"</f>
        <v>都市整備部</v>
      </c>
      <c r="R1371" s="7" t="str">
        <f t="shared" si="469"/>
        <v>寝屋川水系改修工営所</v>
      </c>
    </row>
    <row r="1372" spans="1:18" s="1" customFormat="1" x14ac:dyDescent="0.45">
      <c r="A1372" s="7" t="str">
        <f t="shared" si="464"/>
        <v>08209000000</v>
      </c>
      <c r="B1372" s="7" t="str">
        <f t="shared" si="465"/>
        <v>寝屋川水系改修工営所</v>
      </c>
      <c r="C1372" s="7" t="str">
        <f t="shared" si="454"/>
        <v>行政財産</v>
      </c>
      <c r="D1372" s="7" t="str">
        <f t="shared" si="466"/>
        <v>その他（行政機関）の施設</v>
      </c>
      <c r="E1372" s="7" t="str">
        <f t="shared" si="467"/>
        <v>大阪府大阪市　城東区東中浜４丁目</v>
      </c>
      <c r="F1372" s="7"/>
      <c r="G1372" s="7" t="str">
        <f t="shared" si="468"/>
        <v>事業用資産</v>
      </c>
      <c r="H1372" s="7" t="str">
        <f t="shared" si="461"/>
        <v>棚卸以外</v>
      </c>
      <c r="I1372" s="7">
        <v>17</v>
      </c>
      <c r="J1372" s="7" t="str">
        <f>"事務所"</f>
        <v>事務所</v>
      </c>
      <c r="K1372" s="7" t="str">
        <f>"鉄骨造"</f>
        <v>鉄骨造</v>
      </c>
      <c r="L1372" s="7" t="str">
        <f>"H24.05.31"</f>
        <v>H24.05.31</v>
      </c>
      <c r="M1372" s="7">
        <v>1006.56</v>
      </c>
      <c r="N1372" s="7">
        <v>176343000</v>
      </c>
      <c r="O1372" s="7">
        <v>140556160</v>
      </c>
      <c r="P1372" s="7">
        <v>0</v>
      </c>
      <c r="Q1372" s="7" t="str">
        <f t="shared" si="470"/>
        <v>都市整備部</v>
      </c>
      <c r="R1372" s="7" t="str">
        <f t="shared" si="469"/>
        <v>寝屋川水系改修工営所</v>
      </c>
    </row>
    <row r="1373" spans="1:18" s="1" customFormat="1" x14ac:dyDescent="0.45">
      <c r="A1373" s="7" t="str">
        <f t="shared" si="464"/>
        <v>08209000000</v>
      </c>
      <c r="B1373" s="7" t="str">
        <f t="shared" si="465"/>
        <v>寝屋川水系改修工営所</v>
      </c>
      <c r="C1373" s="7" t="str">
        <f t="shared" si="454"/>
        <v>行政財産</v>
      </c>
      <c r="D1373" s="7" t="str">
        <f t="shared" si="466"/>
        <v>その他（行政機関）の施設</v>
      </c>
      <c r="E1373" s="7" t="str">
        <f t="shared" si="467"/>
        <v>大阪府大阪市　城東区東中浜４丁目</v>
      </c>
      <c r="F1373" s="7"/>
      <c r="G1373" s="7" t="str">
        <f t="shared" si="468"/>
        <v>事業用資産</v>
      </c>
      <c r="H1373" s="7" t="str">
        <f t="shared" si="461"/>
        <v>棚卸以外</v>
      </c>
      <c r="I1373" s="7">
        <v>18</v>
      </c>
      <c r="J1373" s="7" t="str">
        <f>"車庫"</f>
        <v>車庫</v>
      </c>
      <c r="K1373" s="7" t="str">
        <f>"軽量鉄骨造"</f>
        <v>軽量鉄骨造</v>
      </c>
      <c r="L1373" s="7" t="str">
        <f>"S62.03.20"</f>
        <v>S62.03.20</v>
      </c>
      <c r="M1373" s="7">
        <v>131.76</v>
      </c>
      <c r="N1373" s="7">
        <v>12887000</v>
      </c>
      <c r="O1373" s="7">
        <v>12886999</v>
      </c>
      <c r="P1373" s="7">
        <v>0</v>
      </c>
      <c r="Q1373" s="7" t="str">
        <f t="shared" si="470"/>
        <v>都市整備部</v>
      </c>
      <c r="R1373" s="7" t="str">
        <f t="shared" si="469"/>
        <v>寝屋川水系改修工営所</v>
      </c>
    </row>
    <row r="1374" spans="1:18" s="1" customFormat="1" x14ac:dyDescent="0.45">
      <c r="A1374" s="7" t="str">
        <f t="shared" si="464"/>
        <v>08209000000</v>
      </c>
      <c r="B1374" s="7" t="str">
        <f t="shared" si="465"/>
        <v>寝屋川水系改修工営所</v>
      </c>
      <c r="C1374" s="7" t="str">
        <f t="shared" si="454"/>
        <v>行政財産</v>
      </c>
      <c r="D1374" s="7" t="str">
        <f t="shared" si="466"/>
        <v>その他（行政機関）の施設</v>
      </c>
      <c r="E1374" s="7" t="str">
        <f t="shared" si="467"/>
        <v>大阪府大阪市　城東区東中浜４丁目</v>
      </c>
      <c r="F1374" s="7"/>
      <c r="G1374" s="7" t="str">
        <f t="shared" si="468"/>
        <v>事業用資産</v>
      </c>
      <c r="H1374" s="7" t="str">
        <f t="shared" si="461"/>
        <v>棚卸以外</v>
      </c>
      <c r="I1374" s="7">
        <v>19</v>
      </c>
      <c r="J1374" s="7" t="str">
        <f>"自転車置場"</f>
        <v>自転車置場</v>
      </c>
      <c r="K1374" s="7" t="str">
        <f>"軽量鉄骨造"</f>
        <v>軽量鉄骨造</v>
      </c>
      <c r="L1374" s="7" t="str">
        <f>"S62.03.20"</f>
        <v>S62.03.20</v>
      </c>
      <c r="M1374" s="7">
        <v>11.2</v>
      </c>
      <c r="N1374" s="7">
        <v>380000</v>
      </c>
      <c r="O1374" s="7">
        <v>379999</v>
      </c>
      <c r="P1374" s="7">
        <v>0</v>
      </c>
      <c r="Q1374" s="7" t="str">
        <f t="shared" si="470"/>
        <v>都市整備部</v>
      </c>
      <c r="R1374" s="7" t="str">
        <f t="shared" si="469"/>
        <v>寝屋川水系改修工営所</v>
      </c>
    </row>
    <row r="1375" spans="1:18" s="1" customFormat="1" x14ac:dyDescent="0.45">
      <c r="A1375" s="7" t="str">
        <f t="shared" ref="A1375:A1380" si="471">"08209000001"</f>
        <v>08209000001</v>
      </c>
      <c r="B1375" s="7" t="str">
        <f t="shared" ref="B1375:B1380" si="472">"元東部工区事務所"</f>
        <v>元東部工区事務所</v>
      </c>
      <c r="C1375" s="7" t="str">
        <f t="shared" si="454"/>
        <v>行政財産</v>
      </c>
      <c r="D1375" s="7" t="str">
        <f t="shared" si="466"/>
        <v>その他（行政機関）の施設</v>
      </c>
      <c r="E1375" s="7" t="str">
        <f t="shared" ref="E1375:E1380" si="473">"大阪府大東市灰塚１丁目"</f>
        <v>大阪府大東市灰塚１丁目</v>
      </c>
      <c r="F1375" s="7"/>
      <c r="G1375" s="7" t="str">
        <f t="shared" si="468"/>
        <v>事業用資産</v>
      </c>
      <c r="H1375" s="7" t="str">
        <f t="shared" si="461"/>
        <v>棚卸以外</v>
      </c>
      <c r="I1375" s="7">
        <v>1</v>
      </c>
      <c r="J1375" s="7" t="str">
        <f>"事務所"</f>
        <v>事務所</v>
      </c>
      <c r="K1375" s="7" t="str">
        <f>"軽量鉄骨造"</f>
        <v>軽量鉄骨造</v>
      </c>
      <c r="L1375" s="7" t="str">
        <f>"S49.03.25"</f>
        <v>S49.03.25</v>
      </c>
      <c r="M1375" s="7">
        <v>315.35000000000002</v>
      </c>
      <c r="N1375" s="7">
        <v>19468000</v>
      </c>
      <c r="O1375" s="7">
        <v>18845299</v>
      </c>
      <c r="P1375" s="7">
        <v>0</v>
      </c>
      <c r="Q1375" s="7" t="str">
        <f t="shared" si="470"/>
        <v>都市整備部</v>
      </c>
      <c r="R1375" s="7" t="str">
        <f t="shared" si="469"/>
        <v>寝屋川水系改修工営所</v>
      </c>
    </row>
    <row r="1376" spans="1:18" s="1" customFormat="1" x14ac:dyDescent="0.45">
      <c r="A1376" s="7" t="str">
        <f t="shared" si="471"/>
        <v>08209000001</v>
      </c>
      <c r="B1376" s="7" t="str">
        <f t="shared" si="472"/>
        <v>元東部工区事務所</v>
      </c>
      <c r="C1376" s="7" t="str">
        <f t="shared" si="454"/>
        <v>行政財産</v>
      </c>
      <c r="D1376" s="7" t="str">
        <f t="shared" si="466"/>
        <v>その他（行政機関）の施設</v>
      </c>
      <c r="E1376" s="7" t="str">
        <f t="shared" si="473"/>
        <v>大阪府大東市灰塚１丁目</v>
      </c>
      <c r="F1376" s="7"/>
      <c r="G1376" s="7" t="str">
        <f t="shared" si="468"/>
        <v>事業用資産</v>
      </c>
      <c r="H1376" s="7" t="str">
        <f t="shared" si="461"/>
        <v>棚卸以外</v>
      </c>
      <c r="I1376" s="7">
        <v>3</v>
      </c>
      <c r="J1376" s="7" t="str">
        <f>"倉庫"</f>
        <v>倉庫</v>
      </c>
      <c r="K1376" s="7" t="str">
        <f>"軽量鉄骨造"</f>
        <v>軽量鉄骨造</v>
      </c>
      <c r="L1376" s="7" t="str">
        <f>"S48.11.24"</f>
        <v>S48.11.24</v>
      </c>
      <c r="M1376" s="7">
        <v>69.67</v>
      </c>
      <c r="N1376" s="7">
        <v>2384000</v>
      </c>
      <c r="O1376" s="7">
        <v>2383999</v>
      </c>
      <c r="P1376" s="7">
        <v>0</v>
      </c>
      <c r="Q1376" s="7" t="str">
        <f t="shared" si="470"/>
        <v>都市整備部</v>
      </c>
      <c r="R1376" s="7" t="str">
        <f t="shared" si="469"/>
        <v>寝屋川水系改修工営所</v>
      </c>
    </row>
    <row r="1377" spans="1:18" s="1" customFormat="1" x14ac:dyDescent="0.45">
      <c r="A1377" s="7" t="str">
        <f t="shared" si="471"/>
        <v>08209000001</v>
      </c>
      <c r="B1377" s="7" t="str">
        <f t="shared" si="472"/>
        <v>元東部工区事務所</v>
      </c>
      <c r="C1377" s="7" t="str">
        <f t="shared" si="454"/>
        <v>行政財産</v>
      </c>
      <c r="D1377" s="7" t="str">
        <f t="shared" si="466"/>
        <v>その他（行政機関）の施設</v>
      </c>
      <c r="E1377" s="7" t="str">
        <f t="shared" si="473"/>
        <v>大阪府大東市灰塚１丁目</v>
      </c>
      <c r="F1377" s="7"/>
      <c r="G1377" s="7" t="str">
        <f t="shared" si="468"/>
        <v>事業用資産</v>
      </c>
      <c r="H1377" s="7" t="str">
        <f t="shared" si="461"/>
        <v>棚卸以外</v>
      </c>
      <c r="I1377" s="7">
        <v>4</v>
      </c>
      <c r="J1377" s="7" t="str">
        <f>"車庫"</f>
        <v>車庫</v>
      </c>
      <c r="K1377" s="7" t="str">
        <f>"土蔵造(簡易建物)"</f>
        <v>土蔵造(簡易建物)</v>
      </c>
      <c r="L1377" s="7" t="str">
        <f>"S48.11.24"</f>
        <v>S48.11.24</v>
      </c>
      <c r="M1377" s="7">
        <v>15.93</v>
      </c>
      <c r="N1377" s="7">
        <v>352000</v>
      </c>
      <c r="O1377" s="7">
        <v>351999</v>
      </c>
      <c r="P1377" s="7">
        <v>0</v>
      </c>
      <c r="Q1377" s="7" t="str">
        <f t="shared" si="470"/>
        <v>都市整備部</v>
      </c>
      <c r="R1377" s="7" t="str">
        <f t="shared" si="469"/>
        <v>寝屋川水系改修工営所</v>
      </c>
    </row>
    <row r="1378" spans="1:18" s="1" customFormat="1" x14ac:dyDescent="0.45">
      <c r="A1378" s="7" t="str">
        <f t="shared" si="471"/>
        <v>08209000001</v>
      </c>
      <c r="B1378" s="7" t="str">
        <f t="shared" si="472"/>
        <v>元東部工区事務所</v>
      </c>
      <c r="C1378" s="7" t="str">
        <f t="shared" si="454"/>
        <v>行政財産</v>
      </c>
      <c r="D1378" s="7" t="str">
        <f t="shared" si="466"/>
        <v>その他（行政機関）の施設</v>
      </c>
      <c r="E1378" s="7" t="str">
        <f t="shared" si="473"/>
        <v>大阪府大東市灰塚１丁目</v>
      </c>
      <c r="F1378" s="7"/>
      <c r="G1378" s="7" t="str">
        <f t="shared" si="468"/>
        <v>事業用資産</v>
      </c>
      <c r="H1378" s="7" t="str">
        <f t="shared" si="461"/>
        <v>棚卸以外</v>
      </c>
      <c r="I1378" s="7">
        <v>6</v>
      </c>
      <c r="J1378" s="7" t="str">
        <f>"車庫（プレハブ）"</f>
        <v>車庫（プレハブ）</v>
      </c>
      <c r="K1378" s="7" t="str">
        <f>"土蔵造(簡易建物)"</f>
        <v>土蔵造(簡易建物)</v>
      </c>
      <c r="L1378" s="7" t="str">
        <f>"H16.12.08"</f>
        <v>H16.12.08</v>
      </c>
      <c r="M1378" s="7">
        <v>16.27</v>
      </c>
      <c r="N1378" s="7">
        <v>1073000</v>
      </c>
      <c r="O1378" s="7">
        <v>1072999</v>
      </c>
      <c r="P1378" s="7">
        <v>0</v>
      </c>
      <c r="Q1378" s="7" t="str">
        <f t="shared" si="470"/>
        <v>都市整備部</v>
      </c>
      <c r="R1378" s="7" t="str">
        <f t="shared" si="469"/>
        <v>寝屋川水系改修工営所</v>
      </c>
    </row>
    <row r="1379" spans="1:18" s="1" customFormat="1" x14ac:dyDescent="0.45">
      <c r="A1379" s="7" t="str">
        <f t="shared" si="471"/>
        <v>08209000001</v>
      </c>
      <c r="B1379" s="7" t="str">
        <f t="shared" si="472"/>
        <v>元東部工区事務所</v>
      </c>
      <c r="C1379" s="7" t="str">
        <f t="shared" si="454"/>
        <v>行政財産</v>
      </c>
      <c r="D1379" s="7" t="str">
        <f t="shared" si="466"/>
        <v>その他（行政機関）の施設</v>
      </c>
      <c r="E1379" s="7" t="str">
        <f t="shared" si="473"/>
        <v>大阪府大東市灰塚１丁目</v>
      </c>
      <c r="F1379" s="7"/>
      <c r="G1379" s="7" t="str">
        <f t="shared" si="468"/>
        <v>事業用資産</v>
      </c>
      <c r="H1379" s="7" t="str">
        <f t="shared" si="461"/>
        <v>棚卸以外</v>
      </c>
      <c r="I1379" s="7">
        <v>7</v>
      </c>
      <c r="J1379" s="7" t="str">
        <f>"水防倉庫（資材用）"</f>
        <v>水防倉庫（資材用）</v>
      </c>
      <c r="K1379" s="7" t="str">
        <f>"土蔵造(簡易建物)"</f>
        <v>土蔵造(簡易建物)</v>
      </c>
      <c r="L1379" s="7" t="str">
        <f>"H22.02.15"</f>
        <v>H22.02.15</v>
      </c>
      <c r="M1379" s="7">
        <v>9.3000000000000007</v>
      </c>
      <c r="N1379" s="7">
        <v>489000</v>
      </c>
      <c r="O1379" s="7">
        <v>457027</v>
      </c>
      <c r="P1379" s="7">
        <v>0</v>
      </c>
      <c r="Q1379" s="7" t="str">
        <f t="shared" si="470"/>
        <v>都市整備部</v>
      </c>
      <c r="R1379" s="7" t="str">
        <f t="shared" si="469"/>
        <v>寝屋川水系改修工営所</v>
      </c>
    </row>
    <row r="1380" spans="1:18" s="1" customFormat="1" x14ac:dyDescent="0.45">
      <c r="A1380" s="7" t="str">
        <f t="shared" si="471"/>
        <v>08209000001</v>
      </c>
      <c r="B1380" s="7" t="str">
        <f t="shared" si="472"/>
        <v>元東部工区事務所</v>
      </c>
      <c r="C1380" s="7" t="str">
        <f t="shared" si="454"/>
        <v>行政財産</v>
      </c>
      <c r="D1380" s="7" t="str">
        <f t="shared" si="466"/>
        <v>その他（行政機関）の施設</v>
      </c>
      <c r="E1380" s="7" t="str">
        <f t="shared" si="473"/>
        <v>大阪府大東市灰塚１丁目</v>
      </c>
      <c r="F1380" s="7"/>
      <c r="G1380" s="7" t="str">
        <f t="shared" si="468"/>
        <v>事業用資産</v>
      </c>
      <c r="H1380" s="7" t="str">
        <f t="shared" si="461"/>
        <v>棚卸以外</v>
      </c>
      <c r="I1380" s="7">
        <v>8</v>
      </c>
      <c r="J1380" s="7" t="str">
        <f>"水防倉庫（機材用）"</f>
        <v>水防倉庫（機材用）</v>
      </c>
      <c r="K1380" s="7" t="str">
        <f>"土蔵造(簡易建物)"</f>
        <v>土蔵造(簡易建物)</v>
      </c>
      <c r="L1380" s="7" t="str">
        <f>"H22.02.15"</f>
        <v>H22.02.15</v>
      </c>
      <c r="M1380" s="7">
        <v>9.3000000000000007</v>
      </c>
      <c r="N1380" s="7">
        <v>489000</v>
      </c>
      <c r="O1380" s="7">
        <v>457027</v>
      </c>
      <c r="P1380" s="7">
        <v>0</v>
      </c>
      <c r="Q1380" s="7" t="str">
        <f t="shared" si="470"/>
        <v>都市整備部</v>
      </c>
      <c r="R1380" s="7" t="str">
        <f t="shared" si="469"/>
        <v>寝屋川水系改修工営所</v>
      </c>
    </row>
    <row r="1381" spans="1:18" s="1" customFormat="1" x14ac:dyDescent="0.45">
      <c r="A1381" s="7" t="str">
        <f>"08209001004"</f>
        <v>08209001004</v>
      </c>
      <c r="B1381" s="7" t="str">
        <f>"恩智堰（ファブリダムポンプ場）"</f>
        <v>恩智堰（ファブリダムポンプ場）</v>
      </c>
      <c r="C1381" s="7" t="str">
        <f t="shared" si="454"/>
        <v>行政財産</v>
      </c>
      <c r="D1381" s="7" t="str">
        <f>"その他（公共用）の施設"</f>
        <v>その他（公共用）の施設</v>
      </c>
      <c r="E1381" s="7" t="str">
        <f>"大阪府東大阪市玉串町東３丁目"</f>
        <v>大阪府東大阪市玉串町東３丁目</v>
      </c>
      <c r="F1381" s="7" t="str">
        <f>"４"</f>
        <v>４</v>
      </c>
      <c r="G1381" s="7" t="str">
        <f t="shared" ref="G1381:G1423" si="474">"インフラ資産"</f>
        <v>インフラ資産</v>
      </c>
      <c r="H1381" s="7" t="str">
        <f t="shared" si="461"/>
        <v>棚卸以外</v>
      </c>
      <c r="I1381" s="7">
        <v>1</v>
      </c>
      <c r="J1381" s="7" t="str">
        <f>"ポンプ室"</f>
        <v>ポンプ室</v>
      </c>
      <c r="K1381" s="7" t="str">
        <f t="shared" ref="K1381:K1406" si="475">"鉄筋コンクリート造"</f>
        <v>鉄筋コンクリート造</v>
      </c>
      <c r="L1381" s="7" t="str">
        <f>"S43.07.30"</f>
        <v>S43.07.30</v>
      </c>
      <c r="M1381" s="7">
        <v>49.84</v>
      </c>
      <c r="N1381" s="7">
        <v>3646154</v>
      </c>
      <c r="O1381" s="7">
        <v>3646153</v>
      </c>
      <c r="P1381" s="7">
        <v>0</v>
      </c>
      <c r="Q1381" s="7" t="str">
        <f t="shared" si="470"/>
        <v>都市整備部</v>
      </c>
      <c r="R1381" s="7" t="str">
        <f t="shared" si="469"/>
        <v>寝屋川水系改修工営所</v>
      </c>
    </row>
    <row r="1382" spans="1:18" s="1" customFormat="1" x14ac:dyDescent="0.45">
      <c r="A1382" s="7" t="str">
        <f>"08209001006"</f>
        <v>08209001006</v>
      </c>
      <c r="B1382" s="7" t="str">
        <f>"平野川分水路排水機場"</f>
        <v>平野川分水路排水機場</v>
      </c>
      <c r="C1382" s="7" t="str">
        <f t="shared" si="454"/>
        <v>行政財産</v>
      </c>
      <c r="D1382" s="7" t="str">
        <f>"その他（公共用）の施設"</f>
        <v>その他（公共用）の施設</v>
      </c>
      <c r="E1382" s="7" t="str">
        <f>"大阪府大阪市　城東区東中浜７丁目"</f>
        <v>大阪府大阪市　城東区東中浜７丁目</v>
      </c>
      <c r="F1382" s="7"/>
      <c r="G1382" s="7" t="str">
        <f t="shared" si="474"/>
        <v>インフラ資産</v>
      </c>
      <c r="H1382" s="7" t="str">
        <f t="shared" si="461"/>
        <v>棚卸以外</v>
      </c>
      <c r="I1382" s="7">
        <v>1</v>
      </c>
      <c r="J1382" s="7" t="str">
        <f>"本館"</f>
        <v>本館</v>
      </c>
      <c r="K1382" s="7" t="str">
        <f t="shared" si="475"/>
        <v>鉄筋コンクリート造</v>
      </c>
      <c r="L1382" s="7" t="str">
        <f>"S58.05.31"</f>
        <v>S58.05.31</v>
      </c>
      <c r="M1382" s="7">
        <v>5307.14</v>
      </c>
      <c r="N1382" s="7">
        <v>2753750000</v>
      </c>
      <c r="O1382" s="7">
        <v>2193821152</v>
      </c>
      <c r="P1382" s="7">
        <v>0</v>
      </c>
      <c r="Q1382" s="7" t="str">
        <f t="shared" si="470"/>
        <v>都市整備部</v>
      </c>
      <c r="R1382" s="7" t="str">
        <f t="shared" si="469"/>
        <v>寝屋川水系改修工営所</v>
      </c>
    </row>
    <row r="1383" spans="1:18" s="1" customFormat="1" x14ac:dyDescent="0.45">
      <c r="A1383" s="7" t="str">
        <f>"08209002001"</f>
        <v>08209002001</v>
      </c>
      <c r="B1383" s="7" t="str">
        <f>"一級河川御神田川"</f>
        <v>一級河川御神田川</v>
      </c>
      <c r="C1383" s="7" t="str">
        <f t="shared" si="454"/>
        <v>行政財産</v>
      </c>
      <c r="D1383" s="7" t="str">
        <f t="shared" ref="D1383:D1423" si="476">"その他"</f>
        <v>その他</v>
      </c>
      <c r="E1383" s="7" t="str">
        <f>"大阪府東大阪市吉田９丁目"</f>
        <v>大阪府東大阪市吉田９丁目</v>
      </c>
      <c r="F1383" s="7" t="str">
        <f>"１"</f>
        <v>１</v>
      </c>
      <c r="G1383" s="7" t="str">
        <f t="shared" si="474"/>
        <v>インフラ資産</v>
      </c>
      <c r="H1383" s="7" t="str">
        <f t="shared" si="461"/>
        <v>棚卸以外</v>
      </c>
      <c r="I1383" s="7">
        <v>30</v>
      </c>
      <c r="J1383" s="7" t="str">
        <f>"御神田川浄化施設管理棟"</f>
        <v>御神田川浄化施設管理棟</v>
      </c>
      <c r="K1383" s="7" t="str">
        <f t="shared" si="475"/>
        <v>鉄筋コンクリート造</v>
      </c>
      <c r="L1383" s="7" t="str">
        <f>"H11.03.31"</f>
        <v>H11.03.31</v>
      </c>
      <c r="M1383" s="7">
        <v>24</v>
      </c>
      <c r="N1383" s="7">
        <v>10343550</v>
      </c>
      <c r="O1383" s="7">
        <v>4965120</v>
      </c>
      <c r="P1383" s="7">
        <v>0</v>
      </c>
      <c r="Q1383" s="7" t="str">
        <f t="shared" si="470"/>
        <v>都市整備部</v>
      </c>
      <c r="R1383" s="7" t="str">
        <f t="shared" si="469"/>
        <v>寝屋川水系改修工営所</v>
      </c>
    </row>
    <row r="1384" spans="1:18" s="1" customFormat="1" x14ac:dyDescent="0.45">
      <c r="A1384" s="7" t="str">
        <f>"08209002002"</f>
        <v>08209002002</v>
      </c>
      <c r="B1384" s="7" t="str">
        <f>"一級河川寝屋川"</f>
        <v>一級河川寝屋川</v>
      </c>
      <c r="C1384" s="7" t="str">
        <f t="shared" si="454"/>
        <v>行政財産</v>
      </c>
      <c r="D1384" s="7" t="str">
        <f t="shared" si="476"/>
        <v>その他</v>
      </c>
      <c r="E1384" s="7" t="str">
        <f>"大阪府大東市浜町"</f>
        <v>大阪府大東市浜町</v>
      </c>
      <c r="F1384" s="7" t="str">
        <f>"３"</f>
        <v>３</v>
      </c>
      <c r="G1384" s="7" t="str">
        <f t="shared" si="474"/>
        <v>インフラ資産</v>
      </c>
      <c r="H1384" s="7" t="str">
        <f t="shared" si="461"/>
        <v>棚卸以外</v>
      </c>
      <c r="I1384" s="7">
        <v>33</v>
      </c>
      <c r="J1384" s="7" t="str">
        <f>"住道新橋管理棟"</f>
        <v>住道新橋管理棟</v>
      </c>
      <c r="K1384" s="7" t="str">
        <f t="shared" si="475"/>
        <v>鉄筋コンクリート造</v>
      </c>
      <c r="L1384" s="7" t="str">
        <f>"S59.03.31"</f>
        <v>S59.03.31</v>
      </c>
      <c r="M1384" s="7">
        <v>13.51</v>
      </c>
      <c r="N1384" s="7">
        <v>13000000</v>
      </c>
      <c r="O1384" s="7">
        <v>10140156</v>
      </c>
      <c r="P1384" s="7">
        <v>0</v>
      </c>
      <c r="Q1384" s="7" t="str">
        <f t="shared" si="470"/>
        <v>都市整備部</v>
      </c>
      <c r="R1384" s="7" t="str">
        <f t="shared" si="469"/>
        <v>寝屋川水系改修工営所</v>
      </c>
    </row>
    <row r="1385" spans="1:18" s="1" customFormat="1" x14ac:dyDescent="0.45">
      <c r="A1385" s="7" t="str">
        <f>"08209002006"</f>
        <v>08209002006</v>
      </c>
      <c r="B1385" s="7" t="str">
        <f>"一番町調節池"</f>
        <v>一番町調節池</v>
      </c>
      <c r="C1385" s="7" t="str">
        <f t="shared" si="454"/>
        <v>行政財産</v>
      </c>
      <c r="D1385" s="7" t="str">
        <f t="shared" si="476"/>
        <v>その他</v>
      </c>
      <c r="E1385" s="7" t="str">
        <f>"大阪府門真市一番町"</f>
        <v>大阪府門真市一番町</v>
      </c>
      <c r="F1385" s="7" t="str">
        <f>"２３"</f>
        <v>２３</v>
      </c>
      <c r="G1385" s="7" t="str">
        <f t="shared" si="474"/>
        <v>インフラ資産</v>
      </c>
      <c r="H1385" s="7" t="str">
        <f t="shared" si="461"/>
        <v>棚卸以外</v>
      </c>
      <c r="I1385" s="7">
        <v>12</v>
      </c>
      <c r="J1385" s="7" t="str">
        <f>"一番町調節池管理棟"</f>
        <v>一番町調節池管理棟</v>
      </c>
      <c r="K1385" s="7" t="str">
        <f t="shared" si="475"/>
        <v>鉄筋コンクリート造</v>
      </c>
      <c r="L1385" s="7" t="str">
        <f>"H13.05.31"</f>
        <v>H13.05.31</v>
      </c>
      <c r="M1385" s="7">
        <v>176.68</v>
      </c>
      <c r="N1385" s="7">
        <v>99586443</v>
      </c>
      <c r="O1385" s="7">
        <v>43486236</v>
      </c>
      <c r="P1385" s="7">
        <v>0</v>
      </c>
      <c r="Q1385" s="7" t="str">
        <f t="shared" si="470"/>
        <v>都市整備部</v>
      </c>
      <c r="R1385" s="7" t="str">
        <f t="shared" si="469"/>
        <v>寝屋川水系改修工営所</v>
      </c>
    </row>
    <row r="1386" spans="1:18" s="1" customFormat="1" x14ac:dyDescent="0.45">
      <c r="A1386" s="7" t="str">
        <f>"08209002009"</f>
        <v>08209002009</v>
      </c>
      <c r="B1386" s="7" t="str">
        <f>"恩智川治水緑地"</f>
        <v>恩智川治水緑地</v>
      </c>
      <c r="C1386" s="7" t="str">
        <f t="shared" si="454"/>
        <v>行政財産</v>
      </c>
      <c r="D1386" s="7" t="str">
        <f t="shared" si="476"/>
        <v>その他</v>
      </c>
      <c r="E1386" s="7" t="str">
        <f>"大阪府八尾市福万寺町北４丁目"</f>
        <v>大阪府八尾市福万寺町北４丁目</v>
      </c>
      <c r="F1386" s="7"/>
      <c r="G1386" s="7" t="str">
        <f t="shared" si="474"/>
        <v>インフラ資産</v>
      </c>
      <c r="H1386" s="7" t="str">
        <f t="shared" si="461"/>
        <v>棚卸以外</v>
      </c>
      <c r="I1386" s="7">
        <v>21</v>
      </c>
      <c r="J1386" s="7" t="str">
        <f>"恩智川治水緑地管理棟"</f>
        <v>恩智川治水緑地管理棟</v>
      </c>
      <c r="K1386" s="7" t="str">
        <f t="shared" si="475"/>
        <v>鉄筋コンクリート造</v>
      </c>
      <c r="L1386" s="7" t="str">
        <f>"S63.10.31"</f>
        <v>S63.10.31</v>
      </c>
      <c r="M1386" s="7">
        <v>257.3</v>
      </c>
      <c r="N1386" s="7">
        <v>160731028</v>
      </c>
      <c r="O1386" s="7">
        <v>92960333</v>
      </c>
      <c r="P1386" s="7">
        <v>0</v>
      </c>
      <c r="Q1386" s="7" t="str">
        <f t="shared" si="470"/>
        <v>都市整備部</v>
      </c>
      <c r="R1386" s="7" t="str">
        <f t="shared" si="469"/>
        <v>寝屋川水系改修工営所</v>
      </c>
    </row>
    <row r="1387" spans="1:18" s="1" customFormat="1" x14ac:dyDescent="0.45">
      <c r="A1387" s="7" t="str">
        <f>"08209002010"</f>
        <v>08209002010</v>
      </c>
      <c r="B1387" s="7" t="str">
        <f>"音川浄化施設"</f>
        <v>音川浄化施設</v>
      </c>
      <c r="C1387" s="7" t="str">
        <f t="shared" si="454"/>
        <v>行政財産</v>
      </c>
      <c r="D1387" s="7" t="str">
        <f t="shared" si="476"/>
        <v>その他</v>
      </c>
      <c r="E1387" s="7" t="str">
        <f>"大阪府東大阪市中石切町６丁目"</f>
        <v>大阪府東大阪市中石切町６丁目</v>
      </c>
      <c r="F1387" s="7" t="str">
        <f>"２"</f>
        <v>２</v>
      </c>
      <c r="G1387" s="7" t="str">
        <f t="shared" si="474"/>
        <v>インフラ資産</v>
      </c>
      <c r="H1387" s="7" t="str">
        <f t="shared" si="461"/>
        <v>棚卸以外</v>
      </c>
      <c r="I1387" s="7">
        <v>31</v>
      </c>
      <c r="J1387" s="7" t="str">
        <f>"音川浄化施設管理棟"</f>
        <v>音川浄化施設管理棟</v>
      </c>
      <c r="K1387" s="7" t="str">
        <f t="shared" si="475"/>
        <v>鉄筋コンクリート造</v>
      </c>
      <c r="L1387" s="7" t="str">
        <f>"H13.09.28"</f>
        <v>H13.09.28</v>
      </c>
      <c r="M1387" s="7">
        <v>25</v>
      </c>
      <c r="N1387" s="7">
        <v>14091357</v>
      </c>
      <c r="O1387" s="7">
        <v>6059388</v>
      </c>
      <c r="P1387" s="7">
        <v>0</v>
      </c>
      <c r="Q1387" s="7" t="str">
        <f t="shared" si="470"/>
        <v>都市整備部</v>
      </c>
      <c r="R1387" s="7" t="str">
        <f t="shared" si="469"/>
        <v>寝屋川水系改修工営所</v>
      </c>
    </row>
    <row r="1388" spans="1:18" s="1" customFormat="1" x14ac:dyDescent="0.45">
      <c r="A1388" s="7" t="str">
        <f>"08209002012"</f>
        <v>08209002012</v>
      </c>
      <c r="B1388" s="7" t="str">
        <f>"花園多目的遊水地"</f>
        <v>花園多目的遊水地</v>
      </c>
      <c r="C1388" s="7" t="str">
        <f t="shared" si="454"/>
        <v>行政財産</v>
      </c>
      <c r="D1388" s="7" t="str">
        <f t="shared" si="476"/>
        <v>その他</v>
      </c>
      <c r="E1388" s="7" t="str">
        <f>"大阪府東大阪市松原南２丁目"</f>
        <v>大阪府東大阪市松原南２丁目</v>
      </c>
      <c r="F1388" s="7" t="str">
        <f>"４"</f>
        <v>４</v>
      </c>
      <c r="G1388" s="7" t="str">
        <f t="shared" si="474"/>
        <v>インフラ資産</v>
      </c>
      <c r="H1388" s="7" t="str">
        <f t="shared" si="461"/>
        <v>棚卸以外</v>
      </c>
      <c r="I1388" s="7">
        <v>20</v>
      </c>
      <c r="J1388" s="7" t="str">
        <f>"花園多目的遊水地管理棟"</f>
        <v>花園多目的遊水地管理棟</v>
      </c>
      <c r="K1388" s="7" t="str">
        <f t="shared" si="475"/>
        <v>鉄筋コンクリート造</v>
      </c>
      <c r="L1388" s="7" t="str">
        <f>"H12.02.22"</f>
        <v>H12.02.22</v>
      </c>
      <c r="M1388" s="7">
        <v>269.85000000000002</v>
      </c>
      <c r="N1388" s="7">
        <v>77239050</v>
      </c>
      <c r="O1388" s="7">
        <v>35658764</v>
      </c>
      <c r="P1388" s="7">
        <v>0</v>
      </c>
      <c r="Q1388" s="7" t="str">
        <f t="shared" si="470"/>
        <v>都市整備部</v>
      </c>
      <c r="R1388" s="7" t="str">
        <f t="shared" si="469"/>
        <v>寝屋川水系改修工営所</v>
      </c>
    </row>
    <row r="1389" spans="1:18" s="1" customFormat="1" x14ac:dyDescent="0.45">
      <c r="A1389" s="7" t="str">
        <f>"08209002014"</f>
        <v>08209002014</v>
      </c>
      <c r="B1389" s="7" t="str">
        <f>"萱島調節池"</f>
        <v>萱島調節池</v>
      </c>
      <c r="C1389" s="7" t="str">
        <f t="shared" si="454"/>
        <v>行政財産</v>
      </c>
      <c r="D1389" s="7" t="str">
        <f t="shared" si="476"/>
        <v>その他</v>
      </c>
      <c r="E1389" s="7" t="str">
        <f>"大阪府寝屋川市萱島南町"</f>
        <v>大阪府寝屋川市萱島南町</v>
      </c>
      <c r="F1389" s="7" t="str">
        <f>"１２"</f>
        <v>１２</v>
      </c>
      <c r="G1389" s="7" t="str">
        <f t="shared" si="474"/>
        <v>インフラ資産</v>
      </c>
      <c r="H1389" s="7" t="str">
        <f t="shared" si="461"/>
        <v>棚卸以外</v>
      </c>
      <c r="I1389" s="7">
        <v>13</v>
      </c>
      <c r="J1389" s="7" t="str">
        <f>"萱島調節池管理棟"</f>
        <v>萱島調節池管理棟</v>
      </c>
      <c r="K1389" s="7" t="str">
        <f t="shared" si="475"/>
        <v>鉄筋コンクリート造</v>
      </c>
      <c r="L1389" s="7" t="str">
        <f>"H15.12.09"</f>
        <v>H15.12.09</v>
      </c>
      <c r="M1389" s="7">
        <v>62.88</v>
      </c>
      <c r="N1389" s="7">
        <v>35406527</v>
      </c>
      <c r="O1389" s="7">
        <v>13631541</v>
      </c>
      <c r="P1389" s="7">
        <v>0</v>
      </c>
      <c r="Q1389" s="7" t="str">
        <f t="shared" si="470"/>
        <v>都市整備部</v>
      </c>
      <c r="R1389" s="7" t="str">
        <f t="shared" si="469"/>
        <v>寝屋川水系改修工営所</v>
      </c>
    </row>
    <row r="1390" spans="1:18" s="1" customFormat="1" x14ac:dyDescent="0.45">
      <c r="A1390" s="7" t="str">
        <f>"08209002015"</f>
        <v>08209002015</v>
      </c>
      <c r="B1390" s="7" t="str">
        <f>"古川浄化水門"</f>
        <v>古川浄化水門</v>
      </c>
      <c r="C1390" s="7" t="str">
        <f t="shared" si="454"/>
        <v>行政財産</v>
      </c>
      <c r="D1390" s="7" t="str">
        <f t="shared" si="476"/>
        <v>その他</v>
      </c>
      <c r="E1390" s="7" t="str">
        <f>"大阪府寝屋川市清水町"</f>
        <v>大阪府寝屋川市清水町</v>
      </c>
      <c r="F1390" s="7" t="str">
        <f>"９"</f>
        <v>９</v>
      </c>
      <c r="G1390" s="7" t="str">
        <f t="shared" si="474"/>
        <v>インフラ資産</v>
      </c>
      <c r="H1390" s="7" t="str">
        <f t="shared" si="461"/>
        <v>棚卸以外</v>
      </c>
      <c r="I1390" s="7">
        <v>48</v>
      </c>
      <c r="J1390" s="7" t="str">
        <f>"古川浄化水門管理棟"</f>
        <v>古川浄化水門管理棟</v>
      </c>
      <c r="K1390" s="7" t="str">
        <f t="shared" si="475"/>
        <v>鉄筋コンクリート造</v>
      </c>
      <c r="L1390" s="7" t="str">
        <f>"H02.03.31"</f>
        <v>H02.03.31</v>
      </c>
      <c r="M1390" s="7">
        <v>12.2</v>
      </c>
      <c r="N1390" s="7">
        <v>6569462</v>
      </c>
      <c r="O1390" s="7">
        <v>4336200</v>
      </c>
      <c r="P1390" s="7">
        <v>0</v>
      </c>
      <c r="Q1390" s="7" t="str">
        <f t="shared" si="470"/>
        <v>都市整備部</v>
      </c>
      <c r="R1390" s="7" t="str">
        <f t="shared" si="469"/>
        <v>寝屋川水系改修工営所</v>
      </c>
    </row>
    <row r="1391" spans="1:18" s="1" customFormat="1" x14ac:dyDescent="0.45">
      <c r="A1391" s="7" t="str">
        <f>"08209002016"</f>
        <v>08209002016</v>
      </c>
      <c r="B1391" s="7" t="str">
        <f>"古川水門"</f>
        <v>古川水門</v>
      </c>
      <c r="C1391" s="7" t="str">
        <f t="shared" si="454"/>
        <v>行政財産</v>
      </c>
      <c r="D1391" s="7" t="str">
        <f t="shared" si="476"/>
        <v>その他</v>
      </c>
      <c r="E1391" s="7" t="str">
        <f>"大阪府大阪市　鶴見区徳庵１丁目"</f>
        <v>大阪府大阪市　鶴見区徳庵１丁目</v>
      </c>
      <c r="F1391" s="7"/>
      <c r="G1391" s="7" t="str">
        <f t="shared" si="474"/>
        <v>インフラ資産</v>
      </c>
      <c r="H1391" s="7" t="str">
        <f t="shared" si="461"/>
        <v>棚卸以外</v>
      </c>
      <c r="I1391" s="7">
        <v>49</v>
      </c>
      <c r="J1391" s="7" t="str">
        <f>"古川水門管理棟"</f>
        <v>古川水門管理棟</v>
      </c>
      <c r="K1391" s="7" t="str">
        <f t="shared" si="475"/>
        <v>鉄筋コンクリート造</v>
      </c>
      <c r="L1391" s="7" t="str">
        <f>"S52.06.30"</f>
        <v>S52.06.30</v>
      </c>
      <c r="M1391" s="7">
        <v>87.2</v>
      </c>
      <c r="N1391" s="7">
        <v>33116497</v>
      </c>
      <c r="O1391" s="7">
        <v>30302055</v>
      </c>
      <c r="P1391" s="7">
        <v>0</v>
      </c>
      <c r="Q1391" s="7" t="str">
        <f t="shared" si="470"/>
        <v>都市整備部</v>
      </c>
      <c r="R1391" s="7" t="str">
        <f t="shared" si="469"/>
        <v>寝屋川水系改修工営所</v>
      </c>
    </row>
    <row r="1392" spans="1:18" s="1" customFormat="1" x14ac:dyDescent="0.45">
      <c r="A1392" s="7" t="str">
        <f>"08209002017"</f>
        <v>08209002017</v>
      </c>
      <c r="B1392" s="7" t="str">
        <f>"御幸西調節池"</f>
        <v>御幸西調節池</v>
      </c>
      <c r="C1392" s="7" t="str">
        <f t="shared" si="454"/>
        <v>行政財産</v>
      </c>
      <c r="D1392" s="7" t="str">
        <f t="shared" si="476"/>
        <v>その他</v>
      </c>
      <c r="E1392" s="7" t="str">
        <f>"大阪府寝屋川市御幸西町"</f>
        <v>大阪府寝屋川市御幸西町</v>
      </c>
      <c r="F1392" s="7" t="str">
        <f>"１４"</f>
        <v>１４</v>
      </c>
      <c r="G1392" s="7" t="str">
        <f t="shared" si="474"/>
        <v>インフラ資産</v>
      </c>
      <c r="H1392" s="7" t="str">
        <f t="shared" si="461"/>
        <v>棚卸以外</v>
      </c>
      <c r="I1392" s="7">
        <v>10</v>
      </c>
      <c r="J1392" s="7" t="str">
        <f>"御幸西調節池管理棟"</f>
        <v>御幸西調節池管理棟</v>
      </c>
      <c r="K1392" s="7" t="str">
        <f t="shared" si="475"/>
        <v>鉄筋コンクリート造</v>
      </c>
      <c r="L1392" s="7" t="str">
        <f>"H12.06.30"</f>
        <v>H12.06.30</v>
      </c>
      <c r="M1392" s="7">
        <v>266.25</v>
      </c>
      <c r="N1392" s="7">
        <v>68412750</v>
      </c>
      <c r="O1392" s="7">
        <v>31128006</v>
      </c>
      <c r="P1392" s="7">
        <v>0</v>
      </c>
      <c r="Q1392" s="7" t="str">
        <f t="shared" si="470"/>
        <v>都市整備部</v>
      </c>
      <c r="R1392" s="7" t="str">
        <f t="shared" si="469"/>
        <v>寝屋川水系改修工営所</v>
      </c>
    </row>
    <row r="1393" spans="1:18" s="1" customFormat="1" x14ac:dyDescent="0.45">
      <c r="A1393" s="7" t="str">
        <f>"08209002018"</f>
        <v>08209002018</v>
      </c>
      <c r="B1393" s="7" t="str">
        <f>"香里西調節池"</f>
        <v>香里西調節池</v>
      </c>
      <c r="C1393" s="7" t="str">
        <f t="shared" si="454"/>
        <v>行政財産</v>
      </c>
      <c r="D1393" s="7" t="str">
        <f t="shared" si="476"/>
        <v>その他</v>
      </c>
      <c r="E1393" s="7" t="str">
        <f>"大阪府寝屋川市香里西之町"</f>
        <v>大阪府寝屋川市香里西之町</v>
      </c>
      <c r="F1393" s="7" t="str">
        <f>"２６"</f>
        <v>２６</v>
      </c>
      <c r="G1393" s="7" t="str">
        <f t="shared" si="474"/>
        <v>インフラ資産</v>
      </c>
      <c r="H1393" s="7" t="str">
        <f t="shared" si="461"/>
        <v>棚卸以外</v>
      </c>
      <c r="I1393" s="7">
        <v>46</v>
      </c>
      <c r="J1393" s="7" t="str">
        <f>"香里西調節池管理棟"</f>
        <v>香里西調節池管理棟</v>
      </c>
      <c r="K1393" s="7" t="str">
        <f t="shared" si="475"/>
        <v>鉄筋コンクリート造</v>
      </c>
      <c r="L1393" s="7" t="str">
        <f>"H03.03.31"</f>
        <v>H03.03.31</v>
      </c>
      <c r="M1393" s="7">
        <v>6.6</v>
      </c>
      <c r="N1393" s="7">
        <v>3675255</v>
      </c>
      <c r="O1393" s="7">
        <v>2352384</v>
      </c>
      <c r="P1393" s="7">
        <v>0</v>
      </c>
      <c r="Q1393" s="7" t="str">
        <f t="shared" si="470"/>
        <v>都市整備部</v>
      </c>
      <c r="R1393" s="7" t="str">
        <f t="shared" si="469"/>
        <v>寝屋川水系改修工営所</v>
      </c>
    </row>
    <row r="1394" spans="1:18" s="1" customFormat="1" x14ac:dyDescent="0.45">
      <c r="A1394" s="7" t="str">
        <f>"08209002019"</f>
        <v>08209002019</v>
      </c>
      <c r="B1394" s="7" t="str">
        <f>"三ツ島調節池"</f>
        <v>三ツ島調節池</v>
      </c>
      <c r="C1394" s="7" t="str">
        <f t="shared" si="454"/>
        <v>行政財産</v>
      </c>
      <c r="D1394" s="7" t="str">
        <f t="shared" si="476"/>
        <v>その他</v>
      </c>
      <c r="E1394" s="7" t="str">
        <f>"大阪府門真市三ツ島３丁目"</f>
        <v>大阪府門真市三ツ島３丁目</v>
      </c>
      <c r="F1394" s="7" t="str">
        <f>"１２－６"</f>
        <v>１２－６</v>
      </c>
      <c r="G1394" s="7" t="str">
        <f t="shared" si="474"/>
        <v>インフラ資産</v>
      </c>
      <c r="H1394" s="7" t="str">
        <f t="shared" si="461"/>
        <v>棚卸以外</v>
      </c>
      <c r="I1394" s="7">
        <v>7</v>
      </c>
      <c r="J1394" s="7" t="str">
        <f>"三ツ島調節池管理棟"</f>
        <v>三ツ島調節池管理棟</v>
      </c>
      <c r="K1394" s="7" t="str">
        <f t="shared" si="475"/>
        <v>鉄筋コンクリート造</v>
      </c>
      <c r="L1394" s="7" t="str">
        <f>"H07.10.31"</f>
        <v>H07.10.31</v>
      </c>
      <c r="M1394" s="7">
        <v>95.8</v>
      </c>
      <c r="N1394" s="7">
        <v>34985000</v>
      </c>
      <c r="O1394" s="7">
        <v>19183661</v>
      </c>
      <c r="P1394" s="7">
        <v>0</v>
      </c>
      <c r="Q1394" s="7" t="str">
        <f t="shared" si="470"/>
        <v>都市整備部</v>
      </c>
      <c r="R1394" s="7" t="str">
        <f t="shared" si="469"/>
        <v>寝屋川水系改修工営所</v>
      </c>
    </row>
    <row r="1395" spans="1:18" s="1" customFormat="1" x14ac:dyDescent="0.45">
      <c r="A1395" s="7" t="str">
        <f>"08209002020"</f>
        <v>08209002020</v>
      </c>
      <c r="B1395" s="7" t="str">
        <f>"志紀調節池"</f>
        <v>志紀調節池</v>
      </c>
      <c r="C1395" s="7" t="str">
        <f t="shared" si="454"/>
        <v>行政財産</v>
      </c>
      <c r="D1395" s="7" t="str">
        <f t="shared" si="476"/>
        <v>その他</v>
      </c>
      <c r="E1395" s="7" t="str">
        <f>"大阪府八尾市志紀町　西１丁目"</f>
        <v>大阪府八尾市志紀町　西１丁目</v>
      </c>
      <c r="F1395" s="7"/>
      <c r="G1395" s="7" t="str">
        <f t="shared" si="474"/>
        <v>インフラ資産</v>
      </c>
      <c r="H1395" s="7" t="str">
        <f t="shared" si="461"/>
        <v>棚卸以外</v>
      </c>
      <c r="I1395" s="7">
        <v>6</v>
      </c>
      <c r="J1395" s="7" t="str">
        <f>"志紀調節池管理棟"</f>
        <v>志紀調節池管理棟</v>
      </c>
      <c r="K1395" s="7" t="str">
        <f t="shared" si="475"/>
        <v>鉄筋コンクリート造</v>
      </c>
      <c r="L1395" s="7" t="str">
        <f>"H07.03.31"</f>
        <v>H07.03.31</v>
      </c>
      <c r="M1395" s="7">
        <v>144.4</v>
      </c>
      <c r="N1395" s="7">
        <v>23260490</v>
      </c>
      <c r="O1395" s="7">
        <v>13026048</v>
      </c>
      <c r="P1395" s="7">
        <v>0</v>
      </c>
      <c r="Q1395" s="7" t="str">
        <f t="shared" si="470"/>
        <v>都市整備部</v>
      </c>
      <c r="R1395" s="7" t="str">
        <f t="shared" si="469"/>
        <v>寝屋川水系改修工営所</v>
      </c>
    </row>
    <row r="1396" spans="1:18" s="1" customFormat="1" x14ac:dyDescent="0.45">
      <c r="A1396" s="7" t="str">
        <f>"08209002021"</f>
        <v>08209002021</v>
      </c>
      <c r="B1396" s="7" t="str">
        <f>"松原南調節池"</f>
        <v>松原南調節池</v>
      </c>
      <c r="C1396" s="7" t="str">
        <f t="shared" si="454"/>
        <v>行政財産</v>
      </c>
      <c r="D1396" s="7" t="str">
        <f t="shared" si="476"/>
        <v>その他</v>
      </c>
      <c r="E1396" s="7" t="str">
        <f>"大阪府東大阪市松原南１丁目"</f>
        <v>大阪府東大阪市松原南１丁目</v>
      </c>
      <c r="F1396" s="7" t="str">
        <f>"１"</f>
        <v>１</v>
      </c>
      <c r="G1396" s="7" t="str">
        <f t="shared" si="474"/>
        <v>インフラ資産</v>
      </c>
      <c r="H1396" s="7" t="str">
        <f t="shared" si="461"/>
        <v>棚卸以外</v>
      </c>
      <c r="I1396" s="7">
        <v>18</v>
      </c>
      <c r="J1396" s="7" t="str">
        <f>"松原南調節池管理棟"</f>
        <v>松原南調節池管理棟</v>
      </c>
      <c r="K1396" s="7" t="str">
        <f t="shared" si="475"/>
        <v>鉄筋コンクリート造</v>
      </c>
      <c r="L1396" s="7" t="str">
        <f>"H20.09.30"</f>
        <v>H20.09.30</v>
      </c>
      <c r="M1396" s="7">
        <v>244.38</v>
      </c>
      <c r="N1396" s="7">
        <v>35574000</v>
      </c>
      <c r="O1396" s="7">
        <v>9960720</v>
      </c>
      <c r="P1396" s="7">
        <v>0</v>
      </c>
      <c r="Q1396" s="7" t="str">
        <f t="shared" si="470"/>
        <v>都市整備部</v>
      </c>
      <c r="R1396" s="7" t="str">
        <f t="shared" si="469"/>
        <v>寝屋川水系改修工営所</v>
      </c>
    </row>
    <row r="1397" spans="1:18" s="1" customFormat="1" x14ac:dyDescent="0.45">
      <c r="A1397" s="7" t="str">
        <f>"08209002022"</f>
        <v>08209002022</v>
      </c>
      <c r="B1397" s="7" t="str">
        <f>"寝屋川治水緑地"</f>
        <v>寝屋川治水緑地</v>
      </c>
      <c r="C1397" s="7" t="str">
        <f t="shared" si="454"/>
        <v>行政財産</v>
      </c>
      <c r="D1397" s="7" t="str">
        <f t="shared" si="476"/>
        <v>その他</v>
      </c>
      <c r="E1397" s="7" t="str">
        <f>"大阪府大東市深野北４丁目"</f>
        <v>大阪府大東市深野北４丁目</v>
      </c>
      <c r="F1397" s="7"/>
      <c r="G1397" s="7" t="str">
        <f t="shared" si="474"/>
        <v>インフラ資産</v>
      </c>
      <c r="H1397" s="7" t="str">
        <f t="shared" si="461"/>
        <v>棚卸以外</v>
      </c>
      <c r="I1397" s="7">
        <v>22</v>
      </c>
      <c r="J1397" s="7" t="str">
        <f>"寝屋川治水緑地管理棟"</f>
        <v>寝屋川治水緑地管理棟</v>
      </c>
      <c r="K1397" s="7" t="str">
        <f t="shared" si="475"/>
        <v>鉄筋コンクリート造</v>
      </c>
      <c r="L1397" s="7" t="str">
        <f>"H04.05.20"</f>
        <v>H04.05.20</v>
      </c>
      <c r="M1397" s="7">
        <v>322.11</v>
      </c>
      <c r="N1397" s="7">
        <v>186185176</v>
      </c>
      <c r="O1397" s="7">
        <v>114814330</v>
      </c>
      <c r="P1397" s="7">
        <v>0</v>
      </c>
      <c r="Q1397" s="7" t="str">
        <f t="shared" si="470"/>
        <v>都市整備部</v>
      </c>
      <c r="R1397" s="7" t="str">
        <f t="shared" si="469"/>
        <v>寝屋川水系改修工営所</v>
      </c>
    </row>
    <row r="1398" spans="1:18" s="1" customFormat="1" x14ac:dyDescent="0.45">
      <c r="A1398" s="7" t="str">
        <f>"08209002023"</f>
        <v>08209002023</v>
      </c>
      <c r="B1398" s="7" t="str">
        <f>"寝屋川南部地下河川"</f>
        <v>寝屋川南部地下河川</v>
      </c>
      <c r="C1398" s="7" t="str">
        <f t="shared" si="454"/>
        <v>行政財産</v>
      </c>
      <c r="D1398" s="7" t="str">
        <f t="shared" si="476"/>
        <v>その他</v>
      </c>
      <c r="E1398" s="7" t="str">
        <f>"大阪府八尾市美園町３丁目"</f>
        <v>大阪府八尾市美園町３丁目</v>
      </c>
      <c r="F1398" s="7"/>
      <c r="G1398" s="7" t="str">
        <f t="shared" si="474"/>
        <v>インフラ資産</v>
      </c>
      <c r="H1398" s="7" t="str">
        <f t="shared" si="461"/>
        <v>棚卸以外</v>
      </c>
      <c r="I1398" s="7">
        <v>26</v>
      </c>
      <c r="J1398" s="7" t="str">
        <f>"美園立坑管理施設"</f>
        <v>美園立坑管理施設</v>
      </c>
      <c r="K1398" s="7" t="str">
        <f t="shared" si="475"/>
        <v>鉄筋コンクリート造</v>
      </c>
      <c r="L1398" s="7" t="str">
        <f>"H14.03.31"</f>
        <v>H14.03.31</v>
      </c>
      <c r="M1398" s="7">
        <v>3.1</v>
      </c>
      <c r="N1398" s="7">
        <v>1747328</v>
      </c>
      <c r="O1398" s="7">
        <v>734076</v>
      </c>
      <c r="P1398" s="7">
        <v>0</v>
      </c>
      <c r="Q1398" s="7" t="str">
        <f t="shared" si="470"/>
        <v>都市整備部</v>
      </c>
      <c r="R1398" s="7" t="str">
        <f t="shared" si="469"/>
        <v>寝屋川水系改修工営所</v>
      </c>
    </row>
    <row r="1399" spans="1:18" s="1" customFormat="1" x14ac:dyDescent="0.45">
      <c r="A1399" s="7" t="str">
        <f>"08209002023"</f>
        <v>08209002023</v>
      </c>
      <c r="B1399" s="7" t="str">
        <f>"寝屋川南部地下河川"</f>
        <v>寝屋川南部地下河川</v>
      </c>
      <c r="C1399" s="7" t="str">
        <f t="shared" si="454"/>
        <v>行政財産</v>
      </c>
      <c r="D1399" s="7" t="str">
        <f t="shared" si="476"/>
        <v>その他</v>
      </c>
      <c r="E1399" s="7" t="str">
        <f>"大阪府八尾市美園町３丁目"</f>
        <v>大阪府八尾市美園町３丁目</v>
      </c>
      <c r="F1399" s="7"/>
      <c r="G1399" s="7" t="str">
        <f t="shared" si="474"/>
        <v>インフラ資産</v>
      </c>
      <c r="H1399" s="7" t="str">
        <f t="shared" si="461"/>
        <v>棚卸以外</v>
      </c>
      <c r="I1399" s="7">
        <v>27</v>
      </c>
      <c r="J1399" s="7" t="str">
        <f>"久宝寺立坑管理施設"</f>
        <v>久宝寺立坑管理施設</v>
      </c>
      <c r="K1399" s="7" t="str">
        <f t="shared" si="475"/>
        <v>鉄筋コンクリート造</v>
      </c>
      <c r="L1399" s="7" t="str">
        <f>"H14.03.31"</f>
        <v>H14.03.31</v>
      </c>
      <c r="M1399" s="7">
        <v>4.0999999999999996</v>
      </c>
      <c r="N1399" s="7">
        <v>2310982</v>
      </c>
      <c r="O1399" s="7">
        <v>970704</v>
      </c>
      <c r="P1399" s="7">
        <v>0</v>
      </c>
      <c r="Q1399" s="7" t="str">
        <f t="shared" si="470"/>
        <v>都市整備部</v>
      </c>
      <c r="R1399" s="7" t="str">
        <f t="shared" si="469"/>
        <v>寝屋川水系改修工営所</v>
      </c>
    </row>
    <row r="1400" spans="1:18" s="1" customFormat="1" x14ac:dyDescent="0.45">
      <c r="A1400" s="7" t="str">
        <f>"08209002023"</f>
        <v>08209002023</v>
      </c>
      <c r="B1400" s="7" t="str">
        <f>"寝屋川南部地下河川"</f>
        <v>寝屋川南部地下河川</v>
      </c>
      <c r="C1400" s="7" t="str">
        <f t="shared" ref="C1400:C1430" si="477">"行政財産"</f>
        <v>行政財産</v>
      </c>
      <c r="D1400" s="7" t="str">
        <f t="shared" si="476"/>
        <v>その他</v>
      </c>
      <c r="E1400" s="7" t="str">
        <f>"大阪府八尾市美園町３丁目"</f>
        <v>大阪府八尾市美園町３丁目</v>
      </c>
      <c r="F1400" s="7"/>
      <c r="G1400" s="7" t="str">
        <f t="shared" si="474"/>
        <v>インフラ資産</v>
      </c>
      <c r="H1400" s="7" t="str">
        <f t="shared" si="461"/>
        <v>棚卸以外</v>
      </c>
      <c r="I1400" s="7">
        <v>28</v>
      </c>
      <c r="J1400" s="7" t="str">
        <f>"今川排水機場管理棟"</f>
        <v>今川排水機場管理棟</v>
      </c>
      <c r="K1400" s="7" t="str">
        <f t="shared" si="475"/>
        <v>鉄筋コンクリート造</v>
      </c>
      <c r="L1400" s="7" t="str">
        <f>"H02.03.31"</f>
        <v>H02.03.31</v>
      </c>
      <c r="M1400" s="7">
        <v>439.52</v>
      </c>
      <c r="N1400" s="7">
        <v>205204042</v>
      </c>
      <c r="O1400" s="7">
        <v>126023472</v>
      </c>
      <c r="P1400" s="7">
        <v>0</v>
      </c>
      <c r="Q1400" s="7" t="str">
        <f t="shared" si="470"/>
        <v>都市整備部</v>
      </c>
      <c r="R1400" s="7" t="str">
        <f t="shared" si="469"/>
        <v>寝屋川水系改修工営所</v>
      </c>
    </row>
    <row r="1401" spans="1:18" s="1" customFormat="1" x14ac:dyDescent="0.45">
      <c r="A1401" s="7" t="str">
        <f>"08209002023"</f>
        <v>08209002023</v>
      </c>
      <c r="B1401" s="7" t="str">
        <f>"寝屋川南部地下河川"</f>
        <v>寝屋川南部地下河川</v>
      </c>
      <c r="C1401" s="7" t="str">
        <f t="shared" si="477"/>
        <v>行政財産</v>
      </c>
      <c r="D1401" s="7" t="str">
        <f t="shared" si="476"/>
        <v>その他</v>
      </c>
      <c r="E1401" s="7" t="str">
        <f>"大阪府八尾市美園町３丁目"</f>
        <v>大阪府八尾市美園町３丁目</v>
      </c>
      <c r="F1401" s="7"/>
      <c r="G1401" s="7" t="str">
        <f t="shared" si="474"/>
        <v>インフラ資産</v>
      </c>
      <c r="H1401" s="7" t="str">
        <f t="shared" si="461"/>
        <v>棚卸以外</v>
      </c>
      <c r="I1401" s="7">
        <v>29</v>
      </c>
      <c r="J1401" s="7" t="str">
        <f>"平野排水機場管理棟"</f>
        <v>平野排水機場管理棟</v>
      </c>
      <c r="K1401" s="7" t="str">
        <f t="shared" si="475"/>
        <v>鉄筋コンクリート造</v>
      </c>
      <c r="L1401" s="7" t="str">
        <f>"H08.03.31"</f>
        <v>H08.03.31</v>
      </c>
      <c r="M1401" s="7">
        <v>852.32</v>
      </c>
      <c r="N1401" s="7">
        <v>497747956</v>
      </c>
      <c r="O1401" s="7">
        <v>267796620</v>
      </c>
      <c r="P1401" s="7">
        <v>0</v>
      </c>
      <c r="Q1401" s="7" t="str">
        <f t="shared" si="470"/>
        <v>都市整備部</v>
      </c>
      <c r="R1401" s="7" t="str">
        <f t="shared" ref="R1401:R1423" si="478">"寝屋川水系改修工営所"</f>
        <v>寝屋川水系改修工営所</v>
      </c>
    </row>
    <row r="1402" spans="1:18" s="1" customFormat="1" x14ac:dyDescent="0.45">
      <c r="A1402" s="7" t="str">
        <f>"08209002023"</f>
        <v>08209002023</v>
      </c>
      <c r="B1402" s="7" t="str">
        <f>"寝屋川南部地下河川"</f>
        <v>寝屋川南部地下河川</v>
      </c>
      <c r="C1402" s="7" t="str">
        <f t="shared" si="477"/>
        <v>行政財産</v>
      </c>
      <c r="D1402" s="7" t="str">
        <f t="shared" si="476"/>
        <v>その他</v>
      </c>
      <c r="E1402" s="7" t="str">
        <f>"大阪府八尾市美園町３丁目"</f>
        <v>大阪府八尾市美園町３丁目</v>
      </c>
      <c r="F1402" s="7"/>
      <c r="G1402" s="7" t="str">
        <f t="shared" si="474"/>
        <v>インフラ資産</v>
      </c>
      <c r="H1402" s="7" t="str">
        <f t="shared" si="461"/>
        <v>棚卸以外</v>
      </c>
      <c r="I1402" s="7">
        <v>30</v>
      </c>
      <c r="J1402" s="7" t="str">
        <f>"若江立坑管理棟"</f>
        <v>若江立坑管理棟</v>
      </c>
      <c r="K1402" s="7" t="str">
        <f t="shared" si="475"/>
        <v>鉄筋コンクリート造</v>
      </c>
      <c r="L1402" s="7" t="str">
        <f>"H23.06.01"</f>
        <v>H23.06.01</v>
      </c>
      <c r="M1402" s="7">
        <v>900</v>
      </c>
      <c r="N1402" s="7">
        <v>51441600</v>
      </c>
      <c r="O1402" s="7">
        <v>12088776</v>
      </c>
      <c r="P1402" s="7">
        <v>0</v>
      </c>
      <c r="Q1402" s="7" t="str">
        <f t="shared" si="470"/>
        <v>都市整備部</v>
      </c>
      <c r="R1402" s="7" t="str">
        <f t="shared" si="478"/>
        <v>寝屋川水系改修工営所</v>
      </c>
    </row>
    <row r="1403" spans="1:18" s="1" customFormat="1" x14ac:dyDescent="0.45">
      <c r="A1403" s="7" t="str">
        <f>"08209002024"</f>
        <v>08209002024</v>
      </c>
      <c r="B1403" s="7" t="str">
        <f>"寝屋川分流水門"</f>
        <v>寝屋川分流水門</v>
      </c>
      <c r="C1403" s="7" t="str">
        <f t="shared" si="477"/>
        <v>行政財産</v>
      </c>
      <c r="D1403" s="7" t="str">
        <f t="shared" si="476"/>
        <v>その他</v>
      </c>
      <c r="E1403" s="7" t="str">
        <f>"大阪府大阪市　城東区今福南２丁目"</f>
        <v>大阪府大阪市　城東区今福南２丁目</v>
      </c>
      <c r="F1403" s="7" t="str">
        <f>"４"</f>
        <v>４</v>
      </c>
      <c r="G1403" s="7" t="str">
        <f t="shared" si="474"/>
        <v>インフラ資産</v>
      </c>
      <c r="H1403" s="7" t="str">
        <f t="shared" si="461"/>
        <v>棚卸以外</v>
      </c>
      <c r="I1403" s="7">
        <v>23</v>
      </c>
      <c r="J1403" s="7" t="str">
        <f>"寝屋川分流水門管理棟"</f>
        <v>寝屋川分流水門管理棟</v>
      </c>
      <c r="K1403" s="7" t="str">
        <f t="shared" si="475"/>
        <v>鉄筋コンクリート造</v>
      </c>
      <c r="L1403" s="7" t="str">
        <f>"H08.11.29"</f>
        <v>H08.11.29</v>
      </c>
      <c r="M1403" s="7">
        <v>172.38</v>
      </c>
      <c r="N1403" s="7">
        <v>76813280</v>
      </c>
      <c r="O1403" s="7">
        <v>40455268</v>
      </c>
      <c r="P1403" s="7">
        <v>0</v>
      </c>
      <c r="Q1403" s="7" t="str">
        <f t="shared" si="470"/>
        <v>都市整備部</v>
      </c>
      <c r="R1403" s="7" t="str">
        <f t="shared" si="478"/>
        <v>寝屋川水系改修工営所</v>
      </c>
    </row>
    <row r="1404" spans="1:18" s="1" customFormat="1" x14ac:dyDescent="0.45">
      <c r="A1404" s="7" t="str">
        <f>"08209002025"</f>
        <v>08209002025</v>
      </c>
      <c r="B1404" s="7" t="str">
        <f>"寝屋川北部地下河川"</f>
        <v>寝屋川北部地下河川</v>
      </c>
      <c r="C1404" s="7" t="str">
        <f t="shared" si="477"/>
        <v>行政財産</v>
      </c>
      <c r="D1404" s="7" t="str">
        <f t="shared" si="476"/>
        <v>その他</v>
      </c>
      <c r="E1404" s="7" t="str">
        <f>"大阪府守口市大字高瀬旧大枝"</f>
        <v>大阪府守口市大字高瀬旧大枝</v>
      </c>
      <c r="F1404" s="7"/>
      <c r="G1404" s="7" t="str">
        <f t="shared" si="474"/>
        <v>インフラ資産</v>
      </c>
      <c r="H1404" s="7" t="str">
        <f t="shared" si="461"/>
        <v>棚卸以外</v>
      </c>
      <c r="I1404" s="7">
        <v>24</v>
      </c>
      <c r="J1404" s="7" t="str">
        <f>"鶴見立坑管理棟"</f>
        <v>鶴見立坑管理棟</v>
      </c>
      <c r="K1404" s="7" t="str">
        <f t="shared" si="475"/>
        <v>鉄筋コンクリート造</v>
      </c>
      <c r="L1404" s="7" t="str">
        <f>"H11.11.30"</f>
        <v>H11.11.30</v>
      </c>
      <c r="M1404" s="7">
        <v>45.56</v>
      </c>
      <c r="N1404" s="7">
        <v>19515450</v>
      </c>
      <c r="O1404" s="7">
        <v>8367459</v>
      </c>
      <c r="P1404" s="7">
        <v>0</v>
      </c>
      <c r="Q1404" s="7" t="str">
        <f t="shared" si="470"/>
        <v>都市整備部</v>
      </c>
      <c r="R1404" s="7" t="str">
        <f t="shared" si="478"/>
        <v>寝屋川水系改修工営所</v>
      </c>
    </row>
    <row r="1405" spans="1:18" s="1" customFormat="1" x14ac:dyDescent="0.45">
      <c r="A1405" s="7" t="str">
        <f>"08209002025"</f>
        <v>08209002025</v>
      </c>
      <c r="B1405" s="7" t="str">
        <f>"寝屋川北部地下河川"</f>
        <v>寝屋川北部地下河川</v>
      </c>
      <c r="C1405" s="7" t="str">
        <f t="shared" si="477"/>
        <v>行政財産</v>
      </c>
      <c r="D1405" s="7" t="str">
        <f t="shared" si="476"/>
        <v>その他</v>
      </c>
      <c r="E1405" s="7" t="str">
        <f>"大阪府守口市大字高瀬旧大枝"</f>
        <v>大阪府守口市大字高瀬旧大枝</v>
      </c>
      <c r="F1405" s="7"/>
      <c r="G1405" s="7" t="str">
        <f t="shared" si="474"/>
        <v>インフラ資産</v>
      </c>
      <c r="H1405" s="7" t="str">
        <f t="shared" si="461"/>
        <v>棚卸以外</v>
      </c>
      <c r="I1405" s="7">
        <v>25</v>
      </c>
      <c r="J1405" s="7" t="str">
        <f>"古川取水立坑管理棟"</f>
        <v>古川取水立坑管理棟</v>
      </c>
      <c r="K1405" s="7" t="str">
        <f t="shared" si="475"/>
        <v>鉄筋コンクリート造</v>
      </c>
      <c r="L1405" s="7" t="str">
        <f>"H14.08.31"</f>
        <v>H14.08.31</v>
      </c>
      <c r="M1405" s="7">
        <v>321</v>
      </c>
      <c r="N1405" s="7">
        <v>904919160</v>
      </c>
      <c r="O1405" s="7">
        <v>369225857</v>
      </c>
      <c r="P1405" s="7">
        <v>0</v>
      </c>
      <c r="Q1405" s="7" t="str">
        <f t="shared" si="470"/>
        <v>都市整備部</v>
      </c>
      <c r="R1405" s="7" t="str">
        <f t="shared" si="478"/>
        <v>寝屋川水系改修工営所</v>
      </c>
    </row>
    <row r="1406" spans="1:18" s="1" customFormat="1" x14ac:dyDescent="0.45">
      <c r="A1406" s="7" t="str">
        <f>"08209002025"</f>
        <v>08209002025</v>
      </c>
      <c r="B1406" s="7" t="str">
        <f>"寝屋川北部地下河川"</f>
        <v>寝屋川北部地下河川</v>
      </c>
      <c r="C1406" s="7" t="str">
        <f t="shared" si="477"/>
        <v>行政財産</v>
      </c>
      <c r="D1406" s="7" t="str">
        <f t="shared" si="476"/>
        <v>その他</v>
      </c>
      <c r="E1406" s="7" t="str">
        <f>"大阪府守口市大字高瀬旧大枝"</f>
        <v>大阪府守口市大字高瀬旧大枝</v>
      </c>
      <c r="F1406" s="7"/>
      <c r="G1406" s="7" t="str">
        <f t="shared" si="474"/>
        <v>インフラ資産</v>
      </c>
      <c r="H1406" s="7" t="str">
        <f t="shared" si="461"/>
        <v>棚卸以外</v>
      </c>
      <c r="I1406" s="7">
        <v>26</v>
      </c>
      <c r="J1406" s="7" t="str">
        <f>"北島立坑管理棟"</f>
        <v>北島立坑管理棟</v>
      </c>
      <c r="K1406" s="7" t="str">
        <f t="shared" si="475"/>
        <v>鉄筋コンクリート造</v>
      </c>
      <c r="L1406" s="7" t="str">
        <f>"H27.06.30"</f>
        <v>H27.06.30</v>
      </c>
      <c r="M1406" s="7">
        <v>105.78</v>
      </c>
      <c r="N1406" s="7">
        <v>36371190</v>
      </c>
      <c r="O1406" s="7">
        <v>5637567</v>
      </c>
      <c r="P1406" s="7">
        <v>0</v>
      </c>
      <c r="Q1406" s="7" t="str">
        <f t="shared" si="470"/>
        <v>都市整備部</v>
      </c>
      <c r="R1406" s="7" t="str">
        <f t="shared" si="478"/>
        <v>寝屋川水系改修工営所</v>
      </c>
    </row>
    <row r="1407" spans="1:18" s="1" customFormat="1" x14ac:dyDescent="0.45">
      <c r="A1407" s="7" t="str">
        <f>"08209002025"</f>
        <v>08209002025</v>
      </c>
      <c r="B1407" s="7" t="str">
        <f>"寝屋川北部地下河川"</f>
        <v>寝屋川北部地下河川</v>
      </c>
      <c r="C1407" s="7" t="str">
        <f t="shared" si="477"/>
        <v>行政財産</v>
      </c>
      <c r="D1407" s="7" t="str">
        <f t="shared" si="476"/>
        <v>その他</v>
      </c>
      <c r="E1407" s="7" t="str">
        <f>"大阪府守口市大字高瀬旧大枝"</f>
        <v>大阪府守口市大字高瀬旧大枝</v>
      </c>
      <c r="F1407" s="7"/>
      <c r="G1407" s="7" t="str">
        <f t="shared" si="474"/>
        <v>インフラ資産</v>
      </c>
      <c r="H1407" s="7" t="str">
        <f t="shared" si="461"/>
        <v>棚卸以外</v>
      </c>
      <c r="I1407" s="7">
        <v>27</v>
      </c>
      <c r="J1407" s="7" t="str">
        <f>"讃良立坑管理棟"</f>
        <v>讃良立坑管理棟</v>
      </c>
      <c r="K1407" s="7" t="str">
        <f>"鉄骨造"</f>
        <v>鉄骨造</v>
      </c>
      <c r="L1407" s="7" t="str">
        <f>"H28.03.31"</f>
        <v>H28.03.31</v>
      </c>
      <c r="M1407" s="7">
        <v>153.9</v>
      </c>
      <c r="N1407" s="7">
        <v>98584906</v>
      </c>
      <c r="O1407" s="7">
        <v>17170804</v>
      </c>
      <c r="P1407" s="7">
        <v>0</v>
      </c>
      <c r="Q1407" s="7" t="str">
        <f t="shared" si="470"/>
        <v>都市整備部</v>
      </c>
      <c r="R1407" s="7" t="str">
        <f t="shared" si="478"/>
        <v>寝屋川水系改修工営所</v>
      </c>
    </row>
    <row r="1408" spans="1:18" s="1" customFormat="1" ht="26.4" x14ac:dyDescent="0.45">
      <c r="A1408" s="7" t="str">
        <f>"08209002025"</f>
        <v>08209002025</v>
      </c>
      <c r="B1408" s="7" t="str">
        <f>"寝屋川北部地下河川"</f>
        <v>寝屋川北部地下河川</v>
      </c>
      <c r="C1408" s="7" t="str">
        <f t="shared" si="477"/>
        <v>行政財産</v>
      </c>
      <c r="D1408" s="7" t="str">
        <f t="shared" si="476"/>
        <v>その他</v>
      </c>
      <c r="E1408" s="7" t="str">
        <f>"大阪府守口市大字高瀬旧大枝"</f>
        <v>大阪府守口市大字高瀬旧大枝</v>
      </c>
      <c r="F1408" s="7"/>
      <c r="G1408" s="7" t="str">
        <f t="shared" si="474"/>
        <v>インフラ資産</v>
      </c>
      <c r="H1408" s="7" t="str">
        <f t="shared" si="461"/>
        <v>棚卸以外</v>
      </c>
      <c r="I1408" s="7">
        <v>28</v>
      </c>
      <c r="J1408" s="7" t="str">
        <f>"松生立坑管理棟"</f>
        <v>松生立坑管理棟</v>
      </c>
      <c r="K1408" s="7" t="str">
        <f>"鉄骨鉄筋コンクリート造"</f>
        <v>鉄骨鉄筋コンクリート造</v>
      </c>
      <c r="L1408" s="7" t="str">
        <f>"R02.12.16"</f>
        <v>R02.12.16</v>
      </c>
      <c r="M1408" s="7">
        <v>102.73</v>
      </c>
      <c r="N1408" s="7">
        <v>75093627</v>
      </c>
      <c r="O1408" s="7">
        <v>3486207</v>
      </c>
      <c r="P1408" s="7">
        <v>0</v>
      </c>
      <c r="Q1408" s="7" t="str">
        <f t="shared" si="470"/>
        <v>都市整備部</v>
      </c>
      <c r="R1408" s="7" t="str">
        <f t="shared" si="478"/>
        <v>寝屋川水系改修工営所</v>
      </c>
    </row>
    <row r="1409" spans="1:18" s="1" customFormat="1" x14ac:dyDescent="0.45">
      <c r="A1409" s="7" t="str">
        <f>"08209002026"</f>
        <v>08209002026</v>
      </c>
      <c r="B1409" s="7" t="str">
        <f>"大久保調節池"</f>
        <v>大久保調節池</v>
      </c>
      <c r="C1409" s="7" t="str">
        <f t="shared" si="477"/>
        <v>行政財産</v>
      </c>
      <c r="D1409" s="7" t="str">
        <f t="shared" si="476"/>
        <v>その他</v>
      </c>
      <c r="E1409" s="7" t="str">
        <f>"大阪府守口市大久保町４丁目"</f>
        <v>大阪府守口市大久保町４丁目</v>
      </c>
      <c r="F1409" s="7" t="str">
        <f>"２６"</f>
        <v>２６</v>
      </c>
      <c r="G1409" s="7" t="str">
        <f t="shared" si="474"/>
        <v>インフラ資産</v>
      </c>
      <c r="H1409" s="7" t="str">
        <f t="shared" si="461"/>
        <v>棚卸以外</v>
      </c>
      <c r="I1409" s="7">
        <v>14</v>
      </c>
      <c r="J1409" s="7" t="str">
        <f>"大久保調節池管理棟"</f>
        <v>大久保調節池管理棟</v>
      </c>
      <c r="K1409" s="7" t="str">
        <f t="shared" ref="K1409:K1422" si="479">"鉄筋コンクリート造"</f>
        <v>鉄筋コンクリート造</v>
      </c>
      <c r="L1409" s="7" t="str">
        <f>"H17.03.25"</f>
        <v>H17.03.25</v>
      </c>
      <c r="M1409" s="7">
        <v>103.59</v>
      </c>
      <c r="N1409" s="7">
        <v>58982937</v>
      </c>
      <c r="O1409" s="7">
        <v>21233880</v>
      </c>
      <c r="P1409" s="7">
        <v>0</v>
      </c>
      <c r="Q1409" s="7" t="str">
        <f t="shared" si="470"/>
        <v>都市整備部</v>
      </c>
      <c r="R1409" s="7" t="str">
        <f t="shared" si="478"/>
        <v>寝屋川水系改修工営所</v>
      </c>
    </row>
    <row r="1410" spans="1:18" s="1" customFormat="1" x14ac:dyDescent="0.45">
      <c r="A1410" s="7" t="str">
        <f>"08209002027"</f>
        <v>08209002027</v>
      </c>
      <c r="B1410" s="7" t="str">
        <f>"大正川調節池"</f>
        <v>大正川調節池</v>
      </c>
      <c r="C1410" s="7" t="str">
        <f t="shared" si="477"/>
        <v>行政財産</v>
      </c>
      <c r="D1410" s="7" t="str">
        <f t="shared" si="476"/>
        <v>その他</v>
      </c>
      <c r="E1410" s="7" t="str">
        <f>"大阪府八尾市若林町１丁目"</f>
        <v>大阪府八尾市若林町１丁目</v>
      </c>
      <c r="F1410" s="7"/>
      <c r="G1410" s="7" t="str">
        <f t="shared" si="474"/>
        <v>インフラ資産</v>
      </c>
      <c r="H1410" s="7" t="str">
        <f t="shared" si="461"/>
        <v>棚卸以外</v>
      </c>
      <c r="I1410" s="7">
        <v>5</v>
      </c>
      <c r="J1410" s="7" t="str">
        <f>"大正川調節池管理棟"</f>
        <v>大正川調節池管理棟</v>
      </c>
      <c r="K1410" s="7" t="str">
        <f t="shared" si="479"/>
        <v>鉄筋コンクリート造</v>
      </c>
      <c r="L1410" s="7" t="str">
        <f>"H04.03.31"</f>
        <v>H04.03.31</v>
      </c>
      <c r="M1410" s="7">
        <v>17.5</v>
      </c>
      <c r="N1410" s="7">
        <v>9974685</v>
      </c>
      <c r="O1410" s="7">
        <v>8137500</v>
      </c>
      <c r="P1410" s="7">
        <v>0</v>
      </c>
      <c r="Q1410" s="7" t="str">
        <f t="shared" si="470"/>
        <v>都市整備部</v>
      </c>
      <c r="R1410" s="7" t="str">
        <f t="shared" si="478"/>
        <v>寝屋川水系改修工営所</v>
      </c>
    </row>
    <row r="1411" spans="1:18" s="1" customFormat="1" x14ac:dyDescent="0.45">
      <c r="A1411" s="7" t="str">
        <f>"08209002028"</f>
        <v>08209002028</v>
      </c>
      <c r="B1411" s="7" t="str">
        <f>"大東中央調節池"</f>
        <v>大東中央調節池</v>
      </c>
      <c r="C1411" s="7" t="str">
        <f t="shared" si="477"/>
        <v>行政財産</v>
      </c>
      <c r="D1411" s="7" t="str">
        <f t="shared" si="476"/>
        <v>その他</v>
      </c>
      <c r="E1411" s="7" t="str">
        <f>"大阪府大東市深野１丁目"</f>
        <v>大阪府大東市深野１丁目</v>
      </c>
      <c r="F1411" s="7"/>
      <c r="G1411" s="7" t="str">
        <f t="shared" si="474"/>
        <v>インフラ資産</v>
      </c>
      <c r="H1411" s="7" t="str">
        <f t="shared" si="461"/>
        <v>棚卸以外</v>
      </c>
      <c r="I1411" s="7">
        <v>19</v>
      </c>
      <c r="J1411" s="7" t="str">
        <f>"大東中央調節池管理棟"</f>
        <v>大東中央調節池管理棟</v>
      </c>
      <c r="K1411" s="7" t="str">
        <f t="shared" si="479"/>
        <v>鉄筋コンクリート造</v>
      </c>
      <c r="L1411" s="7" t="str">
        <f>"H20.11.28"</f>
        <v>H20.11.28</v>
      </c>
      <c r="M1411" s="7">
        <v>162.59</v>
      </c>
      <c r="N1411" s="7">
        <v>55692000</v>
      </c>
      <c r="O1411" s="7">
        <v>15965040</v>
      </c>
      <c r="P1411" s="7">
        <v>0</v>
      </c>
      <c r="Q1411" s="7" t="str">
        <f t="shared" si="470"/>
        <v>都市整備部</v>
      </c>
      <c r="R1411" s="7" t="str">
        <f t="shared" si="478"/>
        <v>寝屋川水系改修工営所</v>
      </c>
    </row>
    <row r="1412" spans="1:18" s="1" customFormat="1" x14ac:dyDescent="0.45">
      <c r="A1412" s="7" t="str">
        <f>"08209002030"</f>
        <v>08209002030</v>
      </c>
      <c r="B1412" s="7" t="str">
        <f>"中鴻池調節池"</f>
        <v>中鴻池調節池</v>
      </c>
      <c r="C1412" s="7" t="str">
        <f t="shared" si="477"/>
        <v>行政財産</v>
      </c>
      <c r="D1412" s="7" t="str">
        <f t="shared" si="476"/>
        <v>その他</v>
      </c>
      <c r="E1412" s="7" t="str">
        <f>"大阪府東大阪市北鴻池町"</f>
        <v>大阪府東大阪市北鴻池町</v>
      </c>
      <c r="F1412" s="7" t="str">
        <f>"１"</f>
        <v>１</v>
      </c>
      <c r="G1412" s="7" t="str">
        <f t="shared" si="474"/>
        <v>インフラ資産</v>
      </c>
      <c r="H1412" s="7" t="str">
        <f t="shared" ref="H1412:H1475" si="480">"棚卸以外"</f>
        <v>棚卸以外</v>
      </c>
      <c r="I1412" s="7">
        <v>11</v>
      </c>
      <c r="J1412" s="7" t="str">
        <f>"中鴻池調節池管理棟"</f>
        <v>中鴻池調節池管理棟</v>
      </c>
      <c r="K1412" s="7" t="str">
        <f t="shared" si="479"/>
        <v>鉄筋コンクリート造</v>
      </c>
      <c r="L1412" s="7" t="str">
        <f>"H12.07.31"</f>
        <v>H12.07.31</v>
      </c>
      <c r="M1412" s="7">
        <v>87.8</v>
      </c>
      <c r="N1412" s="7">
        <v>50344708</v>
      </c>
      <c r="O1412" s="7">
        <v>22822976</v>
      </c>
      <c r="P1412" s="7">
        <v>0</v>
      </c>
      <c r="Q1412" s="7" t="str">
        <f t="shared" si="470"/>
        <v>都市整備部</v>
      </c>
      <c r="R1412" s="7" t="str">
        <f t="shared" si="478"/>
        <v>寝屋川水系改修工営所</v>
      </c>
    </row>
    <row r="1413" spans="1:18" s="1" customFormat="1" x14ac:dyDescent="0.45">
      <c r="A1413" s="7" t="str">
        <f>"08209002031"</f>
        <v>08209002031</v>
      </c>
      <c r="B1413" s="7" t="str">
        <f>"長瀬川水門"</f>
        <v>長瀬川水門</v>
      </c>
      <c r="C1413" s="7" t="str">
        <f t="shared" si="477"/>
        <v>行政財産</v>
      </c>
      <c r="D1413" s="7" t="str">
        <f t="shared" si="476"/>
        <v>その他</v>
      </c>
      <c r="E1413" s="7" t="str">
        <f>"大阪府大阪市　城東区諏訪１丁目"</f>
        <v>大阪府大阪市　城東区諏訪１丁目</v>
      </c>
      <c r="F1413" s="7" t="str">
        <f>"１７"</f>
        <v>１７</v>
      </c>
      <c r="G1413" s="7" t="str">
        <f t="shared" si="474"/>
        <v>インフラ資産</v>
      </c>
      <c r="H1413" s="7" t="str">
        <f t="shared" si="480"/>
        <v>棚卸以外</v>
      </c>
      <c r="I1413" s="7">
        <v>50</v>
      </c>
      <c r="J1413" s="7" t="str">
        <f>"長瀬川水門管理棟"</f>
        <v>長瀬川水門管理棟</v>
      </c>
      <c r="K1413" s="7" t="str">
        <f t="shared" si="479"/>
        <v>鉄筋コンクリート造</v>
      </c>
      <c r="L1413" s="7" t="str">
        <f>"S57.11.15"</f>
        <v>S57.11.15</v>
      </c>
      <c r="M1413" s="7">
        <v>11.59</v>
      </c>
      <c r="N1413" s="7">
        <v>920000</v>
      </c>
      <c r="O1413" s="7">
        <v>919999</v>
      </c>
      <c r="P1413" s="7">
        <v>0</v>
      </c>
      <c r="Q1413" s="7" t="str">
        <f t="shared" si="470"/>
        <v>都市整備部</v>
      </c>
      <c r="R1413" s="7" t="str">
        <f t="shared" si="478"/>
        <v>寝屋川水系改修工営所</v>
      </c>
    </row>
    <row r="1414" spans="1:18" s="1" customFormat="1" x14ac:dyDescent="0.45">
      <c r="A1414" s="7" t="str">
        <f>"08209002032"</f>
        <v>08209002032</v>
      </c>
      <c r="B1414" s="7" t="str">
        <f>"長瀬調節池"</f>
        <v>長瀬調節池</v>
      </c>
      <c r="C1414" s="7" t="str">
        <f t="shared" si="477"/>
        <v>行政財産</v>
      </c>
      <c r="D1414" s="7" t="str">
        <f t="shared" si="476"/>
        <v>その他</v>
      </c>
      <c r="E1414" s="7" t="str">
        <f>"大阪府東大阪市長瀬町３丁目"</f>
        <v>大阪府東大阪市長瀬町３丁目</v>
      </c>
      <c r="F1414" s="7" t="str">
        <f>"８"</f>
        <v>８</v>
      </c>
      <c r="G1414" s="7" t="str">
        <f t="shared" si="474"/>
        <v>インフラ資産</v>
      </c>
      <c r="H1414" s="7" t="str">
        <f t="shared" si="480"/>
        <v>棚卸以外</v>
      </c>
      <c r="I1414" s="7">
        <v>9</v>
      </c>
      <c r="J1414" s="7" t="str">
        <f>"長瀬調節池管理棟"</f>
        <v>長瀬調節池管理棟</v>
      </c>
      <c r="K1414" s="7" t="str">
        <f t="shared" si="479"/>
        <v>鉄筋コンクリート造</v>
      </c>
      <c r="L1414" s="7" t="str">
        <f>"H10.03.31"</f>
        <v>H10.03.31</v>
      </c>
      <c r="M1414" s="7">
        <v>105.62</v>
      </c>
      <c r="N1414" s="7">
        <v>62176383</v>
      </c>
      <c r="O1414" s="7">
        <v>31088400</v>
      </c>
      <c r="P1414" s="7">
        <v>0</v>
      </c>
      <c r="Q1414" s="7" t="str">
        <f t="shared" si="470"/>
        <v>都市整備部</v>
      </c>
      <c r="R1414" s="7" t="str">
        <f t="shared" si="478"/>
        <v>寝屋川水系改修工営所</v>
      </c>
    </row>
    <row r="1415" spans="1:18" s="1" customFormat="1" x14ac:dyDescent="0.45">
      <c r="A1415" s="7" t="str">
        <f>"08209002033"</f>
        <v>08209002033</v>
      </c>
      <c r="B1415" s="7" t="str">
        <f>"南郷調節池"</f>
        <v>南郷調節池</v>
      </c>
      <c r="C1415" s="7" t="str">
        <f t="shared" si="477"/>
        <v>行政財産</v>
      </c>
      <c r="D1415" s="7" t="str">
        <f t="shared" si="476"/>
        <v>その他</v>
      </c>
      <c r="E1415" s="7" t="str">
        <f>"大阪府大東市氷野４丁目"</f>
        <v>大阪府大東市氷野４丁目</v>
      </c>
      <c r="F1415" s="7" t="str">
        <f>"４"</f>
        <v>４</v>
      </c>
      <c r="G1415" s="7" t="str">
        <f t="shared" si="474"/>
        <v>インフラ資産</v>
      </c>
      <c r="H1415" s="7" t="str">
        <f t="shared" si="480"/>
        <v>棚卸以外</v>
      </c>
      <c r="I1415" s="7">
        <v>8</v>
      </c>
      <c r="J1415" s="7" t="str">
        <f>"南郷調節池管理棟"</f>
        <v>南郷調節池管理棟</v>
      </c>
      <c r="K1415" s="7" t="str">
        <f t="shared" si="479"/>
        <v>鉄筋コンクリート造</v>
      </c>
      <c r="L1415" s="7" t="str">
        <f>"H09.08.31"</f>
        <v>H09.08.31</v>
      </c>
      <c r="M1415" s="7">
        <v>329.7</v>
      </c>
      <c r="N1415" s="7">
        <v>98108850</v>
      </c>
      <c r="O1415" s="7">
        <v>50199105</v>
      </c>
      <c r="P1415" s="7">
        <v>0</v>
      </c>
      <c r="Q1415" s="7" t="str">
        <f t="shared" si="470"/>
        <v>都市整備部</v>
      </c>
      <c r="R1415" s="7" t="str">
        <f t="shared" si="478"/>
        <v>寝屋川水系改修工営所</v>
      </c>
    </row>
    <row r="1416" spans="1:18" s="1" customFormat="1" x14ac:dyDescent="0.45">
      <c r="A1416" s="7" t="str">
        <f>"08209002034"</f>
        <v>08209002034</v>
      </c>
      <c r="B1416" s="7" t="str">
        <f>"八戸ノ里公園調節池"</f>
        <v>八戸ノ里公園調節池</v>
      </c>
      <c r="C1416" s="7" t="str">
        <f t="shared" si="477"/>
        <v>行政財産</v>
      </c>
      <c r="D1416" s="7" t="str">
        <f t="shared" si="476"/>
        <v>その他</v>
      </c>
      <c r="E1416" s="7" t="str">
        <f>"大阪府東大阪市中小阪４丁目"</f>
        <v>大阪府東大阪市中小阪４丁目</v>
      </c>
      <c r="F1416" s="7" t="str">
        <f>"７－２０"</f>
        <v>７－２０</v>
      </c>
      <c r="G1416" s="7" t="str">
        <f t="shared" si="474"/>
        <v>インフラ資産</v>
      </c>
      <c r="H1416" s="7" t="str">
        <f t="shared" si="480"/>
        <v>棚卸以外</v>
      </c>
      <c r="I1416" s="7">
        <v>16</v>
      </c>
      <c r="J1416" s="7" t="str">
        <f>"八戸ノ里公園調節池管理棟"</f>
        <v>八戸ノ里公園調節池管理棟</v>
      </c>
      <c r="K1416" s="7" t="str">
        <f t="shared" si="479"/>
        <v>鉄筋コンクリート造</v>
      </c>
      <c r="L1416" s="7" t="str">
        <f>"H18.07.31"</f>
        <v>H18.07.31</v>
      </c>
      <c r="M1416" s="7">
        <v>228.71</v>
      </c>
      <c r="N1416" s="7">
        <v>42756000</v>
      </c>
      <c r="O1416" s="7">
        <v>14252000</v>
      </c>
      <c r="P1416" s="7">
        <v>0</v>
      </c>
      <c r="Q1416" s="7" t="str">
        <f t="shared" si="470"/>
        <v>都市整備部</v>
      </c>
      <c r="R1416" s="7" t="str">
        <f t="shared" si="478"/>
        <v>寝屋川水系改修工営所</v>
      </c>
    </row>
    <row r="1417" spans="1:18" s="1" customFormat="1" x14ac:dyDescent="0.45">
      <c r="A1417" s="7" t="str">
        <f>"08209002035"</f>
        <v>08209002035</v>
      </c>
      <c r="B1417" s="7" t="str">
        <f>"布施駅前調節池"</f>
        <v>布施駅前調節池</v>
      </c>
      <c r="C1417" s="7" t="str">
        <f t="shared" si="477"/>
        <v>行政財産</v>
      </c>
      <c r="D1417" s="7" t="str">
        <f t="shared" si="476"/>
        <v>その他</v>
      </c>
      <c r="E1417" s="7" t="str">
        <f>"大阪府東大阪市長堂１丁目"</f>
        <v>大阪府東大阪市長堂１丁目</v>
      </c>
      <c r="F1417" s="7" t="str">
        <f>"４"</f>
        <v>４</v>
      </c>
      <c r="G1417" s="7" t="str">
        <f t="shared" si="474"/>
        <v>インフラ資産</v>
      </c>
      <c r="H1417" s="7" t="str">
        <f t="shared" si="480"/>
        <v>棚卸以外</v>
      </c>
      <c r="I1417" s="7">
        <v>47</v>
      </c>
      <c r="J1417" s="7" t="str">
        <f>"布施駅前調節池管理棟"</f>
        <v>布施駅前調節池管理棟</v>
      </c>
      <c r="K1417" s="7" t="str">
        <f t="shared" si="479"/>
        <v>鉄筋コンクリート造</v>
      </c>
      <c r="L1417" s="7" t="str">
        <f>"H08.03.31"</f>
        <v>H08.03.31</v>
      </c>
      <c r="M1417" s="7">
        <v>8.1999999999999993</v>
      </c>
      <c r="N1417" s="7">
        <v>4767139</v>
      </c>
      <c r="O1417" s="7">
        <v>2574504</v>
      </c>
      <c r="P1417" s="7">
        <v>0</v>
      </c>
      <c r="Q1417" s="7" t="str">
        <f t="shared" si="470"/>
        <v>都市整備部</v>
      </c>
      <c r="R1417" s="7" t="str">
        <f t="shared" si="478"/>
        <v>寝屋川水系改修工営所</v>
      </c>
    </row>
    <row r="1418" spans="1:18" s="1" customFormat="1" x14ac:dyDescent="0.45">
      <c r="A1418" s="7" t="str">
        <f>"08209002036"</f>
        <v>08209002036</v>
      </c>
      <c r="B1418" s="7" t="str">
        <f>"平野川浄化ポンプ場"</f>
        <v>平野川浄化ポンプ場</v>
      </c>
      <c r="C1418" s="7" t="str">
        <f t="shared" si="477"/>
        <v>行政財産</v>
      </c>
      <c r="D1418" s="7" t="str">
        <f t="shared" si="476"/>
        <v>その他</v>
      </c>
      <c r="E1418" s="7" t="str">
        <f>"大阪府大阪市　生野区巽南３丁目"</f>
        <v>大阪府大阪市　生野区巽南３丁目</v>
      </c>
      <c r="F1418" s="7" t="str">
        <f>"４－２８"</f>
        <v>４－２８</v>
      </c>
      <c r="G1418" s="7" t="str">
        <f t="shared" si="474"/>
        <v>インフラ資産</v>
      </c>
      <c r="H1418" s="7" t="str">
        <f t="shared" si="480"/>
        <v>棚卸以外</v>
      </c>
      <c r="I1418" s="7">
        <v>32</v>
      </c>
      <c r="J1418" s="7" t="str">
        <f>"平野川浄化ポンプ場管理棟"</f>
        <v>平野川浄化ポンプ場管理棟</v>
      </c>
      <c r="K1418" s="7" t="str">
        <f t="shared" si="479"/>
        <v>鉄筋コンクリート造</v>
      </c>
      <c r="L1418" s="7" t="str">
        <f>"H11.03.31"</f>
        <v>H11.03.31</v>
      </c>
      <c r="M1418" s="7">
        <v>205</v>
      </c>
      <c r="N1418" s="7">
        <v>118401103</v>
      </c>
      <c r="O1418" s="7">
        <v>56832768</v>
      </c>
      <c r="P1418" s="7">
        <v>0</v>
      </c>
      <c r="Q1418" s="7" t="str">
        <f t="shared" si="470"/>
        <v>都市整備部</v>
      </c>
      <c r="R1418" s="7" t="str">
        <f t="shared" si="478"/>
        <v>寝屋川水系改修工営所</v>
      </c>
    </row>
    <row r="1419" spans="1:18" s="1" customFormat="1" x14ac:dyDescent="0.45">
      <c r="A1419" s="7" t="str">
        <f>"08209002037"</f>
        <v>08209002037</v>
      </c>
      <c r="B1419" s="7" t="str">
        <f>"宝町調節池"</f>
        <v>宝町調節池</v>
      </c>
      <c r="C1419" s="7" t="str">
        <f t="shared" si="477"/>
        <v>行政財産</v>
      </c>
      <c r="D1419" s="7" t="str">
        <f t="shared" si="476"/>
        <v>その他</v>
      </c>
      <c r="E1419" s="7" t="str">
        <f>"大阪府東大阪市宝町"</f>
        <v>大阪府東大阪市宝町</v>
      </c>
      <c r="F1419" s="7" t="str">
        <f>"２２"</f>
        <v>２２</v>
      </c>
      <c r="G1419" s="7" t="str">
        <f t="shared" si="474"/>
        <v>インフラ資産</v>
      </c>
      <c r="H1419" s="7" t="str">
        <f t="shared" si="480"/>
        <v>棚卸以外</v>
      </c>
      <c r="I1419" s="7">
        <v>17</v>
      </c>
      <c r="J1419" s="7" t="str">
        <f>"宝町調節池管理棟"</f>
        <v>宝町調節池管理棟</v>
      </c>
      <c r="K1419" s="7" t="str">
        <f t="shared" si="479"/>
        <v>鉄筋コンクリート造</v>
      </c>
      <c r="L1419" s="7" t="str">
        <f>"H19.07.31"</f>
        <v>H19.07.31</v>
      </c>
      <c r="M1419" s="7">
        <v>298.06</v>
      </c>
      <c r="N1419" s="7">
        <v>103740000</v>
      </c>
      <c r="O1419" s="7">
        <v>32505200</v>
      </c>
      <c r="P1419" s="7">
        <v>0</v>
      </c>
      <c r="Q1419" s="7" t="str">
        <f t="shared" si="470"/>
        <v>都市整備部</v>
      </c>
      <c r="R1419" s="7" t="str">
        <f t="shared" si="478"/>
        <v>寝屋川水系改修工営所</v>
      </c>
    </row>
    <row r="1420" spans="1:18" s="1" customFormat="1" x14ac:dyDescent="0.45">
      <c r="A1420" s="7" t="str">
        <f>"08209002045"</f>
        <v>08209002045</v>
      </c>
      <c r="B1420" s="7" t="str">
        <f>"西郷通調節池"</f>
        <v>西郷通調節池</v>
      </c>
      <c r="C1420" s="7" t="str">
        <f t="shared" si="477"/>
        <v>行政財産</v>
      </c>
      <c r="D1420" s="7" t="str">
        <f t="shared" si="476"/>
        <v>その他</v>
      </c>
      <c r="E1420" s="7" t="str">
        <f>"大阪府守口市西郷通３丁目"</f>
        <v>大阪府守口市西郷通３丁目</v>
      </c>
      <c r="F1420" s="7" t="str">
        <f>"１４"</f>
        <v>１４</v>
      </c>
      <c r="G1420" s="7" t="str">
        <f t="shared" si="474"/>
        <v>インフラ資産</v>
      </c>
      <c r="H1420" s="7" t="str">
        <f t="shared" si="480"/>
        <v>棚卸以外</v>
      </c>
      <c r="I1420" s="7">
        <v>1</v>
      </c>
      <c r="J1420" s="7" t="str">
        <f>"西郷通調節池管理棟"</f>
        <v>西郷通調節池管理棟</v>
      </c>
      <c r="K1420" s="7" t="str">
        <f t="shared" si="479"/>
        <v>鉄筋コンクリート造</v>
      </c>
      <c r="L1420" s="7" t="str">
        <f>"H26.11.06"</f>
        <v>H26.11.06</v>
      </c>
      <c r="M1420" s="7">
        <v>360.36</v>
      </c>
      <c r="N1420" s="7">
        <v>70947360</v>
      </c>
      <c r="O1420" s="7">
        <v>11824600</v>
      </c>
      <c r="P1420" s="7">
        <v>0</v>
      </c>
      <c r="Q1420" s="7" t="str">
        <f t="shared" si="470"/>
        <v>都市整備部</v>
      </c>
      <c r="R1420" s="7" t="str">
        <f t="shared" si="478"/>
        <v>寝屋川水系改修工営所</v>
      </c>
    </row>
    <row r="1421" spans="1:18" s="1" customFormat="1" x14ac:dyDescent="0.45">
      <c r="A1421" s="7" t="str">
        <f>"08209002047"</f>
        <v>08209002047</v>
      </c>
      <c r="B1421" s="7" t="str">
        <f>"東諸福調節池"</f>
        <v>東諸福調節池</v>
      </c>
      <c r="C1421" s="7" t="str">
        <f t="shared" si="477"/>
        <v>行政財産</v>
      </c>
      <c r="D1421" s="7" t="str">
        <f t="shared" si="476"/>
        <v>その他</v>
      </c>
      <c r="E1421" s="7" t="str">
        <f>"大阪府大東市諸福１丁目"</f>
        <v>大阪府大東市諸福１丁目</v>
      </c>
      <c r="F1421" s="7" t="str">
        <f>"３"</f>
        <v>３</v>
      </c>
      <c r="G1421" s="7" t="str">
        <f t="shared" si="474"/>
        <v>インフラ資産</v>
      </c>
      <c r="H1421" s="7" t="str">
        <f t="shared" si="480"/>
        <v>棚卸以外</v>
      </c>
      <c r="I1421" s="7">
        <v>15</v>
      </c>
      <c r="J1421" s="7" t="str">
        <f>"東諸福調節池管理棟"</f>
        <v>東諸福調節池管理棟</v>
      </c>
      <c r="K1421" s="7" t="str">
        <f t="shared" si="479"/>
        <v>鉄筋コンクリート造</v>
      </c>
      <c r="L1421" s="7" t="str">
        <f>"H17.05.31"</f>
        <v>H17.05.31</v>
      </c>
      <c r="M1421" s="7">
        <v>198</v>
      </c>
      <c r="N1421" s="7">
        <v>42945000</v>
      </c>
      <c r="O1421" s="7">
        <v>15317050</v>
      </c>
      <c r="P1421" s="7">
        <v>0</v>
      </c>
      <c r="Q1421" s="7" t="str">
        <f t="shared" si="470"/>
        <v>都市整備部</v>
      </c>
      <c r="R1421" s="7" t="str">
        <f t="shared" si="478"/>
        <v>寝屋川水系改修工営所</v>
      </c>
    </row>
    <row r="1422" spans="1:18" s="1" customFormat="1" x14ac:dyDescent="0.45">
      <c r="A1422" s="7" t="str">
        <f>"08209003002"</f>
        <v>08209003002</v>
      </c>
      <c r="B1422" s="7" t="str">
        <f>"大日南調節池"</f>
        <v>大日南調節池</v>
      </c>
      <c r="C1422" s="7" t="str">
        <f t="shared" si="477"/>
        <v>行政財産</v>
      </c>
      <c r="D1422" s="7" t="str">
        <f t="shared" si="476"/>
        <v>その他</v>
      </c>
      <c r="E1422" s="7" t="str">
        <f>"大阪府守口市大日東町"</f>
        <v>大阪府守口市大日東町</v>
      </c>
      <c r="F1422" s="7" t="str">
        <f>"４"</f>
        <v>４</v>
      </c>
      <c r="G1422" s="7" t="str">
        <f t="shared" si="474"/>
        <v>インフラ資産</v>
      </c>
      <c r="H1422" s="7" t="str">
        <f t="shared" si="480"/>
        <v>棚卸以外</v>
      </c>
      <c r="I1422" s="7">
        <v>2</v>
      </c>
      <c r="J1422" s="7" t="str">
        <f>"大日南調節池管理棟"</f>
        <v>大日南調節池管理棟</v>
      </c>
      <c r="K1422" s="7" t="str">
        <f t="shared" si="479"/>
        <v>鉄筋コンクリート造</v>
      </c>
      <c r="L1422" s="7" t="str">
        <f>"H22.04.01"</f>
        <v>H22.04.01</v>
      </c>
      <c r="M1422" s="7">
        <v>173.5</v>
      </c>
      <c r="N1422" s="7">
        <v>102900000</v>
      </c>
      <c r="O1422" s="7">
        <v>26582500</v>
      </c>
      <c r="P1422" s="7">
        <v>0</v>
      </c>
      <c r="Q1422" s="7" t="str">
        <f t="shared" si="470"/>
        <v>都市整備部</v>
      </c>
      <c r="R1422" s="7" t="str">
        <f t="shared" si="478"/>
        <v>寝屋川水系改修工営所</v>
      </c>
    </row>
    <row r="1423" spans="1:18" s="1" customFormat="1" x14ac:dyDescent="0.45">
      <c r="A1423" s="7" t="str">
        <f>"08209003003"</f>
        <v>08209003003</v>
      </c>
      <c r="B1423" s="7" t="str">
        <f>"朋来調節池"</f>
        <v>朋来調節池</v>
      </c>
      <c r="C1423" s="7" t="str">
        <f t="shared" si="477"/>
        <v>行政財産</v>
      </c>
      <c r="D1423" s="7" t="str">
        <f t="shared" si="476"/>
        <v>その他</v>
      </c>
      <c r="E1423" s="7" t="str">
        <f>"大阪府大東市朋来１丁目"</f>
        <v>大阪府大東市朋来１丁目</v>
      </c>
      <c r="F1423" s="7" t="str">
        <f>"４４"</f>
        <v>４４</v>
      </c>
      <c r="G1423" s="7" t="str">
        <f t="shared" si="474"/>
        <v>インフラ資産</v>
      </c>
      <c r="H1423" s="7" t="str">
        <f t="shared" si="480"/>
        <v>棚卸以外</v>
      </c>
      <c r="I1423" s="7">
        <v>1</v>
      </c>
      <c r="J1423" s="7" t="str">
        <f>"朋来調節池管理棟"</f>
        <v>朋来調節池管理棟</v>
      </c>
      <c r="K1423" s="7" t="str">
        <f>"区分なし"</f>
        <v>区分なし</v>
      </c>
      <c r="L1423" s="7" t="str">
        <f>"H22.07.09"</f>
        <v>H22.07.09</v>
      </c>
      <c r="M1423" s="7">
        <v>189.8</v>
      </c>
      <c r="N1423" s="7">
        <v>82037550</v>
      </c>
      <c r="O1423" s="7">
        <v>20782960</v>
      </c>
      <c r="P1423" s="7">
        <v>0</v>
      </c>
      <c r="Q1423" s="7" t="str">
        <f t="shared" si="470"/>
        <v>都市整備部</v>
      </c>
      <c r="R1423" s="7" t="str">
        <f t="shared" si="478"/>
        <v>寝屋川水系改修工営所</v>
      </c>
    </row>
    <row r="1424" spans="1:18" s="1" customFormat="1" x14ac:dyDescent="0.45">
      <c r="A1424" s="7" t="str">
        <f>"03333000095"</f>
        <v>03333000095</v>
      </c>
      <c r="B1424" s="7" t="str">
        <f>"大阪府安威川ダム建設事務所"</f>
        <v>大阪府安威川ダム建設事務所</v>
      </c>
      <c r="C1424" s="7" t="str">
        <f t="shared" si="477"/>
        <v>行政財産</v>
      </c>
      <c r="D1424" s="7" t="str">
        <f t="shared" ref="D1424:D1430" si="481">"その他（公共用）の施設"</f>
        <v>その他（公共用）の施設</v>
      </c>
      <c r="E1424" s="7" t="str">
        <f>"大阪府茨木市大住町"</f>
        <v>大阪府茨木市大住町</v>
      </c>
      <c r="F1424" s="7"/>
      <c r="G1424" s="7" t="str">
        <f>"事業用資産"</f>
        <v>事業用資産</v>
      </c>
      <c r="H1424" s="7" t="str">
        <f t="shared" si="480"/>
        <v>棚卸以外</v>
      </c>
      <c r="I1424" s="7">
        <v>1</v>
      </c>
      <c r="J1424" s="7" t="str">
        <f>"大阪府立介護情報・研修センター"</f>
        <v>大阪府立介護情報・研修センター</v>
      </c>
      <c r="K1424" s="7" t="str">
        <f t="shared" ref="K1424:K1430" si="482">"鉄筋コンクリート造"</f>
        <v>鉄筋コンクリート造</v>
      </c>
      <c r="L1424" s="7" t="str">
        <f>"H06.03.15"</f>
        <v>H06.03.15</v>
      </c>
      <c r="M1424" s="7">
        <v>2564.21</v>
      </c>
      <c r="N1424" s="7">
        <v>905148789</v>
      </c>
      <c r="O1424" s="7">
        <v>685319918</v>
      </c>
      <c r="P1424" s="7">
        <v>0</v>
      </c>
      <c r="Q1424" s="7" t="str">
        <f t="shared" si="470"/>
        <v>都市整備部</v>
      </c>
      <c r="R1424" s="7" t="str">
        <f t="shared" ref="R1424:R1430" si="483">"安威川ダム建設事務所"</f>
        <v>安威川ダム建設事務所</v>
      </c>
    </row>
    <row r="1425" spans="1:18" s="1" customFormat="1" x14ac:dyDescent="0.45">
      <c r="A1425" s="7" t="str">
        <f t="shared" ref="A1425:A1430" si="484">"08214003057"</f>
        <v>08214003057</v>
      </c>
      <c r="B1425" s="7" t="str">
        <f t="shared" ref="B1425:B1430" si="485">"安威川ダム"</f>
        <v>安威川ダム</v>
      </c>
      <c r="C1425" s="7" t="str">
        <f t="shared" si="477"/>
        <v>行政財産</v>
      </c>
      <c r="D1425" s="7" t="str">
        <f t="shared" si="481"/>
        <v>その他（公共用）の施設</v>
      </c>
      <c r="E1425" s="7" t="str">
        <f t="shared" ref="E1425:E1430" si="486">"大阪府茨木市大字大門寺"</f>
        <v>大阪府茨木市大字大門寺</v>
      </c>
      <c r="F1425" s="7"/>
      <c r="G1425" s="7" t="str">
        <f t="shared" ref="G1425:G1430" si="487">"インフラ資産"</f>
        <v>インフラ資産</v>
      </c>
      <c r="H1425" s="7" t="str">
        <f t="shared" si="480"/>
        <v>棚卸以外</v>
      </c>
      <c r="I1425" s="7">
        <v>3</v>
      </c>
      <c r="J1425" s="7" t="str">
        <f>"管理棟"</f>
        <v>管理棟</v>
      </c>
      <c r="K1425" s="7" t="str">
        <f t="shared" si="482"/>
        <v>鉄筋コンクリート造</v>
      </c>
      <c r="L1425" s="7" t="str">
        <f t="shared" ref="L1425:L1430" si="488">"R04.05.17"</f>
        <v>R04.05.17</v>
      </c>
      <c r="M1425" s="7">
        <v>819.13</v>
      </c>
      <c r="N1425" s="7">
        <v>312619369</v>
      </c>
      <c r="O1425" s="7">
        <v>7647034</v>
      </c>
      <c r="P1425" s="7">
        <v>0</v>
      </c>
      <c r="Q1425" s="7" t="str">
        <f t="shared" si="470"/>
        <v>都市整備部</v>
      </c>
      <c r="R1425" s="7" t="str">
        <f t="shared" si="483"/>
        <v>安威川ダム建設事務所</v>
      </c>
    </row>
    <row r="1426" spans="1:18" s="1" customFormat="1" x14ac:dyDescent="0.45">
      <c r="A1426" s="7" t="str">
        <f t="shared" si="484"/>
        <v>08214003057</v>
      </c>
      <c r="B1426" s="7" t="str">
        <f t="shared" si="485"/>
        <v>安威川ダム</v>
      </c>
      <c r="C1426" s="7" t="str">
        <f t="shared" si="477"/>
        <v>行政財産</v>
      </c>
      <c r="D1426" s="7" t="str">
        <f t="shared" si="481"/>
        <v>その他（公共用）の施設</v>
      </c>
      <c r="E1426" s="7" t="str">
        <f t="shared" si="486"/>
        <v>大阪府茨木市大字大門寺</v>
      </c>
      <c r="F1426" s="7"/>
      <c r="G1426" s="7" t="str">
        <f t="shared" si="487"/>
        <v>インフラ資産</v>
      </c>
      <c r="H1426" s="7" t="str">
        <f t="shared" si="480"/>
        <v>棚卸以外</v>
      </c>
      <c r="I1426" s="7">
        <v>4</v>
      </c>
      <c r="J1426" s="7" t="str">
        <f>"取水ゲート棟"</f>
        <v>取水ゲート棟</v>
      </c>
      <c r="K1426" s="7" t="str">
        <f t="shared" si="482"/>
        <v>鉄筋コンクリート造</v>
      </c>
      <c r="L1426" s="7" t="str">
        <f t="shared" si="488"/>
        <v>R04.05.17</v>
      </c>
      <c r="M1426" s="7">
        <v>208.48</v>
      </c>
      <c r="N1426" s="7">
        <v>26478921</v>
      </c>
      <c r="O1426" s="7">
        <v>729414</v>
      </c>
      <c r="P1426" s="7">
        <v>0</v>
      </c>
      <c r="Q1426" s="7" t="str">
        <f t="shared" si="470"/>
        <v>都市整備部</v>
      </c>
      <c r="R1426" s="7" t="str">
        <f t="shared" si="483"/>
        <v>安威川ダム建設事務所</v>
      </c>
    </row>
    <row r="1427" spans="1:18" s="1" customFormat="1" x14ac:dyDescent="0.45">
      <c r="A1427" s="7" t="str">
        <f t="shared" si="484"/>
        <v>08214003057</v>
      </c>
      <c r="B1427" s="7" t="str">
        <f t="shared" si="485"/>
        <v>安威川ダム</v>
      </c>
      <c r="C1427" s="7" t="str">
        <f t="shared" si="477"/>
        <v>行政財産</v>
      </c>
      <c r="D1427" s="7" t="str">
        <f t="shared" si="481"/>
        <v>その他（公共用）の施設</v>
      </c>
      <c r="E1427" s="7" t="str">
        <f t="shared" si="486"/>
        <v>大阪府茨木市大字大門寺</v>
      </c>
      <c r="F1427" s="7"/>
      <c r="G1427" s="7" t="str">
        <f t="shared" si="487"/>
        <v>インフラ資産</v>
      </c>
      <c r="H1427" s="7" t="str">
        <f t="shared" si="480"/>
        <v>棚卸以外</v>
      </c>
      <c r="I1427" s="7">
        <v>5</v>
      </c>
      <c r="J1427" s="7" t="str">
        <f>"放流バルブ棟"</f>
        <v>放流バルブ棟</v>
      </c>
      <c r="K1427" s="7" t="str">
        <f t="shared" si="482"/>
        <v>鉄筋コンクリート造</v>
      </c>
      <c r="L1427" s="7" t="str">
        <f t="shared" si="488"/>
        <v>R04.05.17</v>
      </c>
      <c r="M1427" s="7">
        <v>172.93</v>
      </c>
      <c r="N1427" s="7">
        <v>64869055</v>
      </c>
      <c r="O1427" s="7">
        <v>1784074</v>
      </c>
      <c r="P1427" s="7">
        <v>0</v>
      </c>
      <c r="Q1427" s="7" t="str">
        <f t="shared" si="470"/>
        <v>都市整備部</v>
      </c>
      <c r="R1427" s="7" t="str">
        <f t="shared" si="483"/>
        <v>安威川ダム建設事務所</v>
      </c>
    </row>
    <row r="1428" spans="1:18" s="1" customFormat="1" x14ac:dyDescent="0.45">
      <c r="A1428" s="7" t="str">
        <f t="shared" si="484"/>
        <v>08214003057</v>
      </c>
      <c r="B1428" s="7" t="str">
        <f t="shared" si="485"/>
        <v>安威川ダム</v>
      </c>
      <c r="C1428" s="7" t="str">
        <f t="shared" si="477"/>
        <v>行政財産</v>
      </c>
      <c r="D1428" s="7" t="str">
        <f t="shared" si="481"/>
        <v>その他（公共用）の施設</v>
      </c>
      <c r="E1428" s="7" t="str">
        <f t="shared" si="486"/>
        <v>大阪府茨木市大字大門寺</v>
      </c>
      <c r="F1428" s="7"/>
      <c r="G1428" s="7" t="str">
        <f t="shared" si="487"/>
        <v>インフラ資産</v>
      </c>
      <c r="H1428" s="7" t="str">
        <f t="shared" si="480"/>
        <v>棚卸以外</v>
      </c>
      <c r="I1428" s="7">
        <v>6</v>
      </c>
      <c r="J1428" s="7" t="str">
        <f>"管理用発電機棟"</f>
        <v>管理用発電機棟</v>
      </c>
      <c r="K1428" s="7" t="str">
        <f t="shared" si="482"/>
        <v>鉄筋コンクリート造</v>
      </c>
      <c r="L1428" s="7" t="str">
        <f t="shared" si="488"/>
        <v>R04.05.17</v>
      </c>
      <c r="M1428" s="7">
        <v>82.87</v>
      </c>
      <c r="N1428" s="7">
        <v>26830506</v>
      </c>
      <c r="O1428" s="7">
        <v>896004</v>
      </c>
      <c r="P1428" s="7">
        <v>0</v>
      </c>
      <c r="Q1428" s="7" t="str">
        <f t="shared" si="470"/>
        <v>都市整備部</v>
      </c>
      <c r="R1428" s="7" t="str">
        <f t="shared" si="483"/>
        <v>安威川ダム建設事務所</v>
      </c>
    </row>
    <row r="1429" spans="1:18" s="1" customFormat="1" x14ac:dyDescent="0.45">
      <c r="A1429" s="7" t="str">
        <f t="shared" si="484"/>
        <v>08214003057</v>
      </c>
      <c r="B1429" s="7" t="str">
        <f t="shared" si="485"/>
        <v>安威川ダム</v>
      </c>
      <c r="C1429" s="7" t="str">
        <f t="shared" si="477"/>
        <v>行政財産</v>
      </c>
      <c r="D1429" s="7" t="str">
        <f t="shared" si="481"/>
        <v>その他（公共用）の施設</v>
      </c>
      <c r="E1429" s="7" t="str">
        <f t="shared" si="486"/>
        <v>大阪府茨木市大字大門寺</v>
      </c>
      <c r="F1429" s="7"/>
      <c r="G1429" s="7" t="str">
        <f t="shared" si="487"/>
        <v>インフラ資産</v>
      </c>
      <c r="H1429" s="7" t="str">
        <f t="shared" si="480"/>
        <v>棚卸以外</v>
      </c>
      <c r="I1429" s="7">
        <v>7</v>
      </c>
      <c r="J1429" s="7" t="str">
        <f>"曝気棟"</f>
        <v>曝気棟</v>
      </c>
      <c r="K1429" s="7" t="str">
        <f t="shared" si="482"/>
        <v>鉄筋コンクリート造</v>
      </c>
      <c r="L1429" s="7" t="str">
        <f t="shared" si="488"/>
        <v>R04.05.17</v>
      </c>
      <c r="M1429" s="7">
        <v>33.840000000000003</v>
      </c>
      <c r="N1429" s="7">
        <v>50476333</v>
      </c>
      <c r="O1429" s="7">
        <v>1132374</v>
      </c>
      <c r="P1429" s="7">
        <v>0</v>
      </c>
      <c r="Q1429" s="7" t="str">
        <f t="shared" si="470"/>
        <v>都市整備部</v>
      </c>
      <c r="R1429" s="7" t="str">
        <f t="shared" si="483"/>
        <v>安威川ダム建設事務所</v>
      </c>
    </row>
    <row r="1430" spans="1:18" s="1" customFormat="1" x14ac:dyDescent="0.45">
      <c r="A1430" s="7" t="str">
        <f t="shared" si="484"/>
        <v>08214003057</v>
      </c>
      <c r="B1430" s="7" t="str">
        <f t="shared" si="485"/>
        <v>安威川ダム</v>
      </c>
      <c r="C1430" s="7" t="str">
        <f t="shared" si="477"/>
        <v>行政財産</v>
      </c>
      <c r="D1430" s="7" t="str">
        <f t="shared" si="481"/>
        <v>その他（公共用）の施設</v>
      </c>
      <c r="E1430" s="7" t="str">
        <f t="shared" si="486"/>
        <v>大阪府茨木市大字大門寺</v>
      </c>
      <c r="F1430" s="7"/>
      <c r="G1430" s="7" t="str">
        <f t="shared" si="487"/>
        <v>インフラ資産</v>
      </c>
      <c r="H1430" s="7" t="str">
        <f t="shared" si="480"/>
        <v>棚卸以外</v>
      </c>
      <c r="I1430" s="7">
        <v>8</v>
      </c>
      <c r="J1430" s="7" t="str">
        <f>"ゲート及び船舶保管庫"</f>
        <v>ゲート及び船舶保管庫</v>
      </c>
      <c r="K1430" s="7" t="str">
        <f t="shared" si="482"/>
        <v>鉄筋コンクリート造</v>
      </c>
      <c r="L1430" s="7" t="str">
        <f t="shared" si="488"/>
        <v>R04.05.17</v>
      </c>
      <c r="M1430" s="7">
        <v>208.94</v>
      </c>
      <c r="N1430" s="7">
        <v>78246006</v>
      </c>
      <c r="O1430" s="7">
        <v>1964534</v>
      </c>
      <c r="P1430" s="7">
        <v>0</v>
      </c>
      <c r="Q1430" s="7" t="str">
        <f t="shared" si="470"/>
        <v>都市整備部</v>
      </c>
      <c r="R1430" s="7" t="str">
        <f t="shared" si="483"/>
        <v>安威川ダム建設事務所</v>
      </c>
    </row>
    <row r="1431" spans="1:18" s="1" customFormat="1" x14ac:dyDescent="0.45">
      <c r="A1431" s="7" t="str">
        <f>"08198000000"</f>
        <v>08198000000</v>
      </c>
      <c r="B1431" s="7" t="str">
        <f>"岸和田中央公園（元春木競馬場）"</f>
        <v>岸和田中央公園（元春木競馬場）</v>
      </c>
      <c r="C1431" s="7" t="str">
        <f>"普通財産"</f>
        <v>普通財産</v>
      </c>
      <c r="D1431" s="7" t="str">
        <f>"その他"</f>
        <v>その他</v>
      </c>
      <c r="E1431" s="7" t="str">
        <f>"大阪府岸和田市西之内町"</f>
        <v>大阪府岸和田市西之内町</v>
      </c>
      <c r="F1431" s="7"/>
      <c r="G1431" s="7" t="str">
        <f t="shared" ref="G1431:G1494" si="489">"事業用資産"</f>
        <v>事業用資産</v>
      </c>
      <c r="H1431" s="7" t="str">
        <f t="shared" si="480"/>
        <v>棚卸以外</v>
      </c>
      <c r="I1431" s="7">
        <v>1</v>
      </c>
      <c r="J1431" s="7" t="str">
        <f>"元管理事務所"</f>
        <v>元管理事務所</v>
      </c>
      <c r="K1431" s="7" t="str">
        <f>"コンクリートブロック造"</f>
        <v>コンクリートブロック造</v>
      </c>
      <c r="L1431" s="7" t="str">
        <f>"S51.03.18"</f>
        <v>S51.03.18</v>
      </c>
      <c r="M1431" s="7">
        <v>182</v>
      </c>
      <c r="N1431" s="7">
        <v>10579000</v>
      </c>
      <c r="O1431" s="7">
        <v>10578999</v>
      </c>
      <c r="P1431" s="7">
        <v>0</v>
      </c>
      <c r="Q1431" s="7" t="str">
        <f t="shared" si="470"/>
        <v>都市整備部</v>
      </c>
      <c r="R1431" s="7" t="str">
        <f>"公園課"</f>
        <v>公園課</v>
      </c>
    </row>
    <row r="1432" spans="1:18" s="1" customFormat="1" x14ac:dyDescent="0.45">
      <c r="A1432" s="7" t="str">
        <f>"09940003008"</f>
        <v>09940003008</v>
      </c>
      <c r="B1432" s="7" t="str">
        <f>"東大阪春宮住宅内店舗"</f>
        <v>東大阪春宮住宅内店舗</v>
      </c>
      <c r="C1432" s="7" t="str">
        <f>"普通財産"</f>
        <v>普通財産</v>
      </c>
      <c r="D1432" s="7" t="str">
        <f>"元施設"</f>
        <v>元施設</v>
      </c>
      <c r="E1432" s="7" t="str">
        <f>"大阪府東大阪市荒本北"</f>
        <v>大阪府東大阪市荒本北</v>
      </c>
      <c r="F1432" s="7" t="str">
        <f>"５２番"</f>
        <v>５２番</v>
      </c>
      <c r="G1432" s="7" t="str">
        <f t="shared" si="489"/>
        <v>事業用資産</v>
      </c>
      <c r="H1432" s="7" t="str">
        <f t="shared" si="480"/>
        <v>棚卸以外</v>
      </c>
      <c r="I1432" s="7">
        <v>1</v>
      </c>
      <c r="J1432" s="7" t="str">
        <f>"６号棟内店舗"</f>
        <v>６号棟内店舗</v>
      </c>
      <c r="K1432" s="7" t="str">
        <f t="shared" ref="K1432:K1444" si="490">"鉄筋コンクリート造"</f>
        <v>鉄筋コンクリート造</v>
      </c>
      <c r="L1432" s="7" t="str">
        <f>"H06.03.28"</f>
        <v>H06.03.28</v>
      </c>
      <c r="M1432" s="7">
        <v>249.1</v>
      </c>
      <c r="N1432" s="7">
        <v>66720525</v>
      </c>
      <c r="O1432" s="7">
        <v>41168052</v>
      </c>
      <c r="P1432" s="7">
        <v>0</v>
      </c>
      <c r="Q1432" s="7" t="str">
        <f t="shared" si="470"/>
        <v>都市整備部</v>
      </c>
      <c r="R1432" s="7" t="str">
        <f t="shared" ref="R1432:R1495" si="491">"住宅建築局住宅経営室"</f>
        <v>住宅建築局住宅経営室</v>
      </c>
    </row>
    <row r="1433" spans="1:18" s="1" customFormat="1" x14ac:dyDescent="0.45">
      <c r="A1433" s="7" t="str">
        <f>"09940003008"</f>
        <v>09940003008</v>
      </c>
      <c r="B1433" s="7" t="str">
        <f>"東大阪春宮住宅内店舗"</f>
        <v>東大阪春宮住宅内店舗</v>
      </c>
      <c r="C1433" s="7" t="str">
        <f>"普通財産"</f>
        <v>普通財産</v>
      </c>
      <c r="D1433" s="7" t="str">
        <f>"元施設"</f>
        <v>元施設</v>
      </c>
      <c r="E1433" s="7" t="str">
        <f>"大阪府東大阪市荒本北"</f>
        <v>大阪府東大阪市荒本北</v>
      </c>
      <c r="F1433" s="7" t="str">
        <f>"５２番"</f>
        <v>５２番</v>
      </c>
      <c r="G1433" s="7" t="str">
        <f t="shared" si="489"/>
        <v>事業用資産</v>
      </c>
      <c r="H1433" s="7" t="str">
        <f t="shared" si="480"/>
        <v>棚卸以外</v>
      </c>
      <c r="I1433" s="7">
        <v>2</v>
      </c>
      <c r="J1433" s="7" t="str">
        <f>"７号棟内店舗"</f>
        <v>７号棟内店舗</v>
      </c>
      <c r="K1433" s="7" t="str">
        <f t="shared" si="490"/>
        <v>鉄筋コンクリート造</v>
      </c>
      <c r="L1433" s="7" t="str">
        <f>"H06.03.28"</f>
        <v>H06.03.28</v>
      </c>
      <c r="M1433" s="7">
        <v>223.16</v>
      </c>
      <c r="N1433" s="7">
        <v>53944404</v>
      </c>
      <c r="O1433" s="7">
        <v>33285156</v>
      </c>
      <c r="P1433" s="7">
        <v>0</v>
      </c>
      <c r="Q1433" s="7" t="str">
        <f t="shared" si="470"/>
        <v>都市整備部</v>
      </c>
      <c r="R1433" s="7" t="str">
        <f t="shared" si="491"/>
        <v>住宅建築局住宅経営室</v>
      </c>
    </row>
    <row r="1434" spans="1:18" s="1" customFormat="1" x14ac:dyDescent="0.45">
      <c r="A1434" s="7" t="str">
        <f t="shared" ref="A1434:A1447" si="492">"09940003012"</f>
        <v>09940003012</v>
      </c>
      <c r="B1434" s="7" t="str">
        <f t="shared" ref="B1434:B1447" si="493">"貝塚橋本第２"</f>
        <v>貝塚橋本第２</v>
      </c>
      <c r="C1434" s="7" t="str">
        <f t="shared" ref="C1434:C1497" si="494">"行政財産"</f>
        <v>行政財産</v>
      </c>
      <c r="D1434" s="7" t="str">
        <f t="shared" ref="D1434:D1497" si="495">"公営住宅"</f>
        <v>公営住宅</v>
      </c>
      <c r="E1434" s="7" t="str">
        <f t="shared" ref="E1434:E1447" si="496">"大阪府貝塚市橋本"</f>
        <v>大阪府貝塚市橋本</v>
      </c>
      <c r="F1434" s="7"/>
      <c r="G1434" s="7" t="str">
        <f t="shared" si="489"/>
        <v>事業用資産</v>
      </c>
      <c r="H1434" s="7" t="str">
        <f t="shared" si="480"/>
        <v>棚卸以外</v>
      </c>
      <c r="I1434" s="7">
        <v>1</v>
      </c>
      <c r="J1434" s="7" t="str">
        <f>"1号棟"</f>
        <v>1号棟</v>
      </c>
      <c r="K1434" s="7" t="str">
        <f t="shared" si="490"/>
        <v>鉄筋コンクリート造</v>
      </c>
      <c r="L1434" s="7" t="str">
        <f>"H19.04.27"</f>
        <v>H19.04.27</v>
      </c>
      <c r="M1434" s="7">
        <v>3813.47</v>
      </c>
      <c r="N1434" s="7">
        <v>441517946</v>
      </c>
      <c r="O1434" s="7">
        <v>150691081</v>
      </c>
      <c r="P1434" s="7">
        <v>0</v>
      </c>
      <c r="Q1434" s="7" t="str">
        <f t="shared" si="470"/>
        <v>都市整備部</v>
      </c>
      <c r="R1434" s="7" t="str">
        <f t="shared" si="491"/>
        <v>住宅建築局住宅経営室</v>
      </c>
    </row>
    <row r="1435" spans="1:18" s="1" customFormat="1" x14ac:dyDescent="0.45">
      <c r="A1435" s="7" t="str">
        <f t="shared" si="492"/>
        <v>09940003012</v>
      </c>
      <c r="B1435" s="7" t="str">
        <f t="shared" si="493"/>
        <v>貝塚橋本第２</v>
      </c>
      <c r="C1435" s="7" t="str">
        <f t="shared" si="494"/>
        <v>行政財産</v>
      </c>
      <c r="D1435" s="7" t="str">
        <f t="shared" si="495"/>
        <v>公営住宅</v>
      </c>
      <c r="E1435" s="7" t="str">
        <f t="shared" si="496"/>
        <v>大阪府貝塚市橋本</v>
      </c>
      <c r="F1435" s="7"/>
      <c r="G1435" s="7" t="str">
        <f t="shared" si="489"/>
        <v>事業用資産</v>
      </c>
      <c r="H1435" s="7" t="str">
        <f t="shared" si="480"/>
        <v>棚卸以外</v>
      </c>
      <c r="I1435" s="7">
        <v>2</v>
      </c>
      <c r="J1435" s="7" t="str">
        <f>"２号棟"</f>
        <v>２号棟</v>
      </c>
      <c r="K1435" s="7" t="str">
        <f t="shared" si="490"/>
        <v>鉄筋コンクリート造</v>
      </c>
      <c r="L1435" s="7" t="str">
        <f>"H19.04.27"</f>
        <v>H19.04.27</v>
      </c>
      <c r="M1435" s="7">
        <v>4760.18</v>
      </c>
      <c r="N1435" s="7">
        <v>522532946</v>
      </c>
      <c r="O1435" s="7">
        <v>178127085</v>
      </c>
      <c r="P1435" s="7">
        <v>0</v>
      </c>
      <c r="Q1435" s="7" t="str">
        <f t="shared" ref="Q1435:Q1498" si="497">"都市整備部"</f>
        <v>都市整備部</v>
      </c>
      <c r="R1435" s="7" t="str">
        <f t="shared" si="491"/>
        <v>住宅建築局住宅経営室</v>
      </c>
    </row>
    <row r="1436" spans="1:18" s="1" customFormat="1" x14ac:dyDescent="0.45">
      <c r="A1436" s="7" t="str">
        <f t="shared" si="492"/>
        <v>09940003012</v>
      </c>
      <c r="B1436" s="7" t="str">
        <f t="shared" si="493"/>
        <v>貝塚橋本第２</v>
      </c>
      <c r="C1436" s="7" t="str">
        <f t="shared" si="494"/>
        <v>行政財産</v>
      </c>
      <c r="D1436" s="7" t="str">
        <f t="shared" si="495"/>
        <v>公営住宅</v>
      </c>
      <c r="E1436" s="7" t="str">
        <f t="shared" si="496"/>
        <v>大阪府貝塚市橋本</v>
      </c>
      <c r="F1436" s="7"/>
      <c r="G1436" s="7" t="str">
        <f t="shared" si="489"/>
        <v>事業用資産</v>
      </c>
      <c r="H1436" s="7" t="str">
        <f t="shared" si="480"/>
        <v>棚卸以外</v>
      </c>
      <c r="I1436" s="7">
        <v>3</v>
      </c>
      <c r="J1436" s="7" t="str">
        <f>"受水槽ポンプ室・電気室"</f>
        <v>受水槽ポンプ室・電気室</v>
      </c>
      <c r="K1436" s="7" t="str">
        <f t="shared" si="490"/>
        <v>鉄筋コンクリート造</v>
      </c>
      <c r="L1436" s="7" t="str">
        <f>"H19.04.27"</f>
        <v>H19.04.27</v>
      </c>
      <c r="M1436" s="7">
        <v>99</v>
      </c>
      <c r="N1436" s="7">
        <v>16347000</v>
      </c>
      <c r="O1436" s="7">
        <v>5536135</v>
      </c>
      <c r="P1436" s="7">
        <v>0</v>
      </c>
      <c r="Q1436" s="7" t="str">
        <f t="shared" si="497"/>
        <v>都市整備部</v>
      </c>
      <c r="R1436" s="7" t="str">
        <f t="shared" si="491"/>
        <v>住宅建築局住宅経営室</v>
      </c>
    </row>
    <row r="1437" spans="1:18" s="1" customFormat="1" x14ac:dyDescent="0.45">
      <c r="A1437" s="7" t="str">
        <f t="shared" si="492"/>
        <v>09940003012</v>
      </c>
      <c r="B1437" s="7" t="str">
        <f t="shared" si="493"/>
        <v>貝塚橋本第２</v>
      </c>
      <c r="C1437" s="7" t="str">
        <f t="shared" si="494"/>
        <v>行政財産</v>
      </c>
      <c r="D1437" s="7" t="str">
        <f t="shared" si="495"/>
        <v>公営住宅</v>
      </c>
      <c r="E1437" s="7" t="str">
        <f t="shared" si="496"/>
        <v>大阪府貝塚市橋本</v>
      </c>
      <c r="F1437" s="7"/>
      <c r="G1437" s="7" t="str">
        <f t="shared" si="489"/>
        <v>事業用資産</v>
      </c>
      <c r="H1437" s="7" t="str">
        <f t="shared" si="480"/>
        <v>棚卸以外</v>
      </c>
      <c r="I1437" s="7">
        <v>4</v>
      </c>
      <c r="J1437" s="7" t="str">
        <f>"４号棟"</f>
        <v>４号棟</v>
      </c>
      <c r="K1437" s="7" t="str">
        <f t="shared" si="490"/>
        <v>鉄筋コンクリート造</v>
      </c>
      <c r="L1437" s="7" t="str">
        <f>"H22.05.31"</f>
        <v>H22.05.31</v>
      </c>
      <c r="M1437" s="7">
        <v>4614.37</v>
      </c>
      <c r="N1437" s="7">
        <v>805563947</v>
      </c>
      <c r="O1437" s="7">
        <v>221424393</v>
      </c>
      <c r="P1437" s="7">
        <v>0</v>
      </c>
      <c r="Q1437" s="7" t="str">
        <f t="shared" si="497"/>
        <v>都市整備部</v>
      </c>
      <c r="R1437" s="7" t="str">
        <f t="shared" si="491"/>
        <v>住宅建築局住宅経営室</v>
      </c>
    </row>
    <row r="1438" spans="1:18" s="1" customFormat="1" x14ac:dyDescent="0.45">
      <c r="A1438" s="7" t="str">
        <f t="shared" si="492"/>
        <v>09940003012</v>
      </c>
      <c r="B1438" s="7" t="str">
        <f t="shared" si="493"/>
        <v>貝塚橋本第２</v>
      </c>
      <c r="C1438" s="7" t="str">
        <f t="shared" si="494"/>
        <v>行政財産</v>
      </c>
      <c r="D1438" s="7" t="str">
        <f t="shared" si="495"/>
        <v>公営住宅</v>
      </c>
      <c r="E1438" s="7" t="str">
        <f t="shared" si="496"/>
        <v>大阪府貝塚市橋本</v>
      </c>
      <c r="F1438" s="7"/>
      <c r="G1438" s="7" t="str">
        <f t="shared" si="489"/>
        <v>事業用資産</v>
      </c>
      <c r="H1438" s="7" t="str">
        <f t="shared" si="480"/>
        <v>棚卸以外</v>
      </c>
      <c r="I1438" s="7">
        <v>5</v>
      </c>
      <c r="J1438" s="7" t="str">
        <f>"３号棟"</f>
        <v>３号棟</v>
      </c>
      <c r="K1438" s="7" t="str">
        <f t="shared" si="490"/>
        <v>鉄筋コンクリート造</v>
      </c>
      <c r="L1438" s="7" t="str">
        <f>"H22.05.31"</f>
        <v>H22.05.31</v>
      </c>
      <c r="M1438" s="7">
        <v>5367.35</v>
      </c>
      <c r="N1438" s="7">
        <v>785910321</v>
      </c>
      <c r="O1438" s="7">
        <v>215018820</v>
      </c>
      <c r="P1438" s="7">
        <v>0</v>
      </c>
      <c r="Q1438" s="7" t="str">
        <f t="shared" si="497"/>
        <v>都市整備部</v>
      </c>
      <c r="R1438" s="7" t="str">
        <f t="shared" si="491"/>
        <v>住宅建築局住宅経営室</v>
      </c>
    </row>
    <row r="1439" spans="1:18" s="1" customFormat="1" x14ac:dyDescent="0.45">
      <c r="A1439" s="7" t="str">
        <f t="shared" si="492"/>
        <v>09940003012</v>
      </c>
      <c r="B1439" s="7" t="str">
        <f t="shared" si="493"/>
        <v>貝塚橋本第２</v>
      </c>
      <c r="C1439" s="7" t="str">
        <f t="shared" si="494"/>
        <v>行政財産</v>
      </c>
      <c r="D1439" s="7" t="str">
        <f t="shared" si="495"/>
        <v>公営住宅</v>
      </c>
      <c r="E1439" s="7" t="str">
        <f t="shared" si="496"/>
        <v>大阪府貝塚市橋本</v>
      </c>
      <c r="F1439" s="7"/>
      <c r="G1439" s="7" t="str">
        <f t="shared" si="489"/>
        <v>事業用資産</v>
      </c>
      <c r="H1439" s="7" t="str">
        <f t="shared" si="480"/>
        <v>棚卸以外</v>
      </c>
      <c r="I1439" s="7">
        <v>6</v>
      </c>
      <c r="J1439" s="7" t="str">
        <f>"受水槽・ポンプ室・電気室"</f>
        <v>受水槽・ポンプ室・電気室</v>
      </c>
      <c r="K1439" s="7" t="str">
        <f t="shared" si="490"/>
        <v>鉄筋コンクリート造</v>
      </c>
      <c r="L1439" s="7" t="str">
        <f>"H22.05.31"</f>
        <v>H22.05.31</v>
      </c>
      <c r="M1439" s="7">
        <v>99</v>
      </c>
      <c r="N1439" s="7">
        <v>31821000</v>
      </c>
      <c r="O1439" s="7">
        <v>8688834</v>
      </c>
      <c r="P1439" s="7">
        <v>0</v>
      </c>
      <c r="Q1439" s="7" t="str">
        <f t="shared" si="497"/>
        <v>都市整備部</v>
      </c>
      <c r="R1439" s="7" t="str">
        <f t="shared" si="491"/>
        <v>住宅建築局住宅経営室</v>
      </c>
    </row>
    <row r="1440" spans="1:18" s="1" customFormat="1" x14ac:dyDescent="0.45">
      <c r="A1440" s="7" t="str">
        <f t="shared" si="492"/>
        <v>09940003012</v>
      </c>
      <c r="B1440" s="7" t="str">
        <f t="shared" si="493"/>
        <v>貝塚橋本第２</v>
      </c>
      <c r="C1440" s="7" t="str">
        <f t="shared" si="494"/>
        <v>行政財産</v>
      </c>
      <c r="D1440" s="7" t="str">
        <f t="shared" si="495"/>
        <v>公営住宅</v>
      </c>
      <c r="E1440" s="7" t="str">
        <f t="shared" si="496"/>
        <v>大阪府貝塚市橋本</v>
      </c>
      <c r="F1440" s="7"/>
      <c r="G1440" s="7" t="str">
        <f t="shared" si="489"/>
        <v>事業用資産</v>
      </c>
      <c r="H1440" s="7" t="str">
        <f t="shared" si="480"/>
        <v>棚卸以外</v>
      </c>
      <c r="I1440" s="7">
        <v>7</v>
      </c>
      <c r="J1440" s="7" t="str">
        <f>"ごみ置場"</f>
        <v>ごみ置場</v>
      </c>
      <c r="K1440" s="7" t="str">
        <f t="shared" si="490"/>
        <v>鉄筋コンクリート造</v>
      </c>
      <c r="L1440" s="7" t="str">
        <f>"H22.05.31"</f>
        <v>H22.05.31</v>
      </c>
      <c r="M1440" s="7">
        <v>25.94</v>
      </c>
      <c r="N1440" s="7">
        <v>1233000</v>
      </c>
      <c r="O1440" s="7">
        <v>336798</v>
      </c>
      <c r="P1440" s="7">
        <v>0</v>
      </c>
      <c r="Q1440" s="7" t="str">
        <f t="shared" si="497"/>
        <v>都市整備部</v>
      </c>
      <c r="R1440" s="7" t="str">
        <f t="shared" si="491"/>
        <v>住宅建築局住宅経営室</v>
      </c>
    </row>
    <row r="1441" spans="1:18" s="1" customFormat="1" x14ac:dyDescent="0.45">
      <c r="A1441" s="7" t="str">
        <f t="shared" si="492"/>
        <v>09940003012</v>
      </c>
      <c r="B1441" s="7" t="str">
        <f t="shared" si="493"/>
        <v>貝塚橋本第２</v>
      </c>
      <c r="C1441" s="7" t="str">
        <f t="shared" si="494"/>
        <v>行政財産</v>
      </c>
      <c r="D1441" s="7" t="str">
        <f t="shared" si="495"/>
        <v>公営住宅</v>
      </c>
      <c r="E1441" s="7" t="str">
        <f t="shared" si="496"/>
        <v>大阪府貝塚市橋本</v>
      </c>
      <c r="F1441" s="7"/>
      <c r="G1441" s="7" t="str">
        <f t="shared" si="489"/>
        <v>事業用資産</v>
      </c>
      <c r="H1441" s="7" t="str">
        <f t="shared" si="480"/>
        <v>棚卸以外</v>
      </c>
      <c r="I1441" s="7">
        <v>8</v>
      </c>
      <c r="J1441" s="7" t="str">
        <f>"ごみ置場"</f>
        <v>ごみ置場</v>
      </c>
      <c r="K1441" s="7" t="str">
        <f t="shared" si="490"/>
        <v>鉄筋コンクリート造</v>
      </c>
      <c r="L1441" s="7" t="str">
        <f>"H22.05.31"</f>
        <v>H22.05.31</v>
      </c>
      <c r="M1441" s="7">
        <v>25.55</v>
      </c>
      <c r="N1441" s="7">
        <v>1228000</v>
      </c>
      <c r="O1441" s="7">
        <v>335412</v>
      </c>
      <c r="P1441" s="7">
        <v>0</v>
      </c>
      <c r="Q1441" s="7" t="str">
        <f t="shared" si="497"/>
        <v>都市整備部</v>
      </c>
      <c r="R1441" s="7" t="str">
        <f t="shared" si="491"/>
        <v>住宅建築局住宅経営室</v>
      </c>
    </row>
    <row r="1442" spans="1:18" s="1" customFormat="1" x14ac:dyDescent="0.45">
      <c r="A1442" s="7" t="str">
        <f t="shared" si="492"/>
        <v>09940003012</v>
      </c>
      <c r="B1442" s="7" t="str">
        <f t="shared" si="493"/>
        <v>貝塚橋本第２</v>
      </c>
      <c r="C1442" s="7" t="str">
        <f t="shared" si="494"/>
        <v>行政財産</v>
      </c>
      <c r="D1442" s="7" t="str">
        <f t="shared" si="495"/>
        <v>公営住宅</v>
      </c>
      <c r="E1442" s="7" t="str">
        <f t="shared" si="496"/>
        <v>大阪府貝塚市橋本</v>
      </c>
      <c r="F1442" s="7"/>
      <c r="G1442" s="7" t="str">
        <f t="shared" si="489"/>
        <v>事業用資産</v>
      </c>
      <c r="H1442" s="7" t="str">
        <f t="shared" si="480"/>
        <v>棚卸以外</v>
      </c>
      <c r="I1442" s="7">
        <v>9</v>
      </c>
      <c r="J1442" s="7" t="str">
        <f>"５号棟"</f>
        <v>５号棟</v>
      </c>
      <c r="K1442" s="7" t="str">
        <f t="shared" si="490"/>
        <v>鉄筋コンクリート造</v>
      </c>
      <c r="L1442" s="7" t="str">
        <f>"H24.10.01"</f>
        <v>H24.10.01</v>
      </c>
      <c r="M1442" s="7">
        <v>4578.33</v>
      </c>
      <c r="N1442" s="7">
        <v>685391582</v>
      </c>
      <c r="O1442" s="7">
        <v>151904250</v>
      </c>
      <c r="P1442" s="7">
        <v>0</v>
      </c>
      <c r="Q1442" s="7" t="str">
        <f t="shared" si="497"/>
        <v>都市整備部</v>
      </c>
      <c r="R1442" s="7" t="str">
        <f t="shared" si="491"/>
        <v>住宅建築局住宅経営室</v>
      </c>
    </row>
    <row r="1443" spans="1:18" s="1" customFormat="1" x14ac:dyDescent="0.45">
      <c r="A1443" s="7" t="str">
        <f t="shared" si="492"/>
        <v>09940003012</v>
      </c>
      <c r="B1443" s="7" t="str">
        <f t="shared" si="493"/>
        <v>貝塚橋本第２</v>
      </c>
      <c r="C1443" s="7" t="str">
        <f t="shared" si="494"/>
        <v>行政財産</v>
      </c>
      <c r="D1443" s="7" t="str">
        <f t="shared" si="495"/>
        <v>公営住宅</v>
      </c>
      <c r="E1443" s="7" t="str">
        <f t="shared" si="496"/>
        <v>大阪府貝塚市橋本</v>
      </c>
      <c r="F1443" s="7"/>
      <c r="G1443" s="7" t="str">
        <f t="shared" si="489"/>
        <v>事業用資産</v>
      </c>
      <c r="H1443" s="7" t="str">
        <f t="shared" si="480"/>
        <v>棚卸以外</v>
      </c>
      <c r="I1443" s="7">
        <v>10</v>
      </c>
      <c r="J1443" s="7" t="str">
        <f>"受水槽ポンプ室・電気室"</f>
        <v>受水槽ポンプ室・電気室</v>
      </c>
      <c r="K1443" s="7" t="str">
        <f t="shared" si="490"/>
        <v>鉄筋コンクリート造</v>
      </c>
      <c r="L1443" s="7" t="str">
        <f>"H24.10.01"</f>
        <v>H24.10.01</v>
      </c>
      <c r="M1443" s="7">
        <v>80.599999999999994</v>
      </c>
      <c r="N1443" s="7">
        <v>15643935</v>
      </c>
      <c r="O1443" s="7">
        <v>3467250</v>
      </c>
      <c r="P1443" s="7">
        <v>0</v>
      </c>
      <c r="Q1443" s="7" t="str">
        <f t="shared" si="497"/>
        <v>都市整備部</v>
      </c>
      <c r="R1443" s="7" t="str">
        <f t="shared" si="491"/>
        <v>住宅建築局住宅経営室</v>
      </c>
    </row>
    <row r="1444" spans="1:18" s="1" customFormat="1" x14ac:dyDescent="0.45">
      <c r="A1444" s="7" t="str">
        <f t="shared" si="492"/>
        <v>09940003012</v>
      </c>
      <c r="B1444" s="7" t="str">
        <f t="shared" si="493"/>
        <v>貝塚橋本第２</v>
      </c>
      <c r="C1444" s="7" t="str">
        <f t="shared" si="494"/>
        <v>行政財産</v>
      </c>
      <c r="D1444" s="7" t="str">
        <f t="shared" si="495"/>
        <v>公営住宅</v>
      </c>
      <c r="E1444" s="7" t="str">
        <f t="shared" si="496"/>
        <v>大阪府貝塚市橋本</v>
      </c>
      <c r="F1444" s="7"/>
      <c r="G1444" s="7" t="str">
        <f t="shared" si="489"/>
        <v>事業用資産</v>
      </c>
      <c r="H1444" s="7" t="str">
        <f t="shared" si="480"/>
        <v>棚卸以外</v>
      </c>
      <c r="I1444" s="7">
        <v>11</v>
      </c>
      <c r="J1444" s="7" t="str">
        <f>"ゴミ置場"</f>
        <v>ゴミ置場</v>
      </c>
      <c r="K1444" s="7" t="str">
        <f t="shared" si="490"/>
        <v>鉄筋コンクリート造</v>
      </c>
      <c r="L1444" s="7" t="str">
        <f>"H24.10.01"</f>
        <v>H24.10.01</v>
      </c>
      <c r="M1444" s="7">
        <v>23.2</v>
      </c>
      <c r="N1444" s="7">
        <v>9093483</v>
      </c>
      <c r="O1444" s="7">
        <v>2015500</v>
      </c>
      <c r="P1444" s="7">
        <v>0</v>
      </c>
      <c r="Q1444" s="7" t="str">
        <f t="shared" si="497"/>
        <v>都市整備部</v>
      </c>
      <c r="R1444" s="7" t="str">
        <f t="shared" si="491"/>
        <v>住宅建築局住宅経営室</v>
      </c>
    </row>
    <row r="1445" spans="1:18" s="1" customFormat="1" x14ac:dyDescent="0.45">
      <c r="A1445" s="7" t="str">
        <f t="shared" si="492"/>
        <v>09940003012</v>
      </c>
      <c r="B1445" s="7" t="str">
        <f t="shared" si="493"/>
        <v>貝塚橋本第２</v>
      </c>
      <c r="C1445" s="7" t="str">
        <f t="shared" si="494"/>
        <v>行政財産</v>
      </c>
      <c r="D1445" s="7" t="str">
        <f t="shared" si="495"/>
        <v>公営住宅</v>
      </c>
      <c r="E1445" s="7" t="str">
        <f t="shared" si="496"/>
        <v>大阪府貝塚市橋本</v>
      </c>
      <c r="F1445" s="7"/>
      <c r="G1445" s="7" t="str">
        <f t="shared" si="489"/>
        <v>事業用資産</v>
      </c>
      <c r="H1445" s="7" t="str">
        <f t="shared" si="480"/>
        <v>棚卸以外</v>
      </c>
      <c r="I1445" s="7">
        <v>12</v>
      </c>
      <c r="J1445" s="7" t="str">
        <f>"集会所"</f>
        <v>集会所</v>
      </c>
      <c r="K1445" s="7" t="str">
        <f>"区分なし"</f>
        <v>区分なし</v>
      </c>
      <c r="L1445" s="7" t="str">
        <f>"H24.12.26"</f>
        <v>H24.12.26</v>
      </c>
      <c r="M1445" s="7">
        <v>198.54</v>
      </c>
      <c r="N1445" s="7">
        <v>54792985</v>
      </c>
      <c r="O1445" s="7">
        <v>11949573</v>
      </c>
      <c r="P1445" s="7">
        <v>0</v>
      </c>
      <c r="Q1445" s="7" t="str">
        <f t="shared" si="497"/>
        <v>都市整備部</v>
      </c>
      <c r="R1445" s="7" t="str">
        <f t="shared" si="491"/>
        <v>住宅建築局住宅経営室</v>
      </c>
    </row>
    <row r="1446" spans="1:18" s="1" customFormat="1" x14ac:dyDescent="0.45">
      <c r="A1446" s="7" t="str">
        <f t="shared" si="492"/>
        <v>09940003012</v>
      </c>
      <c r="B1446" s="7" t="str">
        <f t="shared" si="493"/>
        <v>貝塚橋本第２</v>
      </c>
      <c r="C1446" s="7" t="str">
        <f t="shared" si="494"/>
        <v>行政財産</v>
      </c>
      <c r="D1446" s="7" t="str">
        <f t="shared" si="495"/>
        <v>公営住宅</v>
      </c>
      <c r="E1446" s="7" t="str">
        <f t="shared" si="496"/>
        <v>大阪府貝塚市橋本</v>
      </c>
      <c r="F1446" s="7"/>
      <c r="G1446" s="7" t="str">
        <f t="shared" si="489"/>
        <v>事業用資産</v>
      </c>
      <c r="H1446" s="7" t="str">
        <f t="shared" si="480"/>
        <v>棚卸以外</v>
      </c>
      <c r="I1446" s="7">
        <v>13</v>
      </c>
      <c r="J1446" s="7" t="str">
        <f>"６号棟"</f>
        <v>６号棟</v>
      </c>
      <c r="K1446" s="7" t="str">
        <f t="shared" ref="K1446:K1489" si="498">"鉄筋コンクリート造"</f>
        <v>鉄筋コンクリート造</v>
      </c>
      <c r="L1446" s="7" t="str">
        <f>"H27.12.01"</f>
        <v>H27.12.01</v>
      </c>
      <c r="M1446" s="7">
        <v>10750.75</v>
      </c>
      <c r="N1446" s="7">
        <v>1936716852</v>
      </c>
      <c r="O1446" s="7">
        <v>298748952</v>
      </c>
      <c r="P1446" s="7">
        <v>0</v>
      </c>
      <c r="Q1446" s="7" t="str">
        <f t="shared" si="497"/>
        <v>都市整備部</v>
      </c>
      <c r="R1446" s="7" t="str">
        <f t="shared" si="491"/>
        <v>住宅建築局住宅経営室</v>
      </c>
    </row>
    <row r="1447" spans="1:18" s="1" customFormat="1" x14ac:dyDescent="0.45">
      <c r="A1447" s="7" t="str">
        <f t="shared" si="492"/>
        <v>09940003012</v>
      </c>
      <c r="B1447" s="7" t="str">
        <f t="shared" si="493"/>
        <v>貝塚橋本第２</v>
      </c>
      <c r="C1447" s="7" t="str">
        <f t="shared" si="494"/>
        <v>行政財産</v>
      </c>
      <c r="D1447" s="7" t="str">
        <f t="shared" si="495"/>
        <v>公営住宅</v>
      </c>
      <c r="E1447" s="7" t="str">
        <f t="shared" si="496"/>
        <v>大阪府貝塚市橋本</v>
      </c>
      <c r="F1447" s="7"/>
      <c r="G1447" s="7" t="str">
        <f t="shared" si="489"/>
        <v>事業用資産</v>
      </c>
      <c r="H1447" s="7" t="str">
        <f t="shared" si="480"/>
        <v>棚卸以外</v>
      </c>
      <c r="I1447" s="7">
        <v>14</v>
      </c>
      <c r="J1447" s="7" t="str">
        <f>"受水槽（電気室と同一棟）"</f>
        <v>受水槽（電気室と同一棟）</v>
      </c>
      <c r="K1447" s="7" t="str">
        <f t="shared" si="498"/>
        <v>鉄筋コンクリート造</v>
      </c>
      <c r="L1447" s="7" t="str">
        <f>"H27.12.01"</f>
        <v>H27.12.01</v>
      </c>
      <c r="M1447" s="7">
        <v>88</v>
      </c>
      <c r="N1447" s="7">
        <v>30912726</v>
      </c>
      <c r="O1447" s="7">
        <v>4768470</v>
      </c>
      <c r="P1447" s="7">
        <v>0</v>
      </c>
      <c r="Q1447" s="7" t="str">
        <f t="shared" si="497"/>
        <v>都市整備部</v>
      </c>
      <c r="R1447" s="7" t="str">
        <f t="shared" si="491"/>
        <v>住宅建築局住宅経営室</v>
      </c>
    </row>
    <row r="1448" spans="1:18" s="1" customFormat="1" x14ac:dyDescent="0.45">
      <c r="A1448" s="7" t="str">
        <f>"09940003013"</f>
        <v>09940003013</v>
      </c>
      <c r="B1448" s="7" t="str">
        <f>"河内長野楠"</f>
        <v>河内長野楠</v>
      </c>
      <c r="C1448" s="7" t="str">
        <f t="shared" si="494"/>
        <v>行政財産</v>
      </c>
      <c r="D1448" s="7" t="str">
        <f t="shared" si="495"/>
        <v>公営住宅</v>
      </c>
      <c r="E1448" s="7" t="str">
        <f>"大阪府河内長野市楠町東"</f>
        <v>大阪府河内長野市楠町東</v>
      </c>
      <c r="F1448" s="7"/>
      <c r="G1448" s="7" t="str">
        <f t="shared" si="489"/>
        <v>事業用資産</v>
      </c>
      <c r="H1448" s="7" t="str">
        <f t="shared" si="480"/>
        <v>棚卸以外</v>
      </c>
      <c r="I1448" s="7">
        <v>1</v>
      </c>
      <c r="J1448" s="7" t="str">
        <f>"１号棟"</f>
        <v>１号棟</v>
      </c>
      <c r="K1448" s="7" t="str">
        <f t="shared" si="498"/>
        <v>鉄筋コンクリート造</v>
      </c>
      <c r="L1448" s="7" t="str">
        <f>"H08.03.15"</f>
        <v>H08.03.15</v>
      </c>
      <c r="M1448" s="7">
        <v>4728.45</v>
      </c>
      <c r="N1448" s="7">
        <v>11017934816</v>
      </c>
      <c r="O1448" s="7">
        <v>6326407992</v>
      </c>
      <c r="P1448" s="7">
        <v>0</v>
      </c>
      <c r="Q1448" s="7" t="str">
        <f t="shared" si="497"/>
        <v>都市整備部</v>
      </c>
      <c r="R1448" s="7" t="str">
        <f t="shared" si="491"/>
        <v>住宅建築局住宅経営室</v>
      </c>
    </row>
    <row r="1449" spans="1:18" s="1" customFormat="1" x14ac:dyDescent="0.45">
      <c r="A1449" s="7" t="str">
        <f>"09940003013"</f>
        <v>09940003013</v>
      </c>
      <c r="B1449" s="7" t="str">
        <f>"河内長野楠"</f>
        <v>河内長野楠</v>
      </c>
      <c r="C1449" s="7" t="str">
        <f t="shared" si="494"/>
        <v>行政財産</v>
      </c>
      <c r="D1449" s="7" t="str">
        <f t="shared" si="495"/>
        <v>公営住宅</v>
      </c>
      <c r="E1449" s="7" t="str">
        <f>"大阪府河内長野市楠町東"</f>
        <v>大阪府河内長野市楠町東</v>
      </c>
      <c r="F1449" s="7"/>
      <c r="G1449" s="7" t="str">
        <f t="shared" si="489"/>
        <v>事業用資産</v>
      </c>
      <c r="H1449" s="7" t="str">
        <f t="shared" si="480"/>
        <v>棚卸以外</v>
      </c>
      <c r="I1449" s="7">
        <v>2</v>
      </c>
      <c r="J1449" s="7" t="str">
        <f>"２号棟"</f>
        <v>２号棟</v>
      </c>
      <c r="K1449" s="7" t="str">
        <f t="shared" si="498"/>
        <v>鉄筋コンクリート造</v>
      </c>
      <c r="L1449" s="7" t="str">
        <f>"H08.03.15"</f>
        <v>H08.03.15</v>
      </c>
      <c r="M1449" s="7">
        <v>2909.35</v>
      </c>
      <c r="N1449" s="7">
        <v>659492816</v>
      </c>
      <c r="O1449" s="7">
        <v>375813624</v>
      </c>
      <c r="P1449" s="7">
        <v>0</v>
      </c>
      <c r="Q1449" s="7" t="str">
        <f t="shared" si="497"/>
        <v>都市整備部</v>
      </c>
      <c r="R1449" s="7" t="str">
        <f t="shared" si="491"/>
        <v>住宅建築局住宅経営室</v>
      </c>
    </row>
    <row r="1450" spans="1:18" s="1" customFormat="1" x14ac:dyDescent="0.45">
      <c r="A1450" s="7" t="str">
        <f>"09940003013"</f>
        <v>09940003013</v>
      </c>
      <c r="B1450" s="7" t="str">
        <f>"河内長野楠"</f>
        <v>河内長野楠</v>
      </c>
      <c r="C1450" s="7" t="str">
        <f t="shared" si="494"/>
        <v>行政財産</v>
      </c>
      <c r="D1450" s="7" t="str">
        <f t="shared" si="495"/>
        <v>公営住宅</v>
      </c>
      <c r="E1450" s="7" t="str">
        <f>"大阪府河内長野市楠町東"</f>
        <v>大阪府河内長野市楠町東</v>
      </c>
      <c r="F1450" s="7"/>
      <c r="G1450" s="7" t="str">
        <f t="shared" si="489"/>
        <v>事業用資産</v>
      </c>
      <c r="H1450" s="7" t="str">
        <f t="shared" si="480"/>
        <v>棚卸以外</v>
      </c>
      <c r="I1450" s="7">
        <v>3</v>
      </c>
      <c r="J1450" s="7" t="str">
        <f>"集会所"</f>
        <v>集会所</v>
      </c>
      <c r="K1450" s="7" t="str">
        <f t="shared" si="498"/>
        <v>鉄筋コンクリート造</v>
      </c>
      <c r="L1450" s="7" t="str">
        <f>"H08.03.15"</f>
        <v>H08.03.15</v>
      </c>
      <c r="M1450" s="7">
        <v>69.86</v>
      </c>
      <c r="N1450" s="7">
        <v>24738000</v>
      </c>
      <c r="O1450" s="7">
        <v>14211288</v>
      </c>
      <c r="P1450" s="7">
        <v>0</v>
      </c>
      <c r="Q1450" s="7" t="str">
        <f t="shared" si="497"/>
        <v>都市整備部</v>
      </c>
      <c r="R1450" s="7" t="str">
        <f t="shared" si="491"/>
        <v>住宅建築局住宅経営室</v>
      </c>
    </row>
    <row r="1451" spans="1:18" s="1" customFormat="1" x14ac:dyDescent="0.45">
      <c r="A1451" s="7" t="str">
        <f t="shared" ref="A1451:A1465" si="499">"09940003019"</f>
        <v>09940003019</v>
      </c>
      <c r="B1451" s="7" t="str">
        <f t="shared" ref="B1451:B1465" si="500">"若松台第１"</f>
        <v>若松台第１</v>
      </c>
      <c r="C1451" s="7" t="str">
        <f t="shared" si="494"/>
        <v>行政財産</v>
      </c>
      <c r="D1451" s="7" t="str">
        <f t="shared" si="495"/>
        <v>公営住宅</v>
      </c>
      <c r="E1451" s="7" t="str">
        <f t="shared" ref="E1451:E1465" si="501">"大阪府堺市　南区若松台１丁"</f>
        <v>大阪府堺市　南区若松台１丁</v>
      </c>
      <c r="F1451" s="7"/>
      <c r="G1451" s="7" t="str">
        <f t="shared" si="489"/>
        <v>事業用資産</v>
      </c>
      <c r="H1451" s="7" t="str">
        <f t="shared" si="480"/>
        <v>棚卸以外</v>
      </c>
      <c r="I1451" s="7">
        <v>1</v>
      </c>
      <c r="J1451" s="7" t="str">
        <f>"１～４・６～１２・他４棟"</f>
        <v>１～４・６～１２・他４棟</v>
      </c>
      <c r="K1451" s="7" t="str">
        <f t="shared" si="498"/>
        <v>鉄筋コンクリート造</v>
      </c>
      <c r="L1451" s="7" t="str">
        <f>"S45.06.30"</f>
        <v>S45.06.30</v>
      </c>
      <c r="M1451" s="7">
        <v>16724.04</v>
      </c>
      <c r="N1451" s="7">
        <v>977255174</v>
      </c>
      <c r="O1451" s="7">
        <v>960609920</v>
      </c>
      <c r="P1451" s="7">
        <v>0</v>
      </c>
      <c r="Q1451" s="7" t="str">
        <f t="shared" si="497"/>
        <v>都市整備部</v>
      </c>
      <c r="R1451" s="7" t="str">
        <f t="shared" si="491"/>
        <v>住宅建築局住宅経営室</v>
      </c>
    </row>
    <row r="1452" spans="1:18" s="1" customFormat="1" x14ac:dyDescent="0.45">
      <c r="A1452" s="7" t="str">
        <f t="shared" si="499"/>
        <v>09940003019</v>
      </c>
      <c r="B1452" s="7" t="str">
        <f t="shared" si="500"/>
        <v>若松台第１</v>
      </c>
      <c r="C1452" s="7" t="str">
        <f t="shared" si="494"/>
        <v>行政財産</v>
      </c>
      <c r="D1452" s="7" t="str">
        <f t="shared" si="495"/>
        <v>公営住宅</v>
      </c>
      <c r="E1452" s="7" t="str">
        <f t="shared" si="501"/>
        <v>大阪府堺市　南区若松台１丁</v>
      </c>
      <c r="F1452" s="7"/>
      <c r="G1452" s="7" t="str">
        <f t="shared" si="489"/>
        <v>事業用資産</v>
      </c>
      <c r="H1452" s="7" t="str">
        <f t="shared" si="480"/>
        <v>棚卸以外</v>
      </c>
      <c r="I1452" s="7">
        <v>2</v>
      </c>
      <c r="J1452" s="7" t="str">
        <f>"２１～２６号棟"</f>
        <v>２１～２６号棟</v>
      </c>
      <c r="K1452" s="7" t="str">
        <f t="shared" si="498"/>
        <v>鉄筋コンクリート造</v>
      </c>
      <c r="L1452" s="7" t="str">
        <f>"S45.04.01"</f>
        <v>S45.04.01</v>
      </c>
      <c r="M1452" s="7">
        <v>9438.4699999999993</v>
      </c>
      <c r="N1452" s="7">
        <v>263673696</v>
      </c>
      <c r="O1452" s="7">
        <v>263673695</v>
      </c>
      <c r="P1452" s="7">
        <v>0</v>
      </c>
      <c r="Q1452" s="7" t="str">
        <f t="shared" si="497"/>
        <v>都市整備部</v>
      </c>
      <c r="R1452" s="7" t="str">
        <f t="shared" si="491"/>
        <v>住宅建築局住宅経営室</v>
      </c>
    </row>
    <row r="1453" spans="1:18" s="1" customFormat="1" x14ac:dyDescent="0.45">
      <c r="A1453" s="7" t="str">
        <f t="shared" si="499"/>
        <v>09940003019</v>
      </c>
      <c r="B1453" s="7" t="str">
        <f t="shared" si="500"/>
        <v>若松台第１</v>
      </c>
      <c r="C1453" s="7" t="str">
        <f t="shared" si="494"/>
        <v>行政財産</v>
      </c>
      <c r="D1453" s="7" t="str">
        <f t="shared" si="495"/>
        <v>公営住宅</v>
      </c>
      <c r="E1453" s="7" t="str">
        <f t="shared" si="501"/>
        <v>大阪府堺市　南区若松台１丁</v>
      </c>
      <c r="F1453" s="7"/>
      <c r="G1453" s="7" t="str">
        <f t="shared" si="489"/>
        <v>事業用資産</v>
      </c>
      <c r="H1453" s="7" t="str">
        <f t="shared" si="480"/>
        <v>棚卸以外</v>
      </c>
      <c r="I1453" s="7">
        <v>3</v>
      </c>
      <c r="J1453" s="7" t="str">
        <f>"集会所"</f>
        <v>集会所</v>
      </c>
      <c r="K1453" s="7" t="str">
        <f t="shared" si="498"/>
        <v>鉄筋コンクリート造</v>
      </c>
      <c r="L1453" s="7" t="str">
        <f>"S45.06.30"</f>
        <v>S45.06.30</v>
      </c>
      <c r="M1453" s="7">
        <v>133.54</v>
      </c>
      <c r="N1453" s="7">
        <v>3255599</v>
      </c>
      <c r="O1453" s="7">
        <v>3255598</v>
      </c>
      <c r="P1453" s="7">
        <v>0</v>
      </c>
      <c r="Q1453" s="7" t="str">
        <f t="shared" si="497"/>
        <v>都市整備部</v>
      </c>
      <c r="R1453" s="7" t="str">
        <f t="shared" si="491"/>
        <v>住宅建築局住宅経営室</v>
      </c>
    </row>
    <row r="1454" spans="1:18" s="1" customFormat="1" x14ac:dyDescent="0.45">
      <c r="A1454" s="7" t="str">
        <f t="shared" si="499"/>
        <v>09940003019</v>
      </c>
      <c r="B1454" s="7" t="str">
        <f t="shared" si="500"/>
        <v>若松台第１</v>
      </c>
      <c r="C1454" s="7" t="str">
        <f t="shared" si="494"/>
        <v>行政財産</v>
      </c>
      <c r="D1454" s="7" t="str">
        <f t="shared" si="495"/>
        <v>公営住宅</v>
      </c>
      <c r="E1454" s="7" t="str">
        <f t="shared" si="501"/>
        <v>大阪府堺市　南区若松台１丁</v>
      </c>
      <c r="F1454" s="7"/>
      <c r="G1454" s="7" t="str">
        <f t="shared" si="489"/>
        <v>事業用資産</v>
      </c>
      <c r="H1454" s="7" t="str">
        <f t="shared" si="480"/>
        <v>棚卸以外</v>
      </c>
      <c r="I1454" s="7">
        <v>4</v>
      </c>
      <c r="J1454" s="7" t="str">
        <f>"９号棟"</f>
        <v>９号棟</v>
      </c>
      <c r="K1454" s="7" t="str">
        <f t="shared" si="498"/>
        <v>鉄筋コンクリート造</v>
      </c>
      <c r="L1454" s="7" t="str">
        <f t="shared" ref="L1454:L1462" si="502">"S53.03.27"</f>
        <v>S53.03.27</v>
      </c>
      <c r="M1454" s="7">
        <v>1759.78</v>
      </c>
      <c r="N1454" s="7">
        <v>193659000</v>
      </c>
      <c r="O1454" s="7">
        <v>173737604</v>
      </c>
      <c r="P1454" s="7">
        <v>0</v>
      </c>
      <c r="Q1454" s="7" t="str">
        <f t="shared" si="497"/>
        <v>都市整備部</v>
      </c>
      <c r="R1454" s="7" t="str">
        <f t="shared" si="491"/>
        <v>住宅建築局住宅経営室</v>
      </c>
    </row>
    <row r="1455" spans="1:18" s="1" customFormat="1" x14ac:dyDescent="0.45">
      <c r="A1455" s="7" t="str">
        <f t="shared" si="499"/>
        <v>09940003019</v>
      </c>
      <c r="B1455" s="7" t="str">
        <f t="shared" si="500"/>
        <v>若松台第１</v>
      </c>
      <c r="C1455" s="7" t="str">
        <f t="shared" si="494"/>
        <v>行政財産</v>
      </c>
      <c r="D1455" s="7" t="str">
        <f t="shared" si="495"/>
        <v>公営住宅</v>
      </c>
      <c r="E1455" s="7" t="str">
        <f t="shared" si="501"/>
        <v>大阪府堺市　南区若松台１丁</v>
      </c>
      <c r="F1455" s="7"/>
      <c r="G1455" s="7" t="str">
        <f t="shared" si="489"/>
        <v>事業用資産</v>
      </c>
      <c r="H1455" s="7" t="str">
        <f t="shared" si="480"/>
        <v>棚卸以外</v>
      </c>
      <c r="I1455" s="7">
        <v>5</v>
      </c>
      <c r="J1455" s="7" t="str">
        <f>"１０号棟"</f>
        <v>１０号棟</v>
      </c>
      <c r="K1455" s="7" t="str">
        <f t="shared" si="498"/>
        <v>鉄筋コンクリート造</v>
      </c>
      <c r="L1455" s="7" t="str">
        <f t="shared" si="502"/>
        <v>S53.03.27</v>
      </c>
      <c r="M1455" s="7">
        <v>2260.5100000000002</v>
      </c>
      <c r="N1455" s="7">
        <v>198064000</v>
      </c>
      <c r="O1455" s="7">
        <v>189636120</v>
      </c>
      <c r="P1455" s="7">
        <v>0</v>
      </c>
      <c r="Q1455" s="7" t="str">
        <f t="shared" si="497"/>
        <v>都市整備部</v>
      </c>
      <c r="R1455" s="7" t="str">
        <f t="shared" si="491"/>
        <v>住宅建築局住宅経営室</v>
      </c>
    </row>
    <row r="1456" spans="1:18" s="1" customFormat="1" x14ac:dyDescent="0.45">
      <c r="A1456" s="7" t="str">
        <f t="shared" si="499"/>
        <v>09940003019</v>
      </c>
      <c r="B1456" s="7" t="str">
        <f t="shared" si="500"/>
        <v>若松台第１</v>
      </c>
      <c r="C1456" s="7" t="str">
        <f t="shared" si="494"/>
        <v>行政財産</v>
      </c>
      <c r="D1456" s="7" t="str">
        <f t="shared" si="495"/>
        <v>公営住宅</v>
      </c>
      <c r="E1456" s="7" t="str">
        <f t="shared" si="501"/>
        <v>大阪府堺市　南区若松台１丁</v>
      </c>
      <c r="F1456" s="7"/>
      <c r="G1456" s="7" t="str">
        <f t="shared" si="489"/>
        <v>事業用資産</v>
      </c>
      <c r="H1456" s="7" t="str">
        <f t="shared" si="480"/>
        <v>棚卸以外</v>
      </c>
      <c r="I1456" s="7">
        <v>6</v>
      </c>
      <c r="J1456" s="7" t="str">
        <f>"１１号棟"</f>
        <v>１１号棟</v>
      </c>
      <c r="K1456" s="7" t="str">
        <f t="shared" si="498"/>
        <v>鉄筋コンクリート造</v>
      </c>
      <c r="L1456" s="7" t="str">
        <f t="shared" si="502"/>
        <v>S53.03.27</v>
      </c>
      <c r="M1456" s="7">
        <v>2270.4</v>
      </c>
      <c r="N1456" s="7">
        <v>201611000</v>
      </c>
      <c r="O1456" s="7">
        <v>193032180</v>
      </c>
      <c r="P1456" s="7">
        <v>0</v>
      </c>
      <c r="Q1456" s="7" t="str">
        <f t="shared" si="497"/>
        <v>都市整備部</v>
      </c>
      <c r="R1456" s="7" t="str">
        <f t="shared" si="491"/>
        <v>住宅建築局住宅経営室</v>
      </c>
    </row>
    <row r="1457" spans="1:18" s="1" customFormat="1" x14ac:dyDescent="0.45">
      <c r="A1457" s="7" t="str">
        <f t="shared" si="499"/>
        <v>09940003019</v>
      </c>
      <c r="B1457" s="7" t="str">
        <f t="shared" si="500"/>
        <v>若松台第１</v>
      </c>
      <c r="C1457" s="7" t="str">
        <f t="shared" si="494"/>
        <v>行政財産</v>
      </c>
      <c r="D1457" s="7" t="str">
        <f t="shared" si="495"/>
        <v>公営住宅</v>
      </c>
      <c r="E1457" s="7" t="str">
        <f t="shared" si="501"/>
        <v>大阪府堺市　南区若松台１丁</v>
      </c>
      <c r="F1457" s="7"/>
      <c r="G1457" s="7" t="str">
        <f t="shared" si="489"/>
        <v>事業用資産</v>
      </c>
      <c r="H1457" s="7" t="str">
        <f t="shared" si="480"/>
        <v>棚卸以外</v>
      </c>
      <c r="I1457" s="7">
        <v>7</v>
      </c>
      <c r="J1457" s="7" t="str">
        <f>"１２号棟"</f>
        <v>１２号棟</v>
      </c>
      <c r="K1457" s="7" t="str">
        <f t="shared" si="498"/>
        <v>鉄筋コンクリート造</v>
      </c>
      <c r="L1457" s="7" t="str">
        <f t="shared" si="502"/>
        <v>S53.03.27</v>
      </c>
      <c r="M1457" s="7">
        <v>1175.52</v>
      </c>
      <c r="N1457" s="7">
        <v>103939000</v>
      </c>
      <c r="O1457" s="7">
        <v>103938999</v>
      </c>
      <c r="P1457" s="7">
        <v>0</v>
      </c>
      <c r="Q1457" s="7" t="str">
        <f t="shared" si="497"/>
        <v>都市整備部</v>
      </c>
      <c r="R1457" s="7" t="str">
        <f t="shared" si="491"/>
        <v>住宅建築局住宅経営室</v>
      </c>
    </row>
    <row r="1458" spans="1:18" s="1" customFormat="1" x14ac:dyDescent="0.45">
      <c r="A1458" s="7" t="str">
        <f t="shared" si="499"/>
        <v>09940003019</v>
      </c>
      <c r="B1458" s="7" t="str">
        <f t="shared" si="500"/>
        <v>若松台第１</v>
      </c>
      <c r="C1458" s="7" t="str">
        <f t="shared" si="494"/>
        <v>行政財産</v>
      </c>
      <c r="D1458" s="7" t="str">
        <f t="shared" si="495"/>
        <v>公営住宅</v>
      </c>
      <c r="E1458" s="7" t="str">
        <f t="shared" si="501"/>
        <v>大阪府堺市　南区若松台１丁</v>
      </c>
      <c r="F1458" s="7"/>
      <c r="G1458" s="7" t="str">
        <f t="shared" si="489"/>
        <v>事業用資産</v>
      </c>
      <c r="H1458" s="7" t="str">
        <f t="shared" si="480"/>
        <v>棚卸以外</v>
      </c>
      <c r="I1458" s="7">
        <v>8</v>
      </c>
      <c r="J1458" s="7" t="str">
        <f>"１４号棟"</f>
        <v>１４号棟</v>
      </c>
      <c r="K1458" s="7" t="str">
        <f t="shared" si="498"/>
        <v>鉄筋コンクリート造</v>
      </c>
      <c r="L1458" s="7" t="str">
        <f t="shared" si="502"/>
        <v>S53.03.27</v>
      </c>
      <c r="M1458" s="7">
        <v>1158.3</v>
      </c>
      <c r="N1458" s="7">
        <v>134152630</v>
      </c>
      <c r="O1458" s="7">
        <v>119803971</v>
      </c>
      <c r="P1458" s="7">
        <v>0</v>
      </c>
      <c r="Q1458" s="7" t="str">
        <f t="shared" si="497"/>
        <v>都市整備部</v>
      </c>
      <c r="R1458" s="7" t="str">
        <f t="shared" si="491"/>
        <v>住宅建築局住宅経営室</v>
      </c>
    </row>
    <row r="1459" spans="1:18" s="1" customFormat="1" x14ac:dyDescent="0.45">
      <c r="A1459" s="7" t="str">
        <f t="shared" si="499"/>
        <v>09940003019</v>
      </c>
      <c r="B1459" s="7" t="str">
        <f t="shared" si="500"/>
        <v>若松台第１</v>
      </c>
      <c r="C1459" s="7" t="str">
        <f t="shared" si="494"/>
        <v>行政財産</v>
      </c>
      <c r="D1459" s="7" t="str">
        <f t="shared" si="495"/>
        <v>公営住宅</v>
      </c>
      <c r="E1459" s="7" t="str">
        <f t="shared" si="501"/>
        <v>大阪府堺市　南区若松台１丁</v>
      </c>
      <c r="F1459" s="7"/>
      <c r="G1459" s="7" t="str">
        <f t="shared" si="489"/>
        <v>事業用資産</v>
      </c>
      <c r="H1459" s="7" t="str">
        <f t="shared" si="480"/>
        <v>棚卸以外</v>
      </c>
      <c r="I1459" s="7">
        <v>9</v>
      </c>
      <c r="J1459" s="7" t="str">
        <f>"１６号棟"</f>
        <v>１６号棟</v>
      </c>
      <c r="K1459" s="7" t="str">
        <f t="shared" si="498"/>
        <v>鉄筋コンクリート造</v>
      </c>
      <c r="L1459" s="7" t="str">
        <f t="shared" si="502"/>
        <v>S53.03.27</v>
      </c>
      <c r="M1459" s="7">
        <v>1158.3</v>
      </c>
      <c r="N1459" s="7">
        <v>134152629</v>
      </c>
      <c r="O1459" s="7">
        <v>119803971</v>
      </c>
      <c r="P1459" s="7">
        <v>0</v>
      </c>
      <c r="Q1459" s="7" t="str">
        <f t="shared" si="497"/>
        <v>都市整備部</v>
      </c>
      <c r="R1459" s="7" t="str">
        <f t="shared" si="491"/>
        <v>住宅建築局住宅経営室</v>
      </c>
    </row>
    <row r="1460" spans="1:18" s="1" customFormat="1" x14ac:dyDescent="0.45">
      <c r="A1460" s="7" t="str">
        <f t="shared" si="499"/>
        <v>09940003019</v>
      </c>
      <c r="B1460" s="7" t="str">
        <f t="shared" si="500"/>
        <v>若松台第１</v>
      </c>
      <c r="C1460" s="7" t="str">
        <f t="shared" si="494"/>
        <v>行政財産</v>
      </c>
      <c r="D1460" s="7" t="str">
        <f t="shared" si="495"/>
        <v>公営住宅</v>
      </c>
      <c r="E1460" s="7" t="str">
        <f t="shared" si="501"/>
        <v>大阪府堺市　南区若松台１丁</v>
      </c>
      <c r="F1460" s="7"/>
      <c r="G1460" s="7" t="str">
        <f t="shared" si="489"/>
        <v>事業用資産</v>
      </c>
      <c r="H1460" s="7" t="str">
        <f t="shared" si="480"/>
        <v>棚卸以外</v>
      </c>
      <c r="I1460" s="7">
        <v>10</v>
      </c>
      <c r="J1460" s="7" t="str">
        <f>"１５号棟"</f>
        <v>１５号棟</v>
      </c>
      <c r="K1460" s="7" t="str">
        <f t="shared" si="498"/>
        <v>鉄筋コンクリート造</v>
      </c>
      <c r="L1460" s="7" t="str">
        <f t="shared" si="502"/>
        <v>S53.03.27</v>
      </c>
      <c r="M1460" s="7">
        <v>1672.51</v>
      </c>
      <c r="N1460" s="7">
        <v>140968000</v>
      </c>
      <c r="O1460" s="7">
        <v>134969760</v>
      </c>
      <c r="P1460" s="7">
        <v>0</v>
      </c>
      <c r="Q1460" s="7" t="str">
        <f t="shared" si="497"/>
        <v>都市整備部</v>
      </c>
      <c r="R1460" s="7" t="str">
        <f t="shared" si="491"/>
        <v>住宅建築局住宅経営室</v>
      </c>
    </row>
    <row r="1461" spans="1:18" s="1" customFormat="1" x14ac:dyDescent="0.45">
      <c r="A1461" s="7" t="str">
        <f t="shared" si="499"/>
        <v>09940003019</v>
      </c>
      <c r="B1461" s="7" t="str">
        <f t="shared" si="500"/>
        <v>若松台第１</v>
      </c>
      <c r="C1461" s="7" t="str">
        <f t="shared" si="494"/>
        <v>行政財産</v>
      </c>
      <c r="D1461" s="7" t="str">
        <f t="shared" si="495"/>
        <v>公営住宅</v>
      </c>
      <c r="E1461" s="7" t="str">
        <f t="shared" si="501"/>
        <v>大阪府堺市　南区若松台１丁</v>
      </c>
      <c r="F1461" s="7"/>
      <c r="G1461" s="7" t="str">
        <f t="shared" si="489"/>
        <v>事業用資産</v>
      </c>
      <c r="H1461" s="7" t="str">
        <f t="shared" si="480"/>
        <v>棚卸以外</v>
      </c>
      <c r="I1461" s="7">
        <v>11</v>
      </c>
      <c r="J1461" s="7" t="str">
        <f>"１７号棟"</f>
        <v>１７号棟</v>
      </c>
      <c r="K1461" s="7" t="str">
        <f t="shared" si="498"/>
        <v>鉄筋コンクリート造</v>
      </c>
      <c r="L1461" s="7" t="str">
        <f t="shared" si="502"/>
        <v>S53.03.27</v>
      </c>
      <c r="M1461" s="7">
        <v>1672.51</v>
      </c>
      <c r="N1461" s="7">
        <v>140968000</v>
      </c>
      <c r="O1461" s="7">
        <v>134969760</v>
      </c>
      <c r="P1461" s="7">
        <v>0</v>
      </c>
      <c r="Q1461" s="7" t="str">
        <f t="shared" si="497"/>
        <v>都市整備部</v>
      </c>
      <c r="R1461" s="7" t="str">
        <f t="shared" si="491"/>
        <v>住宅建築局住宅経営室</v>
      </c>
    </row>
    <row r="1462" spans="1:18" s="1" customFormat="1" x14ac:dyDescent="0.45">
      <c r="A1462" s="7" t="str">
        <f t="shared" si="499"/>
        <v>09940003019</v>
      </c>
      <c r="B1462" s="7" t="str">
        <f t="shared" si="500"/>
        <v>若松台第１</v>
      </c>
      <c r="C1462" s="7" t="str">
        <f t="shared" si="494"/>
        <v>行政財産</v>
      </c>
      <c r="D1462" s="7" t="str">
        <f t="shared" si="495"/>
        <v>公営住宅</v>
      </c>
      <c r="E1462" s="7" t="str">
        <f t="shared" si="501"/>
        <v>大阪府堺市　南区若松台１丁</v>
      </c>
      <c r="F1462" s="7"/>
      <c r="G1462" s="7" t="str">
        <f t="shared" si="489"/>
        <v>事業用資産</v>
      </c>
      <c r="H1462" s="7" t="str">
        <f t="shared" si="480"/>
        <v>棚卸以外</v>
      </c>
      <c r="I1462" s="7">
        <v>12</v>
      </c>
      <c r="J1462" s="7" t="str">
        <f>"集会所"</f>
        <v>集会所</v>
      </c>
      <c r="K1462" s="7" t="str">
        <f t="shared" si="498"/>
        <v>鉄筋コンクリート造</v>
      </c>
      <c r="L1462" s="7" t="str">
        <f t="shared" si="502"/>
        <v>S53.03.27</v>
      </c>
      <c r="M1462" s="7">
        <v>120</v>
      </c>
      <c r="N1462" s="7">
        <v>12433000</v>
      </c>
      <c r="O1462" s="7">
        <v>11904300</v>
      </c>
      <c r="P1462" s="7">
        <v>0</v>
      </c>
      <c r="Q1462" s="7" t="str">
        <f t="shared" si="497"/>
        <v>都市整備部</v>
      </c>
      <c r="R1462" s="7" t="str">
        <f t="shared" si="491"/>
        <v>住宅建築局住宅経営室</v>
      </c>
    </row>
    <row r="1463" spans="1:18" s="1" customFormat="1" x14ac:dyDescent="0.45">
      <c r="A1463" s="7" t="str">
        <f t="shared" si="499"/>
        <v>09940003019</v>
      </c>
      <c r="B1463" s="7" t="str">
        <f t="shared" si="500"/>
        <v>若松台第１</v>
      </c>
      <c r="C1463" s="7" t="str">
        <f t="shared" si="494"/>
        <v>行政財産</v>
      </c>
      <c r="D1463" s="7" t="str">
        <f t="shared" si="495"/>
        <v>公営住宅</v>
      </c>
      <c r="E1463" s="7" t="str">
        <f t="shared" si="501"/>
        <v>大阪府堺市　南区若松台１丁</v>
      </c>
      <c r="F1463" s="7"/>
      <c r="G1463" s="7" t="str">
        <f t="shared" si="489"/>
        <v>事業用資産</v>
      </c>
      <c r="H1463" s="7" t="str">
        <f t="shared" si="480"/>
        <v>棚卸以外</v>
      </c>
      <c r="I1463" s="7">
        <v>13</v>
      </c>
      <c r="J1463" s="7" t="str">
        <f>"２１号棟増築分"</f>
        <v>２１号棟増築分</v>
      </c>
      <c r="K1463" s="7" t="str">
        <f t="shared" si="498"/>
        <v>鉄筋コンクリート造</v>
      </c>
      <c r="L1463" s="7" t="str">
        <f>"H04.06.01"</f>
        <v>H04.06.01</v>
      </c>
      <c r="M1463" s="7">
        <v>619.5</v>
      </c>
      <c r="N1463" s="7">
        <v>112030000</v>
      </c>
      <c r="O1463" s="7">
        <v>73296315</v>
      </c>
      <c r="P1463" s="7">
        <v>0</v>
      </c>
      <c r="Q1463" s="7" t="str">
        <f t="shared" si="497"/>
        <v>都市整備部</v>
      </c>
      <c r="R1463" s="7" t="str">
        <f t="shared" si="491"/>
        <v>住宅建築局住宅経営室</v>
      </c>
    </row>
    <row r="1464" spans="1:18" s="1" customFormat="1" x14ac:dyDescent="0.45">
      <c r="A1464" s="7" t="str">
        <f t="shared" si="499"/>
        <v>09940003019</v>
      </c>
      <c r="B1464" s="7" t="str">
        <f t="shared" si="500"/>
        <v>若松台第１</v>
      </c>
      <c r="C1464" s="7" t="str">
        <f t="shared" si="494"/>
        <v>行政財産</v>
      </c>
      <c r="D1464" s="7" t="str">
        <f t="shared" si="495"/>
        <v>公営住宅</v>
      </c>
      <c r="E1464" s="7" t="str">
        <f t="shared" si="501"/>
        <v>大阪府堺市　南区若松台１丁</v>
      </c>
      <c r="F1464" s="7"/>
      <c r="G1464" s="7" t="str">
        <f t="shared" si="489"/>
        <v>事業用資産</v>
      </c>
      <c r="H1464" s="7" t="str">
        <f t="shared" si="480"/>
        <v>棚卸以外</v>
      </c>
      <c r="I1464" s="7">
        <v>14</v>
      </c>
      <c r="J1464" s="7" t="str">
        <f>"２２号棟増築分"</f>
        <v>２２号棟増築分</v>
      </c>
      <c r="K1464" s="7" t="str">
        <f t="shared" si="498"/>
        <v>鉄筋コンクリート造</v>
      </c>
      <c r="L1464" s="7" t="str">
        <f>"H04.06.01"</f>
        <v>H04.06.01</v>
      </c>
      <c r="M1464" s="7">
        <v>946.96</v>
      </c>
      <c r="N1464" s="7">
        <v>156625000</v>
      </c>
      <c r="O1464" s="7">
        <v>102472776</v>
      </c>
      <c r="P1464" s="7">
        <v>0</v>
      </c>
      <c r="Q1464" s="7" t="str">
        <f t="shared" si="497"/>
        <v>都市整備部</v>
      </c>
      <c r="R1464" s="7" t="str">
        <f t="shared" si="491"/>
        <v>住宅建築局住宅経営室</v>
      </c>
    </row>
    <row r="1465" spans="1:18" s="1" customFormat="1" x14ac:dyDescent="0.45">
      <c r="A1465" s="7" t="str">
        <f t="shared" si="499"/>
        <v>09940003019</v>
      </c>
      <c r="B1465" s="7" t="str">
        <f t="shared" si="500"/>
        <v>若松台第１</v>
      </c>
      <c r="C1465" s="7" t="str">
        <f t="shared" si="494"/>
        <v>行政財産</v>
      </c>
      <c r="D1465" s="7" t="str">
        <f t="shared" si="495"/>
        <v>公営住宅</v>
      </c>
      <c r="E1465" s="7" t="str">
        <f t="shared" si="501"/>
        <v>大阪府堺市　南区若松台１丁</v>
      </c>
      <c r="F1465" s="7"/>
      <c r="G1465" s="7" t="str">
        <f t="shared" si="489"/>
        <v>事業用資産</v>
      </c>
      <c r="H1465" s="7" t="str">
        <f t="shared" si="480"/>
        <v>棚卸以外</v>
      </c>
      <c r="I1465" s="7">
        <v>15</v>
      </c>
      <c r="J1465" s="7" t="str">
        <f>"集会所"</f>
        <v>集会所</v>
      </c>
      <c r="K1465" s="7" t="str">
        <f t="shared" si="498"/>
        <v>鉄筋コンクリート造</v>
      </c>
      <c r="L1465" s="7" t="str">
        <f>"S45.06.30"</f>
        <v>S45.06.30</v>
      </c>
      <c r="M1465" s="7">
        <v>133.54</v>
      </c>
      <c r="N1465" s="7">
        <v>13252000</v>
      </c>
      <c r="O1465" s="7">
        <v>13251999</v>
      </c>
      <c r="P1465" s="7">
        <v>0</v>
      </c>
      <c r="Q1465" s="7" t="str">
        <f t="shared" si="497"/>
        <v>都市整備部</v>
      </c>
      <c r="R1465" s="7" t="str">
        <f t="shared" si="491"/>
        <v>住宅建築局住宅経営室</v>
      </c>
    </row>
    <row r="1466" spans="1:18" s="1" customFormat="1" x14ac:dyDescent="0.45">
      <c r="A1466" s="7" t="str">
        <f t="shared" ref="A1466:A1474" si="503">"09940003021"</f>
        <v>09940003021</v>
      </c>
      <c r="B1466" s="7" t="str">
        <f t="shared" ref="B1466:B1474" si="504">"若松台第２・堺若松台２丁"</f>
        <v>若松台第２・堺若松台２丁</v>
      </c>
      <c r="C1466" s="7" t="str">
        <f t="shared" si="494"/>
        <v>行政財産</v>
      </c>
      <c r="D1466" s="7" t="str">
        <f t="shared" si="495"/>
        <v>公営住宅</v>
      </c>
      <c r="E1466" s="7" t="str">
        <f t="shared" ref="E1466:E1474" si="505">"大阪府堺市　南区若松台２丁"</f>
        <v>大阪府堺市　南区若松台２丁</v>
      </c>
      <c r="F1466" s="7"/>
      <c r="G1466" s="7" t="str">
        <f t="shared" si="489"/>
        <v>事業用資産</v>
      </c>
      <c r="H1466" s="7" t="str">
        <f t="shared" si="480"/>
        <v>棚卸以外</v>
      </c>
      <c r="I1466" s="7">
        <v>1</v>
      </c>
      <c r="J1466" s="7" t="str">
        <f>"６～１１・２７・２８号棟"</f>
        <v>６～１１・２７・２８号棟</v>
      </c>
      <c r="K1466" s="7" t="str">
        <f t="shared" si="498"/>
        <v>鉄筋コンクリート造</v>
      </c>
      <c r="L1466" s="7" t="str">
        <f>"S45.04.01"</f>
        <v>S45.04.01</v>
      </c>
      <c r="M1466" s="7">
        <v>16313.73</v>
      </c>
      <c r="N1466" s="7">
        <v>1964872479</v>
      </c>
      <c r="O1466" s="7">
        <v>1369448144</v>
      </c>
      <c r="P1466" s="7">
        <v>0</v>
      </c>
      <c r="Q1466" s="7" t="str">
        <f t="shared" si="497"/>
        <v>都市整備部</v>
      </c>
      <c r="R1466" s="7" t="str">
        <f t="shared" si="491"/>
        <v>住宅建築局住宅経営室</v>
      </c>
    </row>
    <row r="1467" spans="1:18" s="1" customFormat="1" x14ac:dyDescent="0.45">
      <c r="A1467" s="7" t="str">
        <f t="shared" si="503"/>
        <v>09940003021</v>
      </c>
      <c r="B1467" s="7" t="str">
        <f t="shared" si="504"/>
        <v>若松台第２・堺若松台２丁</v>
      </c>
      <c r="C1467" s="7" t="str">
        <f t="shared" si="494"/>
        <v>行政財産</v>
      </c>
      <c r="D1467" s="7" t="str">
        <f t="shared" si="495"/>
        <v>公営住宅</v>
      </c>
      <c r="E1467" s="7" t="str">
        <f t="shared" si="505"/>
        <v>大阪府堺市　南区若松台２丁</v>
      </c>
      <c r="F1467" s="7"/>
      <c r="G1467" s="7" t="str">
        <f t="shared" si="489"/>
        <v>事業用資産</v>
      </c>
      <c r="H1467" s="7" t="str">
        <f t="shared" si="480"/>
        <v>棚卸以外</v>
      </c>
      <c r="I1467" s="7">
        <v>2</v>
      </c>
      <c r="J1467" s="7" t="str">
        <f>"４・５号棟"</f>
        <v>４・５号棟</v>
      </c>
      <c r="K1467" s="7" t="str">
        <f t="shared" si="498"/>
        <v>鉄筋コンクリート造</v>
      </c>
      <c r="L1467" s="7" t="str">
        <f>"S45.04.01"</f>
        <v>S45.04.01</v>
      </c>
      <c r="M1467" s="7">
        <v>9198.08</v>
      </c>
      <c r="N1467" s="7">
        <v>886269513</v>
      </c>
      <c r="O1467" s="7">
        <v>567932648</v>
      </c>
      <c r="P1467" s="7">
        <v>0</v>
      </c>
      <c r="Q1467" s="7" t="str">
        <f t="shared" si="497"/>
        <v>都市整備部</v>
      </c>
      <c r="R1467" s="7" t="str">
        <f t="shared" si="491"/>
        <v>住宅建築局住宅経営室</v>
      </c>
    </row>
    <row r="1468" spans="1:18" s="1" customFormat="1" x14ac:dyDescent="0.45">
      <c r="A1468" s="7" t="str">
        <f t="shared" si="503"/>
        <v>09940003021</v>
      </c>
      <c r="B1468" s="7" t="str">
        <f t="shared" si="504"/>
        <v>若松台第２・堺若松台２丁</v>
      </c>
      <c r="C1468" s="7" t="str">
        <f t="shared" si="494"/>
        <v>行政財産</v>
      </c>
      <c r="D1468" s="7" t="str">
        <f t="shared" si="495"/>
        <v>公営住宅</v>
      </c>
      <c r="E1468" s="7" t="str">
        <f t="shared" si="505"/>
        <v>大阪府堺市　南区若松台２丁</v>
      </c>
      <c r="F1468" s="7"/>
      <c r="G1468" s="7" t="str">
        <f t="shared" si="489"/>
        <v>事業用資産</v>
      </c>
      <c r="H1468" s="7" t="str">
        <f t="shared" si="480"/>
        <v>棚卸以外</v>
      </c>
      <c r="I1468" s="7">
        <v>3</v>
      </c>
      <c r="J1468" s="7" t="str">
        <f>"集会所"</f>
        <v>集会所</v>
      </c>
      <c r="K1468" s="7" t="str">
        <f t="shared" si="498"/>
        <v>鉄筋コンクリート造</v>
      </c>
      <c r="L1468" s="7" t="str">
        <f>"S45.04.01"</f>
        <v>S45.04.01</v>
      </c>
      <c r="M1468" s="7">
        <v>170.41</v>
      </c>
      <c r="N1468" s="7">
        <v>3404734</v>
      </c>
      <c r="O1468" s="7">
        <v>3404733</v>
      </c>
      <c r="P1468" s="7">
        <v>0</v>
      </c>
      <c r="Q1468" s="7" t="str">
        <f t="shared" si="497"/>
        <v>都市整備部</v>
      </c>
      <c r="R1468" s="7" t="str">
        <f t="shared" si="491"/>
        <v>住宅建築局住宅経営室</v>
      </c>
    </row>
    <row r="1469" spans="1:18" s="1" customFormat="1" x14ac:dyDescent="0.45">
      <c r="A1469" s="7" t="str">
        <f t="shared" si="503"/>
        <v>09940003021</v>
      </c>
      <c r="B1469" s="7" t="str">
        <f t="shared" si="504"/>
        <v>若松台第２・堺若松台２丁</v>
      </c>
      <c r="C1469" s="7" t="str">
        <f t="shared" si="494"/>
        <v>行政財産</v>
      </c>
      <c r="D1469" s="7" t="str">
        <f t="shared" si="495"/>
        <v>公営住宅</v>
      </c>
      <c r="E1469" s="7" t="str">
        <f t="shared" si="505"/>
        <v>大阪府堺市　南区若松台２丁</v>
      </c>
      <c r="F1469" s="7"/>
      <c r="G1469" s="7" t="str">
        <f t="shared" si="489"/>
        <v>事業用資産</v>
      </c>
      <c r="H1469" s="7" t="str">
        <f t="shared" si="480"/>
        <v>棚卸以外</v>
      </c>
      <c r="I1469" s="7">
        <v>4</v>
      </c>
      <c r="J1469" s="7" t="str">
        <f>"堺若松台２丁　３号棟"</f>
        <v>堺若松台２丁　３号棟</v>
      </c>
      <c r="K1469" s="7" t="str">
        <f t="shared" si="498"/>
        <v>鉄筋コンクリート造</v>
      </c>
      <c r="L1469" s="7" t="str">
        <f>"H28.08.01"</f>
        <v>H28.08.01</v>
      </c>
      <c r="M1469" s="7">
        <v>11768.4</v>
      </c>
      <c r="N1469" s="7">
        <v>2293937214</v>
      </c>
      <c r="O1469" s="7">
        <v>321313935</v>
      </c>
      <c r="P1469" s="7">
        <v>0</v>
      </c>
      <c r="Q1469" s="7" t="str">
        <f t="shared" si="497"/>
        <v>都市整備部</v>
      </c>
      <c r="R1469" s="7" t="str">
        <f t="shared" si="491"/>
        <v>住宅建築局住宅経営室</v>
      </c>
    </row>
    <row r="1470" spans="1:18" s="1" customFormat="1" x14ac:dyDescent="0.45">
      <c r="A1470" s="7" t="str">
        <f t="shared" si="503"/>
        <v>09940003021</v>
      </c>
      <c r="B1470" s="7" t="str">
        <f t="shared" si="504"/>
        <v>若松台第２・堺若松台２丁</v>
      </c>
      <c r="C1470" s="7" t="str">
        <f t="shared" si="494"/>
        <v>行政財産</v>
      </c>
      <c r="D1470" s="7" t="str">
        <f t="shared" si="495"/>
        <v>公営住宅</v>
      </c>
      <c r="E1470" s="7" t="str">
        <f t="shared" si="505"/>
        <v>大阪府堺市　南区若松台２丁</v>
      </c>
      <c r="F1470" s="7"/>
      <c r="G1470" s="7" t="str">
        <f t="shared" si="489"/>
        <v>事業用資産</v>
      </c>
      <c r="H1470" s="7" t="str">
        <f t="shared" si="480"/>
        <v>棚卸以外</v>
      </c>
      <c r="I1470" s="7">
        <v>5</v>
      </c>
      <c r="J1470" s="7" t="str">
        <f>"受水槽・ポンプ室（電気室と同一棟）"</f>
        <v>受水槽・ポンプ室（電気室と同一棟）</v>
      </c>
      <c r="K1470" s="7" t="str">
        <f t="shared" si="498"/>
        <v>鉄筋コンクリート造</v>
      </c>
      <c r="L1470" s="7" t="str">
        <f>"H28.08.01"</f>
        <v>H28.08.01</v>
      </c>
      <c r="M1470" s="7">
        <v>87</v>
      </c>
      <c r="N1470" s="7">
        <v>32419602</v>
      </c>
      <c r="O1470" s="7">
        <v>4541078</v>
      </c>
      <c r="P1470" s="7">
        <v>0</v>
      </c>
      <c r="Q1470" s="7" t="str">
        <f t="shared" si="497"/>
        <v>都市整備部</v>
      </c>
      <c r="R1470" s="7" t="str">
        <f t="shared" si="491"/>
        <v>住宅建築局住宅経営室</v>
      </c>
    </row>
    <row r="1471" spans="1:18" s="1" customFormat="1" x14ac:dyDescent="0.45">
      <c r="A1471" s="7" t="str">
        <f t="shared" si="503"/>
        <v>09940003021</v>
      </c>
      <c r="B1471" s="7" t="str">
        <f t="shared" si="504"/>
        <v>若松台第２・堺若松台２丁</v>
      </c>
      <c r="C1471" s="7" t="str">
        <f t="shared" si="494"/>
        <v>行政財産</v>
      </c>
      <c r="D1471" s="7" t="str">
        <f t="shared" si="495"/>
        <v>公営住宅</v>
      </c>
      <c r="E1471" s="7" t="str">
        <f t="shared" si="505"/>
        <v>大阪府堺市　南区若松台２丁</v>
      </c>
      <c r="F1471" s="7"/>
      <c r="G1471" s="7" t="str">
        <f t="shared" si="489"/>
        <v>事業用資産</v>
      </c>
      <c r="H1471" s="7" t="str">
        <f t="shared" si="480"/>
        <v>棚卸以外</v>
      </c>
      <c r="I1471" s="7">
        <v>7</v>
      </c>
      <c r="J1471" s="7" t="str">
        <f>"集会所・巡回管理人室"</f>
        <v>集会所・巡回管理人室</v>
      </c>
      <c r="K1471" s="7" t="str">
        <f t="shared" si="498"/>
        <v>鉄筋コンクリート造</v>
      </c>
      <c r="L1471" s="7" t="str">
        <f>"H29.10.31"</f>
        <v>H29.10.31</v>
      </c>
      <c r="M1471" s="7">
        <v>197.14</v>
      </c>
      <c r="N1471" s="7">
        <v>51068970</v>
      </c>
      <c r="O1471" s="7">
        <v>5885620</v>
      </c>
      <c r="P1471" s="7">
        <v>0</v>
      </c>
      <c r="Q1471" s="7" t="str">
        <f t="shared" si="497"/>
        <v>都市整備部</v>
      </c>
      <c r="R1471" s="7" t="str">
        <f t="shared" si="491"/>
        <v>住宅建築局住宅経営室</v>
      </c>
    </row>
    <row r="1472" spans="1:18" s="1" customFormat="1" ht="26.4" x14ac:dyDescent="0.45">
      <c r="A1472" s="7" t="str">
        <f t="shared" si="503"/>
        <v>09940003021</v>
      </c>
      <c r="B1472" s="7" t="str">
        <f t="shared" si="504"/>
        <v>若松台第２・堺若松台２丁</v>
      </c>
      <c r="C1472" s="7" t="str">
        <f t="shared" si="494"/>
        <v>行政財産</v>
      </c>
      <c r="D1472" s="7" t="str">
        <f t="shared" si="495"/>
        <v>公営住宅</v>
      </c>
      <c r="E1472" s="7" t="str">
        <f t="shared" si="505"/>
        <v>大阪府堺市　南区若松台２丁</v>
      </c>
      <c r="F1472" s="7"/>
      <c r="G1472" s="7" t="str">
        <f t="shared" si="489"/>
        <v>事業用資産</v>
      </c>
      <c r="H1472" s="7" t="str">
        <f t="shared" si="480"/>
        <v>棚卸以外</v>
      </c>
      <c r="I1472" s="7">
        <v>8</v>
      </c>
      <c r="J1472" s="7" t="str">
        <f>"堺若松台2丁 １号棟（受水槽・ポンプ室含む）"</f>
        <v>堺若松台2丁 １号棟（受水槽・ポンプ室含む）</v>
      </c>
      <c r="K1472" s="7" t="str">
        <f t="shared" si="498"/>
        <v>鉄筋コンクリート造</v>
      </c>
      <c r="L1472" s="7" t="str">
        <f>"H30.12.01"</f>
        <v>H30.12.01</v>
      </c>
      <c r="M1472" s="7">
        <v>7718.81</v>
      </c>
      <c r="N1472" s="7">
        <v>1665273055</v>
      </c>
      <c r="O1472" s="7">
        <v>150583212</v>
      </c>
      <c r="P1472" s="7">
        <v>0</v>
      </c>
      <c r="Q1472" s="7" t="str">
        <f t="shared" si="497"/>
        <v>都市整備部</v>
      </c>
      <c r="R1472" s="7" t="str">
        <f t="shared" si="491"/>
        <v>住宅建築局住宅経営室</v>
      </c>
    </row>
    <row r="1473" spans="1:18" s="1" customFormat="1" ht="26.4" x14ac:dyDescent="0.45">
      <c r="A1473" s="7" t="str">
        <f t="shared" si="503"/>
        <v>09940003021</v>
      </c>
      <c r="B1473" s="7" t="str">
        <f t="shared" si="504"/>
        <v>若松台第２・堺若松台２丁</v>
      </c>
      <c r="C1473" s="7" t="str">
        <f t="shared" si="494"/>
        <v>行政財産</v>
      </c>
      <c r="D1473" s="7" t="str">
        <f t="shared" si="495"/>
        <v>公営住宅</v>
      </c>
      <c r="E1473" s="7" t="str">
        <f t="shared" si="505"/>
        <v>大阪府堺市　南区若松台２丁</v>
      </c>
      <c r="F1473" s="7"/>
      <c r="G1473" s="7" t="str">
        <f t="shared" si="489"/>
        <v>事業用資産</v>
      </c>
      <c r="H1473" s="7" t="str">
        <f t="shared" si="480"/>
        <v>棚卸以外</v>
      </c>
      <c r="I1473" s="7">
        <v>9</v>
      </c>
      <c r="J1473" s="7" t="str">
        <f>"堺若松台2丁 ２号棟（受水槽・ポンプ室含む）"</f>
        <v>堺若松台2丁 ２号棟（受水槽・ポンプ室含む）</v>
      </c>
      <c r="K1473" s="7" t="str">
        <f t="shared" si="498"/>
        <v>鉄筋コンクリート造</v>
      </c>
      <c r="L1473" s="7" t="str">
        <f>"H30.12.01"</f>
        <v>H30.12.01</v>
      </c>
      <c r="M1473" s="7">
        <v>2655.16</v>
      </c>
      <c r="N1473" s="7">
        <v>637053601</v>
      </c>
      <c r="O1473" s="7">
        <v>57605928</v>
      </c>
      <c r="P1473" s="7">
        <v>0</v>
      </c>
      <c r="Q1473" s="7" t="str">
        <f t="shared" si="497"/>
        <v>都市整備部</v>
      </c>
      <c r="R1473" s="7" t="str">
        <f t="shared" si="491"/>
        <v>住宅建築局住宅経営室</v>
      </c>
    </row>
    <row r="1474" spans="1:18" s="1" customFormat="1" x14ac:dyDescent="0.45">
      <c r="A1474" s="7" t="str">
        <f t="shared" si="503"/>
        <v>09940003021</v>
      </c>
      <c r="B1474" s="7" t="str">
        <f t="shared" si="504"/>
        <v>若松台第２・堺若松台２丁</v>
      </c>
      <c r="C1474" s="7" t="str">
        <f t="shared" si="494"/>
        <v>行政財産</v>
      </c>
      <c r="D1474" s="7" t="str">
        <f t="shared" si="495"/>
        <v>公営住宅</v>
      </c>
      <c r="E1474" s="7" t="str">
        <f t="shared" si="505"/>
        <v>大阪府堺市　南区若松台２丁</v>
      </c>
      <c r="F1474" s="7"/>
      <c r="G1474" s="7" t="str">
        <f t="shared" si="489"/>
        <v>事業用資産</v>
      </c>
      <c r="H1474" s="7" t="str">
        <f t="shared" si="480"/>
        <v>棚卸以外</v>
      </c>
      <c r="I1474" s="7">
        <v>10</v>
      </c>
      <c r="J1474" s="7" t="str">
        <f>"ゴミ置場"</f>
        <v>ゴミ置場</v>
      </c>
      <c r="K1474" s="7" t="str">
        <f t="shared" si="498"/>
        <v>鉄筋コンクリート造</v>
      </c>
      <c r="L1474" s="7" t="str">
        <f>"H30.12.01"</f>
        <v>H30.12.01</v>
      </c>
      <c r="M1474" s="7">
        <v>58.11</v>
      </c>
      <c r="N1474" s="7">
        <v>11396886</v>
      </c>
      <c r="O1474" s="7">
        <v>1030608</v>
      </c>
      <c r="P1474" s="7">
        <v>0</v>
      </c>
      <c r="Q1474" s="7" t="str">
        <f t="shared" si="497"/>
        <v>都市整備部</v>
      </c>
      <c r="R1474" s="7" t="str">
        <f t="shared" si="491"/>
        <v>住宅建築局住宅経営室</v>
      </c>
    </row>
    <row r="1475" spans="1:18" s="1" customFormat="1" x14ac:dyDescent="0.45">
      <c r="A1475" s="7" t="str">
        <f t="shared" ref="A1475:A1489" si="506">"09940003022"</f>
        <v>09940003022</v>
      </c>
      <c r="B1475" s="7" t="str">
        <f t="shared" ref="B1475:B1489" si="507">"堺三原台（旧三原台第１）"</f>
        <v>堺三原台（旧三原台第１）</v>
      </c>
      <c r="C1475" s="7" t="str">
        <f t="shared" si="494"/>
        <v>行政財産</v>
      </c>
      <c r="D1475" s="7" t="str">
        <f t="shared" si="495"/>
        <v>公営住宅</v>
      </c>
      <c r="E1475" s="7" t="str">
        <f t="shared" ref="E1475:E1489" si="508">"大阪府堺市　南区三原台１丁"</f>
        <v>大阪府堺市　南区三原台１丁</v>
      </c>
      <c r="F1475" s="7"/>
      <c r="G1475" s="7" t="str">
        <f t="shared" si="489"/>
        <v>事業用資産</v>
      </c>
      <c r="H1475" s="7" t="str">
        <f t="shared" si="480"/>
        <v>棚卸以外</v>
      </c>
      <c r="I1475" s="7">
        <v>5</v>
      </c>
      <c r="J1475" s="7" t="str">
        <f>"１号棟　１工区"</f>
        <v>１号棟　１工区</v>
      </c>
      <c r="K1475" s="7" t="str">
        <f t="shared" si="498"/>
        <v>鉄筋コンクリート造</v>
      </c>
      <c r="L1475" s="7" t="str">
        <f>"R01.07.01"</f>
        <v>R01.07.01</v>
      </c>
      <c r="M1475" s="7">
        <v>4185.63</v>
      </c>
      <c r="N1475" s="7">
        <v>1025446271</v>
      </c>
      <c r="O1475" s="7">
        <v>79999392</v>
      </c>
      <c r="P1475" s="7">
        <v>0</v>
      </c>
      <c r="Q1475" s="7" t="str">
        <f t="shared" si="497"/>
        <v>都市整備部</v>
      </c>
      <c r="R1475" s="7" t="str">
        <f t="shared" si="491"/>
        <v>住宅建築局住宅経営室</v>
      </c>
    </row>
    <row r="1476" spans="1:18" s="1" customFormat="1" x14ac:dyDescent="0.45">
      <c r="A1476" s="7" t="str">
        <f t="shared" si="506"/>
        <v>09940003022</v>
      </c>
      <c r="B1476" s="7" t="str">
        <f t="shared" si="507"/>
        <v>堺三原台（旧三原台第１）</v>
      </c>
      <c r="C1476" s="7" t="str">
        <f t="shared" si="494"/>
        <v>行政財産</v>
      </c>
      <c r="D1476" s="7" t="str">
        <f t="shared" si="495"/>
        <v>公営住宅</v>
      </c>
      <c r="E1476" s="7" t="str">
        <f t="shared" si="508"/>
        <v>大阪府堺市　南区三原台１丁</v>
      </c>
      <c r="F1476" s="7"/>
      <c r="G1476" s="7" t="str">
        <f t="shared" si="489"/>
        <v>事業用資産</v>
      </c>
      <c r="H1476" s="7" t="str">
        <f t="shared" ref="H1476:H1539" si="509">"棚卸以外"</f>
        <v>棚卸以外</v>
      </c>
      <c r="I1476" s="7">
        <v>6</v>
      </c>
      <c r="J1476" s="7" t="str">
        <f>"４号棟　４工区"</f>
        <v>４号棟　４工区</v>
      </c>
      <c r="K1476" s="7" t="str">
        <f t="shared" si="498"/>
        <v>鉄筋コンクリート造</v>
      </c>
      <c r="L1476" s="7" t="str">
        <f>"R01.07.01"</f>
        <v>R01.07.01</v>
      </c>
      <c r="M1476" s="7">
        <v>5429.76</v>
      </c>
      <c r="N1476" s="7">
        <v>1446950767</v>
      </c>
      <c r="O1476" s="7">
        <v>112882704</v>
      </c>
      <c r="P1476" s="7">
        <v>0</v>
      </c>
      <c r="Q1476" s="7" t="str">
        <f t="shared" si="497"/>
        <v>都市整備部</v>
      </c>
      <c r="R1476" s="7" t="str">
        <f t="shared" si="491"/>
        <v>住宅建築局住宅経営室</v>
      </c>
    </row>
    <row r="1477" spans="1:18" s="1" customFormat="1" x14ac:dyDescent="0.45">
      <c r="A1477" s="7" t="str">
        <f t="shared" si="506"/>
        <v>09940003022</v>
      </c>
      <c r="B1477" s="7" t="str">
        <f t="shared" si="507"/>
        <v>堺三原台（旧三原台第１）</v>
      </c>
      <c r="C1477" s="7" t="str">
        <f t="shared" si="494"/>
        <v>行政財産</v>
      </c>
      <c r="D1477" s="7" t="str">
        <f t="shared" si="495"/>
        <v>公営住宅</v>
      </c>
      <c r="E1477" s="7" t="str">
        <f t="shared" si="508"/>
        <v>大阪府堺市　南区三原台１丁</v>
      </c>
      <c r="F1477" s="7"/>
      <c r="G1477" s="7" t="str">
        <f t="shared" si="489"/>
        <v>事業用資産</v>
      </c>
      <c r="H1477" s="7" t="str">
        <f t="shared" si="509"/>
        <v>棚卸以外</v>
      </c>
      <c r="I1477" s="7">
        <v>7</v>
      </c>
      <c r="J1477" s="7" t="str">
        <f>"４号棟　５工区"</f>
        <v>４号棟　５工区</v>
      </c>
      <c r="K1477" s="7" t="str">
        <f t="shared" si="498"/>
        <v>鉄筋コンクリート造</v>
      </c>
      <c r="L1477" s="7" t="str">
        <f>"R01.07.01"</f>
        <v>R01.07.01</v>
      </c>
      <c r="M1477" s="7">
        <v>3766.05</v>
      </c>
      <c r="N1477" s="7">
        <v>861551386</v>
      </c>
      <c r="O1477" s="7">
        <v>67213256</v>
      </c>
      <c r="P1477" s="7">
        <v>0</v>
      </c>
      <c r="Q1477" s="7" t="str">
        <f t="shared" si="497"/>
        <v>都市整備部</v>
      </c>
      <c r="R1477" s="7" t="str">
        <f t="shared" si="491"/>
        <v>住宅建築局住宅経営室</v>
      </c>
    </row>
    <row r="1478" spans="1:18" s="1" customFormat="1" x14ac:dyDescent="0.45">
      <c r="A1478" s="7" t="str">
        <f t="shared" si="506"/>
        <v>09940003022</v>
      </c>
      <c r="B1478" s="7" t="str">
        <f t="shared" si="507"/>
        <v>堺三原台（旧三原台第１）</v>
      </c>
      <c r="C1478" s="7" t="str">
        <f t="shared" si="494"/>
        <v>行政財産</v>
      </c>
      <c r="D1478" s="7" t="str">
        <f t="shared" si="495"/>
        <v>公営住宅</v>
      </c>
      <c r="E1478" s="7" t="str">
        <f t="shared" si="508"/>
        <v>大阪府堺市　南区三原台１丁</v>
      </c>
      <c r="F1478" s="7"/>
      <c r="G1478" s="7" t="str">
        <f t="shared" si="489"/>
        <v>事業用資産</v>
      </c>
      <c r="H1478" s="7" t="str">
        <f t="shared" si="509"/>
        <v>棚卸以外</v>
      </c>
      <c r="I1478" s="7">
        <v>8</v>
      </c>
      <c r="J1478" s="7" t="str">
        <f>"２号棟　２工区"</f>
        <v>２号棟　２工区</v>
      </c>
      <c r="K1478" s="7" t="str">
        <f t="shared" si="498"/>
        <v>鉄筋コンクリート造</v>
      </c>
      <c r="L1478" s="7" t="str">
        <f>"R01.08.01"</f>
        <v>R01.08.01</v>
      </c>
      <c r="M1478" s="7">
        <v>7507.35</v>
      </c>
      <c r="N1478" s="7">
        <v>2013337304</v>
      </c>
      <c r="O1478" s="7">
        <v>153499121</v>
      </c>
      <c r="P1478" s="7">
        <v>0</v>
      </c>
      <c r="Q1478" s="7" t="str">
        <f t="shared" si="497"/>
        <v>都市整備部</v>
      </c>
      <c r="R1478" s="7" t="str">
        <f t="shared" si="491"/>
        <v>住宅建築局住宅経営室</v>
      </c>
    </row>
    <row r="1479" spans="1:18" s="1" customFormat="1" x14ac:dyDescent="0.45">
      <c r="A1479" s="7" t="str">
        <f t="shared" si="506"/>
        <v>09940003022</v>
      </c>
      <c r="B1479" s="7" t="str">
        <f t="shared" si="507"/>
        <v>堺三原台（旧三原台第１）</v>
      </c>
      <c r="C1479" s="7" t="str">
        <f t="shared" si="494"/>
        <v>行政財産</v>
      </c>
      <c r="D1479" s="7" t="str">
        <f t="shared" si="495"/>
        <v>公営住宅</v>
      </c>
      <c r="E1479" s="7" t="str">
        <f t="shared" si="508"/>
        <v>大阪府堺市　南区三原台１丁</v>
      </c>
      <c r="F1479" s="7"/>
      <c r="G1479" s="7" t="str">
        <f t="shared" si="489"/>
        <v>事業用資産</v>
      </c>
      <c r="H1479" s="7" t="str">
        <f t="shared" si="509"/>
        <v>棚卸以外</v>
      </c>
      <c r="I1479" s="7">
        <v>9</v>
      </c>
      <c r="J1479" s="7" t="str">
        <f>"５号棟　６工区"</f>
        <v>５号棟　６工区</v>
      </c>
      <c r="K1479" s="7" t="str">
        <f t="shared" si="498"/>
        <v>鉄筋コンクリート造</v>
      </c>
      <c r="L1479" s="7" t="str">
        <f>"R01.08.01"</f>
        <v>R01.08.01</v>
      </c>
      <c r="M1479" s="7">
        <v>6570.93</v>
      </c>
      <c r="N1479" s="7">
        <v>1615096873</v>
      </c>
      <c r="O1479" s="7">
        <v>123136821</v>
      </c>
      <c r="P1479" s="7">
        <v>0</v>
      </c>
      <c r="Q1479" s="7" t="str">
        <f t="shared" si="497"/>
        <v>都市整備部</v>
      </c>
      <c r="R1479" s="7" t="str">
        <f t="shared" si="491"/>
        <v>住宅建築局住宅経営室</v>
      </c>
    </row>
    <row r="1480" spans="1:18" s="1" customFormat="1" x14ac:dyDescent="0.45">
      <c r="A1480" s="7" t="str">
        <f t="shared" si="506"/>
        <v>09940003022</v>
      </c>
      <c r="B1480" s="7" t="str">
        <f t="shared" si="507"/>
        <v>堺三原台（旧三原台第１）</v>
      </c>
      <c r="C1480" s="7" t="str">
        <f t="shared" si="494"/>
        <v>行政財産</v>
      </c>
      <c r="D1480" s="7" t="str">
        <f t="shared" si="495"/>
        <v>公営住宅</v>
      </c>
      <c r="E1480" s="7" t="str">
        <f t="shared" si="508"/>
        <v>大阪府堺市　南区三原台１丁</v>
      </c>
      <c r="F1480" s="7"/>
      <c r="G1480" s="7" t="str">
        <f t="shared" si="489"/>
        <v>事業用資産</v>
      </c>
      <c r="H1480" s="7" t="str">
        <f t="shared" si="509"/>
        <v>棚卸以外</v>
      </c>
      <c r="I1480" s="7">
        <v>10</v>
      </c>
      <c r="J1480" s="7" t="str">
        <f>"９号棟　７工区"</f>
        <v>９号棟　７工区</v>
      </c>
      <c r="K1480" s="7" t="str">
        <f t="shared" si="498"/>
        <v>鉄筋コンクリート造</v>
      </c>
      <c r="L1480" s="7" t="str">
        <f>"R01.08.01"</f>
        <v>R01.08.01</v>
      </c>
      <c r="M1480" s="7">
        <v>8635.49</v>
      </c>
      <c r="N1480" s="7">
        <v>2265137421</v>
      </c>
      <c r="O1480" s="7">
        <v>172696686</v>
      </c>
      <c r="P1480" s="7">
        <v>0</v>
      </c>
      <c r="Q1480" s="7" t="str">
        <f t="shared" si="497"/>
        <v>都市整備部</v>
      </c>
      <c r="R1480" s="7" t="str">
        <f t="shared" si="491"/>
        <v>住宅建築局住宅経営室</v>
      </c>
    </row>
    <row r="1481" spans="1:18" s="1" customFormat="1" x14ac:dyDescent="0.45">
      <c r="A1481" s="7" t="str">
        <f t="shared" si="506"/>
        <v>09940003022</v>
      </c>
      <c r="B1481" s="7" t="str">
        <f t="shared" si="507"/>
        <v>堺三原台（旧三原台第１）</v>
      </c>
      <c r="C1481" s="7" t="str">
        <f t="shared" si="494"/>
        <v>行政財産</v>
      </c>
      <c r="D1481" s="7" t="str">
        <f t="shared" si="495"/>
        <v>公営住宅</v>
      </c>
      <c r="E1481" s="7" t="str">
        <f t="shared" si="508"/>
        <v>大阪府堺市　南区三原台１丁</v>
      </c>
      <c r="F1481" s="7"/>
      <c r="G1481" s="7" t="str">
        <f t="shared" si="489"/>
        <v>事業用資産</v>
      </c>
      <c r="H1481" s="7" t="str">
        <f t="shared" si="509"/>
        <v>棚卸以外</v>
      </c>
      <c r="I1481" s="7">
        <v>11</v>
      </c>
      <c r="J1481" s="7" t="str">
        <f>"受水槽・ポンプ室"</f>
        <v>受水槽・ポンプ室</v>
      </c>
      <c r="K1481" s="7" t="str">
        <f t="shared" si="498"/>
        <v>鉄筋コンクリート造</v>
      </c>
      <c r="L1481" s="7" t="str">
        <f>"R01.08.01"</f>
        <v>R01.08.01</v>
      </c>
      <c r="M1481" s="7">
        <v>58.81</v>
      </c>
      <c r="N1481" s="7">
        <v>14297914</v>
      </c>
      <c r="O1481" s="7">
        <v>1090093</v>
      </c>
      <c r="P1481" s="7">
        <v>0</v>
      </c>
      <c r="Q1481" s="7" t="str">
        <f t="shared" si="497"/>
        <v>都市整備部</v>
      </c>
      <c r="R1481" s="7" t="str">
        <f t="shared" si="491"/>
        <v>住宅建築局住宅経営室</v>
      </c>
    </row>
    <row r="1482" spans="1:18" s="1" customFormat="1" x14ac:dyDescent="0.45">
      <c r="A1482" s="7" t="str">
        <f t="shared" si="506"/>
        <v>09940003022</v>
      </c>
      <c r="B1482" s="7" t="str">
        <f t="shared" si="507"/>
        <v>堺三原台（旧三原台第１）</v>
      </c>
      <c r="C1482" s="7" t="str">
        <f t="shared" si="494"/>
        <v>行政財産</v>
      </c>
      <c r="D1482" s="7" t="str">
        <f t="shared" si="495"/>
        <v>公営住宅</v>
      </c>
      <c r="E1482" s="7" t="str">
        <f t="shared" si="508"/>
        <v>大阪府堺市　南区三原台１丁</v>
      </c>
      <c r="F1482" s="7"/>
      <c r="G1482" s="7" t="str">
        <f t="shared" si="489"/>
        <v>事業用資産</v>
      </c>
      <c r="H1482" s="7" t="str">
        <f t="shared" si="509"/>
        <v>棚卸以外</v>
      </c>
      <c r="I1482" s="7">
        <v>12</v>
      </c>
      <c r="J1482" s="7" t="str">
        <f>"３号棟　３工区"</f>
        <v>３号棟　３工区</v>
      </c>
      <c r="K1482" s="7" t="str">
        <f t="shared" si="498"/>
        <v>鉄筋コンクリート造</v>
      </c>
      <c r="L1482" s="7" t="str">
        <f>"R01.12.01"</f>
        <v>R01.12.01</v>
      </c>
      <c r="M1482" s="7">
        <v>7435.23</v>
      </c>
      <c r="N1482" s="7">
        <v>1935714605</v>
      </c>
      <c r="O1482" s="7">
        <v>133852641</v>
      </c>
      <c r="P1482" s="7">
        <v>0</v>
      </c>
      <c r="Q1482" s="7" t="str">
        <f t="shared" si="497"/>
        <v>都市整備部</v>
      </c>
      <c r="R1482" s="7" t="str">
        <f t="shared" si="491"/>
        <v>住宅建築局住宅経営室</v>
      </c>
    </row>
    <row r="1483" spans="1:18" s="1" customFormat="1" x14ac:dyDescent="0.45">
      <c r="A1483" s="7" t="str">
        <f t="shared" si="506"/>
        <v>09940003022</v>
      </c>
      <c r="B1483" s="7" t="str">
        <f t="shared" si="507"/>
        <v>堺三原台（旧三原台第１）</v>
      </c>
      <c r="C1483" s="7" t="str">
        <f t="shared" si="494"/>
        <v>行政財産</v>
      </c>
      <c r="D1483" s="7" t="str">
        <f t="shared" si="495"/>
        <v>公営住宅</v>
      </c>
      <c r="E1483" s="7" t="str">
        <f t="shared" si="508"/>
        <v>大阪府堺市　南区三原台１丁</v>
      </c>
      <c r="F1483" s="7"/>
      <c r="G1483" s="7" t="str">
        <f t="shared" si="489"/>
        <v>事業用資産</v>
      </c>
      <c r="H1483" s="7" t="str">
        <f t="shared" si="509"/>
        <v>棚卸以外</v>
      </c>
      <c r="I1483" s="7">
        <v>13</v>
      </c>
      <c r="J1483" s="7" t="str">
        <f>"１０号棟西側　１工区"</f>
        <v>１０号棟西側　１工区</v>
      </c>
      <c r="K1483" s="7" t="str">
        <f t="shared" si="498"/>
        <v>鉄筋コンクリート造</v>
      </c>
      <c r="L1483" s="7" t="str">
        <f t="shared" ref="L1483:L1489" si="510">"R04.05.01"</f>
        <v>R04.05.01</v>
      </c>
      <c r="M1483" s="7">
        <v>4572.55</v>
      </c>
      <c r="N1483" s="7">
        <v>1349421939</v>
      </c>
      <c r="O1483" s="7">
        <v>23925930</v>
      </c>
      <c r="P1483" s="7">
        <v>0</v>
      </c>
      <c r="Q1483" s="7" t="str">
        <f t="shared" si="497"/>
        <v>都市整備部</v>
      </c>
      <c r="R1483" s="7" t="str">
        <f t="shared" si="491"/>
        <v>住宅建築局住宅経営室</v>
      </c>
    </row>
    <row r="1484" spans="1:18" s="1" customFormat="1" x14ac:dyDescent="0.45">
      <c r="A1484" s="7" t="str">
        <f t="shared" si="506"/>
        <v>09940003022</v>
      </c>
      <c r="B1484" s="7" t="str">
        <f t="shared" si="507"/>
        <v>堺三原台（旧三原台第１）</v>
      </c>
      <c r="C1484" s="7" t="str">
        <f t="shared" si="494"/>
        <v>行政財産</v>
      </c>
      <c r="D1484" s="7" t="str">
        <f t="shared" si="495"/>
        <v>公営住宅</v>
      </c>
      <c r="E1484" s="7" t="str">
        <f t="shared" si="508"/>
        <v>大阪府堺市　南区三原台１丁</v>
      </c>
      <c r="F1484" s="7"/>
      <c r="G1484" s="7" t="str">
        <f t="shared" si="489"/>
        <v>事業用資産</v>
      </c>
      <c r="H1484" s="7" t="str">
        <f t="shared" si="509"/>
        <v>棚卸以外</v>
      </c>
      <c r="I1484" s="7">
        <v>14</v>
      </c>
      <c r="J1484" s="7" t="str">
        <f>"１０号棟東側　２工区"</f>
        <v>１０号棟東側　２工区</v>
      </c>
      <c r="K1484" s="7" t="str">
        <f t="shared" si="498"/>
        <v>鉄筋コンクリート造</v>
      </c>
      <c r="L1484" s="7" t="str">
        <f t="shared" si="510"/>
        <v>R04.05.01</v>
      </c>
      <c r="M1484" s="7">
        <v>3696.86</v>
      </c>
      <c r="N1484" s="7">
        <v>1151403868</v>
      </c>
      <c r="O1484" s="7">
        <v>20414970</v>
      </c>
      <c r="P1484" s="7">
        <v>0</v>
      </c>
      <c r="Q1484" s="7" t="str">
        <f t="shared" si="497"/>
        <v>都市整備部</v>
      </c>
      <c r="R1484" s="7" t="str">
        <f t="shared" si="491"/>
        <v>住宅建築局住宅経営室</v>
      </c>
    </row>
    <row r="1485" spans="1:18" s="1" customFormat="1" x14ac:dyDescent="0.45">
      <c r="A1485" s="7" t="str">
        <f t="shared" si="506"/>
        <v>09940003022</v>
      </c>
      <c r="B1485" s="7" t="str">
        <f t="shared" si="507"/>
        <v>堺三原台（旧三原台第１）</v>
      </c>
      <c r="C1485" s="7" t="str">
        <f t="shared" si="494"/>
        <v>行政財産</v>
      </c>
      <c r="D1485" s="7" t="str">
        <f t="shared" si="495"/>
        <v>公営住宅</v>
      </c>
      <c r="E1485" s="7" t="str">
        <f t="shared" si="508"/>
        <v>大阪府堺市　南区三原台１丁</v>
      </c>
      <c r="F1485" s="7"/>
      <c r="G1485" s="7" t="str">
        <f t="shared" si="489"/>
        <v>事業用資産</v>
      </c>
      <c r="H1485" s="7" t="str">
        <f t="shared" si="509"/>
        <v>棚卸以外</v>
      </c>
      <c r="I1485" s="7">
        <v>15</v>
      </c>
      <c r="J1485" s="7" t="str">
        <f>"６号棟　３工区"</f>
        <v>６号棟　３工区</v>
      </c>
      <c r="K1485" s="7" t="str">
        <f t="shared" si="498"/>
        <v>鉄筋コンクリート造</v>
      </c>
      <c r="L1485" s="7" t="str">
        <f t="shared" si="510"/>
        <v>R04.05.01</v>
      </c>
      <c r="M1485" s="7">
        <v>4199.62</v>
      </c>
      <c r="N1485" s="7">
        <v>1301114512</v>
      </c>
      <c r="O1485" s="7">
        <v>23069410</v>
      </c>
      <c r="P1485" s="7">
        <v>0</v>
      </c>
      <c r="Q1485" s="7" t="str">
        <f t="shared" si="497"/>
        <v>都市整備部</v>
      </c>
      <c r="R1485" s="7" t="str">
        <f t="shared" si="491"/>
        <v>住宅建築局住宅経営室</v>
      </c>
    </row>
    <row r="1486" spans="1:18" s="1" customFormat="1" x14ac:dyDescent="0.45">
      <c r="A1486" s="7" t="str">
        <f t="shared" si="506"/>
        <v>09940003022</v>
      </c>
      <c r="B1486" s="7" t="str">
        <f t="shared" si="507"/>
        <v>堺三原台（旧三原台第１）</v>
      </c>
      <c r="C1486" s="7" t="str">
        <f t="shared" si="494"/>
        <v>行政財産</v>
      </c>
      <c r="D1486" s="7" t="str">
        <f t="shared" si="495"/>
        <v>公営住宅</v>
      </c>
      <c r="E1486" s="7" t="str">
        <f t="shared" si="508"/>
        <v>大阪府堺市　南区三原台１丁</v>
      </c>
      <c r="F1486" s="7"/>
      <c r="G1486" s="7" t="str">
        <f t="shared" si="489"/>
        <v>事業用資産</v>
      </c>
      <c r="H1486" s="7" t="str">
        <f t="shared" si="509"/>
        <v>棚卸以外</v>
      </c>
      <c r="I1486" s="7">
        <v>16</v>
      </c>
      <c r="J1486" s="7" t="str">
        <f>"７号棟　４工区"</f>
        <v>７号棟　４工区</v>
      </c>
      <c r="K1486" s="7" t="str">
        <f t="shared" si="498"/>
        <v>鉄筋コンクリート造</v>
      </c>
      <c r="L1486" s="7" t="str">
        <f t="shared" si="510"/>
        <v>R04.05.01</v>
      </c>
      <c r="M1486" s="7">
        <v>5917.52</v>
      </c>
      <c r="N1486" s="7">
        <v>1781107179</v>
      </c>
      <c r="O1486" s="7">
        <v>31579920</v>
      </c>
      <c r="P1486" s="7">
        <v>0</v>
      </c>
      <c r="Q1486" s="7" t="str">
        <f t="shared" si="497"/>
        <v>都市整備部</v>
      </c>
      <c r="R1486" s="7" t="str">
        <f t="shared" si="491"/>
        <v>住宅建築局住宅経営室</v>
      </c>
    </row>
    <row r="1487" spans="1:18" s="1" customFormat="1" x14ac:dyDescent="0.45">
      <c r="A1487" s="7" t="str">
        <f t="shared" si="506"/>
        <v>09940003022</v>
      </c>
      <c r="B1487" s="7" t="str">
        <f t="shared" si="507"/>
        <v>堺三原台（旧三原台第１）</v>
      </c>
      <c r="C1487" s="7" t="str">
        <f t="shared" si="494"/>
        <v>行政財産</v>
      </c>
      <c r="D1487" s="7" t="str">
        <f t="shared" si="495"/>
        <v>公営住宅</v>
      </c>
      <c r="E1487" s="7" t="str">
        <f t="shared" si="508"/>
        <v>大阪府堺市　南区三原台１丁</v>
      </c>
      <c r="F1487" s="7"/>
      <c r="G1487" s="7" t="str">
        <f t="shared" si="489"/>
        <v>事業用資産</v>
      </c>
      <c r="H1487" s="7" t="str">
        <f t="shared" si="509"/>
        <v>棚卸以外</v>
      </c>
      <c r="I1487" s="7">
        <v>17</v>
      </c>
      <c r="J1487" s="7" t="str">
        <f>"８号棟　５工区"</f>
        <v>８号棟　５工区</v>
      </c>
      <c r="K1487" s="7" t="str">
        <f t="shared" si="498"/>
        <v>鉄筋コンクリート造</v>
      </c>
      <c r="L1487" s="7" t="str">
        <f t="shared" si="510"/>
        <v>R04.05.01</v>
      </c>
      <c r="M1487" s="7">
        <v>6003</v>
      </c>
      <c r="N1487" s="7">
        <v>1791331082</v>
      </c>
      <c r="O1487" s="7">
        <v>31761190</v>
      </c>
      <c r="P1487" s="7">
        <v>0</v>
      </c>
      <c r="Q1487" s="7" t="str">
        <f t="shared" si="497"/>
        <v>都市整備部</v>
      </c>
      <c r="R1487" s="7" t="str">
        <f t="shared" si="491"/>
        <v>住宅建築局住宅経営室</v>
      </c>
    </row>
    <row r="1488" spans="1:18" s="1" customFormat="1" x14ac:dyDescent="0.45">
      <c r="A1488" s="7" t="str">
        <f t="shared" si="506"/>
        <v>09940003022</v>
      </c>
      <c r="B1488" s="7" t="str">
        <f t="shared" si="507"/>
        <v>堺三原台（旧三原台第１）</v>
      </c>
      <c r="C1488" s="7" t="str">
        <f t="shared" si="494"/>
        <v>行政財産</v>
      </c>
      <c r="D1488" s="7" t="str">
        <f t="shared" si="495"/>
        <v>公営住宅</v>
      </c>
      <c r="E1488" s="7" t="str">
        <f t="shared" si="508"/>
        <v>大阪府堺市　南区三原台１丁</v>
      </c>
      <c r="F1488" s="7"/>
      <c r="G1488" s="7" t="str">
        <f t="shared" si="489"/>
        <v>事業用資産</v>
      </c>
      <c r="H1488" s="7" t="str">
        <f t="shared" si="509"/>
        <v>棚卸以外</v>
      </c>
      <c r="I1488" s="7">
        <v>19</v>
      </c>
      <c r="J1488" s="7" t="str">
        <f>"電気室・ポンプ室"</f>
        <v>電気室・ポンプ室</v>
      </c>
      <c r="K1488" s="7" t="str">
        <f t="shared" si="498"/>
        <v>鉄筋コンクリート造</v>
      </c>
      <c r="L1488" s="7" t="str">
        <f t="shared" si="510"/>
        <v>R04.05.01</v>
      </c>
      <c r="M1488" s="7">
        <v>208.57</v>
      </c>
      <c r="N1488" s="7">
        <v>120279706</v>
      </c>
      <c r="O1488" s="7">
        <v>2132620</v>
      </c>
      <c r="P1488" s="7">
        <v>0</v>
      </c>
      <c r="Q1488" s="7" t="str">
        <f t="shared" si="497"/>
        <v>都市整備部</v>
      </c>
      <c r="R1488" s="7" t="str">
        <f t="shared" si="491"/>
        <v>住宅建築局住宅経営室</v>
      </c>
    </row>
    <row r="1489" spans="1:18" s="1" customFormat="1" x14ac:dyDescent="0.45">
      <c r="A1489" s="7" t="str">
        <f t="shared" si="506"/>
        <v>09940003022</v>
      </c>
      <c r="B1489" s="7" t="str">
        <f t="shared" si="507"/>
        <v>堺三原台（旧三原台第１）</v>
      </c>
      <c r="C1489" s="7" t="str">
        <f t="shared" si="494"/>
        <v>行政財産</v>
      </c>
      <c r="D1489" s="7" t="str">
        <f t="shared" si="495"/>
        <v>公営住宅</v>
      </c>
      <c r="E1489" s="7" t="str">
        <f t="shared" si="508"/>
        <v>大阪府堺市　南区三原台１丁</v>
      </c>
      <c r="F1489" s="7"/>
      <c r="G1489" s="7" t="str">
        <f t="shared" si="489"/>
        <v>事業用資産</v>
      </c>
      <c r="H1489" s="7" t="str">
        <f t="shared" si="509"/>
        <v>棚卸以外</v>
      </c>
      <c r="I1489" s="7">
        <v>20</v>
      </c>
      <c r="J1489" s="7" t="str">
        <f>"集会所"</f>
        <v>集会所</v>
      </c>
      <c r="K1489" s="7" t="str">
        <f t="shared" si="498"/>
        <v>鉄筋コンクリート造</v>
      </c>
      <c r="L1489" s="7" t="str">
        <f t="shared" si="510"/>
        <v>R04.05.01</v>
      </c>
      <c r="M1489" s="7">
        <v>307.55</v>
      </c>
      <c r="N1489" s="7">
        <v>83761344</v>
      </c>
      <c r="O1489" s="7">
        <v>1485140</v>
      </c>
      <c r="P1489" s="7">
        <v>0</v>
      </c>
      <c r="Q1489" s="7" t="str">
        <f t="shared" si="497"/>
        <v>都市整備部</v>
      </c>
      <c r="R1489" s="7" t="str">
        <f t="shared" si="491"/>
        <v>住宅建築局住宅経営室</v>
      </c>
    </row>
    <row r="1490" spans="1:18" s="1" customFormat="1" x14ac:dyDescent="0.45">
      <c r="A1490" s="7" t="str">
        <f t="shared" ref="A1490:A1510" si="511">"09940003029"</f>
        <v>09940003029</v>
      </c>
      <c r="B1490" s="7" t="str">
        <f t="shared" ref="B1490:B1510" si="512">"泉佐野泉ヶ丘（旧泉ヶ丘）"</f>
        <v>泉佐野泉ヶ丘（旧泉ヶ丘）</v>
      </c>
      <c r="C1490" s="7" t="str">
        <f t="shared" si="494"/>
        <v>行政財産</v>
      </c>
      <c r="D1490" s="7" t="str">
        <f t="shared" si="495"/>
        <v>公営住宅</v>
      </c>
      <c r="E1490" s="7" t="str">
        <f t="shared" ref="E1490:E1510" si="513">"大阪府泉佐野市鶴原"</f>
        <v>大阪府泉佐野市鶴原</v>
      </c>
      <c r="F1490" s="7"/>
      <c r="G1490" s="7" t="str">
        <f t="shared" si="489"/>
        <v>事業用資産</v>
      </c>
      <c r="H1490" s="7" t="str">
        <f t="shared" si="509"/>
        <v>棚卸以外</v>
      </c>
      <c r="I1490" s="7">
        <v>1</v>
      </c>
      <c r="J1490" s="7" t="str">
        <f>"７号棟"</f>
        <v>７号棟</v>
      </c>
      <c r="K1490" s="7" t="str">
        <f t="shared" ref="K1490:K1510" si="514">"鉄筋"</f>
        <v>鉄筋</v>
      </c>
      <c r="L1490" s="7" t="str">
        <f t="shared" ref="L1490:L1502" si="515">"H05.03.30"</f>
        <v>H05.03.30</v>
      </c>
      <c r="M1490" s="7">
        <v>3454.29</v>
      </c>
      <c r="N1490" s="7">
        <v>622790000</v>
      </c>
      <c r="O1490" s="7">
        <v>397525680</v>
      </c>
      <c r="P1490" s="7">
        <v>0</v>
      </c>
      <c r="Q1490" s="7" t="str">
        <f t="shared" si="497"/>
        <v>都市整備部</v>
      </c>
      <c r="R1490" s="7" t="str">
        <f t="shared" si="491"/>
        <v>住宅建築局住宅経営室</v>
      </c>
    </row>
    <row r="1491" spans="1:18" s="1" customFormat="1" x14ac:dyDescent="0.45">
      <c r="A1491" s="7" t="str">
        <f t="shared" si="511"/>
        <v>09940003029</v>
      </c>
      <c r="B1491" s="7" t="str">
        <f t="shared" si="512"/>
        <v>泉佐野泉ヶ丘（旧泉ヶ丘）</v>
      </c>
      <c r="C1491" s="7" t="str">
        <f t="shared" si="494"/>
        <v>行政財産</v>
      </c>
      <c r="D1491" s="7" t="str">
        <f t="shared" si="495"/>
        <v>公営住宅</v>
      </c>
      <c r="E1491" s="7" t="str">
        <f t="shared" si="513"/>
        <v>大阪府泉佐野市鶴原</v>
      </c>
      <c r="F1491" s="7"/>
      <c r="G1491" s="7" t="str">
        <f t="shared" si="489"/>
        <v>事業用資産</v>
      </c>
      <c r="H1491" s="7" t="str">
        <f t="shared" si="509"/>
        <v>棚卸以外</v>
      </c>
      <c r="I1491" s="7">
        <v>2</v>
      </c>
      <c r="J1491" s="7" t="str">
        <f>"８号棟"</f>
        <v>８号棟</v>
      </c>
      <c r="K1491" s="7" t="str">
        <f t="shared" si="514"/>
        <v>鉄筋</v>
      </c>
      <c r="L1491" s="7" t="str">
        <f t="shared" si="515"/>
        <v>H05.03.30</v>
      </c>
      <c r="M1491" s="7">
        <v>725.85</v>
      </c>
      <c r="N1491" s="7">
        <v>139556000</v>
      </c>
      <c r="O1491" s="7">
        <v>89078400</v>
      </c>
      <c r="P1491" s="7">
        <v>0</v>
      </c>
      <c r="Q1491" s="7" t="str">
        <f t="shared" si="497"/>
        <v>都市整備部</v>
      </c>
      <c r="R1491" s="7" t="str">
        <f t="shared" si="491"/>
        <v>住宅建築局住宅経営室</v>
      </c>
    </row>
    <row r="1492" spans="1:18" s="1" customFormat="1" x14ac:dyDescent="0.45">
      <c r="A1492" s="7" t="str">
        <f t="shared" si="511"/>
        <v>09940003029</v>
      </c>
      <c r="B1492" s="7" t="str">
        <f t="shared" si="512"/>
        <v>泉佐野泉ヶ丘（旧泉ヶ丘）</v>
      </c>
      <c r="C1492" s="7" t="str">
        <f t="shared" si="494"/>
        <v>行政財産</v>
      </c>
      <c r="D1492" s="7" t="str">
        <f t="shared" si="495"/>
        <v>公営住宅</v>
      </c>
      <c r="E1492" s="7" t="str">
        <f t="shared" si="513"/>
        <v>大阪府泉佐野市鶴原</v>
      </c>
      <c r="F1492" s="7"/>
      <c r="G1492" s="7" t="str">
        <f t="shared" si="489"/>
        <v>事業用資産</v>
      </c>
      <c r="H1492" s="7" t="str">
        <f t="shared" si="509"/>
        <v>棚卸以外</v>
      </c>
      <c r="I1492" s="7">
        <v>3</v>
      </c>
      <c r="J1492" s="7" t="str">
        <f>"９号棟"</f>
        <v>９号棟</v>
      </c>
      <c r="K1492" s="7" t="str">
        <f t="shared" si="514"/>
        <v>鉄筋</v>
      </c>
      <c r="L1492" s="7" t="str">
        <f t="shared" si="515"/>
        <v>H05.03.30</v>
      </c>
      <c r="M1492" s="7">
        <v>949.29</v>
      </c>
      <c r="N1492" s="7">
        <v>179994000</v>
      </c>
      <c r="O1492" s="7">
        <v>114890040</v>
      </c>
      <c r="P1492" s="7">
        <v>0</v>
      </c>
      <c r="Q1492" s="7" t="str">
        <f t="shared" si="497"/>
        <v>都市整備部</v>
      </c>
      <c r="R1492" s="7" t="str">
        <f t="shared" si="491"/>
        <v>住宅建築局住宅経営室</v>
      </c>
    </row>
    <row r="1493" spans="1:18" s="1" customFormat="1" x14ac:dyDescent="0.45">
      <c r="A1493" s="7" t="str">
        <f t="shared" si="511"/>
        <v>09940003029</v>
      </c>
      <c r="B1493" s="7" t="str">
        <f t="shared" si="512"/>
        <v>泉佐野泉ヶ丘（旧泉ヶ丘）</v>
      </c>
      <c r="C1493" s="7" t="str">
        <f t="shared" si="494"/>
        <v>行政財産</v>
      </c>
      <c r="D1493" s="7" t="str">
        <f t="shared" si="495"/>
        <v>公営住宅</v>
      </c>
      <c r="E1493" s="7" t="str">
        <f t="shared" si="513"/>
        <v>大阪府泉佐野市鶴原</v>
      </c>
      <c r="F1493" s="7"/>
      <c r="G1493" s="7" t="str">
        <f t="shared" si="489"/>
        <v>事業用資産</v>
      </c>
      <c r="H1493" s="7" t="str">
        <f t="shared" si="509"/>
        <v>棚卸以外</v>
      </c>
      <c r="I1493" s="7">
        <v>4</v>
      </c>
      <c r="J1493" s="7" t="str">
        <f>"１０号棟"</f>
        <v>１０号棟</v>
      </c>
      <c r="K1493" s="7" t="str">
        <f t="shared" si="514"/>
        <v>鉄筋</v>
      </c>
      <c r="L1493" s="7" t="str">
        <f t="shared" si="515"/>
        <v>H05.03.30</v>
      </c>
      <c r="M1493" s="7">
        <v>1194.3900000000001</v>
      </c>
      <c r="N1493" s="7">
        <v>220338000</v>
      </c>
      <c r="O1493" s="7">
        <v>140641560</v>
      </c>
      <c r="P1493" s="7">
        <v>0</v>
      </c>
      <c r="Q1493" s="7" t="str">
        <f t="shared" si="497"/>
        <v>都市整備部</v>
      </c>
      <c r="R1493" s="7" t="str">
        <f t="shared" si="491"/>
        <v>住宅建築局住宅経営室</v>
      </c>
    </row>
    <row r="1494" spans="1:18" s="1" customFormat="1" x14ac:dyDescent="0.45">
      <c r="A1494" s="7" t="str">
        <f t="shared" si="511"/>
        <v>09940003029</v>
      </c>
      <c r="B1494" s="7" t="str">
        <f t="shared" si="512"/>
        <v>泉佐野泉ヶ丘（旧泉ヶ丘）</v>
      </c>
      <c r="C1494" s="7" t="str">
        <f t="shared" si="494"/>
        <v>行政財産</v>
      </c>
      <c r="D1494" s="7" t="str">
        <f t="shared" si="495"/>
        <v>公営住宅</v>
      </c>
      <c r="E1494" s="7" t="str">
        <f t="shared" si="513"/>
        <v>大阪府泉佐野市鶴原</v>
      </c>
      <c r="F1494" s="7"/>
      <c r="G1494" s="7" t="str">
        <f t="shared" si="489"/>
        <v>事業用資産</v>
      </c>
      <c r="H1494" s="7" t="str">
        <f t="shared" si="509"/>
        <v>棚卸以外</v>
      </c>
      <c r="I1494" s="7">
        <v>5</v>
      </c>
      <c r="J1494" s="7" t="str">
        <f>"１１号棟"</f>
        <v>１１号棟</v>
      </c>
      <c r="K1494" s="7" t="str">
        <f t="shared" si="514"/>
        <v>鉄筋</v>
      </c>
      <c r="L1494" s="7" t="str">
        <f t="shared" si="515"/>
        <v>H05.03.30</v>
      </c>
      <c r="M1494" s="7">
        <v>2209.29</v>
      </c>
      <c r="N1494" s="7">
        <v>423294000</v>
      </c>
      <c r="O1494" s="7">
        <v>270187920</v>
      </c>
      <c r="P1494" s="7">
        <v>0</v>
      </c>
      <c r="Q1494" s="7" t="str">
        <f t="shared" si="497"/>
        <v>都市整備部</v>
      </c>
      <c r="R1494" s="7" t="str">
        <f t="shared" si="491"/>
        <v>住宅建築局住宅経営室</v>
      </c>
    </row>
    <row r="1495" spans="1:18" s="1" customFormat="1" x14ac:dyDescent="0.45">
      <c r="A1495" s="7" t="str">
        <f t="shared" si="511"/>
        <v>09940003029</v>
      </c>
      <c r="B1495" s="7" t="str">
        <f t="shared" si="512"/>
        <v>泉佐野泉ヶ丘（旧泉ヶ丘）</v>
      </c>
      <c r="C1495" s="7" t="str">
        <f t="shared" si="494"/>
        <v>行政財産</v>
      </c>
      <c r="D1495" s="7" t="str">
        <f t="shared" si="495"/>
        <v>公営住宅</v>
      </c>
      <c r="E1495" s="7" t="str">
        <f t="shared" si="513"/>
        <v>大阪府泉佐野市鶴原</v>
      </c>
      <c r="F1495" s="7"/>
      <c r="G1495" s="7" t="str">
        <f t="shared" ref="G1495:G1558" si="516">"事業用資産"</f>
        <v>事業用資産</v>
      </c>
      <c r="H1495" s="7" t="str">
        <f t="shared" si="509"/>
        <v>棚卸以外</v>
      </c>
      <c r="I1495" s="7">
        <v>6</v>
      </c>
      <c r="J1495" s="7" t="str">
        <f>"１２号棟"</f>
        <v>１２号棟</v>
      </c>
      <c r="K1495" s="7" t="str">
        <f t="shared" si="514"/>
        <v>鉄筋</v>
      </c>
      <c r="L1495" s="7" t="str">
        <f t="shared" si="515"/>
        <v>H05.03.30</v>
      </c>
      <c r="M1495" s="7">
        <v>655.77</v>
      </c>
      <c r="N1495" s="7">
        <v>135127000</v>
      </c>
      <c r="O1495" s="7">
        <v>86251320</v>
      </c>
      <c r="P1495" s="7">
        <v>0</v>
      </c>
      <c r="Q1495" s="7" t="str">
        <f t="shared" si="497"/>
        <v>都市整備部</v>
      </c>
      <c r="R1495" s="7" t="str">
        <f t="shared" si="491"/>
        <v>住宅建築局住宅経営室</v>
      </c>
    </row>
    <row r="1496" spans="1:18" s="1" customFormat="1" x14ac:dyDescent="0.45">
      <c r="A1496" s="7" t="str">
        <f t="shared" si="511"/>
        <v>09940003029</v>
      </c>
      <c r="B1496" s="7" t="str">
        <f t="shared" si="512"/>
        <v>泉佐野泉ヶ丘（旧泉ヶ丘）</v>
      </c>
      <c r="C1496" s="7" t="str">
        <f t="shared" si="494"/>
        <v>行政財産</v>
      </c>
      <c r="D1496" s="7" t="str">
        <f t="shared" si="495"/>
        <v>公営住宅</v>
      </c>
      <c r="E1496" s="7" t="str">
        <f t="shared" si="513"/>
        <v>大阪府泉佐野市鶴原</v>
      </c>
      <c r="F1496" s="7"/>
      <c r="G1496" s="7" t="str">
        <f t="shared" si="516"/>
        <v>事業用資産</v>
      </c>
      <c r="H1496" s="7" t="str">
        <f t="shared" si="509"/>
        <v>棚卸以外</v>
      </c>
      <c r="I1496" s="7">
        <v>7</v>
      </c>
      <c r="J1496" s="7" t="str">
        <f>"１３号棟"</f>
        <v>１３号棟</v>
      </c>
      <c r="K1496" s="7" t="str">
        <f t="shared" si="514"/>
        <v>鉄筋</v>
      </c>
      <c r="L1496" s="7" t="str">
        <f t="shared" si="515"/>
        <v>H05.03.30</v>
      </c>
      <c r="M1496" s="7">
        <v>1924.05</v>
      </c>
      <c r="N1496" s="7">
        <v>376043000</v>
      </c>
      <c r="O1496" s="7">
        <v>240027480</v>
      </c>
      <c r="P1496" s="7">
        <v>0</v>
      </c>
      <c r="Q1496" s="7" t="str">
        <f t="shared" si="497"/>
        <v>都市整備部</v>
      </c>
      <c r="R1496" s="7" t="str">
        <f t="shared" ref="R1496:R1559" si="517">"住宅建築局住宅経営室"</f>
        <v>住宅建築局住宅経営室</v>
      </c>
    </row>
    <row r="1497" spans="1:18" s="1" customFormat="1" x14ac:dyDescent="0.45">
      <c r="A1497" s="7" t="str">
        <f t="shared" si="511"/>
        <v>09940003029</v>
      </c>
      <c r="B1497" s="7" t="str">
        <f t="shared" si="512"/>
        <v>泉佐野泉ヶ丘（旧泉ヶ丘）</v>
      </c>
      <c r="C1497" s="7" t="str">
        <f t="shared" si="494"/>
        <v>行政財産</v>
      </c>
      <c r="D1497" s="7" t="str">
        <f t="shared" si="495"/>
        <v>公営住宅</v>
      </c>
      <c r="E1497" s="7" t="str">
        <f t="shared" si="513"/>
        <v>大阪府泉佐野市鶴原</v>
      </c>
      <c r="F1497" s="7"/>
      <c r="G1497" s="7" t="str">
        <f t="shared" si="516"/>
        <v>事業用資産</v>
      </c>
      <c r="H1497" s="7" t="str">
        <f t="shared" si="509"/>
        <v>棚卸以外</v>
      </c>
      <c r="I1497" s="7">
        <v>8</v>
      </c>
      <c r="J1497" s="7" t="str">
        <f>"１４号棟"</f>
        <v>１４号棟</v>
      </c>
      <c r="K1497" s="7" t="str">
        <f t="shared" si="514"/>
        <v>鉄筋</v>
      </c>
      <c r="L1497" s="7" t="str">
        <f t="shared" si="515"/>
        <v>H05.03.30</v>
      </c>
      <c r="M1497" s="7">
        <v>1252.1400000000001</v>
      </c>
      <c r="N1497" s="7">
        <v>253050000</v>
      </c>
      <c r="O1497" s="7">
        <v>161521560</v>
      </c>
      <c r="P1497" s="7">
        <v>0</v>
      </c>
      <c r="Q1497" s="7" t="str">
        <f t="shared" si="497"/>
        <v>都市整備部</v>
      </c>
      <c r="R1497" s="7" t="str">
        <f t="shared" si="517"/>
        <v>住宅建築局住宅経営室</v>
      </c>
    </row>
    <row r="1498" spans="1:18" s="1" customFormat="1" x14ac:dyDescent="0.45">
      <c r="A1498" s="7" t="str">
        <f t="shared" si="511"/>
        <v>09940003029</v>
      </c>
      <c r="B1498" s="7" t="str">
        <f t="shared" si="512"/>
        <v>泉佐野泉ヶ丘（旧泉ヶ丘）</v>
      </c>
      <c r="C1498" s="7" t="str">
        <f t="shared" ref="C1498:C1561" si="518">"行政財産"</f>
        <v>行政財産</v>
      </c>
      <c r="D1498" s="7" t="str">
        <f t="shared" ref="D1498:D1561" si="519">"公営住宅"</f>
        <v>公営住宅</v>
      </c>
      <c r="E1498" s="7" t="str">
        <f t="shared" si="513"/>
        <v>大阪府泉佐野市鶴原</v>
      </c>
      <c r="F1498" s="7"/>
      <c r="G1498" s="7" t="str">
        <f t="shared" si="516"/>
        <v>事業用資産</v>
      </c>
      <c r="H1498" s="7" t="str">
        <f t="shared" si="509"/>
        <v>棚卸以外</v>
      </c>
      <c r="I1498" s="7">
        <v>9</v>
      </c>
      <c r="J1498" s="7" t="str">
        <f>"１５号棟"</f>
        <v>１５号棟</v>
      </c>
      <c r="K1498" s="7" t="str">
        <f t="shared" si="514"/>
        <v>鉄筋</v>
      </c>
      <c r="L1498" s="7" t="str">
        <f t="shared" si="515"/>
        <v>H05.03.30</v>
      </c>
      <c r="M1498" s="7">
        <v>871.89</v>
      </c>
      <c r="N1498" s="7">
        <v>179022000</v>
      </c>
      <c r="O1498" s="7">
        <v>114269400</v>
      </c>
      <c r="P1498" s="7">
        <v>0</v>
      </c>
      <c r="Q1498" s="7" t="str">
        <f t="shared" si="497"/>
        <v>都市整備部</v>
      </c>
      <c r="R1498" s="7" t="str">
        <f t="shared" si="517"/>
        <v>住宅建築局住宅経営室</v>
      </c>
    </row>
    <row r="1499" spans="1:18" s="1" customFormat="1" x14ac:dyDescent="0.45">
      <c r="A1499" s="7" t="str">
        <f t="shared" si="511"/>
        <v>09940003029</v>
      </c>
      <c r="B1499" s="7" t="str">
        <f t="shared" si="512"/>
        <v>泉佐野泉ヶ丘（旧泉ヶ丘）</v>
      </c>
      <c r="C1499" s="7" t="str">
        <f t="shared" si="518"/>
        <v>行政財産</v>
      </c>
      <c r="D1499" s="7" t="str">
        <f t="shared" si="519"/>
        <v>公営住宅</v>
      </c>
      <c r="E1499" s="7" t="str">
        <f t="shared" si="513"/>
        <v>大阪府泉佐野市鶴原</v>
      </c>
      <c r="F1499" s="7"/>
      <c r="G1499" s="7" t="str">
        <f t="shared" si="516"/>
        <v>事業用資産</v>
      </c>
      <c r="H1499" s="7" t="str">
        <f t="shared" si="509"/>
        <v>棚卸以外</v>
      </c>
      <c r="I1499" s="7">
        <v>10</v>
      </c>
      <c r="J1499" s="7" t="str">
        <f>"１６号棟"</f>
        <v>１６号棟</v>
      </c>
      <c r="K1499" s="7" t="str">
        <f t="shared" si="514"/>
        <v>鉄筋</v>
      </c>
      <c r="L1499" s="7" t="str">
        <f t="shared" si="515"/>
        <v>H05.03.30</v>
      </c>
      <c r="M1499" s="7">
        <v>1351.26</v>
      </c>
      <c r="N1499" s="7">
        <v>265012000</v>
      </c>
      <c r="O1499" s="7">
        <v>169156800</v>
      </c>
      <c r="P1499" s="7">
        <v>0</v>
      </c>
      <c r="Q1499" s="7" t="str">
        <f t="shared" ref="Q1499:Q1562" si="520">"都市整備部"</f>
        <v>都市整備部</v>
      </c>
      <c r="R1499" s="7" t="str">
        <f t="shared" si="517"/>
        <v>住宅建築局住宅経営室</v>
      </c>
    </row>
    <row r="1500" spans="1:18" s="1" customFormat="1" x14ac:dyDescent="0.45">
      <c r="A1500" s="7" t="str">
        <f t="shared" si="511"/>
        <v>09940003029</v>
      </c>
      <c r="B1500" s="7" t="str">
        <f t="shared" si="512"/>
        <v>泉佐野泉ヶ丘（旧泉ヶ丘）</v>
      </c>
      <c r="C1500" s="7" t="str">
        <f t="shared" si="518"/>
        <v>行政財産</v>
      </c>
      <c r="D1500" s="7" t="str">
        <f t="shared" si="519"/>
        <v>公営住宅</v>
      </c>
      <c r="E1500" s="7" t="str">
        <f t="shared" si="513"/>
        <v>大阪府泉佐野市鶴原</v>
      </c>
      <c r="F1500" s="7"/>
      <c r="G1500" s="7" t="str">
        <f t="shared" si="516"/>
        <v>事業用資産</v>
      </c>
      <c r="H1500" s="7" t="str">
        <f t="shared" si="509"/>
        <v>棚卸以外</v>
      </c>
      <c r="I1500" s="7">
        <v>11</v>
      </c>
      <c r="J1500" s="7" t="str">
        <f>"集会所"</f>
        <v>集会所</v>
      </c>
      <c r="K1500" s="7" t="str">
        <f t="shared" si="514"/>
        <v>鉄筋</v>
      </c>
      <c r="L1500" s="7" t="str">
        <f t="shared" si="515"/>
        <v>H05.03.30</v>
      </c>
      <c r="M1500" s="7">
        <v>149.53</v>
      </c>
      <c r="N1500" s="7">
        <v>35710000</v>
      </c>
      <c r="O1500" s="7">
        <v>22793760</v>
      </c>
      <c r="P1500" s="7">
        <v>0</v>
      </c>
      <c r="Q1500" s="7" t="str">
        <f t="shared" si="520"/>
        <v>都市整備部</v>
      </c>
      <c r="R1500" s="7" t="str">
        <f t="shared" si="517"/>
        <v>住宅建築局住宅経営室</v>
      </c>
    </row>
    <row r="1501" spans="1:18" s="1" customFormat="1" x14ac:dyDescent="0.45">
      <c r="A1501" s="7" t="str">
        <f t="shared" si="511"/>
        <v>09940003029</v>
      </c>
      <c r="B1501" s="7" t="str">
        <f t="shared" si="512"/>
        <v>泉佐野泉ヶ丘（旧泉ヶ丘）</v>
      </c>
      <c r="C1501" s="7" t="str">
        <f t="shared" si="518"/>
        <v>行政財産</v>
      </c>
      <c r="D1501" s="7" t="str">
        <f t="shared" si="519"/>
        <v>公営住宅</v>
      </c>
      <c r="E1501" s="7" t="str">
        <f t="shared" si="513"/>
        <v>大阪府泉佐野市鶴原</v>
      </c>
      <c r="F1501" s="7"/>
      <c r="G1501" s="7" t="str">
        <f t="shared" si="516"/>
        <v>事業用資産</v>
      </c>
      <c r="H1501" s="7" t="str">
        <f t="shared" si="509"/>
        <v>棚卸以外</v>
      </c>
      <c r="I1501" s="7">
        <v>12</v>
      </c>
      <c r="J1501" s="7" t="str">
        <f>"受水槽"</f>
        <v>受水槽</v>
      </c>
      <c r="K1501" s="7" t="str">
        <f t="shared" si="514"/>
        <v>鉄筋</v>
      </c>
      <c r="L1501" s="7" t="str">
        <f t="shared" si="515"/>
        <v>H05.03.30</v>
      </c>
      <c r="M1501" s="7">
        <v>32.01</v>
      </c>
      <c r="N1501" s="7">
        <v>19475000</v>
      </c>
      <c r="O1501" s="7">
        <v>12431160</v>
      </c>
      <c r="P1501" s="7">
        <v>0</v>
      </c>
      <c r="Q1501" s="7" t="str">
        <f t="shared" si="520"/>
        <v>都市整備部</v>
      </c>
      <c r="R1501" s="7" t="str">
        <f t="shared" si="517"/>
        <v>住宅建築局住宅経営室</v>
      </c>
    </row>
    <row r="1502" spans="1:18" s="1" customFormat="1" x14ac:dyDescent="0.45">
      <c r="A1502" s="7" t="str">
        <f t="shared" si="511"/>
        <v>09940003029</v>
      </c>
      <c r="B1502" s="7" t="str">
        <f t="shared" si="512"/>
        <v>泉佐野泉ヶ丘（旧泉ヶ丘）</v>
      </c>
      <c r="C1502" s="7" t="str">
        <f t="shared" si="518"/>
        <v>行政財産</v>
      </c>
      <c r="D1502" s="7" t="str">
        <f t="shared" si="519"/>
        <v>公営住宅</v>
      </c>
      <c r="E1502" s="7" t="str">
        <f t="shared" si="513"/>
        <v>大阪府泉佐野市鶴原</v>
      </c>
      <c r="F1502" s="7"/>
      <c r="G1502" s="7" t="str">
        <f t="shared" si="516"/>
        <v>事業用資産</v>
      </c>
      <c r="H1502" s="7" t="str">
        <f t="shared" si="509"/>
        <v>棚卸以外</v>
      </c>
      <c r="I1502" s="7">
        <v>13</v>
      </c>
      <c r="J1502" s="7" t="str">
        <f>"浄化槽"</f>
        <v>浄化槽</v>
      </c>
      <c r="K1502" s="7" t="str">
        <f t="shared" si="514"/>
        <v>鉄筋</v>
      </c>
      <c r="L1502" s="7" t="str">
        <f t="shared" si="515"/>
        <v>H05.03.30</v>
      </c>
      <c r="M1502" s="7">
        <v>7.31</v>
      </c>
      <c r="N1502" s="7">
        <v>30551000</v>
      </c>
      <c r="O1502" s="7">
        <v>19500840</v>
      </c>
      <c r="P1502" s="7">
        <v>0</v>
      </c>
      <c r="Q1502" s="7" t="str">
        <f t="shared" si="520"/>
        <v>都市整備部</v>
      </c>
      <c r="R1502" s="7" t="str">
        <f t="shared" si="517"/>
        <v>住宅建築局住宅経営室</v>
      </c>
    </row>
    <row r="1503" spans="1:18" s="1" customFormat="1" x14ac:dyDescent="0.45">
      <c r="A1503" s="7" t="str">
        <f t="shared" si="511"/>
        <v>09940003029</v>
      </c>
      <c r="B1503" s="7" t="str">
        <f t="shared" si="512"/>
        <v>泉佐野泉ヶ丘（旧泉ヶ丘）</v>
      </c>
      <c r="C1503" s="7" t="str">
        <f t="shared" si="518"/>
        <v>行政財産</v>
      </c>
      <c r="D1503" s="7" t="str">
        <f t="shared" si="519"/>
        <v>公営住宅</v>
      </c>
      <c r="E1503" s="7" t="str">
        <f t="shared" si="513"/>
        <v>大阪府泉佐野市鶴原</v>
      </c>
      <c r="F1503" s="7"/>
      <c r="G1503" s="7" t="str">
        <f t="shared" si="516"/>
        <v>事業用資産</v>
      </c>
      <c r="H1503" s="7" t="str">
        <f t="shared" si="509"/>
        <v>棚卸以外</v>
      </c>
      <c r="I1503" s="7">
        <v>14</v>
      </c>
      <c r="J1503" s="7" t="str">
        <f>"１号棟"</f>
        <v>１号棟</v>
      </c>
      <c r="K1503" s="7" t="str">
        <f t="shared" si="514"/>
        <v>鉄筋</v>
      </c>
      <c r="L1503" s="7" t="str">
        <f t="shared" ref="L1503:L1510" si="521">"H02.04.01"</f>
        <v>H02.04.01</v>
      </c>
      <c r="M1503" s="7">
        <v>862.43</v>
      </c>
      <c r="N1503" s="7">
        <v>124285000</v>
      </c>
      <c r="O1503" s="7">
        <v>87043780</v>
      </c>
      <c r="P1503" s="7">
        <v>0</v>
      </c>
      <c r="Q1503" s="7" t="str">
        <f t="shared" si="520"/>
        <v>都市整備部</v>
      </c>
      <c r="R1503" s="7" t="str">
        <f t="shared" si="517"/>
        <v>住宅建築局住宅経営室</v>
      </c>
    </row>
    <row r="1504" spans="1:18" s="1" customFormat="1" x14ac:dyDescent="0.45">
      <c r="A1504" s="7" t="str">
        <f t="shared" si="511"/>
        <v>09940003029</v>
      </c>
      <c r="B1504" s="7" t="str">
        <f t="shared" si="512"/>
        <v>泉佐野泉ヶ丘（旧泉ヶ丘）</v>
      </c>
      <c r="C1504" s="7" t="str">
        <f t="shared" si="518"/>
        <v>行政財産</v>
      </c>
      <c r="D1504" s="7" t="str">
        <f t="shared" si="519"/>
        <v>公営住宅</v>
      </c>
      <c r="E1504" s="7" t="str">
        <f t="shared" si="513"/>
        <v>大阪府泉佐野市鶴原</v>
      </c>
      <c r="F1504" s="7"/>
      <c r="G1504" s="7" t="str">
        <f t="shared" si="516"/>
        <v>事業用資産</v>
      </c>
      <c r="H1504" s="7" t="str">
        <f t="shared" si="509"/>
        <v>棚卸以外</v>
      </c>
      <c r="I1504" s="7">
        <v>15</v>
      </c>
      <c r="J1504" s="7" t="str">
        <f>"２号棟"</f>
        <v>２号棟</v>
      </c>
      <c r="K1504" s="7" t="str">
        <f t="shared" si="514"/>
        <v>鉄筋</v>
      </c>
      <c r="L1504" s="7" t="str">
        <f t="shared" si="521"/>
        <v>H02.04.01</v>
      </c>
      <c r="M1504" s="7">
        <v>2588.42</v>
      </c>
      <c r="N1504" s="7">
        <v>390442000</v>
      </c>
      <c r="O1504" s="7">
        <v>273448230</v>
      </c>
      <c r="P1504" s="7">
        <v>0</v>
      </c>
      <c r="Q1504" s="7" t="str">
        <f t="shared" si="520"/>
        <v>都市整備部</v>
      </c>
      <c r="R1504" s="7" t="str">
        <f t="shared" si="517"/>
        <v>住宅建築局住宅経営室</v>
      </c>
    </row>
    <row r="1505" spans="1:18" s="1" customFormat="1" x14ac:dyDescent="0.45">
      <c r="A1505" s="7" t="str">
        <f t="shared" si="511"/>
        <v>09940003029</v>
      </c>
      <c r="B1505" s="7" t="str">
        <f t="shared" si="512"/>
        <v>泉佐野泉ヶ丘（旧泉ヶ丘）</v>
      </c>
      <c r="C1505" s="7" t="str">
        <f t="shared" si="518"/>
        <v>行政財産</v>
      </c>
      <c r="D1505" s="7" t="str">
        <f t="shared" si="519"/>
        <v>公営住宅</v>
      </c>
      <c r="E1505" s="7" t="str">
        <f t="shared" si="513"/>
        <v>大阪府泉佐野市鶴原</v>
      </c>
      <c r="F1505" s="7"/>
      <c r="G1505" s="7" t="str">
        <f t="shared" si="516"/>
        <v>事業用資産</v>
      </c>
      <c r="H1505" s="7" t="str">
        <f t="shared" si="509"/>
        <v>棚卸以外</v>
      </c>
      <c r="I1505" s="7">
        <v>16</v>
      </c>
      <c r="J1505" s="7" t="str">
        <f>"３号棟"</f>
        <v>３号棟</v>
      </c>
      <c r="K1505" s="7" t="str">
        <f t="shared" si="514"/>
        <v>鉄筋</v>
      </c>
      <c r="L1505" s="7" t="str">
        <f t="shared" si="521"/>
        <v>H02.04.01</v>
      </c>
      <c r="M1505" s="7">
        <v>1081.99</v>
      </c>
      <c r="N1505" s="7">
        <v>169655000</v>
      </c>
      <c r="O1505" s="7">
        <v>118818765</v>
      </c>
      <c r="P1505" s="7">
        <v>0</v>
      </c>
      <c r="Q1505" s="7" t="str">
        <f t="shared" si="520"/>
        <v>都市整備部</v>
      </c>
      <c r="R1505" s="7" t="str">
        <f t="shared" si="517"/>
        <v>住宅建築局住宅経営室</v>
      </c>
    </row>
    <row r="1506" spans="1:18" s="1" customFormat="1" x14ac:dyDescent="0.45">
      <c r="A1506" s="7" t="str">
        <f t="shared" si="511"/>
        <v>09940003029</v>
      </c>
      <c r="B1506" s="7" t="str">
        <f t="shared" si="512"/>
        <v>泉佐野泉ヶ丘（旧泉ヶ丘）</v>
      </c>
      <c r="C1506" s="7" t="str">
        <f t="shared" si="518"/>
        <v>行政財産</v>
      </c>
      <c r="D1506" s="7" t="str">
        <f t="shared" si="519"/>
        <v>公営住宅</v>
      </c>
      <c r="E1506" s="7" t="str">
        <f t="shared" si="513"/>
        <v>大阪府泉佐野市鶴原</v>
      </c>
      <c r="F1506" s="7"/>
      <c r="G1506" s="7" t="str">
        <f t="shared" si="516"/>
        <v>事業用資産</v>
      </c>
      <c r="H1506" s="7" t="str">
        <f t="shared" si="509"/>
        <v>棚卸以外</v>
      </c>
      <c r="I1506" s="7">
        <v>17</v>
      </c>
      <c r="J1506" s="7" t="str">
        <f>"４号棟"</f>
        <v>４号棟</v>
      </c>
      <c r="K1506" s="7" t="str">
        <f t="shared" si="514"/>
        <v>鉄筋</v>
      </c>
      <c r="L1506" s="7" t="str">
        <f t="shared" si="521"/>
        <v>H02.04.01</v>
      </c>
      <c r="M1506" s="7">
        <v>416.17</v>
      </c>
      <c r="N1506" s="7">
        <v>73566000</v>
      </c>
      <c r="O1506" s="7">
        <v>51522615</v>
      </c>
      <c r="P1506" s="7">
        <v>0</v>
      </c>
      <c r="Q1506" s="7" t="str">
        <f t="shared" si="520"/>
        <v>都市整備部</v>
      </c>
      <c r="R1506" s="7" t="str">
        <f t="shared" si="517"/>
        <v>住宅建築局住宅経営室</v>
      </c>
    </row>
    <row r="1507" spans="1:18" s="1" customFormat="1" x14ac:dyDescent="0.45">
      <c r="A1507" s="7" t="str">
        <f t="shared" si="511"/>
        <v>09940003029</v>
      </c>
      <c r="B1507" s="7" t="str">
        <f t="shared" si="512"/>
        <v>泉佐野泉ヶ丘（旧泉ヶ丘）</v>
      </c>
      <c r="C1507" s="7" t="str">
        <f t="shared" si="518"/>
        <v>行政財産</v>
      </c>
      <c r="D1507" s="7" t="str">
        <f t="shared" si="519"/>
        <v>公営住宅</v>
      </c>
      <c r="E1507" s="7" t="str">
        <f t="shared" si="513"/>
        <v>大阪府泉佐野市鶴原</v>
      </c>
      <c r="F1507" s="7"/>
      <c r="G1507" s="7" t="str">
        <f t="shared" si="516"/>
        <v>事業用資産</v>
      </c>
      <c r="H1507" s="7" t="str">
        <f t="shared" si="509"/>
        <v>棚卸以外</v>
      </c>
      <c r="I1507" s="7">
        <v>18</v>
      </c>
      <c r="J1507" s="7" t="str">
        <f>"５号棟"</f>
        <v>５号棟</v>
      </c>
      <c r="K1507" s="7" t="str">
        <f t="shared" si="514"/>
        <v>鉄筋</v>
      </c>
      <c r="L1507" s="7" t="str">
        <f t="shared" si="521"/>
        <v>H02.04.01</v>
      </c>
      <c r="M1507" s="7">
        <v>428.77</v>
      </c>
      <c r="N1507" s="7">
        <v>71011000</v>
      </c>
      <c r="O1507" s="7">
        <v>49733265</v>
      </c>
      <c r="P1507" s="7">
        <v>0</v>
      </c>
      <c r="Q1507" s="7" t="str">
        <f t="shared" si="520"/>
        <v>都市整備部</v>
      </c>
      <c r="R1507" s="7" t="str">
        <f t="shared" si="517"/>
        <v>住宅建築局住宅経営室</v>
      </c>
    </row>
    <row r="1508" spans="1:18" s="1" customFormat="1" x14ac:dyDescent="0.45">
      <c r="A1508" s="7" t="str">
        <f t="shared" si="511"/>
        <v>09940003029</v>
      </c>
      <c r="B1508" s="7" t="str">
        <f t="shared" si="512"/>
        <v>泉佐野泉ヶ丘（旧泉ヶ丘）</v>
      </c>
      <c r="C1508" s="7" t="str">
        <f t="shared" si="518"/>
        <v>行政財産</v>
      </c>
      <c r="D1508" s="7" t="str">
        <f t="shared" si="519"/>
        <v>公営住宅</v>
      </c>
      <c r="E1508" s="7" t="str">
        <f t="shared" si="513"/>
        <v>大阪府泉佐野市鶴原</v>
      </c>
      <c r="F1508" s="7"/>
      <c r="G1508" s="7" t="str">
        <f t="shared" si="516"/>
        <v>事業用資産</v>
      </c>
      <c r="H1508" s="7" t="str">
        <f t="shared" si="509"/>
        <v>棚卸以外</v>
      </c>
      <c r="I1508" s="7">
        <v>19</v>
      </c>
      <c r="J1508" s="7" t="str">
        <f>"６号棟"</f>
        <v>６号棟</v>
      </c>
      <c r="K1508" s="7" t="str">
        <f t="shared" si="514"/>
        <v>鉄筋</v>
      </c>
      <c r="L1508" s="7" t="str">
        <f t="shared" si="521"/>
        <v>H02.04.01</v>
      </c>
      <c r="M1508" s="7">
        <v>660.93</v>
      </c>
      <c r="N1508" s="7">
        <v>97009000</v>
      </c>
      <c r="O1508" s="7">
        <v>67940790</v>
      </c>
      <c r="P1508" s="7">
        <v>0</v>
      </c>
      <c r="Q1508" s="7" t="str">
        <f t="shared" si="520"/>
        <v>都市整備部</v>
      </c>
      <c r="R1508" s="7" t="str">
        <f t="shared" si="517"/>
        <v>住宅建築局住宅経営室</v>
      </c>
    </row>
    <row r="1509" spans="1:18" s="1" customFormat="1" x14ac:dyDescent="0.45">
      <c r="A1509" s="7" t="str">
        <f t="shared" si="511"/>
        <v>09940003029</v>
      </c>
      <c r="B1509" s="7" t="str">
        <f t="shared" si="512"/>
        <v>泉佐野泉ヶ丘（旧泉ヶ丘）</v>
      </c>
      <c r="C1509" s="7" t="str">
        <f t="shared" si="518"/>
        <v>行政財産</v>
      </c>
      <c r="D1509" s="7" t="str">
        <f t="shared" si="519"/>
        <v>公営住宅</v>
      </c>
      <c r="E1509" s="7" t="str">
        <f t="shared" si="513"/>
        <v>大阪府泉佐野市鶴原</v>
      </c>
      <c r="F1509" s="7"/>
      <c r="G1509" s="7" t="str">
        <f t="shared" si="516"/>
        <v>事業用資産</v>
      </c>
      <c r="H1509" s="7" t="str">
        <f t="shared" si="509"/>
        <v>棚卸以外</v>
      </c>
      <c r="I1509" s="7">
        <v>20</v>
      </c>
      <c r="J1509" s="7" t="str">
        <f>"汚水処理場"</f>
        <v>汚水処理場</v>
      </c>
      <c r="K1509" s="7" t="str">
        <f t="shared" si="514"/>
        <v>鉄筋</v>
      </c>
      <c r="L1509" s="7" t="str">
        <f t="shared" si="521"/>
        <v>H02.04.01</v>
      </c>
      <c r="M1509" s="7">
        <v>226.4</v>
      </c>
      <c r="N1509" s="7">
        <v>113685000</v>
      </c>
      <c r="O1509" s="7">
        <v>79620150</v>
      </c>
      <c r="P1509" s="7">
        <v>0</v>
      </c>
      <c r="Q1509" s="7" t="str">
        <f t="shared" si="520"/>
        <v>都市整備部</v>
      </c>
      <c r="R1509" s="7" t="str">
        <f t="shared" si="517"/>
        <v>住宅建築局住宅経営室</v>
      </c>
    </row>
    <row r="1510" spans="1:18" s="1" customFormat="1" x14ac:dyDescent="0.45">
      <c r="A1510" s="7" t="str">
        <f t="shared" si="511"/>
        <v>09940003029</v>
      </c>
      <c r="B1510" s="7" t="str">
        <f t="shared" si="512"/>
        <v>泉佐野泉ヶ丘（旧泉ヶ丘）</v>
      </c>
      <c r="C1510" s="7" t="str">
        <f t="shared" si="518"/>
        <v>行政財産</v>
      </c>
      <c r="D1510" s="7" t="str">
        <f t="shared" si="519"/>
        <v>公営住宅</v>
      </c>
      <c r="E1510" s="7" t="str">
        <f t="shared" si="513"/>
        <v>大阪府泉佐野市鶴原</v>
      </c>
      <c r="F1510" s="7"/>
      <c r="G1510" s="7" t="str">
        <f t="shared" si="516"/>
        <v>事業用資産</v>
      </c>
      <c r="H1510" s="7" t="str">
        <f t="shared" si="509"/>
        <v>棚卸以外</v>
      </c>
      <c r="I1510" s="7">
        <v>21</v>
      </c>
      <c r="J1510" s="7" t="str">
        <f>"受水槽（１０ｔ）"</f>
        <v>受水槽（１０ｔ）</v>
      </c>
      <c r="K1510" s="7" t="str">
        <f t="shared" si="514"/>
        <v>鉄筋</v>
      </c>
      <c r="L1510" s="7" t="str">
        <f t="shared" si="521"/>
        <v>H02.04.01</v>
      </c>
      <c r="M1510" s="7">
        <v>100</v>
      </c>
      <c r="N1510" s="7">
        <v>33643000</v>
      </c>
      <c r="O1510" s="7">
        <v>23562145</v>
      </c>
      <c r="P1510" s="7">
        <v>0</v>
      </c>
      <c r="Q1510" s="7" t="str">
        <f t="shared" si="520"/>
        <v>都市整備部</v>
      </c>
      <c r="R1510" s="7" t="str">
        <f t="shared" si="517"/>
        <v>住宅建築局住宅経営室</v>
      </c>
    </row>
    <row r="1511" spans="1:18" s="1" customFormat="1" x14ac:dyDescent="0.45">
      <c r="A1511" s="7" t="str">
        <f>"09940003030"</f>
        <v>09940003030</v>
      </c>
      <c r="B1511" s="7" t="str">
        <f>"庄内西"</f>
        <v>庄内西</v>
      </c>
      <c r="C1511" s="7" t="str">
        <f t="shared" si="518"/>
        <v>行政財産</v>
      </c>
      <c r="D1511" s="7" t="str">
        <f t="shared" si="519"/>
        <v>公営住宅</v>
      </c>
      <c r="E1511" s="7" t="str">
        <f>"大阪府豊中市庄内　栄町５丁目"</f>
        <v>大阪府豊中市庄内　栄町５丁目</v>
      </c>
      <c r="F1511" s="7"/>
      <c r="G1511" s="7" t="str">
        <f t="shared" si="516"/>
        <v>事業用資産</v>
      </c>
      <c r="H1511" s="7" t="str">
        <f t="shared" si="509"/>
        <v>棚卸以外</v>
      </c>
      <c r="I1511" s="7">
        <v>1</v>
      </c>
      <c r="J1511" s="7" t="str">
        <f>"１号棟"</f>
        <v>１号棟</v>
      </c>
      <c r="K1511" s="7" t="str">
        <f t="shared" ref="K1511:K1520" si="522">"鉄筋コンクリート造"</f>
        <v>鉄筋コンクリート造</v>
      </c>
      <c r="L1511" s="7" t="str">
        <f>"S53.08.25"</f>
        <v>S53.08.25</v>
      </c>
      <c r="M1511" s="7">
        <v>1773</v>
      </c>
      <c r="N1511" s="7">
        <v>159841000</v>
      </c>
      <c r="O1511" s="7">
        <v>151622745</v>
      </c>
      <c r="P1511" s="7">
        <v>0</v>
      </c>
      <c r="Q1511" s="7" t="str">
        <f t="shared" si="520"/>
        <v>都市整備部</v>
      </c>
      <c r="R1511" s="7" t="str">
        <f t="shared" si="517"/>
        <v>住宅建築局住宅経営室</v>
      </c>
    </row>
    <row r="1512" spans="1:18" s="1" customFormat="1" x14ac:dyDescent="0.45">
      <c r="A1512" s="7" t="str">
        <f>"09940003030"</f>
        <v>09940003030</v>
      </c>
      <c r="B1512" s="7" t="str">
        <f>"庄内西"</f>
        <v>庄内西</v>
      </c>
      <c r="C1512" s="7" t="str">
        <f t="shared" si="518"/>
        <v>行政財産</v>
      </c>
      <c r="D1512" s="7" t="str">
        <f t="shared" si="519"/>
        <v>公営住宅</v>
      </c>
      <c r="E1512" s="7" t="str">
        <f>"大阪府豊中市庄内　栄町５丁目"</f>
        <v>大阪府豊中市庄内　栄町５丁目</v>
      </c>
      <c r="F1512" s="7"/>
      <c r="G1512" s="7" t="str">
        <f t="shared" si="516"/>
        <v>事業用資産</v>
      </c>
      <c r="H1512" s="7" t="str">
        <f t="shared" si="509"/>
        <v>棚卸以外</v>
      </c>
      <c r="I1512" s="7">
        <v>2</v>
      </c>
      <c r="J1512" s="7" t="str">
        <f>"集会所"</f>
        <v>集会所</v>
      </c>
      <c r="K1512" s="7" t="str">
        <f t="shared" si="522"/>
        <v>鉄筋コンクリート造</v>
      </c>
      <c r="L1512" s="7" t="str">
        <f>"S53.08.25"</f>
        <v>S53.08.25</v>
      </c>
      <c r="M1512" s="7">
        <v>84</v>
      </c>
      <c r="N1512" s="7">
        <v>9500000</v>
      </c>
      <c r="O1512" s="7">
        <v>9011540</v>
      </c>
      <c r="P1512" s="7">
        <v>0</v>
      </c>
      <c r="Q1512" s="7" t="str">
        <f t="shared" si="520"/>
        <v>都市整備部</v>
      </c>
      <c r="R1512" s="7" t="str">
        <f t="shared" si="517"/>
        <v>住宅建築局住宅経営室</v>
      </c>
    </row>
    <row r="1513" spans="1:18" s="1" customFormat="1" x14ac:dyDescent="0.45">
      <c r="A1513" s="7" t="str">
        <f>"09940003030"</f>
        <v>09940003030</v>
      </c>
      <c r="B1513" s="7" t="str">
        <f>"庄内西"</f>
        <v>庄内西</v>
      </c>
      <c r="C1513" s="7" t="str">
        <f t="shared" si="518"/>
        <v>行政財産</v>
      </c>
      <c r="D1513" s="7" t="str">
        <f t="shared" si="519"/>
        <v>公営住宅</v>
      </c>
      <c r="E1513" s="7" t="str">
        <f>"大阪府豊中市庄内　栄町５丁目"</f>
        <v>大阪府豊中市庄内　栄町５丁目</v>
      </c>
      <c r="F1513" s="7"/>
      <c r="G1513" s="7" t="str">
        <f t="shared" si="516"/>
        <v>事業用資産</v>
      </c>
      <c r="H1513" s="7" t="str">
        <f t="shared" si="509"/>
        <v>棚卸以外</v>
      </c>
      <c r="I1513" s="7">
        <v>3</v>
      </c>
      <c r="J1513" s="7" t="str">
        <f>"ポンプ室"</f>
        <v>ポンプ室</v>
      </c>
      <c r="K1513" s="7" t="str">
        <f t="shared" si="522"/>
        <v>鉄筋コンクリート造</v>
      </c>
      <c r="L1513" s="7" t="str">
        <f>"S53.08.25"</f>
        <v>S53.08.25</v>
      </c>
      <c r="M1513" s="7">
        <v>28.8</v>
      </c>
      <c r="N1513" s="7">
        <v>2808000</v>
      </c>
      <c r="O1513" s="7">
        <v>2663765</v>
      </c>
      <c r="P1513" s="7">
        <v>0</v>
      </c>
      <c r="Q1513" s="7" t="str">
        <f t="shared" si="520"/>
        <v>都市整備部</v>
      </c>
      <c r="R1513" s="7" t="str">
        <f t="shared" si="517"/>
        <v>住宅建築局住宅経営室</v>
      </c>
    </row>
    <row r="1514" spans="1:18" s="1" customFormat="1" x14ac:dyDescent="0.45">
      <c r="A1514" s="7" t="str">
        <f>"09940003030"</f>
        <v>09940003030</v>
      </c>
      <c r="B1514" s="7" t="str">
        <f>"庄内西"</f>
        <v>庄内西</v>
      </c>
      <c r="C1514" s="7" t="str">
        <f t="shared" si="518"/>
        <v>行政財産</v>
      </c>
      <c r="D1514" s="7" t="str">
        <f t="shared" si="519"/>
        <v>公営住宅</v>
      </c>
      <c r="E1514" s="7" t="str">
        <f>"大阪府豊中市庄内　栄町５丁目"</f>
        <v>大阪府豊中市庄内　栄町５丁目</v>
      </c>
      <c r="F1514" s="7"/>
      <c r="G1514" s="7" t="str">
        <f t="shared" si="516"/>
        <v>事業用資産</v>
      </c>
      <c r="H1514" s="7" t="str">
        <f t="shared" si="509"/>
        <v>棚卸以外</v>
      </c>
      <c r="I1514" s="7">
        <v>4</v>
      </c>
      <c r="J1514" s="7" t="str">
        <f>"３号棟"</f>
        <v>３号棟</v>
      </c>
      <c r="K1514" s="7" t="str">
        <f t="shared" si="522"/>
        <v>鉄筋コンクリート造</v>
      </c>
      <c r="L1514" s="7" t="str">
        <f>"S57.07.29"</f>
        <v>S57.07.29</v>
      </c>
      <c r="M1514" s="7">
        <v>1695.38</v>
      </c>
      <c r="N1514" s="7">
        <v>208687000</v>
      </c>
      <c r="O1514" s="7">
        <v>180566344</v>
      </c>
      <c r="P1514" s="7">
        <v>0</v>
      </c>
      <c r="Q1514" s="7" t="str">
        <f t="shared" si="520"/>
        <v>都市整備部</v>
      </c>
      <c r="R1514" s="7" t="str">
        <f t="shared" si="517"/>
        <v>住宅建築局住宅経営室</v>
      </c>
    </row>
    <row r="1515" spans="1:18" s="1" customFormat="1" x14ac:dyDescent="0.45">
      <c r="A1515" s="7" t="str">
        <f>"09940003035"</f>
        <v>09940003035</v>
      </c>
      <c r="B1515" s="7" t="str">
        <f>"高倉台第１"</f>
        <v>高倉台第１</v>
      </c>
      <c r="C1515" s="7" t="str">
        <f t="shared" si="518"/>
        <v>行政財産</v>
      </c>
      <c r="D1515" s="7" t="str">
        <f t="shared" si="519"/>
        <v>公営住宅</v>
      </c>
      <c r="E1515" s="7" t="str">
        <f>"大阪府堺市　南区高倉台１丁"</f>
        <v>大阪府堺市　南区高倉台１丁</v>
      </c>
      <c r="F1515" s="7"/>
      <c r="G1515" s="7" t="str">
        <f t="shared" si="516"/>
        <v>事業用資産</v>
      </c>
      <c r="H1515" s="7" t="str">
        <f t="shared" si="509"/>
        <v>棚卸以外</v>
      </c>
      <c r="I1515" s="7">
        <v>1</v>
      </c>
      <c r="J1515" s="7" t="str">
        <f>"１～５号棟"</f>
        <v>１～５号棟</v>
      </c>
      <c r="K1515" s="7" t="str">
        <f t="shared" si="522"/>
        <v>鉄筋コンクリート造</v>
      </c>
      <c r="L1515" s="7" t="str">
        <f>"S50.03.12"</f>
        <v>S50.03.12</v>
      </c>
      <c r="M1515" s="7">
        <v>36295.160000000003</v>
      </c>
      <c r="N1515" s="7">
        <v>3145654088</v>
      </c>
      <c r="O1515" s="7">
        <v>3116289065</v>
      </c>
      <c r="P1515" s="7">
        <v>0</v>
      </c>
      <c r="Q1515" s="7" t="str">
        <f t="shared" si="520"/>
        <v>都市整備部</v>
      </c>
      <c r="R1515" s="7" t="str">
        <f t="shared" si="517"/>
        <v>住宅建築局住宅経営室</v>
      </c>
    </row>
    <row r="1516" spans="1:18" s="1" customFormat="1" x14ac:dyDescent="0.45">
      <c r="A1516" s="7" t="str">
        <f>"09940003035"</f>
        <v>09940003035</v>
      </c>
      <c r="B1516" s="7" t="str">
        <f>"高倉台第１"</f>
        <v>高倉台第１</v>
      </c>
      <c r="C1516" s="7" t="str">
        <f t="shared" si="518"/>
        <v>行政財産</v>
      </c>
      <c r="D1516" s="7" t="str">
        <f t="shared" si="519"/>
        <v>公営住宅</v>
      </c>
      <c r="E1516" s="7" t="str">
        <f>"大阪府堺市　南区高倉台１丁"</f>
        <v>大阪府堺市　南区高倉台１丁</v>
      </c>
      <c r="F1516" s="7"/>
      <c r="G1516" s="7" t="str">
        <f t="shared" si="516"/>
        <v>事業用資産</v>
      </c>
      <c r="H1516" s="7" t="str">
        <f t="shared" si="509"/>
        <v>棚卸以外</v>
      </c>
      <c r="I1516" s="7">
        <v>2</v>
      </c>
      <c r="J1516" s="7" t="str">
        <f>"集会所"</f>
        <v>集会所</v>
      </c>
      <c r="K1516" s="7" t="str">
        <f t="shared" si="522"/>
        <v>鉄筋コンクリート造</v>
      </c>
      <c r="L1516" s="7" t="str">
        <f>"S50.03.12"</f>
        <v>S50.03.12</v>
      </c>
      <c r="M1516" s="7">
        <v>208.9</v>
      </c>
      <c r="N1516" s="7">
        <v>12615945</v>
      </c>
      <c r="O1516" s="7">
        <v>10049021</v>
      </c>
      <c r="P1516" s="7">
        <v>0</v>
      </c>
      <c r="Q1516" s="7" t="str">
        <f t="shared" si="520"/>
        <v>都市整備部</v>
      </c>
      <c r="R1516" s="7" t="str">
        <f t="shared" si="517"/>
        <v>住宅建築局住宅経営室</v>
      </c>
    </row>
    <row r="1517" spans="1:18" s="1" customFormat="1" x14ac:dyDescent="0.45">
      <c r="A1517" s="7" t="str">
        <f>"09940003037"</f>
        <v>09940003037</v>
      </c>
      <c r="B1517" s="7" t="str">
        <f>"高倉台第４"</f>
        <v>高倉台第４</v>
      </c>
      <c r="C1517" s="7" t="str">
        <f t="shared" si="518"/>
        <v>行政財産</v>
      </c>
      <c r="D1517" s="7" t="str">
        <f t="shared" si="519"/>
        <v>公営住宅</v>
      </c>
      <c r="E1517" s="7" t="str">
        <f>"大阪府堺市　南区高倉台４丁"</f>
        <v>大阪府堺市　南区高倉台４丁</v>
      </c>
      <c r="F1517" s="7"/>
      <c r="G1517" s="7" t="str">
        <f t="shared" si="516"/>
        <v>事業用資産</v>
      </c>
      <c r="H1517" s="7" t="str">
        <f t="shared" si="509"/>
        <v>棚卸以外</v>
      </c>
      <c r="I1517" s="7">
        <v>1</v>
      </c>
      <c r="J1517" s="7" t="str">
        <f>"１～６、８～１０号棟"</f>
        <v>１～６、８～１０号棟</v>
      </c>
      <c r="K1517" s="7" t="str">
        <f t="shared" si="522"/>
        <v>鉄筋コンクリート造</v>
      </c>
      <c r="L1517" s="7" t="str">
        <f>"S46.09.27"</f>
        <v>S46.09.27</v>
      </c>
      <c r="M1517" s="7">
        <v>16441.400000000001</v>
      </c>
      <c r="N1517" s="7">
        <v>1688509779</v>
      </c>
      <c r="O1517" s="7">
        <v>873471756</v>
      </c>
      <c r="P1517" s="7">
        <v>0</v>
      </c>
      <c r="Q1517" s="7" t="str">
        <f t="shared" si="520"/>
        <v>都市整備部</v>
      </c>
      <c r="R1517" s="7" t="str">
        <f t="shared" si="517"/>
        <v>住宅建築局住宅経営室</v>
      </c>
    </row>
    <row r="1518" spans="1:18" s="1" customFormat="1" x14ac:dyDescent="0.45">
      <c r="A1518" s="7" t="str">
        <f>"09940003037"</f>
        <v>09940003037</v>
      </c>
      <c r="B1518" s="7" t="str">
        <f>"高倉台第４"</f>
        <v>高倉台第４</v>
      </c>
      <c r="C1518" s="7" t="str">
        <f t="shared" si="518"/>
        <v>行政財産</v>
      </c>
      <c r="D1518" s="7" t="str">
        <f t="shared" si="519"/>
        <v>公営住宅</v>
      </c>
      <c r="E1518" s="7" t="str">
        <f>"大阪府堺市　南区高倉台４丁"</f>
        <v>大阪府堺市　南区高倉台４丁</v>
      </c>
      <c r="F1518" s="7"/>
      <c r="G1518" s="7" t="str">
        <f t="shared" si="516"/>
        <v>事業用資産</v>
      </c>
      <c r="H1518" s="7" t="str">
        <f t="shared" si="509"/>
        <v>棚卸以外</v>
      </c>
      <c r="I1518" s="7">
        <v>2</v>
      </c>
      <c r="J1518" s="7" t="str">
        <f>"集会所"</f>
        <v>集会所</v>
      </c>
      <c r="K1518" s="7" t="str">
        <f t="shared" si="522"/>
        <v>鉄筋コンクリート造</v>
      </c>
      <c r="L1518" s="7" t="str">
        <f>"S46.09.27"</f>
        <v>S46.09.27</v>
      </c>
      <c r="M1518" s="7">
        <v>98.89</v>
      </c>
      <c r="N1518" s="7">
        <v>11289377</v>
      </c>
      <c r="O1518" s="7">
        <v>11289376</v>
      </c>
      <c r="P1518" s="7">
        <v>0</v>
      </c>
      <c r="Q1518" s="7" t="str">
        <f t="shared" si="520"/>
        <v>都市整備部</v>
      </c>
      <c r="R1518" s="7" t="str">
        <f t="shared" si="517"/>
        <v>住宅建築局住宅経営室</v>
      </c>
    </row>
    <row r="1519" spans="1:18" s="1" customFormat="1" x14ac:dyDescent="0.45">
      <c r="A1519" s="7" t="str">
        <f t="shared" ref="A1519:A1527" si="523">"09940003040"</f>
        <v>09940003040</v>
      </c>
      <c r="B1519" s="7" t="str">
        <f t="shared" ref="B1519:B1527" si="524">"泉佐野東羽倉崎（旧羽倉崎）"</f>
        <v>泉佐野東羽倉崎（旧羽倉崎）</v>
      </c>
      <c r="C1519" s="7" t="str">
        <f t="shared" si="518"/>
        <v>行政財産</v>
      </c>
      <c r="D1519" s="7" t="str">
        <f t="shared" si="519"/>
        <v>公営住宅</v>
      </c>
      <c r="E1519" s="7" t="str">
        <f t="shared" ref="E1519:E1527" si="525">"大阪府泉佐野市新安松３丁目"</f>
        <v>大阪府泉佐野市新安松３丁目</v>
      </c>
      <c r="F1519" s="7"/>
      <c r="G1519" s="7" t="str">
        <f t="shared" si="516"/>
        <v>事業用資産</v>
      </c>
      <c r="H1519" s="7" t="str">
        <f t="shared" si="509"/>
        <v>棚卸以外</v>
      </c>
      <c r="I1519" s="7">
        <v>1</v>
      </c>
      <c r="J1519" s="7" t="str">
        <f>"集会所"</f>
        <v>集会所</v>
      </c>
      <c r="K1519" s="7" t="str">
        <f t="shared" si="522"/>
        <v>鉄筋コンクリート造</v>
      </c>
      <c r="L1519" s="7" t="str">
        <f>"S59.03.31"</f>
        <v>S59.03.31</v>
      </c>
      <c r="M1519" s="7">
        <v>102.2</v>
      </c>
      <c r="N1519" s="7">
        <v>29594000</v>
      </c>
      <c r="O1519" s="7">
        <v>24556896</v>
      </c>
      <c r="P1519" s="7">
        <v>0</v>
      </c>
      <c r="Q1519" s="7" t="str">
        <f t="shared" si="520"/>
        <v>都市整備部</v>
      </c>
      <c r="R1519" s="7" t="str">
        <f t="shared" si="517"/>
        <v>住宅建築局住宅経営室</v>
      </c>
    </row>
    <row r="1520" spans="1:18" s="1" customFormat="1" x14ac:dyDescent="0.45">
      <c r="A1520" s="7" t="str">
        <f t="shared" si="523"/>
        <v>09940003040</v>
      </c>
      <c r="B1520" s="7" t="str">
        <f t="shared" si="524"/>
        <v>泉佐野東羽倉崎（旧羽倉崎）</v>
      </c>
      <c r="C1520" s="7" t="str">
        <f t="shared" si="518"/>
        <v>行政財産</v>
      </c>
      <c r="D1520" s="7" t="str">
        <f t="shared" si="519"/>
        <v>公営住宅</v>
      </c>
      <c r="E1520" s="7" t="str">
        <f t="shared" si="525"/>
        <v>大阪府泉佐野市新安松３丁目</v>
      </c>
      <c r="F1520" s="7"/>
      <c r="G1520" s="7" t="str">
        <f t="shared" si="516"/>
        <v>事業用資産</v>
      </c>
      <c r="H1520" s="7" t="str">
        <f t="shared" si="509"/>
        <v>棚卸以外</v>
      </c>
      <c r="I1520" s="7">
        <v>2</v>
      </c>
      <c r="J1520" s="7" t="str">
        <f>"１号棟"</f>
        <v>１号棟</v>
      </c>
      <c r="K1520" s="7" t="str">
        <f t="shared" si="522"/>
        <v>鉄筋コンクリート造</v>
      </c>
      <c r="L1520" s="7" t="str">
        <f>"H17.10.27"</f>
        <v>H17.10.27</v>
      </c>
      <c r="M1520" s="7">
        <v>5248.49</v>
      </c>
      <c r="N1520" s="7">
        <v>818550242</v>
      </c>
      <c r="O1520" s="7">
        <v>304379396</v>
      </c>
      <c r="P1520" s="7">
        <v>0</v>
      </c>
      <c r="Q1520" s="7" t="str">
        <f t="shared" si="520"/>
        <v>都市整備部</v>
      </c>
      <c r="R1520" s="7" t="str">
        <f t="shared" si="517"/>
        <v>住宅建築局住宅経営室</v>
      </c>
    </row>
    <row r="1521" spans="1:18" s="1" customFormat="1" x14ac:dyDescent="0.45">
      <c r="A1521" s="7" t="str">
        <f t="shared" si="523"/>
        <v>09940003040</v>
      </c>
      <c r="B1521" s="7" t="str">
        <f t="shared" si="524"/>
        <v>泉佐野東羽倉崎（旧羽倉崎）</v>
      </c>
      <c r="C1521" s="7" t="str">
        <f t="shared" si="518"/>
        <v>行政財産</v>
      </c>
      <c r="D1521" s="7" t="str">
        <f t="shared" si="519"/>
        <v>公営住宅</v>
      </c>
      <c r="E1521" s="7" t="str">
        <f t="shared" si="525"/>
        <v>大阪府泉佐野市新安松３丁目</v>
      </c>
      <c r="F1521" s="7"/>
      <c r="G1521" s="7" t="str">
        <f t="shared" si="516"/>
        <v>事業用資産</v>
      </c>
      <c r="H1521" s="7" t="str">
        <f t="shared" si="509"/>
        <v>棚卸以外</v>
      </c>
      <c r="I1521" s="7">
        <v>3</v>
      </c>
      <c r="J1521" s="7" t="str">
        <f>"２号棟"</f>
        <v>２号棟</v>
      </c>
      <c r="K1521" s="7" t="str">
        <f>"鉄骨コンクリート造"</f>
        <v>鉄骨コンクリート造</v>
      </c>
      <c r="L1521" s="7" t="str">
        <f>"H17.10.27"</f>
        <v>H17.10.27</v>
      </c>
      <c r="M1521" s="7">
        <v>3256.57</v>
      </c>
      <c r="N1521" s="7">
        <v>466364000</v>
      </c>
      <c r="O1521" s="7">
        <v>172819383</v>
      </c>
      <c r="P1521" s="7">
        <v>0</v>
      </c>
      <c r="Q1521" s="7" t="str">
        <f t="shared" si="520"/>
        <v>都市整備部</v>
      </c>
      <c r="R1521" s="7" t="str">
        <f t="shared" si="517"/>
        <v>住宅建築局住宅経営室</v>
      </c>
    </row>
    <row r="1522" spans="1:18" s="1" customFormat="1" x14ac:dyDescent="0.45">
      <c r="A1522" s="7" t="str">
        <f t="shared" si="523"/>
        <v>09940003040</v>
      </c>
      <c r="B1522" s="7" t="str">
        <f t="shared" si="524"/>
        <v>泉佐野東羽倉崎（旧羽倉崎）</v>
      </c>
      <c r="C1522" s="7" t="str">
        <f t="shared" si="518"/>
        <v>行政財産</v>
      </c>
      <c r="D1522" s="7" t="str">
        <f t="shared" si="519"/>
        <v>公営住宅</v>
      </c>
      <c r="E1522" s="7" t="str">
        <f t="shared" si="525"/>
        <v>大阪府泉佐野市新安松３丁目</v>
      </c>
      <c r="F1522" s="7"/>
      <c r="G1522" s="7" t="str">
        <f t="shared" si="516"/>
        <v>事業用資産</v>
      </c>
      <c r="H1522" s="7" t="str">
        <f t="shared" si="509"/>
        <v>棚卸以外</v>
      </c>
      <c r="I1522" s="7">
        <v>4</v>
      </c>
      <c r="J1522" s="7" t="str">
        <f>"集会所"</f>
        <v>集会所</v>
      </c>
      <c r="K1522" s="7" t="str">
        <f t="shared" ref="K1522:K1537" si="526">"鉄筋コンクリート造"</f>
        <v>鉄筋コンクリート造</v>
      </c>
      <c r="L1522" s="7" t="str">
        <f>"H17.10.27"</f>
        <v>H17.10.27</v>
      </c>
      <c r="M1522" s="7">
        <v>112.57</v>
      </c>
      <c r="N1522" s="7">
        <v>18664000</v>
      </c>
      <c r="O1522" s="7">
        <v>6916437</v>
      </c>
      <c r="P1522" s="7">
        <v>0</v>
      </c>
      <c r="Q1522" s="7" t="str">
        <f t="shared" si="520"/>
        <v>都市整備部</v>
      </c>
      <c r="R1522" s="7" t="str">
        <f t="shared" si="517"/>
        <v>住宅建築局住宅経営室</v>
      </c>
    </row>
    <row r="1523" spans="1:18" s="1" customFormat="1" x14ac:dyDescent="0.45">
      <c r="A1523" s="7" t="str">
        <f t="shared" si="523"/>
        <v>09940003040</v>
      </c>
      <c r="B1523" s="7" t="str">
        <f t="shared" si="524"/>
        <v>泉佐野東羽倉崎（旧羽倉崎）</v>
      </c>
      <c r="C1523" s="7" t="str">
        <f t="shared" si="518"/>
        <v>行政財産</v>
      </c>
      <c r="D1523" s="7" t="str">
        <f t="shared" si="519"/>
        <v>公営住宅</v>
      </c>
      <c r="E1523" s="7" t="str">
        <f t="shared" si="525"/>
        <v>大阪府泉佐野市新安松３丁目</v>
      </c>
      <c r="F1523" s="7"/>
      <c r="G1523" s="7" t="str">
        <f t="shared" si="516"/>
        <v>事業用資産</v>
      </c>
      <c r="H1523" s="7" t="str">
        <f t="shared" si="509"/>
        <v>棚卸以外</v>
      </c>
      <c r="I1523" s="7">
        <v>5</v>
      </c>
      <c r="J1523" s="7" t="str">
        <f>"受水槽ポンプ室・電気室"</f>
        <v>受水槽ポンプ室・電気室</v>
      </c>
      <c r="K1523" s="7" t="str">
        <f t="shared" si="526"/>
        <v>鉄筋コンクリート造</v>
      </c>
      <c r="L1523" s="7" t="str">
        <f>"H17.10.27"</f>
        <v>H17.10.27</v>
      </c>
      <c r="M1523" s="7">
        <v>135</v>
      </c>
      <c r="N1523" s="7">
        <v>18381000</v>
      </c>
      <c r="O1523" s="7">
        <v>6811519</v>
      </c>
      <c r="P1523" s="7">
        <v>0</v>
      </c>
      <c r="Q1523" s="7" t="str">
        <f t="shared" si="520"/>
        <v>都市整備部</v>
      </c>
      <c r="R1523" s="7" t="str">
        <f t="shared" si="517"/>
        <v>住宅建築局住宅経営室</v>
      </c>
    </row>
    <row r="1524" spans="1:18" s="1" customFormat="1" x14ac:dyDescent="0.45">
      <c r="A1524" s="7" t="str">
        <f t="shared" si="523"/>
        <v>09940003040</v>
      </c>
      <c r="B1524" s="7" t="str">
        <f t="shared" si="524"/>
        <v>泉佐野東羽倉崎（旧羽倉崎）</v>
      </c>
      <c r="C1524" s="7" t="str">
        <f t="shared" si="518"/>
        <v>行政財産</v>
      </c>
      <c r="D1524" s="7" t="str">
        <f t="shared" si="519"/>
        <v>公営住宅</v>
      </c>
      <c r="E1524" s="7" t="str">
        <f t="shared" si="525"/>
        <v>大阪府泉佐野市新安松３丁目</v>
      </c>
      <c r="F1524" s="7"/>
      <c r="G1524" s="7" t="str">
        <f t="shared" si="516"/>
        <v>事業用資産</v>
      </c>
      <c r="H1524" s="7" t="str">
        <f t="shared" si="509"/>
        <v>棚卸以外</v>
      </c>
      <c r="I1524" s="7">
        <v>6</v>
      </c>
      <c r="J1524" s="7" t="str">
        <f>"３号棟"</f>
        <v>３号棟</v>
      </c>
      <c r="K1524" s="7" t="str">
        <f t="shared" si="526"/>
        <v>鉄筋コンクリート造</v>
      </c>
      <c r="L1524" s="7" t="str">
        <f>"H20.09.29"</f>
        <v>H20.09.29</v>
      </c>
      <c r="M1524" s="7">
        <v>6520.33</v>
      </c>
      <c r="N1524" s="7">
        <v>834306242</v>
      </c>
      <c r="O1524" s="7">
        <v>258782964</v>
      </c>
      <c r="P1524" s="7">
        <v>0</v>
      </c>
      <c r="Q1524" s="7" t="str">
        <f t="shared" si="520"/>
        <v>都市整備部</v>
      </c>
      <c r="R1524" s="7" t="str">
        <f t="shared" si="517"/>
        <v>住宅建築局住宅経営室</v>
      </c>
    </row>
    <row r="1525" spans="1:18" s="1" customFormat="1" x14ac:dyDescent="0.45">
      <c r="A1525" s="7" t="str">
        <f t="shared" si="523"/>
        <v>09940003040</v>
      </c>
      <c r="B1525" s="7" t="str">
        <f t="shared" si="524"/>
        <v>泉佐野東羽倉崎（旧羽倉崎）</v>
      </c>
      <c r="C1525" s="7" t="str">
        <f t="shared" si="518"/>
        <v>行政財産</v>
      </c>
      <c r="D1525" s="7" t="str">
        <f t="shared" si="519"/>
        <v>公営住宅</v>
      </c>
      <c r="E1525" s="7" t="str">
        <f t="shared" si="525"/>
        <v>大阪府泉佐野市新安松３丁目</v>
      </c>
      <c r="F1525" s="7"/>
      <c r="G1525" s="7" t="str">
        <f t="shared" si="516"/>
        <v>事業用資産</v>
      </c>
      <c r="H1525" s="7" t="str">
        <f t="shared" si="509"/>
        <v>棚卸以外</v>
      </c>
      <c r="I1525" s="7">
        <v>7</v>
      </c>
      <c r="J1525" s="7" t="str">
        <f>"ポンプ室・電気室"</f>
        <v>ポンプ室・電気室</v>
      </c>
      <c r="K1525" s="7" t="str">
        <f t="shared" si="526"/>
        <v>鉄筋コンクリート造</v>
      </c>
      <c r="L1525" s="7" t="str">
        <f>"H20.09.29"</f>
        <v>H20.09.29</v>
      </c>
      <c r="M1525" s="7">
        <v>126.6</v>
      </c>
      <c r="N1525" s="7">
        <v>23162735</v>
      </c>
      <c r="O1525" s="7">
        <v>7140786</v>
      </c>
      <c r="P1525" s="7">
        <v>0</v>
      </c>
      <c r="Q1525" s="7" t="str">
        <f t="shared" si="520"/>
        <v>都市整備部</v>
      </c>
      <c r="R1525" s="7" t="str">
        <f t="shared" si="517"/>
        <v>住宅建築局住宅経営室</v>
      </c>
    </row>
    <row r="1526" spans="1:18" s="1" customFormat="1" x14ac:dyDescent="0.45">
      <c r="A1526" s="7" t="str">
        <f t="shared" si="523"/>
        <v>09940003040</v>
      </c>
      <c r="B1526" s="7" t="str">
        <f t="shared" si="524"/>
        <v>泉佐野東羽倉崎（旧羽倉崎）</v>
      </c>
      <c r="C1526" s="7" t="str">
        <f t="shared" si="518"/>
        <v>行政財産</v>
      </c>
      <c r="D1526" s="7" t="str">
        <f t="shared" si="519"/>
        <v>公営住宅</v>
      </c>
      <c r="E1526" s="7" t="str">
        <f t="shared" si="525"/>
        <v>大阪府泉佐野市新安松３丁目</v>
      </c>
      <c r="F1526" s="7"/>
      <c r="G1526" s="7" t="str">
        <f t="shared" si="516"/>
        <v>事業用資産</v>
      </c>
      <c r="H1526" s="7" t="str">
        <f t="shared" si="509"/>
        <v>棚卸以外</v>
      </c>
      <c r="I1526" s="7">
        <v>8</v>
      </c>
      <c r="J1526" s="7" t="str">
        <f>"４号棟"</f>
        <v>４号棟</v>
      </c>
      <c r="K1526" s="7" t="str">
        <f t="shared" si="526"/>
        <v>鉄筋コンクリート造</v>
      </c>
      <c r="L1526" s="7" t="str">
        <f>"H23.09.30"</f>
        <v>H23.09.30</v>
      </c>
      <c r="M1526" s="7">
        <v>4821.0600000000004</v>
      </c>
      <c r="N1526" s="7">
        <v>646759339</v>
      </c>
      <c r="O1526" s="7">
        <v>158145834</v>
      </c>
      <c r="P1526" s="7">
        <v>0</v>
      </c>
      <c r="Q1526" s="7" t="str">
        <f t="shared" si="520"/>
        <v>都市整備部</v>
      </c>
      <c r="R1526" s="7" t="str">
        <f t="shared" si="517"/>
        <v>住宅建築局住宅経営室</v>
      </c>
    </row>
    <row r="1527" spans="1:18" s="1" customFormat="1" x14ac:dyDescent="0.45">
      <c r="A1527" s="7" t="str">
        <f t="shared" si="523"/>
        <v>09940003040</v>
      </c>
      <c r="B1527" s="7" t="str">
        <f t="shared" si="524"/>
        <v>泉佐野東羽倉崎（旧羽倉崎）</v>
      </c>
      <c r="C1527" s="7" t="str">
        <f t="shared" si="518"/>
        <v>行政財産</v>
      </c>
      <c r="D1527" s="7" t="str">
        <f t="shared" si="519"/>
        <v>公営住宅</v>
      </c>
      <c r="E1527" s="7" t="str">
        <f t="shared" si="525"/>
        <v>大阪府泉佐野市新安松３丁目</v>
      </c>
      <c r="F1527" s="7"/>
      <c r="G1527" s="7" t="str">
        <f t="shared" si="516"/>
        <v>事業用資産</v>
      </c>
      <c r="H1527" s="7" t="str">
        <f t="shared" si="509"/>
        <v>棚卸以外</v>
      </c>
      <c r="I1527" s="7">
        <v>9</v>
      </c>
      <c r="J1527" s="7" t="str">
        <f>"１～１５号棟（旧）"</f>
        <v>１～１５号棟（旧）</v>
      </c>
      <c r="K1527" s="7" t="str">
        <f t="shared" si="526"/>
        <v>鉄筋コンクリート造</v>
      </c>
      <c r="L1527" s="7" t="str">
        <f>"S40.04.27"</f>
        <v>S40.04.27</v>
      </c>
      <c r="M1527" s="7">
        <v>24624.98</v>
      </c>
      <c r="N1527" s="7">
        <v>2511554373</v>
      </c>
      <c r="O1527" s="7">
        <v>1494086804</v>
      </c>
      <c r="P1527" s="7">
        <v>0</v>
      </c>
      <c r="Q1527" s="7" t="str">
        <f t="shared" si="520"/>
        <v>都市整備部</v>
      </c>
      <c r="R1527" s="7" t="str">
        <f t="shared" si="517"/>
        <v>住宅建築局住宅経営室</v>
      </c>
    </row>
    <row r="1528" spans="1:18" s="1" customFormat="1" x14ac:dyDescent="0.45">
      <c r="A1528" s="7" t="str">
        <f>"09940003041"</f>
        <v>09940003041</v>
      </c>
      <c r="B1528" s="7" t="str">
        <f>"高倉台センター"</f>
        <v>高倉台センター</v>
      </c>
      <c r="C1528" s="7" t="str">
        <f t="shared" si="518"/>
        <v>行政財産</v>
      </c>
      <c r="D1528" s="7" t="str">
        <f t="shared" si="519"/>
        <v>公営住宅</v>
      </c>
      <c r="E1528" s="7" t="str">
        <f>"大阪府堺市　南区高倉台３丁"</f>
        <v>大阪府堺市　南区高倉台３丁</v>
      </c>
      <c r="F1528" s="7"/>
      <c r="G1528" s="7" t="str">
        <f t="shared" si="516"/>
        <v>事業用資産</v>
      </c>
      <c r="H1528" s="7" t="str">
        <f t="shared" si="509"/>
        <v>棚卸以外</v>
      </c>
      <c r="I1528" s="7">
        <v>1</v>
      </c>
      <c r="J1528" s="7" t="str">
        <f>"３・４号棟"</f>
        <v>３・４号棟</v>
      </c>
      <c r="K1528" s="7" t="str">
        <f t="shared" si="526"/>
        <v>鉄筋コンクリート造</v>
      </c>
      <c r="L1528" s="7" t="str">
        <f>"S48.01.22"</f>
        <v>S48.01.22</v>
      </c>
      <c r="M1528" s="7">
        <v>11592.46</v>
      </c>
      <c r="N1528" s="7">
        <v>824570406</v>
      </c>
      <c r="O1528" s="7">
        <v>553941877</v>
      </c>
      <c r="P1528" s="7">
        <v>0</v>
      </c>
      <c r="Q1528" s="7" t="str">
        <f t="shared" si="520"/>
        <v>都市整備部</v>
      </c>
      <c r="R1528" s="7" t="str">
        <f t="shared" si="517"/>
        <v>住宅建築局住宅経営室</v>
      </c>
    </row>
    <row r="1529" spans="1:18" s="1" customFormat="1" x14ac:dyDescent="0.45">
      <c r="A1529" s="7" t="str">
        <f>"09940003041"</f>
        <v>09940003041</v>
      </c>
      <c r="B1529" s="7" t="str">
        <f>"高倉台センター"</f>
        <v>高倉台センター</v>
      </c>
      <c r="C1529" s="7" t="str">
        <f t="shared" si="518"/>
        <v>行政財産</v>
      </c>
      <c r="D1529" s="7" t="str">
        <f t="shared" si="519"/>
        <v>公営住宅</v>
      </c>
      <c r="E1529" s="7" t="str">
        <f>"大阪府堺市　南区高倉台３丁"</f>
        <v>大阪府堺市　南区高倉台３丁</v>
      </c>
      <c r="F1529" s="7"/>
      <c r="G1529" s="7" t="str">
        <f t="shared" si="516"/>
        <v>事業用資産</v>
      </c>
      <c r="H1529" s="7" t="str">
        <f t="shared" si="509"/>
        <v>棚卸以外</v>
      </c>
      <c r="I1529" s="7">
        <v>2</v>
      </c>
      <c r="J1529" s="7" t="str">
        <f>"集会所"</f>
        <v>集会所</v>
      </c>
      <c r="K1529" s="7" t="str">
        <f t="shared" si="526"/>
        <v>鉄筋コンクリート造</v>
      </c>
      <c r="L1529" s="7" t="str">
        <f>"H02.02.30"</f>
        <v>H02.02.30</v>
      </c>
      <c r="M1529" s="7">
        <v>62.85</v>
      </c>
      <c r="N1529" s="7">
        <v>17613000</v>
      </c>
      <c r="O1529" s="7">
        <v>12397913</v>
      </c>
      <c r="P1529" s="7">
        <v>0</v>
      </c>
      <c r="Q1529" s="7" t="str">
        <f t="shared" si="520"/>
        <v>都市整備部</v>
      </c>
      <c r="R1529" s="7" t="str">
        <f t="shared" si="517"/>
        <v>住宅建築局住宅経営室</v>
      </c>
    </row>
    <row r="1530" spans="1:18" s="1" customFormat="1" x14ac:dyDescent="0.45">
      <c r="A1530" s="7" t="str">
        <f>"09940003041"</f>
        <v>09940003041</v>
      </c>
      <c r="B1530" s="7" t="str">
        <f>"高倉台センター"</f>
        <v>高倉台センター</v>
      </c>
      <c r="C1530" s="7" t="str">
        <f t="shared" si="518"/>
        <v>行政財産</v>
      </c>
      <c r="D1530" s="7" t="str">
        <f t="shared" si="519"/>
        <v>公営住宅</v>
      </c>
      <c r="E1530" s="7" t="str">
        <f>"大阪府堺市　南区高倉台３丁"</f>
        <v>大阪府堺市　南区高倉台３丁</v>
      </c>
      <c r="F1530" s="7"/>
      <c r="G1530" s="7" t="str">
        <f t="shared" si="516"/>
        <v>事業用資産</v>
      </c>
      <c r="H1530" s="7" t="str">
        <f t="shared" si="509"/>
        <v>棚卸以外</v>
      </c>
      <c r="I1530" s="7">
        <v>3</v>
      </c>
      <c r="J1530" s="7" t="str">
        <f>"受水槽ポンプ室　４０ｔ×３"</f>
        <v>受水槽ポンプ室　４０ｔ×３</v>
      </c>
      <c r="K1530" s="7" t="str">
        <f t="shared" si="526"/>
        <v>鉄筋コンクリート造</v>
      </c>
      <c r="L1530" s="7" t="str">
        <f>"S46.01.22"</f>
        <v>S46.01.22</v>
      </c>
      <c r="M1530" s="7">
        <v>103.89</v>
      </c>
      <c r="N1530" s="7">
        <v>6587000</v>
      </c>
      <c r="O1530" s="7">
        <v>6586999</v>
      </c>
      <c r="P1530" s="7">
        <v>0</v>
      </c>
      <c r="Q1530" s="7" t="str">
        <f t="shared" si="520"/>
        <v>都市整備部</v>
      </c>
      <c r="R1530" s="7" t="str">
        <f t="shared" si="517"/>
        <v>住宅建築局住宅経営室</v>
      </c>
    </row>
    <row r="1531" spans="1:18" s="1" customFormat="1" x14ac:dyDescent="0.45">
      <c r="A1531" s="7" t="str">
        <f t="shared" ref="A1531:A1536" si="527">"09940003043"</f>
        <v>09940003043</v>
      </c>
      <c r="B1531" s="7" t="str">
        <f t="shared" ref="B1531:B1536" si="528">"原山台３丁"</f>
        <v>原山台３丁</v>
      </c>
      <c r="C1531" s="7" t="str">
        <f t="shared" si="518"/>
        <v>行政財産</v>
      </c>
      <c r="D1531" s="7" t="str">
        <f t="shared" si="519"/>
        <v>公営住宅</v>
      </c>
      <c r="E1531" s="7" t="str">
        <f t="shared" ref="E1531:E1536" si="529">"大阪府堺市　南区原山台３丁"</f>
        <v>大阪府堺市　南区原山台３丁</v>
      </c>
      <c r="F1531" s="7"/>
      <c r="G1531" s="7" t="str">
        <f t="shared" si="516"/>
        <v>事業用資産</v>
      </c>
      <c r="H1531" s="7" t="str">
        <f t="shared" si="509"/>
        <v>棚卸以外</v>
      </c>
      <c r="I1531" s="7">
        <v>1</v>
      </c>
      <c r="J1531" s="7" t="str">
        <f>"１～１０・２１～２８号棟"</f>
        <v>１～１０・２１～２８号棟</v>
      </c>
      <c r="K1531" s="7" t="str">
        <f t="shared" si="526"/>
        <v>鉄筋コンクリート造</v>
      </c>
      <c r="L1531" s="7" t="str">
        <f>"S49.01.25"</f>
        <v>S49.01.25</v>
      </c>
      <c r="M1531" s="7">
        <v>40107.03</v>
      </c>
      <c r="N1531" s="7">
        <v>2946186463</v>
      </c>
      <c r="O1531" s="7">
        <v>2266464177</v>
      </c>
      <c r="P1531" s="7">
        <v>0</v>
      </c>
      <c r="Q1531" s="7" t="str">
        <f t="shared" si="520"/>
        <v>都市整備部</v>
      </c>
      <c r="R1531" s="7" t="str">
        <f t="shared" si="517"/>
        <v>住宅建築局住宅経営室</v>
      </c>
    </row>
    <row r="1532" spans="1:18" s="1" customFormat="1" x14ac:dyDescent="0.45">
      <c r="A1532" s="7" t="str">
        <f t="shared" si="527"/>
        <v>09940003043</v>
      </c>
      <c r="B1532" s="7" t="str">
        <f t="shared" si="528"/>
        <v>原山台３丁</v>
      </c>
      <c r="C1532" s="7" t="str">
        <f t="shared" si="518"/>
        <v>行政財産</v>
      </c>
      <c r="D1532" s="7" t="str">
        <f t="shared" si="519"/>
        <v>公営住宅</v>
      </c>
      <c r="E1532" s="7" t="str">
        <f t="shared" si="529"/>
        <v>大阪府堺市　南区原山台３丁</v>
      </c>
      <c r="F1532" s="7"/>
      <c r="G1532" s="7" t="str">
        <f t="shared" si="516"/>
        <v>事業用資産</v>
      </c>
      <c r="H1532" s="7" t="str">
        <f t="shared" si="509"/>
        <v>棚卸以外</v>
      </c>
      <c r="I1532" s="7">
        <v>2</v>
      </c>
      <c r="J1532" s="7" t="str">
        <f>"１４～１６・１８～２０号棟"</f>
        <v>１４～１６・１８～２０号棟</v>
      </c>
      <c r="K1532" s="7" t="str">
        <f t="shared" si="526"/>
        <v>鉄筋コンクリート造</v>
      </c>
      <c r="L1532" s="7" t="str">
        <f>"S49.01.25"</f>
        <v>S49.01.25</v>
      </c>
      <c r="M1532" s="7">
        <v>12959.54</v>
      </c>
      <c r="N1532" s="7">
        <v>1303868550</v>
      </c>
      <c r="O1532" s="7">
        <v>739156893</v>
      </c>
      <c r="P1532" s="7">
        <v>0</v>
      </c>
      <c r="Q1532" s="7" t="str">
        <f t="shared" si="520"/>
        <v>都市整備部</v>
      </c>
      <c r="R1532" s="7" t="str">
        <f t="shared" si="517"/>
        <v>住宅建築局住宅経営室</v>
      </c>
    </row>
    <row r="1533" spans="1:18" s="1" customFormat="1" x14ac:dyDescent="0.45">
      <c r="A1533" s="7" t="str">
        <f t="shared" si="527"/>
        <v>09940003043</v>
      </c>
      <c r="B1533" s="7" t="str">
        <f t="shared" si="528"/>
        <v>原山台３丁</v>
      </c>
      <c r="C1533" s="7" t="str">
        <f t="shared" si="518"/>
        <v>行政財産</v>
      </c>
      <c r="D1533" s="7" t="str">
        <f t="shared" si="519"/>
        <v>公営住宅</v>
      </c>
      <c r="E1533" s="7" t="str">
        <f t="shared" si="529"/>
        <v>大阪府堺市　南区原山台３丁</v>
      </c>
      <c r="F1533" s="7"/>
      <c r="G1533" s="7" t="str">
        <f t="shared" si="516"/>
        <v>事業用資産</v>
      </c>
      <c r="H1533" s="7" t="str">
        <f t="shared" si="509"/>
        <v>棚卸以外</v>
      </c>
      <c r="I1533" s="7">
        <v>3</v>
      </c>
      <c r="J1533" s="7" t="str">
        <f>"集会所"</f>
        <v>集会所</v>
      </c>
      <c r="K1533" s="7" t="str">
        <f t="shared" si="526"/>
        <v>鉄筋コンクリート造</v>
      </c>
      <c r="L1533" s="7" t="str">
        <f>"S49.01.25"</f>
        <v>S49.01.25</v>
      </c>
      <c r="M1533" s="7">
        <v>208.9</v>
      </c>
      <c r="N1533" s="7">
        <v>9913000</v>
      </c>
      <c r="O1533" s="7">
        <v>9912999</v>
      </c>
      <c r="P1533" s="7">
        <v>0</v>
      </c>
      <c r="Q1533" s="7" t="str">
        <f t="shared" si="520"/>
        <v>都市整備部</v>
      </c>
      <c r="R1533" s="7" t="str">
        <f t="shared" si="517"/>
        <v>住宅建築局住宅経営室</v>
      </c>
    </row>
    <row r="1534" spans="1:18" s="1" customFormat="1" x14ac:dyDescent="0.45">
      <c r="A1534" s="7" t="str">
        <f t="shared" si="527"/>
        <v>09940003043</v>
      </c>
      <c r="B1534" s="7" t="str">
        <f t="shared" si="528"/>
        <v>原山台３丁</v>
      </c>
      <c r="C1534" s="7" t="str">
        <f t="shared" si="518"/>
        <v>行政財産</v>
      </c>
      <c r="D1534" s="7" t="str">
        <f t="shared" si="519"/>
        <v>公営住宅</v>
      </c>
      <c r="E1534" s="7" t="str">
        <f t="shared" si="529"/>
        <v>大阪府堺市　南区原山台３丁</v>
      </c>
      <c r="F1534" s="7"/>
      <c r="G1534" s="7" t="str">
        <f t="shared" si="516"/>
        <v>事業用資産</v>
      </c>
      <c r="H1534" s="7" t="str">
        <f t="shared" si="509"/>
        <v>棚卸以外</v>
      </c>
      <c r="I1534" s="7">
        <v>4</v>
      </c>
      <c r="J1534" s="7" t="str">
        <f>"受水槽"</f>
        <v>受水槽</v>
      </c>
      <c r="K1534" s="7" t="str">
        <f t="shared" si="526"/>
        <v>鉄筋コンクリート造</v>
      </c>
      <c r="L1534" s="7" t="str">
        <f>"S50.03.28"</f>
        <v>S50.03.28</v>
      </c>
      <c r="M1534" s="7">
        <v>74</v>
      </c>
      <c r="N1534" s="7">
        <v>3333000</v>
      </c>
      <c r="O1534" s="7">
        <v>3332999</v>
      </c>
      <c r="P1534" s="7">
        <v>0</v>
      </c>
      <c r="Q1534" s="7" t="str">
        <f t="shared" si="520"/>
        <v>都市整備部</v>
      </c>
      <c r="R1534" s="7" t="str">
        <f t="shared" si="517"/>
        <v>住宅建築局住宅経営室</v>
      </c>
    </row>
    <row r="1535" spans="1:18" s="1" customFormat="1" x14ac:dyDescent="0.45">
      <c r="A1535" s="7" t="str">
        <f t="shared" si="527"/>
        <v>09940003043</v>
      </c>
      <c r="B1535" s="7" t="str">
        <f t="shared" si="528"/>
        <v>原山台３丁</v>
      </c>
      <c r="C1535" s="7" t="str">
        <f t="shared" si="518"/>
        <v>行政財産</v>
      </c>
      <c r="D1535" s="7" t="str">
        <f t="shared" si="519"/>
        <v>公営住宅</v>
      </c>
      <c r="E1535" s="7" t="str">
        <f t="shared" si="529"/>
        <v>大阪府堺市　南区原山台３丁</v>
      </c>
      <c r="F1535" s="7"/>
      <c r="G1535" s="7" t="str">
        <f t="shared" si="516"/>
        <v>事業用資産</v>
      </c>
      <c r="H1535" s="7" t="str">
        <f t="shared" si="509"/>
        <v>棚卸以外</v>
      </c>
      <c r="I1535" s="7">
        <v>5</v>
      </c>
      <c r="J1535" s="7" t="str">
        <f>"受水槽・ポンプ室（４０ｔ）"</f>
        <v>受水槽・ポンプ室（４０ｔ）</v>
      </c>
      <c r="K1535" s="7" t="str">
        <f t="shared" si="526"/>
        <v>鉄筋コンクリート造</v>
      </c>
      <c r="L1535" s="7" t="str">
        <f>"S49.06.19"</f>
        <v>S49.06.19</v>
      </c>
      <c r="M1535" s="7">
        <v>40</v>
      </c>
      <c r="N1535" s="7">
        <v>1508000</v>
      </c>
      <c r="O1535" s="7">
        <v>1507999</v>
      </c>
      <c r="P1535" s="7">
        <v>0</v>
      </c>
      <c r="Q1535" s="7" t="str">
        <f t="shared" si="520"/>
        <v>都市整備部</v>
      </c>
      <c r="R1535" s="7" t="str">
        <f t="shared" si="517"/>
        <v>住宅建築局住宅経営室</v>
      </c>
    </row>
    <row r="1536" spans="1:18" s="1" customFormat="1" x14ac:dyDescent="0.45">
      <c r="A1536" s="7" t="str">
        <f t="shared" si="527"/>
        <v>09940003043</v>
      </c>
      <c r="B1536" s="7" t="str">
        <f t="shared" si="528"/>
        <v>原山台３丁</v>
      </c>
      <c r="C1536" s="7" t="str">
        <f t="shared" si="518"/>
        <v>行政財産</v>
      </c>
      <c r="D1536" s="7" t="str">
        <f t="shared" si="519"/>
        <v>公営住宅</v>
      </c>
      <c r="E1536" s="7" t="str">
        <f t="shared" si="529"/>
        <v>大阪府堺市　南区原山台３丁</v>
      </c>
      <c r="F1536" s="7"/>
      <c r="G1536" s="7" t="str">
        <f t="shared" si="516"/>
        <v>事業用資産</v>
      </c>
      <c r="H1536" s="7" t="str">
        <f t="shared" si="509"/>
        <v>棚卸以外</v>
      </c>
      <c r="I1536" s="7">
        <v>6</v>
      </c>
      <c r="J1536" s="7" t="str">
        <f>"受水槽・ポンプ室（９８ｔ）"</f>
        <v>受水槽・ポンプ室（９８ｔ）</v>
      </c>
      <c r="K1536" s="7" t="str">
        <f t="shared" si="526"/>
        <v>鉄筋コンクリート造</v>
      </c>
      <c r="L1536" s="7" t="str">
        <f>"S49.06.19"</f>
        <v>S49.06.19</v>
      </c>
      <c r="M1536" s="7">
        <v>40</v>
      </c>
      <c r="N1536" s="7">
        <v>3084000</v>
      </c>
      <c r="O1536" s="7">
        <v>3083999</v>
      </c>
      <c r="P1536" s="7">
        <v>0</v>
      </c>
      <c r="Q1536" s="7" t="str">
        <f t="shared" si="520"/>
        <v>都市整備部</v>
      </c>
      <c r="R1536" s="7" t="str">
        <f t="shared" si="517"/>
        <v>住宅建築局住宅経営室</v>
      </c>
    </row>
    <row r="1537" spans="1:18" s="1" customFormat="1" x14ac:dyDescent="0.45">
      <c r="A1537" s="7" t="str">
        <f>"09940003044"</f>
        <v>09940003044</v>
      </c>
      <c r="B1537" s="7" t="str">
        <f>"原山台４丁"</f>
        <v>原山台４丁</v>
      </c>
      <c r="C1537" s="7" t="str">
        <f t="shared" si="518"/>
        <v>行政財産</v>
      </c>
      <c r="D1537" s="7" t="str">
        <f t="shared" si="519"/>
        <v>公営住宅</v>
      </c>
      <c r="E1537" s="7" t="str">
        <f>"大阪府堺市　南区原山台４丁"</f>
        <v>大阪府堺市　南区原山台４丁</v>
      </c>
      <c r="F1537" s="7"/>
      <c r="G1537" s="7" t="str">
        <f t="shared" si="516"/>
        <v>事業用資産</v>
      </c>
      <c r="H1537" s="7" t="str">
        <f t="shared" si="509"/>
        <v>棚卸以外</v>
      </c>
      <c r="I1537" s="7">
        <v>1</v>
      </c>
      <c r="J1537" s="7" t="str">
        <f>"１号棟"</f>
        <v>１号棟</v>
      </c>
      <c r="K1537" s="7" t="str">
        <f t="shared" si="526"/>
        <v>鉄筋コンクリート造</v>
      </c>
      <c r="L1537" s="7" t="str">
        <f>"S49.05.27"</f>
        <v>S49.05.27</v>
      </c>
      <c r="M1537" s="7">
        <v>5504.09</v>
      </c>
      <c r="N1537" s="7">
        <v>330604000</v>
      </c>
      <c r="O1537" s="7">
        <v>330603999</v>
      </c>
      <c r="P1537" s="7">
        <v>0</v>
      </c>
      <c r="Q1537" s="7" t="str">
        <f t="shared" si="520"/>
        <v>都市整備部</v>
      </c>
      <c r="R1537" s="7" t="str">
        <f t="shared" si="517"/>
        <v>住宅建築局住宅経営室</v>
      </c>
    </row>
    <row r="1538" spans="1:18" s="1" customFormat="1" ht="26.4" x14ac:dyDescent="0.45">
      <c r="A1538" s="7" t="str">
        <f>"09940003062"</f>
        <v>09940003062</v>
      </c>
      <c r="B1538" s="7" t="str">
        <f>"原山台５丁"</f>
        <v>原山台５丁</v>
      </c>
      <c r="C1538" s="7" t="str">
        <f t="shared" si="518"/>
        <v>行政財産</v>
      </c>
      <c r="D1538" s="7" t="str">
        <f t="shared" si="519"/>
        <v>公営住宅</v>
      </c>
      <c r="E1538" s="7" t="str">
        <f>"大阪府堺市　南区原山台５丁"</f>
        <v>大阪府堺市　南区原山台５丁</v>
      </c>
      <c r="F1538" s="7"/>
      <c r="G1538" s="7" t="str">
        <f t="shared" si="516"/>
        <v>事業用資産</v>
      </c>
      <c r="H1538" s="7" t="str">
        <f t="shared" si="509"/>
        <v>棚卸以外</v>
      </c>
      <c r="I1538" s="7">
        <v>1</v>
      </c>
      <c r="J1538" s="7" t="str">
        <f>"５号棟"</f>
        <v>５号棟</v>
      </c>
      <c r="K1538" s="7" t="str">
        <f>"鉄骨鉄筋コンクリート造"</f>
        <v>鉄骨鉄筋コンクリート造</v>
      </c>
      <c r="L1538" s="7" t="str">
        <f>"S51.02.26"</f>
        <v>S51.02.26</v>
      </c>
      <c r="M1538" s="7">
        <v>18426.310000000001</v>
      </c>
      <c r="N1538" s="7">
        <v>1515802100</v>
      </c>
      <c r="O1538" s="7">
        <v>1494110301</v>
      </c>
      <c r="P1538" s="7">
        <v>0</v>
      </c>
      <c r="Q1538" s="7" t="str">
        <f t="shared" si="520"/>
        <v>都市整備部</v>
      </c>
      <c r="R1538" s="7" t="str">
        <f t="shared" si="517"/>
        <v>住宅建築局住宅経営室</v>
      </c>
    </row>
    <row r="1539" spans="1:18" s="1" customFormat="1" x14ac:dyDescent="0.45">
      <c r="A1539" s="7" t="str">
        <f>"09940003062"</f>
        <v>09940003062</v>
      </c>
      <c r="B1539" s="7" t="str">
        <f>"原山台５丁"</f>
        <v>原山台５丁</v>
      </c>
      <c r="C1539" s="7" t="str">
        <f t="shared" si="518"/>
        <v>行政財産</v>
      </c>
      <c r="D1539" s="7" t="str">
        <f t="shared" si="519"/>
        <v>公営住宅</v>
      </c>
      <c r="E1539" s="7" t="str">
        <f>"大阪府堺市　南区原山台５丁"</f>
        <v>大阪府堺市　南区原山台５丁</v>
      </c>
      <c r="F1539" s="7"/>
      <c r="G1539" s="7" t="str">
        <f t="shared" si="516"/>
        <v>事業用資産</v>
      </c>
      <c r="H1539" s="7" t="str">
        <f t="shared" si="509"/>
        <v>棚卸以外</v>
      </c>
      <c r="I1539" s="7">
        <v>2</v>
      </c>
      <c r="J1539" s="7" t="str">
        <f>"１～３・６～１１号棟他７棟"</f>
        <v>１～３・６～１１号棟他７棟</v>
      </c>
      <c r="K1539" s="7" t="str">
        <f t="shared" ref="K1539:K1546" si="530">"鉄筋コンクリート造"</f>
        <v>鉄筋コンクリート造</v>
      </c>
      <c r="L1539" s="7" t="str">
        <f>"S49.07.16"</f>
        <v>S49.07.16</v>
      </c>
      <c r="M1539" s="7">
        <v>32644.880000000001</v>
      </c>
      <c r="N1539" s="7">
        <v>3191945280</v>
      </c>
      <c r="O1539" s="7">
        <v>1980922734</v>
      </c>
      <c r="P1539" s="7">
        <v>0</v>
      </c>
      <c r="Q1539" s="7" t="str">
        <f t="shared" si="520"/>
        <v>都市整備部</v>
      </c>
      <c r="R1539" s="7" t="str">
        <f t="shared" si="517"/>
        <v>住宅建築局住宅経営室</v>
      </c>
    </row>
    <row r="1540" spans="1:18" s="1" customFormat="1" x14ac:dyDescent="0.45">
      <c r="A1540" s="7" t="str">
        <f>"09940003062"</f>
        <v>09940003062</v>
      </c>
      <c r="B1540" s="7" t="str">
        <f>"原山台５丁"</f>
        <v>原山台５丁</v>
      </c>
      <c r="C1540" s="7" t="str">
        <f t="shared" si="518"/>
        <v>行政財産</v>
      </c>
      <c r="D1540" s="7" t="str">
        <f t="shared" si="519"/>
        <v>公営住宅</v>
      </c>
      <c r="E1540" s="7" t="str">
        <f>"大阪府堺市　南区原山台５丁"</f>
        <v>大阪府堺市　南区原山台５丁</v>
      </c>
      <c r="F1540" s="7"/>
      <c r="G1540" s="7" t="str">
        <f t="shared" si="516"/>
        <v>事業用資産</v>
      </c>
      <c r="H1540" s="7" t="str">
        <f t="shared" ref="H1540:H1603" si="531">"棚卸以外"</f>
        <v>棚卸以外</v>
      </c>
      <c r="I1540" s="7">
        <v>3</v>
      </c>
      <c r="J1540" s="7" t="str">
        <f>"１２～１６号棟"</f>
        <v>１２～１６号棟</v>
      </c>
      <c r="K1540" s="7" t="str">
        <f t="shared" si="530"/>
        <v>鉄筋コンクリート造</v>
      </c>
      <c r="L1540" s="7" t="str">
        <f>"S49.07.16"</f>
        <v>S49.07.16</v>
      </c>
      <c r="M1540" s="7">
        <v>11873.5</v>
      </c>
      <c r="N1540" s="7">
        <v>2361731104</v>
      </c>
      <c r="O1540" s="7">
        <v>1581112177</v>
      </c>
      <c r="P1540" s="7">
        <v>0</v>
      </c>
      <c r="Q1540" s="7" t="str">
        <f t="shared" si="520"/>
        <v>都市整備部</v>
      </c>
      <c r="R1540" s="7" t="str">
        <f t="shared" si="517"/>
        <v>住宅建築局住宅経営室</v>
      </c>
    </row>
    <row r="1541" spans="1:18" s="1" customFormat="1" x14ac:dyDescent="0.45">
      <c r="A1541" s="7" t="str">
        <f>"09940003062"</f>
        <v>09940003062</v>
      </c>
      <c r="B1541" s="7" t="str">
        <f>"原山台５丁"</f>
        <v>原山台５丁</v>
      </c>
      <c r="C1541" s="7" t="str">
        <f t="shared" si="518"/>
        <v>行政財産</v>
      </c>
      <c r="D1541" s="7" t="str">
        <f t="shared" si="519"/>
        <v>公営住宅</v>
      </c>
      <c r="E1541" s="7" t="str">
        <f>"大阪府堺市　南区原山台５丁"</f>
        <v>大阪府堺市　南区原山台５丁</v>
      </c>
      <c r="F1541" s="7"/>
      <c r="G1541" s="7" t="str">
        <f t="shared" si="516"/>
        <v>事業用資産</v>
      </c>
      <c r="H1541" s="7" t="str">
        <f t="shared" si="531"/>
        <v>棚卸以外</v>
      </c>
      <c r="I1541" s="7">
        <v>4</v>
      </c>
      <c r="J1541" s="7" t="str">
        <f>"集会所"</f>
        <v>集会所</v>
      </c>
      <c r="K1541" s="7" t="str">
        <f t="shared" si="530"/>
        <v>鉄筋コンクリート造</v>
      </c>
      <c r="L1541" s="7" t="str">
        <f>"S49.07.16"</f>
        <v>S49.07.16</v>
      </c>
      <c r="M1541" s="7">
        <v>274.83999999999997</v>
      </c>
      <c r="N1541" s="7">
        <v>27741385</v>
      </c>
      <c r="O1541" s="7">
        <v>25856916</v>
      </c>
      <c r="P1541" s="7">
        <v>0</v>
      </c>
      <c r="Q1541" s="7" t="str">
        <f t="shared" si="520"/>
        <v>都市整備部</v>
      </c>
      <c r="R1541" s="7" t="str">
        <f t="shared" si="517"/>
        <v>住宅建築局住宅経営室</v>
      </c>
    </row>
    <row r="1542" spans="1:18" s="1" customFormat="1" x14ac:dyDescent="0.45">
      <c r="A1542" s="7" t="str">
        <f>"09940003062"</f>
        <v>09940003062</v>
      </c>
      <c r="B1542" s="7" t="str">
        <f>"原山台５丁"</f>
        <v>原山台５丁</v>
      </c>
      <c r="C1542" s="7" t="str">
        <f t="shared" si="518"/>
        <v>行政財産</v>
      </c>
      <c r="D1542" s="7" t="str">
        <f t="shared" si="519"/>
        <v>公営住宅</v>
      </c>
      <c r="E1542" s="7" t="str">
        <f>"大阪府堺市　南区原山台５丁"</f>
        <v>大阪府堺市　南区原山台５丁</v>
      </c>
      <c r="F1542" s="7"/>
      <c r="G1542" s="7" t="str">
        <f t="shared" si="516"/>
        <v>事業用資産</v>
      </c>
      <c r="H1542" s="7" t="str">
        <f t="shared" si="531"/>
        <v>棚卸以外</v>
      </c>
      <c r="I1542" s="7">
        <v>5</v>
      </c>
      <c r="J1542" s="7" t="str">
        <f>"受水槽"</f>
        <v>受水槽</v>
      </c>
      <c r="K1542" s="7" t="str">
        <f t="shared" si="530"/>
        <v>鉄筋コンクリート造</v>
      </c>
      <c r="L1542" s="7" t="str">
        <f>"S51.02.26"</f>
        <v>S51.02.26</v>
      </c>
      <c r="M1542" s="7">
        <v>78</v>
      </c>
      <c r="N1542" s="7">
        <v>8048000</v>
      </c>
      <c r="O1542" s="7">
        <v>8047999</v>
      </c>
      <c r="P1542" s="7">
        <v>0</v>
      </c>
      <c r="Q1542" s="7" t="str">
        <f t="shared" si="520"/>
        <v>都市整備部</v>
      </c>
      <c r="R1542" s="7" t="str">
        <f t="shared" si="517"/>
        <v>住宅建築局住宅経営室</v>
      </c>
    </row>
    <row r="1543" spans="1:18" s="1" customFormat="1" x14ac:dyDescent="0.45">
      <c r="A1543" s="7" t="str">
        <f>"09940003066"</f>
        <v>09940003066</v>
      </c>
      <c r="B1543" s="7" t="str">
        <f>"鶴原中央"</f>
        <v>鶴原中央</v>
      </c>
      <c r="C1543" s="7" t="str">
        <f t="shared" si="518"/>
        <v>行政財産</v>
      </c>
      <c r="D1543" s="7" t="str">
        <f t="shared" si="519"/>
        <v>公営住宅</v>
      </c>
      <c r="E1543" s="7" t="str">
        <f>"大阪府泉佐野市鶴原"</f>
        <v>大阪府泉佐野市鶴原</v>
      </c>
      <c r="F1543" s="7"/>
      <c r="G1543" s="7" t="str">
        <f t="shared" si="516"/>
        <v>事業用資産</v>
      </c>
      <c r="H1543" s="7" t="str">
        <f t="shared" si="531"/>
        <v>棚卸以外</v>
      </c>
      <c r="I1543" s="7">
        <v>1</v>
      </c>
      <c r="J1543" s="7" t="str">
        <f>"８～１３号棟"</f>
        <v>８～１３号棟</v>
      </c>
      <c r="K1543" s="7" t="str">
        <f t="shared" si="530"/>
        <v>鉄筋コンクリート造</v>
      </c>
      <c r="L1543" s="7" t="str">
        <f>"S45.10.30"</f>
        <v>S45.10.30</v>
      </c>
      <c r="M1543" s="7">
        <v>11635.63</v>
      </c>
      <c r="N1543" s="7">
        <v>824571779</v>
      </c>
      <c r="O1543" s="7">
        <v>623341529</v>
      </c>
      <c r="P1543" s="7">
        <v>0</v>
      </c>
      <c r="Q1543" s="7" t="str">
        <f t="shared" si="520"/>
        <v>都市整備部</v>
      </c>
      <c r="R1543" s="7" t="str">
        <f t="shared" si="517"/>
        <v>住宅建築局住宅経営室</v>
      </c>
    </row>
    <row r="1544" spans="1:18" s="1" customFormat="1" x14ac:dyDescent="0.45">
      <c r="A1544" s="7" t="str">
        <f>"09940003066"</f>
        <v>09940003066</v>
      </c>
      <c r="B1544" s="7" t="str">
        <f>"鶴原中央"</f>
        <v>鶴原中央</v>
      </c>
      <c r="C1544" s="7" t="str">
        <f t="shared" si="518"/>
        <v>行政財産</v>
      </c>
      <c r="D1544" s="7" t="str">
        <f t="shared" si="519"/>
        <v>公営住宅</v>
      </c>
      <c r="E1544" s="7" t="str">
        <f>"大阪府泉佐野市鶴原"</f>
        <v>大阪府泉佐野市鶴原</v>
      </c>
      <c r="F1544" s="7"/>
      <c r="G1544" s="7" t="str">
        <f t="shared" si="516"/>
        <v>事業用資産</v>
      </c>
      <c r="H1544" s="7" t="str">
        <f t="shared" si="531"/>
        <v>棚卸以外</v>
      </c>
      <c r="I1544" s="7">
        <v>2</v>
      </c>
      <c r="J1544" s="7" t="str">
        <f>"１～７号棟"</f>
        <v>１～７号棟</v>
      </c>
      <c r="K1544" s="7" t="str">
        <f t="shared" si="530"/>
        <v>鉄筋コンクリート造</v>
      </c>
      <c r="L1544" s="7" t="str">
        <f>"S45.10.30"</f>
        <v>S45.10.30</v>
      </c>
      <c r="M1544" s="7">
        <v>13999.08</v>
      </c>
      <c r="N1544" s="7">
        <v>976587385</v>
      </c>
      <c r="O1544" s="7">
        <v>721073155</v>
      </c>
      <c r="P1544" s="7">
        <v>0</v>
      </c>
      <c r="Q1544" s="7" t="str">
        <f t="shared" si="520"/>
        <v>都市整備部</v>
      </c>
      <c r="R1544" s="7" t="str">
        <f t="shared" si="517"/>
        <v>住宅建築局住宅経営室</v>
      </c>
    </row>
    <row r="1545" spans="1:18" s="1" customFormat="1" x14ac:dyDescent="0.45">
      <c r="A1545" s="7" t="str">
        <f>"09940003066"</f>
        <v>09940003066</v>
      </c>
      <c r="B1545" s="7" t="str">
        <f>"鶴原中央"</f>
        <v>鶴原中央</v>
      </c>
      <c r="C1545" s="7" t="str">
        <f t="shared" si="518"/>
        <v>行政財産</v>
      </c>
      <c r="D1545" s="7" t="str">
        <f t="shared" si="519"/>
        <v>公営住宅</v>
      </c>
      <c r="E1545" s="7" t="str">
        <f>"大阪府泉佐野市鶴原"</f>
        <v>大阪府泉佐野市鶴原</v>
      </c>
      <c r="F1545" s="7"/>
      <c r="G1545" s="7" t="str">
        <f t="shared" si="516"/>
        <v>事業用資産</v>
      </c>
      <c r="H1545" s="7" t="str">
        <f t="shared" si="531"/>
        <v>棚卸以外</v>
      </c>
      <c r="I1545" s="7">
        <v>3</v>
      </c>
      <c r="J1545" s="7" t="str">
        <f>"集会所"</f>
        <v>集会所</v>
      </c>
      <c r="K1545" s="7" t="str">
        <f t="shared" si="530"/>
        <v>鉄筋コンクリート造</v>
      </c>
      <c r="L1545" s="7" t="str">
        <f>"S45.10.30"</f>
        <v>S45.10.30</v>
      </c>
      <c r="M1545" s="7">
        <v>148.12</v>
      </c>
      <c r="N1545" s="7">
        <v>23698649</v>
      </c>
      <c r="O1545" s="7">
        <v>16609235</v>
      </c>
      <c r="P1545" s="7">
        <v>0</v>
      </c>
      <c r="Q1545" s="7" t="str">
        <f t="shared" si="520"/>
        <v>都市整備部</v>
      </c>
      <c r="R1545" s="7" t="str">
        <f t="shared" si="517"/>
        <v>住宅建築局住宅経営室</v>
      </c>
    </row>
    <row r="1546" spans="1:18" s="1" customFormat="1" x14ac:dyDescent="0.45">
      <c r="A1546" s="7" t="str">
        <f>"09940003066"</f>
        <v>09940003066</v>
      </c>
      <c r="B1546" s="7" t="str">
        <f>"鶴原中央"</f>
        <v>鶴原中央</v>
      </c>
      <c r="C1546" s="7" t="str">
        <f t="shared" si="518"/>
        <v>行政財産</v>
      </c>
      <c r="D1546" s="7" t="str">
        <f t="shared" si="519"/>
        <v>公営住宅</v>
      </c>
      <c r="E1546" s="7" t="str">
        <f>"大阪府泉佐野市鶴原"</f>
        <v>大阪府泉佐野市鶴原</v>
      </c>
      <c r="F1546" s="7"/>
      <c r="G1546" s="7" t="str">
        <f t="shared" si="516"/>
        <v>事業用資産</v>
      </c>
      <c r="H1546" s="7" t="str">
        <f t="shared" si="531"/>
        <v>棚卸以外</v>
      </c>
      <c r="I1546" s="7">
        <v>4</v>
      </c>
      <c r="J1546" s="7" t="str">
        <f>"汚水処理場"</f>
        <v>汚水処理場</v>
      </c>
      <c r="K1546" s="7" t="str">
        <f t="shared" si="530"/>
        <v>鉄筋コンクリート造</v>
      </c>
      <c r="L1546" s="7" t="str">
        <f>"S45.10.30"</f>
        <v>S45.10.30</v>
      </c>
      <c r="M1546" s="7">
        <v>200.96</v>
      </c>
      <c r="N1546" s="7">
        <v>53899000</v>
      </c>
      <c r="O1546" s="7">
        <v>53898999</v>
      </c>
      <c r="P1546" s="7">
        <v>0</v>
      </c>
      <c r="Q1546" s="7" t="str">
        <f t="shared" si="520"/>
        <v>都市整備部</v>
      </c>
      <c r="R1546" s="7" t="str">
        <f t="shared" si="517"/>
        <v>住宅建築局住宅経営室</v>
      </c>
    </row>
    <row r="1547" spans="1:18" s="1" customFormat="1" x14ac:dyDescent="0.45">
      <c r="A1547" s="7" t="str">
        <f>"09940003068"</f>
        <v>09940003068</v>
      </c>
      <c r="B1547" s="7" t="str">
        <f>"長居西（旧西長居）"</f>
        <v>長居西（旧西長居）</v>
      </c>
      <c r="C1547" s="7" t="str">
        <f t="shared" si="518"/>
        <v>行政財産</v>
      </c>
      <c r="D1547" s="7" t="str">
        <f t="shared" si="519"/>
        <v>公営住宅</v>
      </c>
      <c r="E1547" s="7" t="str">
        <f>"大阪府大阪市　住吉区長居西１丁目"</f>
        <v>大阪府大阪市　住吉区長居西１丁目</v>
      </c>
      <c r="F1547" s="7" t="str">
        <f>"１０番"</f>
        <v>１０番</v>
      </c>
      <c r="G1547" s="7" t="str">
        <f t="shared" si="516"/>
        <v>事業用資産</v>
      </c>
      <c r="H1547" s="7" t="str">
        <f t="shared" si="531"/>
        <v>棚卸以外</v>
      </c>
      <c r="I1547" s="7">
        <v>10</v>
      </c>
      <c r="J1547" s="7" t="str">
        <f>"集会所"</f>
        <v>集会所</v>
      </c>
      <c r="K1547" s="7" t="str">
        <f>"木造"</f>
        <v>木造</v>
      </c>
      <c r="L1547" s="7" t="str">
        <f>"S25.01.01"</f>
        <v>S25.01.01</v>
      </c>
      <c r="M1547" s="7">
        <v>49.58</v>
      </c>
      <c r="N1547" s="7">
        <v>105697</v>
      </c>
      <c r="O1547" s="7">
        <v>105696</v>
      </c>
      <c r="P1547" s="7">
        <v>1</v>
      </c>
      <c r="Q1547" s="7" t="str">
        <f t="shared" si="520"/>
        <v>都市整備部</v>
      </c>
      <c r="R1547" s="7" t="str">
        <f t="shared" si="517"/>
        <v>住宅建築局住宅経営室</v>
      </c>
    </row>
    <row r="1548" spans="1:18" s="1" customFormat="1" x14ac:dyDescent="0.45">
      <c r="A1548" s="7" t="str">
        <f>"09940003069"</f>
        <v>09940003069</v>
      </c>
      <c r="B1548" s="7" t="str">
        <f>"長滝第１"</f>
        <v>長滝第１</v>
      </c>
      <c r="C1548" s="7" t="str">
        <f t="shared" si="518"/>
        <v>行政財産</v>
      </c>
      <c r="D1548" s="7" t="str">
        <f t="shared" si="519"/>
        <v>公営住宅</v>
      </c>
      <c r="E1548" s="7" t="str">
        <f>"大阪府泉佐野市長滝"</f>
        <v>大阪府泉佐野市長滝</v>
      </c>
      <c r="F1548" s="7"/>
      <c r="G1548" s="7" t="str">
        <f t="shared" si="516"/>
        <v>事業用資産</v>
      </c>
      <c r="H1548" s="7" t="str">
        <f t="shared" si="531"/>
        <v>棚卸以外</v>
      </c>
      <c r="I1548" s="7">
        <v>1</v>
      </c>
      <c r="J1548" s="7" t="str">
        <f>"１～５・７号棟"</f>
        <v>１～５・７号棟</v>
      </c>
      <c r="K1548" s="7" t="str">
        <f t="shared" ref="K1548:K1579" si="532">"鉄筋コンクリート造"</f>
        <v>鉄筋コンクリート造</v>
      </c>
      <c r="L1548" s="7" t="str">
        <f>"S47.10.03"</f>
        <v>S47.10.03</v>
      </c>
      <c r="M1548" s="7">
        <v>10957.6</v>
      </c>
      <c r="N1548" s="7">
        <v>769871677</v>
      </c>
      <c r="O1548" s="7">
        <v>572400501</v>
      </c>
      <c r="P1548" s="7">
        <v>0</v>
      </c>
      <c r="Q1548" s="7" t="str">
        <f t="shared" si="520"/>
        <v>都市整備部</v>
      </c>
      <c r="R1548" s="7" t="str">
        <f t="shared" si="517"/>
        <v>住宅建築局住宅経営室</v>
      </c>
    </row>
    <row r="1549" spans="1:18" s="1" customFormat="1" x14ac:dyDescent="0.45">
      <c r="A1549" s="7" t="str">
        <f>"09940003069"</f>
        <v>09940003069</v>
      </c>
      <c r="B1549" s="7" t="str">
        <f>"長滝第１"</f>
        <v>長滝第１</v>
      </c>
      <c r="C1549" s="7" t="str">
        <f t="shared" si="518"/>
        <v>行政財産</v>
      </c>
      <c r="D1549" s="7" t="str">
        <f t="shared" si="519"/>
        <v>公営住宅</v>
      </c>
      <c r="E1549" s="7" t="str">
        <f>"大阪府泉佐野市長滝"</f>
        <v>大阪府泉佐野市長滝</v>
      </c>
      <c r="F1549" s="7"/>
      <c r="G1549" s="7" t="str">
        <f t="shared" si="516"/>
        <v>事業用資産</v>
      </c>
      <c r="H1549" s="7" t="str">
        <f t="shared" si="531"/>
        <v>棚卸以外</v>
      </c>
      <c r="I1549" s="7">
        <v>2</v>
      </c>
      <c r="J1549" s="7" t="str">
        <f>"８・９号棟"</f>
        <v>８・９号棟</v>
      </c>
      <c r="K1549" s="7" t="str">
        <f t="shared" si="532"/>
        <v>鉄筋コンクリート造</v>
      </c>
      <c r="L1549" s="7" t="str">
        <f>"S47.10.03"</f>
        <v>S47.10.03</v>
      </c>
      <c r="M1549" s="7">
        <v>3746.06</v>
      </c>
      <c r="N1549" s="7">
        <v>304407700</v>
      </c>
      <c r="O1549" s="7">
        <v>213257067</v>
      </c>
      <c r="P1549" s="7">
        <v>0</v>
      </c>
      <c r="Q1549" s="7" t="str">
        <f t="shared" si="520"/>
        <v>都市整備部</v>
      </c>
      <c r="R1549" s="7" t="str">
        <f t="shared" si="517"/>
        <v>住宅建築局住宅経営室</v>
      </c>
    </row>
    <row r="1550" spans="1:18" s="1" customFormat="1" x14ac:dyDescent="0.45">
      <c r="A1550" s="7" t="str">
        <f>"09940003069"</f>
        <v>09940003069</v>
      </c>
      <c r="B1550" s="7" t="str">
        <f>"長滝第１"</f>
        <v>長滝第１</v>
      </c>
      <c r="C1550" s="7" t="str">
        <f t="shared" si="518"/>
        <v>行政財産</v>
      </c>
      <c r="D1550" s="7" t="str">
        <f t="shared" si="519"/>
        <v>公営住宅</v>
      </c>
      <c r="E1550" s="7" t="str">
        <f>"大阪府泉佐野市長滝"</f>
        <v>大阪府泉佐野市長滝</v>
      </c>
      <c r="F1550" s="7"/>
      <c r="G1550" s="7" t="str">
        <f t="shared" si="516"/>
        <v>事業用資産</v>
      </c>
      <c r="H1550" s="7" t="str">
        <f t="shared" si="531"/>
        <v>棚卸以外</v>
      </c>
      <c r="I1550" s="7">
        <v>3</v>
      </c>
      <c r="J1550" s="7" t="str">
        <f>"集会所"</f>
        <v>集会所</v>
      </c>
      <c r="K1550" s="7" t="str">
        <f t="shared" si="532"/>
        <v>鉄筋コンクリート造</v>
      </c>
      <c r="L1550" s="7" t="str">
        <f>"S47.10.03"</f>
        <v>S47.10.03</v>
      </c>
      <c r="M1550" s="7">
        <v>99.73</v>
      </c>
      <c r="N1550" s="7">
        <v>13794344</v>
      </c>
      <c r="O1550" s="7">
        <v>13794343</v>
      </c>
      <c r="P1550" s="7">
        <v>0</v>
      </c>
      <c r="Q1550" s="7" t="str">
        <f t="shared" si="520"/>
        <v>都市整備部</v>
      </c>
      <c r="R1550" s="7" t="str">
        <f t="shared" si="517"/>
        <v>住宅建築局住宅経営室</v>
      </c>
    </row>
    <row r="1551" spans="1:18" s="1" customFormat="1" x14ac:dyDescent="0.45">
      <c r="A1551" s="7" t="str">
        <f>"09940003069"</f>
        <v>09940003069</v>
      </c>
      <c r="B1551" s="7" t="str">
        <f>"長滝第１"</f>
        <v>長滝第１</v>
      </c>
      <c r="C1551" s="7" t="str">
        <f t="shared" si="518"/>
        <v>行政財産</v>
      </c>
      <c r="D1551" s="7" t="str">
        <f t="shared" si="519"/>
        <v>公営住宅</v>
      </c>
      <c r="E1551" s="7" t="str">
        <f>"大阪府泉佐野市長滝"</f>
        <v>大阪府泉佐野市長滝</v>
      </c>
      <c r="F1551" s="7"/>
      <c r="G1551" s="7" t="str">
        <f t="shared" si="516"/>
        <v>事業用資産</v>
      </c>
      <c r="H1551" s="7" t="str">
        <f t="shared" si="531"/>
        <v>棚卸以外</v>
      </c>
      <c r="I1551" s="7">
        <v>4</v>
      </c>
      <c r="J1551" s="7" t="str">
        <f>"汚水処理場"</f>
        <v>汚水処理場</v>
      </c>
      <c r="K1551" s="7" t="str">
        <f t="shared" si="532"/>
        <v>鉄筋コンクリート造</v>
      </c>
      <c r="L1551" s="7" t="str">
        <f>"S47.10.03"</f>
        <v>S47.10.03</v>
      </c>
      <c r="M1551" s="7">
        <v>135.30000000000001</v>
      </c>
      <c r="N1551" s="7">
        <v>28210000</v>
      </c>
      <c r="O1551" s="7">
        <v>28209999</v>
      </c>
      <c r="P1551" s="7">
        <v>0</v>
      </c>
      <c r="Q1551" s="7" t="str">
        <f t="shared" si="520"/>
        <v>都市整備部</v>
      </c>
      <c r="R1551" s="7" t="str">
        <f t="shared" si="517"/>
        <v>住宅建築局住宅経営室</v>
      </c>
    </row>
    <row r="1552" spans="1:18" s="1" customFormat="1" x14ac:dyDescent="0.45">
      <c r="A1552" s="7" t="str">
        <f>"09940003070"</f>
        <v>09940003070</v>
      </c>
      <c r="B1552" s="7" t="str">
        <f>"原山台５丁第２"</f>
        <v>原山台５丁第２</v>
      </c>
      <c r="C1552" s="7" t="str">
        <f t="shared" si="518"/>
        <v>行政財産</v>
      </c>
      <c r="D1552" s="7" t="str">
        <f t="shared" si="519"/>
        <v>公営住宅</v>
      </c>
      <c r="E1552" s="7" t="str">
        <f>"大阪府堺市　南区原山台５丁"</f>
        <v>大阪府堺市　南区原山台５丁</v>
      </c>
      <c r="F1552" s="7"/>
      <c r="G1552" s="7" t="str">
        <f t="shared" si="516"/>
        <v>事業用資産</v>
      </c>
      <c r="H1552" s="7" t="str">
        <f t="shared" si="531"/>
        <v>棚卸以外</v>
      </c>
      <c r="I1552" s="7">
        <v>1</v>
      </c>
      <c r="J1552" s="7" t="str">
        <f>"１号棟"</f>
        <v>１号棟</v>
      </c>
      <c r="K1552" s="7" t="str">
        <f t="shared" si="532"/>
        <v>鉄筋コンクリート造</v>
      </c>
      <c r="L1552" s="7" t="str">
        <f>"S52.08.01"</f>
        <v>S52.08.01</v>
      </c>
      <c r="M1552" s="7">
        <v>11215.63</v>
      </c>
      <c r="N1552" s="7">
        <v>1060709052</v>
      </c>
      <c r="O1552" s="7">
        <v>1018646413</v>
      </c>
      <c r="P1552" s="7">
        <v>0</v>
      </c>
      <c r="Q1552" s="7" t="str">
        <f t="shared" si="520"/>
        <v>都市整備部</v>
      </c>
      <c r="R1552" s="7" t="str">
        <f t="shared" si="517"/>
        <v>住宅建築局住宅経営室</v>
      </c>
    </row>
    <row r="1553" spans="1:18" s="1" customFormat="1" x14ac:dyDescent="0.45">
      <c r="A1553" s="7" t="str">
        <f>"09940003070"</f>
        <v>09940003070</v>
      </c>
      <c r="B1553" s="7" t="str">
        <f>"原山台５丁第２"</f>
        <v>原山台５丁第２</v>
      </c>
      <c r="C1553" s="7" t="str">
        <f t="shared" si="518"/>
        <v>行政財産</v>
      </c>
      <c r="D1553" s="7" t="str">
        <f t="shared" si="519"/>
        <v>公営住宅</v>
      </c>
      <c r="E1553" s="7" t="str">
        <f>"大阪府堺市　南区原山台５丁"</f>
        <v>大阪府堺市　南区原山台５丁</v>
      </c>
      <c r="F1553" s="7"/>
      <c r="G1553" s="7" t="str">
        <f t="shared" si="516"/>
        <v>事業用資産</v>
      </c>
      <c r="H1553" s="7" t="str">
        <f t="shared" si="531"/>
        <v>棚卸以外</v>
      </c>
      <c r="I1553" s="7">
        <v>2</v>
      </c>
      <c r="J1553" s="7" t="str">
        <f>"ポンプ室"</f>
        <v>ポンプ室</v>
      </c>
      <c r="K1553" s="7" t="str">
        <f t="shared" si="532"/>
        <v>鉄筋コンクリート造</v>
      </c>
      <c r="L1553" s="7" t="str">
        <f>"S52.08.01"</f>
        <v>S52.08.01</v>
      </c>
      <c r="M1553" s="7">
        <v>46.35</v>
      </c>
      <c r="N1553" s="7">
        <v>2986000</v>
      </c>
      <c r="O1553" s="7">
        <v>2896365</v>
      </c>
      <c r="P1553" s="7">
        <v>0</v>
      </c>
      <c r="Q1553" s="7" t="str">
        <f t="shared" si="520"/>
        <v>都市整備部</v>
      </c>
      <c r="R1553" s="7" t="str">
        <f t="shared" si="517"/>
        <v>住宅建築局住宅経営室</v>
      </c>
    </row>
    <row r="1554" spans="1:18" s="1" customFormat="1" x14ac:dyDescent="0.45">
      <c r="A1554" s="7" t="str">
        <f>"09940003071"</f>
        <v>09940003071</v>
      </c>
      <c r="B1554" s="7" t="str">
        <f>"庄内"</f>
        <v>庄内</v>
      </c>
      <c r="C1554" s="7" t="str">
        <f t="shared" si="518"/>
        <v>行政財産</v>
      </c>
      <c r="D1554" s="7" t="str">
        <f t="shared" si="519"/>
        <v>公営住宅</v>
      </c>
      <c r="E1554" s="7" t="str">
        <f>"大阪府豊中市三和町１丁目"</f>
        <v>大阪府豊中市三和町１丁目</v>
      </c>
      <c r="F1554" s="7"/>
      <c r="G1554" s="7" t="str">
        <f t="shared" si="516"/>
        <v>事業用資産</v>
      </c>
      <c r="H1554" s="7" t="str">
        <f t="shared" si="531"/>
        <v>棚卸以外</v>
      </c>
      <c r="I1554" s="7">
        <v>1</v>
      </c>
      <c r="J1554" s="7" t="str">
        <f>"２～４棟"</f>
        <v>２～４棟</v>
      </c>
      <c r="K1554" s="7" t="str">
        <f t="shared" si="532"/>
        <v>鉄筋コンクリート造</v>
      </c>
      <c r="L1554" s="7" t="str">
        <f>"S47.12.13"</f>
        <v>S47.12.13</v>
      </c>
      <c r="M1554" s="7">
        <v>5846.3</v>
      </c>
      <c r="N1554" s="7">
        <v>518347852</v>
      </c>
      <c r="O1554" s="7">
        <v>292414925</v>
      </c>
      <c r="P1554" s="7">
        <v>0</v>
      </c>
      <c r="Q1554" s="7" t="str">
        <f t="shared" si="520"/>
        <v>都市整備部</v>
      </c>
      <c r="R1554" s="7" t="str">
        <f t="shared" si="517"/>
        <v>住宅建築局住宅経営室</v>
      </c>
    </row>
    <row r="1555" spans="1:18" s="1" customFormat="1" x14ac:dyDescent="0.45">
      <c r="A1555" s="7" t="str">
        <f>"09940003071"</f>
        <v>09940003071</v>
      </c>
      <c r="B1555" s="7" t="str">
        <f>"庄内"</f>
        <v>庄内</v>
      </c>
      <c r="C1555" s="7" t="str">
        <f t="shared" si="518"/>
        <v>行政財産</v>
      </c>
      <c r="D1555" s="7" t="str">
        <f t="shared" si="519"/>
        <v>公営住宅</v>
      </c>
      <c r="E1555" s="7" t="str">
        <f>"大阪府豊中市三和町１丁目"</f>
        <v>大阪府豊中市三和町１丁目</v>
      </c>
      <c r="F1555" s="7"/>
      <c r="G1555" s="7" t="str">
        <f t="shared" si="516"/>
        <v>事業用資産</v>
      </c>
      <c r="H1555" s="7" t="str">
        <f t="shared" si="531"/>
        <v>棚卸以外</v>
      </c>
      <c r="I1555" s="7">
        <v>2</v>
      </c>
      <c r="J1555" s="7" t="str">
        <f>"集会所"</f>
        <v>集会所</v>
      </c>
      <c r="K1555" s="7" t="str">
        <f t="shared" si="532"/>
        <v>鉄筋コンクリート造</v>
      </c>
      <c r="L1555" s="7" t="str">
        <f>"S47.12.13"</f>
        <v>S47.12.13</v>
      </c>
      <c r="M1555" s="7">
        <v>66.77</v>
      </c>
      <c r="N1555" s="7">
        <v>3643207</v>
      </c>
      <c r="O1555" s="7">
        <v>2199950</v>
      </c>
      <c r="P1555" s="7">
        <v>0</v>
      </c>
      <c r="Q1555" s="7" t="str">
        <f t="shared" si="520"/>
        <v>都市整備部</v>
      </c>
      <c r="R1555" s="7" t="str">
        <f t="shared" si="517"/>
        <v>住宅建築局住宅経営室</v>
      </c>
    </row>
    <row r="1556" spans="1:18" s="1" customFormat="1" x14ac:dyDescent="0.45">
      <c r="A1556" s="7" t="str">
        <f>"09940003071"</f>
        <v>09940003071</v>
      </c>
      <c r="B1556" s="7" t="str">
        <f>"庄内"</f>
        <v>庄内</v>
      </c>
      <c r="C1556" s="7" t="str">
        <f t="shared" si="518"/>
        <v>行政財産</v>
      </c>
      <c r="D1556" s="7" t="str">
        <f t="shared" si="519"/>
        <v>公営住宅</v>
      </c>
      <c r="E1556" s="7" t="str">
        <f>"大阪府豊中市三和町１丁目"</f>
        <v>大阪府豊中市三和町１丁目</v>
      </c>
      <c r="F1556" s="7"/>
      <c r="G1556" s="7" t="str">
        <f t="shared" si="516"/>
        <v>事業用資産</v>
      </c>
      <c r="H1556" s="7" t="str">
        <f t="shared" si="531"/>
        <v>棚卸以外</v>
      </c>
      <c r="I1556" s="7">
        <v>3</v>
      </c>
      <c r="J1556" s="7" t="str">
        <f>"５号棟"</f>
        <v>５号棟</v>
      </c>
      <c r="K1556" s="7" t="str">
        <f t="shared" si="532"/>
        <v>鉄筋コンクリート造</v>
      </c>
      <c r="L1556" s="7" t="str">
        <f>"S48.12.20"</f>
        <v>S48.12.20</v>
      </c>
      <c r="M1556" s="7">
        <v>972.3</v>
      </c>
      <c r="N1556" s="7">
        <v>169929304</v>
      </c>
      <c r="O1556" s="7">
        <v>71238129</v>
      </c>
      <c r="P1556" s="7">
        <v>0</v>
      </c>
      <c r="Q1556" s="7" t="str">
        <f t="shared" si="520"/>
        <v>都市整備部</v>
      </c>
      <c r="R1556" s="7" t="str">
        <f t="shared" si="517"/>
        <v>住宅建築局住宅経営室</v>
      </c>
    </row>
    <row r="1557" spans="1:18" s="1" customFormat="1" x14ac:dyDescent="0.45">
      <c r="A1557" s="7" t="str">
        <f>"09940003071"</f>
        <v>09940003071</v>
      </c>
      <c r="B1557" s="7" t="str">
        <f>"庄内"</f>
        <v>庄内</v>
      </c>
      <c r="C1557" s="7" t="str">
        <f t="shared" si="518"/>
        <v>行政財産</v>
      </c>
      <c r="D1557" s="7" t="str">
        <f t="shared" si="519"/>
        <v>公営住宅</v>
      </c>
      <c r="E1557" s="7" t="str">
        <f>"大阪府豊中市三和町１丁目"</f>
        <v>大阪府豊中市三和町１丁目</v>
      </c>
      <c r="F1557" s="7"/>
      <c r="G1557" s="7" t="str">
        <f t="shared" si="516"/>
        <v>事業用資産</v>
      </c>
      <c r="H1557" s="7" t="str">
        <f t="shared" si="531"/>
        <v>棚卸以外</v>
      </c>
      <c r="I1557" s="7">
        <v>4</v>
      </c>
      <c r="J1557" s="7" t="str">
        <f>"受水槽"</f>
        <v>受水槽</v>
      </c>
      <c r="K1557" s="7" t="str">
        <f t="shared" si="532"/>
        <v>鉄筋コンクリート造</v>
      </c>
      <c r="L1557" s="7" t="str">
        <f>"S48.12.20"</f>
        <v>S48.12.20</v>
      </c>
      <c r="M1557" s="7">
        <v>22.5</v>
      </c>
      <c r="N1557" s="7">
        <v>2478000</v>
      </c>
      <c r="O1557" s="7">
        <v>2477999</v>
      </c>
      <c r="P1557" s="7">
        <v>0</v>
      </c>
      <c r="Q1557" s="7" t="str">
        <f t="shared" si="520"/>
        <v>都市整備部</v>
      </c>
      <c r="R1557" s="7" t="str">
        <f t="shared" si="517"/>
        <v>住宅建築局住宅経営室</v>
      </c>
    </row>
    <row r="1558" spans="1:18" s="1" customFormat="1" x14ac:dyDescent="0.45">
      <c r="A1558" s="7" t="str">
        <f>"09940003072"</f>
        <v>09940003072</v>
      </c>
      <c r="B1558" s="7" t="str">
        <f>"泉佐野見出"</f>
        <v>泉佐野見出</v>
      </c>
      <c r="C1558" s="7" t="str">
        <f t="shared" si="518"/>
        <v>行政財産</v>
      </c>
      <c r="D1558" s="7" t="str">
        <f t="shared" si="519"/>
        <v>公営住宅</v>
      </c>
      <c r="E1558" s="7" t="str">
        <f>"大阪府泉佐野市鶴原"</f>
        <v>大阪府泉佐野市鶴原</v>
      </c>
      <c r="F1558" s="7"/>
      <c r="G1558" s="7" t="str">
        <f t="shared" si="516"/>
        <v>事業用資産</v>
      </c>
      <c r="H1558" s="7" t="str">
        <f t="shared" si="531"/>
        <v>棚卸以外</v>
      </c>
      <c r="I1558" s="7">
        <v>1</v>
      </c>
      <c r="J1558" s="7" t="str">
        <f>"２～８号棟"</f>
        <v>２～８号棟</v>
      </c>
      <c r="K1558" s="7" t="str">
        <f t="shared" si="532"/>
        <v>鉄筋コンクリート造</v>
      </c>
      <c r="L1558" s="7" t="str">
        <f>"S47.10.03"</f>
        <v>S47.10.03</v>
      </c>
      <c r="M1558" s="7">
        <v>11932.94</v>
      </c>
      <c r="N1558" s="7">
        <v>950407295</v>
      </c>
      <c r="O1558" s="7">
        <v>484533897</v>
      </c>
      <c r="P1558" s="7">
        <v>0</v>
      </c>
      <c r="Q1558" s="7" t="str">
        <f t="shared" si="520"/>
        <v>都市整備部</v>
      </c>
      <c r="R1558" s="7" t="str">
        <f t="shared" si="517"/>
        <v>住宅建築局住宅経営室</v>
      </c>
    </row>
    <row r="1559" spans="1:18" s="1" customFormat="1" x14ac:dyDescent="0.45">
      <c r="A1559" s="7" t="str">
        <f>"09940003072"</f>
        <v>09940003072</v>
      </c>
      <c r="B1559" s="7" t="str">
        <f>"泉佐野見出"</f>
        <v>泉佐野見出</v>
      </c>
      <c r="C1559" s="7" t="str">
        <f t="shared" si="518"/>
        <v>行政財産</v>
      </c>
      <c r="D1559" s="7" t="str">
        <f t="shared" si="519"/>
        <v>公営住宅</v>
      </c>
      <c r="E1559" s="7" t="str">
        <f>"大阪府泉佐野市鶴原"</f>
        <v>大阪府泉佐野市鶴原</v>
      </c>
      <c r="F1559" s="7"/>
      <c r="G1559" s="7" t="str">
        <f t="shared" ref="G1559:G1622" si="533">"事業用資産"</f>
        <v>事業用資産</v>
      </c>
      <c r="H1559" s="7" t="str">
        <f t="shared" si="531"/>
        <v>棚卸以外</v>
      </c>
      <c r="I1559" s="7">
        <v>2</v>
      </c>
      <c r="J1559" s="7" t="str">
        <f>"集会所"</f>
        <v>集会所</v>
      </c>
      <c r="K1559" s="7" t="str">
        <f t="shared" si="532"/>
        <v>鉄筋コンクリート造</v>
      </c>
      <c r="L1559" s="7" t="str">
        <f>"S47.10.03"</f>
        <v>S47.10.03</v>
      </c>
      <c r="M1559" s="7">
        <v>66.77</v>
      </c>
      <c r="N1559" s="7">
        <v>2603530</v>
      </c>
      <c r="O1559" s="7">
        <v>2603529</v>
      </c>
      <c r="P1559" s="7">
        <v>0</v>
      </c>
      <c r="Q1559" s="7" t="str">
        <f t="shared" si="520"/>
        <v>都市整備部</v>
      </c>
      <c r="R1559" s="7" t="str">
        <f t="shared" si="517"/>
        <v>住宅建築局住宅経営室</v>
      </c>
    </row>
    <row r="1560" spans="1:18" s="1" customFormat="1" x14ac:dyDescent="0.45">
      <c r="A1560" s="7" t="str">
        <f>"09940003072"</f>
        <v>09940003072</v>
      </c>
      <c r="B1560" s="7" t="str">
        <f>"泉佐野見出"</f>
        <v>泉佐野見出</v>
      </c>
      <c r="C1560" s="7" t="str">
        <f t="shared" si="518"/>
        <v>行政財産</v>
      </c>
      <c r="D1560" s="7" t="str">
        <f t="shared" si="519"/>
        <v>公営住宅</v>
      </c>
      <c r="E1560" s="7" t="str">
        <f>"大阪府泉佐野市鶴原"</f>
        <v>大阪府泉佐野市鶴原</v>
      </c>
      <c r="F1560" s="7"/>
      <c r="G1560" s="7" t="str">
        <f t="shared" si="533"/>
        <v>事業用資産</v>
      </c>
      <c r="H1560" s="7" t="str">
        <f t="shared" si="531"/>
        <v>棚卸以外</v>
      </c>
      <c r="I1560" s="7">
        <v>3</v>
      </c>
      <c r="J1560" s="7" t="str">
        <f>"集会所増築分"</f>
        <v>集会所増築分</v>
      </c>
      <c r="K1560" s="7" t="str">
        <f t="shared" si="532"/>
        <v>鉄筋コンクリート造</v>
      </c>
      <c r="L1560" s="7" t="str">
        <f>"S63.03.30"</f>
        <v>S63.03.30</v>
      </c>
      <c r="M1560" s="7">
        <v>32.96</v>
      </c>
      <c r="N1560" s="7">
        <v>6850000</v>
      </c>
      <c r="O1560" s="7">
        <v>5101320</v>
      </c>
      <c r="P1560" s="7">
        <v>0</v>
      </c>
      <c r="Q1560" s="7" t="str">
        <f t="shared" si="520"/>
        <v>都市整備部</v>
      </c>
      <c r="R1560" s="7" t="str">
        <f t="shared" ref="R1560:R1623" si="534">"住宅建築局住宅経営室"</f>
        <v>住宅建築局住宅経営室</v>
      </c>
    </row>
    <row r="1561" spans="1:18" s="1" customFormat="1" x14ac:dyDescent="0.45">
      <c r="A1561" s="7" t="str">
        <f>"09940003072"</f>
        <v>09940003072</v>
      </c>
      <c r="B1561" s="7" t="str">
        <f>"泉佐野見出"</f>
        <v>泉佐野見出</v>
      </c>
      <c r="C1561" s="7" t="str">
        <f t="shared" si="518"/>
        <v>行政財産</v>
      </c>
      <c r="D1561" s="7" t="str">
        <f t="shared" si="519"/>
        <v>公営住宅</v>
      </c>
      <c r="E1561" s="7" t="str">
        <f>"大阪府泉佐野市鶴原"</f>
        <v>大阪府泉佐野市鶴原</v>
      </c>
      <c r="F1561" s="7"/>
      <c r="G1561" s="7" t="str">
        <f t="shared" si="533"/>
        <v>事業用資産</v>
      </c>
      <c r="H1561" s="7" t="str">
        <f t="shared" si="531"/>
        <v>棚卸以外</v>
      </c>
      <c r="I1561" s="7">
        <v>4</v>
      </c>
      <c r="J1561" s="7" t="str">
        <f>"汚水処理場"</f>
        <v>汚水処理場</v>
      </c>
      <c r="K1561" s="7" t="str">
        <f t="shared" si="532"/>
        <v>鉄筋コンクリート造</v>
      </c>
      <c r="L1561" s="7" t="str">
        <f>"S47.10.03"</f>
        <v>S47.10.03</v>
      </c>
      <c r="M1561" s="7">
        <v>113.6</v>
      </c>
      <c r="N1561" s="7">
        <v>164815000</v>
      </c>
      <c r="O1561" s="7">
        <v>164814998</v>
      </c>
      <c r="P1561" s="7">
        <v>0</v>
      </c>
      <c r="Q1561" s="7" t="str">
        <f t="shared" si="520"/>
        <v>都市整備部</v>
      </c>
      <c r="R1561" s="7" t="str">
        <f t="shared" si="534"/>
        <v>住宅建築局住宅経営室</v>
      </c>
    </row>
    <row r="1562" spans="1:18" s="1" customFormat="1" x14ac:dyDescent="0.45">
      <c r="A1562" s="7" t="str">
        <f>"09940003073"</f>
        <v>09940003073</v>
      </c>
      <c r="B1562" s="7" t="str">
        <f>"槇塚台第１"</f>
        <v>槇塚台第１</v>
      </c>
      <c r="C1562" s="7" t="str">
        <f t="shared" ref="C1562:C1625" si="535">"行政財産"</f>
        <v>行政財産</v>
      </c>
      <c r="D1562" s="7" t="str">
        <f t="shared" ref="D1562:D1625" si="536">"公営住宅"</f>
        <v>公営住宅</v>
      </c>
      <c r="E1562" s="7" t="str">
        <f>"大阪府堺市　南区槇塚台１丁"</f>
        <v>大阪府堺市　南区槇塚台１丁</v>
      </c>
      <c r="F1562" s="7"/>
      <c r="G1562" s="7" t="str">
        <f t="shared" si="533"/>
        <v>事業用資産</v>
      </c>
      <c r="H1562" s="7" t="str">
        <f t="shared" si="531"/>
        <v>棚卸以外</v>
      </c>
      <c r="I1562" s="7">
        <v>1</v>
      </c>
      <c r="J1562" s="7" t="str">
        <f>"１～１０・１８～２０号棟他１１"</f>
        <v>１～１０・１８～２０号棟他１１</v>
      </c>
      <c r="K1562" s="7" t="str">
        <f t="shared" si="532"/>
        <v>鉄筋コンクリート造</v>
      </c>
      <c r="L1562" s="7" t="str">
        <f>"S47.04.24"</f>
        <v>S47.04.24</v>
      </c>
      <c r="M1562" s="7">
        <v>56517.64</v>
      </c>
      <c r="N1562" s="7">
        <v>4086358023</v>
      </c>
      <c r="O1562" s="7">
        <v>3062270145</v>
      </c>
      <c r="P1562" s="7">
        <v>0</v>
      </c>
      <c r="Q1562" s="7" t="str">
        <f t="shared" si="520"/>
        <v>都市整備部</v>
      </c>
      <c r="R1562" s="7" t="str">
        <f t="shared" si="534"/>
        <v>住宅建築局住宅経営室</v>
      </c>
    </row>
    <row r="1563" spans="1:18" s="1" customFormat="1" x14ac:dyDescent="0.45">
      <c r="A1563" s="7" t="str">
        <f>"09940003073"</f>
        <v>09940003073</v>
      </c>
      <c r="B1563" s="7" t="str">
        <f>"槇塚台第１"</f>
        <v>槇塚台第１</v>
      </c>
      <c r="C1563" s="7" t="str">
        <f t="shared" si="535"/>
        <v>行政財産</v>
      </c>
      <c r="D1563" s="7" t="str">
        <f t="shared" si="536"/>
        <v>公営住宅</v>
      </c>
      <c r="E1563" s="7" t="str">
        <f>"大阪府堺市　南区槇塚台１丁"</f>
        <v>大阪府堺市　南区槇塚台１丁</v>
      </c>
      <c r="F1563" s="7"/>
      <c r="G1563" s="7" t="str">
        <f t="shared" si="533"/>
        <v>事業用資産</v>
      </c>
      <c r="H1563" s="7" t="str">
        <f t="shared" si="531"/>
        <v>棚卸以外</v>
      </c>
      <c r="I1563" s="7">
        <v>2</v>
      </c>
      <c r="J1563" s="7" t="str">
        <f>"１１～１５号棟"</f>
        <v>１１～１５号棟</v>
      </c>
      <c r="K1563" s="7" t="str">
        <f t="shared" si="532"/>
        <v>鉄筋コンクリート造</v>
      </c>
      <c r="L1563" s="7" t="str">
        <f>"S47.04.24"</f>
        <v>S47.04.24</v>
      </c>
      <c r="M1563" s="7">
        <v>10940.18</v>
      </c>
      <c r="N1563" s="7">
        <v>1008427491</v>
      </c>
      <c r="O1563" s="7">
        <v>536049711</v>
      </c>
      <c r="P1563" s="7">
        <v>0</v>
      </c>
      <c r="Q1563" s="7" t="str">
        <f t="shared" ref="Q1563:Q1626" si="537">"都市整備部"</f>
        <v>都市整備部</v>
      </c>
      <c r="R1563" s="7" t="str">
        <f t="shared" si="534"/>
        <v>住宅建築局住宅経営室</v>
      </c>
    </row>
    <row r="1564" spans="1:18" s="1" customFormat="1" x14ac:dyDescent="0.45">
      <c r="A1564" s="7" t="str">
        <f>"09940003073"</f>
        <v>09940003073</v>
      </c>
      <c r="B1564" s="7" t="str">
        <f>"槇塚台第１"</f>
        <v>槇塚台第１</v>
      </c>
      <c r="C1564" s="7" t="str">
        <f t="shared" si="535"/>
        <v>行政財産</v>
      </c>
      <c r="D1564" s="7" t="str">
        <f t="shared" si="536"/>
        <v>公営住宅</v>
      </c>
      <c r="E1564" s="7" t="str">
        <f>"大阪府堺市　南区槇塚台１丁"</f>
        <v>大阪府堺市　南区槇塚台１丁</v>
      </c>
      <c r="F1564" s="7"/>
      <c r="G1564" s="7" t="str">
        <f t="shared" si="533"/>
        <v>事業用資産</v>
      </c>
      <c r="H1564" s="7" t="str">
        <f t="shared" si="531"/>
        <v>棚卸以外</v>
      </c>
      <c r="I1564" s="7">
        <v>3</v>
      </c>
      <c r="J1564" s="7" t="str">
        <f>"集会所"</f>
        <v>集会所</v>
      </c>
      <c r="K1564" s="7" t="str">
        <f t="shared" si="532"/>
        <v>鉄筋コンクリート造</v>
      </c>
      <c r="L1564" s="7" t="str">
        <f>"S47.04.24"</f>
        <v>S47.04.24</v>
      </c>
      <c r="M1564" s="7">
        <v>271.14999999999998</v>
      </c>
      <c r="N1564" s="7">
        <v>8947923</v>
      </c>
      <c r="O1564" s="7">
        <v>8947922</v>
      </c>
      <c r="P1564" s="7">
        <v>0</v>
      </c>
      <c r="Q1564" s="7" t="str">
        <f t="shared" si="537"/>
        <v>都市整備部</v>
      </c>
      <c r="R1564" s="7" t="str">
        <f t="shared" si="534"/>
        <v>住宅建築局住宅経営室</v>
      </c>
    </row>
    <row r="1565" spans="1:18" s="1" customFormat="1" x14ac:dyDescent="0.45">
      <c r="A1565" s="7" t="str">
        <f>"09940003073"</f>
        <v>09940003073</v>
      </c>
      <c r="B1565" s="7" t="str">
        <f>"槇塚台第１"</f>
        <v>槇塚台第１</v>
      </c>
      <c r="C1565" s="7" t="str">
        <f t="shared" si="535"/>
        <v>行政財産</v>
      </c>
      <c r="D1565" s="7" t="str">
        <f t="shared" si="536"/>
        <v>公営住宅</v>
      </c>
      <c r="E1565" s="7" t="str">
        <f>"大阪府堺市　南区槇塚台１丁"</f>
        <v>大阪府堺市　南区槇塚台１丁</v>
      </c>
      <c r="F1565" s="7"/>
      <c r="G1565" s="7" t="str">
        <f t="shared" si="533"/>
        <v>事業用資産</v>
      </c>
      <c r="H1565" s="7" t="str">
        <f t="shared" si="531"/>
        <v>棚卸以外</v>
      </c>
      <c r="I1565" s="7">
        <v>4</v>
      </c>
      <c r="J1565" s="7" t="str">
        <f>"受水槽"</f>
        <v>受水槽</v>
      </c>
      <c r="K1565" s="7" t="str">
        <f t="shared" si="532"/>
        <v>鉄筋コンクリート造</v>
      </c>
      <c r="L1565" s="7" t="str">
        <f>"S48.07.10"</f>
        <v>S48.07.10</v>
      </c>
      <c r="M1565" s="7">
        <v>135.6</v>
      </c>
      <c r="N1565" s="7">
        <v>7934000</v>
      </c>
      <c r="O1565" s="7">
        <v>7933999</v>
      </c>
      <c r="P1565" s="7">
        <v>0</v>
      </c>
      <c r="Q1565" s="7" t="str">
        <f t="shared" si="537"/>
        <v>都市整備部</v>
      </c>
      <c r="R1565" s="7" t="str">
        <f t="shared" si="534"/>
        <v>住宅建築局住宅経営室</v>
      </c>
    </row>
    <row r="1566" spans="1:18" s="1" customFormat="1" x14ac:dyDescent="0.45">
      <c r="A1566" s="7" t="str">
        <f t="shared" ref="A1566:A1571" si="538">"09940003074"</f>
        <v>09940003074</v>
      </c>
      <c r="B1566" s="7" t="str">
        <f t="shared" ref="B1566:B1571" si="539">"佐野泉陽ケ丘"</f>
        <v>佐野泉陽ケ丘</v>
      </c>
      <c r="C1566" s="7" t="str">
        <f t="shared" si="535"/>
        <v>行政財産</v>
      </c>
      <c r="D1566" s="7" t="str">
        <f t="shared" si="536"/>
        <v>公営住宅</v>
      </c>
      <c r="E1566" s="7" t="str">
        <f t="shared" ref="E1566:E1571" si="540">"大阪府泉佐野市中庄"</f>
        <v>大阪府泉佐野市中庄</v>
      </c>
      <c r="F1566" s="7"/>
      <c r="G1566" s="7" t="str">
        <f t="shared" si="533"/>
        <v>事業用資産</v>
      </c>
      <c r="H1566" s="7" t="str">
        <f t="shared" si="531"/>
        <v>棚卸以外</v>
      </c>
      <c r="I1566" s="7">
        <v>1</v>
      </c>
      <c r="J1566" s="7" t="str">
        <f>"１号棟"</f>
        <v>１号棟</v>
      </c>
      <c r="K1566" s="7" t="str">
        <f t="shared" si="532"/>
        <v>鉄筋コンクリート造</v>
      </c>
      <c r="L1566" s="7" t="str">
        <f t="shared" ref="L1566:L1571" si="541">"S53.12.21"</f>
        <v>S53.12.21</v>
      </c>
      <c r="M1566" s="7">
        <v>1163.22</v>
      </c>
      <c r="N1566" s="7">
        <v>128062209</v>
      </c>
      <c r="O1566" s="7">
        <v>120569391</v>
      </c>
      <c r="P1566" s="7">
        <v>0</v>
      </c>
      <c r="Q1566" s="7" t="str">
        <f t="shared" si="537"/>
        <v>都市整備部</v>
      </c>
      <c r="R1566" s="7" t="str">
        <f t="shared" si="534"/>
        <v>住宅建築局住宅経営室</v>
      </c>
    </row>
    <row r="1567" spans="1:18" s="1" customFormat="1" x14ac:dyDescent="0.45">
      <c r="A1567" s="7" t="str">
        <f t="shared" si="538"/>
        <v>09940003074</v>
      </c>
      <c r="B1567" s="7" t="str">
        <f t="shared" si="539"/>
        <v>佐野泉陽ケ丘</v>
      </c>
      <c r="C1567" s="7" t="str">
        <f t="shared" si="535"/>
        <v>行政財産</v>
      </c>
      <c r="D1567" s="7" t="str">
        <f t="shared" si="536"/>
        <v>公営住宅</v>
      </c>
      <c r="E1567" s="7" t="str">
        <f t="shared" si="540"/>
        <v>大阪府泉佐野市中庄</v>
      </c>
      <c r="F1567" s="7"/>
      <c r="G1567" s="7" t="str">
        <f t="shared" si="533"/>
        <v>事業用資産</v>
      </c>
      <c r="H1567" s="7" t="str">
        <f t="shared" si="531"/>
        <v>棚卸以外</v>
      </c>
      <c r="I1567" s="7">
        <v>2</v>
      </c>
      <c r="J1567" s="7" t="str">
        <f>"２号棟"</f>
        <v>２号棟</v>
      </c>
      <c r="K1567" s="7" t="str">
        <f t="shared" si="532"/>
        <v>鉄筋コンクリート造</v>
      </c>
      <c r="L1567" s="7" t="str">
        <f t="shared" si="541"/>
        <v>S53.12.21</v>
      </c>
      <c r="M1567" s="7">
        <v>1163.22</v>
      </c>
      <c r="N1567" s="7">
        <v>118052209</v>
      </c>
      <c r="O1567" s="7">
        <v>111145203</v>
      </c>
      <c r="P1567" s="7">
        <v>0</v>
      </c>
      <c r="Q1567" s="7" t="str">
        <f t="shared" si="537"/>
        <v>都市整備部</v>
      </c>
      <c r="R1567" s="7" t="str">
        <f t="shared" si="534"/>
        <v>住宅建築局住宅経営室</v>
      </c>
    </row>
    <row r="1568" spans="1:18" s="1" customFormat="1" x14ac:dyDescent="0.45">
      <c r="A1568" s="7" t="str">
        <f t="shared" si="538"/>
        <v>09940003074</v>
      </c>
      <c r="B1568" s="7" t="str">
        <f t="shared" si="539"/>
        <v>佐野泉陽ケ丘</v>
      </c>
      <c r="C1568" s="7" t="str">
        <f t="shared" si="535"/>
        <v>行政財産</v>
      </c>
      <c r="D1568" s="7" t="str">
        <f t="shared" si="536"/>
        <v>公営住宅</v>
      </c>
      <c r="E1568" s="7" t="str">
        <f t="shared" si="540"/>
        <v>大阪府泉佐野市中庄</v>
      </c>
      <c r="F1568" s="7"/>
      <c r="G1568" s="7" t="str">
        <f t="shared" si="533"/>
        <v>事業用資産</v>
      </c>
      <c r="H1568" s="7" t="str">
        <f t="shared" si="531"/>
        <v>棚卸以外</v>
      </c>
      <c r="I1568" s="7">
        <v>3</v>
      </c>
      <c r="J1568" s="7" t="str">
        <f>"３号棟"</f>
        <v>３号棟</v>
      </c>
      <c r="K1568" s="7" t="str">
        <f t="shared" si="532"/>
        <v>鉄筋コンクリート造</v>
      </c>
      <c r="L1568" s="7" t="str">
        <f t="shared" si="541"/>
        <v>S53.12.21</v>
      </c>
      <c r="M1568" s="7">
        <v>373.24</v>
      </c>
      <c r="N1568" s="7">
        <v>43637000</v>
      </c>
      <c r="O1568" s="7">
        <v>41084001</v>
      </c>
      <c r="P1568" s="7">
        <v>0</v>
      </c>
      <c r="Q1568" s="7" t="str">
        <f t="shared" si="537"/>
        <v>都市整備部</v>
      </c>
      <c r="R1568" s="7" t="str">
        <f t="shared" si="534"/>
        <v>住宅建築局住宅経営室</v>
      </c>
    </row>
    <row r="1569" spans="1:18" s="1" customFormat="1" x14ac:dyDescent="0.45">
      <c r="A1569" s="7" t="str">
        <f t="shared" si="538"/>
        <v>09940003074</v>
      </c>
      <c r="B1569" s="7" t="str">
        <f t="shared" si="539"/>
        <v>佐野泉陽ケ丘</v>
      </c>
      <c r="C1569" s="7" t="str">
        <f t="shared" si="535"/>
        <v>行政財産</v>
      </c>
      <c r="D1569" s="7" t="str">
        <f t="shared" si="536"/>
        <v>公営住宅</v>
      </c>
      <c r="E1569" s="7" t="str">
        <f t="shared" si="540"/>
        <v>大阪府泉佐野市中庄</v>
      </c>
      <c r="F1569" s="7"/>
      <c r="G1569" s="7" t="str">
        <f t="shared" si="533"/>
        <v>事業用資産</v>
      </c>
      <c r="H1569" s="7" t="str">
        <f t="shared" si="531"/>
        <v>棚卸以外</v>
      </c>
      <c r="I1569" s="7">
        <v>4</v>
      </c>
      <c r="J1569" s="7" t="str">
        <f>"集会所"</f>
        <v>集会所</v>
      </c>
      <c r="K1569" s="7" t="str">
        <f t="shared" si="532"/>
        <v>鉄筋コンクリート造</v>
      </c>
      <c r="L1569" s="7" t="str">
        <f t="shared" si="541"/>
        <v>S53.12.21</v>
      </c>
      <c r="M1569" s="7">
        <v>84</v>
      </c>
      <c r="N1569" s="7">
        <v>7769000</v>
      </c>
      <c r="O1569" s="7">
        <v>7314525</v>
      </c>
      <c r="P1569" s="7">
        <v>0</v>
      </c>
      <c r="Q1569" s="7" t="str">
        <f t="shared" si="537"/>
        <v>都市整備部</v>
      </c>
      <c r="R1569" s="7" t="str">
        <f t="shared" si="534"/>
        <v>住宅建築局住宅経営室</v>
      </c>
    </row>
    <row r="1570" spans="1:18" s="1" customFormat="1" x14ac:dyDescent="0.45">
      <c r="A1570" s="7" t="str">
        <f t="shared" si="538"/>
        <v>09940003074</v>
      </c>
      <c r="B1570" s="7" t="str">
        <f t="shared" si="539"/>
        <v>佐野泉陽ケ丘</v>
      </c>
      <c r="C1570" s="7" t="str">
        <f t="shared" si="535"/>
        <v>行政財産</v>
      </c>
      <c r="D1570" s="7" t="str">
        <f t="shared" si="536"/>
        <v>公営住宅</v>
      </c>
      <c r="E1570" s="7" t="str">
        <f t="shared" si="540"/>
        <v>大阪府泉佐野市中庄</v>
      </c>
      <c r="F1570" s="7"/>
      <c r="G1570" s="7" t="str">
        <f t="shared" si="533"/>
        <v>事業用資産</v>
      </c>
      <c r="H1570" s="7" t="str">
        <f t="shared" si="531"/>
        <v>棚卸以外</v>
      </c>
      <c r="I1570" s="7">
        <v>5</v>
      </c>
      <c r="J1570" s="7" t="str">
        <f>"受水槽"</f>
        <v>受水槽</v>
      </c>
      <c r="K1570" s="7" t="str">
        <f t="shared" si="532"/>
        <v>鉄筋コンクリート造</v>
      </c>
      <c r="L1570" s="7" t="str">
        <f t="shared" si="541"/>
        <v>S53.12.21</v>
      </c>
      <c r="M1570" s="7">
        <v>31.07</v>
      </c>
      <c r="N1570" s="7">
        <v>5875000</v>
      </c>
      <c r="O1570" s="7">
        <v>5531427</v>
      </c>
      <c r="P1570" s="7">
        <v>0</v>
      </c>
      <c r="Q1570" s="7" t="str">
        <f t="shared" si="537"/>
        <v>都市整備部</v>
      </c>
      <c r="R1570" s="7" t="str">
        <f t="shared" si="534"/>
        <v>住宅建築局住宅経営室</v>
      </c>
    </row>
    <row r="1571" spans="1:18" s="1" customFormat="1" x14ac:dyDescent="0.45">
      <c r="A1571" s="7" t="str">
        <f t="shared" si="538"/>
        <v>09940003074</v>
      </c>
      <c r="B1571" s="7" t="str">
        <f t="shared" si="539"/>
        <v>佐野泉陽ケ丘</v>
      </c>
      <c r="C1571" s="7" t="str">
        <f t="shared" si="535"/>
        <v>行政財産</v>
      </c>
      <c r="D1571" s="7" t="str">
        <f t="shared" si="536"/>
        <v>公営住宅</v>
      </c>
      <c r="E1571" s="7" t="str">
        <f t="shared" si="540"/>
        <v>大阪府泉佐野市中庄</v>
      </c>
      <c r="F1571" s="7"/>
      <c r="G1571" s="7" t="str">
        <f t="shared" si="533"/>
        <v>事業用資産</v>
      </c>
      <c r="H1571" s="7" t="str">
        <f t="shared" si="531"/>
        <v>棚卸以外</v>
      </c>
      <c r="I1571" s="7">
        <v>6</v>
      </c>
      <c r="J1571" s="7" t="str">
        <f>"処理場"</f>
        <v>処理場</v>
      </c>
      <c r="K1571" s="7" t="str">
        <f t="shared" si="532"/>
        <v>鉄筋コンクリート造</v>
      </c>
      <c r="L1571" s="7" t="str">
        <f t="shared" si="541"/>
        <v>S53.12.21</v>
      </c>
      <c r="M1571" s="7">
        <v>86.52</v>
      </c>
      <c r="N1571" s="7">
        <v>36967000</v>
      </c>
      <c r="O1571" s="7">
        <v>34804395</v>
      </c>
      <c r="P1571" s="7">
        <v>0</v>
      </c>
      <c r="Q1571" s="7" t="str">
        <f t="shared" si="537"/>
        <v>都市整備部</v>
      </c>
      <c r="R1571" s="7" t="str">
        <f t="shared" si="534"/>
        <v>住宅建築局住宅経営室</v>
      </c>
    </row>
    <row r="1572" spans="1:18" s="1" customFormat="1" x14ac:dyDescent="0.45">
      <c r="A1572" s="7" t="str">
        <f t="shared" ref="A1572:A1578" si="542">"09940003075"</f>
        <v>09940003075</v>
      </c>
      <c r="B1572" s="7" t="str">
        <f t="shared" ref="B1572:B1578" si="543">"豊中豊南"</f>
        <v>豊中豊南</v>
      </c>
      <c r="C1572" s="7" t="str">
        <f t="shared" si="535"/>
        <v>行政財産</v>
      </c>
      <c r="D1572" s="7" t="str">
        <f t="shared" si="536"/>
        <v>公営住宅</v>
      </c>
      <c r="E1572" s="7" t="str">
        <f t="shared" ref="E1572:E1578" si="544">"大阪府豊中市豊南町東１丁目"</f>
        <v>大阪府豊中市豊南町東１丁目</v>
      </c>
      <c r="F1572" s="7"/>
      <c r="G1572" s="7" t="str">
        <f t="shared" si="533"/>
        <v>事業用資産</v>
      </c>
      <c r="H1572" s="7" t="str">
        <f t="shared" si="531"/>
        <v>棚卸以外</v>
      </c>
      <c r="I1572" s="7">
        <v>1</v>
      </c>
      <c r="J1572" s="7" t="str">
        <f>"１号棟"</f>
        <v>１号棟</v>
      </c>
      <c r="K1572" s="7" t="str">
        <f t="shared" si="532"/>
        <v>鉄筋コンクリート造</v>
      </c>
      <c r="L1572" s="7" t="str">
        <f>"S57.04.28"</f>
        <v>S57.04.28</v>
      </c>
      <c r="M1572" s="7">
        <v>1874.94</v>
      </c>
      <c r="N1572" s="7">
        <v>223892000</v>
      </c>
      <c r="O1572" s="7">
        <v>194913252</v>
      </c>
      <c r="P1572" s="7">
        <v>0</v>
      </c>
      <c r="Q1572" s="7" t="str">
        <f t="shared" si="537"/>
        <v>都市整備部</v>
      </c>
      <c r="R1572" s="7" t="str">
        <f t="shared" si="534"/>
        <v>住宅建築局住宅経営室</v>
      </c>
    </row>
    <row r="1573" spans="1:18" s="1" customFormat="1" x14ac:dyDescent="0.45">
      <c r="A1573" s="7" t="str">
        <f t="shared" si="542"/>
        <v>09940003075</v>
      </c>
      <c r="B1573" s="7" t="str">
        <f t="shared" si="543"/>
        <v>豊中豊南</v>
      </c>
      <c r="C1573" s="7" t="str">
        <f t="shared" si="535"/>
        <v>行政財産</v>
      </c>
      <c r="D1573" s="7" t="str">
        <f t="shared" si="536"/>
        <v>公営住宅</v>
      </c>
      <c r="E1573" s="7" t="str">
        <f t="shared" si="544"/>
        <v>大阪府豊中市豊南町東１丁目</v>
      </c>
      <c r="F1573" s="7"/>
      <c r="G1573" s="7" t="str">
        <f t="shared" si="533"/>
        <v>事業用資産</v>
      </c>
      <c r="H1573" s="7" t="str">
        <f t="shared" si="531"/>
        <v>棚卸以外</v>
      </c>
      <c r="I1573" s="7">
        <v>2</v>
      </c>
      <c r="J1573" s="7" t="str">
        <f>"２号棟"</f>
        <v>２号棟</v>
      </c>
      <c r="K1573" s="7" t="str">
        <f t="shared" si="532"/>
        <v>鉄筋コンクリート造</v>
      </c>
      <c r="L1573" s="7" t="str">
        <f>"S57.04.28"</f>
        <v>S57.04.28</v>
      </c>
      <c r="M1573" s="7">
        <v>978.5</v>
      </c>
      <c r="N1573" s="7">
        <v>120303000</v>
      </c>
      <c r="O1573" s="7">
        <v>104732264</v>
      </c>
      <c r="P1573" s="7">
        <v>0</v>
      </c>
      <c r="Q1573" s="7" t="str">
        <f t="shared" si="537"/>
        <v>都市整備部</v>
      </c>
      <c r="R1573" s="7" t="str">
        <f t="shared" si="534"/>
        <v>住宅建築局住宅経営室</v>
      </c>
    </row>
    <row r="1574" spans="1:18" s="1" customFormat="1" x14ac:dyDescent="0.45">
      <c r="A1574" s="7" t="str">
        <f t="shared" si="542"/>
        <v>09940003075</v>
      </c>
      <c r="B1574" s="7" t="str">
        <f t="shared" si="543"/>
        <v>豊中豊南</v>
      </c>
      <c r="C1574" s="7" t="str">
        <f t="shared" si="535"/>
        <v>行政財産</v>
      </c>
      <c r="D1574" s="7" t="str">
        <f t="shared" si="536"/>
        <v>公営住宅</v>
      </c>
      <c r="E1574" s="7" t="str">
        <f t="shared" si="544"/>
        <v>大阪府豊中市豊南町東１丁目</v>
      </c>
      <c r="F1574" s="7"/>
      <c r="G1574" s="7" t="str">
        <f t="shared" si="533"/>
        <v>事業用資産</v>
      </c>
      <c r="H1574" s="7" t="str">
        <f t="shared" si="531"/>
        <v>棚卸以外</v>
      </c>
      <c r="I1574" s="7">
        <v>3</v>
      </c>
      <c r="J1574" s="7" t="str">
        <f>"ポンプ室"</f>
        <v>ポンプ室</v>
      </c>
      <c r="K1574" s="7" t="str">
        <f t="shared" si="532"/>
        <v>鉄筋コンクリート造</v>
      </c>
      <c r="L1574" s="7" t="str">
        <f>"S57.04.28"</f>
        <v>S57.04.28</v>
      </c>
      <c r="M1574" s="7">
        <v>66.3</v>
      </c>
      <c r="N1574" s="7">
        <v>17152000</v>
      </c>
      <c r="O1574" s="7">
        <v>14932292</v>
      </c>
      <c r="P1574" s="7">
        <v>0</v>
      </c>
      <c r="Q1574" s="7" t="str">
        <f t="shared" si="537"/>
        <v>都市整備部</v>
      </c>
      <c r="R1574" s="7" t="str">
        <f t="shared" si="534"/>
        <v>住宅建築局住宅経営室</v>
      </c>
    </row>
    <row r="1575" spans="1:18" s="1" customFormat="1" x14ac:dyDescent="0.45">
      <c r="A1575" s="7" t="str">
        <f t="shared" si="542"/>
        <v>09940003075</v>
      </c>
      <c r="B1575" s="7" t="str">
        <f t="shared" si="543"/>
        <v>豊中豊南</v>
      </c>
      <c r="C1575" s="7" t="str">
        <f t="shared" si="535"/>
        <v>行政財産</v>
      </c>
      <c r="D1575" s="7" t="str">
        <f t="shared" si="536"/>
        <v>公営住宅</v>
      </c>
      <c r="E1575" s="7" t="str">
        <f t="shared" si="544"/>
        <v>大阪府豊中市豊南町東１丁目</v>
      </c>
      <c r="F1575" s="7"/>
      <c r="G1575" s="7" t="str">
        <f t="shared" si="533"/>
        <v>事業用資産</v>
      </c>
      <c r="H1575" s="7" t="str">
        <f t="shared" si="531"/>
        <v>棚卸以外</v>
      </c>
      <c r="I1575" s="7">
        <v>4</v>
      </c>
      <c r="J1575" s="7" t="str">
        <f>"３号棟"</f>
        <v>３号棟</v>
      </c>
      <c r="K1575" s="7" t="str">
        <f t="shared" si="532"/>
        <v>鉄筋コンクリート造</v>
      </c>
      <c r="L1575" s="7" t="str">
        <f>"S58.08.26"</f>
        <v>S58.08.26</v>
      </c>
      <c r="M1575" s="7">
        <v>1384.67</v>
      </c>
      <c r="N1575" s="7">
        <v>164416000</v>
      </c>
      <c r="O1575" s="7">
        <v>138471050</v>
      </c>
      <c r="P1575" s="7">
        <v>0</v>
      </c>
      <c r="Q1575" s="7" t="str">
        <f t="shared" si="537"/>
        <v>都市整備部</v>
      </c>
      <c r="R1575" s="7" t="str">
        <f t="shared" si="534"/>
        <v>住宅建築局住宅経営室</v>
      </c>
    </row>
    <row r="1576" spans="1:18" s="1" customFormat="1" x14ac:dyDescent="0.45">
      <c r="A1576" s="7" t="str">
        <f t="shared" si="542"/>
        <v>09940003075</v>
      </c>
      <c r="B1576" s="7" t="str">
        <f t="shared" si="543"/>
        <v>豊中豊南</v>
      </c>
      <c r="C1576" s="7" t="str">
        <f t="shared" si="535"/>
        <v>行政財産</v>
      </c>
      <c r="D1576" s="7" t="str">
        <f t="shared" si="536"/>
        <v>公営住宅</v>
      </c>
      <c r="E1576" s="7" t="str">
        <f t="shared" si="544"/>
        <v>大阪府豊中市豊南町東１丁目</v>
      </c>
      <c r="F1576" s="7"/>
      <c r="G1576" s="7" t="str">
        <f t="shared" si="533"/>
        <v>事業用資産</v>
      </c>
      <c r="H1576" s="7" t="str">
        <f t="shared" si="531"/>
        <v>棚卸以外</v>
      </c>
      <c r="I1576" s="7">
        <v>5</v>
      </c>
      <c r="J1576" s="7" t="str">
        <f>"５号棟"</f>
        <v>５号棟</v>
      </c>
      <c r="K1576" s="7" t="str">
        <f t="shared" si="532"/>
        <v>鉄筋コンクリート造</v>
      </c>
      <c r="L1576" s="7" t="str">
        <f>"S58.08.26"</f>
        <v>S58.08.26</v>
      </c>
      <c r="M1576" s="7">
        <v>1384.67</v>
      </c>
      <c r="N1576" s="7">
        <v>164980000</v>
      </c>
      <c r="O1576" s="7">
        <v>138946050</v>
      </c>
      <c r="P1576" s="7">
        <v>0</v>
      </c>
      <c r="Q1576" s="7" t="str">
        <f t="shared" si="537"/>
        <v>都市整備部</v>
      </c>
      <c r="R1576" s="7" t="str">
        <f t="shared" si="534"/>
        <v>住宅建築局住宅経営室</v>
      </c>
    </row>
    <row r="1577" spans="1:18" s="1" customFormat="1" x14ac:dyDescent="0.45">
      <c r="A1577" s="7" t="str">
        <f t="shared" si="542"/>
        <v>09940003075</v>
      </c>
      <c r="B1577" s="7" t="str">
        <f t="shared" si="543"/>
        <v>豊中豊南</v>
      </c>
      <c r="C1577" s="7" t="str">
        <f t="shared" si="535"/>
        <v>行政財産</v>
      </c>
      <c r="D1577" s="7" t="str">
        <f t="shared" si="536"/>
        <v>公営住宅</v>
      </c>
      <c r="E1577" s="7" t="str">
        <f t="shared" si="544"/>
        <v>大阪府豊中市豊南町東１丁目</v>
      </c>
      <c r="F1577" s="7"/>
      <c r="G1577" s="7" t="str">
        <f t="shared" si="533"/>
        <v>事業用資産</v>
      </c>
      <c r="H1577" s="7" t="str">
        <f t="shared" si="531"/>
        <v>棚卸以外</v>
      </c>
      <c r="I1577" s="7">
        <v>6</v>
      </c>
      <c r="J1577" s="7" t="str">
        <f>"４号棟"</f>
        <v>４号棟</v>
      </c>
      <c r="K1577" s="7" t="str">
        <f t="shared" si="532"/>
        <v>鉄筋コンクリート造</v>
      </c>
      <c r="L1577" s="7" t="str">
        <f>"S58.08.26"</f>
        <v>S58.08.26</v>
      </c>
      <c r="M1577" s="7">
        <v>1744.19</v>
      </c>
      <c r="N1577" s="7">
        <v>203909000</v>
      </c>
      <c r="O1577" s="7">
        <v>203908999</v>
      </c>
      <c r="P1577" s="7">
        <v>0</v>
      </c>
      <c r="Q1577" s="7" t="str">
        <f t="shared" si="537"/>
        <v>都市整備部</v>
      </c>
      <c r="R1577" s="7" t="str">
        <f t="shared" si="534"/>
        <v>住宅建築局住宅経営室</v>
      </c>
    </row>
    <row r="1578" spans="1:18" s="1" customFormat="1" x14ac:dyDescent="0.45">
      <c r="A1578" s="7" t="str">
        <f t="shared" si="542"/>
        <v>09940003075</v>
      </c>
      <c r="B1578" s="7" t="str">
        <f t="shared" si="543"/>
        <v>豊中豊南</v>
      </c>
      <c r="C1578" s="7" t="str">
        <f t="shared" si="535"/>
        <v>行政財産</v>
      </c>
      <c r="D1578" s="7" t="str">
        <f t="shared" si="536"/>
        <v>公営住宅</v>
      </c>
      <c r="E1578" s="7" t="str">
        <f t="shared" si="544"/>
        <v>大阪府豊中市豊南町東１丁目</v>
      </c>
      <c r="F1578" s="7"/>
      <c r="G1578" s="7" t="str">
        <f t="shared" si="533"/>
        <v>事業用資産</v>
      </c>
      <c r="H1578" s="7" t="str">
        <f t="shared" si="531"/>
        <v>棚卸以外</v>
      </c>
      <c r="I1578" s="7">
        <v>7</v>
      </c>
      <c r="J1578" s="7" t="str">
        <f>"集会所"</f>
        <v>集会所</v>
      </c>
      <c r="K1578" s="7" t="str">
        <f t="shared" si="532"/>
        <v>鉄筋コンクリート造</v>
      </c>
      <c r="L1578" s="7" t="str">
        <f>"S58.08.26"</f>
        <v>S58.08.26</v>
      </c>
      <c r="M1578" s="7">
        <v>99.75</v>
      </c>
      <c r="N1578" s="7">
        <v>24028435</v>
      </c>
      <c r="O1578" s="7">
        <v>19796481</v>
      </c>
      <c r="P1578" s="7">
        <v>0</v>
      </c>
      <c r="Q1578" s="7" t="str">
        <f t="shared" si="537"/>
        <v>都市整備部</v>
      </c>
      <c r="R1578" s="7" t="str">
        <f t="shared" si="534"/>
        <v>住宅建築局住宅経営室</v>
      </c>
    </row>
    <row r="1579" spans="1:18" s="1" customFormat="1" x14ac:dyDescent="0.45">
      <c r="A1579" s="7" t="str">
        <f>"09940003076"</f>
        <v>09940003076</v>
      </c>
      <c r="B1579" s="7" t="str">
        <f>"庭代台２丁"</f>
        <v>庭代台２丁</v>
      </c>
      <c r="C1579" s="7" t="str">
        <f t="shared" si="535"/>
        <v>行政財産</v>
      </c>
      <c r="D1579" s="7" t="str">
        <f t="shared" si="536"/>
        <v>公営住宅</v>
      </c>
      <c r="E1579" s="7" t="str">
        <f>"大阪府堺市　南区庭代台２丁"</f>
        <v>大阪府堺市　南区庭代台２丁</v>
      </c>
      <c r="F1579" s="7"/>
      <c r="G1579" s="7" t="str">
        <f t="shared" si="533"/>
        <v>事業用資産</v>
      </c>
      <c r="H1579" s="7" t="str">
        <f t="shared" si="531"/>
        <v>棚卸以外</v>
      </c>
      <c r="I1579" s="7">
        <v>1</v>
      </c>
      <c r="J1579" s="7" t="str">
        <f>"７～１２・１６～２１号棟"</f>
        <v>７～１２・１６～２１号棟</v>
      </c>
      <c r="K1579" s="7" t="str">
        <f t="shared" si="532"/>
        <v>鉄筋コンクリート造</v>
      </c>
      <c r="L1579" s="7" t="str">
        <f>"S49.07.31"</f>
        <v>S49.07.31</v>
      </c>
      <c r="M1579" s="7">
        <v>21331.8</v>
      </c>
      <c r="N1579" s="7">
        <v>1176282019</v>
      </c>
      <c r="O1579" s="7">
        <v>950095700</v>
      </c>
      <c r="P1579" s="7">
        <v>0</v>
      </c>
      <c r="Q1579" s="7" t="str">
        <f t="shared" si="537"/>
        <v>都市整備部</v>
      </c>
      <c r="R1579" s="7" t="str">
        <f t="shared" si="534"/>
        <v>住宅建築局住宅経営室</v>
      </c>
    </row>
    <row r="1580" spans="1:18" s="1" customFormat="1" x14ac:dyDescent="0.45">
      <c r="A1580" s="7" t="str">
        <f>"09940003076"</f>
        <v>09940003076</v>
      </c>
      <c r="B1580" s="7" t="str">
        <f>"庭代台２丁"</f>
        <v>庭代台２丁</v>
      </c>
      <c r="C1580" s="7" t="str">
        <f t="shared" si="535"/>
        <v>行政財産</v>
      </c>
      <c r="D1580" s="7" t="str">
        <f t="shared" si="536"/>
        <v>公営住宅</v>
      </c>
      <c r="E1580" s="7" t="str">
        <f>"大阪府堺市　南区庭代台２丁"</f>
        <v>大阪府堺市　南区庭代台２丁</v>
      </c>
      <c r="F1580" s="7"/>
      <c r="G1580" s="7" t="str">
        <f t="shared" si="533"/>
        <v>事業用資産</v>
      </c>
      <c r="H1580" s="7" t="str">
        <f t="shared" si="531"/>
        <v>棚卸以外</v>
      </c>
      <c r="I1580" s="7">
        <v>2</v>
      </c>
      <c r="J1580" s="7" t="str">
        <f>"１３～１５号棟"</f>
        <v>１３～１５号棟</v>
      </c>
      <c r="K1580" s="7" t="str">
        <f t="shared" ref="K1580:K1611" si="545">"鉄筋コンクリート造"</f>
        <v>鉄筋コンクリート造</v>
      </c>
      <c r="L1580" s="7" t="str">
        <f>"S49.07.31"</f>
        <v>S49.07.31</v>
      </c>
      <c r="M1580" s="7">
        <v>7841.08</v>
      </c>
      <c r="N1580" s="7">
        <v>552581018</v>
      </c>
      <c r="O1580" s="7">
        <v>389800319</v>
      </c>
      <c r="P1580" s="7">
        <v>0</v>
      </c>
      <c r="Q1580" s="7" t="str">
        <f t="shared" si="537"/>
        <v>都市整備部</v>
      </c>
      <c r="R1580" s="7" t="str">
        <f t="shared" si="534"/>
        <v>住宅建築局住宅経営室</v>
      </c>
    </row>
    <row r="1581" spans="1:18" s="1" customFormat="1" x14ac:dyDescent="0.45">
      <c r="A1581" s="7" t="str">
        <f>"09940003076"</f>
        <v>09940003076</v>
      </c>
      <c r="B1581" s="7" t="str">
        <f>"庭代台２丁"</f>
        <v>庭代台２丁</v>
      </c>
      <c r="C1581" s="7" t="str">
        <f t="shared" si="535"/>
        <v>行政財産</v>
      </c>
      <c r="D1581" s="7" t="str">
        <f t="shared" si="536"/>
        <v>公営住宅</v>
      </c>
      <c r="E1581" s="7" t="str">
        <f>"大阪府堺市　南区庭代台２丁"</f>
        <v>大阪府堺市　南区庭代台２丁</v>
      </c>
      <c r="F1581" s="7"/>
      <c r="G1581" s="7" t="str">
        <f t="shared" si="533"/>
        <v>事業用資産</v>
      </c>
      <c r="H1581" s="7" t="str">
        <f t="shared" si="531"/>
        <v>棚卸以外</v>
      </c>
      <c r="I1581" s="7">
        <v>3</v>
      </c>
      <c r="J1581" s="7" t="str">
        <f>"集会所"</f>
        <v>集会所</v>
      </c>
      <c r="K1581" s="7" t="str">
        <f t="shared" si="545"/>
        <v>鉄筋コンクリート造</v>
      </c>
      <c r="L1581" s="7" t="str">
        <f>"S49.07.31"</f>
        <v>S49.07.31</v>
      </c>
      <c r="M1581" s="7">
        <v>158.34</v>
      </c>
      <c r="N1581" s="7">
        <v>7318000</v>
      </c>
      <c r="O1581" s="7">
        <v>7317999</v>
      </c>
      <c r="P1581" s="7">
        <v>0</v>
      </c>
      <c r="Q1581" s="7" t="str">
        <f t="shared" si="537"/>
        <v>都市整備部</v>
      </c>
      <c r="R1581" s="7" t="str">
        <f t="shared" si="534"/>
        <v>住宅建築局住宅経営室</v>
      </c>
    </row>
    <row r="1582" spans="1:18" s="1" customFormat="1" x14ac:dyDescent="0.45">
      <c r="A1582" s="7" t="str">
        <f>"09940003077"</f>
        <v>09940003077</v>
      </c>
      <c r="B1582" s="7" t="str">
        <f>"泉佐野上町"</f>
        <v>泉佐野上町</v>
      </c>
      <c r="C1582" s="7" t="str">
        <f t="shared" si="535"/>
        <v>行政財産</v>
      </c>
      <c r="D1582" s="7" t="str">
        <f t="shared" si="536"/>
        <v>公営住宅</v>
      </c>
      <c r="E1582" s="7" t="str">
        <f>"大阪府泉佐野市上町１丁目"</f>
        <v>大阪府泉佐野市上町１丁目</v>
      </c>
      <c r="F1582" s="7"/>
      <c r="G1582" s="7" t="str">
        <f t="shared" si="533"/>
        <v>事業用資産</v>
      </c>
      <c r="H1582" s="7" t="str">
        <f t="shared" si="531"/>
        <v>棚卸以外</v>
      </c>
      <c r="I1582" s="7">
        <v>1</v>
      </c>
      <c r="J1582" s="7" t="str">
        <f>"１号棟"</f>
        <v>１号棟</v>
      </c>
      <c r="K1582" s="7" t="str">
        <f t="shared" si="545"/>
        <v>鉄筋コンクリート造</v>
      </c>
      <c r="L1582" s="7" t="str">
        <f>"S54.05.25"</f>
        <v>S54.05.25</v>
      </c>
      <c r="M1582" s="7">
        <v>944.96</v>
      </c>
      <c r="N1582" s="7">
        <v>73789000</v>
      </c>
      <c r="O1582" s="7">
        <v>68817632</v>
      </c>
      <c r="P1582" s="7">
        <v>0</v>
      </c>
      <c r="Q1582" s="7" t="str">
        <f t="shared" si="537"/>
        <v>都市整備部</v>
      </c>
      <c r="R1582" s="7" t="str">
        <f t="shared" si="534"/>
        <v>住宅建築局住宅経営室</v>
      </c>
    </row>
    <row r="1583" spans="1:18" s="1" customFormat="1" x14ac:dyDescent="0.45">
      <c r="A1583" s="7" t="str">
        <f>"09940003077"</f>
        <v>09940003077</v>
      </c>
      <c r="B1583" s="7" t="str">
        <f>"泉佐野上町"</f>
        <v>泉佐野上町</v>
      </c>
      <c r="C1583" s="7" t="str">
        <f t="shared" si="535"/>
        <v>行政財産</v>
      </c>
      <c r="D1583" s="7" t="str">
        <f t="shared" si="536"/>
        <v>公営住宅</v>
      </c>
      <c r="E1583" s="7" t="str">
        <f>"大阪府泉佐野市上町１丁目"</f>
        <v>大阪府泉佐野市上町１丁目</v>
      </c>
      <c r="F1583" s="7"/>
      <c r="G1583" s="7" t="str">
        <f t="shared" si="533"/>
        <v>事業用資産</v>
      </c>
      <c r="H1583" s="7" t="str">
        <f t="shared" si="531"/>
        <v>棚卸以外</v>
      </c>
      <c r="I1583" s="7">
        <v>2</v>
      </c>
      <c r="J1583" s="7" t="str">
        <f>"集会所"</f>
        <v>集会所</v>
      </c>
      <c r="K1583" s="7" t="str">
        <f t="shared" si="545"/>
        <v>鉄筋コンクリート造</v>
      </c>
      <c r="L1583" s="7" t="str">
        <f>"S54.05.25"</f>
        <v>S54.05.25</v>
      </c>
      <c r="M1583" s="7">
        <v>84</v>
      </c>
      <c r="N1583" s="7">
        <v>11305000</v>
      </c>
      <c r="O1583" s="7">
        <v>10543670</v>
      </c>
      <c r="P1583" s="7">
        <v>0</v>
      </c>
      <c r="Q1583" s="7" t="str">
        <f t="shared" si="537"/>
        <v>都市整備部</v>
      </c>
      <c r="R1583" s="7" t="str">
        <f t="shared" si="534"/>
        <v>住宅建築局住宅経営室</v>
      </c>
    </row>
    <row r="1584" spans="1:18" s="1" customFormat="1" x14ac:dyDescent="0.45">
      <c r="A1584" s="7" t="str">
        <f>"09940003077"</f>
        <v>09940003077</v>
      </c>
      <c r="B1584" s="7" t="str">
        <f>"泉佐野上町"</f>
        <v>泉佐野上町</v>
      </c>
      <c r="C1584" s="7" t="str">
        <f t="shared" si="535"/>
        <v>行政財産</v>
      </c>
      <c r="D1584" s="7" t="str">
        <f t="shared" si="536"/>
        <v>公営住宅</v>
      </c>
      <c r="E1584" s="7" t="str">
        <f>"大阪府泉佐野市上町１丁目"</f>
        <v>大阪府泉佐野市上町１丁目</v>
      </c>
      <c r="F1584" s="7"/>
      <c r="G1584" s="7" t="str">
        <f t="shared" si="533"/>
        <v>事業用資産</v>
      </c>
      <c r="H1584" s="7" t="str">
        <f t="shared" si="531"/>
        <v>棚卸以外</v>
      </c>
      <c r="I1584" s="7">
        <v>3</v>
      </c>
      <c r="J1584" s="7" t="str">
        <f>"受水槽"</f>
        <v>受水槽</v>
      </c>
      <c r="K1584" s="7" t="str">
        <f t="shared" si="545"/>
        <v>鉄筋コンクリート造</v>
      </c>
      <c r="L1584" s="7" t="str">
        <f>"S54.05.25"</f>
        <v>S54.05.25</v>
      </c>
      <c r="M1584" s="7">
        <v>15.3</v>
      </c>
      <c r="N1584" s="7">
        <v>3559000</v>
      </c>
      <c r="O1584" s="7">
        <v>3319586</v>
      </c>
      <c r="P1584" s="7">
        <v>0</v>
      </c>
      <c r="Q1584" s="7" t="str">
        <f t="shared" si="537"/>
        <v>都市整備部</v>
      </c>
      <c r="R1584" s="7" t="str">
        <f t="shared" si="534"/>
        <v>住宅建築局住宅経営室</v>
      </c>
    </row>
    <row r="1585" spans="1:18" s="1" customFormat="1" x14ac:dyDescent="0.45">
      <c r="A1585" s="7" t="str">
        <f>"09940003077"</f>
        <v>09940003077</v>
      </c>
      <c r="B1585" s="7" t="str">
        <f>"泉佐野上町"</f>
        <v>泉佐野上町</v>
      </c>
      <c r="C1585" s="7" t="str">
        <f t="shared" si="535"/>
        <v>行政財産</v>
      </c>
      <c r="D1585" s="7" t="str">
        <f t="shared" si="536"/>
        <v>公営住宅</v>
      </c>
      <c r="E1585" s="7" t="str">
        <f>"大阪府泉佐野市上町１丁目"</f>
        <v>大阪府泉佐野市上町１丁目</v>
      </c>
      <c r="F1585" s="7"/>
      <c r="G1585" s="7" t="str">
        <f t="shared" si="533"/>
        <v>事業用資産</v>
      </c>
      <c r="H1585" s="7" t="str">
        <f t="shared" si="531"/>
        <v>棚卸以外</v>
      </c>
      <c r="I1585" s="7">
        <v>4</v>
      </c>
      <c r="J1585" s="7" t="str">
        <f>"処理場及び機械室"</f>
        <v>処理場及び機械室</v>
      </c>
      <c r="K1585" s="7" t="str">
        <f t="shared" si="545"/>
        <v>鉄筋コンクリート造</v>
      </c>
      <c r="L1585" s="7" t="str">
        <f>"S54.05.25"</f>
        <v>S54.05.25</v>
      </c>
      <c r="M1585" s="7">
        <v>6.63</v>
      </c>
      <c r="N1585" s="7">
        <v>11915000</v>
      </c>
      <c r="O1585" s="7">
        <v>11112276</v>
      </c>
      <c r="P1585" s="7">
        <v>0</v>
      </c>
      <c r="Q1585" s="7" t="str">
        <f t="shared" si="537"/>
        <v>都市整備部</v>
      </c>
      <c r="R1585" s="7" t="str">
        <f t="shared" si="534"/>
        <v>住宅建築局住宅経営室</v>
      </c>
    </row>
    <row r="1586" spans="1:18" s="1" customFormat="1" x14ac:dyDescent="0.45">
      <c r="A1586" s="7" t="str">
        <f t="shared" ref="A1586:A1595" si="546">"09940003078"</f>
        <v>09940003078</v>
      </c>
      <c r="B1586" s="7" t="str">
        <f t="shared" ref="B1586:B1595" si="547">"豊中島江"</f>
        <v>豊中島江</v>
      </c>
      <c r="C1586" s="7" t="str">
        <f t="shared" si="535"/>
        <v>行政財産</v>
      </c>
      <c r="D1586" s="7" t="str">
        <f t="shared" si="536"/>
        <v>公営住宅</v>
      </c>
      <c r="E1586" s="7" t="str">
        <f t="shared" ref="E1586:E1595" si="548">"大阪府豊中市島江町１丁目"</f>
        <v>大阪府豊中市島江町１丁目</v>
      </c>
      <c r="F1586" s="7"/>
      <c r="G1586" s="7" t="str">
        <f t="shared" si="533"/>
        <v>事業用資産</v>
      </c>
      <c r="H1586" s="7" t="str">
        <f t="shared" si="531"/>
        <v>棚卸以外</v>
      </c>
      <c r="I1586" s="7">
        <v>1</v>
      </c>
      <c r="J1586" s="7" t="str">
        <f>"１０号棟"</f>
        <v>１０号棟</v>
      </c>
      <c r="K1586" s="7" t="str">
        <f t="shared" si="545"/>
        <v>鉄筋コンクリート造</v>
      </c>
      <c r="L1586" s="7" t="str">
        <f>"S58.05.25"</f>
        <v>S58.05.25</v>
      </c>
      <c r="M1586" s="7">
        <v>3415.08</v>
      </c>
      <c r="N1586" s="7">
        <v>356347000</v>
      </c>
      <c r="O1586" s="7">
        <v>302010438</v>
      </c>
      <c r="P1586" s="7">
        <v>0</v>
      </c>
      <c r="Q1586" s="7" t="str">
        <f t="shared" si="537"/>
        <v>都市整備部</v>
      </c>
      <c r="R1586" s="7" t="str">
        <f t="shared" si="534"/>
        <v>住宅建築局住宅経営室</v>
      </c>
    </row>
    <row r="1587" spans="1:18" s="1" customFormat="1" x14ac:dyDescent="0.45">
      <c r="A1587" s="7" t="str">
        <f t="shared" si="546"/>
        <v>09940003078</v>
      </c>
      <c r="B1587" s="7" t="str">
        <f t="shared" si="547"/>
        <v>豊中島江</v>
      </c>
      <c r="C1587" s="7" t="str">
        <f t="shared" si="535"/>
        <v>行政財産</v>
      </c>
      <c r="D1587" s="7" t="str">
        <f t="shared" si="536"/>
        <v>公営住宅</v>
      </c>
      <c r="E1587" s="7" t="str">
        <f t="shared" si="548"/>
        <v>大阪府豊中市島江町１丁目</v>
      </c>
      <c r="F1587" s="7"/>
      <c r="G1587" s="7" t="str">
        <f t="shared" si="533"/>
        <v>事業用資産</v>
      </c>
      <c r="H1587" s="7" t="str">
        <f t="shared" si="531"/>
        <v>棚卸以外</v>
      </c>
      <c r="I1587" s="7">
        <v>2</v>
      </c>
      <c r="J1587" s="7" t="str">
        <f>"ポンプ室"</f>
        <v>ポンプ室</v>
      </c>
      <c r="K1587" s="7" t="str">
        <f t="shared" si="545"/>
        <v>鉄筋コンクリート造</v>
      </c>
      <c r="L1587" s="7" t="str">
        <f>"S58.05.25"</f>
        <v>S58.05.25</v>
      </c>
      <c r="M1587" s="7">
        <v>117</v>
      </c>
      <c r="N1587" s="7">
        <v>36155000</v>
      </c>
      <c r="O1587" s="7">
        <v>30642190</v>
      </c>
      <c r="P1587" s="7">
        <v>0</v>
      </c>
      <c r="Q1587" s="7" t="str">
        <f t="shared" si="537"/>
        <v>都市整備部</v>
      </c>
      <c r="R1587" s="7" t="str">
        <f t="shared" si="534"/>
        <v>住宅建築局住宅経営室</v>
      </c>
    </row>
    <row r="1588" spans="1:18" s="1" customFormat="1" x14ac:dyDescent="0.45">
      <c r="A1588" s="7" t="str">
        <f t="shared" si="546"/>
        <v>09940003078</v>
      </c>
      <c r="B1588" s="7" t="str">
        <f t="shared" si="547"/>
        <v>豊中島江</v>
      </c>
      <c r="C1588" s="7" t="str">
        <f t="shared" si="535"/>
        <v>行政財産</v>
      </c>
      <c r="D1588" s="7" t="str">
        <f t="shared" si="536"/>
        <v>公営住宅</v>
      </c>
      <c r="E1588" s="7" t="str">
        <f t="shared" si="548"/>
        <v>大阪府豊中市島江町１丁目</v>
      </c>
      <c r="F1588" s="7"/>
      <c r="G1588" s="7" t="str">
        <f t="shared" si="533"/>
        <v>事業用資産</v>
      </c>
      <c r="H1588" s="7" t="str">
        <f t="shared" si="531"/>
        <v>棚卸以外</v>
      </c>
      <c r="I1588" s="7">
        <v>3</v>
      </c>
      <c r="J1588" s="7" t="str">
        <f>"９号棟"</f>
        <v>９号棟</v>
      </c>
      <c r="K1588" s="7" t="str">
        <f t="shared" si="545"/>
        <v>鉄筋コンクリート造</v>
      </c>
      <c r="L1588" s="7" t="str">
        <f>"S59.03.22"</f>
        <v>S59.03.22</v>
      </c>
      <c r="M1588" s="7">
        <v>2148.37</v>
      </c>
      <c r="N1588" s="7">
        <v>283514000</v>
      </c>
      <c r="O1588" s="7">
        <v>235256580</v>
      </c>
      <c r="P1588" s="7">
        <v>0</v>
      </c>
      <c r="Q1588" s="7" t="str">
        <f t="shared" si="537"/>
        <v>都市整備部</v>
      </c>
      <c r="R1588" s="7" t="str">
        <f t="shared" si="534"/>
        <v>住宅建築局住宅経営室</v>
      </c>
    </row>
    <row r="1589" spans="1:18" s="1" customFormat="1" x14ac:dyDescent="0.45">
      <c r="A1589" s="7" t="str">
        <f t="shared" si="546"/>
        <v>09940003078</v>
      </c>
      <c r="B1589" s="7" t="str">
        <f t="shared" si="547"/>
        <v>豊中島江</v>
      </c>
      <c r="C1589" s="7" t="str">
        <f t="shared" si="535"/>
        <v>行政財産</v>
      </c>
      <c r="D1589" s="7" t="str">
        <f t="shared" si="536"/>
        <v>公営住宅</v>
      </c>
      <c r="E1589" s="7" t="str">
        <f t="shared" si="548"/>
        <v>大阪府豊中市島江町１丁目</v>
      </c>
      <c r="F1589" s="7"/>
      <c r="G1589" s="7" t="str">
        <f t="shared" si="533"/>
        <v>事業用資産</v>
      </c>
      <c r="H1589" s="7" t="str">
        <f t="shared" si="531"/>
        <v>棚卸以外</v>
      </c>
      <c r="I1589" s="7">
        <v>4</v>
      </c>
      <c r="J1589" s="7" t="str">
        <f>"１１号棟"</f>
        <v>１１号棟</v>
      </c>
      <c r="K1589" s="7" t="str">
        <f t="shared" si="545"/>
        <v>鉄筋コンクリート造</v>
      </c>
      <c r="L1589" s="7" t="str">
        <f>"S59.03.22"</f>
        <v>S59.03.22</v>
      </c>
      <c r="M1589" s="7">
        <v>4482.25</v>
      </c>
      <c r="N1589" s="7">
        <v>562917483</v>
      </c>
      <c r="O1589" s="7">
        <v>466970400</v>
      </c>
      <c r="P1589" s="7">
        <v>0</v>
      </c>
      <c r="Q1589" s="7" t="str">
        <f t="shared" si="537"/>
        <v>都市整備部</v>
      </c>
      <c r="R1589" s="7" t="str">
        <f t="shared" si="534"/>
        <v>住宅建築局住宅経営室</v>
      </c>
    </row>
    <row r="1590" spans="1:18" s="1" customFormat="1" x14ac:dyDescent="0.45">
      <c r="A1590" s="7" t="str">
        <f t="shared" si="546"/>
        <v>09940003078</v>
      </c>
      <c r="B1590" s="7" t="str">
        <f t="shared" si="547"/>
        <v>豊中島江</v>
      </c>
      <c r="C1590" s="7" t="str">
        <f t="shared" si="535"/>
        <v>行政財産</v>
      </c>
      <c r="D1590" s="7" t="str">
        <f t="shared" si="536"/>
        <v>公営住宅</v>
      </c>
      <c r="E1590" s="7" t="str">
        <f t="shared" si="548"/>
        <v>大阪府豊中市島江町１丁目</v>
      </c>
      <c r="F1590" s="7"/>
      <c r="G1590" s="7" t="str">
        <f t="shared" si="533"/>
        <v>事業用資産</v>
      </c>
      <c r="H1590" s="7" t="str">
        <f t="shared" si="531"/>
        <v>棚卸以外</v>
      </c>
      <c r="I1590" s="7">
        <v>5</v>
      </c>
      <c r="J1590" s="7" t="str">
        <f>"１２号棟"</f>
        <v>１２号棟</v>
      </c>
      <c r="K1590" s="7" t="str">
        <f t="shared" si="545"/>
        <v>鉄筋コンクリート造</v>
      </c>
      <c r="L1590" s="7" t="str">
        <f>"S59.03.22"</f>
        <v>S59.03.22</v>
      </c>
      <c r="M1590" s="7">
        <v>6696.51</v>
      </c>
      <c r="N1590" s="7">
        <v>906616188</v>
      </c>
      <c r="O1590" s="7">
        <v>744748625</v>
      </c>
      <c r="P1590" s="7">
        <v>0</v>
      </c>
      <c r="Q1590" s="7" t="str">
        <f t="shared" si="537"/>
        <v>都市整備部</v>
      </c>
      <c r="R1590" s="7" t="str">
        <f t="shared" si="534"/>
        <v>住宅建築局住宅経営室</v>
      </c>
    </row>
    <row r="1591" spans="1:18" s="1" customFormat="1" x14ac:dyDescent="0.45">
      <c r="A1591" s="7" t="str">
        <f t="shared" si="546"/>
        <v>09940003078</v>
      </c>
      <c r="B1591" s="7" t="str">
        <f t="shared" si="547"/>
        <v>豊中島江</v>
      </c>
      <c r="C1591" s="7" t="str">
        <f t="shared" si="535"/>
        <v>行政財産</v>
      </c>
      <c r="D1591" s="7" t="str">
        <f t="shared" si="536"/>
        <v>公営住宅</v>
      </c>
      <c r="E1591" s="7" t="str">
        <f t="shared" si="548"/>
        <v>大阪府豊中市島江町１丁目</v>
      </c>
      <c r="F1591" s="7"/>
      <c r="G1591" s="7" t="str">
        <f t="shared" si="533"/>
        <v>事業用資産</v>
      </c>
      <c r="H1591" s="7" t="str">
        <f t="shared" si="531"/>
        <v>棚卸以外</v>
      </c>
      <c r="I1591" s="7">
        <v>6</v>
      </c>
      <c r="J1591" s="7" t="str">
        <f>"１３号棟"</f>
        <v>１３号棟</v>
      </c>
      <c r="K1591" s="7" t="str">
        <f t="shared" si="545"/>
        <v>鉄筋コンクリート造</v>
      </c>
      <c r="L1591" s="7" t="str">
        <f>"S59.03.22"</f>
        <v>S59.03.22</v>
      </c>
      <c r="M1591" s="7">
        <v>5244.59</v>
      </c>
      <c r="N1591" s="7">
        <v>701230190</v>
      </c>
      <c r="O1591" s="7">
        <v>574322213</v>
      </c>
      <c r="P1591" s="7">
        <v>0</v>
      </c>
      <c r="Q1591" s="7" t="str">
        <f t="shared" si="537"/>
        <v>都市整備部</v>
      </c>
      <c r="R1591" s="7" t="str">
        <f t="shared" si="534"/>
        <v>住宅建築局住宅経営室</v>
      </c>
    </row>
    <row r="1592" spans="1:18" s="1" customFormat="1" x14ac:dyDescent="0.45">
      <c r="A1592" s="7" t="str">
        <f t="shared" si="546"/>
        <v>09940003078</v>
      </c>
      <c r="B1592" s="7" t="str">
        <f t="shared" si="547"/>
        <v>豊中島江</v>
      </c>
      <c r="C1592" s="7" t="str">
        <f t="shared" si="535"/>
        <v>行政財産</v>
      </c>
      <c r="D1592" s="7" t="str">
        <f t="shared" si="536"/>
        <v>公営住宅</v>
      </c>
      <c r="E1592" s="7" t="str">
        <f t="shared" si="548"/>
        <v>大阪府豊中市島江町１丁目</v>
      </c>
      <c r="F1592" s="7"/>
      <c r="G1592" s="7" t="str">
        <f t="shared" si="533"/>
        <v>事業用資産</v>
      </c>
      <c r="H1592" s="7" t="str">
        <f t="shared" si="531"/>
        <v>棚卸以外</v>
      </c>
      <c r="I1592" s="7">
        <v>7</v>
      </c>
      <c r="J1592" s="7" t="str">
        <f>"集会所"</f>
        <v>集会所</v>
      </c>
      <c r="K1592" s="7" t="str">
        <f t="shared" si="545"/>
        <v>鉄筋コンクリート造</v>
      </c>
      <c r="L1592" s="7" t="str">
        <f>"S59.03.22"</f>
        <v>S59.03.22</v>
      </c>
      <c r="M1592" s="7">
        <v>208.38</v>
      </c>
      <c r="N1592" s="7">
        <v>41000000</v>
      </c>
      <c r="O1592" s="7">
        <v>34021728</v>
      </c>
      <c r="P1592" s="7">
        <v>0</v>
      </c>
      <c r="Q1592" s="7" t="str">
        <f t="shared" si="537"/>
        <v>都市整備部</v>
      </c>
      <c r="R1592" s="7" t="str">
        <f t="shared" si="534"/>
        <v>住宅建築局住宅経営室</v>
      </c>
    </row>
    <row r="1593" spans="1:18" s="1" customFormat="1" x14ac:dyDescent="0.45">
      <c r="A1593" s="7" t="str">
        <f t="shared" si="546"/>
        <v>09940003078</v>
      </c>
      <c r="B1593" s="7" t="str">
        <f t="shared" si="547"/>
        <v>豊中島江</v>
      </c>
      <c r="C1593" s="7" t="str">
        <f t="shared" si="535"/>
        <v>行政財産</v>
      </c>
      <c r="D1593" s="7" t="str">
        <f t="shared" si="536"/>
        <v>公営住宅</v>
      </c>
      <c r="E1593" s="7" t="str">
        <f t="shared" si="548"/>
        <v>大阪府豊中市島江町１丁目</v>
      </c>
      <c r="F1593" s="7"/>
      <c r="G1593" s="7" t="str">
        <f t="shared" si="533"/>
        <v>事業用資産</v>
      </c>
      <c r="H1593" s="7" t="str">
        <f t="shared" si="531"/>
        <v>棚卸以外</v>
      </c>
      <c r="I1593" s="7">
        <v>8</v>
      </c>
      <c r="J1593" s="7" t="str">
        <f>"１４号棟"</f>
        <v>１４号棟</v>
      </c>
      <c r="K1593" s="7" t="str">
        <f t="shared" si="545"/>
        <v>鉄筋コンクリート造</v>
      </c>
      <c r="L1593" s="7" t="str">
        <f>"S60.03.25"</f>
        <v>S60.03.25</v>
      </c>
      <c r="M1593" s="7">
        <v>4026.6</v>
      </c>
      <c r="N1593" s="7">
        <v>577785000</v>
      </c>
      <c r="O1593" s="7">
        <v>467145552</v>
      </c>
      <c r="P1593" s="7">
        <v>0</v>
      </c>
      <c r="Q1593" s="7" t="str">
        <f t="shared" si="537"/>
        <v>都市整備部</v>
      </c>
      <c r="R1593" s="7" t="str">
        <f t="shared" si="534"/>
        <v>住宅建築局住宅経営室</v>
      </c>
    </row>
    <row r="1594" spans="1:18" s="1" customFormat="1" x14ac:dyDescent="0.45">
      <c r="A1594" s="7" t="str">
        <f t="shared" si="546"/>
        <v>09940003078</v>
      </c>
      <c r="B1594" s="7" t="str">
        <f t="shared" si="547"/>
        <v>豊中島江</v>
      </c>
      <c r="C1594" s="7" t="str">
        <f t="shared" si="535"/>
        <v>行政財産</v>
      </c>
      <c r="D1594" s="7" t="str">
        <f t="shared" si="536"/>
        <v>公営住宅</v>
      </c>
      <c r="E1594" s="7" t="str">
        <f t="shared" si="548"/>
        <v>大阪府豊中市島江町１丁目</v>
      </c>
      <c r="F1594" s="7"/>
      <c r="G1594" s="7" t="str">
        <f t="shared" si="533"/>
        <v>事業用資産</v>
      </c>
      <c r="H1594" s="7" t="str">
        <f t="shared" si="531"/>
        <v>棚卸以外</v>
      </c>
      <c r="I1594" s="7">
        <v>9</v>
      </c>
      <c r="J1594" s="7" t="str">
        <f>"１号棟"</f>
        <v>１号棟</v>
      </c>
      <c r="K1594" s="7" t="str">
        <f t="shared" si="545"/>
        <v>鉄筋コンクリート造</v>
      </c>
      <c r="L1594" s="7" t="str">
        <f>"S63.07.27"</f>
        <v>S63.07.27</v>
      </c>
      <c r="M1594" s="7">
        <v>6392.71</v>
      </c>
      <c r="N1594" s="7">
        <v>612801852</v>
      </c>
      <c r="O1594" s="7">
        <v>460538889</v>
      </c>
      <c r="P1594" s="7">
        <v>0</v>
      </c>
      <c r="Q1594" s="7" t="str">
        <f t="shared" si="537"/>
        <v>都市整備部</v>
      </c>
      <c r="R1594" s="7" t="str">
        <f t="shared" si="534"/>
        <v>住宅建築局住宅経営室</v>
      </c>
    </row>
    <row r="1595" spans="1:18" s="1" customFormat="1" x14ac:dyDescent="0.45">
      <c r="A1595" s="7" t="str">
        <f t="shared" si="546"/>
        <v>09940003078</v>
      </c>
      <c r="B1595" s="7" t="str">
        <f t="shared" si="547"/>
        <v>豊中島江</v>
      </c>
      <c r="C1595" s="7" t="str">
        <f t="shared" si="535"/>
        <v>行政財産</v>
      </c>
      <c r="D1595" s="7" t="str">
        <f t="shared" si="536"/>
        <v>公営住宅</v>
      </c>
      <c r="E1595" s="7" t="str">
        <f t="shared" si="548"/>
        <v>大阪府豊中市島江町１丁目</v>
      </c>
      <c r="F1595" s="7"/>
      <c r="G1595" s="7" t="str">
        <f t="shared" si="533"/>
        <v>事業用資産</v>
      </c>
      <c r="H1595" s="7" t="str">
        <f t="shared" si="531"/>
        <v>棚卸以外</v>
      </c>
      <c r="I1595" s="7">
        <v>10</v>
      </c>
      <c r="J1595" s="7" t="str">
        <f>"受水槽"</f>
        <v>受水槽</v>
      </c>
      <c r="K1595" s="7" t="str">
        <f t="shared" si="545"/>
        <v>鉄筋コンクリート造</v>
      </c>
      <c r="L1595" s="7" t="str">
        <f>"S58.05.25"</f>
        <v>S58.05.25</v>
      </c>
      <c r="M1595" s="7">
        <v>117</v>
      </c>
      <c r="N1595" s="7">
        <v>37861000</v>
      </c>
      <c r="O1595" s="7">
        <v>32088140</v>
      </c>
      <c r="P1595" s="7">
        <v>0</v>
      </c>
      <c r="Q1595" s="7" t="str">
        <f t="shared" si="537"/>
        <v>都市整備部</v>
      </c>
      <c r="R1595" s="7" t="str">
        <f t="shared" si="534"/>
        <v>住宅建築局住宅経営室</v>
      </c>
    </row>
    <row r="1596" spans="1:18" s="1" customFormat="1" x14ac:dyDescent="0.45">
      <c r="A1596" s="7" t="str">
        <f>"09940003081"</f>
        <v>09940003081</v>
      </c>
      <c r="B1596" s="7" t="str">
        <f>"富田林双葉（旧富田林２種）"</f>
        <v>富田林双葉（旧富田林２種）</v>
      </c>
      <c r="C1596" s="7" t="str">
        <f t="shared" si="535"/>
        <v>行政財産</v>
      </c>
      <c r="D1596" s="7" t="str">
        <f t="shared" si="536"/>
        <v>公営住宅</v>
      </c>
      <c r="E1596" s="7" t="str">
        <f>"大阪府富田林市甲田３丁目"</f>
        <v>大阪府富田林市甲田３丁目</v>
      </c>
      <c r="F1596" s="7"/>
      <c r="G1596" s="7" t="str">
        <f t="shared" si="533"/>
        <v>事業用資産</v>
      </c>
      <c r="H1596" s="7" t="str">
        <f t="shared" si="531"/>
        <v>棚卸以外</v>
      </c>
      <c r="I1596" s="7">
        <v>1</v>
      </c>
      <c r="J1596" s="7" t="str">
        <f>"１号棟"</f>
        <v>１号棟</v>
      </c>
      <c r="K1596" s="7" t="str">
        <f t="shared" si="545"/>
        <v>鉄筋コンクリート造</v>
      </c>
      <c r="L1596" s="7" t="str">
        <f>"H01.08.29"</f>
        <v>H01.08.29</v>
      </c>
      <c r="M1596" s="7">
        <v>2242.6999999999998</v>
      </c>
      <c r="N1596" s="7">
        <v>245910000</v>
      </c>
      <c r="O1596" s="7">
        <v>175712433</v>
      </c>
      <c r="P1596" s="7">
        <v>0</v>
      </c>
      <c r="Q1596" s="7" t="str">
        <f t="shared" si="537"/>
        <v>都市整備部</v>
      </c>
      <c r="R1596" s="7" t="str">
        <f t="shared" si="534"/>
        <v>住宅建築局住宅経営室</v>
      </c>
    </row>
    <row r="1597" spans="1:18" s="1" customFormat="1" x14ac:dyDescent="0.45">
      <c r="A1597" s="7" t="str">
        <f>"09940003081"</f>
        <v>09940003081</v>
      </c>
      <c r="B1597" s="7" t="str">
        <f>"富田林双葉（旧富田林２種）"</f>
        <v>富田林双葉（旧富田林２種）</v>
      </c>
      <c r="C1597" s="7" t="str">
        <f t="shared" si="535"/>
        <v>行政財産</v>
      </c>
      <c r="D1597" s="7" t="str">
        <f t="shared" si="536"/>
        <v>公営住宅</v>
      </c>
      <c r="E1597" s="7" t="str">
        <f>"大阪府富田林市甲田３丁目"</f>
        <v>大阪府富田林市甲田３丁目</v>
      </c>
      <c r="F1597" s="7"/>
      <c r="G1597" s="7" t="str">
        <f t="shared" si="533"/>
        <v>事業用資産</v>
      </c>
      <c r="H1597" s="7" t="str">
        <f t="shared" si="531"/>
        <v>棚卸以外</v>
      </c>
      <c r="I1597" s="7">
        <v>2</v>
      </c>
      <c r="J1597" s="7" t="str">
        <f>"受水槽"</f>
        <v>受水槽</v>
      </c>
      <c r="K1597" s="7" t="str">
        <f t="shared" si="545"/>
        <v>鉄筋コンクリート造</v>
      </c>
      <c r="L1597" s="7" t="str">
        <f>"H01.08.29"</f>
        <v>H01.08.29</v>
      </c>
      <c r="M1597" s="7">
        <v>13.92</v>
      </c>
      <c r="N1597" s="7">
        <v>12052000</v>
      </c>
      <c r="O1597" s="7">
        <v>8611707</v>
      </c>
      <c r="P1597" s="7">
        <v>0</v>
      </c>
      <c r="Q1597" s="7" t="str">
        <f t="shared" si="537"/>
        <v>都市整備部</v>
      </c>
      <c r="R1597" s="7" t="str">
        <f t="shared" si="534"/>
        <v>住宅建築局住宅経営室</v>
      </c>
    </row>
    <row r="1598" spans="1:18" s="1" customFormat="1" x14ac:dyDescent="0.45">
      <c r="A1598" s="7" t="str">
        <f>"09940003081"</f>
        <v>09940003081</v>
      </c>
      <c r="B1598" s="7" t="str">
        <f>"富田林双葉（旧富田林２種）"</f>
        <v>富田林双葉（旧富田林２種）</v>
      </c>
      <c r="C1598" s="7" t="str">
        <f t="shared" si="535"/>
        <v>行政財産</v>
      </c>
      <c r="D1598" s="7" t="str">
        <f t="shared" si="536"/>
        <v>公営住宅</v>
      </c>
      <c r="E1598" s="7" t="str">
        <f>"大阪府富田林市甲田３丁目"</f>
        <v>大阪府富田林市甲田３丁目</v>
      </c>
      <c r="F1598" s="7"/>
      <c r="G1598" s="7" t="str">
        <f t="shared" si="533"/>
        <v>事業用資産</v>
      </c>
      <c r="H1598" s="7" t="str">
        <f t="shared" si="531"/>
        <v>棚卸以外</v>
      </c>
      <c r="I1598" s="7">
        <v>3</v>
      </c>
      <c r="J1598" s="7" t="str">
        <f>"汚水処理場"</f>
        <v>汚水処理場</v>
      </c>
      <c r="K1598" s="7" t="str">
        <f t="shared" si="545"/>
        <v>鉄筋コンクリート造</v>
      </c>
      <c r="L1598" s="7" t="str">
        <f>"H01.08.31"</f>
        <v>H01.08.31</v>
      </c>
      <c r="M1598" s="7">
        <v>20.399999999999999</v>
      </c>
      <c r="N1598" s="7">
        <v>24822000</v>
      </c>
      <c r="O1598" s="7">
        <v>17736433</v>
      </c>
      <c r="P1598" s="7">
        <v>0</v>
      </c>
      <c r="Q1598" s="7" t="str">
        <f t="shared" si="537"/>
        <v>都市整備部</v>
      </c>
      <c r="R1598" s="7" t="str">
        <f t="shared" si="534"/>
        <v>住宅建築局住宅経営室</v>
      </c>
    </row>
    <row r="1599" spans="1:18" s="1" customFormat="1" x14ac:dyDescent="0.45">
      <c r="A1599" s="7" t="str">
        <f t="shared" ref="A1599:A1619" si="549">"09940003085"</f>
        <v>09940003085</v>
      </c>
      <c r="B1599" s="7" t="str">
        <f t="shared" ref="B1599:B1619" si="550">"富田林板持"</f>
        <v>富田林板持</v>
      </c>
      <c r="C1599" s="7" t="str">
        <f t="shared" si="535"/>
        <v>行政財産</v>
      </c>
      <c r="D1599" s="7" t="str">
        <f t="shared" si="536"/>
        <v>公営住宅</v>
      </c>
      <c r="E1599" s="7" t="str">
        <f t="shared" ref="E1599:E1619" si="551">"大阪府富田林市西板持町２丁目"</f>
        <v>大阪府富田林市西板持町２丁目</v>
      </c>
      <c r="F1599" s="7"/>
      <c r="G1599" s="7" t="str">
        <f t="shared" si="533"/>
        <v>事業用資産</v>
      </c>
      <c r="H1599" s="7" t="str">
        <f t="shared" si="531"/>
        <v>棚卸以外</v>
      </c>
      <c r="I1599" s="7">
        <v>1</v>
      </c>
      <c r="J1599" s="7" t="str">
        <f>"６号棟"</f>
        <v>６号棟</v>
      </c>
      <c r="K1599" s="7" t="str">
        <f t="shared" si="545"/>
        <v>鉄筋コンクリート造</v>
      </c>
      <c r="L1599" s="7" t="str">
        <f>"S63.02.26"</f>
        <v>S63.02.26</v>
      </c>
      <c r="M1599" s="7">
        <v>834.71</v>
      </c>
      <c r="N1599" s="7">
        <v>93115000</v>
      </c>
      <c r="O1599" s="7">
        <v>69506258</v>
      </c>
      <c r="P1599" s="7">
        <v>0</v>
      </c>
      <c r="Q1599" s="7" t="str">
        <f t="shared" si="537"/>
        <v>都市整備部</v>
      </c>
      <c r="R1599" s="7" t="str">
        <f t="shared" si="534"/>
        <v>住宅建築局住宅経営室</v>
      </c>
    </row>
    <row r="1600" spans="1:18" s="1" customFormat="1" x14ac:dyDescent="0.45">
      <c r="A1600" s="7" t="str">
        <f t="shared" si="549"/>
        <v>09940003085</v>
      </c>
      <c r="B1600" s="7" t="str">
        <f t="shared" si="550"/>
        <v>富田林板持</v>
      </c>
      <c r="C1600" s="7" t="str">
        <f t="shared" si="535"/>
        <v>行政財産</v>
      </c>
      <c r="D1600" s="7" t="str">
        <f t="shared" si="536"/>
        <v>公営住宅</v>
      </c>
      <c r="E1600" s="7" t="str">
        <f t="shared" si="551"/>
        <v>大阪府富田林市西板持町２丁目</v>
      </c>
      <c r="F1600" s="7"/>
      <c r="G1600" s="7" t="str">
        <f t="shared" si="533"/>
        <v>事業用資産</v>
      </c>
      <c r="H1600" s="7" t="str">
        <f t="shared" si="531"/>
        <v>棚卸以外</v>
      </c>
      <c r="I1600" s="7">
        <v>2</v>
      </c>
      <c r="J1600" s="7" t="str">
        <f>"９号棟"</f>
        <v>９号棟</v>
      </c>
      <c r="K1600" s="7" t="str">
        <f t="shared" si="545"/>
        <v>鉄筋コンクリート造</v>
      </c>
      <c r="L1600" s="7" t="str">
        <f>"S63.02.26"</f>
        <v>S63.02.26</v>
      </c>
      <c r="M1600" s="7">
        <v>1750.95</v>
      </c>
      <c r="N1600" s="7">
        <v>181656000</v>
      </c>
      <c r="O1600" s="7">
        <v>135598206</v>
      </c>
      <c r="P1600" s="7">
        <v>0</v>
      </c>
      <c r="Q1600" s="7" t="str">
        <f t="shared" si="537"/>
        <v>都市整備部</v>
      </c>
      <c r="R1600" s="7" t="str">
        <f t="shared" si="534"/>
        <v>住宅建築局住宅経営室</v>
      </c>
    </row>
    <row r="1601" spans="1:18" s="1" customFormat="1" x14ac:dyDescent="0.45">
      <c r="A1601" s="7" t="str">
        <f t="shared" si="549"/>
        <v>09940003085</v>
      </c>
      <c r="B1601" s="7" t="str">
        <f t="shared" si="550"/>
        <v>富田林板持</v>
      </c>
      <c r="C1601" s="7" t="str">
        <f t="shared" si="535"/>
        <v>行政財産</v>
      </c>
      <c r="D1601" s="7" t="str">
        <f t="shared" si="536"/>
        <v>公営住宅</v>
      </c>
      <c r="E1601" s="7" t="str">
        <f t="shared" si="551"/>
        <v>大阪府富田林市西板持町２丁目</v>
      </c>
      <c r="F1601" s="7"/>
      <c r="G1601" s="7" t="str">
        <f t="shared" si="533"/>
        <v>事業用資産</v>
      </c>
      <c r="H1601" s="7" t="str">
        <f t="shared" si="531"/>
        <v>棚卸以外</v>
      </c>
      <c r="I1601" s="7">
        <v>3</v>
      </c>
      <c r="J1601" s="7" t="str">
        <f>"受水槽・浄化槽"</f>
        <v>受水槽・浄化槽</v>
      </c>
      <c r="K1601" s="7" t="str">
        <f t="shared" si="545"/>
        <v>鉄筋コンクリート造</v>
      </c>
      <c r="L1601" s="7" t="str">
        <f>"S63.02.26"</f>
        <v>S63.02.26</v>
      </c>
      <c r="M1601" s="7">
        <v>388.2</v>
      </c>
      <c r="N1601" s="7">
        <v>204924000</v>
      </c>
      <c r="O1601" s="7">
        <v>150205271</v>
      </c>
      <c r="P1601" s="7">
        <v>0</v>
      </c>
      <c r="Q1601" s="7" t="str">
        <f t="shared" si="537"/>
        <v>都市整備部</v>
      </c>
      <c r="R1601" s="7" t="str">
        <f t="shared" si="534"/>
        <v>住宅建築局住宅経営室</v>
      </c>
    </row>
    <row r="1602" spans="1:18" s="1" customFormat="1" x14ac:dyDescent="0.45">
      <c r="A1602" s="7" t="str">
        <f t="shared" si="549"/>
        <v>09940003085</v>
      </c>
      <c r="B1602" s="7" t="str">
        <f t="shared" si="550"/>
        <v>富田林板持</v>
      </c>
      <c r="C1602" s="7" t="str">
        <f t="shared" si="535"/>
        <v>行政財産</v>
      </c>
      <c r="D1602" s="7" t="str">
        <f t="shared" si="536"/>
        <v>公営住宅</v>
      </c>
      <c r="E1602" s="7" t="str">
        <f t="shared" si="551"/>
        <v>大阪府富田林市西板持町２丁目</v>
      </c>
      <c r="F1602" s="7"/>
      <c r="G1602" s="7" t="str">
        <f t="shared" si="533"/>
        <v>事業用資産</v>
      </c>
      <c r="H1602" s="7" t="str">
        <f t="shared" si="531"/>
        <v>棚卸以外</v>
      </c>
      <c r="I1602" s="7">
        <v>4</v>
      </c>
      <c r="J1602" s="7" t="str">
        <f>"１０号棟"</f>
        <v>１０号棟</v>
      </c>
      <c r="K1602" s="7" t="str">
        <f t="shared" si="545"/>
        <v>鉄筋コンクリート造</v>
      </c>
      <c r="L1602" s="7" t="str">
        <f>"H01.07.29"</f>
        <v>H01.07.29</v>
      </c>
      <c r="M1602" s="7">
        <v>1652.47</v>
      </c>
      <c r="N1602" s="7">
        <v>170902000</v>
      </c>
      <c r="O1602" s="7">
        <v>122419272</v>
      </c>
      <c r="P1602" s="7">
        <v>0</v>
      </c>
      <c r="Q1602" s="7" t="str">
        <f t="shared" si="537"/>
        <v>都市整備部</v>
      </c>
      <c r="R1602" s="7" t="str">
        <f t="shared" si="534"/>
        <v>住宅建築局住宅経営室</v>
      </c>
    </row>
    <row r="1603" spans="1:18" s="1" customFormat="1" x14ac:dyDescent="0.45">
      <c r="A1603" s="7" t="str">
        <f t="shared" si="549"/>
        <v>09940003085</v>
      </c>
      <c r="B1603" s="7" t="str">
        <f t="shared" si="550"/>
        <v>富田林板持</v>
      </c>
      <c r="C1603" s="7" t="str">
        <f t="shared" si="535"/>
        <v>行政財産</v>
      </c>
      <c r="D1603" s="7" t="str">
        <f t="shared" si="536"/>
        <v>公営住宅</v>
      </c>
      <c r="E1603" s="7" t="str">
        <f t="shared" si="551"/>
        <v>大阪府富田林市西板持町２丁目</v>
      </c>
      <c r="F1603" s="7"/>
      <c r="G1603" s="7" t="str">
        <f t="shared" si="533"/>
        <v>事業用資産</v>
      </c>
      <c r="H1603" s="7" t="str">
        <f t="shared" si="531"/>
        <v>棚卸以外</v>
      </c>
      <c r="I1603" s="7">
        <v>5</v>
      </c>
      <c r="J1603" s="7" t="str">
        <f>"１１号棟"</f>
        <v>１１号棟</v>
      </c>
      <c r="K1603" s="7" t="str">
        <f t="shared" si="545"/>
        <v>鉄筋コンクリート造</v>
      </c>
      <c r="L1603" s="7" t="str">
        <f>"H01.07.29"</f>
        <v>H01.07.29</v>
      </c>
      <c r="M1603" s="7">
        <v>1158.98</v>
      </c>
      <c r="N1603" s="7">
        <v>119124000</v>
      </c>
      <c r="O1603" s="7">
        <v>85330052</v>
      </c>
      <c r="P1603" s="7">
        <v>0</v>
      </c>
      <c r="Q1603" s="7" t="str">
        <f t="shared" si="537"/>
        <v>都市整備部</v>
      </c>
      <c r="R1603" s="7" t="str">
        <f t="shared" si="534"/>
        <v>住宅建築局住宅経営室</v>
      </c>
    </row>
    <row r="1604" spans="1:18" s="1" customFormat="1" x14ac:dyDescent="0.45">
      <c r="A1604" s="7" t="str">
        <f t="shared" si="549"/>
        <v>09940003085</v>
      </c>
      <c r="B1604" s="7" t="str">
        <f t="shared" si="550"/>
        <v>富田林板持</v>
      </c>
      <c r="C1604" s="7" t="str">
        <f t="shared" si="535"/>
        <v>行政財産</v>
      </c>
      <c r="D1604" s="7" t="str">
        <f t="shared" si="536"/>
        <v>公営住宅</v>
      </c>
      <c r="E1604" s="7" t="str">
        <f t="shared" si="551"/>
        <v>大阪府富田林市西板持町２丁目</v>
      </c>
      <c r="F1604" s="7"/>
      <c r="G1604" s="7" t="str">
        <f t="shared" si="533"/>
        <v>事業用資産</v>
      </c>
      <c r="H1604" s="7" t="str">
        <f t="shared" ref="H1604:H1667" si="552">"棚卸以外"</f>
        <v>棚卸以外</v>
      </c>
      <c r="I1604" s="7">
        <v>6</v>
      </c>
      <c r="J1604" s="7" t="str">
        <f>"１２号棟"</f>
        <v>１２号棟</v>
      </c>
      <c r="K1604" s="7" t="str">
        <f t="shared" si="545"/>
        <v>鉄筋コンクリート造</v>
      </c>
      <c r="L1604" s="7" t="str">
        <f>"H01.07.29"</f>
        <v>H01.07.29</v>
      </c>
      <c r="M1604" s="7">
        <v>1158.98</v>
      </c>
      <c r="N1604" s="7">
        <v>111806000</v>
      </c>
      <c r="O1604" s="7">
        <v>80088152</v>
      </c>
      <c r="P1604" s="7">
        <v>0</v>
      </c>
      <c r="Q1604" s="7" t="str">
        <f t="shared" si="537"/>
        <v>都市整備部</v>
      </c>
      <c r="R1604" s="7" t="str">
        <f t="shared" si="534"/>
        <v>住宅建築局住宅経営室</v>
      </c>
    </row>
    <row r="1605" spans="1:18" s="1" customFormat="1" x14ac:dyDescent="0.45">
      <c r="A1605" s="7" t="str">
        <f t="shared" si="549"/>
        <v>09940003085</v>
      </c>
      <c r="B1605" s="7" t="str">
        <f t="shared" si="550"/>
        <v>富田林板持</v>
      </c>
      <c r="C1605" s="7" t="str">
        <f t="shared" si="535"/>
        <v>行政財産</v>
      </c>
      <c r="D1605" s="7" t="str">
        <f t="shared" si="536"/>
        <v>公営住宅</v>
      </c>
      <c r="E1605" s="7" t="str">
        <f t="shared" si="551"/>
        <v>大阪府富田林市西板持町２丁目</v>
      </c>
      <c r="F1605" s="7"/>
      <c r="G1605" s="7" t="str">
        <f t="shared" si="533"/>
        <v>事業用資産</v>
      </c>
      <c r="H1605" s="7" t="str">
        <f t="shared" si="552"/>
        <v>棚卸以外</v>
      </c>
      <c r="I1605" s="7">
        <v>7</v>
      </c>
      <c r="J1605" s="7" t="str">
        <f>"４号棟"</f>
        <v>４号棟</v>
      </c>
      <c r="K1605" s="7" t="str">
        <f t="shared" si="545"/>
        <v>鉄筋コンクリート造</v>
      </c>
      <c r="L1605" s="7" t="str">
        <f>"H02.11.28"</f>
        <v>H02.11.28</v>
      </c>
      <c r="M1605" s="7">
        <v>993.88</v>
      </c>
      <c r="N1605" s="7">
        <v>132368000</v>
      </c>
      <c r="O1605" s="7">
        <v>91062048</v>
      </c>
      <c r="P1605" s="7">
        <v>0</v>
      </c>
      <c r="Q1605" s="7" t="str">
        <f t="shared" si="537"/>
        <v>都市整備部</v>
      </c>
      <c r="R1605" s="7" t="str">
        <f t="shared" si="534"/>
        <v>住宅建築局住宅経営室</v>
      </c>
    </row>
    <row r="1606" spans="1:18" s="1" customFormat="1" x14ac:dyDescent="0.45">
      <c r="A1606" s="7" t="str">
        <f t="shared" si="549"/>
        <v>09940003085</v>
      </c>
      <c r="B1606" s="7" t="str">
        <f t="shared" si="550"/>
        <v>富田林板持</v>
      </c>
      <c r="C1606" s="7" t="str">
        <f t="shared" si="535"/>
        <v>行政財産</v>
      </c>
      <c r="D1606" s="7" t="str">
        <f t="shared" si="536"/>
        <v>公営住宅</v>
      </c>
      <c r="E1606" s="7" t="str">
        <f t="shared" si="551"/>
        <v>大阪府富田林市西板持町２丁目</v>
      </c>
      <c r="F1606" s="7"/>
      <c r="G1606" s="7" t="str">
        <f t="shared" si="533"/>
        <v>事業用資産</v>
      </c>
      <c r="H1606" s="7" t="str">
        <f t="shared" si="552"/>
        <v>棚卸以外</v>
      </c>
      <c r="I1606" s="7">
        <v>8</v>
      </c>
      <c r="J1606" s="7" t="str">
        <f>"５号棟"</f>
        <v>５号棟</v>
      </c>
      <c r="K1606" s="7" t="str">
        <f t="shared" si="545"/>
        <v>鉄筋コンクリート造</v>
      </c>
      <c r="L1606" s="7" t="str">
        <f>"H02.11.28"</f>
        <v>H02.11.28</v>
      </c>
      <c r="M1606" s="7">
        <v>1134.49</v>
      </c>
      <c r="N1606" s="7">
        <v>147808000</v>
      </c>
      <c r="O1606" s="7">
        <v>101683548</v>
      </c>
      <c r="P1606" s="7">
        <v>0</v>
      </c>
      <c r="Q1606" s="7" t="str">
        <f t="shared" si="537"/>
        <v>都市整備部</v>
      </c>
      <c r="R1606" s="7" t="str">
        <f t="shared" si="534"/>
        <v>住宅建築局住宅経営室</v>
      </c>
    </row>
    <row r="1607" spans="1:18" s="1" customFormat="1" x14ac:dyDescent="0.45">
      <c r="A1607" s="7" t="str">
        <f t="shared" si="549"/>
        <v>09940003085</v>
      </c>
      <c r="B1607" s="7" t="str">
        <f t="shared" si="550"/>
        <v>富田林板持</v>
      </c>
      <c r="C1607" s="7" t="str">
        <f t="shared" si="535"/>
        <v>行政財産</v>
      </c>
      <c r="D1607" s="7" t="str">
        <f t="shared" si="536"/>
        <v>公営住宅</v>
      </c>
      <c r="E1607" s="7" t="str">
        <f t="shared" si="551"/>
        <v>大阪府富田林市西板持町２丁目</v>
      </c>
      <c r="F1607" s="7"/>
      <c r="G1607" s="7" t="str">
        <f t="shared" si="533"/>
        <v>事業用資産</v>
      </c>
      <c r="H1607" s="7" t="str">
        <f t="shared" si="552"/>
        <v>棚卸以外</v>
      </c>
      <c r="I1607" s="7">
        <v>9</v>
      </c>
      <c r="J1607" s="7" t="str">
        <f>"７号棟"</f>
        <v>７号棟</v>
      </c>
      <c r="K1607" s="7" t="str">
        <f t="shared" si="545"/>
        <v>鉄筋コンクリート造</v>
      </c>
      <c r="L1607" s="7" t="str">
        <f>"H02.11.28"</f>
        <v>H02.11.28</v>
      </c>
      <c r="M1607" s="7">
        <v>1134.49</v>
      </c>
      <c r="N1607" s="7">
        <v>143261000</v>
      </c>
      <c r="O1607" s="7">
        <v>98555492</v>
      </c>
      <c r="P1607" s="7">
        <v>0</v>
      </c>
      <c r="Q1607" s="7" t="str">
        <f t="shared" si="537"/>
        <v>都市整備部</v>
      </c>
      <c r="R1607" s="7" t="str">
        <f t="shared" si="534"/>
        <v>住宅建築局住宅経営室</v>
      </c>
    </row>
    <row r="1608" spans="1:18" s="1" customFormat="1" x14ac:dyDescent="0.45">
      <c r="A1608" s="7" t="str">
        <f t="shared" si="549"/>
        <v>09940003085</v>
      </c>
      <c r="B1608" s="7" t="str">
        <f t="shared" si="550"/>
        <v>富田林板持</v>
      </c>
      <c r="C1608" s="7" t="str">
        <f t="shared" si="535"/>
        <v>行政財産</v>
      </c>
      <c r="D1608" s="7" t="str">
        <f t="shared" si="536"/>
        <v>公営住宅</v>
      </c>
      <c r="E1608" s="7" t="str">
        <f t="shared" si="551"/>
        <v>大阪府富田林市西板持町２丁目</v>
      </c>
      <c r="F1608" s="7"/>
      <c r="G1608" s="7" t="str">
        <f t="shared" si="533"/>
        <v>事業用資産</v>
      </c>
      <c r="H1608" s="7" t="str">
        <f t="shared" si="552"/>
        <v>棚卸以外</v>
      </c>
      <c r="I1608" s="7">
        <v>10</v>
      </c>
      <c r="J1608" s="7" t="str">
        <f>"８号棟"</f>
        <v>８号棟</v>
      </c>
      <c r="K1608" s="7" t="str">
        <f t="shared" si="545"/>
        <v>鉄筋コンクリート造</v>
      </c>
      <c r="L1608" s="7" t="str">
        <f>"H02.11.28"</f>
        <v>H02.11.28</v>
      </c>
      <c r="M1608" s="7">
        <v>1134.49</v>
      </c>
      <c r="N1608" s="7">
        <v>144066000</v>
      </c>
      <c r="O1608" s="7">
        <v>99109556</v>
      </c>
      <c r="P1608" s="7">
        <v>0</v>
      </c>
      <c r="Q1608" s="7" t="str">
        <f t="shared" si="537"/>
        <v>都市整備部</v>
      </c>
      <c r="R1608" s="7" t="str">
        <f t="shared" si="534"/>
        <v>住宅建築局住宅経営室</v>
      </c>
    </row>
    <row r="1609" spans="1:18" s="1" customFormat="1" x14ac:dyDescent="0.45">
      <c r="A1609" s="7" t="str">
        <f t="shared" si="549"/>
        <v>09940003085</v>
      </c>
      <c r="B1609" s="7" t="str">
        <f t="shared" si="550"/>
        <v>富田林板持</v>
      </c>
      <c r="C1609" s="7" t="str">
        <f t="shared" si="535"/>
        <v>行政財産</v>
      </c>
      <c r="D1609" s="7" t="str">
        <f t="shared" si="536"/>
        <v>公営住宅</v>
      </c>
      <c r="E1609" s="7" t="str">
        <f t="shared" si="551"/>
        <v>大阪府富田林市西板持町２丁目</v>
      </c>
      <c r="F1609" s="7"/>
      <c r="G1609" s="7" t="str">
        <f t="shared" si="533"/>
        <v>事業用資産</v>
      </c>
      <c r="H1609" s="7" t="str">
        <f t="shared" si="552"/>
        <v>棚卸以外</v>
      </c>
      <c r="I1609" s="7">
        <v>11</v>
      </c>
      <c r="J1609" s="7" t="str">
        <f>"１号棟"</f>
        <v>１号棟</v>
      </c>
      <c r="K1609" s="7" t="str">
        <f t="shared" si="545"/>
        <v>鉄筋コンクリート造</v>
      </c>
      <c r="L1609" s="7" t="str">
        <f>"H03.02.26"</f>
        <v>H03.02.26</v>
      </c>
      <c r="M1609" s="7">
        <v>853.27</v>
      </c>
      <c r="N1609" s="7">
        <v>116159000</v>
      </c>
      <c r="O1609" s="7">
        <v>79293060</v>
      </c>
      <c r="P1609" s="7">
        <v>0</v>
      </c>
      <c r="Q1609" s="7" t="str">
        <f t="shared" si="537"/>
        <v>都市整備部</v>
      </c>
      <c r="R1609" s="7" t="str">
        <f t="shared" si="534"/>
        <v>住宅建築局住宅経営室</v>
      </c>
    </row>
    <row r="1610" spans="1:18" s="1" customFormat="1" x14ac:dyDescent="0.45">
      <c r="A1610" s="7" t="str">
        <f t="shared" si="549"/>
        <v>09940003085</v>
      </c>
      <c r="B1610" s="7" t="str">
        <f t="shared" si="550"/>
        <v>富田林板持</v>
      </c>
      <c r="C1610" s="7" t="str">
        <f t="shared" si="535"/>
        <v>行政財産</v>
      </c>
      <c r="D1610" s="7" t="str">
        <f t="shared" si="536"/>
        <v>公営住宅</v>
      </c>
      <c r="E1610" s="7" t="str">
        <f t="shared" si="551"/>
        <v>大阪府富田林市西板持町２丁目</v>
      </c>
      <c r="F1610" s="7"/>
      <c r="G1610" s="7" t="str">
        <f t="shared" si="533"/>
        <v>事業用資産</v>
      </c>
      <c r="H1610" s="7" t="str">
        <f t="shared" si="552"/>
        <v>棚卸以外</v>
      </c>
      <c r="I1610" s="7">
        <v>12</v>
      </c>
      <c r="J1610" s="7" t="str">
        <f>"３号棟"</f>
        <v>３号棟</v>
      </c>
      <c r="K1610" s="7" t="str">
        <f t="shared" si="545"/>
        <v>鉄筋コンクリート造</v>
      </c>
      <c r="L1610" s="7" t="str">
        <f>"H03.02.26"</f>
        <v>H03.02.26</v>
      </c>
      <c r="M1610" s="7">
        <v>853.27</v>
      </c>
      <c r="N1610" s="7">
        <v>115454000</v>
      </c>
      <c r="O1610" s="7">
        <v>78811810</v>
      </c>
      <c r="P1610" s="7">
        <v>0</v>
      </c>
      <c r="Q1610" s="7" t="str">
        <f t="shared" si="537"/>
        <v>都市整備部</v>
      </c>
      <c r="R1610" s="7" t="str">
        <f t="shared" si="534"/>
        <v>住宅建築局住宅経営室</v>
      </c>
    </row>
    <row r="1611" spans="1:18" s="1" customFormat="1" x14ac:dyDescent="0.45">
      <c r="A1611" s="7" t="str">
        <f t="shared" si="549"/>
        <v>09940003085</v>
      </c>
      <c r="B1611" s="7" t="str">
        <f t="shared" si="550"/>
        <v>富田林板持</v>
      </c>
      <c r="C1611" s="7" t="str">
        <f t="shared" si="535"/>
        <v>行政財産</v>
      </c>
      <c r="D1611" s="7" t="str">
        <f t="shared" si="536"/>
        <v>公営住宅</v>
      </c>
      <c r="E1611" s="7" t="str">
        <f t="shared" si="551"/>
        <v>大阪府富田林市西板持町２丁目</v>
      </c>
      <c r="F1611" s="7"/>
      <c r="G1611" s="7" t="str">
        <f t="shared" si="533"/>
        <v>事業用資産</v>
      </c>
      <c r="H1611" s="7" t="str">
        <f t="shared" si="552"/>
        <v>棚卸以外</v>
      </c>
      <c r="I1611" s="7">
        <v>13</v>
      </c>
      <c r="J1611" s="7" t="str">
        <f>"集会所"</f>
        <v>集会所</v>
      </c>
      <c r="K1611" s="7" t="str">
        <f t="shared" si="545"/>
        <v>鉄筋コンクリート造</v>
      </c>
      <c r="L1611" s="7" t="str">
        <f>"H03.02.26"</f>
        <v>H03.02.26</v>
      </c>
      <c r="M1611" s="7">
        <v>149.53</v>
      </c>
      <c r="N1611" s="7">
        <v>34111000</v>
      </c>
      <c r="O1611" s="7">
        <v>23285185</v>
      </c>
      <c r="P1611" s="7">
        <v>0</v>
      </c>
      <c r="Q1611" s="7" t="str">
        <f t="shared" si="537"/>
        <v>都市整備部</v>
      </c>
      <c r="R1611" s="7" t="str">
        <f t="shared" si="534"/>
        <v>住宅建築局住宅経営室</v>
      </c>
    </row>
    <row r="1612" spans="1:18" s="1" customFormat="1" x14ac:dyDescent="0.45">
      <c r="A1612" s="7" t="str">
        <f t="shared" si="549"/>
        <v>09940003085</v>
      </c>
      <c r="B1612" s="7" t="str">
        <f t="shared" si="550"/>
        <v>富田林板持</v>
      </c>
      <c r="C1612" s="7" t="str">
        <f t="shared" si="535"/>
        <v>行政財産</v>
      </c>
      <c r="D1612" s="7" t="str">
        <f t="shared" si="536"/>
        <v>公営住宅</v>
      </c>
      <c r="E1612" s="7" t="str">
        <f t="shared" si="551"/>
        <v>大阪府富田林市西板持町２丁目</v>
      </c>
      <c r="F1612" s="7"/>
      <c r="G1612" s="7" t="str">
        <f t="shared" si="533"/>
        <v>事業用資産</v>
      </c>
      <c r="H1612" s="7" t="str">
        <f t="shared" si="552"/>
        <v>棚卸以外</v>
      </c>
      <c r="I1612" s="7">
        <v>14</v>
      </c>
      <c r="J1612" s="7" t="str">
        <f>"１３号棟"</f>
        <v>１３号棟</v>
      </c>
      <c r="K1612" s="7" t="str">
        <f t="shared" ref="K1612:K1618" si="553">"鉄筋"</f>
        <v>鉄筋</v>
      </c>
      <c r="L1612" s="7" t="str">
        <f t="shared" ref="L1612:L1618" si="554">"H04.08.05"</f>
        <v>H04.08.05</v>
      </c>
      <c r="M1612" s="7">
        <v>2218.64</v>
      </c>
      <c r="N1612" s="7">
        <v>348764000</v>
      </c>
      <c r="O1612" s="7">
        <v>226943992</v>
      </c>
      <c r="P1612" s="7">
        <v>0</v>
      </c>
      <c r="Q1612" s="7" t="str">
        <f t="shared" si="537"/>
        <v>都市整備部</v>
      </c>
      <c r="R1612" s="7" t="str">
        <f t="shared" si="534"/>
        <v>住宅建築局住宅経営室</v>
      </c>
    </row>
    <row r="1613" spans="1:18" s="1" customFormat="1" x14ac:dyDescent="0.45">
      <c r="A1613" s="7" t="str">
        <f t="shared" si="549"/>
        <v>09940003085</v>
      </c>
      <c r="B1613" s="7" t="str">
        <f t="shared" si="550"/>
        <v>富田林板持</v>
      </c>
      <c r="C1613" s="7" t="str">
        <f t="shared" si="535"/>
        <v>行政財産</v>
      </c>
      <c r="D1613" s="7" t="str">
        <f t="shared" si="536"/>
        <v>公営住宅</v>
      </c>
      <c r="E1613" s="7" t="str">
        <f t="shared" si="551"/>
        <v>大阪府富田林市西板持町２丁目</v>
      </c>
      <c r="F1613" s="7"/>
      <c r="G1613" s="7" t="str">
        <f t="shared" si="533"/>
        <v>事業用資産</v>
      </c>
      <c r="H1613" s="7" t="str">
        <f t="shared" si="552"/>
        <v>棚卸以外</v>
      </c>
      <c r="I1613" s="7">
        <v>15</v>
      </c>
      <c r="J1613" s="7" t="str">
        <f>"１４号棟"</f>
        <v>１４号棟</v>
      </c>
      <c r="K1613" s="7" t="str">
        <f t="shared" si="553"/>
        <v>鉄筋</v>
      </c>
      <c r="L1613" s="7" t="str">
        <f t="shared" si="554"/>
        <v>H04.08.05</v>
      </c>
      <c r="M1613" s="7">
        <v>2077.08</v>
      </c>
      <c r="N1613" s="7">
        <v>336461000</v>
      </c>
      <c r="O1613" s="7">
        <v>218938621</v>
      </c>
      <c r="P1613" s="7">
        <v>0</v>
      </c>
      <c r="Q1613" s="7" t="str">
        <f t="shared" si="537"/>
        <v>都市整備部</v>
      </c>
      <c r="R1613" s="7" t="str">
        <f t="shared" si="534"/>
        <v>住宅建築局住宅経営室</v>
      </c>
    </row>
    <row r="1614" spans="1:18" s="1" customFormat="1" x14ac:dyDescent="0.45">
      <c r="A1614" s="7" t="str">
        <f t="shared" si="549"/>
        <v>09940003085</v>
      </c>
      <c r="B1614" s="7" t="str">
        <f t="shared" si="550"/>
        <v>富田林板持</v>
      </c>
      <c r="C1614" s="7" t="str">
        <f t="shared" si="535"/>
        <v>行政財産</v>
      </c>
      <c r="D1614" s="7" t="str">
        <f t="shared" si="536"/>
        <v>公営住宅</v>
      </c>
      <c r="E1614" s="7" t="str">
        <f t="shared" si="551"/>
        <v>大阪府富田林市西板持町２丁目</v>
      </c>
      <c r="F1614" s="7"/>
      <c r="G1614" s="7" t="str">
        <f t="shared" si="533"/>
        <v>事業用資産</v>
      </c>
      <c r="H1614" s="7" t="str">
        <f t="shared" si="552"/>
        <v>棚卸以外</v>
      </c>
      <c r="I1614" s="7">
        <v>16</v>
      </c>
      <c r="J1614" s="7" t="str">
        <f>"１５号棟"</f>
        <v>１５号棟</v>
      </c>
      <c r="K1614" s="7" t="str">
        <f t="shared" si="553"/>
        <v>鉄筋</v>
      </c>
      <c r="L1614" s="7" t="str">
        <f t="shared" si="554"/>
        <v>H04.08.05</v>
      </c>
      <c r="M1614" s="7">
        <v>1749.02</v>
      </c>
      <c r="N1614" s="7">
        <v>280076000</v>
      </c>
      <c r="O1614" s="7">
        <v>182248163</v>
      </c>
      <c r="P1614" s="7">
        <v>0</v>
      </c>
      <c r="Q1614" s="7" t="str">
        <f t="shared" si="537"/>
        <v>都市整備部</v>
      </c>
      <c r="R1614" s="7" t="str">
        <f t="shared" si="534"/>
        <v>住宅建築局住宅経営室</v>
      </c>
    </row>
    <row r="1615" spans="1:18" s="1" customFormat="1" x14ac:dyDescent="0.45">
      <c r="A1615" s="7" t="str">
        <f t="shared" si="549"/>
        <v>09940003085</v>
      </c>
      <c r="B1615" s="7" t="str">
        <f t="shared" si="550"/>
        <v>富田林板持</v>
      </c>
      <c r="C1615" s="7" t="str">
        <f t="shared" si="535"/>
        <v>行政財産</v>
      </c>
      <c r="D1615" s="7" t="str">
        <f t="shared" si="536"/>
        <v>公営住宅</v>
      </c>
      <c r="E1615" s="7" t="str">
        <f t="shared" si="551"/>
        <v>大阪府富田林市西板持町２丁目</v>
      </c>
      <c r="F1615" s="7"/>
      <c r="G1615" s="7" t="str">
        <f t="shared" si="533"/>
        <v>事業用資産</v>
      </c>
      <c r="H1615" s="7" t="str">
        <f t="shared" si="552"/>
        <v>棚卸以外</v>
      </c>
      <c r="I1615" s="7">
        <v>17</v>
      </c>
      <c r="J1615" s="7" t="str">
        <f>"１６号棟"</f>
        <v>１６号棟</v>
      </c>
      <c r="K1615" s="7" t="str">
        <f t="shared" si="553"/>
        <v>鉄筋</v>
      </c>
      <c r="L1615" s="7" t="str">
        <f t="shared" si="554"/>
        <v>H04.08.05</v>
      </c>
      <c r="M1615" s="7">
        <v>1749.02</v>
      </c>
      <c r="N1615" s="7">
        <v>282658000</v>
      </c>
      <c r="O1615" s="7">
        <v>183928289</v>
      </c>
      <c r="P1615" s="7">
        <v>0</v>
      </c>
      <c r="Q1615" s="7" t="str">
        <f t="shared" si="537"/>
        <v>都市整備部</v>
      </c>
      <c r="R1615" s="7" t="str">
        <f t="shared" si="534"/>
        <v>住宅建築局住宅経営室</v>
      </c>
    </row>
    <row r="1616" spans="1:18" s="1" customFormat="1" x14ac:dyDescent="0.45">
      <c r="A1616" s="7" t="str">
        <f t="shared" si="549"/>
        <v>09940003085</v>
      </c>
      <c r="B1616" s="7" t="str">
        <f t="shared" si="550"/>
        <v>富田林板持</v>
      </c>
      <c r="C1616" s="7" t="str">
        <f t="shared" si="535"/>
        <v>行政財産</v>
      </c>
      <c r="D1616" s="7" t="str">
        <f t="shared" si="536"/>
        <v>公営住宅</v>
      </c>
      <c r="E1616" s="7" t="str">
        <f t="shared" si="551"/>
        <v>大阪府富田林市西板持町２丁目</v>
      </c>
      <c r="F1616" s="7"/>
      <c r="G1616" s="7" t="str">
        <f t="shared" si="533"/>
        <v>事業用資産</v>
      </c>
      <c r="H1616" s="7" t="str">
        <f t="shared" si="552"/>
        <v>棚卸以外</v>
      </c>
      <c r="I1616" s="7">
        <v>18</v>
      </c>
      <c r="J1616" s="7" t="str">
        <f>"１７号棟"</f>
        <v>１７号棟</v>
      </c>
      <c r="K1616" s="7" t="str">
        <f t="shared" si="553"/>
        <v>鉄筋</v>
      </c>
      <c r="L1616" s="7" t="str">
        <f t="shared" si="554"/>
        <v>H04.08.05</v>
      </c>
      <c r="M1616" s="7">
        <v>1356.02</v>
      </c>
      <c r="N1616" s="7">
        <v>237410000</v>
      </c>
      <c r="O1616" s="7">
        <v>154484980</v>
      </c>
      <c r="P1616" s="7">
        <v>0</v>
      </c>
      <c r="Q1616" s="7" t="str">
        <f t="shared" si="537"/>
        <v>都市整備部</v>
      </c>
      <c r="R1616" s="7" t="str">
        <f t="shared" si="534"/>
        <v>住宅建築局住宅経営室</v>
      </c>
    </row>
    <row r="1617" spans="1:18" s="1" customFormat="1" x14ac:dyDescent="0.45">
      <c r="A1617" s="7" t="str">
        <f t="shared" si="549"/>
        <v>09940003085</v>
      </c>
      <c r="B1617" s="7" t="str">
        <f t="shared" si="550"/>
        <v>富田林板持</v>
      </c>
      <c r="C1617" s="7" t="str">
        <f t="shared" si="535"/>
        <v>行政財産</v>
      </c>
      <c r="D1617" s="7" t="str">
        <f t="shared" si="536"/>
        <v>公営住宅</v>
      </c>
      <c r="E1617" s="7" t="str">
        <f t="shared" si="551"/>
        <v>大阪府富田林市西板持町２丁目</v>
      </c>
      <c r="F1617" s="7"/>
      <c r="G1617" s="7" t="str">
        <f t="shared" si="533"/>
        <v>事業用資産</v>
      </c>
      <c r="H1617" s="7" t="str">
        <f t="shared" si="552"/>
        <v>棚卸以外</v>
      </c>
      <c r="I1617" s="7">
        <v>19</v>
      </c>
      <c r="J1617" s="7" t="str">
        <f>"１８号棟"</f>
        <v>１８号棟</v>
      </c>
      <c r="K1617" s="7" t="str">
        <f t="shared" si="553"/>
        <v>鉄筋</v>
      </c>
      <c r="L1617" s="7" t="str">
        <f t="shared" si="554"/>
        <v>H04.08.05</v>
      </c>
      <c r="M1617" s="7">
        <v>1326.39</v>
      </c>
      <c r="N1617" s="7">
        <v>216858000</v>
      </c>
      <c r="O1617" s="7">
        <v>141111500</v>
      </c>
      <c r="P1617" s="7">
        <v>0</v>
      </c>
      <c r="Q1617" s="7" t="str">
        <f t="shared" si="537"/>
        <v>都市整備部</v>
      </c>
      <c r="R1617" s="7" t="str">
        <f t="shared" si="534"/>
        <v>住宅建築局住宅経営室</v>
      </c>
    </row>
    <row r="1618" spans="1:18" s="1" customFormat="1" x14ac:dyDescent="0.45">
      <c r="A1618" s="7" t="str">
        <f t="shared" si="549"/>
        <v>09940003085</v>
      </c>
      <c r="B1618" s="7" t="str">
        <f t="shared" si="550"/>
        <v>富田林板持</v>
      </c>
      <c r="C1618" s="7" t="str">
        <f t="shared" si="535"/>
        <v>行政財産</v>
      </c>
      <c r="D1618" s="7" t="str">
        <f t="shared" si="536"/>
        <v>公営住宅</v>
      </c>
      <c r="E1618" s="7" t="str">
        <f t="shared" si="551"/>
        <v>大阪府富田林市西板持町２丁目</v>
      </c>
      <c r="F1618" s="7"/>
      <c r="G1618" s="7" t="str">
        <f t="shared" si="533"/>
        <v>事業用資産</v>
      </c>
      <c r="H1618" s="7" t="str">
        <f t="shared" si="552"/>
        <v>棚卸以外</v>
      </c>
      <c r="I1618" s="7">
        <v>20</v>
      </c>
      <c r="J1618" s="7" t="str">
        <f>"１９号棟"</f>
        <v>１９号棟</v>
      </c>
      <c r="K1618" s="7" t="str">
        <f t="shared" si="553"/>
        <v>鉄筋</v>
      </c>
      <c r="L1618" s="7" t="str">
        <f t="shared" si="554"/>
        <v>H04.08.05</v>
      </c>
      <c r="M1618" s="7">
        <v>1323.94</v>
      </c>
      <c r="N1618" s="7">
        <v>216572000</v>
      </c>
      <c r="O1618" s="7">
        <v>140925431</v>
      </c>
      <c r="P1618" s="7">
        <v>0</v>
      </c>
      <c r="Q1618" s="7" t="str">
        <f t="shared" si="537"/>
        <v>都市整備部</v>
      </c>
      <c r="R1618" s="7" t="str">
        <f t="shared" si="534"/>
        <v>住宅建築局住宅経営室</v>
      </c>
    </row>
    <row r="1619" spans="1:18" s="1" customFormat="1" x14ac:dyDescent="0.45">
      <c r="A1619" s="7" t="str">
        <f t="shared" si="549"/>
        <v>09940003085</v>
      </c>
      <c r="B1619" s="7" t="str">
        <f t="shared" si="550"/>
        <v>富田林板持</v>
      </c>
      <c r="C1619" s="7" t="str">
        <f t="shared" si="535"/>
        <v>行政財産</v>
      </c>
      <c r="D1619" s="7" t="str">
        <f t="shared" si="536"/>
        <v>公営住宅</v>
      </c>
      <c r="E1619" s="7" t="str">
        <f t="shared" si="551"/>
        <v>大阪府富田林市西板持町２丁目</v>
      </c>
      <c r="F1619" s="7"/>
      <c r="G1619" s="7" t="str">
        <f t="shared" si="533"/>
        <v>事業用資産</v>
      </c>
      <c r="H1619" s="7" t="str">
        <f t="shared" si="552"/>
        <v>棚卸以外</v>
      </c>
      <c r="I1619" s="7">
        <v>21</v>
      </c>
      <c r="J1619" s="7" t="str">
        <f>"２号棟"</f>
        <v>２号棟</v>
      </c>
      <c r="K1619" s="7" t="str">
        <f t="shared" ref="K1619:K1641" si="555">"鉄筋コンクリート造"</f>
        <v>鉄筋コンクリート造</v>
      </c>
      <c r="L1619" s="7" t="str">
        <f>"H03.02.26"</f>
        <v>H03.02.26</v>
      </c>
      <c r="M1619" s="7">
        <v>778.1</v>
      </c>
      <c r="N1619" s="7">
        <v>111772000</v>
      </c>
      <c r="O1619" s="7">
        <v>76298530</v>
      </c>
      <c r="P1619" s="7">
        <v>0</v>
      </c>
      <c r="Q1619" s="7" t="str">
        <f t="shared" si="537"/>
        <v>都市整備部</v>
      </c>
      <c r="R1619" s="7" t="str">
        <f t="shared" si="534"/>
        <v>住宅建築局住宅経営室</v>
      </c>
    </row>
    <row r="1620" spans="1:18" s="1" customFormat="1" x14ac:dyDescent="0.45">
      <c r="A1620" s="7" t="str">
        <f t="shared" ref="A1620:A1626" si="556">"09940003089"</f>
        <v>09940003089</v>
      </c>
      <c r="B1620" s="7" t="str">
        <f t="shared" ref="B1620:B1626" si="557">"東大阪新上小阪（旧上小阪）"</f>
        <v>東大阪新上小阪（旧上小阪）</v>
      </c>
      <c r="C1620" s="7" t="str">
        <f t="shared" si="535"/>
        <v>行政財産</v>
      </c>
      <c r="D1620" s="7" t="str">
        <f t="shared" si="536"/>
        <v>公営住宅</v>
      </c>
      <c r="E1620" s="7" t="str">
        <f t="shared" ref="E1620:E1626" si="558">"大阪府東大阪市新上小阪"</f>
        <v>大阪府東大阪市新上小阪</v>
      </c>
      <c r="F1620" s="7"/>
      <c r="G1620" s="7" t="str">
        <f t="shared" si="533"/>
        <v>事業用資産</v>
      </c>
      <c r="H1620" s="7" t="str">
        <f t="shared" si="552"/>
        <v>棚卸以外</v>
      </c>
      <c r="I1620" s="7">
        <v>3</v>
      </c>
      <c r="J1620" s="7" t="str">
        <f>"１号棟"</f>
        <v>１号棟</v>
      </c>
      <c r="K1620" s="7" t="str">
        <f t="shared" si="555"/>
        <v>鉄筋コンクリート造</v>
      </c>
      <c r="L1620" s="7" t="str">
        <f>"H16.05.28"</f>
        <v>H16.05.28</v>
      </c>
      <c r="M1620" s="7">
        <v>11443.56</v>
      </c>
      <c r="N1620" s="7">
        <v>1960806231</v>
      </c>
      <c r="O1620" s="7">
        <v>784847825</v>
      </c>
      <c r="P1620" s="7">
        <v>0</v>
      </c>
      <c r="Q1620" s="7" t="str">
        <f t="shared" si="537"/>
        <v>都市整備部</v>
      </c>
      <c r="R1620" s="7" t="str">
        <f t="shared" si="534"/>
        <v>住宅建築局住宅経営室</v>
      </c>
    </row>
    <row r="1621" spans="1:18" s="1" customFormat="1" x14ac:dyDescent="0.45">
      <c r="A1621" s="7" t="str">
        <f t="shared" si="556"/>
        <v>09940003089</v>
      </c>
      <c r="B1621" s="7" t="str">
        <f t="shared" si="557"/>
        <v>東大阪新上小阪（旧上小阪）</v>
      </c>
      <c r="C1621" s="7" t="str">
        <f t="shared" si="535"/>
        <v>行政財産</v>
      </c>
      <c r="D1621" s="7" t="str">
        <f t="shared" si="536"/>
        <v>公営住宅</v>
      </c>
      <c r="E1621" s="7" t="str">
        <f t="shared" si="558"/>
        <v>大阪府東大阪市新上小阪</v>
      </c>
      <c r="F1621" s="7"/>
      <c r="G1621" s="7" t="str">
        <f t="shared" si="533"/>
        <v>事業用資産</v>
      </c>
      <c r="H1621" s="7" t="str">
        <f t="shared" si="552"/>
        <v>棚卸以外</v>
      </c>
      <c r="I1621" s="7">
        <v>4</v>
      </c>
      <c r="J1621" s="7" t="str">
        <f>"集会所"</f>
        <v>集会所</v>
      </c>
      <c r="K1621" s="7" t="str">
        <f t="shared" si="555"/>
        <v>鉄筋コンクリート造</v>
      </c>
      <c r="L1621" s="7" t="str">
        <f>"H16.05.28"</f>
        <v>H16.05.28</v>
      </c>
      <c r="M1621" s="7">
        <v>199.83</v>
      </c>
      <c r="N1621" s="7">
        <v>54396000</v>
      </c>
      <c r="O1621" s="7">
        <v>21797022</v>
      </c>
      <c r="P1621" s="7">
        <v>0</v>
      </c>
      <c r="Q1621" s="7" t="str">
        <f t="shared" si="537"/>
        <v>都市整備部</v>
      </c>
      <c r="R1621" s="7" t="str">
        <f t="shared" si="534"/>
        <v>住宅建築局住宅経営室</v>
      </c>
    </row>
    <row r="1622" spans="1:18" s="1" customFormat="1" x14ac:dyDescent="0.45">
      <c r="A1622" s="7" t="str">
        <f t="shared" si="556"/>
        <v>09940003089</v>
      </c>
      <c r="B1622" s="7" t="str">
        <f t="shared" si="557"/>
        <v>東大阪新上小阪（旧上小阪）</v>
      </c>
      <c r="C1622" s="7" t="str">
        <f t="shared" si="535"/>
        <v>行政財産</v>
      </c>
      <c r="D1622" s="7" t="str">
        <f t="shared" si="536"/>
        <v>公営住宅</v>
      </c>
      <c r="E1622" s="7" t="str">
        <f t="shared" si="558"/>
        <v>大阪府東大阪市新上小阪</v>
      </c>
      <c r="F1622" s="7"/>
      <c r="G1622" s="7" t="str">
        <f t="shared" si="533"/>
        <v>事業用資産</v>
      </c>
      <c r="H1622" s="7" t="str">
        <f t="shared" si="552"/>
        <v>棚卸以外</v>
      </c>
      <c r="I1622" s="7">
        <v>5</v>
      </c>
      <c r="J1622" s="7" t="str">
        <f>"ポンプ室・電気室"</f>
        <v>ポンプ室・電気室</v>
      </c>
      <c r="K1622" s="7" t="str">
        <f t="shared" si="555"/>
        <v>鉄筋コンクリート造</v>
      </c>
      <c r="L1622" s="7" t="str">
        <f>"H16.05.28"</f>
        <v>H16.05.28</v>
      </c>
      <c r="M1622" s="7">
        <v>120.12</v>
      </c>
      <c r="N1622" s="7">
        <v>30841000</v>
      </c>
      <c r="O1622" s="7">
        <v>12358358</v>
      </c>
      <c r="P1622" s="7">
        <v>0</v>
      </c>
      <c r="Q1622" s="7" t="str">
        <f t="shared" si="537"/>
        <v>都市整備部</v>
      </c>
      <c r="R1622" s="7" t="str">
        <f t="shared" si="534"/>
        <v>住宅建築局住宅経営室</v>
      </c>
    </row>
    <row r="1623" spans="1:18" s="1" customFormat="1" x14ac:dyDescent="0.45">
      <c r="A1623" s="7" t="str">
        <f t="shared" si="556"/>
        <v>09940003089</v>
      </c>
      <c r="B1623" s="7" t="str">
        <f t="shared" si="557"/>
        <v>東大阪新上小阪（旧上小阪）</v>
      </c>
      <c r="C1623" s="7" t="str">
        <f t="shared" si="535"/>
        <v>行政財産</v>
      </c>
      <c r="D1623" s="7" t="str">
        <f t="shared" si="536"/>
        <v>公営住宅</v>
      </c>
      <c r="E1623" s="7" t="str">
        <f t="shared" si="558"/>
        <v>大阪府東大阪市新上小阪</v>
      </c>
      <c r="F1623" s="7"/>
      <c r="G1623" s="7" t="str">
        <f t="shared" ref="G1623:G1686" si="559">"事業用資産"</f>
        <v>事業用資産</v>
      </c>
      <c r="H1623" s="7" t="str">
        <f t="shared" si="552"/>
        <v>棚卸以外</v>
      </c>
      <c r="I1623" s="7">
        <v>6</v>
      </c>
      <c r="J1623" s="7" t="str">
        <f>"２号棟"</f>
        <v>２号棟</v>
      </c>
      <c r="K1623" s="7" t="str">
        <f t="shared" si="555"/>
        <v>鉄筋コンクリート造</v>
      </c>
      <c r="L1623" s="7" t="str">
        <f>"H20.02.29"</f>
        <v>H20.02.29</v>
      </c>
      <c r="M1623" s="7">
        <v>7170.52</v>
      </c>
      <c r="N1623" s="7">
        <v>855917803</v>
      </c>
      <c r="O1623" s="7">
        <v>274403043</v>
      </c>
      <c r="P1623" s="7">
        <v>0</v>
      </c>
      <c r="Q1623" s="7" t="str">
        <f t="shared" si="537"/>
        <v>都市整備部</v>
      </c>
      <c r="R1623" s="7" t="str">
        <f t="shared" si="534"/>
        <v>住宅建築局住宅経営室</v>
      </c>
    </row>
    <row r="1624" spans="1:18" s="1" customFormat="1" x14ac:dyDescent="0.45">
      <c r="A1624" s="7" t="str">
        <f t="shared" si="556"/>
        <v>09940003089</v>
      </c>
      <c r="B1624" s="7" t="str">
        <f t="shared" si="557"/>
        <v>東大阪新上小阪（旧上小阪）</v>
      </c>
      <c r="C1624" s="7" t="str">
        <f t="shared" si="535"/>
        <v>行政財産</v>
      </c>
      <c r="D1624" s="7" t="str">
        <f t="shared" si="536"/>
        <v>公営住宅</v>
      </c>
      <c r="E1624" s="7" t="str">
        <f t="shared" si="558"/>
        <v>大阪府東大阪市新上小阪</v>
      </c>
      <c r="F1624" s="7"/>
      <c r="G1624" s="7" t="str">
        <f t="shared" si="559"/>
        <v>事業用資産</v>
      </c>
      <c r="H1624" s="7" t="str">
        <f t="shared" si="552"/>
        <v>棚卸以外</v>
      </c>
      <c r="I1624" s="7">
        <v>7</v>
      </c>
      <c r="J1624" s="7" t="str">
        <f>"ポンプ室・電気室"</f>
        <v>ポンプ室・電気室</v>
      </c>
      <c r="K1624" s="7" t="str">
        <f t="shared" si="555"/>
        <v>鉄筋コンクリート造</v>
      </c>
      <c r="L1624" s="7" t="str">
        <f>"H20.02.29"</f>
        <v>H20.02.29</v>
      </c>
      <c r="M1624" s="7">
        <v>79.8</v>
      </c>
      <c r="N1624" s="7">
        <v>22581000</v>
      </c>
      <c r="O1624" s="7">
        <v>7246878</v>
      </c>
      <c r="P1624" s="7">
        <v>0</v>
      </c>
      <c r="Q1624" s="7" t="str">
        <f t="shared" si="537"/>
        <v>都市整備部</v>
      </c>
      <c r="R1624" s="7" t="str">
        <f t="shared" ref="R1624:R1687" si="560">"住宅建築局住宅経営室"</f>
        <v>住宅建築局住宅経営室</v>
      </c>
    </row>
    <row r="1625" spans="1:18" s="1" customFormat="1" x14ac:dyDescent="0.45">
      <c r="A1625" s="7" t="str">
        <f t="shared" si="556"/>
        <v>09940003089</v>
      </c>
      <c r="B1625" s="7" t="str">
        <f t="shared" si="557"/>
        <v>東大阪新上小阪（旧上小阪）</v>
      </c>
      <c r="C1625" s="7" t="str">
        <f t="shared" si="535"/>
        <v>行政財産</v>
      </c>
      <c r="D1625" s="7" t="str">
        <f t="shared" si="536"/>
        <v>公営住宅</v>
      </c>
      <c r="E1625" s="7" t="str">
        <f t="shared" si="558"/>
        <v>大阪府東大阪市新上小阪</v>
      </c>
      <c r="F1625" s="7"/>
      <c r="G1625" s="7" t="str">
        <f t="shared" si="559"/>
        <v>事業用資産</v>
      </c>
      <c r="H1625" s="7" t="str">
        <f t="shared" si="552"/>
        <v>棚卸以外</v>
      </c>
      <c r="I1625" s="7">
        <v>8</v>
      </c>
      <c r="J1625" s="7" t="str">
        <f>"３号棟"</f>
        <v>３号棟</v>
      </c>
      <c r="K1625" s="7" t="str">
        <f t="shared" si="555"/>
        <v>鉄筋コンクリート造</v>
      </c>
      <c r="L1625" s="7" t="str">
        <f>"H23.01.14"</f>
        <v>H23.01.14</v>
      </c>
      <c r="M1625" s="7">
        <v>11271.91</v>
      </c>
      <c r="N1625" s="7">
        <v>1720216926</v>
      </c>
      <c r="O1625" s="7">
        <v>445006140</v>
      </c>
      <c r="P1625" s="7">
        <v>0</v>
      </c>
      <c r="Q1625" s="7" t="str">
        <f t="shared" si="537"/>
        <v>都市整備部</v>
      </c>
      <c r="R1625" s="7" t="str">
        <f t="shared" si="560"/>
        <v>住宅建築局住宅経営室</v>
      </c>
    </row>
    <row r="1626" spans="1:18" s="1" customFormat="1" x14ac:dyDescent="0.45">
      <c r="A1626" s="7" t="str">
        <f t="shared" si="556"/>
        <v>09940003089</v>
      </c>
      <c r="B1626" s="7" t="str">
        <f t="shared" si="557"/>
        <v>東大阪新上小阪（旧上小阪）</v>
      </c>
      <c r="C1626" s="7" t="str">
        <f t="shared" ref="C1626:C1689" si="561">"行政財産"</f>
        <v>行政財産</v>
      </c>
      <c r="D1626" s="7" t="str">
        <f t="shared" ref="D1626:D1689" si="562">"公営住宅"</f>
        <v>公営住宅</v>
      </c>
      <c r="E1626" s="7" t="str">
        <f t="shared" si="558"/>
        <v>大阪府東大阪市新上小阪</v>
      </c>
      <c r="F1626" s="7"/>
      <c r="G1626" s="7" t="str">
        <f t="shared" si="559"/>
        <v>事業用資産</v>
      </c>
      <c r="H1626" s="7" t="str">
        <f t="shared" si="552"/>
        <v>棚卸以外</v>
      </c>
      <c r="I1626" s="7">
        <v>9</v>
      </c>
      <c r="J1626" s="7" t="str">
        <f>"ポンプ室・電気室"</f>
        <v>ポンプ室・電気室</v>
      </c>
      <c r="K1626" s="7" t="str">
        <f t="shared" si="555"/>
        <v>鉄筋コンクリート造</v>
      </c>
      <c r="L1626" s="7" t="str">
        <f>"H23.01.14"</f>
        <v>H23.01.14</v>
      </c>
      <c r="M1626" s="7">
        <v>114</v>
      </c>
      <c r="N1626" s="7">
        <v>26991000</v>
      </c>
      <c r="O1626" s="7">
        <v>8641886</v>
      </c>
      <c r="P1626" s="7">
        <v>0</v>
      </c>
      <c r="Q1626" s="7" t="str">
        <f t="shared" si="537"/>
        <v>都市整備部</v>
      </c>
      <c r="R1626" s="7" t="str">
        <f t="shared" si="560"/>
        <v>住宅建築局住宅経営室</v>
      </c>
    </row>
    <row r="1627" spans="1:18" s="1" customFormat="1" x14ac:dyDescent="0.45">
      <c r="A1627" s="7" t="str">
        <f t="shared" ref="A1627:A1640" si="563">"09940003091"</f>
        <v>09940003091</v>
      </c>
      <c r="B1627" s="7" t="str">
        <f t="shared" ref="B1627:B1640" si="564">"富田林楠（旧富田林北大伴）"</f>
        <v>富田林楠（旧富田林北大伴）</v>
      </c>
      <c r="C1627" s="7" t="str">
        <f t="shared" si="561"/>
        <v>行政財産</v>
      </c>
      <c r="D1627" s="7" t="str">
        <f t="shared" si="562"/>
        <v>公営住宅</v>
      </c>
      <c r="E1627" s="7" t="str">
        <f t="shared" ref="E1627:E1640" si="565">"大阪府富田林市楠町"</f>
        <v>大阪府富田林市楠町</v>
      </c>
      <c r="F1627" s="7"/>
      <c r="G1627" s="7" t="str">
        <f t="shared" si="559"/>
        <v>事業用資産</v>
      </c>
      <c r="H1627" s="7" t="str">
        <f t="shared" si="552"/>
        <v>棚卸以外</v>
      </c>
      <c r="I1627" s="7">
        <v>1</v>
      </c>
      <c r="J1627" s="7" t="str">
        <f>"富田林北大伴住宅"</f>
        <v>富田林北大伴住宅</v>
      </c>
      <c r="K1627" s="7" t="str">
        <f t="shared" si="555"/>
        <v>鉄筋コンクリート造</v>
      </c>
      <c r="L1627" s="7" t="str">
        <f>"S39.05.18"</f>
        <v>S39.05.18</v>
      </c>
      <c r="M1627" s="7">
        <v>209.51</v>
      </c>
      <c r="N1627" s="7">
        <v>407429</v>
      </c>
      <c r="O1627" s="7">
        <v>407428</v>
      </c>
      <c r="P1627" s="7">
        <v>0</v>
      </c>
      <c r="Q1627" s="7" t="str">
        <f t="shared" ref="Q1627:Q1690" si="566">"都市整備部"</f>
        <v>都市整備部</v>
      </c>
      <c r="R1627" s="7" t="str">
        <f t="shared" si="560"/>
        <v>住宅建築局住宅経営室</v>
      </c>
    </row>
    <row r="1628" spans="1:18" s="1" customFormat="1" x14ac:dyDescent="0.45">
      <c r="A1628" s="7" t="str">
        <f t="shared" si="563"/>
        <v>09940003091</v>
      </c>
      <c r="B1628" s="7" t="str">
        <f t="shared" si="564"/>
        <v>富田林楠（旧富田林北大伴）</v>
      </c>
      <c r="C1628" s="7" t="str">
        <f t="shared" si="561"/>
        <v>行政財産</v>
      </c>
      <c r="D1628" s="7" t="str">
        <f t="shared" si="562"/>
        <v>公営住宅</v>
      </c>
      <c r="E1628" s="7" t="str">
        <f t="shared" si="565"/>
        <v>大阪府富田林市楠町</v>
      </c>
      <c r="F1628" s="7"/>
      <c r="G1628" s="7" t="str">
        <f t="shared" si="559"/>
        <v>事業用資産</v>
      </c>
      <c r="H1628" s="7" t="str">
        <f t="shared" si="552"/>
        <v>棚卸以外</v>
      </c>
      <c r="I1628" s="7">
        <v>2</v>
      </c>
      <c r="J1628" s="7" t="str">
        <f>"１号棟"</f>
        <v>１号棟</v>
      </c>
      <c r="K1628" s="7" t="str">
        <f t="shared" si="555"/>
        <v>鉄筋コンクリート造</v>
      </c>
      <c r="L1628" s="7" t="str">
        <f>"H18.05.30"</f>
        <v>H18.05.30</v>
      </c>
      <c r="M1628" s="7">
        <v>7875.77</v>
      </c>
      <c r="N1628" s="7">
        <v>1104978682</v>
      </c>
      <c r="O1628" s="7">
        <v>396885290</v>
      </c>
      <c r="P1628" s="7">
        <v>0</v>
      </c>
      <c r="Q1628" s="7" t="str">
        <f t="shared" si="566"/>
        <v>都市整備部</v>
      </c>
      <c r="R1628" s="7" t="str">
        <f t="shared" si="560"/>
        <v>住宅建築局住宅経営室</v>
      </c>
    </row>
    <row r="1629" spans="1:18" s="1" customFormat="1" x14ac:dyDescent="0.45">
      <c r="A1629" s="7" t="str">
        <f t="shared" si="563"/>
        <v>09940003091</v>
      </c>
      <c r="B1629" s="7" t="str">
        <f t="shared" si="564"/>
        <v>富田林楠（旧富田林北大伴）</v>
      </c>
      <c r="C1629" s="7" t="str">
        <f t="shared" si="561"/>
        <v>行政財産</v>
      </c>
      <c r="D1629" s="7" t="str">
        <f t="shared" si="562"/>
        <v>公営住宅</v>
      </c>
      <c r="E1629" s="7" t="str">
        <f t="shared" si="565"/>
        <v>大阪府富田林市楠町</v>
      </c>
      <c r="F1629" s="7"/>
      <c r="G1629" s="7" t="str">
        <f t="shared" si="559"/>
        <v>事業用資産</v>
      </c>
      <c r="H1629" s="7" t="str">
        <f t="shared" si="552"/>
        <v>棚卸以外</v>
      </c>
      <c r="I1629" s="7">
        <v>3</v>
      </c>
      <c r="J1629" s="7" t="str">
        <f>"２号棟"</f>
        <v>２号棟</v>
      </c>
      <c r="K1629" s="7" t="str">
        <f t="shared" si="555"/>
        <v>鉄筋コンクリート造</v>
      </c>
      <c r="L1629" s="7" t="str">
        <f>"H18.05.30"</f>
        <v>H18.05.30</v>
      </c>
      <c r="M1629" s="7">
        <v>8097.49</v>
      </c>
      <c r="N1629" s="7">
        <v>1149930121</v>
      </c>
      <c r="O1629" s="7">
        <v>412608196</v>
      </c>
      <c r="P1629" s="7">
        <v>0</v>
      </c>
      <c r="Q1629" s="7" t="str">
        <f t="shared" si="566"/>
        <v>都市整備部</v>
      </c>
      <c r="R1629" s="7" t="str">
        <f t="shared" si="560"/>
        <v>住宅建築局住宅経営室</v>
      </c>
    </row>
    <row r="1630" spans="1:18" s="1" customFormat="1" x14ac:dyDescent="0.45">
      <c r="A1630" s="7" t="str">
        <f t="shared" si="563"/>
        <v>09940003091</v>
      </c>
      <c r="B1630" s="7" t="str">
        <f t="shared" si="564"/>
        <v>富田林楠（旧富田林北大伴）</v>
      </c>
      <c r="C1630" s="7" t="str">
        <f t="shared" si="561"/>
        <v>行政財産</v>
      </c>
      <c r="D1630" s="7" t="str">
        <f t="shared" si="562"/>
        <v>公営住宅</v>
      </c>
      <c r="E1630" s="7" t="str">
        <f t="shared" si="565"/>
        <v>大阪府富田林市楠町</v>
      </c>
      <c r="F1630" s="7"/>
      <c r="G1630" s="7" t="str">
        <f t="shared" si="559"/>
        <v>事業用資産</v>
      </c>
      <c r="H1630" s="7" t="str">
        <f t="shared" si="552"/>
        <v>棚卸以外</v>
      </c>
      <c r="I1630" s="7">
        <v>4</v>
      </c>
      <c r="J1630" s="7" t="str">
        <f>"ポンプ室・電気室"</f>
        <v>ポンプ室・電気室</v>
      </c>
      <c r="K1630" s="7" t="str">
        <f t="shared" si="555"/>
        <v>鉄筋コンクリート造</v>
      </c>
      <c r="L1630" s="7" t="str">
        <f>"H18.05.30"</f>
        <v>H18.05.30</v>
      </c>
      <c r="M1630" s="7">
        <v>164.64</v>
      </c>
      <c r="N1630" s="7">
        <v>23912000</v>
      </c>
      <c r="O1630" s="7">
        <v>8564396</v>
      </c>
      <c r="P1630" s="7">
        <v>0</v>
      </c>
      <c r="Q1630" s="7" t="str">
        <f t="shared" si="566"/>
        <v>都市整備部</v>
      </c>
      <c r="R1630" s="7" t="str">
        <f t="shared" si="560"/>
        <v>住宅建築局住宅経営室</v>
      </c>
    </row>
    <row r="1631" spans="1:18" s="1" customFormat="1" x14ac:dyDescent="0.45">
      <c r="A1631" s="7" t="str">
        <f t="shared" si="563"/>
        <v>09940003091</v>
      </c>
      <c r="B1631" s="7" t="str">
        <f t="shared" si="564"/>
        <v>富田林楠（旧富田林北大伴）</v>
      </c>
      <c r="C1631" s="7" t="str">
        <f t="shared" si="561"/>
        <v>行政財産</v>
      </c>
      <c r="D1631" s="7" t="str">
        <f t="shared" si="562"/>
        <v>公営住宅</v>
      </c>
      <c r="E1631" s="7" t="str">
        <f t="shared" si="565"/>
        <v>大阪府富田林市楠町</v>
      </c>
      <c r="F1631" s="7"/>
      <c r="G1631" s="7" t="str">
        <f t="shared" si="559"/>
        <v>事業用資産</v>
      </c>
      <c r="H1631" s="7" t="str">
        <f t="shared" si="552"/>
        <v>棚卸以外</v>
      </c>
      <c r="I1631" s="7">
        <v>5</v>
      </c>
      <c r="J1631" s="7" t="str">
        <f>"３号棟"</f>
        <v>３号棟</v>
      </c>
      <c r="K1631" s="7" t="str">
        <f t="shared" si="555"/>
        <v>鉄筋コンクリート造</v>
      </c>
      <c r="L1631" s="7" t="str">
        <f>"H20.11.28"</f>
        <v>H20.11.28</v>
      </c>
      <c r="M1631" s="7">
        <v>7072.75</v>
      </c>
      <c r="N1631" s="7">
        <v>821937131</v>
      </c>
      <c r="O1631" s="7">
        <v>251209938</v>
      </c>
      <c r="P1631" s="7">
        <v>0</v>
      </c>
      <c r="Q1631" s="7" t="str">
        <f t="shared" si="566"/>
        <v>都市整備部</v>
      </c>
      <c r="R1631" s="7" t="str">
        <f t="shared" si="560"/>
        <v>住宅建築局住宅経営室</v>
      </c>
    </row>
    <row r="1632" spans="1:18" s="1" customFormat="1" x14ac:dyDescent="0.45">
      <c r="A1632" s="7" t="str">
        <f t="shared" si="563"/>
        <v>09940003091</v>
      </c>
      <c r="B1632" s="7" t="str">
        <f t="shared" si="564"/>
        <v>富田林楠（旧富田林北大伴）</v>
      </c>
      <c r="C1632" s="7" t="str">
        <f t="shared" si="561"/>
        <v>行政財産</v>
      </c>
      <c r="D1632" s="7" t="str">
        <f t="shared" si="562"/>
        <v>公営住宅</v>
      </c>
      <c r="E1632" s="7" t="str">
        <f t="shared" si="565"/>
        <v>大阪府富田林市楠町</v>
      </c>
      <c r="F1632" s="7"/>
      <c r="G1632" s="7" t="str">
        <f t="shared" si="559"/>
        <v>事業用資産</v>
      </c>
      <c r="H1632" s="7" t="str">
        <f t="shared" si="552"/>
        <v>棚卸以外</v>
      </c>
      <c r="I1632" s="7">
        <v>6</v>
      </c>
      <c r="J1632" s="7" t="str">
        <f>"４号棟"</f>
        <v>４号棟</v>
      </c>
      <c r="K1632" s="7" t="str">
        <f t="shared" si="555"/>
        <v>鉄筋コンクリート造</v>
      </c>
      <c r="L1632" s="7" t="str">
        <f>"H20.11.28"</f>
        <v>H20.11.28</v>
      </c>
      <c r="M1632" s="7">
        <v>5592.07</v>
      </c>
      <c r="N1632" s="7">
        <v>610664567</v>
      </c>
      <c r="O1632" s="7">
        <v>186505206</v>
      </c>
      <c r="P1632" s="7">
        <v>0</v>
      </c>
      <c r="Q1632" s="7" t="str">
        <f t="shared" si="566"/>
        <v>都市整備部</v>
      </c>
      <c r="R1632" s="7" t="str">
        <f t="shared" si="560"/>
        <v>住宅建築局住宅経営室</v>
      </c>
    </row>
    <row r="1633" spans="1:18" s="1" customFormat="1" x14ac:dyDescent="0.45">
      <c r="A1633" s="7" t="str">
        <f t="shared" si="563"/>
        <v>09940003091</v>
      </c>
      <c r="B1633" s="7" t="str">
        <f t="shared" si="564"/>
        <v>富田林楠（旧富田林北大伴）</v>
      </c>
      <c r="C1633" s="7" t="str">
        <f t="shared" si="561"/>
        <v>行政財産</v>
      </c>
      <c r="D1633" s="7" t="str">
        <f t="shared" si="562"/>
        <v>公営住宅</v>
      </c>
      <c r="E1633" s="7" t="str">
        <f t="shared" si="565"/>
        <v>大阪府富田林市楠町</v>
      </c>
      <c r="F1633" s="7"/>
      <c r="G1633" s="7" t="str">
        <f t="shared" si="559"/>
        <v>事業用資産</v>
      </c>
      <c r="H1633" s="7" t="str">
        <f t="shared" si="552"/>
        <v>棚卸以外</v>
      </c>
      <c r="I1633" s="7">
        <v>7</v>
      </c>
      <c r="J1633" s="7" t="str">
        <f>"ポンプ室・電気室"</f>
        <v>ポンプ室・電気室</v>
      </c>
      <c r="K1633" s="7" t="str">
        <f t="shared" si="555"/>
        <v>鉄筋コンクリート造</v>
      </c>
      <c r="L1633" s="7" t="str">
        <f>"H20.11.28"</f>
        <v>H20.11.28</v>
      </c>
      <c r="M1633" s="7">
        <v>122.72</v>
      </c>
      <c r="N1633" s="7">
        <v>25373000</v>
      </c>
      <c r="O1633" s="7">
        <v>7737936</v>
      </c>
      <c r="P1633" s="7">
        <v>0</v>
      </c>
      <c r="Q1633" s="7" t="str">
        <f t="shared" si="566"/>
        <v>都市整備部</v>
      </c>
      <c r="R1633" s="7" t="str">
        <f t="shared" si="560"/>
        <v>住宅建築局住宅経営室</v>
      </c>
    </row>
    <row r="1634" spans="1:18" s="1" customFormat="1" x14ac:dyDescent="0.45">
      <c r="A1634" s="7" t="str">
        <f t="shared" si="563"/>
        <v>09940003091</v>
      </c>
      <c r="B1634" s="7" t="str">
        <f t="shared" si="564"/>
        <v>富田林楠（旧富田林北大伴）</v>
      </c>
      <c r="C1634" s="7" t="str">
        <f t="shared" si="561"/>
        <v>行政財産</v>
      </c>
      <c r="D1634" s="7" t="str">
        <f t="shared" si="562"/>
        <v>公営住宅</v>
      </c>
      <c r="E1634" s="7" t="str">
        <f t="shared" si="565"/>
        <v>大阪府富田林市楠町</v>
      </c>
      <c r="F1634" s="7"/>
      <c r="G1634" s="7" t="str">
        <f t="shared" si="559"/>
        <v>事業用資産</v>
      </c>
      <c r="H1634" s="7" t="str">
        <f t="shared" si="552"/>
        <v>棚卸以外</v>
      </c>
      <c r="I1634" s="7">
        <v>8</v>
      </c>
      <c r="J1634" s="7" t="str">
        <f>"５号棟"</f>
        <v>５号棟</v>
      </c>
      <c r="K1634" s="7" t="str">
        <f t="shared" si="555"/>
        <v>鉄筋コンクリート造</v>
      </c>
      <c r="L1634" s="7" t="str">
        <f>"H23.08.31"</f>
        <v>H23.08.31</v>
      </c>
      <c r="M1634" s="7">
        <v>3783.5</v>
      </c>
      <c r="N1634" s="7">
        <v>507677735</v>
      </c>
      <c r="O1634" s="7">
        <v>125142889</v>
      </c>
      <c r="P1634" s="7">
        <v>0</v>
      </c>
      <c r="Q1634" s="7" t="str">
        <f t="shared" si="566"/>
        <v>都市整備部</v>
      </c>
      <c r="R1634" s="7" t="str">
        <f t="shared" si="560"/>
        <v>住宅建築局住宅経営室</v>
      </c>
    </row>
    <row r="1635" spans="1:18" s="1" customFormat="1" x14ac:dyDescent="0.45">
      <c r="A1635" s="7" t="str">
        <f t="shared" si="563"/>
        <v>09940003091</v>
      </c>
      <c r="B1635" s="7" t="str">
        <f t="shared" si="564"/>
        <v>富田林楠（旧富田林北大伴）</v>
      </c>
      <c r="C1635" s="7" t="str">
        <f t="shared" si="561"/>
        <v>行政財産</v>
      </c>
      <c r="D1635" s="7" t="str">
        <f t="shared" si="562"/>
        <v>公営住宅</v>
      </c>
      <c r="E1635" s="7" t="str">
        <f t="shared" si="565"/>
        <v>大阪府富田林市楠町</v>
      </c>
      <c r="F1635" s="7"/>
      <c r="G1635" s="7" t="str">
        <f t="shared" si="559"/>
        <v>事業用資産</v>
      </c>
      <c r="H1635" s="7" t="str">
        <f t="shared" si="552"/>
        <v>棚卸以外</v>
      </c>
      <c r="I1635" s="7">
        <v>9</v>
      </c>
      <c r="J1635" s="7" t="str">
        <f>"電気室"</f>
        <v>電気室</v>
      </c>
      <c r="K1635" s="7" t="str">
        <f t="shared" si="555"/>
        <v>鉄筋コンクリート造</v>
      </c>
      <c r="L1635" s="7" t="str">
        <f>"H23.08.31"</f>
        <v>H23.08.31</v>
      </c>
      <c r="M1635" s="7">
        <v>29.76</v>
      </c>
      <c r="N1635" s="7">
        <v>9141406</v>
      </c>
      <c r="O1635" s="7">
        <v>2253051</v>
      </c>
      <c r="P1635" s="7">
        <v>0</v>
      </c>
      <c r="Q1635" s="7" t="str">
        <f t="shared" si="566"/>
        <v>都市整備部</v>
      </c>
      <c r="R1635" s="7" t="str">
        <f t="shared" si="560"/>
        <v>住宅建築局住宅経営室</v>
      </c>
    </row>
    <row r="1636" spans="1:18" s="1" customFormat="1" x14ac:dyDescent="0.45">
      <c r="A1636" s="7" t="str">
        <f t="shared" si="563"/>
        <v>09940003091</v>
      </c>
      <c r="B1636" s="7" t="str">
        <f t="shared" si="564"/>
        <v>富田林楠（旧富田林北大伴）</v>
      </c>
      <c r="C1636" s="7" t="str">
        <f t="shared" si="561"/>
        <v>行政財産</v>
      </c>
      <c r="D1636" s="7" t="str">
        <f t="shared" si="562"/>
        <v>公営住宅</v>
      </c>
      <c r="E1636" s="7" t="str">
        <f t="shared" si="565"/>
        <v>大阪府富田林市楠町</v>
      </c>
      <c r="F1636" s="7"/>
      <c r="G1636" s="7" t="str">
        <f t="shared" si="559"/>
        <v>事業用資産</v>
      </c>
      <c r="H1636" s="7" t="str">
        <f t="shared" si="552"/>
        <v>棚卸以外</v>
      </c>
      <c r="I1636" s="7">
        <v>10</v>
      </c>
      <c r="J1636" s="7" t="str">
        <f>"６号棟"</f>
        <v>６号棟</v>
      </c>
      <c r="K1636" s="7" t="str">
        <f t="shared" si="555"/>
        <v>鉄筋コンクリート造</v>
      </c>
      <c r="L1636" s="7" t="str">
        <f>"H23.11.30"</f>
        <v>H23.11.30</v>
      </c>
      <c r="M1636" s="7">
        <v>2411.31</v>
      </c>
      <c r="N1636" s="7">
        <v>801357502</v>
      </c>
      <c r="O1636" s="7">
        <v>193262910</v>
      </c>
      <c r="P1636" s="7">
        <v>0</v>
      </c>
      <c r="Q1636" s="7" t="str">
        <f t="shared" si="566"/>
        <v>都市整備部</v>
      </c>
      <c r="R1636" s="7" t="str">
        <f t="shared" si="560"/>
        <v>住宅建築局住宅経営室</v>
      </c>
    </row>
    <row r="1637" spans="1:18" s="1" customFormat="1" x14ac:dyDescent="0.45">
      <c r="A1637" s="7" t="str">
        <f t="shared" si="563"/>
        <v>09940003091</v>
      </c>
      <c r="B1637" s="7" t="str">
        <f t="shared" si="564"/>
        <v>富田林楠（旧富田林北大伴）</v>
      </c>
      <c r="C1637" s="7" t="str">
        <f t="shared" si="561"/>
        <v>行政財産</v>
      </c>
      <c r="D1637" s="7" t="str">
        <f t="shared" si="562"/>
        <v>公営住宅</v>
      </c>
      <c r="E1637" s="7" t="str">
        <f t="shared" si="565"/>
        <v>大阪府富田林市楠町</v>
      </c>
      <c r="F1637" s="7"/>
      <c r="G1637" s="7" t="str">
        <f t="shared" si="559"/>
        <v>事業用資産</v>
      </c>
      <c r="H1637" s="7" t="str">
        <f t="shared" si="552"/>
        <v>棚卸以外</v>
      </c>
      <c r="I1637" s="7">
        <v>11</v>
      </c>
      <c r="J1637" s="7" t="str">
        <f>"受水槽・ポンプ室"</f>
        <v>受水槽・ポンプ室</v>
      </c>
      <c r="K1637" s="7" t="str">
        <f t="shared" si="555"/>
        <v>鉄筋コンクリート造</v>
      </c>
      <c r="L1637" s="7" t="str">
        <f>"H23.11.30"</f>
        <v>H23.11.30</v>
      </c>
      <c r="M1637" s="7">
        <v>48</v>
      </c>
      <c r="N1637" s="7">
        <v>15110998</v>
      </c>
      <c r="O1637" s="7">
        <v>3643848</v>
      </c>
      <c r="P1637" s="7">
        <v>0</v>
      </c>
      <c r="Q1637" s="7" t="str">
        <f t="shared" si="566"/>
        <v>都市整備部</v>
      </c>
      <c r="R1637" s="7" t="str">
        <f t="shared" si="560"/>
        <v>住宅建築局住宅経営室</v>
      </c>
    </row>
    <row r="1638" spans="1:18" s="1" customFormat="1" x14ac:dyDescent="0.45">
      <c r="A1638" s="7" t="str">
        <f t="shared" si="563"/>
        <v>09940003091</v>
      </c>
      <c r="B1638" s="7" t="str">
        <f t="shared" si="564"/>
        <v>富田林楠（旧富田林北大伴）</v>
      </c>
      <c r="C1638" s="7" t="str">
        <f t="shared" si="561"/>
        <v>行政財産</v>
      </c>
      <c r="D1638" s="7" t="str">
        <f t="shared" si="562"/>
        <v>公営住宅</v>
      </c>
      <c r="E1638" s="7" t="str">
        <f t="shared" si="565"/>
        <v>大阪府富田林市楠町</v>
      </c>
      <c r="F1638" s="7"/>
      <c r="G1638" s="7" t="str">
        <f t="shared" si="559"/>
        <v>事業用資産</v>
      </c>
      <c r="H1638" s="7" t="str">
        <f t="shared" si="552"/>
        <v>棚卸以外</v>
      </c>
      <c r="I1638" s="7">
        <v>12</v>
      </c>
      <c r="J1638" s="7" t="str">
        <f>"電気室（屋外）"</f>
        <v>電気室（屋外）</v>
      </c>
      <c r="K1638" s="7" t="str">
        <f t="shared" si="555"/>
        <v>鉄筋コンクリート造</v>
      </c>
      <c r="L1638" s="7" t="str">
        <f>"H23.11.30"</f>
        <v>H23.11.30</v>
      </c>
      <c r="M1638" s="7">
        <v>29.76</v>
      </c>
      <c r="N1638" s="7">
        <v>4123239</v>
      </c>
      <c r="O1638" s="7">
        <v>994296</v>
      </c>
      <c r="P1638" s="7">
        <v>0</v>
      </c>
      <c r="Q1638" s="7" t="str">
        <f t="shared" si="566"/>
        <v>都市整備部</v>
      </c>
      <c r="R1638" s="7" t="str">
        <f t="shared" si="560"/>
        <v>住宅建築局住宅経営室</v>
      </c>
    </row>
    <row r="1639" spans="1:18" s="1" customFormat="1" x14ac:dyDescent="0.45">
      <c r="A1639" s="7" t="str">
        <f t="shared" si="563"/>
        <v>09940003091</v>
      </c>
      <c r="B1639" s="7" t="str">
        <f t="shared" si="564"/>
        <v>富田林楠（旧富田林北大伴）</v>
      </c>
      <c r="C1639" s="7" t="str">
        <f t="shared" si="561"/>
        <v>行政財産</v>
      </c>
      <c r="D1639" s="7" t="str">
        <f t="shared" si="562"/>
        <v>公営住宅</v>
      </c>
      <c r="E1639" s="7" t="str">
        <f t="shared" si="565"/>
        <v>大阪府富田林市楠町</v>
      </c>
      <c r="F1639" s="7"/>
      <c r="G1639" s="7" t="str">
        <f t="shared" si="559"/>
        <v>事業用資産</v>
      </c>
      <c r="H1639" s="7" t="str">
        <f t="shared" si="552"/>
        <v>棚卸以外</v>
      </c>
      <c r="I1639" s="7">
        <v>13</v>
      </c>
      <c r="J1639" s="7" t="str">
        <f>"集会所"</f>
        <v>集会所</v>
      </c>
      <c r="K1639" s="7" t="str">
        <f t="shared" si="555"/>
        <v>鉄筋コンクリート造</v>
      </c>
      <c r="L1639" s="7" t="str">
        <f>"H29.03.02"</f>
        <v>H29.03.02</v>
      </c>
      <c r="M1639" s="7">
        <v>238.57</v>
      </c>
      <c r="N1639" s="7">
        <v>85678390</v>
      </c>
      <c r="O1639" s="7">
        <v>10937736</v>
      </c>
      <c r="P1639" s="7">
        <v>0</v>
      </c>
      <c r="Q1639" s="7" t="str">
        <f t="shared" si="566"/>
        <v>都市整備部</v>
      </c>
      <c r="R1639" s="7" t="str">
        <f t="shared" si="560"/>
        <v>住宅建築局住宅経営室</v>
      </c>
    </row>
    <row r="1640" spans="1:18" s="1" customFormat="1" x14ac:dyDescent="0.45">
      <c r="A1640" s="7" t="str">
        <f t="shared" si="563"/>
        <v>09940003091</v>
      </c>
      <c r="B1640" s="7" t="str">
        <f t="shared" si="564"/>
        <v>富田林楠（旧富田林北大伴）</v>
      </c>
      <c r="C1640" s="7" t="str">
        <f t="shared" si="561"/>
        <v>行政財産</v>
      </c>
      <c r="D1640" s="7" t="str">
        <f t="shared" si="562"/>
        <v>公営住宅</v>
      </c>
      <c r="E1640" s="7" t="str">
        <f t="shared" si="565"/>
        <v>大阪府富田林市楠町</v>
      </c>
      <c r="F1640" s="7"/>
      <c r="G1640" s="7" t="str">
        <f t="shared" si="559"/>
        <v>事業用資産</v>
      </c>
      <c r="H1640" s="7" t="str">
        <f t="shared" si="552"/>
        <v>棚卸以外</v>
      </c>
      <c r="I1640" s="7">
        <v>14</v>
      </c>
      <c r="J1640" s="7" t="str">
        <f>"巡回管理員室"</f>
        <v>巡回管理員室</v>
      </c>
      <c r="K1640" s="7" t="str">
        <f t="shared" si="555"/>
        <v>鉄筋コンクリート造</v>
      </c>
      <c r="L1640" s="7" t="str">
        <f>"H29.03.02"</f>
        <v>H29.03.02</v>
      </c>
      <c r="M1640" s="7">
        <v>12</v>
      </c>
      <c r="N1640" s="7">
        <v>4328997</v>
      </c>
      <c r="O1640" s="7">
        <v>552672</v>
      </c>
      <c r="P1640" s="7">
        <v>0</v>
      </c>
      <c r="Q1640" s="7" t="str">
        <f t="shared" si="566"/>
        <v>都市整備部</v>
      </c>
      <c r="R1640" s="7" t="str">
        <f t="shared" si="560"/>
        <v>住宅建築局住宅経営室</v>
      </c>
    </row>
    <row r="1641" spans="1:18" s="1" customFormat="1" x14ac:dyDescent="0.45">
      <c r="A1641" s="7" t="str">
        <f t="shared" ref="A1641:A1648" si="567">"09940003092"</f>
        <v>09940003092</v>
      </c>
      <c r="B1641" s="7" t="str">
        <f t="shared" ref="B1641:B1648" si="568">"ペア大東朋来"</f>
        <v>ペア大東朋来</v>
      </c>
      <c r="C1641" s="7" t="str">
        <f t="shared" si="561"/>
        <v>行政財産</v>
      </c>
      <c r="D1641" s="7" t="str">
        <f t="shared" si="562"/>
        <v>公営住宅</v>
      </c>
      <c r="E1641" s="7" t="str">
        <f t="shared" ref="E1641:E1648" si="569">"大阪府大東市朋来１丁目"</f>
        <v>大阪府大東市朋来１丁目</v>
      </c>
      <c r="F1641" s="7"/>
      <c r="G1641" s="7" t="str">
        <f t="shared" si="559"/>
        <v>事業用資産</v>
      </c>
      <c r="H1641" s="7" t="str">
        <f t="shared" si="552"/>
        <v>棚卸以外</v>
      </c>
      <c r="I1641" s="7">
        <v>1</v>
      </c>
      <c r="J1641" s="7" t="str">
        <f>"３４号棟"</f>
        <v>３４号棟</v>
      </c>
      <c r="K1641" s="7" t="str">
        <f t="shared" si="555"/>
        <v>鉄筋コンクリート造</v>
      </c>
      <c r="L1641" s="7" t="str">
        <f t="shared" ref="L1641:L1648" si="570">"S61.03.26"</f>
        <v>S61.03.26</v>
      </c>
      <c r="M1641" s="7">
        <v>1333.8</v>
      </c>
      <c r="N1641" s="7">
        <v>153855000</v>
      </c>
      <c r="O1641" s="7">
        <v>121120092</v>
      </c>
      <c r="P1641" s="7">
        <v>0</v>
      </c>
      <c r="Q1641" s="7" t="str">
        <f t="shared" si="566"/>
        <v>都市整備部</v>
      </c>
      <c r="R1641" s="7" t="str">
        <f t="shared" si="560"/>
        <v>住宅建築局住宅経営室</v>
      </c>
    </row>
    <row r="1642" spans="1:18" s="1" customFormat="1" x14ac:dyDescent="0.45">
      <c r="A1642" s="7" t="str">
        <f t="shared" si="567"/>
        <v>09940003092</v>
      </c>
      <c r="B1642" s="7" t="str">
        <f t="shared" si="568"/>
        <v>ペア大東朋来</v>
      </c>
      <c r="C1642" s="7" t="str">
        <f t="shared" si="561"/>
        <v>行政財産</v>
      </c>
      <c r="D1642" s="7" t="str">
        <f t="shared" si="562"/>
        <v>公営住宅</v>
      </c>
      <c r="E1642" s="7" t="str">
        <f t="shared" si="569"/>
        <v>大阪府大東市朋来１丁目</v>
      </c>
      <c r="F1642" s="7"/>
      <c r="G1642" s="7" t="str">
        <f t="shared" si="559"/>
        <v>事業用資産</v>
      </c>
      <c r="H1642" s="7" t="str">
        <f t="shared" si="552"/>
        <v>棚卸以外</v>
      </c>
      <c r="I1642" s="7">
        <v>2</v>
      </c>
      <c r="J1642" s="7" t="str">
        <f>"３５号棟"</f>
        <v>３５号棟</v>
      </c>
      <c r="K1642" s="7" t="str">
        <f>"鉄筋"</f>
        <v>鉄筋</v>
      </c>
      <c r="L1642" s="7" t="str">
        <f t="shared" si="570"/>
        <v>S61.03.26</v>
      </c>
      <c r="M1642" s="7">
        <v>1289.45</v>
      </c>
      <c r="N1642" s="7">
        <v>134915000</v>
      </c>
      <c r="O1642" s="7">
        <v>106209684</v>
      </c>
      <c r="P1642" s="7">
        <v>0</v>
      </c>
      <c r="Q1642" s="7" t="str">
        <f t="shared" si="566"/>
        <v>都市整備部</v>
      </c>
      <c r="R1642" s="7" t="str">
        <f t="shared" si="560"/>
        <v>住宅建築局住宅経営室</v>
      </c>
    </row>
    <row r="1643" spans="1:18" s="1" customFormat="1" x14ac:dyDescent="0.45">
      <c r="A1643" s="7" t="str">
        <f t="shared" si="567"/>
        <v>09940003092</v>
      </c>
      <c r="B1643" s="7" t="str">
        <f t="shared" si="568"/>
        <v>ペア大東朋来</v>
      </c>
      <c r="C1643" s="7" t="str">
        <f t="shared" si="561"/>
        <v>行政財産</v>
      </c>
      <c r="D1643" s="7" t="str">
        <f t="shared" si="562"/>
        <v>公営住宅</v>
      </c>
      <c r="E1643" s="7" t="str">
        <f t="shared" si="569"/>
        <v>大阪府大東市朋来１丁目</v>
      </c>
      <c r="F1643" s="7"/>
      <c r="G1643" s="7" t="str">
        <f t="shared" si="559"/>
        <v>事業用資産</v>
      </c>
      <c r="H1643" s="7" t="str">
        <f t="shared" si="552"/>
        <v>棚卸以外</v>
      </c>
      <c r="I1643" s="7">
        <v>3</v>
      </c>
      <c r="J1643" s="7" t="str">
        <f>"３６号棟"</f>
        <v>３６号棟</v>
      </c>
      <c r="K1643" s="7" t="str">
        <f>"鉄筋コンクリート造"</f>
        <v>鉄筋コンクリート造</v>
      </c>
      <c r="L1643" s="7" t="str">
        <f t="shared" si="570"/>
        <v>S61.03.26</v>
      </c>
      <c r="M1643" s="7">
        <v>666.9</v>
      </c>
      <c r="N1643" s="7">
        <v>73487000</v>
      </c>
      <c r="O1643" s="7">
        <v>57851868</v>
      </c>
      <c r="P1643" s="7">
        <v>0</v>
      </c>
      <c r="Q1643" s="7" t="str">
        <f t="shared" si="566"/>
        <v>都市整備部</v>
      </c>
      <c r="R1643" s="7" t="str">
        <f t="shared" si="560"/>
        <v>住宅建築局住宅経営室</v>
      </c>
    </row>
    <row r="1644" spans="1:18" s="1" customFormat="1" x14ac:dyDescent="0.45">
      <c r="A1644" s="7" t="str">
        <f t="shared" si="567"/>
        <v>09940003092</v>
      </c>
      <c r="B1644" s="7" t="str">
        <f t="shared" si="568"/>
        <v>ペア大東朋来</v>
      </c>
      <c r="C1644" s="7" t="str">
        <f t="shared" si="561"/>
        <v>行政財産</v>
      </c>
      <c r="D1644" s="7" t="str">
        <f t="shared" si="562"/>
        <v>公営住宅</v>
      </c>
      <c r="E1644" s="7" t="str">
        <f t="shared" si="569"/>
        <v>大阪府大東市朋来１丁目</v>
      </c>
      <c r="F1644" s="7"/>
      <c r="G1644" s="7" t="str">
        <f t="shared" si="559"/>
        <v>事業用資産</v>
      </c>
      <c r="H1644" s="7" t="str">
        <f t="shared" si="552"/>
        <v>棚卸以外</v>
      </c>
      <c r="I1644" s="7">
        <v>4</v>
      </c>
      <c r="J1644" s="7" t="str">
        <f>"３７号棟"</f>
        <v>３７号棟</v>
      </c>
      <c r="K1644" s="7" t="str">
        <f>"鉄筋"</f>
        <v>鉄筋</v>
      </c>
      <c r="L1644" s="7" t="str">
        <f t="shared" si="570"/>
        <v>S61.03.26</v>
      </c>
      <c r="M1644" s="7">
        <v>1113.01</v>
      </c>
      <c r="N1644" s="7">
        <v>130553000</v>
      </c>
      <c r="O1644" s="7">
        <v>102775788</v>
      </c>
      <c r="P1644" s="7">
        <v>0</v>
      </c>
      <c r="Q1644" s="7" t="str">
        <f t="shared" si="566"/>
        <v>都市整備部</v>
      </c>
      <c r="R1644" s="7" t="str">
        <f t="shared" si="560"/>
        <v>住宅建築局住宅経営室</v>
      </c>
    </row>
    <row r="1645" spans="1:18" s="1" customFormat="1" x14ac:dyDescent="0.45">
      <c r="A1645" s="7" t="str">
        <f t="shared" si="567"/>
        <v>09940003092</v>
      </c>
      <c r="B1645" s="7" t="str">
        <f t="shared" si="568"/>
        <v>ペア大東朋来</v>
      </c>
      <c r="C1645" s="7" t="str">
        <f t="shared" si="561"/>
        <v>行政財産</v>
      </c>
      <c r="D1645" s="7" t="str">
        <f t="shared" si="562"/>
        <v>公営住宅</v>
      </c>
      <c r="E1645" s="7" t="str">
        <f t="shared" si="569"/>
        <v>大阪府大東市朋来１丁目</v>
      </c>
      <c r="F1645" s="7"/>
      <c r="G1645" s="7" t="str">
        <f t="shared" si="559"/>
        <v>事業用資産</v>
      </c>
      <c r="H1645" s="7" t="str">
        <f t="shared" si="552"/>
        <v>棚卸以外</v>
      </c>
      <c r="I1645" s="7">
        <v>5</v>
      </c>
      <c r="J1645" s="7" t="str">
        <f>"３８号棟"</f>
        <v>３８号棟</v>
      </c>
      <c r="K1645" s="7" t="str">
        <f t="shared" ref="K1645:K1662" si="571">"鉄筋コンクリート造"</f>
        <v>鉄筋コンクリート造</v>
      </c>
      <c r="L1645" s="7" t="str">
        <f t="shared" si="570"/>
        <v>S61.03.26</v>
      </c>
      <c r="M1645" s="7">
        <v>666.9</v>
      </c>
      <c r="N1645" s="7">
        <v>77431000</v>
      </c>
      <c r="O1645" s="7">
        <v>60956760</v>
      </c>
      <c r="P1645" s="7">
        <v>0</v>
      </c>
      <c r="Q1645" s="7" t="str">
        <f t="shared" si="566"/>
        <v>都市整備部</v>
      </c>
      <c r="R1645" s="7" t="str">
        <f t="shared" si="560"/>
        <v>住宅建築局住宅経営室</v>
      </c>
    </row>
    <row r="1646" spans="1:18" s="1" customFormat="1" x14ac:dyDescent="0.45">
      <c r="A1646" s="7" t="str">
        <f t="shared" si="567"/>
        <v>09940003092</v>
      </c>
      <c r="B1646" s="7" t="str">
        <f t="shared" si="568"/>
        <v>ペア大東朋来</v>
      </c>
      <c r="C1646" s="7" t="str">
        <f t="shared" si="561"/>
        <v>行政財産</v>
      </c>
      <c r="D1646" s="7" t="str">
        <f t="shared" si="562"/>
        <v>公営住宅</v>
      </c>
      <c r="E1646" s="7" t="str">
        <f t="shared" si="569"/>
        <v>大阪府大東市朋来１丁目</v>
      </c>
      <c r="F1646" s="7"/>
      <c r="G1646" s="7" t="str">
        <f t="shared" si="559"/>
        <v>事業用資産</v>
      </c>
      <c r="H1646" s="7" t="str">
        <f t="shared" si="552"/>
        <v>棚卸以外</v>
      </c>
      <c r="I1646" s="7">
        <v>6</v>
      </c>
      <c r="J1646" s="7" t="str">
        <f>"集会所"</f>
        <v>集会所</v>
      </c>
      <c r="K1646" s="7" t="str">
        <f t="shared" si="571"/>
        <v>鉄筋コンクリート造</v>
      </c>
      <c r="L1646" s="7" t="str">
        <f t="shared" si="570"/>
        <v>S61.03.26</v>
      </c>
      <c r="M1646" s="7">
        <v>99.74</v>
      </c>
      <c r="N1646" s="7">
        <v>22644560</v>
      </c>
      <c r="O1646" s="7">
        <v>17700900</v>
      </c>
      <c r="P1646" s="7">
        <v>0</v>
      </c>
      <c r="Q1646" s="7" t="str">
        <f t="shared" si="566"/>
        <v>都市整備部</v>
      </c>
      <c r="R1646" s="7" t="str">
        <f t="shared" si="560"/>
        <v>住宅建築局住宅経営室</v>
      </c>
    </row>
    <row r="1647" spans="1:18" s="1" customFormat="1" x14ac:dyDescent="0.45">
      <c r="A1647" s="7" t="str">
        <f t="shared" si="567"/>
        <v>09940003092</v>
      </c>
      <c r="B1647" s="7" t="str">
        <f t="shared" si="568"/>
        <v>ペア大東朋来</v>
      </c>
      <c r="C1647" s="7" t="str">
        <f t="shared" si="561"/>
        <v>行政財産</v>
      </c>
      <c r="D1647" s="7" t="str">
        <f t="shared" si="562"/>
        <v>公営住宅</v>
      </c>
      <c r="E1647" s="7" t="str">
        <f t="shared" si="569"/>
        <v>大阪府大東市朋来１丁目</v>
      </c>
      <c r="F1647" s="7"/>
      <c r="G1647" s="7" t="str">
        <f t="shared" si="559"/>
        <v>事業用資産</v>
      </c>
      <c r="H1647" s="7" t="str">
        <f t="shared" si="552"/>
        <v>棚卸以外</v>
      </c>
      <c r="I1647" s="7">
        <v>7</v>
      </c>
      <c r="J1647" s="7" t="str">
        <f>"受水槽"</f>
        <v>受水槽</v>
      </c>
      <c r="K1647" s="7" t="str">
        <f t="shared" si="571"/>
        <v>鉄筋コンクリート造</v>
      </c>
      <c r="L1647" s="7" t="str">
        <f t="shared" si="570"/>
        <v>S61.03.26</v>
      </c>
      <c r="M1647" s="7">
        <v>24.99</v>
      </c>
      <c r="N1647" s="7">
        <v>9330000</v>
      </c>
      <c r="O1647" s="7">
        <v>7345092</v>
      </c>
      <c r="P1647" s="7">
        <v>0</v>
      </c>
      <c r="Q1647" s="7" t="str">
        <f t="shared" si="566"/>
        <v>都市整備部</v>
      </c>
      <c r="R1647" s="7" t="str">
        <f t="shared" si="560"/>
        <v>住宅建築局住宅経営室</v>
      </c>
    </row>
    <row r="1648" spans="1:18" s="1" customFormat="1" x14ac:dyDescent="0.45">
      <c r="A1648" s="7" t="str">
        <f t="shared" si="567"/>
        <v>09940003092</v>
      </c>
      <c r="B1648" s="7" t="str">
        <f t="shared" si="568"/>
        <v>ペア大東朋来</v>
      </c>
      <c r="C1648" s="7" t="str">
        <f t="shared" si="561"/>
        <v>行政財産</v>
      </c>
      <c r="D1648" s="7" t="str">
        <f t="shared" si="562"/>
        <v>公営住宅</v>
      </c>
      <c r="E1648" s="7" t="str">
        <f t="shared" si="569"/>
        <v>大阪府大東市朋来１丁目</v>
      </c>
      <c r="F1648" s="7"/>
      <c r="G1648" s="7" t="str">
        <f t="shared" si="559"/>
        <v>事業用資産</v>
      </c>
      <c r="H1648" s="7" t="str">
        <f t="shared" si="552"/>
        <v>棚卸以外</v>
      </c>
      <c r="I1648" s="7">
        <v>8</v>
      </c>
      <c r="J1648" s="7" t="str">
        <f>"受水槽"</f>
        <v>受水槽</v>
      </c>
      <c r="K1648" s="7" t="str">
        <f t="shared" si="571"/>
        <v>鉄筋コンクリート造</v>
      </c>
      <c r="L1648" s="7" t="str">
        <f t="shared" si="570"/>
        <v>S61.03.26</v>
      </c>
      <c r="M1648" s="7">
        <v>24.99</v>
      </c>
      <c r="N1648" s="7">
        <v>9143000</v>
      </c>
      <c r="O1648" s="7">
        <v>7197684</v>
      </c>
      <c r="P1648" s="7">
        <v>0</v>
      </c>
      <c r="Q1648" s="7" t="str">
        <f t="shared" si="566"/>
        <v>都市整備部</v>
      </c>
      <c r="R1648" s="7" t="str">
        <f t="shared" si="560"/>
        <v>住宅建築局住宅経営室</v>
      </c>
    </row>
    <row r="1649" spans="1:18" s="1" customFormat="1" x14ac:dyDescent="0.45">
      <c r="A1649" s="7" t="str">
        <f t="shared" ref="A1649:A1671" si="572">"09940003094"</f>
        <v>09940003094</v>
      </c>
      <c r="B1649" s="7" t="str">
        <f t="shared" ref="B1649:B1671" si="573">"東大阪稲田"</f>
        <v>東大阪稲田</v>
      </c>
      <c r="C1649" s="7" t="str">
        <f t="shared" si="561"/>
        <v>行政財産</v>
      </c>
      <c r="D1649" s="7" t="str">
        <f t="shared" si="562"/>
        <v>公営住宅</v>
      </c>
      <c r="E1649" s="7" t="str">
        <f t="shared" ref="E1649:E1671" si="574">"大阪府東大阪市稲田新町２丁目"</f>
        <v>大阪府東大阪市稲田新町２丁目</v>
      </c>
      <c r="F1649" s="7"/>
      <c r="G1649" s="7" t="str">
        <f t="shared" si="559"/>
        <v>事業用資産</v>
      </c>
      <c r="H1649" s="7" t="str">
        <f t="shared" si="552"/>
        <v>棚卸以外</v>
      </c>
      <c r="I1649" s="7">
        <v>1</v>
      </c>
      <c r="J1649" s="7" t="str">
        <f>"７号棟"</f>
        <v>７号棟</v>
      </c>
      <c r="K1649" s="7" t="str">
        <f t="shared" si="571"/>
        <v>鉄筋コンクリート造</v>
      </c>
      <c r="L1649" s="7" t="str">
        <f>"S63.01.10"</f>
        <v>S63.01.10</v>
      </c>
      <c r="M1649" s="7">
        <v>1445.29</v>
      </c>
      <c r="N1649" s="7">
        <v>154760000</v>
      </c>
      <c r="O1649" s="7">
        <v>114972762</v>
      </c>
      <c r="P1649" s="7">
        <v>0</v>
      </c>
      <c r="Q1649" s="7" t="str">
        <f t="shared" si="566"/>
        <v>都市整備部</v>
      </c>
      <c r="R1649" s="7" t="str">
        <f t="shared" si="560"/>
        <v>住宅建築局住宅経営室</v>
      </c>
    </row>
    <row r="1650" spans="1:18" s="1" customFormat="1" x14ac:dyDescent="0.45">
      <c r="A1650" s="7" t="str">
        <f t="shared" si="572"/>
        <v>09940003094</v>
      </c>
      <c r="B1650" s="7" t="str">
        <f t="shared" si="573"/>
        <v>東大阪稲田</v>
      </c>
      <c r="C1650" s="7" t="str">
        <f t="shared" si="561"/>
        <v>行政財産</v>
      </c>
      <c r="D1650" s="7" t="str">
        <f t="shared" si="562"/>
        <v>公営住宅</v>
      </c>
      <c r="E1650" s="7" t="str">
        <f t="shared" si="574"/>
        <v>大阪府東大阪市稲田新町２丁目</v>
      </c>
      <c r="F1650" s="7"/>
      <c r="G1650" s="7" t="str">
        <f t="shared" si="559"/>
        <v>事業用資産</v>
      </c>
      <c r="H1650" s="7" t="str">
        <f t="shared" si="552"/>
        <v>棚卸以外</v>
      </c>
      <c r="I1650" s="7">
        <v>2</v>
      </c>
      <c r="J1650" s="7" t="str">
        <f>"８号棟"</f>
        <v>８号棟</v>
      </c>
      <c r="K1650" s="7" t="str">
        <f t="shared" si="571"/>
        <v>鉄筋コンクリート造</v>
      </c>
      <c r="L1650" s="7" t="str">
        <f>"S63.01.10"</f>
        <v>S63.01.10</v>
      </c>
      <c r="M1650" s="7">
        <v>2182.73</v>
      </c>
      <c r="N1650" s="7">
        <v>226038000</v>
      </c>
      <c r="O1650" s="7">
        <v>167925563</v>
      </c>
      <c r="P1650" s="7">
        <v>0</v>
      </c>
      <c r="Q1650" s="7" t="str">
        <f t="shared" si="566"/>
        <v>都市整備部</v>
      </c>
      <c r="R1650" s="7" t="str">
        <f t="shared" si="560"/>
        <v>住宅建築局住宅経営室</v>
      </c>
    </row>
    <row r="1651" spans="1:18" s="1" customFormat="1" x14ac:dyDescent="0.45">
      <c r="A1651" s="7" t="str">
        <f t="shared" si="572"/>
        <v>09940003094</v>
      </c>
      <c r="B1651" s="7" t="str">
        <f t="shared" si="573"/>
        <v>東大阪稲田</v>
      </c>
      <c r="C1651" s="7" t="str">
        <f t="shared" si="561"/>
        <v>行政財産</v>
      </c>
      <c r="D1651" s="7" t="str">
        <f t="shared" si="562"/>
        <v>公営住宅</v>
      </c>
      <c r="E1651" s="7" t="str">
        <f t="shared" si="574"/>
        <v>大阪府東大阪市稲田新町２丁目</v>
      </c>
      <c r="F1651" s="7"/>
      <c r="G1651" s="7" t="str">
        <f t="shared" si="559"/>
        <v>事業用資産</v>
      </c>
      <c r="H1651" s="7" t="str">
        <f t="shared" si="552"/>
        <v>棚卸以外</v>
      </c>
      <c r="I1651" s="7">
        <v>3</v>
      </c>
      <c r="J1651" s="7" t="str">
        <f>"９号棟"</f>
        <v>９号棟</v>
      </c>
      <c r="K1651" s="7" t="str">
        <f t="shared" si="571"/>
        <v>鉄筋コンクリート造</v>
      </c>
      <c r="L1651" s="7" t="str">
        <f>"S63.04.01"</f>
        <v>S63.04.01</v>
      </c>
      <c r="M1651" s="7">
        <v>1549.61</v>
      </c>
      <c r="N1651" s="7">
        <v>176137135</v>
      </c>
      <c r="O1651" s="7">
        <v>135505684</v>
      </c>
      <c r="P1651" s="7">
        <v>0</v>
      </c>
      <c r="Q1651" s="7" t="str">
        <f t="shared" si="566"/>
        <v>都市整備部</v>
      </c>
      <c r="R1651" s="7" t="str">
        <f t="shared" si="560"/>
        <v>住宅建築局住宅経営室</v>
      </c>
    </row>
    <row r="1652" spans="1:18" s="1" customFormat="1" x14ac:dyDescent="0.45">
      <c r="A1652" s="7" t="str">
        <f t="shared" si="572"/>
        <v>09940003094</v>
      </c>
      <c r="B1652" s="7" t="str">
        <f t="shared" si="573"/>
        <v>東大阪稲田</v>
      </c>
      <c r="C1652" s="7" t="str">
        <f t="shared" si="561"/>
        <v>行政財産</v>
      </c>
      <c r="D1652" s="7" t="str">
        <f t="shared" si="562"/>
        <v>公営住宅</v>
      </c>
      <c r="E1652" s="7" t="str">
        <f t="shared" si="574"/>
        <v>大阪府東大阪市稲田新町２丁目</v>
      </c>
      <c r="F1652" s="7"/>
      <c r="G1652" s="7" t="str">
        <f t="shared" si="559"/>
        <v>事業用資産</v>
      </c>
      <c r="H1652" s="7" t="str">
        <f t="shared" si="552"/>
        <v>棚卸以外</v>
      </c>
      <c r="I1652" s="7">
        <v>4</v>
      </c>
      <c r="J1652" s="7" t="str">
        <f>"１０号棟"</f>
        <v>１０号棟</v>
      </c>
      <c r="K1652" s="7" t="str">
        <f t="shared" si="571"/>
        <v>鉄筋コンクリート造</v>
      </c>
      <c r="L1652" s="7" t="str">
        <f>"S63.04.01"</f>
        <v>S63.04.01</v>
      </c>
      <c r="M1652" s="7">
        <v>2297.61</v>
      </c>
      <c r="N1652" s="7">
        <v>261961407</v>
      </c>
      <c r="O1652" s="7">
        <v>201931898</v>
      </c>
      <c r="P1652" s="7">
        <v>0</v>
      </c>
      <c r="Q1652" s="7" t="str">
        <f t="shared" si="566"/>
        <v>都市整備部</v>
      </c>
      <c r="R1652" s="7" t="str">
        <f t="shared" si="560"/>
        <v>住宅建築局住宅経営室</v>
      </c>
    </row>
    <row r="1653" spans="1:18" s="1" customFormat="1" x14ac:dyDescent="0.45">
      <c r="A1653" s="7" t="str">
        <f t="shared" si="572"/>
        <v>09940003094</v>
      </c>
      <c r="B1653" s="7" t="str">
        <f t="shared" si="573"/>
        <v>東大阪稲田</v>
      </c>
      <c r="C1653" s="7" t="str">
        <f t="shared" si="561"/>
        <v>行政財産</v>
      </c>
      <c r="D1653" s="7" t="str">
        <f t="shared" si="562"/>
        <v>公営住宅</v>
      </c>
      <c r="E1653" s="7" t="str">
        <f t="shared" si="574"/>
        <v>大阪府東大阪市稲田新町２丁目</v>
      </c>
      <c r="F1653" s="7"/>
      <c r="G1653" s="7" t="str">
        <f t="shared" si="559"/>
        <v>事業用資産</v>
      </c>
      <c r="H1653" s="7" t="str">
        <f t="shared" si="552"/>
        <v>棚卸以外</v>
      </c>
      <c r="I1653" s="7">
        <v>5</v>
      </c>
      <c r="J1653" s="7" t="str">
        <f>"受水槽"</f>
        <v>受水槽</v>
      </c>
      <c r="K1653" s="7" t="str">
        <f t="shared" si="571"/>
        <v>鉄筋コンクリート造</v>
      </c>
      <c r="L1653" s="7" t="str">
        <f>"S63.01.10"</f>
        <v>S63.01.10</v>
      </c>
      <c r="M1653" s="7">
        <v>60.4</v>
      </c>
      <c r="N1653" s="7">
        <v>16466000</v>
      </c>
      <c r="O1653" s="7">
        <v>12233124</v>
      </c>
      <c r="P1653" s="7">
        <v>0</v>
      </c>
      <c r="Q1653" s="7" t="str">
        <f t="shared" si="566"/>
        <v>都市整備部</v>
      </c>
      <c r="R1653" s="7" t="str">
        <f t="shared" si="560"/>
        <v>住宅建築局住宅経営室</v>
      </c>
    </row>
    <row r="1654" spans="1:18" s="1" customFormat="1" x14ac:dyDescent="0.45">
      <c r="A1654" s="7" t="str">
        <f t="shared" si="572"/>
        <v>09940003094</v>
      </c>
      <c r="B1654" s="7" t="str">
        <f t="shared" si="573"/>
        <v>東大阪稲田</v>
      </c>
      <c r="C1654" s="7" t="str">
        <f t="shared" si="561"/>
        <v>行政財産</v>
      </c>
      <c r="D1654" s="7" t="str">
        <f t="shared" si="562"/>
        <v>公営住宅</v>
      </c>
      <c r="E1654" s="7" t="str">
        <f t="shared" si="574"/>
        <v>大阪府東大阪市稲田新町２丁目</v>
      </c>
      <c r="F1654" s="7"/>
      <c r="G1654" s="7" t="str">
        <f t="shared" si="559"/>
        <v>事業用資産</v>
      </c>
      <c r="H1654" s="7" t="str">
        <f t="shared" si="552"/>
        <v>棚卸以外</v>
      </c>
      <c r="I1654" s="7">
        <v>6</v>
      </c>
      <c r="J1654" s="7" t="str">
        <f>"５号棟"</f>
        <v>５号棟</v>
      </c>
      <c r="K1654" s="7" t="str">
        <f t="shared" si="571"/>
        <v>鉄筋コンクリート造</v>
      </c>
      <c r="L1654" s="7" t="str">
        <f>"H01.08.29"</f>
        <v>H01.08.29</v>
      </c>
      <c r="M1654" s="7">
        <v>1158.1600000000001</v>
      </c>
      <c r="N1654" s="7">
        <v>130059000</v>
      </c>
      <c r="O1654" s="7">
        <v>92932606</v>
      </c>
      <c r="P1654" s="7">
        <v>0</v>
      </c>
      <c r="Q1654" s="7" t="str">
        <f t="shared" si="566"/>
        <v>都市整備部</v>
      </c>
      <c r="R1654" s="7" t="str">
        <f t="shared" si="560"/>
        <v>住宅建築局住宅経営室</v>
      </c>
    </row>
    <row r="1655" spans="1:18" s="1" customFormat="1" x14ac:dyDescent="0.45">
      <c r="A1655" s="7" t="str">
        <f t="shared" si="572"/>
        <v>09940003094</v>
      </c>
      <c r="B1655" s="7" t="str">
        <f t="shared" si="573"/>
        <v>東大阪稲田</v>
      </c>
      <c r="C1655" s="7" t="str">
        <f t="shared" si="561"/>
        <v>行政財産</v>
      </c>
      <c r="D1655" s="7" t="str">
        <f t="shared" si="562"/>
        <v>公営住宅</v>
      </c>
      <c r="E1655" s="7" t="str">
        <f t="shared" si="574"/>
        <v>大阪府東大阪市稲田新町２丁目</v>
      </c>
      <c r="F1655" s="7"/>
      <c r="G1655" s="7" t="str">
        <f t="shared" si="559"/>
        <v>事業用資産</v>
      </c>
      <c r="H1655" s="7" t="str">
        <f t="shared" si="552"/>
        <v>棚卸以外</v>
      </c>
      <c r="I1655" s="7">
        <v>7</v>
      </c>
      <c r="J1655" s="7" t="str">
        <f>"６号棟"</f>
        <v>６号棟</v>
      </c>
      <c r="K1655" s="7" t="str">
        <f t="shared" si="571"/>
        <v>鉄筋コンクリート造</v>
      </c>
      <c r="L1655" s="7" t="str">
        <f>"H01.08.29"</f>
        <v>H01.08.29</v>
      </c>
      <c r="M1655" s="7">
        <v>2186.13</v>
      </c>
      <c r="N1655" s="7">
        <v>241198000</v>
      </c>
      <c r="O1655" s="7">
        <v>172345771</v>
      </c>
      <c r="P1655" s="7">
        <v>0</v>
      </c>
      <c r="Q1655" s="7" t="str">
        <f t="shared" si="566"/>
        <v>都市整備部</v>
      </c>
      <c r="R1655" s="7" t="str">
        <f t="shared" si="560"/>
        <v>住宅建築局住宅経営室</v>
      </c>
    </row>
    <row r="1656" spans="1:18" s="1" customFormat="1" x14ac:dyDescent="0.45">
      <c r="A1656" s="7" t="str">
        <f t="shared" si="572"/>
        <v>09940003094</v>
      </c>
      <c r="B1656" s="7" t="str">
        <f t="shared" si="573"/>
        <v>東大阪稲田</v>
      </c>
      <c r="C1656" s="7" t="str">
        <f t="shared" si="561"/>
        <v>行政財産</v>
      </c>
      <c r="D1656" s="7" t="str">
        <f t="shared" si="562"/>
        <v>公営住宅</v>
      </c>
      <c r="E1656" s="7" t="str">
        <f t="shared" si="574"/>
        <v>大阪府東大阪市稲田新町２丁目</v>
      </c>
      <c r="F1656" s="7"/>
      <c r="G1656" s="7" t="str">
        <f t="shared" si="559"/>
        <v>事業用資産</v>
      </c>
      <c r="H1656" s="7" t="str">
        <f t="shared" si="552"/>
        <v>棚卸以外</v>
      </c>
      <c r="I1656" s="7">
        <v>8</v>
      </c>
      <c r="J1656" s="7" t="str">
        <f>"受水槽"</f>
        <v>受水槽</v>
      </c>
      <c r="K1656" s="7" t="str">
        <f t="shared" si="571"/>
        <v>鉄筋コンクリート造</v>
      </c>
      <c r="L1656" s="7" t="str">
        <f>"H01.08.29"</f>
        <v>H01.08.29</v>
      </c>
      <c r="M1656" s="7">
        <v>26.67</v>
      </c>
      <c r="N1656" s="7">
        <v>12180000</v>
      </c>
      <c r="O1656" s="7">
        <v>8703188</v>
      </c>
      <c r="P1656" s="7">
        <v>0</v>
      </c>
      <c r="Q1656" s="7" t="str">
        <f t="shared" si="566"/>
        <v>都市整備部</v>
      </c>
      <c r="R1656" s="7" t="str">
        <f t="shared" si="560"/>
        <v>住宅建築局住宅経営室</v>
      </c>
    </row>
    <row r="1657" spans="1:18" s="1" customFormat="1" x14ac:dyDescent="0.45">
      <c r="A1657" s="7" t="str">
        <f t="shared" si="572"/>
        <v>09940003094</v>
      </c>
      <c r="B1657" s="7" t="str">
        <f t="shared" si="573"/>
        <v>東大阪稲田</v>
      </c>
      <c r="C1657" s="7" t="str">
        <f t="shared" si="561"/>
        <v>行政財産</v>
      </c>
      <c r="D1657" s="7" t="str">
        <f t="shared" si="562"/>
        <v>公営住宅</v>
      </c>
      <c r="E1657" s="7" t="str">
        <f t="shared" si="574"/>
        <v>大阪府東大阪市稲田新町２丁目</v>
      </c>
      <c r="F1657" s="7"/>
      <c r="G1657" s="7" t="str">
        <f t="shared" si="559"/>
        <v>事業用資産</v>
      </c>
      <c r="H1657" s="7" t="str">
        <f t="shared" si="552"/>
        <v>棚卸以外</v>
      </c>
      <c r="I1657" s="7">
        <v>9</v>
      </c>
      <c r="J1657" s="7" t="str">
        <f>"１号棟"</f>
        <v>１号棟</v>
      </c>
      <c r="K1657" s="7" t="str">
        <f t="shared" si="571"/>
        <v>鉄筋コンクリート造</v>
      </c>
      <c r="L1657" s="7" t="str">
        <f t="shared" ref="L1657:L1662" si="575">"H03.02.26"</f>
        <v>H03.02.26</v>
      </c>
      <c r="M1657" s="7">
        <v>2182.73</v>
      </c>
      <c r="N1657" s="7">
        <v>300843000</v>
      </c>
      <c r="O1657" s="7">
        <v>205362850</v>
      </c>
      <c r="P1657" s="7">
        <v>0</v>
      </c>
      <c r="Q1657" s="7" t="str">
        <f t="shared" si="566"/>
        <v>都市整備部</v>
      </c>
      <c r="R1657" s="7" t="str">
        <f t="shared" si="560"/>
        <v>住宅建築局住宅経営室</v>
      </c>
    </row>
    <row r="1658" spans="1:18" s="1" customFormat="1" x14ac:dyDescent="0.45">
      <c r="A1658" s="7" t="str">
        <f t="shared" si="572"/>
        <v>09940003094</v>
      </c>
      <c r="B1658" s="7" t="str">
        <f t="shared" si="573"/>
        <v>東大阪稲田</v>
      </c>
      <c r="C1658" s="7" t="str">
        <f t="shared" si="561"/>
        <v>行政財産</v>
      </c>
      <c r="D1658" s="7" t="str">
        <f t="shared" si="562"/>
        <v>公営住宅</v>
      </c>
      <c r="E1658" s="7" t="str">
        <f t="shared" si="574"/>
        <v>大阪府東大阪市稲田新町２丁目</v>
      </c>
      <c r="F1658" s="7"/>
      <c r="G1658" s="7" t="str">
        <f t="shared" si="559"/>
        <v>事業用資産</v>
      </c>
      <c r="H1658" s="7" t="str">
        <f t="shared" si="552"/>
        <v>棚卸以外</v>
      </c>
      <c r="I1658" s="7">
        <v>10</v>
      </c>
      <c r="J1658" s="7" t="str">
        <f>"２号棟"</f>
        <v>２号棟</v>
      </c>
      <c r="K1658" s="7" t="str">
        <f t="shared" si="571"/>
        <v>鉄筋コンクリート造</v>
      </c>
      <c r="L1658" s="7" t="str">
        <f t="shared" si="575"/>
        <v>H03.02.26</v>
      </c>
      <c r="M1658" s="7">
        <v>1382.65</v>
      </c>
      <c r="N1658" s="7">
        <v>195751000</v>
      </c>
      <c r="O1658" s="7">
        <v>133624645</v>
      </c>
      <c r="P1658" s="7">
        <v>0</v>
      </c>
      <c r="Q1658" s="7" t="str">
        <f t="shared" si="566"/>
        <v>都市整備部</v>
      </c>
      <c r="R1658" s="7" t="str">
        <f t="shared" si="560"/>
        <v>住宅建築局住宅経営室</v>
      </c>
    </row>
    <row r="1659" spans="1:18" s="1" customFormat="1" x14ac:dyDescent="0.45">
      <c r="A1659" s="7" t="str">
        <f t="shared" si="572"/>
        <v>09940003094</v>
      </c>
      <c r="B1659" s="7" t="str">
        <f t="shared" si="573"/>
        <v>東大阪稲田</v>
      </c>
      <c r="C1659" s="7" t="str">
        <f t="shared" si="561"/>
        <v>行政財産</v>
      </c>
      <c r="D1659" s="7" t="str">
        <f t="shared" si="562"/>
        <v>公営住宅</v>
      </c>
      <c r="E1659" s="7" t="str">
        <f t="shared" si="574"/>
        <v>大阪府東大阪市稲田新町２丁目</v>
      </c>
      <c r="F1659" s="7"/>
      <c r="G1659" s="7" t="str">
        <f t="shared" si="559"/>
        <v>事業用資産</v>
      </c>
      <c r="H1659" s="7" t="str">
        <f t="shared" si="552"/>
        <v>棚卸以外</v>
      </c>
      <c r="I1659" s="7">
        <v>11</v>
      </c>
      <c r="J1659" s="7" t="str">
        <f>"３号棟"</f>
        <v>３号棟</v>
      </c>
      <c r="K1659" s="7" t="str">
        <f t="shared" si="571"/>
        <v>鉄筋コンクリート造</v>
      </c>
      <c r="L1659" s="7" t="str">
        <f t="shared" si="575"/>
        <v>H03.02.26</v>
      </c>
      <c r="M1659" s="7">
        <v>1446.99</v>
      </c>
      <c r="N1659" s="7">
        <v>203639000</v>
      </c>
      <c r="O1659" s="7">
        <v>139009255</v>
      </c>
      <c r="P1659" s="7">
        <v>0</v>
      </c>
      <c r="Q1659" s="7" t="str">
        <f t="shared" si="566"/>
        <v>都市整備部</v>
      </c>
      <c r="R1659" s="7" t="str">
        <f t="shared" si="560"/>
        <v>住宅建築局住宅経営室</v>
      </c>
    </row>
    <row r="1660" spans="1:18" s="1" customFormat="1" x14ac:dyDescent="0.45">
      <c r="A1660" s="7" t="str">
        <f t="shared" si="572"/>
        <v>09940003094</v>
      </c>
      <c r="B1660" s="7" t="str">
        <f t="shared" si="573"/>
        <v>東大阪稲田</v>
      </c>
      <c r="C1660" s="7" t="str">
        <f t="shared" si="561"/>
        <v>行政財産</v>
      </c>
      <c r="D1660" s="7" t="str">
        <f t="shared" si="562"/>
        <v>公営住宅</v>
      </c>
      <c r="E1660" s="7" t="str">
        <f t="shared" si="574"/>
        <v>大阪府東大阪市稲田新町２丁目</v>
      </c>
      <c r="F1660" s="7"/>
      <c r="G1660" s="7" t="str">
        <f t="shared" si="559"/>
        <v>事業用資産</v>
      </c>
      <c r="H1660" s="7" t="str">
        <f t="shared" si="552"/>
        <v>棚卸以外</v>
      </c>
      <c r="I1660" s="7">
        <v>12</v>
      </c>
      <c r="J1660" s="7" t="str">
        <f>"４号棟"</f>
        <v>４号棟</v>
      </c>
      <c r="K1660" s="7" t="str">
        <f t="shared" si="571"/>
        <v>鉄筋コンクリート造</v>
      </c>
      <c r="L1660" s="7" t="str">
        <f t="shared" si="575"/>
        <v>H03.02.26</v>
      </c>
      <c r="M1660" s="7">
        <v>2186.13</v>
      </c>
      <c r="N1660" s="7">
        <v>304276273</v>
      </c>
      <c r="O1660" s="7">
        <v>207505760</v>
      </c>
      <c r="P1660" s="7">
        <v>0</v>
      </c>
      <c r="Q1660" s="7" t="str">
        <f t="shared" si="566"/>
        <v>都市整備部</v>
      </c>
      <c r="R1660" s="7" t="str">
        <f t="shared" si="560"/>
        <v>住宅建築局住宅経営室</v>
      </c>
    </row>
    <row r="1661" spans="1:18" s="1" customFormat="1" x14ac:dyDescent="0.45">
      <c r="A1661" s="7" t="str">
        <f t="shared" si="572"/>
        <v>09940003094</v>
      </c>
      <c r="B1661" s="7" t="str">
        <f t="shared" si="573"/>
        <v>東大阪稲田</v>
      </c>
      <c r="C1661" s="7" t="str">
        <f t="shared" si="561"/>
        <v>行政財産</v>
      </c>
      <c r="D1661" s="7" t="str">
        <f t="shared" si="562"/>
        <v>公営住宅</v>
      </c>
      <c r="E1661" s="7" t="str">
        <f t="shared" si="574"/>
        <v>大阪府東大阪市稲田新町２丁目</v>
      </c>
      <c r="F1661" s="7"/>
      <c r="G1661" s="7" t="str">
        <f t="shared" si="559"/>
        <v>事業用資産</v>
      </c>
      <c r="H1661" s="7" t="str">
        <f t="shared" si="552"/>
        <v>棚卸以外</v>
      </c>
      <c r="I1661" s="7">
        <v>13</v>
      </c>
      <c r="J1661" s="7" t="str">
        <f>"受水槽"</f>
        <v>受水槽</v>
      </c>
      <c r="K1661" s="7" t="str">
        <f t="shared" si="571"/>
        <v>鉄筋コンクリート造</v>
      </c>
      <c r="L1661" s="7" t="str">
        <f t="shared" si="575"/>
        <v>H03.02.26</v>
      </c>
      <c r="M1661" s="7">
        <v>55</v>
      </c>
      <c r="N1661" s="7">
        <v>18783000</v>
      </c>
      <c r="O1661" s="7">
        <v>12822040</v>
      </c>
      <c r="P1661" s="7">
        <v>0</v>
      </c>
      <c r="Q1661" s="7" t="str">
        <f t="shared" si="566"/>
        <v>都市整備部</v>
      </c>
      <c r="R1661" s="7" t="str">
        <f t="shared" si="560"/>
        <v>住宅建築局住宅経営室</v>
      </c>
    </row>
    <row r="1662" spans="1:18" s="1" customFormat="1" x14ac:dyDescent="0.45">
      <c r="A1662" s="7" t="str">
        <f t="shared" si="572"/>
        <v>09940003094</v>
      </c>
      <c r="B1662" s="7" t="str">
        <f t="shared" si="573"/>
        <v>東大阪稲田</v>
      </c>
      <c r="C1662" s="7" t="str">
        <f t="shared" si="561"/>
        <v>行政財産</v>
      </c>
      <c r="D1662" s="7" t="str">
        <f t="shared" si="562"/>
        <v>公営住宅</v>
      </c>
      <c r="E1662" s="7" t="str">
        <f t="shared" si="574"/>
        <v>大阪府東大阪市稲田新町２丁目</v>
      </c>
      <c r="F1662" s="7"/>
      <c r="G1662" s="7" t="str">
        <f t="shared" si="559"/>
        <v>事業用資産</v>
      </c>
      <c r="H1662" s="7" t="str">
        <f t="shared" si="552"/>
        <v>棚卸以外</v>
      </c>
      <c r="I1662" s="7">
        <v>14</v>
      </c>
      <c r="J1662" s="7" t="str">
        <f>"集会所"</f>
        <v>集会所</v>
      </c>
      <c r="K1662" s="7" t="str">
        <f t="shared" si="571"/>
        <v>鉄筋コンクリート造</v>
      </c>
      <c r="L1662" s="7" t="str">
        <f t="shared" si="575"/>
        <v>H03.02.26</v>
      </c>
      <c r="M1662" s="7">
        <v>199.87</v>
      </c>
      <c r="N1662" s="7">
        <v>45201000</v>
      </c>
      <c r="O1662" s="7">
        <v>30855440</v>
      </c>
      <c r="P1662" s="7">
        <v>0</v>
      </c>
      <c r="Q1662" s="7" t="str">
        <f t="shared" si="566"/>
        <v>都市整備部</v>
      </c>
      <c r="R1662" s="7" t="str">
        <f t="shared" si="560"/>
        <v>住宅建築局住宅経営室</v>
      </c>
    </row>
    <row r="1663" spans="1:18" s="1" customFormat="1" x14ac:dyDescent="0.45">
      <c r="A1663" s="7" t="str">
        <f t="shared" si="572"/>
        <v>09940003094</v>
      </c>
      <c r="B1663" s="7" t="str">
        <f t="shared" si="573"/>
        <v>東大阪稲田</v>
      </c>
      <c r="C1663" s="7" t="str">
        <f t="shared" si="561"/>
        <v>行政財産</v>
      </c>
      <c r="D1663" s="7" t="str">
        <f t="shared" si="562"/>
        <v>公営住宅</v>
      </c>
      <c r="E1663" s="7" t="str">
        <f t="shared" si="574"/>
        <v>大阪府東大阪市稲田新町２丁目</v>
      </c>
      <c r="F1663" s="7"/>
      <c r="G1663" s="7" t="str">
        <f t="shared" si="559"/>
        <v>事業用資産</v>
      </c>
      <c r="H1663" s="7" t="str">
        <f t="shared" si="552"/>
        <v>棚卸以外</v>
      </c>
      <c r="I1663" s="7">
        <v>15</v>
      </c>
      <c r="J1663" s="7" t="str">
        <f>"１２号棟"</f>
        <v>１２号棟</v>
      </c>
      <c r="K1663" s="7" t="str">
        <f>"鉄筋"</f>
        <v>鉄筋</v>
      </c>
      <c r="L1663" s="7" t="str">
        <f t="shared" ref="L1663:L1668" si="576">"H04.11.27"</f>
        <v>H04.11.27</v>
      </c>
      <c r="M1663" s="7">
        <v>1466.54</v>
      </c>
      <c r="N1663" s="7">
        <v>258518000</v>
      </c>
      <c r="O1663" s="7">
        <v>166845224</v>
      </c>
      <c r="P1663" s="7">
        <v>0</v>
      </c>
      <c r="Q1663" s="7" t="str">
        <f t="shared" si="566"/>
        <v>都市整備部</v>
      </c>
      <c r="R1663" s="7" t="str">
        <f t="shared" si="560"/>
        <v>住宅建築局住宅経営室</v>
      </c>
    </row>
    <row r="1664" spans="1:18" s="1" customFormat="1" x14ac:dyDescent="0.45">
      <c r="A1664" s="7" t="str">
        <f t="shared" si="572"/>
        <v>09940003094</v>
      </c>
      <c r="B1664" s="7" t="str">
        <f t="shared" si="573"/>
        <v>東大阪稲田</v>
      </c>
      <c r="C1664" s="7" t="str">
        <f t="shared" si="561"/>
        <v>行政財産</v>
      </c>
      <c r="D1664" s="7" t="str">
        <f t="shared" si="562"/>
        <v>公営住宅</v>
      </c>
      <c r="E1664" s="7" t="str">
        <f t="shared" si="574"/>
        <v>大阪府東大阪市稲田新町２丁目</v>
      </c>
      <c r="F1664" s="7"/>
      <c r="G1664" s="7" t="str">
        <f t="shared" si="559"/>
        <v>事業用資産</v>
      </c>
      <c r="H1664" s="7" t="str">
        <f t="shared" si="552"/>
        <v>棚卸以外</v>
      </c>
      <c r="I1664" s="7">
        <v>16</v>
      </c>
      <c r="J1664" s="7" t="str">
        <f>"１３号棟"</f>
        <v>１３号棟</v>
      </c>
      <c r="K1664" s="7" t="str">
        <f>"鉄筋"</f>
        <v>鉄筋</v>
      </c>
      <c r="L1664" s="7" t="str">
        <f t="shared" si="576"/>
        <v>H04.11.27</v>
      </c>
      <c r="M1664" s="7">
        <v>1466.54</v>
      </c>
      <c r="N1664" s="7">
        <v>260316000</v>
      </c>
      <c r="O1664" s="7">
        <v>168005656</v>
      </c>
      <c r="P1664" s="7">
        <v>0</v>
      </c>
      <c r="Q1664" s="7" t="str">
        <f t="shared" si="566"/>
        <v>都市整備部</v>
      </c>
      <c r="R1664" s="7" t="str">
        <f t="shared" si="560"/>
        <v>住宅建築局住宅経営室</v>
      </c>
    </row>
    <row r="1665" spans="1:18" s="1" customFormat="1" x14ac:dyDescent="0.45">
      <c r="A1665" s="7" t="str">
        <f t="shared" si="572"/>
        <v>09940003094</v>
      </c>
      <c r="B1665" s="7" t="str">
        <f t="shared" si="573"/>
        <v>東大阪稲田</v>
      </c>
      <c r="C1665" s="7" t="str">
        <f t="shared" si="561"/>
        <v>行政財産</v>
      </c>
      <c r="D1665" s="7" t="str">
        <f t="shared" si="562"/>
        <v>公営住宅</v>
      </c>
      <c r="E1665" s="7" t="str">
        <f t="shared" si="574"/>
        <v>大阪府東大阪市稲田新町２丁目</v>
      </c>
      <c r="F1665" s="7"/>
      <c r="G1665" s="7" t="str">
        <f t="shared" si="559"/>
        <v>事業用資産</v>
      </c>
      <c r="H1665" s="7" t="str">
        <f t="shared" si="552"/>
        <v>棚卸以外</v>
      </c>
      <c r="I1665" s="7">
        <v>17</v>
      </c>
      <c r="J1665" s="7" t="str">
        <f>"１４号棟"</f>
        <v>１４号棟</v>
      </c>
      <c r="K1665" s="7" t="str">
        <f>"鉄筋コンクリート造"</f>
        <v>鉄筋コンクリート造</v>
      </c>
      <c r="L1665" s="7" t="str">
        <f t="shared" si="576"/>
        <v>H04.11.27</v>
      </c>
      <c r="M1665" s="7">
        <v>2139.3200000000002</v>
      </c>
      <c r="N1665" s="7">
        <v>361132546</v>
      </c>
      <c r="O1665" s="7">
        <v>232691732</v>
      </c>
      <c r="P1665" s="7">
        <v>0</v>
      </c>
      <c r="Q1665" s="7" t="str">
        <f t="shared" si="566"/>
        <v>都市整備部</v>
      </c>
      <c r="R1665" s="7" t="str">
        <f t="shared" si="560"/>
        <v>住宅建築局住宅経営室</v>
      </c>
    </row>
    <row r="1666" spans="1:18" s="1" customFormat="1" x14ac:dyDescent="0.45">
      <c r="A1666" s="7" t="str">
        <f t="shared" si="572"/>
        <v>09940003094</v>
      </c>
      <c r="B1666" s="7" t="str">
        <f t="shared" si="573"/>
        <v>東大阪稲田</v>
      </c>
      <c r="C1666" s="7" t="str">
        <f t="shared" si="561"/>
        <v>行政財産</v>
      </c>
      <c r="D1666" s="7" t="str">
        <f t="shared" si="562"/>
        <v>公営住宅</v>
      </c>
      <c r="E1666" s="7" t="str">
        <f t="shared" si="574"/>
        <v>大阪府東大阪市稲田新町２丁目</v>
      </c>
      <c r="F1666" s="7"/>
      <c r="G1666" s="7" t="str">
        <f t="shared" si="559"/>
        <v>事業用資産</v>
      </c>
      <c r="H1666" s="7" t="str">
        <f t="shared" si="552"/>
        <v>棚卸以外</v>
      </c>
      <c r="I1666" s="7">
        <v>18</v>
      </c>
      <c r="J1666" s="7" t="str">
        <f>"１５号棟"</f>
        <v>１５号棟</v>
      </c>
      <c r="K1666" s="7" t="str">
        <f>"鉄筋コンクリート造"</f>
        <v>鉄筋コンクリート造</v>
      </c>
      <c r="L1666" s="7" t="str">
        <f t="shared" si="576"/>
        <v>H04.11.27</v>
      </c>
      <c r="M1666" s="7">
        <v>2139.3200000000002</v>
      </c>
      <c r="N1666" s="7">
        <v>358866546</v>
      </c>
      <c r="O1666" s="7">
        <v>231229180</v>
      </c>
      <c r="P1666" s="7">
        <v>0</v>
      </c>
      <c r="Q1666" s="7" t="str">
        <f t="shared" si="566"/>
        <v>都市整備部</v>
      </c>
      <c r="R1666" s="7" t="str">
        <f t="shared" si="560"/>
        <v>住宅建築局住宅経営室</v>
      </c>
    </row>
    <row r="1667" spans="1:18" s="1" customFormat="1" x14ac:dyDescent="0.45">
      <c r="A1667" s="7" t="str">
        <f t="shared" si="572"/>
        <v>09940003094</v>
      </c>
      <c r="B1667" s="7" t="str">
        <f t="shared" si="573"/>
        <v>東大阪稲田</v>
      </c>
      <c r="C1667" s="7" t="str">
        <f t="shared" si="561"/>
        <v>行政財産</v>
      </c>
      <c r="D1667" s="7" t="str">
        <f t="shared" si="562"/>
        <v>公営住宅</v>
      </c>
      <c r="E1667" s="7" t="str">
        <f t="shared" si="574"/>
        <v>大阪府東大阪市稲田新町２丁目</v>
      </c>
      <c r="F1667" s="7"/>
      <c r="G1667" s="7" t="str">
        <f t="shared" si="559"/>
        <v>事業用資産</v>
      </c>
      <c r="H1667" s="7" t="str">
        <f t="shared" si="552"/>
        <v>棚卸以外</v>
      </c>
      <c r="I1667" s="7">
        <v>19</v>
      </c>
      <c r="J1667" s="7" t="str">
        <f>"１６号棟"</f>
        <v>１６号棟</v>
      </c>
      <c r="K1667" s="7" t="str">
        <f>"鉄筋"</f>
        <v>鉄筋</v>
      </c>
      <c r="L1667" s="7" t="str">
        <f t="shared" si="576"/>
        <v>H04.11.27</v>
      </c>
      <c r="M1667" s="7">
        <v>2155.1799999999998</v>
      </c>
      <c r="N1667" s="7">
        <v>356078000</v>
      </c>
      <c r="O1667" s="7">
        <v>229809216</v>
      </c>
      <c r="P1667" s="7">
        <v>0</v>
      </c>
      <c r="Q1667" s="7" t="str">
        <f t="shared" si="566"/>
        <v>都市整備部</v>
      </c>
      <c r="R1667" s="7" t="str">
        <f t="shared" si="560"/>
        <v>住宅建築局住宅経営室</v>
      </c>
    </row>
    <row r="1668" spans="1:18" s="1" customFormat="1" x14ac:dyDescent="0.45">
      <c r="A1668" s="7" t="str">
        <f t="shared" si="572"/>
        <v>09940003094</v>
      </c>
      <c r="B1668" s="7" t="str">
        <f t="shared" si="573"/>
        <v>東大阪稲田</v>
      </c>
      <c r="C1668" s="7" t="str">
        <f t="shared" si="561"/>
        <v>行政財産</v>
      </c>
      <c r="D1668" s="7" t="str">
        <f t="shared" si="562"/>
        <v>公営住宅</v>
      </c>
      <c r="E1668" s="7" t="str">
        <f t="shared" si="574"/>
        <v>大阪府東大阪市稲田新町２丁目</v>
      </c>
      <c r="F1668" s="7"/>
      <c r="G1668" s="7" t="str">
        <f t="shared" si="559"/>
        <v>事業用資産</v>
      </c>
      <c r="H1668" s="7" t="str">
        <f t="shared" ref="H1668:H1731" si="577">"棚卸以外"</f>
        <v>棚卸以外</v>
      </c>
      <c r="I1668" s="7">
        <v>20</v>
      </c>
      <c r="J1668" s="7" t="str">
        <f>"受水槽（１２・１６棟）"</f>
        <v>受水槽（１２・１６棟）</v>
      </c>
      <c r="K1668" s="7" t="str">
        <f t="shared" ref="K1668:K1692" si="578">"鉄筋コンクリート造"</f>
        <v>鉄筋コンクリート造</v>
      </c>
      <c r="L1668" s="7" t="str">
        <f t="shared" si="576"/>
        <v>H04.11.27</v>
      </c>
      <c r="M1668" s="7">
        <v>81.489999999999995</v>
      </c>
      <c r="N1668" s="7">
        <v>39757000</v>
      </c>
      <c r="O1668" s="7">
        <v>25659088</v>
      </c>
      <c r="P1668" s="7">
        <v>0</v>
      </c>
      <c r="Q1668" s="7" t="str">
        <f t="shared" si="566"/>
        <v>都市整備部</v>
      </c>
      <c r="R1668" s="7" t="str">
        <f t="shared" si="560"/>
        <v>住宅建築局住宅経営室</v>
      </c>
    </row>
    <row r="1669" spans="1:18" s="1" customFormat="1" x14ac:dyDescent="0.45">
      <c r="A1669" s="7" t="str">
        <f t="shared" si="572"/>
        <v>09940003094</v>
      </c>
      <c r="B1669" s="7" t="str">
        <f t="shared" si="573"/>
        <v>東大阪稲田</v>
      </c>
      <c r="C1669" s="7" t="str">
        <f t="shared" si="561"/>
        <v>行政財産</v>
      </c>
      <c r="D1669" s="7" t="str">
        <f t="shared" si="562"/>
        <v>公営住宅</v>
      </c>
      <c r="E1669" s="7" t="str">
        <f t="shared" si="574"/>
        <v>大阪府東大阪市稲田新町２丁目</v>
      </c>
      <c r="F1669" s="7"/>
      <c r="G1669" s="7" t="str">
        <f t="shared" si="559"/>
        <v>事業用資産</v>
      </c>
      <c r="H1669" s="7" t="str">
        <f t="shared" si="577"/>
        <v>棚卸以外</v>
      </c>
      <c r="I1669" s="7">
        <v>21</v>
      </c>
      <c r="J1669" s="7" t="str">
        <f>"１７号棟"</f>
        <v>１７号棟</v>
      </c>
      <c r="K1669" s="7" t="str">
        <f t="shared" si="578"/>
        <v>鉄筋コンクリート造</v>
      </c>
      <c r="L1669" s="7" t="str">
        <f>"H07.07.27"</f>
        <v>H07.07.27</v>
      </c>
      <c r="M1669" s="7">
        <v>2184.56</v>
      </c>
      <c r="N1669" s="7">
        <v>360893000</v>
      </c>
      <c r="O1669" s="7">
        <v>212440824</v>
      </c>
      <c r="P1669" s="7">
        <v>0</v>
      </c>
      <c r="Q1669" s="7" t="str">
        <f t="shared" si="566"/>
        <v>都市整備部</v>
      </c>
      <c r="R1669" s="7" t="str">
        <f t="shared" si="560"/>
        <v>住宅建築局住宅経営室</v>
      </c>
    </row>
    <row r="1670" spans="1:18" s="1" customFormat="1" x14ac:dyDescent="0.45">
      <c r="A1670" s="7" t="str">
        <f t="shared" si="572"/>
        <v>09940003094</v>
      </c>
      <c r="B1670" s="7" t="str">
        <f t="shared" si="573"/>
        <v>東大阪稲田</v>
      </c>
      <c r="C1670" s="7" t="str">
        <f t="shared" si="561"/>
        <v>行政財産</v>
      </c>
      <c r="D1670" s="7" t="str">
        <f t="shared" si="562"/>
        <v>公営住宅</v>
      </c>
      <c r="E1670" s="7" t="str">
        <f t="shared" si="574"/>
        <v>大阪府東大阪市稲田新町２丁目</v>
      </c>
      <c r="F1670" s="7"/>
      <c r="G1670" s="7" t="str">
        <f t="shared" si="559"/>
        <v>事業用資産</v>
      </c>
      <c r="H1670" s="7" t="str">
        <f t="shared" si="577"/>
        <v>棚卸以外</v>
      </c>
      <c r="I1670" s="7">
        <v>22</v>
      </c>
      <c r="J1670" s="7" t="str">
        <f>"１８号棟"</f>
        <v>１８号棟</v>
      </c>
      <c r="K1670" s="7" t="str">
        <f t="shared" si="578"/>
        <v>鉄筋コンクリート造</v>
      </c>
      <c r="L1670" s="7" t="str">
        <f>"H07.07.27"</f>
        <v>H07.07.27</v>
      </c>
      <c r="M1670" s="7">
        <v>2931.73</v>
      </c>
      <c r="N1670" s="7">
        <v>514337000</v>
      </c>
      <c r="O1670" s="7">
        <v>302766072</v>
      </c>
      <c r="P1670" s="7">
        <v>0</v>
      </c>
      <c r="Q1670" s="7" t="str">
        <f t="shared" si="566"/>
        <v>都市整備部</v>
      </c>
      <c r="R1670" s="7" t="str">
        <f t="shared" si="560"/>
        <v>住宅建築局住宅経営室</v>
      </c>
    </row>
    <row r="1671" spans="1:18" s="1" customFormat="1" x14ac:dyDescent="0.45">
      <c r="A1671" s="7" t="str">
        <f t="shared" si="572"/>
        <v>09940003094</v>
      </c>
      <c r="B1671" s="7" t="str">
        <f t="shared" si="573"/>
        <v>東大阪稲田</v>
      </c>
      <c r="C1671" s="7" t="str">
        <f t="shared" si="561"/>
        <v>行政財産</v>
      </c>
      <c r="D1671" s="7" t="str">
        <f t="shared" si="562"/>
        <v>公営住宅</v>
      </c>
      <c r="E1671" s="7" t="str">
        <f t="shared" si="574"/>
        <v>大阪府東大阪市稲田新町２丁目</v>
      </c>
      <c r="F1671" s="7"/>
      <c r="G1671" s="7" t="str">
        <f t="shared" si="559"/>
        <v>事業用資産</v>
      </c>
      <c r="H1671" s="7" t="str">
        <f t="shared" si="577"/>
        <v>棚卸以外</v>
      </c>
      <c r="I1671" s="7">
        <v>23</v>
      </c>
      <c r="J1671" s="7" t="str">
        <f>"受水槽"</f>
        <v>受水槽</v>
      </c>
      <c r="K1671" s="7" t="str">
        <f t="shared" si="578"/>
        <v>鉄筋コンクリート造</v>
      </c>
      <c r="L1671" s="7" t="str">
        <f>"H07.07.27"</f>
        <v>H07.07.27</v>
      </c>
      <c r="M1671" s="7">
        <v>45.31</v>
      </c>
      <c r="N1671" s="7">
        <v>19982000</v>
      </c>
      <c r="O1671" s="7">
        <v>11762760</v>
      </c>
      <c r="P1671" s="7">
        <v>0</v>
      </c>
      <c r="Q1671" s="7" t="str">
        <f t="shared" si="566"/>
        <v>都市整備部</v>
      </c>
      <c r="R1671" s="7" t="str">
        <f t="shared" si="560"/>
        <v>住宅建築局住宅経営室</v>
      </c>
    </row>
    <row r="1672" spans="1:18" s="1" customFormat="1" x14ac:dyDescent="0.45">
      <c r="A1672" s="7" t="str">
        <f>"09940003095"</f>
        <v>09940003095</v>
      </c>
      <c r="B1672" s="7" t="str">
        <f>"高倉台第３"</f>
        <v>高倉台第３</v>
      </c>
      <c r="C1672" s="7" t="str">
        <f t="shared" si="561"/>
        <v>行政財産</v>
      </c>
      <c r="D1672" s="7" t="str">
        <f t="shared" si="562"/>
        <v>公営住宅</v>
      </c>
      <c r="E1672" s="7" t="str">
        <f>"大阪府堺市　南区高倉台３丁"</f>
        <v>大阪府堺市　南区高倉台３丁</v>
      </c>
      <c r="F1672" s="7"/>
      <c r="G1672" s="7" t="str">
        <f t="shared" si="559"/>
        <v>事業用資産</v>
      </c>
      <c r="H1672" s="7" t="str">
        <f t="shared" si="577"/>
        <v>棚卸以外</v>
      </c>
      <c r="I1672" s="7">
        <v>1</v>
      </c>
      <c r="J1672" s="7" t="str">
        <f>"３～１６号棟"</f>
        <v>３～１６号棟</v>
      </c>
      <c r="K1672" s="7" t="str">
        <f t="shared" si="578"/>
        <v>鉄筋コンクリート造</v>
      </c>
      <c r="L1672" s="7" t="str">
        <f>"S46.09.27"</f>
        <v>S46.09.27</v>
      </c>
      <c r="M1672" s="7">
        <v>22334.58</v>
      </c>
      <c r="N1672" s="7">
        <v>1897874820</v>
      </c>
      <c r="O1672" s="7">
        <v>1022983641</v>
      </c>
      <c r="P1672" s="7">
        <v>0</v>
      </c>
      <c r="Q1672" s="7" t="str">
        <f t="shared" si="566"/>
        <v>都市整備部</v>
      </c>
      <c r="R1672" s="7" t="str">
        <f t="shared" si="560"/>
        <v>住宅建築局住宅経営室</v>
      </c>
    </row>
    <row r="1673" spans="1:18" s="1" customFormat="1" x14ac:dyDescent="0.45">
      <c r="A1673" s="7" t="str">
        <f>"09940003095"</f>
        <v>09940003095</v>
      </c>
      <c r="B1673" s="7" t="str">
        <f>"高倉台第３"</f>
        <v>高倉台第３</v>
      </c>
      <c r="C1673" s="7" t="str">
        <f t="shared" si="561"/>
        <v>行政財産</v>
      </c>
      <c r="D1673" s="7" t="str">
        <f t="shared" si="562"/>
        <v>公営住宅</v>
      </c>
      <c r="E1673" s="7" t="str">
        <f>"大阪府堺市　南区高倉台３丁"</f>
        <v>大阪府堺市　南区高倉台３丁</v>
      </c>
      <c r="F1673" s="7"/>
      <c r="G1673" s="7" t="str">
        <f t="shared" si="559"/>
        <v>事業用資産</v>
      </c>
      <c r="H1673" s="7" t="str">
        <f t="shared" si="577"/>
        <v>棚卸以外</v>
      </c>
      <c r="I1673" s="7">
        <v>2</v>
      </c>
      <c r="J1673" s="7" t="str">
        <f>"集会所"</f>
        <v>集会所</v>
      </c>
      <c r="K1673" s="7" t="str">
        <f t="shared" si="578"/>
        <v>鉄筋コンクリート造</v>
      </c>
      <c r="L1673" s="7" t="str">
        <f>"S46.09.27"</f>
        <v>S46.09.27</v>
      </c>
      <c r="M1673" s="7">
        <v>149.16</v>
      </c>
      <c r="N1673" s="7">
        <v>26085057</v>
      </c>
      <c r="O1673" s="7">
        <v>18209882</v>
      </c>
      <c r="P1673" s="7">
        <v>0</v>
      </c>
      <c r="Q1673" s="7" t="str">
        <f t="shared" si="566"/>
        <v>都市整備部</v>
      </c>
      <c r="R1673" s="7" t="str">
        <f t="shared" si="560"/>
        <v>住宅建築局住宅経営室</v>
      </c>
    </row>
    <row r="1674" spans="1:18" s="1" customFormat="1" x14ac:dyDescent="0.45">
      <c r="A1674" s="7" t="str">
        <f>"09940003095"</f>
        <v>09940003095</v>
      </c>
      <c r="B1674" s="7" t="str">
        <f>"高倉台第３"</f>
        <v>高倉台第３</v>
      </c>
      <c r="C1674" s="7" t="str">
        <f t="shared" si="561"/>
        <v>行政財産</v>
      </c>
      <c r="D1674" s="7" t="str">
        <f t="shared" si="562"/>
        <v>公営住宅</v>
      </c>
      <c r="E1674" s="7" t="str">
        <f>"大阪府堺市　南区高倉台３丁"</f>
        <v>大阪府堺市　南区高倉台３丁</v>
      </c>
      <c r="F1674" s="7"/>
      <c r="G1674" s="7" t="str">
        <f t="shared" si="559"/>
        <v>事業用資産</v>
      </c>
      <c r="H1674" s="7" t="str">
        <f t="shared" si="577"/>
        <v>棚卸以外</v>
      </c>
      <c r="I1674" s="7">
        <v>3</v>
      </c>
      <c r="J1674" s="7" t="str">
        <f>"１・２号棟"</f>
        <v>１・２号棟</v>
      </c>
      <c r="K1674" s="7" t="str">
        <f t="shared" si="578"/>
        <v>鉄筋コンクリート造</v>
      </c>
      <c r="L1674" s="7" t="str">
        <f>"S47.10.26"</f>
        <v>S47.10.26</v>
      </c>
      <c r="M1674" s="7">
        <v>5876</v>
      </c>
      <c r="N1674" s="7">
        <v>254454363</v>
      </c>
      <c r="O1674" s="7">
        <v>254454362</v>
      </c>
      <c r="P1674" s="7">
        <v>0</v>
      </c>
      <c r="Q1674" s="7" t="str">
        <f t="shared" si="566"/>
        <v>都市整備部</v>
      </c>
      <c r="R1674" s="7" t="str">
        <f t="shared" si="560"/>
        <v>住宅建築局住宅経営室</v>
      </c>
    </row>
    <row r="1675" spans="1:18" s="1" customFormat="1" x14ac:dyDescent="0.45">
      <c r="A1675" s="7" t="str">
        <f>"09940003095"</f>
        <v>09940003095</v>
      </c>
      <c r="B1675" s="7" t="str">
        <f>"高倉台第３"</f>
        <v>高倉台第３</v>
      </c>
      <c r="C1675" s="7" t="str">
        <f t="shared" si="561"/>
        <v>行政財産</v>
      </c>
      <c r="D1675" s="7" t="str">
        <f t="shared" si="562"/>
        <v>公営住宅</v>
      </c>
      <c r="E1675" s="7" t="str">
        <f>"大阪府堺市　南区高倉台３丁"</f>
        <v>大阪府堺市　南区高倉台３丁</v>
      </c>
      <c r="F1675" s="7"/>
      <c r="G1675" s="7" t="str">
        <f t="shared" si="559"/>
        <v>事業用資産</v>
      </c>
      <c r="H1675" s="7" t="str">
        <f t="shared" si="577"/>
        <v>棚卸以外</v>
      </c>
      <c r="I1675" s="7">
        <v>4</v>
      </c>
      <c r="J1675" s="7" t="str">
        <f>"受水槽"</f>
        <v>受水槽</v>
      </c>
      <c r="K1675" s="7" t="str">
        <f t="shared" si="578"/>
        <v>鉄筋コンクリート造</v>
      </c>
      <c r="L1675" s="7" t="str">
        <f>"S46.10.26"</f>
        <v>S46.10.26</v>
      </c>
      <c r="M1675" s="7">
        <v>40</v>
      </c>
      <c r="N1675" s="7">
        <v>2793000</v>
      </c>
      <c r="O1675" s="7">
        <v>2792999</v>
      </c>
      <c r="P1675" s="7">
        <v>0</v>
      </c>
      <c r="Q1675" s="7" t="str">
        <f t="shared" si="566"/>
        <v>都市整備部</v>
      </c>
      <c r="R1675" s="7" t="str">
        <f t="shared" si="560"/>
        <v>住宅建築局住宅経営室</v>
      </c>
    </row>
    <row r="1676" spans="1:18" s="1" customFormat="1" x14ac:dyDescent="0.45">
      <c r="A1676" s="7" t="str">
        <f>"09940003096"</f>
        <v>09940003096</v>
      </c>
      <c r="B1676" s="7" t="str">
        <f>"楠風台"</f>
        <v>楠風台</v>
      </c>
      <c r="C1676" s="7" t="str">
        <f t="shared" si="561"/>
        <v>行政財産</v>
      </c>
      <c r="D1676" s="7" t="str">
        <f t="shared" si="562"/>
        <v>公営住宅</v>
      </c>
      <c r="E1676" s="7" t="str">
        <f>"大阪府富田林市楠風台２丁目"</f>
        <v>大阪府富田林市楠風台２丁目</v>
      </c>
      <c r="F1676" s="7" t="str">
        <f>"１２"</f>
        <v>１２</v>
      </c>
      <c r="G1676" s="7" t="str">
        <f t="shared" si="559"/>
        <v>事業用資産</v>
      </c>
      <c r="H1676" s="7" t="str">
        <f t="shared" si="577"/>
        <v>棚卸以外</v>
      </c>
      <c r="I1676" s="7">
        <v>1</v>
      </c>
      <c r="J1676" s="7" t="str">
        <f>"１・２・７～９号棟"</f>
        <v>１・２・７～９号棟</v>
      </c>
      <c r="K1676" s="7" t="str">
        <f t="shared" si="578"/>
        <v>鉄筋コンクリート造</v>
      </c>
      <c r="L1676" s="7" t="str">
        <f>"S45.06.20"</f>
        <v>S45.06.20</v>
      </c>
      <c r="M1676" s="7">
        <v>9153.2800000000007</v>
      </c>
      <c r="N1676" s="7">
        <v>372236980</v>
      </c>
      <c r="O1676" s="7">
        <v>302251277</v>
      </c>
      <c r="P1676" s="7">
        <v>0</v>
      </c>
      <c r="Q1676" s="7" t="str">
        <f t="shared" si="566"/>
        <v>都市整備部</v>
      </c>
      <c r="R1676" s="7" t="str">
        <f t="shared" si="560"/>
        <v>住宅建築局住宅経営室</v>
      </c>
    </row>
    <row r="1677" spans="1:18" s="1" customFormat="1" x14ac:dyDescent="0.45">
      <c r="A1677" s="7" t="str">
        <f>"09940003096"</f>
        <v>09940003096</v>
      </c>
      <c r="B1677" s="7" t="str">
        <f>"楠風台"</f>
        <v>楠風台</v>
      </c>
      <c r="C1677" s="7" t="str">
        <f t="shared" si="561"/>
        <v>行政財産</v>
      </c>
      <c r="D1677" s="7" t="str">
        <f t="shared" si="562"/>
        <v>公営住宅</v>
      </c>
      <c r="E1677" s="7" t="str">
        <f>"大阪府富田林市楠風台２丁目"</f>
        <v>大阪府富田林市楠風台２丁目</v>
      </c>
      <c r="F1677" s="7" t="str">
        <f>"１２"</f>
        <v>１２</v>
      </c>
      <c r="G1677" s="7" t="str">
        <f t="shared" si="559"/>
        <v>事業用資産</v>
      </c>
      <c r="H1677" s="7" t="str">
        <f t="shared" si="577"/>
        <v>棚卸以外</v>
      </c>
      <c r="I1677" s="7">
        <v>2</v>
      </c>
      <c r="J1677" s="7" t="str">
        <f>"３～６号棟"</f>
        <v>３～６号棟</v>
      </c>
      <c r="K1677" s="7" t="str">
        <f t="shared" si="578"/>
        <v>鉄筋コンクリート造</v>
      </c>
      <c r="L1677" s="7" t="str">
        <f>"S45.06.20"</f>
        <v>S45.06.20</v>
      </c>
      <c r="M1677" s="7">
        <v>8058.76</v>
      </c>
      <c r="N1677" s="7">
        <v>613336406</v>
      </c>
      <c r="O1677" s="7">
        <v>294975837</v>
      </c>
      <c r="P1677" s="7">
        <v>0</v>
      </c>
      <c r="Q1677" s="7" t="str">
        <f t="shared" si="566"/>
        <v>都市整備部</v>
      </c>
      <c r="R1677" s="7" t="str">
        <f t="shared" si="560"/>
        <v>住宅建築局住宅経営室</v>
      </c>
    </row>
    <row r="1678" spans="1:18" s="1" customFormat="1" x14ac:dyDescent="0.45">
      <c r="A1678" s="7" t="str">
        <f>"09940003096"</f>
        <v>09940003096</v>
      </c>
      <c r="B1678" s="7" t="str">
        <f>"楠風台"</f>
        <v>楠風台</v>
      </c>
      <c r="C1678" s="7" t="str">
        <f t="shared" si="561"/>
        <v>行政財産</v>
      </c>
      <c r="D1678" s="7" t="str">
        <f t="shared" si="562"/>
        <v>公営住宅</v>
      </c>
      <c r="E1678" s="7" t="str">
        <f>"大阪府富田林市楠風台２丁目"</f>
        <v>大阪府富田林市楠風台２丁目</v>
      </c>
      <c r="F1678" s="7" t="str">
        <f>"１２"</f>
        <v>１２</v>
      </c>
      <c r="G1678" s="7" t="str">
        <f t="shared" si="559"/>
        <v>事業用資産</v>
      </c>
      <c r="H1678" s="7" t="str">
        <f t="shared" si="577"/>
        <v>棚卸以外</v>
      </c>
      <c r="I1678" s="7">
        <v>3</v>
      </c>
      <c r="J1678" s="7" t="str">
        <f>"集会所"</f>
        <v>集会所</v>
      </c>
      <c r="K1678" s="7" t="str">
        <f t="shared" si="578"/>
        <v>鉄筋コンクリート造</v>
      </c>
      <c r="L1678" s="7" t="str">
        <f>"S45.06.20"</f>
        <v>S45.06.20</v>
      </c>
      <c r="M1678" s="7">
        <v>94.49</v>
      </c>
      <c r="N1678" s="7">
        <v>33256197</v>
      </c>
      <c r="O1678" s="7">
        <v>21351215</v>
      </c>
      <c r="P1678" s="7">
        <v>0</v>
      </c>
      <c r="Q1678" s="7" t="str">
        <f t="shared" si="566"/>
        <v>都市整備部</v>
      </c>
      <c r="R1678" s="7" t="str">
        <f t="shared" si="560"/>
        <v>住宅建築局住宅経営室</v>
      </c>
    </row>
    <row r="1679" spans="1:18" s="1" customFormat="1" x14ac:dyDescent="0.45">
      <c r="A1679" s="7" t="str">
        <f>"09940003097"</f>
        <v>09940003097</v>
      </c>
      <c r="B1679" s="7" t="str">
        <f>"晴美台第３"</f>
        <v>晴美台第３</v>
      </c>
      <c r="C1679" s="7" t="str">
        <f t="shared" si="561"/>
        <v>行政財産</v>
      </c>
      <c r="D1679" s="7" t="str">
        <f t="shared" si="562"/>
        <v>公営住宅</v>
      </c>
      <c r="E1679" s="7" t="str">
        <f>"大阪府堺市　南区晴美台３丁"</f>
        <v>大阪府堺市　南区晴美台３丁</v>
      </c>
      <c r="F1679" s="7"/>
      <c r="G1679" s="7" t="str">
        <f t="shared" si="559"/>
        <v>事業用資産</v>
      </c>
      <c r="H1679" s="7" t="str">
        <f t="shared" si="577"/>
        <v>棚卸以外</v>
      </c>
      <c r="I1679" s="7">
        <v>1</v>
      </c>
      <c r="J1679" s="7" t="str">
        <f>"８～１２号棟"</f>
        <v>８～１２号棟</v>
      </c>
      <c r="K1679" s="7" t="str">
        <f t="shared" si="578"/>
        <v>鉄筋コンクリート造</v>
      </c>
      <c r="L1679" s="7" t="str">
        <f>"S47.04.25"</f>
        <v>S47.04.25</v>
      </c>
      <c r="M1679" s="7">
        <v>3221.92</v>
      </c>
      <c r="N1679" s="7">
        <v>230118322</v>
      </c>
      <c r="O1679" s="7">
        <v>157131344</v>
      </c>
      <c r="P1679" s="7">
        <v>0</v>
      </c>
      <c r="Q1679" s="7" t="str">
        <f t="shared" si="566"/>
        <v>都市整備部</v>
      </c>
      <c r="R1679" s="7" t="str">
        <f t="shared" si="560"/>
        <v>住宅建築局住宅経営室</v>
      </c>
    </row>
    <row r="1680" spans="1:18" s="1" customFormat="1" x14ac:dyDescent="0.45">
      <c r="A1680" s="7" t="str">
        <f>"09940003097"</f>
        <v>09940003097</v>
      </c>
      <c r="B1680" s="7" t="str">
        <f>"晴美台第３"</f>
        <v>晴美台第３</v>
      </c>
      <c r="C1680" s="7" t="str">
        <f t="shared" si="561"/>
        <v>行政財産</v>
      </c>
      <c r="D1680" s="7" t="str">
        <f t="shared" si="562"/>
        <v>公営住宅</v>
      </c>
      <c r="E1680" s="7" t="str">
        <f>"大阪府堺市　南区晴美台３丁"</f>
        <v>大阪府堺市　南区晴美台３丁</v>
      </c>
      <c r="F1680" s="7"/>
      <c r="G1680" s="7" t="str">
        <f t="shared" si="559"/>
        <v>事業用資産</v>
      </c>
      <c r="H1680" s="7" t="str">
        <f t="shared" si="577"/>
        <v>棚卸以外</v>
      </c>
      <c r="I1680" s="7">
        <v>2</v>
      </c>
      <c r="J1680" s="7" t="str">
        <f>"１～７号棟"</f>
        <v>１～７号棟</v>
      </c>
      <c r="K1680" s="7" t="str">
        <f t="shared" si="578"/>
        <v>鉄筋コンクリート造</v>
      </c>
      <c r="L1680" s="7" t="str">
        <f>"S47.04.25"</f>
        <v>S47.04.25</v>
      </c>
      <c r="M1680" s="7">
        <v>11383.02</v>
      </c>
      <c r="N1680" s="7">
        <v>1202662475</v>
      </c>
      <c r="O1680" s="7">
        <v>541111115</v>
      </c>
      <c r="P1680" s="7">
        <v>0</v>
      </c>
      <c r="Q1680" s="7" t="str">
        <f t="shared" si="566"/>
        <v>都市整備部</v>
      </c>
      <c r="R1680" s="7" t="str">
        <f t="shared" si="560"/>
        <v>住宅建築局住宅経営室</v>
      </c>
    </row>
    <row r="1681" spans="1:18" s="1" customFormat="1" x14ac:dyDescent="0.45">
      <c r="A1681" s="7" t="str">
        <f>"09940003097"</f>
        <v>09940003097</v>
      </c>
      <c r="B1681" s="7" t="str">
        <f>"晴美台第３"</f>
        <v>晴美台第３</v>
      </c>
      <c r="C1681" s="7" t="str">
        <f t="shared" si="561"/>
        <v>行政財産</v>
      </c>
      <c r="D1681" s="7" t="str">
        <f t="shared" si="562"/>
        <v>公営住宅</v>
      </c>
      <c r="E1681" s="7" t="str">
        <f>"大阪府堺市　南区晴美台３丁"</f>
        <v>大阪府堺市　南区晴美台３丁</v>
      </c>
      <c r="F1681" s="7"/>
      <c r="G1681" s="7" t="str">
        <f t="shared" si="559"/>
        <v>事業用資産</v>
      </c>
      <c r="H1681" s="7" t="str">
        <f t="shared" si="577"/>
        <v>棚卸以外</v>
      </c>
      <c r="I1681" s="7">
        <v>3</v>
      </c>
      <c r="J1681" s="7" t="str">
        <f>"集会所"</f>
        <v>集会所</v>
      </c>
      <c r="K1681" s="7" t="str">
        <f t="shared" si="578"/>
        <v>鉄筋コンクリート造</v>
      </c>
      <c r="L1681" s="7" t="str">
        <f>"S47.04.25"</f>
        <v>S47.04.25</v>
      </c>
      <c r="M1681" s="7">
        <v>63.71</v>
      </c>
      <c r="N1681" s="7">
        <v>14376882</v>
      </c>
      <c r="O1681" s="7">
        <v>6432778</v>
      </c>
      <c r="P1681" s="7">
        <v>0</v>
      </c>
      <c r="Q1681" s="7" t="str">
        <f t="shared" si="566"/>
        <v>都市整備部</v>
      </c>
      <c r="R1681" s="7" t="str">
        <f t="shared" si="560"/>
        <v>住宅建築局住宅経営室</v>
      </c>
    </row>
    <row r="1682" spans="1:18" s="1" customFormat="1" x14ac:dyDescent="0.45">
      <c r="A1682" s="7" t="str">
        <f t="shared" ref="A1682:A1688" si="579">"09940003098"</f>
        <v>09940003098</v>
      </c>
      <c r="B1682" s="7" t="str">
        <f t="shared" ref="B1682:B1688" si="580">"富田林西"</f>
        <v>富田林西</v>
      </c>
      <c r="C1682" s="7" t="str">
        <f t="shared" si="561"/>
        <v>行政財産</v>
      </c>
      <c r="D1682" s="7" t="str">
        <f t="shared" si="562"/>
        <v>公営住宅</v>
      </c>
      <c r="E1682" s="7" t="str">
        <f t="shared" ref="E1682:E1688" si="581">"大阪府富田林市美山台"</f>
        <v>大阪府富田林市美山台</v>
      </c>
      <c r="F1682" s="7"/>
      <c r="G1682" s="7" t="str">
        <f t="shared" si="559"/>
        <v>事業用資産</v>
      </c>
      <c r="H1682" s="7" t="str">
        <f t="shared" si="577"/>
        <v>棚卸以外</v>
      </c>
      <c r="I1682" s="7">
        <v>1</v>
      </c>
      <c r="J1682" s="7" t="str">
        <f>"１号棟"</f>
        <v>１号棟</v>
      </c>
      <c r="K1682" s="7" t="str">
        <f t="shared" si="578"/>
        <v>鉄筋コンクリート造</v>
      </c>
      <c r="L1682" s="7" t="str">
        <f t="shared" ref="L1682:L1688" si="582">"S53.12.12"</f>
        <v>S53.12.12</v>
      </c>
      <c r="M1682" s="7">
        <v>1992.6</v>
      </c>
      <c r="N1682" s="7">
        <v>146237000</v>
      </c>
      <c r="O1682" s="7">
        <v>137680866</v>
      </c>
      <c r="P1682" s="7">
        <v>0</v>
      </c>
      <c r="Q1682" s="7" t="str">
        <f t="shared" si="566"/>
        <v>都市整備部</v>
      </c>
      <c r="R1682" s="7" t="str">
        <f t="shared" si="560"/>
        <v>住宅建築局住宅経営室</v>
      </c>
    </row>
    <row r="1683" spans="1:18" s="1" customFormat="1" x14ac:dyDescent="0.45">
      <c r="A1683" s="7" t="str">
        <f t="shared" si="579"/>
        <v>09940003098</v>
      </c>
      <c r="B1683" s="7" t="str">
        <f t="shared" si="580"/>
        <v>富田林西</v>
      </c>
      <c r="C1683" s="7" t="str">
        <f t="shared" si="561"/>
        <v>行政財産</v>
      </c>
      <c r="D1683" s="7" t="str">
        <f t="shared" si="562"/>
        <v>公営住宅</v>
      </c>
      <c r="E1683" s="7" t="str">
        <f t="shared" si="581"/>
        <v>大阪府富田林市美山台</v>
      </c>
      <c r="F1683" s="7"/>
      <c r="G1683" s="7" t="str">
        <f t="shared" si="559"/>
        <v>事業用資産</v>
      </c>
      <c r="H1683" s="7" t="str">
        <f t="shared" si="577"/>
        <v>棚卸以外</v>
      </c>
      <c r="I1683" s="7">
        <v>2</v>
      </c>
      <c r="J1683" s="7" t="str">
        <f>"４号棟"</f>
        <v>４号棟</v>
      </c>
      <c r="K1683" s="7" t="str">
        <f t="shared" si="578"/>
        <v>鉄筋コンクリート造</v>
      </c>
      <c r="L1683" s="7" t="str">
        <f t="shared" si="582"/>
        <v>S53.12.12</v>
      </c>
      <c r="M1683" s="7">
        <v>1328.4</v>
      </c>
      <c r="N1683" s="7">
        <v>87428000</v>
      </c>
      <c r="O1683" s="7">
        <v>82312965</v>
      </c>
      <c r="P1683" s="7">
        <v>0</v>
      </c>
      <c r="Q1683" s="7" t="str">
        <f t="shared" si="566"/>
        <v>都市整備部</v>
      </c>
      <c r="R1683" s="7" t="str">
        <f t="shared" si="560"/>
        <v>住宅建築局住宅経営室</v>
      </c>
    </row>
    <row r="1684" spans="1:18" s="1" customFormat="1" x14ac:dyDescent="0.45">
      <c r="A1684" s="7" t="str">
        <f t="shared" si="579"/>
        <v>09940003098</v>
      </c>
      <c r="B1684" s="7" t="str">
        <f t="shared" si="580"/>
        <v>富田林西</v>
      </c>
      <c r="C1684" s="7" t="str">
        <f t="shared" si="561"/>
        <v>行政財産</v>
      </c>
      <c r="D1684" s="7" t="str">
        <f t="shared" si="562"/>
        <v>公営住宅</v>
      </c>
      <c r="E1684" s="7" t="str">
        <f t="shared" si="581"/>
        <v>大阪府富田林市美山台</v>
      </c>
      <c r="F1684" s="7"/>
      <c r="G1684" s="7" t="str">
        <f t="shared" si="559"/>
        <v>事業用資産</v>
      </c>
      <c r="H1684" s="7" t="str">
        <f t="shared" si="577"/>
        <v>棚卸以外</v>
      </c>
      <c r="I1684" s="7">
        <v>3</v>
      </c>
      <c r="J1684" s="7" t="str">
        <f>"５号棟"</f>
        <v>５号棟</v>
      </c>
      <c r="K1684" s="7" t="str">
        <f t="shared" si="578"/>
        <v>鉄筋コンクリート造</v>
      </c>
      <c r="L1684" s="7" t="str">
        <f t="shared" si="582"/>
        <v>S53.12.12</v>
      </c>
      <c r="M1684" s="7">
        <v>1328.4</v>
      </c>
      <c r="N1684" s="7">
        <v>66839000</v>
      </c>
      <c r="O1684" s="7">
        <v>62928279</v>
      </c>
      <c r="P1684" s="7">
        <v>0</v>
      </c>
      <c r="Q1684" s="7" t="str">
        <f t="shared" si="566"/>
        <v>都市整備部</v>
      </c>
      <c r="R1684" s="7" t="str">
        <f t="shared" si="560"/>
        <v>住宅建築局住宅経営室</v>
      </c>
    </row>
    <row r="1685" spans="1:18" s="1" customFormat="1" x14ac:dyDescent="0.45">
      <c r="A1685" s="7" t="str">
        <f t="shared" si="579"/>
        <v>09940003098</v>
      </c>
      <c r="B1685" s="7" t="str">
        <f t="shared" si="580"/>
        <v>富田林西</v>
      </c>
      <c r="C1685" s="7" t="str">
        <f t="shared" si="561"/>
        <v>行政財産</v>
      </c>
      <c r="D1685" s="7" t="str">
        <f t="shared" si="562"/>
        <v>公営住宅</v>
      </c>
      <c r="E1685" s="7" t="str">
        <f t="shared" si="581"/>
        <v>大阪府富田林市美山台</v>
      </c>
      <c r="F1685" s="7"/>
      <c r="G1685" s="7" t="str">
        <f t="shared" si="559"/>
        <v>事業用資産</v>
      </c>
      <c r="H1685" s="7" t="str">
        <f t="shared" si="577"/>
        <v>棚卸以外</v>
      </c>
      <c r="I1685" s="7">
        <v>4</v>
      </c>
      <c r="J1685" s="7" t="str">
        <f>"２号棟"</f>
        <v>２号棟</v>
      </c>
      <c r="K1685" s="7" t="str">
        <f t="shared" si="578"/>
        <v>鉄筋コンクリート造</v>
      </c>
      <c r="L1685" s="7" t="str">
        <f t="shared" si="582"/>
        <v>S53.12.12</v>
      </c>
      <c r="M1685" s="7">
        <v>1992.6</v>
      </c>
      <c r="N1685" s="7">
        <v>128170000</v>
      </c>
      <c r="O1685" s="7">
        <v>120670812</v>
      </c>
      <c r="P1685" s="7">
        <v>0</v>
      </c>
      <c r="Q1685" s="7" t="str">
        <f t="shared" si="566"/>
        <v>都市整備部</v>
      </c>
      <c r="R1685" s="7" t="str">
        <f t="shared" si="560"/>
        <v>住宅建築局住宅経営室</v>
      </c>
    </row>
    <row r="1686" spans="1:18" s="1" customFormat="1" x14ac:dyDescent="0.45">
      <c r="A1686" s="7" t="str">
        <f t="shared" si="579"/>
        <v>09940003098</v>
      </c>
      <c r="B1686" s="7" t="str">
        <f t="shared" si="580"/>
        <v>富田林西</v>
      </c>
      <c r="C1686" s="7" t="str">
        <f t="shared" si="561"/>
        <v>行政財産</v>
      </c>
      <c r="D1686" s="7" t="str">
        <f t="shared" si="562"/>
        <v>公営住宅</v>
      </c>
      <c r="E1686" s="7" t="str">
        <f t="shared" si="581"/>
        <v>大阪府富田林市美山台</v>
      </c>
      <c r="F1686" s="7"/>
      <c r="G1686" s="7" t="str">
        <f t="shared" si="559"/>
        <v>事業用資産</v>
      </c>
      <c r="H1686" s="7" t="str">
        <f t="shared" si="577"/>
        <v>棚卸以外</v>
      </c>
      <c r="I1686" s="7">
        <v>5</v>
      </c>
      <c r="J1686" s="7" t="str">
        <f>"集会所"</f>
        <v>集会所</v>
      </c>
      <c r="K1686" s="7" t="str">
        <f t="shared" si="578"/>
        <v>鉄筋コンクリート造</v>
      </c>
      <c r="L1686" s="7" t="str">
        <f t="shared" si="582"/>
        <v>S53.12.12</v>
      </c>
      <c r="M1686" s="7">
        <v>65.84</v>
      </c>
      <c r="N1686" s="7">
        <v>8318000</v>
      </c>
      <c r="O1686" s="7">
        <v>7831719</v>
      </c>
      <c r="P1686" s="7">
        <v>0</v>
      </c>
      <c r="Q1686" s="7" t="str">
        <f t="shared" si="566"/>
        <v>都市整備部</v>
      </c>
      <c r="R1686" s="7" t="str">
        <f t="shared" si="560"/>
        <v>住宅建築局住宅経営室</v>
      </c>
    </row>
    <row r="1687" spans="1:18" s="1" customFormat="1" x14ac:dyDescent="0.45">
      <c r="A1687" s="7" t="str">
        <f t="shared" si="579"/>
        <v>09940003098</v>
      </c>
      <c r="B1687" s="7" t="str">
        <f t="shared" si="580"/>
        <v>富田林西</v>
      </c>
      <c r="C1687" s="7" t="str">
        <f t="shared" si="561"/>
        <v>行政財産</v>
      </c>
      <c r="D1687" s="7" t="str">
        <f t="shared" si="562"/>
        <v>公営住宅</v>
      </c>
      <c r="E1687" s="7" t="str">
        <f t="shared" si="581"/>
        <v>大阪府富田林市美山台</v>
      </c>
      <c r="F1687" s="7"/>
      <c r="G1687" s="7" t="str">
        <f t="shared" ref="G1687:G1750" si="583">"事業用資産"</f>
        <v>事業用資産</v>
      </c>
      <c r="H1687" s="7" t="str">
        <f t="shared" si="577"/>
        <v>棚卸以外</v>
      </c>
      <c r="I1687" s="7">
        <v>6</v>
      </c>
      <c r="J1687" s="7" t="str">
        <f>"ポンプ室"</f>
        <v>ポンプ室</v>
      </c>
      <c r="K1687" s="7" t="str">
        <f t="shared" si="578"/>
        <v>鉄筋コンクリート造</v>
      </c>
      <c r="L1687" s="7" t="str">
        <f t="shared" si="582"/>
        <v>S53.12.12</v>
      </c>
      <c r="M1687" s="7">
        <v>78</v>
      </c>
      <c r="N1687" s="7">
        <v>14371000</v>
      </c>
      <c r="O1687" s="7">
        <v>13530411</v>
      </c>
      <c r="P1687" s="7">
        <v>0</v>
      </c>
      <c r="Q1687" s="7" t="str">
        <f t="shared" si="566"/>
        <v>都市整備部</v>
      </c>
      <c r="R1687" s="7" t="str">
        <f t="shared" si="560"/>
        <v>住宅建築局住宅経営室</v>
      </c>
    </row>
    <row r="1688" spans="1:18" s="1" customFormat="1" x14ac:dyDescent="0.45">
      <c r="A1688" s="7" t="str">
        <f t="shared" si="579"/>
        <v>09940003098</v>
      </c>
      <c r="B1688" s="7" t="str">
        <f t="shared" si="580"/>
        <v>富田林西</v>
      </c>
      <c r="C1688" s="7" t="str">
        <f t="shared" si="561"/>
        <v>行政財産</v>
      </c>
      <c r="D1688" s="7" t="str">
        <f t="shared" si="562"/>
        <v>公営住宅</v>
      </c>
      <c r="E1688" s="7" t="str">
        <f t="shared" si="581"/>
        <v>大阪府富田林市美山台</v>
      </c>
      <c r="F1688" s="7"/>
      <c r="G1688" s="7" t="str">
        <f t="shared" si="583"/>
        <v>事業用資産</v>
      </c>
      <c r="H1688" s="7" t="str">
        <f t="shared" si="577"/>
        <v>棚卸以外</v>
      </c>
      <c r="I1688" s="7">
        <v>7</v>
      </c>
      <c r="J1688" s="7" t="str">
        <f>"処理場"</f>
        <v>処理場</v>
      </c>
      <c r="K1688" s="7" t="str">
        <f t="shared" si="578"/>
        <v>鉄筋コンクリート造</v>
      </c>
      <c r="L1688" s="7" t="str">
        <f t="shared" si="582"/>
        <v>S53.12.12</v>
      </c>
      <c r="M1688" s="7">
        <v>112.98</v>
      </c>
      <c r="N1688" s="7">
        <v>50400000</v>
      </c>
      <c r="O1688" s="7">
        <v>47451222</v>
      </c>
      <c r="P1688" s="7">
        <v>0</v>
      </c>
      <c r="Q1688" s="7" t="str">
        <f t="shared" si="566"/>
        <v>都市整備部</v>
      </c>
      <c r="R1688" s="7" t="str">
        <f t="shared" ref="R1688:R1751" si="584">"住宅建築局住宅経営室"</f>
        <v>住宅建築局住宅経営室</v>
      </c>
    </row>
    <row r="1689" spans="1:18" s="1" customFormat="1" x14ac:dyDescent="0.45">
      <c r="A1689" s="7" t="str">
        <f>"09940003099"</f>
        <v>09940003099</v>
      </c>
      <c r="B1689" s="7" t="str">
        <f>"晴美台第４"</f>
        <v>晴美台第４</v>
      </c>
      <c r="C1689" s="7" t="str">
        <f t="shared" si="561"/>
        <v>行政財産</v>
      </c>
      <c r="D1689" s="7" t="str">
        <f t="shared" si="562"/>
        <v>公営住宅</v>
      </c>
      <c r="E1689" s="7" t="str">
        <f>"大阪府堺市　南区晴美台４丁"</f>
        <v>大阪府堺市　南区晴美台４丁</v>
      </c>
      <c r="F1689" s="7"/>
      <c r="G1689" s="7" t="str">
        <f t="shared" si="583"/>
        <v>事業用資産</v>
      </c>
      <c r="H1689" s="7" t="str">
        <f t="shared" si="577"/>
        <v>棚卸以外</v>
      </c>
      <c r="I1689" s="7">
        <v>1</v>
      </c>
      <c r="J1689" s="7" t="str">
        <f>"１～１２号棟"</f>
        <v>１～１２号棟</v>
      </c>
      <c r="K1689" s="7" t="str">
        <f t="shared" si="578"/>
        <v>鉄筋コンクリート造</v>
      </c>
      <c r="L1689" s="7" t="str">
        <f>"S47.04.25"</f>
        <v>S47.04.25</v>
      </c>
      <c r="M1689" s="7">
        <v>45548.480000000003</v>
      </c>
      <c r="N1689" s="7">
        <v>4316819705</v>
      </c>
      <c r="O1689" s="7">
        <v>2929921756</v>
      </c>
      <c r="P1689" s="7">
        <v>0</v>
      </c>
      <c r="Q1689" s="7" t="str">
        <f t="shared" si="566"/>
        <v>都市整備部</v>
      </c>
      <c r="R1689" s="7" t="str">
        <f t="shared" si="584"/>
        <v>住宅建築局住宅経営室</v>
      </c>
    </row>
    <row r="1690" spans="1:18" s="1" customFormat="1" x14ac:dyDescent="0.45">
      <c r="A1690" s="7" t="str">
        <f>"09940003099"</f>
        <v>09940003099</v>
      </c>
      <c r="B1690" s="7" t="str">
        <f>"晴美台第４"</f>
        <v>晴美台第４</v>
      </c>
      <c r="C1690" s="7" t="str">
        <f t="shared" ref="C1690:C1753" si="585">"行政財産"</f>
        <v>行政財産</v>
      </c>
      <c r="D1690" s="7" t="str">
        <f t="shared" ref="D1690:D1753" si="586">"公営住宅"</f>
        <v>公営住宅</v>
      </c>
      <c r="E1690" s="7" t="str">
        <f>"大阪府堺市　南区晴美台４丁"</f>
        <v>大阪府堺市　南区晴美台４丁</v>
      </c>
      <c r="F1690" s="7"/>
      <c r="G1690" s="7" t="str">
        <f t="shared" si="583"/>
        <v>事業用資産</v>
      </c>
      <c r="H1690" s="7" t="str">
        <f t="shared" si="577"/>
        <v>棚卸以外</v>
      </c>
      <c r="I1690" s="7">
        <v>2</v>
      </c>
      <c r="J1690" s="7" t="str">
        <f>"集会所"</f>
        <v>集会所</v>
      </c>
      <c r="K1690" s="7" t="str">
        <f t="shared" si="578"/>
        <v>鉄筋コンクリート造</v>
      </c>
      <c r="L1690" s="7" t="str">
        <f>"S47.04.25"</f>
        <v>S47.04.25</v>
      </c>
      <c r="M1690" s="7">
        <v>158.79</v>
      </c>
      <c r="N1690" s="7">
        <v>9906562</v>
      </c>
      <c r="O1690" s="7">
        <v>9700208</v>
      </c>
      <c r="P1690" s="7">
        <v>0</v>
      </c>
      <c r="Q1690" s="7" t="str">
        <f t="shared" si="566"/>
        <v>都市整備部</v>
      </c>
      <c r="R1690" s="7" t="str">
        <f t="shared" si="584"/>
        <v>住宅建築局住宅経営室</v>
      </c>
    </row>
    <row r="1691" spans="1:18" s="1" customFormat="1" x14ac:dyDescent="0.45">
      <c r="A1691" s="7" t="str">
        <f>"09940003099"</f>
        <v>09940003099</v>
      </c>
      <c r="B1691" s="7" t="str">
        <f>"晴美台第４"</f>
        <v>晴美台第４</v>
      </c>
      <c r="C1691" s="7" t="str">
        <f t="shared" si="585"/>
        <v>行政財産</v>
      </c>
      <c r="D1691" s="7" t="str">
        <f t="shared" si="586"/>
        <v>公営住宅</v>
      </c>
      <c r="E1691" s="7" t="str">
        <f>"大阪府堺市　南区晴美台４丁"</f>
        <v>大阪府堺市　南区晴美台４丁</v>
      </c>
      <c r="F1691" s="7"/>
      <c r="G1691" s="7" t="str">
        <f t="shared" si="583"/>
        <v>事業用資産</v>
      </c>
      <c r="H1691" s="7" t="str">
        <f t="shared" si="577"/>
        <v>棚卸以外</v>
      </c>
      <c r="I1691" s="7">
        <v>3</v>
      </c>
      <c r="J1691" s="7" t="str">
        <f>"集会所"</f>
        <v>集会所</v>
      </c>
      <c r="K1691" s="7" t="str">
        <f t="shared" si="578"/>
        <v>鉄筋コンクリート造</v>
      </c>
      <c r="L1691" s="7" t="str">
        <f>"S59.03.31"</f>
        <v>S59.03.31</v>
      </c>
      <c r="M1691" s="7">
        <v>79.53</v>
      </c>
      <c r="N1691" s="7">
        <v>14900000</v>
      </c>
      <c r="O1691" s="7">
        <v>12364092</v>
      </c>
      <c r="P1691" s="7">
        <v>0</v>
      </c>
      <c r="Q1691" s="7" t="str">
        <f t="shared" ref="Q1691:Q1754" si="587">"都市整備部"</f>
        <v>都市整備部</v>
      </c>
      <c r="R1691" s="7" t="str">
        <f t="shared" si="584"/>
        <v>住宅建築局住宅経営室</v>
      </c>
    </row>
    <row r="1692" spans="1:18" s="1" customFormat="1" x14ac:dyDescent="0.45">
      <c r="A1692" s="7" t="str">
        <f>"09940003099"</f>
        <v>09940003099</v>
      </c>
      <c r="B1692" s="7" t="str">
        <f>"晴美台第４"</f>
        <v>晴美台第４</v>
      </c>
      <c r="C1692" s="7" t="str">
        <f t="shared" si="585"/>
        <v>行政財産</v>
      </c>
      <c r="D1692" s="7" t="str">
        <f t="shared" si="586"/>
        <v>公営住宅</v>
      </c>
      <c r="E1692" s="7" t="str">
        <f>"大阪府堺市　南区晴美台４丁"</f>
        <v>大阪府堺市　南区晴美台４丁</v>
      </c>
      <c r="F1692" s="7"/>
      <c r="G1692" s="7" t="str">
        <f t="shared" si="583"/>
        <v>事業用資産</v>
      </c>
      <c r="H1692" s="7" t="str">
        <f t="shared" si="577"/>
        <v>棚卸以外</v>
      </c>
      <c r="I1692" s="7">
        <v>4</v>
      </c>
      <c r="J1692" s="7" t="str">
        <f>"受水槽"</f>
        <v>受水槽</v>
      </c>
      <c r="K1692" s="7" t="str">
        <f t="shared" si="578"/>
        <v>鉄筋コンクリート造</v>
      </c>
      <c r="L1692" s="7" t="str">
        <f>"S48.07.10"</f>
        <v>S48.07.10</v>
      </c>
      <c r="M1692" s="7">
        <v>213.6</v>
      </c>
      <c r="N1692" s="7">
        <v>13597000</v>
      </c>
      <c r="O1692" s="7">
        <v>13596999</v>
      </c>
      <c r="P1692" s="7">
        <v>0</v>
      </c>
      <c r="Q1692" s="7" t="str">
        <f t="shared" si="587"/>
        <v>都市整備部</v>
      </c>
      <c r="R1692" s="7" t="str">
        <f t="shared" si="584"/>
        <v>住宅建築局住宅経営室</v>
      </c>
    </row>
    <row r="1693" spans="1:18" s="1" customFormat="1" ht="26.4" x14ac:dyDescent="0.45">
      <c r="A1693" s="7" t="str">
        <f>"09940003101"</f>
        <v>09940003101</v>
      </c>
      <c r="B1693" s="7" t="str">
        <f>"赤坂台３丁"</f>
        <v>赤坂台３丁</v>
      </c>
      <c r="C1693" s="7" t="str">
        <f t="shared" si="585"/>
        <v>行政財産</v>
      </c>
      <c r="D1693" s="7" t="str">
        <f t="shared" si="586"/>
        <v>公営住宅</v>
      </c>
      <c r="E1693" s="7" t="str">
        <f>"大阪府堺市　南区赤坂台３丁"</f>
        <v>大阪府堺市　南区赤坂台３丁</v>
      </c>
      <c r="F1693" s="7"/>
      <c r="G1693" s="7" t="str">
        <f t="shared" si="583"/>
        <v>事業用資産</v>
      </c>
      <c r="H1693" s="7" t="str">
        <f t="shared" si="577"/>
        <v>棚卸以外</v>
      </c>
      <c r="I1693" s="7">
        <v>1</v>
      </c>
      <c r="J1693" s="7" t="str">
        <f>"１～３・９～11・15～17・19～27・29～36号棟"</f>
        <v>１～３・９～11・15～17・19～27・29～36号棟</v>
      </c>
      <c r="K1693" s="7" t="str">
        <f>"鉄骨鉄筋コンクリート造"</f>
        <v>鉄骨鉄筋コンクリート造</v>
      </c>
      <c r="L1693" s="7" t="str">
        <f>"S40.03.20"</f>
        <v>S40.03.20</v>
      </c>
      <c r="M1693" s="7">
        <v>50654.13</v>
      </c>
      <c r="N1693" s="7">
        <v>3958447000</v>
      </c>
      <c r="O1693" s="7">
        <v>3147706550</v>
      </c>
      <c r="P1693" s="7">
        <v>0</v>
      </c>
      <c r="Q1693" s="7" t="str">
        <f t="shared" si="587"/>
        <v>都市整備部</v>
      </c>
      <c r="R1693" s="7" t="str">
        <f t="shared" si="584"/>
        <v>住宅建築局住宅経営室</v>
      </c>
    </row>
    <row r="1694" spans="1:18" s="1" customFormat="1" x14ac:dyDescent="0.45">
      <c r="A1694" s="7" t="str">
        <f>"09940003101"</f>
        <v>09940003101</v>
      </c>
      <c r="B1694" s="7" t="str">
        <f>"赤坂台３丁"</f>
        <v>赤坂台３丁</v>
      </c>
      <c r="C1694" s="7" t="str">
        <f t="shared" si="585"/>
        <v>行政財産</v>
      </c>
      <c r="D1694" s="7" t="str">
        <f t="shared" si="586"/>
        <v>公営住宅</v>
      </c>
      <c r="E1694" s="7" t="str">
        <f>"大阪府堺市　南区赤坂台３丁"</f>
        <v>大阪府堺市　南区赤坂台３丁</v>
      </c>
      <c r="F1694" s="7"/>
      <c r="G1694" s="7" t="str">
        <f t="shared" si="583"/>
        <v>事業用資産</v>
      </c>
      <c r="H1694" s="7" t="str">
        <f t="shared" si="577"/>
        <v>棚卸以外</v>
      </c>
      <c r="I1694" s="7">
        <v>2</v>
      </c>
      <c r="J1694" s="7" t="str">
        <f>"４～６・８号棟"</f>
        <v>４～６・８号棟</v>
      </c>
      <c r="K1694" s="7" t="str">
        <f t="shared" ref="K1694:K1757" si="588">"鉄筋コンクリート造"</f>
        <v>鉄筋コンクリート造</v>
      </c>
      <c r="L1694" s="7" t="str">
        <f>"S40.03.20"</f>
        <v>S40.03.20</v>
      </c>
      <c r="M1694" s="7">
        <v>8283.5499999999993</v>
      </c>
      <c r="N1694" s="7">
        <v>648889000</v>
      </c>
      <c r="O1694" s="7">
        <v>502813414</v>
      </c>
      <c r="P1694" s="7">
        <v>0</v>
      </c>
      <c r="Q1694" s="7" t="str">
        <f t="shared" si="587"/>
        <v>都市整備部</v>
      </c>
      <c r="R1694" s="7" t="str">
        <f t="shared" si="584"/>
        <v>住宅建築局住宅経営室</v>
      </c>
    </row>
    <row r="1695" spans="1:18" s="1" customFormat="1" x14ac:dyDescent="0.45">
      <c r="A1695" s="7" t="str">
        <f>"09940003101"</f>
        <v>09940003101</v>
      </c>
      <c r="B1695" s="7" t="str">
        <f>"赤坂台３丁"</f>
        <v>赤坂台３丁</v>
      </c>
      <c r="C1695" s="7" t="str">
        <f t="shared" si="585"/>
        <v>行政財産</v>
      </c>
      <c r="D1695" s="7" t="str">
        <f t="shared" si="586"/>
        <v>公営住宅</v>
      </c>
      <c r="E1695" s="7" t="str">
        <f>"大阪府堺市　南区赤坂台３丁"</f>
        <v>大阪府堺市　南区赤坂台３丁</v>
      </c>
      <c r="F1695" s="7"/>
      <c r="G1695" s="7" t="str">
        <f t="shared" si="583"/>
        <v>事業用資産</v>
      </c>
      <c r="H1695" s="7" t="str">
        <f t="shared" si="577"/>
        <v>棚卸以外</v>
      </c>
      <c r="I1695" s="7">
        <v>3</v>
      </c>
      <c r="J1695" s="7" t="str">
        <f>"集会所"</f>
        <v>集会所</v>
      </c>
      <c r="K1695" s="7" t="str">
        <f t="shared" si="588"/>
        <v>鉄筋コンクリート造</v>
      </c>
      <c r="L1695" s="7" t="str">
        <f>"S40.03.20"</f>
        <v>S40.03.20</v>
      </c>
      <c r="M1695" s="7">
        <v>419.17</v>
      </c>
      <c r="N1695" s="7">
        <v>32922415</v>
      </c>
      <c r="O1695" s="7">
        <v>25851487</v>
      </c>
      <c r="P1695" s="7">
        <v>0</v>
      </c>
      <c r="Q1695" s="7" t="str">
        <f t="shared" si="587"/>
        <v>都市整備部</v>
      </c>
      <c r="R1695" s="7" t="str">
        <f t="shared" si="584"/>
        <v>住宅建築局住宅経営室</v>
      </c>
    </row>
    <row r="1696" spans="1:18" s="1" customFormat="1" x14ac:dyDescent="0.45">
      <c r="A1696" s="7" t="str">
        <f>"09940003101"</f>
        <v>09940003101</v>
      </c>
      <c r="B1696" s="7" t="str">
        <f>"赤坂台３丁"</f>
        <v>赤坂台３丁</v>
      </c>
      <c r="C1696" s="7" t="str">
        <f t="shared" si="585"/>
        <v>行政財産</v>
      </c>
      <c r="D1696" s="7" t="str">
        <f t="shared" si="586"/>
        <v>公営住宅</v>
      </c>
      <c r="E1696" s="7" t="str">
        <f>"大阪府堺市　南区赤坂台３丁"</f>
        <v>大阪府堺市　南区赤坂台３丁</v>
      </c>
      <c r="F1696" s="7"/>
      <c r="G1696" s="7" t="str">
        <f t="shared" si="583"/>
        <v>事業用資産</v>
      </c>
      <c r="H1696" s="7" t="str">
        <f t="shared" si="577"/>
        <v>棚卸以外</v>
      </c>
      <c r="I1696" s="7">
        <v>5</v>
      </c>
      <c r="J1696" s="7" t="str">
        <f>"受水槽"</f>
        <v>受水槽</v>
      </c>
      <c r="K1696" s="7" t="str">
        <f t="shared" si="588"/>
        <v>鉄筋コンクリート造</v>
      </c>
      <c r="L1696" s="7" t="str">
        <f>"S50.12.05"</f>
        <v>S50.12.05</v>
      </c>
      <c r="M1696" s="7">
        <v>103.95</v>
      </c>
      <c r="N1696" s="7">
        <v>5592000</v>
      </c>
      <c r="O1696" s="7">
        <v>5591999</v>
      </c>
      <c r="P1696" s="7">
        <v>0</v>
      </c>
      <c r="Q1696" s="7" t="str">
        <f t="shared" si="587"/>
        <v>都市整備部</v>
      </c>
      <c r="R1696" s="7" t="str">
        <f t="shared" si="584"/>
        <v>住宅建築局住宅経営室</v>
      </c>
    </row>
    <row r="1697" spans="1:18" s="1" customFormat="1" x14ac:dyDescent="0.45">
      <c r="A1697" s="7" t="str">
        <f>"09940003101"</f>
        <v>09940003101</v>
      </c>
      <c r="B1697" s="7" t="str">
        <f>"赤坂台３丁"</f>
        <v>赤坂台３丁</v>
      </c>
      <c r="C1697" s="7" t="str">
        <f t="shared" si="585"/>
        <v>行政財産</v>
      </c>
      <c r="D1697" s="7" t="str">
        <f t="shared" si="586"/>
        <v>公営住宅</v>
      </c>
      <c r="E1697" s="7" t="str">
        <f>"大阪府堺市　南区赤坂台３丁"</f>
        <v>大阪府堺市　南区赤坂台３丁</v>
      </c>
      <c r="F1697" s="7"/>
      <c r="G1697" s="7" t="str">
        <f t="shared" si="583"/>
        <v>事業用資産</v>
      </c>
      <c r="H1697" s="7" t="str">
        <f t="shared" si="577"/>
        <v>棚卸以外</v>
      </c>
      <c r="I1697" s="7">
        <v>6</v>
      </c>
      <c r="J1697" s="7" t="str">
        <f>"１２・１３・１８号棟"</f>
        <v>１２・１３・１８号棟</v>
      </c>
      <c r="K1697" s="7" t="str">
        <f t="shared" si="588"/>
        <v>鉄筋コンクリート造</v>
      </c>
      <c r="L1697" s="7" t="str">
        <f>"S50.12.05"</f>
        <v>S50.12.05</v>
      </c>
      <c r="M1697" s="7">
        <v>18311.310000000001</v>
      </c>
      <c r="N1697" s="7">
        <v>1329659862</v>
      </c>
      <c r="O1697" s="7">
        <v>1272055433</v>
      </c>
      <c r="P1697" s="7">
        <v>0</v>
      </c>
      <c r="Q1697" s="7" t="str">
        <f t="shared" si="587"/>
        <v>都市整備部</v>
      </c>
      <c r="R1697" s="7" t="str">
        <f t="shared" si="584"/>
        <v>住宅建築局住宅経営室</v>
      </c>
    </row>
    <row r="1698" spans="1:18" s="1" customFormat="1" x14ac:dyDescent="0.45">
      <c r="A1698" s="7" t="str">
        <f t="shared" ref="A1698:A1715" si="589">"09940003102"</f>
        <v>09940003102</v>
      </c>
      <c r="B1698" s="7" t="str">
        <f t="shared" ref="B1698:B1715" si="590">"東大阪加納"</f>
        <v>東大阪加納</v>
      </c>
      <c r="C1698" s="7" t="str">
        <f t="shared" si="585"/>
        <v>行政財産</v>
      </c>
      <c r="D1698" s="7" t="str">
        <f t="shared" si="586"/>
        <v>公営住宅</v>
      </c>
      <c r="E1698" s="7" t="str">
        <f t="shared" ref="E1698:E1715" si="591">"大阪府東大阪市加納３丁目"</f>
        <v>大阪府東大阪市加納３丁目</v>
      </c>
      <c r="F1698" s="7"/>
      <c r="G1698" s="7" t="str">
        <f t="shared" si="583"/>
        <v>事業用資産</v>
      </c>
      <c r="H1698" s="7" t="str">
        <f t="shared" si="577"/>
        <v>棚卸以外</v>
      </c>
      <c r="I1698" s="7">
        <v>1</v>
      </c>
      <c r="J1698" s="7" t="str">
        <f>"１号棟"</f>
        <v>１号棟</v>
      </c>
      <c r="K1698" s="7" t="str">
        <f t="shared" si="588"/>
        <v>鉄筋コンクリート造</v>
      </c>
      <c r="L1698" s="7" t="str">
        <f t="shared" ref="L1698:L1709" si="592">"S59.03.27"</f>
        <v>S59.03.27</v>
      </c>
      <c r="M1698" s="7">
        <v>1445.29</v>
      </c>
      <c r="N1698" s="7">
        <v>168753000</v>
      </c>
      <c r="O1698" s="7">
        <v>140029344</v>
      </c>
      <c r="P1698" s="7">
        <v>0</v>
      </c>
      <c r="Q1698" s="7" t="str">
        <f t="shared" si="587"/>
        <v>都市整備部</v>
      </c>
      <c r="R1698" s="7" t="str">
        <f t="shared" si="584"/>
        <v>住宅建築局住宅経営室</v>
      </c>
    </row>
    <row r="1699" spans="1:18" s="1" customFormat="1" x14ac:dyDescent="0.45">
      <c r="A1699" s="7" t="str">
        <f t="shared" si="589"/>
        <v>09940003102</v>
      </c>
      <c r="B1699" s="7" t="str">
        <f t="shared" si="590"/>
        <v>東大阪加納</v>
      </c>
      <c r="C1699" s="7" t="str">
        <f t="shared" si="585"/>
        <v>行政財産</v>
      </c>
      <c r="D1699" s="7" t="str">
        <f t="shared" si="586"/>
        <v>公営住宅</v>
      </c>
      <c r="E1699" s="7" t="str">
        <f t="shared" si="591"/>
        <v>大阪府東大阪市加納３丁目</v>
      </c>
      <c r="F1699" s="7"/>
      <c r="G1699" s="7" t="str">
        <f t="shared" si="583"/>
        <v>事業用資産</v>
      </c>
      <c r="H1699" s="7" t="str">
        <f t="shared" si="577"/>
        <v>棚卸以外</v>
      </c>
      <c r="I1699" s="7">
        <v>2</v>
      </c>
      <c r="J1699" s="7" t="str">
        <f>"２号棟"</f>
        <v>２号棟</v>
      </c>
      <c r="K1699" s="7" t="str">
        <f t="shared" si="588"/>
        <v>鉄筋コンクリート造</v>
      </c>
      <c r="L1699" s="7" t="str">
        <f t="shared" si="592"/>
        <v>S59.03.27</v>
      </c>
      <c r="M1699" s="7">
        <v>2120.09</v>
      </c>
      <c r="N1699" s="7">
        <v>244741000</v>
      </c>
      <c r="O1699" s="7">
        <v>203082984</v>
      </c>
      <c r="P1699" s="7">
        <v>0</v>
      </c>
      <c r="Q1699" s="7" t="str">
        <f t="shared" si="587"/>
        <v>都市整備部</v>
      </c>
      <c r="R1699" s="7" t="str">
        <f t="shared" si="584"/>
        <v>住宅建築局住宅経営室</v>
      </c>
    </row>
    <row r="1700" spans="1:18" s="1" customFormat="1" x14ac:dyDescent="0.45">
      <c r="A1700" s="7" t="str">
        <f t="shared" si="589"/>
        <v>09940003102</v>
      </c>
      <c r="B1700" s="7" t="str">
        <f t="shared" si="590"/>
        <v>東大阪加納</v>
      </c>
      <c r="C1700" s="7" t="str">
        <f t="shared" si="585"/>
        <v>行政財産</v>
      </c>
      <c r="D1700" s="7" t="str">
        <f t="shared" si="586"/>
        <v>公営住宅</v>
      </c>
      <c r="E1700" s="7" t="str">
        <f t="shared" si="591"/>
        <v>大阪府東大阪市加納３丁目</v>
      </c>
      <c r="F1700" s="7"/>
      <c r="G1700" s="7" t="str">
        <f t="shared" si="583"/>
        <v>事業用資産</v>
      </c>
      <c r="H1700" s="7" t="str">
        <f t="shared" si="577"/>
        <v>棚卸以外</v>
      </c>
      <c r="I1700" s="7">
        <v>3</v>
      </c>
      <c r="J1700" s="7" t="str">
        <f>"３号棟"</f>
        <v>３号棟</v>
      </c>
      <c r="K1700" s="7" t="str">
        <f t="shared" si="588"/>
        <v>鉄筋コンクリート造</v>
      </c>
      <c r="L1700" s="7" t="str">
        <f t="shared" si="592"/>
        <v>S59.03.27</v>
      </c>
      <c r="M1700" s="7">
        <v>1526.07</v>
      </c>
      <c r="N1700" s="7">
        <v>213167225</v>
      </c>
      <c r="O1700" s="7">
        <v>156244012</v>
      </c>
      <c r="P1700" s="7">
        <v>0</v>
      </c>
      <c r="Q1700" s="7" t="str">
        <f t="shared" si="587"/>
        <v>都市整備部</v>
      </c>
      <c r="R1700" s="7" t="str">
        <f t="shared" si="584"/>
        <v>住宅建築局住宅経営室</v>
      </c>
    </row>
    <row r="1701" spans="1:18" s="1" customFormat="1" x14ac:dyDescent="0.45">
      <c r="A1701" s="7" t="str">
        <f t="shared" si="589"/>
        <v>09940003102</v>
      </c>
      <c r="B1701" s="7" t="str">
        <f t="shared" si="590"/>
        <v>東大阪加納</v>
      </c>
      <c r="C1701" s="7" t="str">
        <f t="shared" si="585"/>
        <v>行政財産</v>
      </c>
      <c r="D1701" s="7" t="str">
        <f t="shared" si="586"/>
        <v>公営住宅</v>
      </c>
      <c r="E1701" s="7" t="str">
        <f t="shared" si="591"/>
        <v>大阪府東大阪市加納３丁目</v>
      </c>
      <c r="F1701" s="7"/>
      <c r="G1701" s="7" t="str">
        <f t="shared" si="583"/>
        <v>事業用資産</v>
      </c>
      <c r="H1701" s="7" t="str">
        <f t="shared" si="577"/>
        <v>棚卸以外</v>
      </c>
      <c r="I1701" s="7">
        <v>4</v>
      </c>
      <c r="J1701" s="7" t="str">
        <f>"４号棟"</f>
        <v>４号棟</v>
      </c>
      <c r="K1701" s="7" t="str">
        <f t="shared" si="588"/>
        <v>鉄筋コンクリート造</v>
      </c>
      <c r="L1701" s="7" t="str">
        <f t="shared" si="592"/>
        <v>S59.03.27</v>
      </c>
      <c r="M1701" s="7">
        <v>2217.0100000000002</v>
      </c>
      <c r="N1701" s="7">
        <v>311555450</v>
      </c>
      <c r="O1701" s="7">
        <v>217246175</v>
      </c>
      <c r="P1701" s="7">
        <v>0</v>
      </c>
      <c r="Q1701" s="7" t="str">
        <f t="shared" si="587"/>
        <v>都市整備部</v>
      </c>
      <c r="R1701" s="7" t="str">
        <f t="shared" si="584"/>
        <v>住宅建築局住宅経営室</v>
      </c>
    </row>
    <row r="1702" spans="1:18" s="1" customFormat="1" x14ac:dyDescent="0.45">
      <c r="A1702" s="7" t="str">
        <f t="shared" si="589"/>
        <v>09940003102</v>
      </c>
      <c r="B1702" s="7" t="str">
        <f t="shared" si="590"/>
        <v>東大阪加納</v>
      </c>
      <c r="C1702" s="7" t="str">
        <f t="shared" si="585"/>
        <v>行政財産</v>
      </c>
      <c r="D1702" s="7" t="str">
        <f t="shared" si="586"/>
        <v>公営住宅</v>
      </c>
      <c r="E1702" s="7" t="str">
        <f t="shared" si="591"/>
        <v>大阪府東大阪市加納３丁目</v>
      </c>
      <c r="F1702" s="7"/>
      <c r="G1702" s="7" t="str">
        <f t="shared" si="583"/>
        <v>事業用資産</v>
      </c>
      <c r="H1702" s="7" t="str">
        <f t="shared" si="577"/>
        <v>棚卸以外</v>
      </c>
      <c r="I1702" s="7">
        <v>5</v>
      </c>
      <c r="J1702" s="7" t="str">
        <f>"５号棟"</f>
        <v>５号棟</v>
      </c>
      <c r="K1702" s="7" t="str">
        <f t="shared" si="588"/>
        <v>鉄筋コンクリート造</v>
      </c>
      <c r="L1702" s="7" t="str">
        <f t="shared" si="592"/>
        <v>S59.03.27</v>
      </c>
      <c r="M1702" s="7">
        <v>2120.09</v>
      </c>
      <c r="N1702" s="7">
        <v>253785546</v>
      </c>
      <c r="O1702" s="7">
        <v>210099708</v>
      </c>
      <c r="P1702" s="7">
        <v>0</v>
      </c>
      <c r="Q1702" s="7" t="str">
        <f t="shared" si="587"/>
        <v>都市整備部</v>
      </c>
      <c r="R1702" s="7" t="str">
        <f t="shared" si="584"/>
        <v>住宅建築局住宅経営室</v>
      </c>
    </row>
    <row r="1703" spans="1:18" s="1" customFormat="1" x14ac:dyDescent="0.45">
      <c r="A1703" s="7" t="str">
        <f t="shared" si="589"/>
        <v>09940003102</v>
      </c>
      <c r="B1703" s="7" t="str">
        <f t="shared" si="590"/>
        <v>東大阪加納</v>
      </c>
      <c r="C1703" s="7" t="str">
        <f t="shared" si="585"/>
        <v>行政財産</v>
      </c>
      <c r="D1703" s="7" t="str">
        <f t="shared" si="586"/>
        <v>公営住宅</v>
      </c>
      <c r="E1703" s="7" t="str">
        <f t="shared" si="591"/>
        <v>大阪府東大阪市加納３丁目</v>
      </c>
      <c r="F1703" s="7"/>
      <c r="G1703" s="7" t="str">
        <f t="shared" si="583"/>
        <v>事業用資産</v>
      </c>
      <c r="H1703" s="7" t="str">
        <f t="shared" si="577"/>
        <v>棚卸以外</v>
      </c>
      <c r="I1703" s="7">
        <v>6</v>
      </c>
      <c r="J1703" s="7" t="str">
        <f>"６号棟"</f>
        <v>６号棟</v>
      </c>
      <c r="K1703" s="7" t="str">
        <f t="shared" si="588"/>
        <v>鉄筋コンクリート造</v>
      </c>
      <c r="L1703" s="7" t="str">
        <f t="shared" si="592"/>
        <v>S59.03.27</v>
      </c>
      <c r="M1703" s="7">
        <v>1445.29</v>
      </c>
      <c r="N1703" s="7">
        <v>159029000</v>
      </c>
      <c r="O1703" s="7">
        <v>131960556</v>
      </c>
      <c r="P1703" s="7">
        <v>0</v>
      </c>
      <c r="Q1703" s="7" t="str">
        <f t="shared" si="587"/>
        <v>都市整備部</v>
      </c>
      <c r="R1703" s="7" t="str">
        <f t="shared" si="584"/>
        <v>住宅建築局住宅経営室</v>
      </c>
    </row>
    <row r="1704" spans="1:18" s="1" customFormat="1" x14ac:dyDescent="0.45">
      <c r="A1704" s="7" t="str">
        <f t="shared" si="589"/>
        <v>09940003102</v>
      </c>
      <c r="B1704" s="7" t="str">
        <f t="shared" si="590"/>
        <v>東大阪加納</v>
      </c>
      <c r="C1704" s="7" t="str">
        <f t="shared" si="585"/>
        <v>行政財産</v>
      </c>
      <c r="D1704" s="7" t="str">
        <f t="shared" si="586"/>
        <v>公営住宅</v>
      </c>
      <c r="E1704" s="7" t="str">
        <f t="shared" si="591"/>
        <v>大阪府東大阪市加納３丁目</v>
      </c>
      <c r="F1704" s="7"/>
      <c r="G1704" s="7" t="str">
        <f t="shared" si="583"/>
        <v>事業用資産</v>
      </c>
      <c r="H1704" s="7" t="str">
        <f t="shared" si="577"/>
        <v>棚卸以外</v>
      </c>
      <c r="I1704" s="7">
        <v>7</v>
      </c>
      <c r="J1704" s="7" t="str">
        <f>"７号棟"</f>
        <v>７号棟</v>
      </c>
      <c r="K1704" s="7" t="str">
        <f t="shared" si="588"/>
        <v>鉄筋コンクリート造</v>
      </c>
      <c r="L1704" s="7" t="str">
        <f t="shared" si="592"/>
        <v>S59.03.27</v>
      </c>
      <c r="M1704" s="7">
        <v>1479.31</v>
      </c>
      <c r="N1704" s="7">
        <v>178631000</v>
      </c>
      <c r="O1704" s="7">
        <v>148225896</v>
      </c>
      <c r="P1704" s="7">
        <v>0</v>
      </c>
      <c r="Q1704" s="7" t="str">
        <f t="shared" si="587"/>
        <v>都市整備部</v>
      </c>
      <c r="R1704" s="7" t="str">
        <f t="shared" si="584"/>
        <v>住宅建築局住宅経営室</v>
      </c>
    </row>
    <row r="1705" spans="1:18" s="1" customFormat="1" x14ac:dyDescent="0.45">
      <c r="A1705" s="7" t="str">
        <f t="shared" si="589"/>
        <v>09940003102</v>
      </c>
      <c r="B1705" s="7" t="str">
        <f t="shared" si="590"/>
        <v>東大阪加納</v>
      </c>
      <c r="C1705" s="7" t="str">
        <f t="shared" si="585"/>
        <v>行政財産</v>
      </c>
      <c r="D1705" s="7" t="str">
        <f t="shared" si="586"/>
        <v>公営住宅</v>
      </c>
      <c r="E1705" s="7" t="str">
        <f t="shared" si="591"/>
        <v>大阪府東大阪市加納３丁目</v>
      </c>
      <c r="F1705" s="7"/>
      <c r="G1705" s="7" t="str">
        <f t="shared" si="583"/>
        <v>事業用資産</v>
      </c>
      <c r="H1705" s="7" t="str">
        <f t="shared" si="577"/>
        <v>棚卸以外</v>
      </c>
      <c r="I1705" s="7">
        <v>8</v>
      </c>
      <c r="J1705" s="7" t="str">
        <f>"８号棟"</f>
        <v>８号棟</v>
      </c>
      <c r="K1705" s="7" t="str">
        <f t="shared" si="588"/>
        <v>鉄筋コンクリート造</v>
      </c>
      <c r="L1705" s="7" t="str">
        <f t="shared" si="592"/>
        <v>S59.03.27</v>
      </c>
      <c r="M1705" s="7">
        <v>1554.5</v>
      </c>
      <c r="N1705" s="7">
        <v>186146000</v>
      </c>
      <c r="O1705" s="7">
        <v>154461996</v>
      </c>
      <c r="P1705" s="7">
        <v>0</v>
      </c>
      <c r="Q1705" s="7" t="str">
        <f t="shared" si="587"/>
        <v>都市整備部</v>
      </c>
      <c r="R1705" s="7" t="str">
        <f t="shared" si="584"/>
        <v>住宅建築局住宅経営室</v>
      </c>
    </row>
    <row r="1706" spans="1:18" s="1" customFormat="1" x14ac:dyDescent="0.45">
      <c r="A1706" s="7" t="str">
        <f t="shared" si="589"/>
        <v>09940003102</v>
      </c>
      <c r="B1706" s="7" t="str">
        <f t="shared" si="590"/>
        <v>東大阪加納</v>
      </c>
      <c r="C1706" s="7" t="str">
        <f t="shared" si="585"/>
        <v>行政財産</v>
      </c>
      <c r="D1706" s="7" t="str">
        <f t="shared" si="586"/>
        <v>公営住宅</v>
      </c>
      <c r="E1706" s="7" t="str">
        <f t="shared" si="591"/>
        <v>大阪府東大阪市加納３丁目</v>
      </c>
      <c r="F1706" s="7"/>
      <c r="G1706" s="7" t="str">
        <f t="shared" si="583"/>
        <v>事業用資産</v>
      </c>
      <c r="H1706" s="7" t="str">
        <f t="shared" si="577"/>
        <v>棚卸以外</v>
      </c>
      <c r="I1706" s="7">
        <v>9</v>
      </c>
      <c r="J1706" s="7" t="str">
        <f>"９号棟"</f>
        <v>９号棟</v>
      </c>
      <c r="K1706" s="7" t="str">
        <f t="shared" si="588"/>
        <v>鉄筋コンクリート造</v>
      </c>
      <c r="L1706" s="7" t="str">
        <f t="shared" si="592"/>
        <v>S59.03.27</v>
      </c>
      <c r="M1706" s="7">
        <v>1546.27</v>
      </c>
      <c r="N1706" s="7">
        <v>179920273</v>
      </c>
      <c r="O1706" s="7">
        <v>149051448</v>
      </c>
      <c r="P1706" s="7">
        <v>0</v>
      </c>
      <c r="Q1706" s="7" t="str">
        <f t="shared" si="587"/>
        <v>都市整備部</v>
      </c>
      <c r="R1706" s="7" t="str">
        <f t="shared" si="584"/>
        <v>住宅建築局住宅経営室</v>
      </c>
    </row>
    <row r="1707" spans="1:18" s="1" customFormat="1" x14ac:dyDescent="0.45">
      <c r="A1707" s="7" t="str">
        <f t="shared" si="589"/>
        <v>09940003102</v>
      </c>
      <c r="B1707" s="7" t="str">
        <f t="shared" si="590"/>
        <v>東大阪加納</v>
      </c>
      <c r="C1707" s="7" t="str">
        <f t="shared" si="585"/>
        <v>行政財産</v>
      </c>
      <c r="D1707" s="7" t="str">
        <f t="shared" si="586"/>
        <v>公営住宅</v>
      </c>
      <c r="E1707" s="7" t="str">
        <f t="shared" si="591"/>
        <v>大阪府東大阪市加納３丁目</v>
      </c>
      <c r="F1707" s="7"/>
      <c r="G1707" s="7" t="str">
        <f t="shared" si="583"/>
        <v>事業用資産</v>
      </c>
      <c r="H1707" s="7" t="str">
        <f t="shared" si="577"/>
        <v>棚卸以外</v>
      </c>
      <c r="I1707" s="7">
        <v>10</v>
      </c>
      <c r="J1707" s="7" t="str">
        <f>"１０号棟"</f>
        <v>１０号棟</v>
      </c>
      <c r="K1707" s="7" t="str">
        <f t="shared" si="588"/>
        <v>鉄筋コンクリート造</v>
      </c>
      <c r="L1707" s="7" t="str">
        <f t="shared" si="592"/>
        <v>S59.03.27</v>
      </c>
      <c r="M1707" s="7">
        <v>1460.04</v>
      </c>
      <c r="N1707" s="7">
        <v>193720000</v>
      </c>
      <c r="O1707" s="7">
        <v>160746768</v>
      </c>
      <c r="P1707" s="7">
        <v>0</v>
      </c>
      <c r="Q1707" s="7" t="str">
        <f t="shared" si="587"/>
        <v>都市整備部</v>
      </c>
      <c r="R1707" s="7" t="str">
        <f t="shared" si="584"/>
        <v>住宅建築局住宅経営室</v>
      </c>
    </row>
    <row r="1708" spans="1:18" s="1" customFormat="1" x14ac:dyDescent="0.45">
      <c r="A1708" s="7" t="str">
        <f t="shared" si="589"/>
        <v>09940003102</v>
      </c>
      <c r="B1708" s="7" t="str">
        <f t="shared" si="590"/>
        <v>東大阪加納</v>
      </c>
      <c r="C1708" s="7" t="str">
        <f t="shared" si="585"/>
        <v>行政財産</v>
      </c>
      <c r="D1708" s="7" t="str">
        <f t="shared" si="586"/>
        <v>公営住宅</v>
      </c>
      <c r="E1708" s="7" t="str">
        <f t="shared" si="591"/>
        <v>大阪府東大阪市加納３丁目</v>
      </c>
      <c r="F1708" s="7"/>
      <c r="G1708" s="7" t="str">
        <f t="shared" si="583"/>
        <v>事業用資産</v>
      </c>
      <c r="H1708" s="7" t="str">
        <f t="shared" si="577"/>
        <v>棚卸以外</v>
      </c>
      <c r="I1708" s="7">
        <v>11</v>
      </c>
      <c r="J1708" s="7" t="str">
        <f>"集会所"</f>
        <v>集会所</v>
      </c>
      <c r="K1708" s="7" t="str">
        <f t="shared" si="588"/>
        <v>鉄筋コンクリート造</v>
      </c>
      <c r="L1708" s="7" t="str">
        <f t="shared" si="592"/>
        <v>S59.03.27</v>
      </c>
      <c r="M1708" s="7">
        <v>148.21</v>
      </c>
      <c r="N1708" s="7">
        <v>31013000</v>
      </c>
      <c r="O1708" s="7">
        <v>25734384</v>
      </c>
      <c r="P1708" s="7">
        <v>0</v>
      </c>
      <c r="Q1708" s="7" t="str">
        <f t="shared" si="587"/>
        <v>都市整備部</v>
      </c>
      <c r="R1708" s="7" t="str">
        <f t="shared" si="584"/>
        <v>住宅建築局住宅経営室</v>
      </c>
    </row>
    <row r="1709" spans="1:18" s="1" customFormat="1" x14ac:dyDescent="0.45">
      <c r="A1709" s="7" t="str">
        <f t="shared" si="589"/>
        <v>09940003102</v>
      </c>
      <c r="B1709" s="7" t="str">
        <f t="shared" si="590"/>
        <v>東大阪加納</v>
      </c>
      <c r="C1709" s="7" t="str">
        <f t="shared" si="585"/>
        <v>行政財産</v>
      </c>
      <c r="D1709" s="7" t="str">
        <f t="shared" si="586"/>
        <v>公営住宅</v>
      </c>
      <c r="E1709" s="7" t="str">
        <f t="shared" si="591"/>
        <v>大阪府東大阪市加納３丁目</v>
      </c>
      <c r="F1709" s="7"/>
      <c r="G1709" s="7" t="str">
        <f t="shared" si="583"/>
        <v>事業用資産</v>
      </c>
      <c r="H1709" s="7" t="str">
        <f t="shared" si="577"/>
        <v>棚卸以外</v>
      </c>
      <c r="I1709" s="7">
        <v>12</v>
      </c>
      <c r="J1709" s="7" t="str">
        <f>"受水槽"</f>
        <v>受水槽</v>
      </c>
      <c r="K1709" s="7" t="str">
        <f t="shared" si="588"/>
        <v>鉄筋コンクリート造</v>
      </c>
      <c r="L1709" s="7" t="str">
        <f t="shared" si="592"/>
        <v>S59.03.27</v>
      </c>
      <c r="M1709" s="7">
        <v>97.6</v>
      </c>
      <c r="N1709" s="7">
        <v>27766000</v>
      </c>
      <c r="O1709" s="7">
        <v>23040108</v>
      </c>
      <c r="P1709" s="7">
        <v>0</v>
      </c>
      <c r="Q1709" s="7" t="str">
        <f t="shared" si="587"/>
        <v>都市整備部</v>
      </c>
      <c r="R1709" s="7" t="str">
        <f t="shared" si="584"/>
        <v>住宅建築局住宅経営室</v>
      </c>
    </row>
    <row r="1710" spans="1:18" s="1" customFormat="1" x14ac:dyDescent="0.45">
      <c r="A1710" s="7" t="str">
        <f t="shared" si="589"/>
        <v>09940003102</v>
      </c>
      <c r="B1710" s="7" t="str">
        <f t="shared" si="590"/>
        <v>東大阪加納</v>
      </c>
      <c r="C1710" s="7" t="str">
        <f t="shared" si="585"/>
        <v>行政財産</v>
      </c>
      <c r="D1710" s="7" t="str">
        <f t="shared" si="586"/>
        <v>公営住宅</v>
      </c>
      <c r="E1710" s="7" t="str">
        <f t="shared" si="591"/>
        <v>大阪府東大阪市加納３丁目</v>
      </c>
      <c r="F1710" s="7"/>
      <c r="G1710" s="7" t="str">
        <f t="shared" si="583"/>
        <v>事業用資産</v>
      </c>
      <c r="H1710" s="7" t="str">
        <f t="shared" si="577"/>
        <v>棚卸以外</v>
      </c>
      <c r="I1710" s="7">
        <v>13</v>
      </c>
      <c r="J1710" s="7" t="str">
        <f>"１１号棟"</f>
        <v>１１号棟</v>
      </c>
      <c r="K1710" s="7" t="str">
        <f t="shared" si="588"/>
        <v>鉄筋コンクリート造</v>
      </c>
      <c r="L1710" s="7" t="str">
        <f t="shared" ref="L1710:L1715" si="593">"S60.02.25"</f>
        <v>S60.02.25</v>
      </c>
      <c r="M1710" s="7">
        <v>1445.29</v>
      </c>
      <c r="N1710" s="7">
        <v>173536000</v>
      </c>
      <c r="O1710" s="7">
        <v>140613416</v>
      </c>
      <c r="P1710" s="7">
        <v>0</v>
      </c>
      <c r="Q1710" s="7" t="str">
        <f t="shared" si="587"/>
        <v>都市整備部</v>
      </c>
      <c r="R1710" s="7" t="str">
        <f t="shared" si="584"/>
        <v>住宅建築局住宅経営室</v>
      </c>
    </row>
    <row r="1711" spans="1:18" s="1" customFormat="1" x14ac:dyDescent="0.45">
      <c r="A1711" s="7" t="str">
        <f t="shared" si="589"/>
        <v>09940003102</v>
      </c>
      <c r="B1711" s="7" t="str">
        <f t="shared" si="590"/>
        <v>東大阪加納</v>
      </c>
      <c r="C1711" s="7" t="str">
        <f t="shared" si="585"/>
        <v>行政財産</v>
      </c>
      <c r="D1711" s="7" t="str">
        <f t="shared" si="586"/>
        <v>公営住宅</v>
      </c>
      <c r="E1711" s="7" t="str">
        <f t="shared" si="591"/>
        <v>大阪府東大阪市加納３丁目</v>
      </c>
      <c r="F1711" s="7"/>
      <c r="G1711" s="7" t="str">
        <f t="shared" si="583"/>
        <v>事業用資産</v>
      </c>
      <c r="H1711" s="7" t="str">
        <f t="shared" si="577"/>
        <v>棚卸以外</v>
      </c>
      <c r="I1711" s="7">
        <v>14</v>
      </c>
      <c r="J1711" s="7" t="str">
        <f>"１２号棟"</f>
        <v>１２号棟</v>
      </c>
      <c r="K1711" s="7" t="str">
        <f t="shared" si="588"/>
        <v>鉄筋コンクリート造</v>
      </c>
      <c r="L1711" s="7" t="str">
        <f t="shared" si="593"/>
        <v>S60.02.25</v>
      </c>
      <c r="M1711" s="7">
        <v>1460.04</v>
      </c>
      <c r="N1711" s="7">
        <v>186333000</v>
      </c>
      <c r="O1711" s="7">
        <v>150982746</v>
      </c>
      <c r="P1711" s="7">
        <v>0</v>
      </c>
      <c r="Q1711" s="7" t="str">
        <f t="shared" si="587"/>
        <v>都市整備部</v>
      </c>
      <c r="R1711" s="7" t="str">
        <f t="shared" si="584"/>
        <v>住宅建築局住宅経営室</v>
      </c>
    </row>
    <row r="1712" spans="1:18" s="1" customFormat="1" x14ac:dyDescent="0.45">
      <c r="A1712" s="7" t="str">
        <f t="shared" si="589"/>
        <v>09940003102</v>
      </c>
      <c r="B1712" s="7" t="str">
        <f t="shared" si="590"/>
        <v>東大阪加納</v>
      </c>
      <c r="C1712" s="7" t="str">
        <f t="shared" si="585"/>
        <v>行政財産</v>
      </c>
      <c r="D1712" s="7" t="str">
        <f t="shared" si="586"/>
        <v>公営住宅</v>
      </c>
      <c r="E1712" s="7" t="str">
        <f t="shared" si="591"/>
        <v>大阪府東大阪市加納３丁目</v>
      </c>
      <c r="F1712" s="7"/>
      <c r="G1712" s="7" t="str">
        <f t="shared" si="583"/>
        <v>事業用資産</v>
      </c>
      <c r="H1712" s="7" t="str">
        <f t="shared" si="577"/>
        <v>棚卸以外</v>
      </c>
      <c r="I1712" s="7">
        <v>15</v>
      </c>
      <c r="J1712" s="7" t="str">
        <f>"１３号棟"</f>
        <v>１３号棟</v>
      </c>
      <c r="K1712" s="7" t="str">
        <f t="shared" si="588"/>
        <v>鉄筋コンクリート造</v>
      </c>
      <c r="L1712" s="7" t="str">
        <f t="shared" si="593"/>
        <v>S60.02.25</v>
      </c>
      <c r="M1712" s="7">
        <v>2120.9699999999998</v>
      </c>
      <c r="N1712" s="7">
        <v>248136000</v>
      </c>
      <c r="O1712" s="7">
        <v>201060806</v>
      </c>
      <c r="P1712" s="7">
        <v>0</v>
      </c>
      <c r="Q1712" s="7" t="str">
        <f t="shared" si="587"/>
        <v>都市整備部</v>
      </c>
      <c r="R1712" s="7" t="str">
        <f t="shared" si="584"/>
        <v>住宅建築局住宅経営室</v>
      </c>
    </row>
    <row r="1713" spans="1:18" s="1" customFormat="1" x14ac:dyDescent="0.45">
      <c r="A1713" s="7" t="str">
        <f t="shared" si="589"/>
        <v>09940003102</v>
      </c>
      <c r="B1713" s="7" t="str">
        <f t="shared" si="590"/>
        <v>東大阪加納</v>
      </c>
      <c r="C1713" s="7" t="str">
        <f t="shared" si="585"/>
        <v>行政財産</v>
      </c>
      <c r="D1713" s="7" t="str">
        <f t="shared" si="586"/>
        <v>公営住宅</v>
      </c>
      <c r="E1713" s="7" t="str">
        <f t="shared" si="591"/>
        <v>大阪府東大阪市加納３丁目</v>
      </c>
      <c r="F1713" s="7"/>
      <c r="G1713" s="7" t="str">
        <f t="shared" si="583"/>
        <v>事業用資産</v>
      </c>
      <c r="H1713" s="7" t="str">
        <f t="shared" si="577"/>
        <v>棚卸以外</v>
      </c>
      <c r="I1713" s="7">
        <v>16</v>
      </c>
      <c r="J1713" s="7" t="str">
        <f>"１４号棟"</f>
        <v>１４号棟</v>
      </c>
      <c r="K1713" s="7" t="str">
        <f t="shared" si="588"/>
        <v>鉄筋コンクリート造</v>
      </c>
      <c r="L1713" s="7" t="str">
        <f t="shared" si="593"/>
        <v>S60.02.25</v>
      </c>
      <c r="M1713" s="7">
        <v>2265.21</v>
      </c>
      <c r="N1713" s="7">
        <v>289789225</v>
      </c>
      <c r="O1713" s="7">
        <v>214798571</v>
      </c>
      <c r="P1713" s="7">
        <v>0</v>
      </c>
      <c r="Q1713" s="7" t="str">
        <f t="shared" si="587"/>
        <v>都市整備部</v>
      </c>
      <c r="R1713" s="7" t="str">
        <f t="shared" si="584"/>
        <v>住宅建築局住宅経営室</v>
      </c>
    </row>
    <row r="1714" spans="1:18" s="1" customFormat="1" x14ac:dyDescent="0.45">
      <c r="A1714" s="7" t="str">
        <f t="shared" si="589"/>
        <v>09940003102</v>
      </c>
      <c r="B1714" s="7" t="str">
        <f t="shared" si="590"/>
        <v>東大阪加納</v>
      </c>
      <c r="C1714" s="7" t="str">
        <f t="shared" si="585"/>
        <v>行政財産</v>
      </c>
      <c r="D1714" s="7" t="str">
        <f t="shared" si="586"/>
        <v>公営住宅</v>
      </c>
      <c r="E1714" s="7" t="str">
        <f t="shared" si="591"/>
        <v>大阪府東大阪市加納３丁目</v>
      </c>
      <c r="F1714" s="7"/>
      <c r="G1714" s="7" t="str">
        <f t="shared" si="583"/>
        <v>事業用資産</v>
      </c>
      <c r="H1714" s="7" t="str">
        <f t="shared" si="577"/>
        <v>棚卸以外</v>
      </c>
      <c r="I1714" s="7">
        <v>17</v>
      </c>
      <c r="J1714" s="7" t="str">
        <f>"１５号棟"</f>
        <v>１５号棟</v>
      </c>
      <c r="K1714" s="7" t="str">
        <f t="shared" si="588"/>
        <v>鉄筋コンクリート造</v>
      </c>
      <c r="L1714" s="7" t="str">
        <f t="shared" si="593"/>
        <v>S60.02.25</v>
      </c>
      <c r="M1714" s="7">
        <v>2182.73</v>
      </c>
      <c r="N1714" s="7">
        <v>25822000</v>
      </c>
      <c r="O1714" s="7">
        <v>20923288</v>
      </c>
      <c r="P1714" s="7">
        <v>0</v>
      </c>
      <c r="Q1714" s="7" t="str">
        <f t="shared" si="587"/>
        <v>都市整備部</v>
      </c>
      <c r="R1714" s="7" t="str">
        <f t="shared" si="584"/>
        <v>住宅建築局住宅経営室</v>
      </c>
    </row>
    <row r="1715" spans="1:18" s="1" customFormat="1" x14ac:dyDescent="0.45">
      <c r="A1715" s="7" t="str">
        <f t="shared" si="589"/>
        <v>09940003102</v>
      </c>
      <c r="B1715" s="7" t="str">
        <f t="shared" si="590"/>
        <v>東大阪加納</v>
      </c>
      <c r="C1715" s="7" t="str">
        <f t="shared" si="585"/>
        <v>行政財産</v>
      </c>
      <c r="D1715" s="7" t="str">
        <f t="shared" si="586"/>
        <v>公営住宅</v>
      </c>
      <c r="E1715" s="7" t="str">
        <f t="shared" si="591"/>
        <v>大阪府東大阪市加納３丁目</v>
      </c>
      <c r="F1715" s="7"/>
      <c r="G1715" s="7" t="str">
        <f t="shared" si="583"/>
        <v>事業用資産</v>
      </c>
      <c r="H1715" s="7" t="str">
        <f t="shared" si="577"/>
        <v>棚卸以外</v>
      </c>
      <c r="I1715" s="7">
        <v>18</v>
      </c>
      <c r="J1715" s="7" t="str">
        <f>"１６号棟"</f>
        <v>１６号棟</v>
      </c>
      <c r="K1715" s="7" t="str">
        <f t="shared" si="588"/>
        <v>鉄筋コンクリート造</v>
      </c>
      <c r="L1715" s="7" t="str">
        <f t="shared" si="593"/>
        <v>S60.02.25</v>
      </c>
      <c r="M1715" s="7">
        <v>2265.21</v>
      </c>
      <c r="N1715" s="7">
        <v>289390498</v>
      </c>
      <c r="O1715" s="7">
        <v>214236918</v>
      </c>
      <c r="P1715" s="7">
        <v>0</v>
      </c>
      <c r="Q1715" s="7" t="str">
        <f t="shared" si="587"/>
        <v>都市整備部</v>
      </c>
      <c r="R1715" s="7" t="str">
        <f t="shared" si="584"/>
        <v>住宅建築局住宅経営室</v>
      </c>
    </row>
    <row r="1716" spans="1:18" s="1" customFormat="1" x14ac:dyDescent="0.45">
      <c r="A1716" s="7" t="str">
        <f>"09940003107"</f>
        <v>09940003107</v>
      </c>
      <c r="B1716" s="7" t="str">
        <f>"瓜破"</f>
        <v>瓜破</v>
      </c>
      <c r="C1716" s="7" t="str">
        <f t="shared" si="585"/>
        <v>行政財産</v>
      </c>
      <c r="D1716" s="7" t="str">
        <f t="shared" si="586"/>
        <v>公営住宅</v>
      </c>
      <c r="E1716" s="7" t="str">
        <f>"大阪府大阪市　平野区瓜破西１丁目"</f>
        <v>大阪府大阪市　平野区瓜破西１丁目</v>
      </c>
      <c r="F1716" s="7"/>
      <c r="G1716" s="7" t="str">
        <f t="shared" si="583"/>
        <v>事業用資産</v>
      </c>
      <c r="H1716" s="7" t="str">
        <f t="shared" si="577"/>
        <v>棚卸以外</v>
      </c>
      <c r="I1716" s="7">
        <v>24</v>
      </c>
      <c r="J1716" s="7" t="str">
        <f>"集会所"</f>
        <v>集会所</v>
      </c>
      <c r="K1716" s="7" t="str">
        <f t="shared" si="588"/>
        <v>鉄筋コンクリート造</v>
      </c>
      <c r="L1716" s="7" t="str">
        <f>"S35.08.03"</f>
        <v>S35.08.03</v>
      </c>
      <c r="M1716" s="7">
        <v>292.77</v>
      </c>
      <c r="N1716" s="7">
        <v>3698352</v>
      </c>
      <c r="O1716" s="7">
        <v>3698351</v>
      </c>
      <c r="P1716" s="7">
        <v>0</v>
      </c>
      <c r="Q1716" s="7" t="str">
        <f t="shared" si="587"/>
        <v>都市整備部</v>
      </c>
      <c r="R1716" s="7" t="str">
        <f t="shared" si="584"/>
        <v>住宅建築局住宅経営室</v>
      </c>
    </row>
    <row r="1717" spans="1:18" s="1" customFormat="1" x14ac:dyDescent="0.45">
      <c r="A1717" s="7" t="str">
        <f>"09940003111"</f>
        <v>09940003111</v>
      </c>
      <c r="B1717" s="7" t="str">
        <f>"桃山台１丁"</f>
        <v>桃山台１丁</v>
      </c>
      <c r="C1717" s="7" t="str">
        <f t="shared" si="585"/>
        <v>行政財産</v>
      </c>
      <c r="D1717" s="7" t="str">
        <f t="shared" si="586"/>
        <v>公営住宅</v>
      </c>
      <c r="E1717" s="7" t="str">
        <f>"大阪府堺市　南区桃山台１丁"</f>
        <v>大阪府堺市　南区桃山台１丁</v>
      </c>
      <c r="F1717" s="7"/>
      <c r="G1717" s="7" t="str">
        <f t="shared" si="583"/>
        <v>事業用資産</v>
      </c>
      <c r="H1717" s="7" t="str">
        <f t="shared" si="577"/>
        <v>棚卸以外</v>
      </c>
      <c r="I1717" s="7">
        <v>1</v>
      </c>
      <c r="J1717" s="7" t="str">
        <f>"８～１２号棟"</f>
        <v>８～１２号棟</v>
      </c>
      <c r="K1717" s="7" t="str">
        <f t="shared" si="588"/>
        <v>鉄筋コンクリート造</v>
      </c>
      <c r="L1717" s="7" t="str">
        <f>"S47.08.31"</f>
        <v>S47.08.31</v>
      </c>
      <c r="M1717" s="7">
        <v>10173.200000000001</v>
      </c>
      <c r="N1717" s="7">
        <v>724688246</v>
      </c>
      <c r="O1717" s="7">
        <v>515436533</v>
      </c>
      <c r="P1717" s="7">
        <v>0</v>
      </c>
      <c r="Q1717" s="7" t="str">
        <f t="shared" si="587"/>
        <v>都市整備部</v>
      </c>
      <c r="R1717" s="7" t="str">
        <f t="shared" si="584"/>
        <v>住宅建築局住宅経営室</v>
      </c>
    </row>
    <row r="1718" spans="1:18" s="1" customFormat="1" x14ac:dyDescent="0.45">
      <c r="A1718" s="7" t="str">
        <f>"09940003111"</f>
        <v>09940003111</v>
      </c>
      <c r="B1718" s="7" t="str">
        <f>"桃山台１丁"</f>
        <v>桃山台１丁</v>
      </c>
      <c r="C1718" s="7" t="str">
        <f t="shared" si="585"/>
        <v>行政財産</v>
      </c>
      <c r="D1718" s="7" t="str">
        <f t="shared" si="586"/>
        <v>公営住宅</v>
      </c>
      <c r="E1718" s="7" t="str">
        <f>"大阪府堺市　南区桃山台１丁"</f>
        <v>大阪府堺市　南区桃山台１丁</v>
      </c>
      <c r="F1718" s="7"/>
      <c r="G1718" s="7" t="str">
        <f t="shared" si="583"/>
        <v>事業用資産</v>
      </c>
      <c r="H1718" s="7" t="str">
        <f t="shared" si="577"/>
        <v>棚卸以外</v>
      </c>
      <c r="I1718" s="7">
        <v>2</v>
      </c>
      <c r="J1718" s="7" t="str">
        <f>"１～７号棟"</f>
        <v>１～７号棟</v>
      </c>
      <c r="K1718" s="7" t="str">
        <f t="shared" si="588"/>
        <v>鉄筋コンクリート造</v>
      </c>
      <c r="L1718" s="7" t="str">
        <f>"S47.08.31"</f>
        <v>S47.08.31</v>
      </c>
      <c r="M1718" s="7">
        <v>10388.9</v>
      </c>
      <c r="N1718" s="7">
        <v>720408411</v>
      </c>
      <c r="O1718" s="7">
        <v>530395062</v>
      </c>
      <c r="P1718" s="7">
        <v>0</v>
      </c>
      <c r="Q1718" s="7" t="str">
        <f t="shared" si="587"/>
        <v>都市整備部</v>
      </c>
      <c r="R1718" s="7" t="str">
        <f t="shared" si="584"/>
        <v>住宅建築局住宅経営室</v>
      </c>
    </row>
    <row r="1719" spans="1:18" s="1" customFormat="1" x14ac:dyDescent="0.45">
      <c r="A1719" s="7" t="str">
        <f>"09940003111"</f>
        <v>09940003111</v>
      </c>
      <c r="B1719" s="7" t="str">
        <f>"桃山台１丁"</f>
        <v>桃山台１丁</v>
      </c>
      <c r="C1719" s="7" t="str">
        <f t="shared" si="585"/>
        <v>行政財産</v>
      </c>
      <c r="D1719" s="7" t="str">
        <f t="shared" si="586"/>
        <v>公営住宅</v>
      </c>
      <c r="E1719" s="7" t="str">
        <f>"大阪府堺市　南区桃山台１丁"</f>
        <v>大阪府堺市　南区桃山台１丁</v>
      </c>
      <c r="F1719" s="7"/>
      <c r="G1719" s="7" t="str">
        <f t="shared" si="583"/>
        <v>事業用資産</v>
      </c>
      <c r="H1719" s="7" t="str">
        <f t="shared" si="577"/>
        <v>棚卸以外</v>
      </c>
      <c r="I1719" s="7">
        <v>3</v>
      </c>
      <c r="J1719" s="7" t="str">
        <f>"集会所"</f>
        <v>集会所</v>
      </c>
      <c r="K1719" s="7" t="str">
        <f t="shared" si="588"/>
        <v>鉄筋コンクリート造</v>
      </c>
      <c r="L1719" s="7" t="str">
        <f>"S47.08.31"</f>
        <v>S47.08.31</v>
      </c>
      <c r="M1719" s="7">
        <v>156.29</v>
      </c>
      <c r="N1719" s="7">
        <v>13775000</v>
      </c>
      <c r="O1719" s="7">
        <v>9463257</v>
      </c>
      <c r="P1719" s="7">
        <v>0</v>
      </c>
      <c r="Q1719" s="7" t="str">
        <f t="shared" si="587"/>
        <v>都市整備部</v>
      </c>
      <c r="R1719" s="7" t="str">
        <f t="shared" si="584"/>
        <v>住宅建築局住宅経営室</v>
      </c>
    </row>
    <row r="1720" spans="1:18" s="1" customFormat="1" x14ac:dyDescent="0.45">
      <c r="A1720" s="7" t="str">
        <f>"09940003112"</f>
        <v>09940003112</v>
      </c>
      <c r="B1720" s="7" t="str">
        <f>"桃山台２丁"</f>
        <v>桃山台２丁</v>
      </c>
      <c r="C1720" s="7" t="str">
        <f t="shared" si="585"/>
        <v>行政財産</v>
      </c>
      <c r="D1720" s="7" t="str">
        <f t="shared" si="586"/>
        <v>公営住宅</v>
      </c>
      <c r="E1720" s="7" t="str">
        <f>"大阪府堺市　南区桃山台２丁"</f>
        <v>大阪府堺市　南区桃山台２丁</v>
      </c>
      <c r="F1720" s="7"/>
      <c r="G1720" s="7" t="str">
        <f t="shared" si="583"/>
        <v>事業用資産</v>
      </c>
      <c r="H1720" s="7" t="str">
        <f t="shared" si="577"/>
        <v>棚卸以外</v>
      </c>
      <c r="I1720" s="7">
        <v>1</v>
      </c>
      <c r="J1720" s="7" t="str">
        <f>"１～６号棟"</f>
        <v>１～６号棟</v>
      </c>
      <c r="K1720" s="7" t="str">
        <f t="shared" si="588"/>
        <v>鉄筋コンクリート造</v>
      </c>
      <c r="L1720" s="7" t="str">
        <f>"S47.08.31"</f>
        <v>S47.08.31</v>
      </c>
      <c r="M1720" s="7">
        <v>6979.3</v>
      </c>
      <c r="N1720" s="7">
        <v>391010800</v>
      </c>
      <c r="O1720" s="7">
        <v>360795027</v>
      </c>
      <c r="P1720" s="7">
        <v>0</v>
      </c>
      <c r="Q1720" s="7" t="str">
        <f t="shared" si="587"/>
        <v>都市整備部</v>
      </c>
      <c r="R1720" s="7" t="str">
        <f t="shared" si="584"/>
        <v>住宅建築局住宅経営室</v>
      </c>
    </row>
    <row r="1721" spans="1:18" s="1" customFormat="1" x14ac:dyDescent="0.45">
      <c r="A1721" s="7" t="str">
        <f>"09940003113"</f>
        <v>09940003113</v>
      </c>
      <c r="B1721" s="7" t="str">
        <f>"桃山台３丁"</f>
        <v>桃山台３丁</v>
      </c>
      <c r="C1721" s="7" t="str">
        <f t="shared" si="585"/>
        <v>行政財産</v>
      </c>
      <c r="D1721" s="7" t="str">
        <f t="shared" si="586"/>
        <v>公営住宅</v>
      </c>
      <c r="E1721" s="7" t="str">
        <f>"大阪府堺市　南区桃山台３丁"</f>
        <v>大阪府堺市　南区桃山台３丁</v>
      </c>
      <c r="F1721" s="7"/>
      <c r="G1721" s="7" t="str">
        <f t="shared" si="583"/>
        <v>事業用資産</v>
      </c>
      <c r="H1721" s="7" t="str">
        <f t="shared" si="577"/>
        <v>棚卸以外</v>
      </c>
      <c r="I1721" s="7">
        <v>1</v>
      </c>
      <c r="J1721" s="7" t="str">
        <f>"１３～１４号棟"</f>
        <v>１３～１４号棟</v>
      </c>
      <c r="K1721" s="7" t="str">
        <f t="shared" si="588"/>
        <v>鉄筋コンクリート造</v>
      </c>
      <c r="L1721" s="7" t="str">
        <f>"S48.10.15"</f>
        <v>S48.10.15</v>
      </c>
      <c r="M1721" s="7">
        <v>14188.55</v>
      </c>
      <c r="N1721" s="7">
        <v>946829238</v>
      </c>
      <c r="O1721" s="7">
        <v>356221519</v>
      </c>
      <c r="P1721" s="7">
        <v>0</v>
      </c>
      <c r="Q1721" s="7" t="str">
        <f t="shared" si="587"/>
        <v>都市整備部</v>
      </c>
      <c r="R1721" s="7" t="str">
        <f t="shared" si="584"/>
        <v>住宅建築局住宅経営室</v>
      </c>
    </row>
    <row r="1722" spans="1:18" s="1" customFormat="1" x14ac:dyDescent="0.45">
      <c r="A1722" s="7" t="str">
        <f>"09940003113"</f>
        <v>09940003113</v>
      </c>
      <c r="B1722" s="7" t="str">
        <f>"桃山台３丁"</f>
        <v>桃山台３丁</v>
      </c>
      <c r="C1722" s="7" t="str">
        <f t="shared" si="585"/>
        <v>行政財産</v>
      </c>
      <c r="D1722" s="7" t="str">
        <f t="shared" si="586"/>
        <v>公営住宅</v>
      </c>
      <c r="E1722" s="7" t="str">
        <f>"大阪府堺市　南区桃山台３丁"</f>
        <v>大阪府堺市　南区桃山台３丁</v>
      </c>
      <c r="F1722" s="7"/>
      <c r="G1722" s="7" t="str">
        <f t="shared" si="583"/>
        <v>事業用資産</v>
      </c>
      <c r="H1722" s="7" t="str">
        <f t="shared" si="577"/>
        <v>棚卸以外</v>
      </c>
      <c r="I1722" s="7">
        <v>2</v>
      </c>
      <c r="J1722" s="7" t="str">
        <f>"１号棟"</f>
        <v>１号棟</v>
      </c>
      <c r="K1722" s="7" t="str">
        <f t="shared" si="588"/>
        <v>鉄筋コンクリート造</v>
      </c>
      <c r="L1722" s="7" t="str">
        <f>"S32.03.14"</f>
        <v>S32.03.14</v>
      </c>
      <c r="M1722" s="7">
        <v>6590.97</v>
      </c>
      <c r="N1722" s="7">
        <v>754647039</v>
      </c>
      <c r="O1722" s="7">
        <v>729001488</v>
      </c>
      <c r="P1722" s="7">
        <v>0</v>
      </c>
      <c r="Q1722" s="7" t="str">
        <f t="shared" si="587"/>
        <v>都市整備部</v>
      </c>
      <c r="R1722" s="7" t="str">
        <f t="shared" si="584"/>
        <v>住宅建築局住宅経営室</v>
      </c>
    </row>
    <row r="1723" spans="1:18" s="1" customFormat="1" x14ac:dyDescent="0.45">
      <c r="A1723" s="7" t="str">
        <f>"09940003113"</f>
        <v>09940003113</v>
      </c>
      <c r="B1723" s="7" t="str">
        <f>"桃山台３丁"</f>
        <v>桃山台３丁</v>
      </c>
      <c r="C1723" s="7" t="str">
        <f t="shared" si="585"/>
        <v>行政財産</v>
      </c>
      <c r="D1723" s="7" t="str">
        <f t="shared" si="586"/>
        <v>公営住宅</v>
      </c>
      <c r="E1723" s="7" t="str">
        <f>"大阪府堺市　南区桃山台３丁"</f>
        <v>大阪府堺市　南区桃山台３丁</v>
      </c>
      <c r="F1723" s="7"/>
      <c r="G1723" s="7" t="str">
        <f t="shared" si="583"/>
        <v>事業用資産</v>
      </c>
      <c r="H1723" s="7" t="str">
        <f t="shared" si="577"/>
        <v>棚卸以外</v>
      </c>
      <c r="I1723" s="7">
        <v>3</v>
      </c>
      <c r="J1723" s="7" t="str">
        <f>"ポンプ室"</f>
        <v>ポンプ室</v>
      </c>
      <c r="K1723" s="7" t="str">
        <f t="shared" si="588"/>
        <v>鉄筋コンクリート造</v>
      </c>
      <c r="L1723" s="7" t="str">
        <f>"S32.03.14"</f>
        <v>S32.03.14</v>
      </c>
      <c r="M1723" s="7">
        <v>28.8</v>
      </c>
      <c r="N1723" s="7">
        <v>2451000</v>
      </c>
      <c r="O1723" s="7">
        <v>2450999</v>
      </c>
      <c r="P1723" s="7">
        <v>0</v>
      </c>
      <c r="Q1723" s="7" t="str">
        <f t="shared" si="587"/>
        <v>都市整備部</v>
      </c>
      <c r="R1723" s="7" t="str">
        <f t="shared" si="584"/>
        <v>住宅建築局住宅経営室</v>
      </c>
    </row>
    <row r="1724" spans="1:18" s="1" customFormat="1" x14ac:dyDescent="0.45">
      <c r="A1724" s="7" t="str">
        <f>"09940003113"</f>
        <v>09940003113</v>
      </c>
      <c r="B1724" s="7" t="str">
        <f>"桃山台３丁"</f>
        <v>桃山台３丁</v>
      </c>
      <c r="C1724" s="7" t="str">
        <f t="shared" si="585"/>
        <v>行政財産</v>
      </c>
      <c r="D1724" s="7" t="str">
        <f t="shared" si="586"/>
        <v>公営住宅</v>
      </c>
      <c r="E1724" s="7" t="str">
        <f>"大阪府堺市　南区桃山台３丁"</f>
        <v>大阪府堺市　南区桃山台３丁</v>
      </c>
      <c r="F1724" s="7"/>
      <c r="G1724" s="7" t="str">
        <f t="shared" si="583"/>
        <v>事業用資産</v>
      </c>
      <c r="H1724" s="7" t="str">
        <f t="shared" si="577"/>
        <v>棚卸以外</v>
      </c>
      <c r="I1724" s="7">
        <v>4</v>
      </c>
      <c r="J1724" s="7" t="str">
        <f>"受水槽（４０ｔ）"</f>
        <v>受水槽（４０ｔ）</v>
      </c>
      <c r="K1724" s="7" t="str">
        <f t="shared" si="588"/>
        <v>鉄筋コンクリート造</v>
      </c>
      <c r="L1724" s="7" t="str">
        <f>"S48.10.15"</f>
        <v>S48.10.15</v>
      </c>
      <c r="M1724" s="7">
        <v>36</v>
      </c>
      <c r="N1724" s="7">
        <v>2281000</v>
      </c>
      <c r="O1724" s="7">
        <v>2280999</v>
      </c>
      <c r="P1724" s="7">
        <v>0</v>
      </c>
      <c r="Q1724" s="7" t="str">
        <f t="shared" si="587"/>
        <v>都市整備部</v>
      </c>
      <c r="R1724" s="7" t="str">
        <f t="shared" si="584"/>
        <v>住宅建築局住宅経営室</v>
      </c>
    </row>
    <row r="1725" spans="1:18" s="1" customFormat="1" x14ac:dyDescent="0.45">
      <c r="A1725" s="7" t="str">
        <f t="shared" ref="A1725:A1763" si="594">"09940003116"</f>
        <v>09940003116</v>
      </c>
      <c r="B1725" s="7" t="str">
        <f t="shared" ref="B1725:B1763" si="595">"千里佐竹台・吹田佐竹台"</f>
        <v>千里佐竹台・吹田佐竹台</v>
      </c>
      <c r="C1725" s="7" t="str">
        <f t="shared" si="585"/>
        <v>行政財産</v>
      </c>
      <c r="D1725" s="7" t="str">
        <f t="shared" si="586"/>
        <v>公営住宅</v>
      </c>
      <c r="E1725" s="7" t="str">
        <f t="shared" ref="E1725:E1763" si="596">"大阪府吹田市佐竹台２丁目"</f>
        <v>大阪府吹田市佐竹台２丁目</v>
      </c>
      <c r="F1725" s="7"/>
      <c r="G1725" s="7" t="str">
        <f t="shared" si="583"/>
        <v>事業用資産</v>
      </c>
      <c r="H1725" s="7" t="str">
        <f t="shared" si="577"/>
        <v>棚卸以外</v>
      </c>
      <c r="I1725" s="7">
        <v>1</v>
      </c>
      <c r="J1725" s="7" t="str">
        <f>"１～１２号棟"</f>
        <v>１～１２号棟</v>
      </c>
      <c r="K1725" s="7" t="str">
        <f t="shared" si="588"/>
        <v>鉄筋コンクリート造</v>
      </c>
      <c r="L1725" s="7" t="str">
        <f>"S37.09.15"</f>
        <v>S37.09.15</v>
      </c>
      <c r="M1725" s="7">
        <v>3052.43</v>
      </c>
      <c r="N1725" s="7">
        <v>20995616</v>
      </c>
      <c r="O1725" s="7">
        <v>20995615</v>
      </c>
      <c r="P1725" s="7">
        <v>0</v>
      </c>
      <c r="Q1725" s="7" t="str">
        <f t="shared" si="587"/>
        <v>都市整備部</v>
      </c>
      <c r="R1725" s="7" t="str">
        <f t="shared" si="584"/>
        <v>住宅建築局住宅経営室</v>
      </c>
    </row>
    <row r="1726" spans="1:18" s="1" customFormat="1" x14ac:dyDescent="0.45">
      <c r="A1726" s="7" t="str">
        <f t="shared" si="594"/>
        <v>09940003116</v>
      </c>
      <c r="B1726" s="7" t="str">
        <f t="shared" si="595"/>
        <v>千里佐竹台・吹田佐竹台</v>
      </c>
      <c r="C1726" s="7" t="str">
        <f t="shared" si="585"/>
        <v>行政財産</v>
      </c>
      <c r="D1726" s="7" t="str">
        <f t="shared" si="586"/>
        <v>公営住宅</v>
      </c>
      <c r="E1726" s="7" t="str">
        <f t="shared" si="596"/>
        <v>大阪府吹田市佐竹台２丁目</v>
      </c>
      <c r="F1726" s="7"/>
      <c r="G1726" s="7" t="str">
        <f t="shared" si="583"/>
        <v>事業用資産</v>
      </c>
      <c r="H1726" s="7" t="str">
        <f t="shared" si="577"/>
        <v>棚卸以外</v>
      </c>
      <c r="I1726" s="7">
        <v>3</v>
      </c>
      <c r="J1726" s="7" t="str">
        <f>"集会所"</f>
        <v>集会所</v>
      </c>
      <c r="K1726" s="7" t="str">
        <f t="shared" si="588"/>
        <v>鉄筋コンクリート造</v>
      </c>
      <c r="L1726" s="7" t="str">
        <f>"S37.09.15"</f>
        <v>S37.09.15</v>
      </c>
      <c r="M1726" s="7">
        <v>150.63999999999999</v>
      </c>
      <c r="N1726" s="7">
        <v>3130000</v>
      </c>
      <c r="O1726" s="7">
        <v>3129999</v>
      </c>
      <c r="P1726" s="7">
        <v>0</v>
      </c>
      <c r="Q1726" s="7" t="str">
        <f t="shared" si="587"/>
        <v>都市整備部</v>
      </c>
      <c r="R1726" s="7" t="str">
        <f t="shared" si="584"/>
        <v>住宅建築局住宅経営室</v>
      </c>
    </row>
    <row r="1727" spans="1:18" s="1" customFormat="1" x14ac:dyDescent="0.45">
      <c r="A1727" s="7" t="str">
        <f t="shared" si="594"/>
        <v>09940003116</v>
      </c>
      <c r="B1727" s="7" t="str">
        <f t="shared" si="595"/>
        <v>千里佐竹台・吹田佐竹台</v>
      </c>
      <c r="C1727" s="7" t="str">
        <f t="shared" si="585"/>
        <v>行政財産</v>
      </c>
      <c r="D1727" s="7" t="str">
        <f t="shared" si="586"/>
        <v>公営住宅</v>
      </c>
      <c r="E1727" s="7" t="str">
        <f t="shared" si="596"/>
        <v>大阪府吹田市佐竹台２丁目</v>
      </c>
      <c r="F1727" s="7"/>
      <c r="G1727" s="7" t="str">
        <f t="shared" si="583"/>
        <v>事業用資産</v>
      </c>
      <c r="H1727" s="7" t="str">
        <f t="shared" si="577"/>
        <v>棚卸以外</v>
      </c>
      <c r="I1727" s="7">
        <v>7</v>
      </c>
      <c r="J1727" s="7" t="str">
        <f>"１３号棟"</f>
        <v>１３号棟</v>
      </c>
      <c r="K1727" s="7" t="str">
        <f t="shared" si="588"/>
        <v>鉄筋コンクリート造</v>
      </c>
      <c r="L1727" s="7" t="str">
        <f>"H03.07.29"</f>
        <v>H03.07.29</v>
      </c>
      <c r="M1727" s="7">
        <v>1324.02</v>
      </c>
      <c r="N1727" s="7">
        <v>212907000</v>
      </c>
      <c r="O1727" s="7">
        <v>143448100</v>
      </c>
      <c r="P1727" s="7">
        <v>0</v>
      </c>
      <c r="Q1727" s="7" t="str">
        <f t="shared" si="587"/>
        <v>都市整備部</v>
      </c>
      <c r="R1727" s="7" t="str">
        <f t="shared" si="584"/>
        <v>住宅建築局住宅経営室</v>
      </c>
    </row>
    <row r="1728" spans="1:18" s="1" customFormat="1" x14ac:dyDescent="0.45">
      <c r="A1728" s="7" t="str">
        <f t="shared" si="594"/>
        <v>09940003116</v>
      </c>
      <c r="B1728" s="7" t="str">
        <f t="shared" si="595"/>
        <v>千里佐竹台・吹田佐竹台</v>
      </c>
      <c r="C1728" s="7" t="str">
        <f t="shared" si="585"/>
        <v>行政財産</v>
      </c>
      <c r="D1728" s="7" t="str">
        <f t="shared" si="586"/>
        <v>公営住宅</v>
      </c>
      <c r="E1728" s="7" t="str">
        <f t="shared" si="596"/>
        <v>大阪府吹田市佐竹台２丁目</v>
      </c>
      <c r="F1728" s="7"/>
      <c r="G1728" s="7" t="str">
        <f t="shared" si="583"/>
        <v>事業用資産</v>
      </c>
      <c r="H1728" s="7" t="str">
        <f t="shared" si="577"/>
        <v>棚卸以外</v>
      </c>
      <c r="I1728" s="7">
        <v>8</v>
      </c>
      <c r="J1728" s="7" t="str">
        <f>"１４号棟"</f>
        <v>１４号棟</v>
      </c>
      <c r="K1728" s="7" t="str">
        <f t="shared" si="588"/>
        <v>鉄筋コンクリート造</v>
      </c>
      <c r="L1728" s="7" t="str">
        <f>"H03.07.29"</f>
        <v>H03.07.29</v>
      </c>
      <c r="M1728" s="7">
        <v>1765.36</v>
      </c>
      <c r="N1728" s="7">
        <v>265902723</v>
      </c>
      <c r="O1728" s="7">
        <v>179041560</v>
      </c>
      <c r="P1728" s="7">
        <v>0</v>
      </c>
      <c r="Q1728" s="7" t="str">
        <f t="shared" si="587"/>
        <v>都市整備部</v>
      </c>
      <c r="R1728" s="7" t="str">
        <f t="shared" si="584"/>
        <v>住宅建築局住宅経営室</v>
      </c>
    </row>
    <row r="1729" spans="1:18" s="1" customFormat="1" x14ac:dyDescent="0.45">
      <c r="A1729" s="7" t="str">
        <f t="shared" si="594"/>
        <v>09940003116</v>
      </c>
      <c r="B1729" s="7" t="str">
        <f t="shared" si="595"/>
        <v>千里佐竹台・吹田佐竹台</v>
      </c>
      <c r="C1729" s="7" t="str">
        <f t="shared" si="585"/>
        <v>行政財産</v>
      </c>
      <c r="D1729" s="7" t="str">
        <f t="shared" si="586"/>
        <v>公営住宅</v>
      </c>
      <c r="E1729" s="7" t="str">
        <f t="shared" si="596"/>
        <v>大阪府吹田市佐竹台２丁目</v>
      </c>
      <c r="F1729" s="7"/>
      <c r="G1729" s="7" t="str">
        <f t="shared" si="583"/>
        <v>事業用資産</v>
      </c>
      <c r="H1729" s="7" t="str">
        <f t="shared" si="577"/>
        <v>棚卸以外</v>
      </c>
      <c r="I1729" s="7">
        <v>9</v>
      </c>
      <c r="J1729" s="7" t="str">
        <f>"１５号棟"</f>
        <v>１５号棟</v>
      </c>
      <c r="K1729" s="7" t="str">
        <f t="shared" si="588"/>
        <v>鉄筋コンクリート造</v>
      </c>
      <c r="L1729" s="7" t="str">
        <f>"H03.07.29"</f>
        <v>H03.07.29</v>
      </c>
      <c r="M1729" s="7">
        <v>1765.36</v>
      </c>
      <c r="N1729" s="7">
        <v>270377000</v>
      </c>
      <c r="O1729" s="7">
        <v>182168960</v>
      </c>
      <c r="P1729" s="7">
        <v>0</v>
      </c>
      <c r="Q1729" s="7" t="str">
        <f t="shared" si="587"/>
        <v>都市整備部</v>
      </c>
      <c r="R1729" s="7" t="str">
        <f t="shared" si="584"/>
        <v>住宅建築局住宅経営室</v>
      </c>
    </row>
    <row r="1730" spans="1:18" s="1" customFormat="1" x14ac:dyDescent="0.45">
      <c r="A1730" s="7" t="str">
        <f t="shared" si="594"/>
        <v>09940003116</v>
      </c>
      <c r="B1730" s="7" t="str">
        <f t="shared" si="595"/>
        <v>千里佐竹台・吹田佐竹台</v>
      </c>
      <c r="C1730" s="7" t="str">
        <f t="shared" si="585"/>
        <v>行政財産</v>
      </c>
      <c r="D1730" s="7" t="str">
        <f t="shared" si="586"/>
        <v>公営住宅</v>
      </c>
      <c r="E1730" s="7" t="str">
        <f t="shared" si="596"/>
        <v>大阪府吹田市佐竹台２丁目</v>
      </c>
      <c r="F1730" s="7"/>
      <c r="G1730" s="7" t="str">
        <f t="shared" si="583"/>
        <v>事業用資産</v>
      </c>
      <c r="H1730" s="7" t="str">
        <f t="shared" si="577"/>
        <v>棚卸以外</v>
      </c>
      <c r="I1730" s="7">
        <v>10</v>
      </c>
      <c r="J1730" s="7" t="str">
        <f>"１６号棟"</f>
        <v>１６号棟</v>
      </c>
      <c r="K1730" s="7" t="str">
        <f t="shared" si="588"/>
        <v>鉄筋コンクリート造</v>
      </c>
      <c r="L1730" s="7" t="str">
        <f>"H03.07.29"</f>
        <v>H03.07.29</v>
      </c>
      <c r="M1730" s="7">
        <v>1765.36</v>
      </c>
      <c r="N1730" s="7">
        <v>265221446</v>
      </c>
      <c r="O1730" s="7">
        <v>178469660</v>
      </c>
      <c r="P1730" s="7">
        <v>0</v>
      </c>
      <c r="Q1730" s="7" t="str">
        <f t="shared" si="587"/>
        <v>都市整備部</v>
      </c>
      <c r="R1730" s="7" t="str">
        <f t="shared" si="584"/>
        <v>住宅建築局住宅経営室</v>
      </c>
    </row>
    <row r="1731" spans="1:18" s="1" customFormat="1" x14ac:dyDescent="0.45">
      <c r="A1731" s="7" t="str">
        <f t="shared" si="594"/>
        <v>09940003116</v>
      </c>
      <c r="B1731" s="7" t="str">
        <f t="shared" si="595"/>
        <v>千里佐竹台・吹田佐竹台</v>
      </c>
      <c r="C1731" s="7" t="str">
        <f t="shared" si="585"/>
        <v>行政財産</v>
      </c>
      <c r="D1731" s="7" t="str">
        <f t="shared" si="586"/>
        <v>公営住宅</v>
      </c>
      <c r="E1731" s="7" t="str">
        <f t="shared" si="596"/>
        <v>大阪府吹田市佐竹台２丁目</v>
      </c>
      <c r="F1731" s="7"/>
      <c r="G1731" s="7" t="str">
        <f t="shared" si="583"/>
        <v>事業用資産</v>
      </c>
      <c r="H1731" s="7" t="str">
        <f t="shared" si="577"/>
        <v>棚卸以外</v>
      </c>
      <c r="I1731" s="7">
        <v>11</v>
      </c>
      <c r="J1731" s="7" t="str">
        <f>"受水槽"</f>
        <v>受水槽</v>
      </c>
      <c r="K1731" s="7" t="str">
        <f t="shared" si="588"/>
        <v>鉄筋コンクリート造</v>
      </c>
      <c r="L1731" s="7" t="str">
        <f>"H03.07.29"</f>
        <v>H03.07.29</v>
      </c>
      <c r="M1731" s="7">
        <v>63.25</v>
      </c>
      <c r="N1731" s="7">
        <v>23734000</v>
      </c>
      <c r="O1731" s="7">
        <v>15991160</v>
      </c>
      <c r="P1731" s="7">
        <v>0</v>
      </c>
      <c r="Q1731" s="7" t="str">
        <f t="shared" si="587"/>
        <v>都市整備部</v>
      </c>
      <c r="R1731" s="7" t="str">
        <f t="shared" si="584"/>
        <v>住宅建築局住宅経営室</v>
      </c>
    </row>
    <row r="1732" spans="1:18" s="1" customFormat="1" x14ac:dyDescent="0.45">
      <c r="A1732" s="7" t="str">
        <f t="shared" si="594"/>
        <v>09940003116</v>
      </c>
      <c r="B1732" s="7" t="str">
        <f t="shared" si="595"/>
        <v>千里佐竹台・吹田佐竹台</v>
      </c>
      <c r="C1732" s="7" t="str">
        <f t="shared" si="585"/>
        <v>行政財産</v>
      </c>
      <c r="D1732" s="7" t="str">
        <f t="shared" si="586"/>
        <v>公営住宅</v>
      </c>
      <c r="E1732" s="7" t="str">
        <f t="shared" si="596"/>
        <v>大阪府吹田市佐竹台２丁目</v>
      </c>
      <c r="F1732" s="7"/>
      <c r="G1732" s="7" t="str">
        <f t="shared" si="583"/>
        <v>事業用資産</v>
      </c>
      <c r="H1732" s="7" t="str">
        <f t="shared" ref="H1732:H1795" si="597">"棚卸以外"</f>
        <v>棚卸以外</v>
      </c>
      <c r="I1732" s="7">
        <v>12</v>
      </c>
      <c r="J1732" s="7" t="str">
        <f>"２３号棟"</f>
        <v>２３号棟</v>
      </c>
      <c r="K1732" s="7" t="str">
        <f t="shared" si="588"/>
        <v>鉄筋コンクリート造</v>
      </c>
      <c r="L1732" s="7" t="str">
        <f t="shared" ref="L1732:L1738" si="598">"H03.08.29"</f>
        <v>H03.08.29</v>
      </c>
      <c r="M1732" s="7">
        <v>1607.74</v>
      </c>
      <c r="N1732" s="7">
        <v>274096000</v>
      </c>
      <c r="O1732" s="7">
        <v>184188694</v>
      </c>
      <c r="P1732" s="7">
        <v>0</v>
      </c>
      <c r="Q1732" s="7" t="str">
        <f t="shared" si="587"/>
        <v>都市整備部</v>
      </c>
      <c r="R1732" s="7" t="str">
        <f t="shared" si="584"/>
        <v>住宅建築局住宅経営室</v>
      </c>
    </row>
    <row r="1733" spans="1:18" s="1" customFormat="1" x14ac:dyDescent="0.45">
      <c r="A1733" s="7" t="str">
        <f t="shared" si="594"/>
        <v>09940003116</v>
      </c>
      <c r="B1733" s="7" t="str">
        <f t="shared" si="595"/>
        <v>千里佐竹台・吹田佐竹台</v>
      </c>
      <c r="C1733" s="7" t="str">
        <f t="shared" si="585"/>
        <v>行政財産</v>
      </c>
      <c r="D1733" s="7" t="str">
        <f t="shared" si="586"/>
        <v>公営住宅</v>
      </c>
      <c r="E1733" s="7" t="str">
        <f t="shared" si="596"/>
        <v>大阪府吹田市佐竹台２丁目</v>
      </c>
      <c r="F1733" s="7"/>
      <c r="G1733" s="7" t="str">
        <f t="shared" si="583"/>
        <v>事業用資産</v>
      </c>
      <c r="H1733" s="7" t="str">
        <f t="shared" si="597"/>
        <v>棚卸以外</v>
      </c>
      <c r="I1733" s="7">
        <v>13</v>
      </c>
      <c r="J1733" s="7" t="str">
        <f>"２４号棟"</f>
        <v>２４号棟</v>
      </c>
      <c r="K1733" s="7" t="str">
        <f t="shared" si="588"/>
        <v>鉄筋コンクリート造</v>
      </c>
      <c r="L1733" s="7" t="str">
        <f t="shared" si="598"/>
        <v>H03.08.29</v>
      </c>
      <c r="M1733" s="7">
        <v>1607.74</v>
      </c>
      <c r="N1733" s="7">
        <v>271299000</v>
      </c>
      <c r="O1733" s="7">
        <v>182309233</v>
      </c>
      <c r="P1733" s="7">
        <v>0</v>
      </c>
      <c r="Q1733" s="7" t="str">
        <f t="shared" si="587"/>
        <v>都市整備部</v>
      </c>
      <c r="R1733" s="7" t="str">
        <f t="shared" si="584"/>
        <v>住宅建築局住宅経営室</v>
      </c>
    </row>
    <row r="1734" spans="1:18" s="1" customFormat="1" x14ac:dyDescent="0.45">
      <c r="A1734" s="7" t="str">
        <f t="shared" si="594"/>
        <v>09940003116</v>
      </c>
      <c r="B1734" s="7" t="str">
        <f t="shared" si="595"/>
        <v>千里佐竹台・吹田佐竹台</v>
      </c>
      <c r="C1734" s="7" t="str">
        <f t="shared" si="585"/>
        <v>行政財産</v>
      </c>
      <c r="D1734" s="7" t="str">
        <f t="shared" si="586"/>
        <v>公営住宅</v>
      </c>
      <c r="E1734" s="7" t="str">
        <f t="shared" si="596"/>
        <v>大阪府吹田市佐竹台２丁目</v>
      </c>
      <c r="F1734" s="7"/>
      <c r="G1734" s="7" t="str">
        <f t="shared" si="583"/>
        <v>事業用資産</v>
      </c>
      <c r="H1734" s="7" t="str">
        <f t="shared" si="597"/>
        <v>棚卸以外</v>
      </c>
      <c r="I1734" s="7">
        <v>14</v>
      </c>
      <c r="J1734" s="7" t="str">
        <f>"２５号棟"</f>
        <v>２５号棟</v>
      </c>
      <c r="K1734" s="7" t="str">
        <f t="shared" si="588"/>
        <v>鉄筋コンクリート造</v>
      </c>
      <c r="L1734" s="7" t="str">
        <f t="shared" si="598"/>
        <v>H03.08.29</v>
      </c>
      <c r="M1734" s="7">
        <v>1607.74</v>
      </c>
      <c r="N1734" s="7">
        <v>271604723</v>
      </c>
      <c r="O1734" s="7">
        <v>182402088</v>
      </c>
      <c r="P1734" s="7">
        <v>0</v>
      </c>
      <c r="Q1734" s="7" t="str">
        <f t="shared" si="587"/>
        <v>都市整備部</v>
      </c>
      <c r="R1734" s="7" t="str">
        <f t="shared" si="584"/>
        <v>住宅建築局住宅経営室</v>
      </c>
    </row>
    <row r="1735" spans="1:18" s="1" customFormat="1" x14ac:dyDescent="0.45">
      <c r="A1735" s="7" t="str">
        <f t="shared" si="594"/>
        <v>09940003116</v>
      </c>
      <c r="B1735" s="7" t="str">
        <f t="shared" si="595"/>
        <v>千里佐竹台・吹田佐竹台</v>
      </c>
      <c r="C1735" s="7" t="str">
        <f t="shared" si="585"/>
        <v>行政財産</v>
      </c>
      <c r="D1735" s="7" t="str">
        <f t="shared" si="586"/>
        <v>公営住宅</v>
      </c>
      <c r="E1735" s="7" t="str">
        <f t="shared" si="596"/>
        <v>大阪府吹田市佐竹台２丁目</v>
      </c>
      <c r="F1735" s="7"/>
      <c r="G1735" s="7" t="str">
        <f t="shared" si="583"/>
        <v>事業用資産</v>
      </c>
      <c r="H1735" s="7" t="str">
        <f t="shared" si="597"/>
        <v>棚卸以外</v>
      </c>
      <c r="I1735" s="7">
        <v>15</v>
      </c>
      <c r="J1735" s="7" t="str">
        <f>"２６号棟"</f>
        <v>２６号棟</v>
      </c>
      <c r="K1735" s="7" t="str">
        <f t="shared" si="588"/>
        <v>鉄筋コンクリート造</v>
      </c>
      <c r="L1735" s="7" t="str">
        <f t="shared" si="598"/>
        <v>H03.08.29</v>
      </c>
      <c r="M1735" s="7">
        <v>1607.74</v>
      </c>
      <c r="N1735" s="7">
        <v>275800000</v>
      </c>
      <c r="O1735" s="7">
        <v>185334032</v>
      </c>
      <c r="P1735" s="7">
        <v>0</v>
      </c>
      <c r="Q1735" s="7" t="str">
        <f t="shared" si="587"/>
        <v>都市整備部</v>
      </c>
      <c r="R1735" s="7" t="str">
        <f t="shared" si="584"/>
        <v>住宅建築局住宅経営室</v>
      </c>
    </row>
    <row r="1736" spans="1:18" s="1" customFormat="1" x14ac:dyDescent="0.45">
      <c r="A1736" s="7" t="str">
        <f t="shared" si="594"/>
        <v>09940003116</v>
      </c>
      <c r="B1736" s="7" t="str">
        <f t="shared" si="595"/>
        <v>千里佐竹台・吹田佐竹台</v>
      </c>
      <c r="C1736" s="7" t="str">
        <f t="shared" si="585"/>
        <v>行政財産</v>
      </c>
      <c r="D1736" s="7" t="str">
        <f t="shared" si="586"/>
        <v>公営住宅</v>
      </c>
      <c r="E1736" s="7" t="str">
        <f t="shared" si="596"/>
        <v>大阪府吹田市佐竹台２丁目</v>
      </c>
      <c r="F1736" s="7"/>
      <c r="G1736" s="7" t="str">
        <f t="shared" si="583"/>
        <v>事業用資産</v>
      </c>
      <c r="H1736" s="7" t="str">
        <f t="shared" si="597"/>
        <v>棚卸以外</v>
      </c>
      <c r="I1736" s="7">
        <v>16</v>
      </c>
      <c r="J1736" s="7" t="str">
        <f>"２７号棟"</f>
        <v>２７号棟</v>
      </c>
      <c r="K1736" s="7" t="str">
        <f t="shared" si="588"/>
        <v>鉄筋コンクリート造</v>
      </c>
      <c r="L1736" s="7" t="str">
        <f t="shared" si="598"/>
        <v>H03.08.29</v>
      </c>
      <c r="M1736" s="7">
        <v>1607.74</v>
      </c>
      <c r="N1736" s="7">
        <v>269483000</v>
      </c>
      <c r="O1736" s="7">
        <v>181088853</v>
      </c>
      <c r="P1736" s="7">
        <v>0</v>
      </c>
      <c r="Q1736" s="7" t="str">
        <f t="shared" si="587"/>
        <v>都市整備部</v>
      </c>
      <c r="R1736" s="7" t="str">
        <f t="shared" si="584"/>
        <v>住宅建築局住宅経営室</v>
      </c>
    </row>
    <row r="1737" spans="1:18" s="1" customFormat="1" x14ac:dyDescent="0.45">
      <c r="A1737" s="7" t="str">
        <f t="shared" si="594"/>
        <v>09940003116</v>
      </c>
      <c r="B1737" s="7" t="str">
        <f t="shared" si="595"/>
        <v>千里佐竹台・吹田佐竹台</v>
      </c>
      <c r="C1737" s="7" t="str">
        <f t="shared" si="585"/>
        <v>行政財産</v>
      </c>
      <c r="D1737" s="7" t="str">
        <f t="shared" si="586"/>
        <v>公営住宅</v>
      </c>
      <c r="E1737" s="7" t="str">
        <f t="shared" si="596"/>
        <v>大阪府吹田市佐竹台２丁目</v>
      </c>
      <c r="F1737" s="7"/>
      <c r="G1737" s="7" t="str">
        <f t="shared" si="583"/>
        <v>事業用資産</v>
      </c>
      <c r="H1737" s="7" t="str">
        <f t="shared" si="597"/>
        <v>棚卸以外</v>
      </c>
      <c r="I1737" s="7">
        <v>17</v>
      </c>
      <c r="J1737" s="7" t="str">
        <f>"集会所"</f>
        <v>集会所</v>
      </c>
      <c r="K1737" s="7" t="str">
        <f t="shared" si="588"/>
        <v>鉄筋コンクリート造</v>
      </c>
      <c r="L1737" s="7" t="str">
        <f t="shared" si="598"/>
        <v>H03.08.29</v>
      </c>
      <c r="M1737" s="7">
        <v>157.66999999999999</v>
      </c>
      <c r="N1737" s="7">
        <v>42376000</v>
      </c>
      <c r="O1737" s="7">
        <v>28476165</v>
      </c>
      <c r="P1737" s="7">
        <v>0</v>
      </c>
      <c r="Q1737" s="7" t="str">
        <f t="shared" si="587"/>
        <v>都市整備部</v>
      </c>
      <c r="R1737" s="7" t="str">
        <f t="shared" si="584"/>
        <v>住宅建築局住宅経営室</v>
      </c>
    </row>
    <row r="1738" spans="1:18" s="1" customFormat="1" x14ac:dyDescent="0.45">
      <c r="A1738" s="7" t="str">
        <f t="shared" si="594"/>
        <v>09940003116</v>
      </c>
      <c r="B1738" s="7" t="str">
        <f t="shared" si="595"/>
        <v>千里佐竹台・吹田佐竹台</v>
      </c>
      <c r="C1738" s="7" t="str">
        <f t="shared" si="585"/>
        <v>行政財産</v>
      </c>
      <c r="D1738" s="7" t="str">
        <f t="shared" si="586"/>
        <v>公営住宅</v>
      </c>
      <c r="E1738" s="7" t="str">
        <f t="shared" si="596"/>
        <v>大阪府吹田市佐竹台２丁目</v>
      </c>
      <c r="F1738" s="7"/>
      <c r="G1738" s="7" t="str">
        <f t="shared" si="583"/>
        <v>事業用資産</v>
      </c>
      <c r="H1738" s="7" t="str">
        <f t="shared" si="597"/>
        <v>棚卸以外</v>
      </c>
      <c r="I1738" s="7">
        <v>18</v>
      </c>
      <c r="J1738" s="7" t="str">
        <f>"受水槽"</f>
        <v>受水槽</v>
      </c>
      <c r="K1738" s="7" t="str">
        <f t="shared" si="588"/>
        <v>鉄筋コンクリート造</v>
      </c>
      <c r="L1738" s="7" t="str">
        <f t="shared" si="598"/>
        <v>H03.08.29</v>
      </c>
      <c r="M1738" s="7">
        <v>63.25</v>
      </c>
      <c r="N1738" s="7">
        <v>24287000</v>
      </c>
      <c r="O1738" s="7">
        <v>16320877</v>
      </c>
      <c r="P1738" s="7">
        <v>0</v>
      </c>
      <c r="Q1738" s="7" t="str">
        <f t="shared" si="587"/>
        <v>都市整備部</v>
      </c>
      <c r="R1738" s="7" t="str">
        <f t="shared" si="584"/>
        <v>住宅建築局住宅経営室</v>
      </c>
    </row>
    <row r="1739" spans="1:18" s="1" customFormat="1" x14ac:dyDescent="0.45">
      <c r="A1739" s="7" t="str">
        <f t="shared" si="594"/>
        <v>09940003116</v>
      </c>
      <c r="B1739" s="7" t="str">
        <f t="shared" si="595"/>
        <v>千里佐竹台・吹田佐竹台</v>
      </c>
      <c r="C1739" s="7" t="str">
        <f t="shared" si="585"/>
        <v>行政財産</v>
      </c>
      <c r="D1739" s="7" t="str">
        <f t="shared" si="586"/>
        <v>公営住宅</v>
      </c>
      <c r="E1739" s="7" t="str">
        <f t="shared" si="596"/>
        <v>大阪府吹田市佐竹台２丁目</v>
      </c>
      <c r="F1739" s="7"/>
      <c r="G1739" s="7" t="str">
        <f t="shared" si="583"/>
        <v>事業用資産</v>
      </c>
      <c r="H1739" s="7" t="str">
        <f t="shared" si="597"/>
        <v>棚卸以外</v>
      </c>
      <c r="I1739" s="7">
        <v>19</v>
      </c>
      <c r="J1739" s="7" t="str">
        <f>"１７号棟"</f>
        <v>１７号棟</v>
      </c>
      <c r="K1739" s="7" t="str">
        <f t="shared" si="588"/>
        <v>鉄筋コンクリート造</v>
      </c>
      <c r="L1739" s="7" t="str">
        <f>"H05.03.05"</f>
        <v>H05.03.05</v>
      </c>
      <c r="M1739" s="7">
        <v>1765.36</v>
      </c>
      <c r="N1739" s="7">
        <v>313826000</v>
      </c>
      <c r="O1739" s="7">
        <v>200314800</v>
      </c>
      <c r="P1739" s="7">
        <v>0</v>
      </c>
      <c r="Q1739" s="7" t="str">
        <f t="shared" si="587"/>
        <v>都市整備部</v>
      </c>
      <c r="R1739" s="7" t="str">
        <f t="shared" si="584"/>
        <v>住宅建築局住宅経営室</v>
      </c>
    </row>
    <row r="1740" spans="1:18" s="1" customFormat="1" x14ac:dyDescent="0.45">
      <c r="A1740" s="7" t="str">
        <f t="shared" si="594"/>
        <v>09940003116</v>
      </c>
      <c r="B1740" s="7" t="str">
        <f t="shared" si="595"/>
        <v>千里佐竹台・吹田佐竹台</v>
      </c>
      <c r="C1740" s="7" t="str">
        <f t="shared" si="585"/>
        <v>行政財産</v>
      </c>
      <c r="D1740" s="7" t="str">
        <f t="shared" si="586"/>
        <v>公営住宅</v>
      </c>
      <c r="E1740" s="7" t="str">
        <f t="shared" si="596"/>
        <v>大阪府吹田市佐竹台２丁目</v>
      </c>
      <c r="F1740" s="7"/>
      <c r="G1740" s="7" t="str">
        <f t="shared" si="583"/>
        <v>事業用資産</v>
      </c>
      <c r="H1740" s="7" t="str">
        <f t="shared" si="597"/>
        <v>棚卸以外</v>
      </c>
      <c r="I1740" s="7">
        <v>20</v>
      </c>
      <c r="J1740" s="7" t="str">
        <f>"３１号棟"</f>
        <v>３１号棟</v>
      </c>
      <c r="K1740" s="7" t="str">
        <f t="shared" si="588"/>
        <v>鉄筋コンクリート造</v>
      </c>
      <c r="L1740" s="7" t="str">
        <f>"H05.03.31"</f>
        <v>H05.03.31</v>
      </c>
      <c r="M1740" s="7">
        <v>3519.55</v>
      </c>
      <c r="N1740" s="7">
        <v>583344000</v>
      </c>
      <c r="O1740" s="7">
        <v>372347280</v>
      </c>
      <c r="P1740" s="7">
        <v>0</v>
      </c>
      <c r="Q1740" s="7" t="str">
        <f t="shared" si="587"/>
        <v>都市整備部</v>
      </c>
      <c r="R1740" s="7" t="str">
        <f t="shared" si="584"/>
        <v>住宅建築局住宅経営室</v>
      </c>
    </row>
    <row r="1741" spans="1:18" s="1" customFormat="1" x14ac:dyDescent="0.45">
      <c r="A1741" s="7" t="str">
        <f t="shared" si="594"/>
        <v>09940003116</v>
      </c>
      <c r="B1741" s="7" t="str">
        <f t="shared" si="595"/>
        <v>千里佐竹台・吹田佐竹台</v>
      </c>
      <c r="C1741" s="7" t="str">
        <f t="shared" si="585"/>
        <v>行政財産</v>
      </c>
      <c r="D1741" s="7" t="str">
        <f t="shared" si="586"/>
        <v>公営住宅</v>
      </c>
      <c r="E1741" s="7" t="str">
        <f t="shared" si="596"/>
        <v>大阪府吹田市佐竹台２丁目</v>
      </c>
      <c r="F1741" s="7"/>
      <c r="G1741" s="7" t="str">
        <f t="shared" si="583"/>
        <v>事業用資産</v>
      </c>
      <c r="H1741" s="7" t="str">
        <f t="shared" si="597"/>
        <v>棚卸以外</v>
      </c>
      <c r="I1741" s="7">
        <v>21</v>
      </c>
      <c r="J1741" s="7" t="str">
        <f>"３２号棟"</f>
        <v>３２号棟</v>
      </c>
      <c r="K1741" s="7" t="str">
        <f t="shared" si="588"/>
        <v>鉄筋コンクリート造</v>
      </c>
      <c r="L1741" s="7" t="str">
        <f>"H05.03.31"</f>
        <v>H05.03.31</v>
      </c>
      <c r="M1741" s="7">
        <v>2286.0300000000002</v>
      </c>
      <c r="N1741" s="7">
        <v>385134000</v>
      </c>
      <c r="O1741" s="7">
        <v>245830320</v>
      </c>
      <c r="P1741" s="7">
        <v>0</v>
      </c>
      <c r="Q1741" s="7" t="str">
        <f t="shared" si="587"/>
        <v>都市整備部</v>
      </c>
      <c r="R1741" s="7" t="str">
        <f t="shared" si="584"/>
        <v>住宅建築局住宅経営室</v>
      </c>
    </row>
    <row r="1742" spans="1:18" s="1" customFormat="1" x14ac:dyDescent="0.45">
      <c r="A1742" s="7" t="str">
        <f t="shared" si="594"/>
        <v>09940003116</v>
      </c>
      <c r="B1742" s="7" t="str">
        <f t="shared" si="595"/>
        <v>千里佐竹台・吹田佐竹台</v>
      </c>
      <c r="C1742" s="7" t="str">
        <f t="shared" si="585"/>
        <v>行政財産</v>
      </c>
      <c r="D1742" s="7" t="str">
        <f t="shared" si="586"/>
        <v>公営住宅</v>
      </c>
      <c r="E1742" s="7" t="str">
        <f t="shared" si="596"/>
        <v>大阪府吹田市佐竹台２丁目</v>
      </c>
      <c r="F1742" s="7"/>
      <c r="G1742" s="7" t="str">
        <f t="shared" si="583"/>
        <v>事業用資産</v>
      </c>
      <c r="H1742" s="7" t="str">
        <f t="shared" si="597"/>
        <v>棚卸以外</v>
      </c>
      <c r="I1742" s="7">
        <v>22</v>
      </c>
      <c r="J1742" s="7" t="str">
        <f>"Ｂ２８号棟（５丁目）"</f>
        <v>Ｂ２８号棟（５丁目）</v>
      </c>
      <c r="K1742" s="7" t="str">
        <f t="shared" si="588"/>
        <v>鉄筋コンクリート造</v>
      </c>
      <c r="L1742" s="7" t="str">
        <f>"H05.11.16"</f>
        <v>H05.11.16</v>
      </c>
      <c r="M1742" s="7">
        <v>1735.85</v>
      </c>
      <c r="N1742" s="7">
        <v>287588000</v>
      </c>
      <c r="O1742" s="7">
        <v>179487616</v>
      </c>
      <c r="P1742" s="7">
        <v>0</v>
      </c>
      <c r="Q1742" s="7" t="str">
        <f t="shared" si="587"/>
        <v>都市整備部</v>
      </c>
      <c r="R1742" s="7" t="str">
        <f t="shared" si="584"/>
        <v>住宅建築局住宅経営室</v>
      </c>
    </row>
    <row r="1743" spans="1:18" s="1" customFormat="1" x14ac:dyDescent="0.45">
      <c r="A1743" s="7" t="str">
        <f t="shared" si="594"/>
        <v>09940003116</v>
      </c>
      <c r="B1743" s="7" t="str">
        <f t="shared" si="595"/>
        <v>千里佐竹台・吹田佐竹台</v>
      </c>
      <c r="C1743" s="7" t="str">
        <f t="shared" si="585"/>
        <v>行政財産</v>
      </c>
      <c r="D1743" s="7" t="str">
        <f t="shared" si="586"/>
        <v>公営住宅</v>
      </c>
      <c r="E1743" s="7" t="str">
        <f t="shared" si="596"/>
        <v>大阪府吹田市佐竹台２丁目</v>
      </c>
      <c r="F1743" s="7"/>
      <c r="G1743" s="7" t="str">
        <f t="shared" si="583"/>
        <v>事業用資産</v>
      </c>
      <c r="H1743" s="7" t="str">
        <f t="shared" si="597"/>
        <v>棚卸以外</v>
      </c>
      <c r="I1743" s="7">
        <v>23</v>
      </c>
      <c r="J1743" s="7" t="str">
        <f>"Ｂ２９号棟（５丁目）"</f>
        <v>Ｂ２９号棟（５丁目）</v>
      </c>
      <c r="K1743" s="7" t="str">
        <f t="shared" si="588"/>
        <v>鉄筋コンクリート造</v>
      </c>
      <c r="L1743" s="7" t="str">
        <f>"H05.11.16"</f>
        <v>H05.11.16</v>
      </c>
      <c r="M1743" s="7">
        <v>2172.02</v>
      </c>
      <c r="N1743" s="7">
        <v>355838939</v>
      </c>
      <c r="O1743" s="7">
        <v>221913120</v>
      </c>
      <c r="P1743" s="7">
        <v>0</v>
      </c>
      <c r="Q1743" s="7" t="str">
        <f t="shared" si="587"/>
        <v>都市整備部</v>
      </c>
      <c r="R1743" s="7" t="str">
        <f t="shared" si="584"/>
        <v>住宅建築局住宅経営室</v>
      </c>
    </row>
    <row r="1744" spans="1:18" s="1" customFormat="1" x14ac:dyDescent="0.45">
      <c r="A1744" s="7" t="str">
        <f t="shared" si="594"/>
        <v>09940003116</v>
      </c>
      <c r="B1744" s="7" t="str">
        <f t="shared" si="595"/>
        <v>千里佐竹台・吹田佐竹台</v>
      </c>
      <c r="C1744" s="7" t="str">
        <f t="shared" si="585"/>
        <v>行政財産</v>
      </c>
      <c r="D1744" s="7" t="str">
        <f t="shared" si="586"/>
        <v>公営住宅</v>
      </c>
      <c r="E1744" s="7" t="str">
        <f t="shared" si="596"/>
        <v>大阪府吹田市佐竹台２丁目</v>
      </c>
      <c r="F1744" s="7"/>
      <c r="G1744" s="7" t="str">
        <f t="shared" si="583"/>
        <v>事業用資産</v>
      </c>
      <c r="H1744" s="7" t="str">
        <f t="shared" si="597"/>
        <v>棚卸以外</v>
      </c>
      <c r="I1744" s="7">
        <v>24</v>
      </c>
      <c r="J1744" s="7" t="str">
        <f>"Ｂ３０号棟（５丁目）"</f>
        <v>Ｂ３０号棟（５丁目）</v>
      </c>
      <c r="K1744" s="7" t="str">
        <f t="shared" si="588"/>
        <v>鉄筋コンクリート造</v>
      </c>
      <c r="L1744" s="7" t="str">
        <f>"H05.11.16"</f>
        <v>H05.11.16</v>
      </c>
      <c r="M1744" s="7">
        <v>2172.02</v>
      </c>
      <c r="N1744" s="7">
        <v>361127000</v>
      </c>
      <c r="O1744" s="7">
        <v>225384544</v>
      </c>
      <c r="P1744" s="7">
        <v>0</v>
      </c>
      <c r="Q1744" s="7" t="str">
        <f t="shared" si="587"/>
        <v>都市整備部</v>
      </c>
      <c r="R1744" s="7" t="str">
        <f t="shared" si="584"/>
        <v>住宅建築局住宅経営室</v>
      </c>
    </row>
    <row r="1745" spans="1:18" s="1" customFormat="1" x14ac:dyDescent="0.45">
      <c r="A1745" s="7" t="str">
        <f t="shared" si="594"/>
        <v>09940003116</v>
      </c>
      <c r="B1745" s="7" t="str">
        <f t="shared" si="595"/>
        <v>千里佐竹台・吹田佐竹台</v>
      </c>
      <c r="C1745" s="7" t="str">
        <f t="shared" si="585"/>
        <v>行政財産</v>
      </c>
      <c r="D1745" s="7" t="str">
        <f t="shared" si="586"/>
        <v>公営住宅</v>
      </c>
      <c r="E1745" s="7" t="str">
        <f t="shared" si="596"/>
        <v>大阪府吹田市佐竹台２丁目</v>
      </c>
      <c r="F1745" s="7"/>
      <c r="G1745" s="7" t="str">
        <f t="shared" si="583"/>
        <v>事業用資産</v>
      </c>
      <c r="H1745" s="7" t="str">
        <f t="shared" si="597"/>
        <v>棚卸以外</v>
      </c>
      <c r="I1745" s="7">
        <v>25</v>
      </c>
      <c r="J1745" s="7" t="str">
        <f>"受水槽"</f>
        <v>受水槽</v>
      </c>
      <c r="K1745" s="7" t="str">
        <f t="shared" si="588"/>
        <v>鉄筋コンクリート造</v>
      </c>
      <c r="L1745" s="7" t="str">
        <f>"H03.07.29"</f>
        <v>H03.07.29</v>
      </c>
      <c r="M1745" s="7">
        <v>63.25</v>
      </c>
      <c r="N1745" s="7">
        <v>23259000</v>
      </c>
      <c r="O1745" s="7">
        <v>15671200</v>
      </c>
      <c r="P1745" s="7">
        <v>0</v>
      </c>
      <c r="Q1745" s="7" t="str">
        <f t="shared" si="587"/>
        <v>都市整備部</v>
      </c>
      <c r="R1745" s="7" t="str">
        <f t="shared" si="584"/>
        <v>住宅建築局住宅経営室</v>
      </c>
    </row>
    <row r="1746" spans="1:18" s="1" customFormat="1" x14ac:dyDescent="0.45">
      <c r="A1746" s="7" t="str">
        <f t="shared" si="594"/>
        <v>09940003116</v>
      </c>
      <c r="B1746" s="7" t="str">
        <f t="shared" si="595"/>
        <v>千里佐竹台・吹田佐竹台</v>
      </c>
      <c r="C1746" s="7" t="str">
        <f t="shared" si="585"/>
        <v>行政財産</v>
      </c>
      <c r="D1746" s="7" t="str">
        <f t="shared" si="586"/>
        <v>公営住宅</v>
      </c>
      <c r="E1746" s="7" t="str">
        <f t="shared" si="596"/>
        <v>大阪府吹田市佐竹台２丁目</v>
      </c>
      <c r="F1746" s="7"/>
      <c r="G1746" s="7" t="str">
        <f t="shared" si="583"/>
        <v>事業用資産</v>
      </c>
      <c r="H1746" s="7" t="str">
        <f t="shared" si="597"/>
        <v>棚卸以外</v>
      </c>
      <c r="I1746" s="7">
        <v>26</v>
      </c>
      <c r="J1746" s="7" t="str">
        <f>"受水槽"</f>
        <v>受水槽</v>
      </c>
      <c r="K1746" s="7" t="str">
        <f t="shared" si="588"/>
        <v>鉄筋コンクリート造</v>
      </c>
      <c r="L1746" s="7" t="str">
        <f>"H05.04.07"</f>
        <v>H05.04.07</v>
      </c>
      <c r="M1746" s="7">
        <v>54</v>
      </c>
      <c r="N1746" s="7">
        <v>16641000</v>
      </c>
      <c r="O1746" s="7">
        <v>10592654</v>
      </c>
      <c r="P1746" s="7">
        <v>0</v>
      </c>
      <c r="Q1746" s="7" t="str">
        <f t="shared" si="587"/>
        <v>都市整備部</v>
      </c>
      <c r="R1746" s="7" t="str">
        <f t="shared" si="584"/>
        <v>住宅建築局住宅経営室</v>
      </c>
    </row>
    <row r="1747" spans="1:18" s="1" customFormat="1" x14ac:dyDescent="0.45">
      <c r="A1747" s="7" t="str">
        <f t="shared" si="594"/>
        <v>09940003116</v>
      </c>
      <c r="B1747" s="7" t="str">
        <f t="shared" si="595"/>
        <v>千里佐竹台・吹田佐竹台</v>
      </c>
      <c r="C1747" s="7" t="str">
        <f t="shared" si="585"/>
        <v>行政財産</v>
      </c>
      <c r="D1747" s="7" t="str">
        <f t="shared" si="586"/>
        <v>公営住宅</v>
      </c>
      <c r="E1747" s="7" t="str">
        <f t="shared" si="596"/>
        <v>大阪府吹田市佐竹台２丁目</v>
      </c>
      <c r="F1747" s="7"/>
      <c r="G1747" s="7" t="str">
        <f t="shared" si="583"/>
        <v>事業用資産</v>
      </c>
      <c r="H1747" s="7" t="str">
        <f t="shared" si="597"/>
        <v>棚卸以外</v>
      </c>
      <c r="I1747" s="7">
        <v>27</v>
      </c>
      <c r="J1747" s="7" t="str">
        <f>"受水槽・ポンプ室"</f>
        <v>受水槽・ポンプ室</v>
      </c>
      <c r="K1747" s="7" t="str">
        <f t="shared" si="588"/>
        <v>鉄筋コンクリート造</v>
      </c>
      <c r="L1747" s="7" t="str">
        <f>"H05.11.16"</f>
        <v>H05.11.16</v>
      </c>
      <c r="M1747" s="7">
        <v>81.8</v>
      </c>
      <c r="N1747" s="7">
        <v>19160000</v>
      </c>
      <c r="O1747" s="7">
        <v>11958144</v>
      </c>
      <c r="P1747" s="7">
        <v>0</v>
      </c>
      <c r="Q1747" s="7" t="str">
        <f t="shared" si="587"/>
        <v>都市整備部</v>
      </c>
      <c r="R1747" s="7" t="str">
        <f t="shared" si="584"/>
        <v>住宅建築局住宅経営室</v>
      </c>
    </row>
    <row r="1748" spans="1:18" s="1" customFormat="1" x14ac:dyDescent="0.45">
      <c r="A1748" s="7" t="str">
        <f t="shared" si="594"/>
        <v>09940003116</v>
      </c>
      <c r="B1748" s="7" t="str">
        <f t="shared" si="595"/>
        <v>千里佐竹台・吹田佐竹台</v>
      </c>
      <c r="C1748" s="7" t="str">
        <f t="shared" si="585"/>
        <v>行政財産</v>
      </c>
      <c r="D1748" s="7" t="str">
        <f t="shared" si="586"/>
        <v>公営住宅</v>
      </c>
      <c r="E1748" s="7" t="str">
        <f t="shared" si="596"/>
        <v>大阪府吹田市佐竹台２丁目</v>
      </c>
      <c r="F1748" s="7"/>
      <c r="G1748" s="7" t="str">
        <f t="shared" si="583"/>
        <v>事業用資産</v>
      </c>
      <c r="H1748" s="7" t="str">
        <f t="shared" si="597"/>
        <v>棚卸以外</v>
      </c>
      <c r="I1748" s="7">
        <v>28</v>
      </c>
      <c r="J1748" s="7" t="str">
        <f>"吹田佐竹台・５～８号棟"</f>
        <v>吹田佐竹台・５～８号棟</v>
      </c>
      <c r="K1748" s="7" t="str">
        <f t="shared" si="588"/>
        <v>鉄筋コンクリート造</v>
      </c>
      <c r="L1748" s="7" t="str">
        <f>"H22.02.25"</f>
        <v>H22.02.25</v>
      </c>
      <c r="M1748" s="7">
        <v>21335.89</v>
      </c>
      <c r="N1748" s="7">
        <v>3076201290</v>
      </c>
      <c r="O1748" s="7">
        <v>861576523</v>
      </c>
      <c r="P1748" s="7">
        <v>0</v>
      </c>
      <c r="Q1748" s="7" t="str">
        <f t="shared" si="587"/>
        <v>都市整備部</v>
      </c>
      <c r="R1748" s="7" t="str">
        <f t="shared" si="584"/>
        <v>住宅建築局住宅経営室</v>
      </c>
    </row>
    <row r="1749" spans="1:18" s="1" customFormat="1" x14ac:dyDescent="0.45">
      <c r="A1749" s="7" t="str">
        <f t="shared" si="594"/>
        <v>09940003116</v>
      </c>
      <c r="B1749" s="7" t="str">
        <f t="shared" si="595"/>
        <v>千里佐竹台・吹田佐竹台</v>
      </c>
      <c r="C1749" s="7" t="str">
        <f t="shared" si="585"/>
        <v>行政財産</v>
      </c>
      <c r="D1749" s="7" t="str">
        <f t="shared" si="586"/>
        <v>公営住宅</v>
      </c>
      <c r="E1749" s="7" t="str">
        <f t="shared" si="596"/>
        <v>大阪府吹田市佐竹台２丁目</v>
      </c>
      <c r="F1749" s="7"/>
      <c r="G1749" s="7" t="str">
        <f t="shared" si="583"/>
        <v>事業用資産</v>
      </c>
      <c r="H1749" s="7" t="str">
        <f t="shared" si="597"/>
        <v>棚卸以外</v>
      </c>
      <c r="I1749" s="7">
        <v>29</v>
      </c>
      <c r="J1749" s="7" t="str">
        <f>"吹田佐竹台 ・駐車場棟"</f>
        <v>吹田佐竹台 ・駐車場棟</v>
      </c>
      <c r="K1749" s="7" t="str">
        <f t="shared" si="588"/>
        <v>鉄筋コンクリート造</v>
      </c>
      <c r="L1749" s="7" t="str">
        <f>"H22.02.25"</f>
        <v>H22.02.25</v>
      </c>
      <c r="M1749" s="7">
        <v>2970.29</v>
      </c>
      <c r="N1749" s="7">
        <v>425995000</v>
      </c>
      <c r="O1749" s="7">
        <v>118583827</v>
      </c>
      <c r="P1749" s="7">
        <v>0</v>
      </c>
      <c r="Q1749" s="7" t="str">
        <f t="shared" si="587"/>
        <v>都市整備部</v>
      </c>
      <c r="R1749" s="7" t="str">
        <f t="shared" si="584"/>
        <v>住宅建築局住宅経営室</v>
      </c>
    </row>
    <row r="1750" spans="1:18" s="1" customFormat="1" x14ac:dyDescent="0.45">
      <c r="A1750" s="7" t="str">
        <f t="shared" si="594"/>
        <v>09940003116</v>
      </c>
      <c r="B1750" s="7" t="str">
        <f t="shared" si="595"/>
        <v>千里佐竹台・吹田佐竹台</v>
      </c>
      <c r="C1750" s="7" t="str">
        <f t="shared" si="585"/>
        <v>行政財産</v>
      </c>
      <c r="D1750" s="7" t="str">
        <f t="shared" si="586"/>
        <v>公営住宅</v>
      </c>
      <c r="E1750" s="7" t="str">
        <f t="shared" si="596"/>
        <v>大阪府吹田市佐竹台２丁目</v>
      </c>
      <c r="F1750" s="7"/>
      <c r="G1750" s="7" t="str">
        <f t="shared" si="583"/>
        <v>事業用資産</v>
      </c>
      <c r="H1750" s="7" t="str">
        <f t="shared" si="597"/>
        <v>棚卸以外</v>
      </c>
      <c r="I1750" s="7">
        <v>30</v>
      </c>
      <c r="J1750" s="7" t="str">
        <f>"吹田佐竹台 ・ポンプ室"</f>
        <v>吹田佐竹台 ・ポンプ室</v>
      </c>
      <c r="K1750" s="7" t="str">
        <f t="shared" si="588"/>
        <v>鉄筋コンクリート造</v>
      </c>
      <c r="L1750" s="7" t="str">
        <f>"H22.02.25"</f>
        <v>H22.02.25</v>
      </c>
      <c r="M1750" s="7">
        <v>46.25</v>
      </c>
      <c r="N1750" s="7">
        <v>6633000</v>
      </c>
      <c r="O1750" s="7">
        <v>1846477</v>
      </c>
      <c r="P1750" s="7">
        <v>0</v>
      </c>
      <c r="Q1750" s="7" t="str">
        <f t="shared" si="587"/>
        <v>都市整備部</v>
      </c>
      <c r="R1750" s="7" t="str">
        <f t="shared" si="584"/>
        <v>住宅建築局住宅経営室</v>
      </c>
    </row>
    <row r="1751" spans="1:18" s="1" customFormat="1" x14ac:dyDescent="0.45">
      <c r="A1751" s="7" t="str">
        <f t="shared" si="594"/>
        <v>09940003116</v>
      </c>
      <c r="B1751" s="7" t="str">
        <f t="shared" si="595"/>
        <v>千里佐竹台・吹田佐竹台</v>
      </c>
      <c r="C1751" s="7" t="str">
        <f t="shared" si="585"/>
        <v>行政財産</v>
      </c>
      <c r="D1751" s="7" t="str">
        <f t="shared" si="586"/>
        <v>公営住宅</v>
      </c>
      <c r="E1751" s="7" t="str">
        <f t="shared" si="596"/>
        <v>大阪府吹田市佐竹台２丁目</v>
      </c>
      <c r="F1751" s="7"/>
      <c r="G1751" s="7" t="str">
        <f t="shared" ref="G1751:G1814" si="599">"事業用資産"</f>
        <v>事業用資産</v>
      </c>
      <c r="H1751" s="7" t="str">
        <f t="shared" si="597"/>
        <v>棚卸以外</v>
      </c>
      <c r="I1751" s="7">
        <v>31</v>
      </c>
      <c r="J1751" s="7" t="str">
        <f>"吹田佐竹台・１号棟"</f>
        <v>吹田佐竹台・１号棟</v>
      </c>
      <c r="K1751" s="7" t="str">
        <f t="shared" si="588"/>
        <v>鉄筋コンクリート造</v>
      </c>
      <c r="L1751" s="7" t="str">
        <f>"H23.10.31"</f>
        <v>H23.10.31</v>
      </c>
      <c r="M1751" s="7">
        <v>1960.27</v>
      </c>
      <c r="N1751" s="7">
        <v>304210880</v>
      </c>
      <c r="O1751" s="7">
        <v>73912420</v>
      </c>
      <c r="P1751" s="7">
        <v>0</v>
      </c>
      <c r="Q1751" s="7" t="str">
        <f t="shared" si="587"/>
        <v>都市整備部</v>
      </c>
      <c r="R1751" s="7" t="str">
        <f t="shared" si="584"/>
        <v>住宅建築局住宅経営室</v>
      </c>
    </row>
    <row r="1752" spans="1:18" s="1" customFormat="1" x14ac:dyDescent="0.45">
      <c r="A1752" s="7" t="str">
        <f t="shared" si="594"/>
        <v>09940003116</v>
      </c>
      <c r="B1752" s="7" t="str">
        <f t="shared" si="595"/>
        <v>千里佐竹台・吹田佐竹台</v>
      </c>
      <c r="C1752" s="7" t="str">
        <f t="shared" si="585"/>
        <v>行政財産</v>
      </c>
      <c r="D1752" s="7" t="str">
        <f t="shared" si="586"/>
        <v>公営住宅</v>
      </c>
      <c r="E1752" s="7" t="str">
        <f t="shared" si="596"/>
        <v>大阪府吹田市佐竹台２丁目</v>
      </c>
      <c r="F1752" s="7"/>
      <c r="G1752" s="7" t="str">
        <f t="shared" si="599"/>
        <v>事業用資産</v>
      </c>
      <c r="H1752" s="7" t="str">
        <f t="shared" si="597"/>
        <v>棚卸以外</v>
      </c>
      <c r="I1752" s="7">
        <v>32</v>
      </c>
      <c r="J1752" s="7" t="str">
        <f>"吹田佐竹台 ・２～４号棟"</f>
        <v>吹田佐竹台 ・２～４号棟</v>
      </c>
      <c r="K1752" s="7" t="str">
        <f t="shared" si="588"/>
        <v>鉄筋コンクリート造</v>
      </c>
      <c r="L1752" s="7" t="str">
        <f>"H23.10.31"</f>
        <v>H23.10.31</v>
      </c>
      <c r="M1752" s="7">
        <v>11824.01</v>
      </c>
      <c r="N1752" s="7">
        <v>1833457484</v>
      </c>
      <c r="O1752" s="7">
        <v>550808009</v>
      </c>
      <c r="P1752" s="7">
        <v>0</v>
      </c>
      <c r="Q1752" s="7" t="str">
        <f t="shared" si="587"/>
        <v>都市整備部</v>
      </c>
      <c r="R1752" s="7" t="str">
        <f t="shared" ref="R1752:R1815" si="600">"住宅建築局住宅経営室"</f>
        <v>住宅建築局住宅経営室</v>
      </c>
    </row>
    <row r="1753" spans="1:18" s="1" customFormat="1" x14ac:dyDescent="0.45">
      <c r="A1753" s="7" t="str">
        <f t="shared" si="594"/>
        <v>09940003116</v>
      </c>
      <c r="B1753" s="7" t="str">
        <f t="shared" si="595"/>
        <v>千里佐竹台・吹田佐竹台</v>
      </c>
      <c r="C1753" s="7" t="str">
        <f t="shared" si="585"/>
        <v>行政財産</v>
      </c>
      <c r="D1753" s="7" t="str">
        <f t="shared" si="586"/>
        <v>公営住宅</v>
      </c>
      <c r="E1753" s="7" t="str">
        <f t="shared" si="596"/>
        <v>大阪府吹田市佐竹台２丁目</v>
      </c>
      <c r="F1753" s="7"/>
      <c r="G1753" s="7" t="str">
        <f t="shared" si="599"/>
        <v>事業用資産</v>
      </c>
      <c r="H1753" s="7" t="str">
        <f t="shared" si="597"/>
        <v>棚卸以外</v>
      </c>
      <c r="I1753" s="7">
        <v>33</v>
      </c>
      <c r="J1753" s="7" t="str">
        <f>"吹田佐竹台・立体駐車場（南）"</f>
        <v>吹田佐竹台・立体駐車場（南）</v>
      </c>
      <c r="K1753" s="7" t="str">
        <f t="shared" si="588"/>
        <v>鉄筋コンクリート造</v>
      </c>
      <c r="L1753" s="7" t="str">
        <f>"H23.10.31"</f>
        <v>H23.10.31</v>
      </c>
      <c r="M1753" s="7">
        <v>1940.17</v>
      </c>
      <c r="N1753" s="7">
        <v>300605186</v>
      </c>
      <c r="O1753" s="7">
        <v>73019356</v>
      </c>
      <c r="P1753" s="7">
        <v>0</v>
      </c>
      <c r="Q1753" s="7" t="str">
        <f t="shared" si="587"/>
        <v>都市整備部</v>
      </c>
      <c r="R1753" s="7" t="str">
        <f t="shared" si="600"/>
        <v>住宅建築局住宅経営室</v>
      </c>
    </row>
    <row r="1754" spans="1:18" s="1" customFormat="1" x14ac:dyDescent="0.45">
      <c r="A1754" s="7" t="str">
        <f t="shared" si="594"/>
        <v>09940003116</v>
      </c>
      <c r="B1754" s="7" t="str">
        <f t="shared" si="595"/>
        <v>千里佐竹台・吹田佐竹台</v>
      </c>
      <c r="C1754" s="7" t="str">
        <f t="shared" ref="C1754:C1817" si="601">"行政財産"</f>
        <v>行政財産</v>
      </c>
      <c r="D1754" s="7" t="str">
        <f t="shared" ref="D1754:D1817" si="602">"公営住宅"</f>
        <v>公営住宅</v>
      </c>
      <c r="E1754" s="7" t="str">
        <f t="shared" si="596"/>
        <v>大阪府吹田市佐竹台２丁目</v>
      </c>
      <c r="F1754" s="7"/>
      <c r="G1754" s="7" t="str">
        <f t="shared" si="599"/>
        <v>事業用資産</v>
      </c>
      <c r="H1754" s="7" t="str">
        <f t="shared" si="597"/>
        <v>棚卸以外</v>
      </c>
      <c r="I1754" s="7">
        <v>34</v>
      </c>
      <c r="J1754" s="7" t="str">
        <f>"吹田佐竹台・立体駐車場（北）"</f>
        <v>吹田佐竹台・立体駐車場（北）</v>
      </c>
      <c r="K1754" s="7" t="str">
        <f t="shared" si="588"/>
        <v>鉄筋コンクリート造</v>
      </c>
      <c r="L1754" s="7" t="str">
        <f>"H23.10.31"</f>
        <v>H23.10.31</v>
      </c>
      <c r="M1754" s="7">
        <v>1573.55</v>
      </c>
      <c r="N1754" s="7">
        <v>243801981</v>
      </c>
      <c r="O1754" s="7">
        <v>59221538</v>
      </c>
      <c r="P1754" s="7">
        <v>0</v>
      </c>
      <c r="Q1754" s="7" t="str">
        <f t="shared" si="587"/>
        <v>都市整備部</v>
      </c>
      <c r="R1754" s="7" t="str">
        <f t="shared" si="600"/>
        <v>住宅建築局住宅経営室</v>
      </c>
    </row>
    <row r="1755" spans="1:18" s="1" customFormat="1" x14ac:dyDescent="0.45">
      <c r="A1755" s="7" t="str">
        <f t="shared" si="594"/>
        <v>09940003116</v>
      </c>
      <c r="B1755" s="7" t="str">
        <f t="shared" si="595"/>
        <v>千里佐竹台・吹田佐竹台</v>
      </c>
      <c r="C1755" s="7" t="str">
        <f t="shared" si="601"/>
        <v>行政財産</v>
      </c>
      <c r="D1755" s="7" t="str">
        <f t="shared" si="602"/>
        <v>公営住宅</v>
      </c>
      <c r="E1755" s="7" t="str">
        <f t="shared" si="596"/>
        <v>大阪府吹田市佐竹台２丁目</v>
      </c>
      <c r="F1755" s="7"/>
      <c r="G1755" s="7" t="str">
        <f t="shared" si="599"/>
        <v>事業用資産</v>
      </c>
      <c r="H1755" s="7" t="str">
        <f t="shared" si="597"/>
        <v>棚卸以外</v>
      </c>
      <c r="I1755" s="7">
        <v>35</v>
      </c>
      <c r="J1755" s="7" t="str">
        <f>"吹田佐竹台・電気室・ポンプ室"</f>
        <v>吹田佐竹台・電気室・ポンプ室</v>
      </c>
      <c r="K1755" s="7" t="str">
        <f t="shared" si="588"/>
        <v>鉄筋コンクリート造</v>
      </c>
      <c r="L1755" s="7" t="str">
        <f>"H23.10.31"</f>
        <v>H23.10.31</v>
      </c>
      <c r="M1755" s="7">
        <v>154.69999999999999</v>
      </c>
      <c r="N1755" s="7">
        <v>23968839</v>
      </c>
      <c r="O1755" s="7">
        <v>5822226</v>
      </c>
      <c r="P1755" s="7">
        <v>0</v>
      </c>
      <c r="Q1755" s="7" t="str">
        <f t="shared" ref="Q1755:Q1818" si="603">"都市整備部"</f>
        <v>都市整備部</v>
      </c>
      <c r="R1755" s="7" t="str">
        <f t="shared" si="600"/>
        <v>住宅建築局住宅経営室</v>
      </c>
    </row>
    <row r="1756" spans="1:18" s="1" customFormat="1" x14ac:dyDescent="0.45">
      <c r="A1756" s="7" t="str">
        <f t="shared" si="594"/>
        <v>09940003116</v>
      </c>
      <c r="B1756" s="7" t="str">
        <f t="shared" si="595"/>
        <v>千里佐竹台・吹田佐竹台</v>
      </c>
      <c r="C1756" s="7" t="str">
        <f t="shared" si="601"/>
        <v>行政財産</v>
      </c>
      <c r="D1756" s="7" t="str">
        <f t="shared" si="602"/>
        <v>公営住宅</v>
      </c>
      <c r="E1756" s="7" t="str">
        <f t="shared" si="596"/>
        <v>大阪府吹田市佐竹台２丁目</v>
      </c>
      <c r="F1756" s="7"/>
      <c r="G1756" s="7" t="str">
        <f t="shared" si="599"/>
        <v>事業用資産</v>
      </c>
      <c r="H1756" s="7" t="str">
        <f t="shared" si="597"/>
        <v>棚卸以外</v>
      </c>
      <c r="I1756" s="7">
        <v>36</v>
      </c>
      <c r="J1756" s="7" t="str">
        <f>"吹田佐竹台　９号棟"</f>
        <v>吹田佐竹台　９号棟</v>
      </c>
      <c r="K1756" s="7" t="str">
        <f t="shared" si="588"/>
        <v>鉄筋コンクリート造</v>
      </c>
      <c r="L1756" s="7" t="str">
        <f>"H28.09.01"</f>
        <v>H28.09.01</v>
      </c>
      <c r="M1756" s="7">
        <v>2048.6799999999998</v>
      </c>
      <c r="N1756" s="7">
        <v>452482704</v>
      </c>
      <c r="O1756" s="7">
        <v>62577450</v>
      </c>
      <c r="P1756" s="7">
        <v>0</v>
      </c>
      <c r="Q1756" s="7" t="str">
        <f t="shared" si="603"/>
        <v>都市整備部</v>
      </c>
      <c r="R1756" s="7" t="str">
        <f t="shared" si="600"/>
        <v>住宅建築局住宅経営室</v>
      </c>
    </row>
    <row r="1757" spans="1:18" s="1" customFormat="1" x14ac:dyDescent="0.45">
      <c r="A1757" s="7" t="str">
        <f t="shared" si="594"/>
        <v>09940003116</v>
      </c>
      <c r="B1757" s="7" t="str">
        <f t="shared" si="595"/>
        <v>千里佐竹台・吹田佐竹台</v>
      </c>
      <c r="C1757" s="7" t="str">
        <f t="shared" si="601"/>
        <v>行政財産</v>
      </c>
      <c r="D1757" s="7" t="str">
        <f t="shared" si="602"/>
        <v>公営住宅</v>
      </c>
      <c r="E1757" s="7" t="str">
        <f t="shared" si="596"/>
        <v>大阪府吹田市佐竹台２丁目</v>
      </c>
      <c r="F1757" s="7"/>
      <c r="G1757" s="7" t="str">
        <f t="shared" si="599"/>
        <v>事業用資産</v>
      </c>
      <c r="H1757" s="7" t="str">
        <f t="shared" si="597"/>
        <v>棚卸以外</v>
      </c>
      <c r="I1757" s="7">
        <v>37</v>
      </c>
      <c r="J1757" s="7" t="str">
        <f>"吹田佐竹台　１０号棟"</f>
        <v>吹田佐竹台　１０号棟</v>
      </c>
      <c r="K1757" s="7" t="str">
        <f t="shared" si="588"/>
        <v>鉄筋コンクリート造</v>
      </c>
      <c r="L1757" s="7" t="str">
        <f>"H28.12.01"</f>
        <v>H28.12.01</v>
      </c>
      <c r="M1757" s="7">
        <v>2657.54</v>
      </c>
      <c r="N1757" s="7">
        <v>576962877</v>
      </c>
      <c r="O1757" s="7">
        <v>76723800</v>
      </c>
      <c r="P1757" s="7">
        <v>0</v>
      </c>
      <c r="Q1757" s="7" t="str">
        <f t="shared" si="603"/>
        <v>都市整備部</v>
      </c>
      <c r="R1757" s="7" t="str">
        <f t="shared" si="600"/>
        <v>住宅建築局住宅経営室</v>
      </c>
    </row>
    <row r="1758" spans="1:18" s="1" customFormat="1" x14ac:dyDescent="0.45">
      <c r="A1758" s="7" t="str">
        <f t="shared" si="594"/>
        <v>09940003116</v>
      </c>
      <c r="B1758" s="7" t="str">
        <f t="shared" si="595"/>
        <v>千里佐竹台・吹田佐竹台</v>
      </c>
      <c r="C1758" s="7" t="str">
        <f t="shared" si="601"/>
        <v>行政財産</v>
      </c>
      <c r="D1758" s="7" t="str">
        <f t="shared" si="602"/>
        <v>公営住宅</v>
      </c>
      <c r="E1758" s="7" t="str">
        <f t="shared" si="596"/>
        <v>大阪府吹田市佐竹台２丁目</v>
      </c>
      <c r="F1758" s="7"/>
      <c r="G1758" s="7" t="str">
        <f t="shared" si="599"/>
        <v>事業用資産</v>
      </c>
      <c r="H1758" s="7" t="str">
        <f t="shared" si="597"/>
        <v>棚卸以外</v>
      </c>
      <c r="I1758" s="7">
        <v>38</v>
      </c>
      <c r="J1758" s="7" t="str">
        <f>"ゴミ置場（９・１０号棟）"</f>
        <v>ゴミ置場（９・１０号棟）</v>
      </c>
      <c r="K1758" s="7" t="str">
        <f t="shared" ref="K1758:K1821" si="604">"鉄筋コンクリート造"</f>
        <v>鉄筋コンクリート造</v>
      </c>
      <c r="L1758" s="7" t="str">
        <f>"H28.12.01"</f>
        <v>H28.12.01</v>
      </c>
      <c r="M1758" s="7">
        <v>24.75</v>
      </c>
      <c r="N1758" s="7">
        <v>5891955</v>
      </c>
      <c r="O1758" s="7">
        <v>783525</v>
      </c>
      <c r="P1758" s="7">
        <v>0</v>
      </c>
      <c r="Q1758" s="7" t="str">
        <f t="shared" si="603"/>
        <v>都市整備部</v>
      </c>
      <c r="R1758" s="7" t="str">
        <f t="shared" si="600"/>
        <v>住宅建築局住宅経営室</v>
      </c>
    </row>
    <row r="1759" spans="1:18" s="1" customFormat="1" ht="26.4" x14ac:dyDescent="0.45">
      <c r="A1759" s="7" t="str">
        <f t="shared" si="594"/>
        <v>09940003116</v>
      </c>
      <c r="B1759" s="7" t="str">
        <f t="shared" si="595"/>
        <v>千里佐竹台・吹田佐竹台</v>
      </c>
      <c r="C1759" s="7" t="str">
        <f t="shared" si="601"/>
        <v>行政財産</v>
      </c>
      <c r="D1759" s="7" t="str">
        <f t="shared" si="602"/>
        <v>公営住宅</v>
      </c>
      <c r="E1759" s="7" t="str">
        <f t="shared" si="596"/>
        <v>大阪府吹田市佐竹台２丁目</v>
      </c>
      <c r="F1759" s="7"/>
      <c r="G1759" s="7" t="str">
        <f t="shared" si="599"/>
        <v>事業用資産</v>
      </c>
      <c r="H1759" s="7" t="str">
        <f t="shared" si="597"/>
        <v>棚卸以外</v>
      </c>
      <c r="I1759" s="7">
        <v>39</v>
      </c>
      <c r="J1759" s="7" t="str">
        <f>"受水槽・ポンプ室（電気室と同一棟）（９・１０号棟）"</f>
        <v>受水槽・ポンプ室（電気室と同一棟）（９・１０号棟）</v>
      </c>
      <c r="K1759" s="7" t="str">
        <f t="shared" si="604"/>
        <v>鉄筋コンクリート造</v>
      </c>
      <c r="L1759" s="7" t="str">
        <f>"H28.12.01"</f>
        <v>H28.12.01</v>
      </c>
      <c r="M1759" s="7">
        <v>64.89</v>
      </c>
      <c r="N1759" s="7">
        <v>32975334</v>
      </c>
      <c r="O1759" s="7">
        <v>4385025</v>
      </c>
      <c r="P1759" s="7">
        <v>0</v>
      </c>
      <c r="Q1759" s="7" t="str">
        <f t="shared" si="603"/>
        <v>都市整備部</v>
      </c>
      <c r="R1759" s="7" t="str">
        <f t="shared" si="600"/>
        <v>住宅建築局住宅経営室</v>
      </c>
    </row>
    <row r="1760" spans="1:18" s="1" customFormat="1" x14ac:dyDescent="0.45">
      <c r="A1760" s="7" t="str">
        <f t="shared" si="594"/>
        <v>09940003116</v>
      </c>
      <c r="B1760" s="7" t="str">
        <f t="shared" si="595"/>
        <v>千里佐竹台・吹田佐竹台</v>
      </c>
      <c r="C1760" s="7" t="str">
        <f t="shared" si="601"/>
        <v>行政財産</v>
      </c>
      <c r="D1760" s="7" t="str">
        <f t="shared" si="602"/>
        <v>公営住宅</v>
      </c>
      <c r="E1760" s="7" t="str">
        <f t="shared" si="596"/>
        <v>大阪府吹田市佐竹台２丁目</v>
      </c>
      <c r="F1760" s="7"/>
      <c r="G1760" s="7" t="str">
        <f t="shared" si="599"/>
        <v>事業用資産</v>
      </c>
      <c r="H1760" s="7" t="str">
        <f t="shared" si="597"/>
        <v>棚卸以外</v>
      </c>
      <c r="I1760" s="7">
        <v>41</v>
      </c>
      <c r="J1760" s="7" t="str">
        <f>"集会所（１１号棟）"</f>
        <v>集会所（１１号棟）</v>
      </c>
      <c r="K1760" s="7" t="str">
        <f t="shared" si="604"/>
        <v>鉄筋コンクリート造</v>
      </c>
      <c r="L1760" s="7" t="str">
        <f>"R02.11.01"</f>
        <v>R02.11.01</v>
      </c>
      <c r="M1760" s="7">
        <v>151.94</v>
      </c>
      <c r="N1760" s="7">
        <v>51716946</v>
      </c>
      <c r="O1760" s="7">
        <v>2567516</v>
      </c>
      <c r="P1760" s="7">
        <v>0</v>
      </c>
      <c r="Q1760" s="7" t="str">
        <f t="shared" si="603"/>
        <v>都市整備部</v>
      </c>
      <c r="R1760" s="7" t="str">
        <f t="shared" si="600"/>
        <v>住宅建築局住宅経営室</v>
      </c>
    </row>
    <row r="1761" spans="1:18" s="1" customFormat="1" x14ac:dyDescent="0.45">
      <c r="A1761" s="7" t="str">
        <f t="shared" si="594"/>
        <v>09940003116</v>
      </c>
      <c r="B1761" s="7" t="str">
        <f t="shared" si="595"/>
        <v>千里佐竹台・吹田佐竹台</v>
      </c>
      <c r="C1761" s="7" t="str">
        <f t="shared" si="601"/>
        <v>行政財産</v>
      </c>
      <c r="D1761" s="7" t="str">
        <f t="shared" si="602"/>
        <v>公営住宅</v>
      </c>
      <c r="E1761" s="7" t="str">
        <f t="shared" si="596"/>
        <v>大阪府吹田市佐竹台２丁目</v>
      </c>
      <c r="F1761" s="7"/>
      <c r="G1761" s="7" t="str">
        <f t="shared" si="599"/>
        <v>事業用資産</v>
      </c>
      <c r="H1761" s="7" t="str">
        <f t="shared" si="597"/>
        <v>棚卸以外</v>
      </c>
      <c r="I1761" s="7">
        <v>42</v>
      </c>
      <c r="J1761" s="7" t="str">
        <f>"電気室（１１号棟）"</f>
        <v>電気室（１１号棟）</v>
      </c>
      <c r="K1761" s="7" t="str">
        <f t="shared" si="604"/>
        <v>鉄筋コンクリート造</v>
      </c>
      <c r="L1761" s="7" t="str">
        <f>"R02.11.01"</f>
        <v>R02.11.01</v>
      </c>
      <c r="M1761" s="7">
        <v>35.49</v>
      </c>
      <c r="N1761" s="7">
        <v>19055742</v>
      </c>
      <c r="O1761" s="7">
        <v>946036</v>
      </c>
      <c r="P1761" s="7">
        <v>0</v>
      </c>
      <c r="Q1761" s="7" t="str">
        <f t="shared" si="603"/>
        <v>都市整備部</v>
      </c>
      <c r="R1761" s="7" t="str">
        <f t="shared" si="600"/>
        <v>住宅建築局住宅経営室</v>
      </c>
    </row>
    <row r="1762" spans="1:18" s="1" customFormat="1" x14ac:dyDescent="0.45">
      <c r="A1762" s="7" t="str">
        <f t="shared" si="594"/>
        <v>09940003116</v>
      </c>
      <c r="B1762" s="7" t="str">
        <f t="shared" si="595"/>
        <v>千里佐竹台・吹田佐竹台</v>
      </c>
      <c r="C1762" s="7" t="str">
        <f t="shared" si="601"/>
        <v>行政財産</v>
      </c>
      <c r="D1762" s="7" t="str">
        <f t="shared" si="602"/>
        <v>公営住宅</v>
      </c>
      <c r="E1762" s="7" t="str">
        <f t="shared" si="596"/>
        <v>大阪府吹田市佐竹台２丁目</v>
      </c>
      <c r="F1762" s="7"/>
      <c r="G1762" s="7" t="str">
        <f t="shared" si="599"/>
        <v>事業用資産</v>
      </c>
      <c r="H1762" s="7" t="str">
        <f t="shared" si="597"/>
        <v>棚卸以外</v>
      </c>
      <c r="I1762" s="7">
        <v>43</v>
      </c>
      <c r="J1762" s="7" t="str">
        <f>"ポンプ室（１１号棟）"</f>
        <v>ポンプ室（１１号棟）</v>
      </c>
      <c r="K1762" s="7" t="str">
        <f t="shared" si="604"/>
        <v>鉄筋コンクリート造</v>
      </c>
      <c r="L1762" s="7" t="str">
        <f>"R02.11.01"</f>
        <v>R02.11.01</v>
      </c>
      <c r="M1762" s="7">
        <v>2.75</v>
      </c>
      <c r="N1762" s="7">
        <v>4839237</v>
      </c>
      <c r="O1762" s="7">
        <v>240268</v>
      </c>
      <c r="P1762" s="7">
        <v>0</v>
      </c>
      <c r="Q1762" s="7" t="str">
        <f t="shared" si="603"/>
        <v>都市整備部</v>
      </c>
      <c r="R1762" s="7" t="str">
        <f t="shared" si="600"/>
        <v>住宅建築局住宅経営室</v>
      </c>
    </row>
    <row r="1763" spans="1:18" s="1" customFormat="1" x14ac:dyDescent="0.45">
      <c r="A1763" s="7" t="str">
        <f t="shared" si="594"/>
        <v>09940003116</v>
      </c>
      <c r="B1763" s="7" t="str">
        <f t="shared" si="595"/>
        <v>千里佐竹台・吹田佐竹台</v>
      </c>
      <c r="C1763" s="7" t="str">
        <f t="shared" si="601"/>
        <v>行政財産</v>
      </c>
      <c r="D1763" s="7" t="str">
        <f t="shared" si="602"/>
        <v>公営住宅</v>
      </c>
      <c r="E1763" s="7" t="str">
        <f t="shared" si="596"/>
        <v>大阪府吹田市佐竹台２丁目</v>
      </c>
      <c r="F1763" s="7"/>
      <c r="G1763" s="7" t="str">
        <f t="shared" si="599"/>
        <v>事業用資産</v>
      </c>
      <c r="H1763" s="7" t="str">
        <f t="shared" si="597"/>
        <v>棚卸以外</v>
      </c>
      <c r="I1763" s="7">
        <v>44</v>
      </c>
      <c r="J1763" s="7" t="str">
        <f>"１１号棟"</f>
        <v>１１号棟</v>
      </c>
      <c r="K1763" s="7" t="str">
        <f t="shared" si="604"/>
        <v>鉄筋コンクリート造</v>
      </c>
      <c r="L1763" s="7" t="str">
        <f>"R02.11.01"</f>
        <v>R02.11.01</v>
      </c>
      <c r="M1763" s="7">
        <v>3343.32</v>
      </c>
      <c r="N1763" s="7">
        <v>852133117</v>
      </c>
      <c r="O1763" s="7">
        <v>42304500</v>
      </c>
      <c r="P1763" s="7">
        <v>0</v>
      </c>
      <c r="Q1763" s="7" t="str">
        <f t="shared" si="603"/>
        <v>都市整備部</v>
      </c>
      <c r="R1763" s="7" t="str">
        <f t="shared" si="600"/>
        <v>住宅建築局住宅経営室</v>
      </c>
    </row>
    <row r="1764" spans="1:18" s="1" customFormat="1" x14ac:dyDescent="0.45">
      <c r="A1764" s="7" t="str">
        <f t="shared" ref="A1764:A1771" si="605">"09940003118"</f>
        <v>09940003118</v>
      </c>
      <c r="B1764" s="7" t="str">
        <f t="shared" ref="B1764:B1771" si="606">"狭山"</f>
        <v>狭山</v>
      </c>
      <c r="C1764" s="7" t="str">
        <f t="shared" si="601"/>
        <v>行政財産</v>
      </c>
      <c r="D1764" s="7" t="str">
        <f t="shared" si="602"/>
        <v>公営住宅</v>
      </c>
      <c r="E1764" s="7" t="str">
        <f t="shared" ref="E1764:E1771" si="607">"大阪府大阪狭山市西山台４丁目"</f>
        <v>大阪府大阪狭山市西山台４丁目</v>
      </c>
      <c r="F1764" s="7"/>
      <c r="G1764" s="7" t="str">
        <f t="shared" si="599"/>
        <v>事業用資産</v>
      </c>
      <c r="H1764" s="7" t="str">
        <f t="shared" si="597"/>
        <v>棚卸以外</v>
      </c>
      <c r="I1764" s="7">
        <v>1</v>
      </c>
      <c r="J1764" s="7" t="str">
        <f>"２２～３０・３２～４３号棟"</f>
        <v>２２～３０・３２～４３号棟</v>
      </c>
      <c r="K1764" s="7" t="str">
        <f t="shared" si="604"/>
        <v>鉄筋コンクリート造</v>
      </c>
      <c r="L1764" s="7" t="str">
        <f>"S46.10.27"</f>
        <v>S46.10.27</v>
      </c>
      <c r="M1764" s="7">
        <v>38220.06</v>
      </c>
      <c r="N1764" s="7">
        <v>1642354968</v>
      </c>
      <c r="O1764" s="7">
        <v>1642354967</v>
      </c>
      <c r="P1764" s="7">
        <v>0</v>
      </c>
      <c r="Q1764" s="7" t="str">
        <f t="shared" si="603"/>
        <v>都市整備部</v>
      </c>
      <c r="R1764" s="7" t="str">
        <f t="shared" si="600"/>
        <v>住宅建築局住宅経営室</v>
      </c>
    </row>
    <row r="1765" spans="1:18" s="1" customFormat="1" x14ac:dyDescent="0.45">
      <c r="A1765" s="7" t="str">
        <f t="shared" si="605"/>
        <v>09940003118</v>
      </c>
      <c r="B1765" s="7" t="str">
        <f t="shared" si="606"/>
        <v>狭山</v>
      </c>
      <c r="C1765" s="7" t="str">
        <f t="shared" si="601"/>
        <v>行政財産</v>
      </c>
      <c r="D1765" s="7" t="str">
        <f t="shared" si="602"/>
        <v>公営住宅</v>
      </c>
      <c r="E1765" s="7" t="str">
        <f t="shared" si="607"/>
        <v>大阪府大阪狭山市西山台４丁目</v>
      </c>
      <c r="F1765" s="7"/>
      <c r="G1765" s="7" t="str">
        <f t="shared" si="599"/>
        <v>事業用資産</v>
      </c>
      <c r="H1765" s="7" t="str">
        <f t="shared" si="597"/>
        <v>棚卸以外</v>
      </c>
      <c r="I1765" s="7">
        <v>2</v>
      </c>
      <c r="J1765" s="7" t="str">
        <f>"集会室"</f>
        <v>集会室</v>
      </c>
      <c r="K1765" s="7" t="str">
        <f t="shared" si="604"/>
        <v>鉄筋コンクリート造</v>
      </c>
      <c r="L1765" s="7" t="str">
        <f>"S45.10.27"</f>
        <v>S45.10.27</v>
      </c>
      <c r="M1765" s="7">
        <v>186.32</v>
      </c>
      <c r="N1765" s="7">
        <v>21333050</v>
      </c>
      <c r="O1765" s="7">
        <v>11647398</v>
      </c>
      <c r="P1765" s="7">
        <v>0</v>
      </c>
      <c r="Q1765" s="7" t="str">
        <f t="shared" si="603"/>
        <v>都市整備部</v>
      </c>
      <c r="R1765" s="7" t="str">
        <f t="shared" si="600"/>
        <v>住宅建築局住宅経営室</v>
      </c>
    </row>
    <row r="1766" spans="1:18" s="1" customFormat="1" x14ac:dyDescent="0.45">
      <c r="A1766" s="7" t="str">
        <f t="shared" si="605"/>
        <v>09940003118</v>
      </c>
      <c r="B1766" s="7" t="str">
        <f t="shared" si="606"/>
        <v>狭山</v>
      </c>
      <c r="C1766" s="7" t="str">
        <f t="shared" si="601"/>
        <v>行政財産</v>
      </c>
      <c r="D1766" s="7" t="str">
        <f t="shared" si="602"/>
        <v>公営住宅</v>
      </c>
      <c r="E1766" s="7" t="str">
        <f t="shared" si="607"/>
        <v>大阪府大阪狭山市西山台４丁目</v>
      </c>
      <c r="F1766" s="7"/>
      <c r="G1766" s="7" t="str">
        <f t="shared" si="599"/>
        <v>事業用資産</v>
      </c>
      <c r="H1766" s="7" t="str">
        <f t="shared" si="597"/>
        <v>棚卸以外</v>
      </c>
      <c r="I1766" s="7">
        <v>3</v>
      </c>
      <c r="J1766" s="7" t="str">
        <f>"１～４・７～１６・１８～２１棟"</f>
        <v>１～４・７～１６・１８～２１棟</v>
      </c>
      <c r="K1766" s="7" t="str">
        <f t="shared" si="604"/>
        <v>鉄筋コンクリート造</v>
      </c>
      <c r="L1766" s="7" t="str">
        <f>"S45.10.27"</f>
        <v>S45.10.27</v>
      </c>
      <c r="M1766" s="7">
        <v>35996.839999999997</v>
      </c>
      <c r="N1766" s="7">
        <v>3453565409</v>
      </c>
      <c r="O1766" s="7">
        <v>1896102830</v>
      </c>
      <c r="P1766" s="7">
        <v>0</v>
      </c>
      <c r="Q1766" s="7" t="str">
        <f t="shared" si="603"/>
        <v>都市整備部</v>
      </c>
      <c r="R1766" s="7" t="str">
        <f t="shared" si="600"/>
        <v>住宅建築局住宅経営室</v>
      </c>
    </row>
    <row r="1767" spans="1:18" s="1" customFormat="1" x14ac:dyDescent="0.45">
      <c r="A1767" s="7" t="str">
        <f t="shared" si="605"/>
        <v>09940003118</v>
      </c>
      <c r="B1767" s="7" t="str">
        <f t="shared" si="606"/>
        <v>狭山</v>
      </c>
      <c r="C1767" s="7" t="str">
        <f t="shared" si="601"/>
        <v>行政財産</v>
      </c>
      <c r="D1767" s="7" t="str">
        <f t="shared" si="602"/>
        <v>公営住宅</v>
      </c>
      <c r="E1767" s="7" t="str">
        <f t="shared" si="607"/>
        <v>大阪府大阪狭山市西山台４丁目</v>
      </c>
      <c r="F1767" s="7"/>
      <c r="G1767" s="7" t="str">
        <f t="shared" si="599"/>
        <v>事業用資産</v>
      </c>
      <c r="H1767" s="7" t="str">
        <f t="shared" si="597"/>
        <v>棚卸以外</v>
      </c>
      <c r="I1767" s="7">
        <v>4</v>
      </c>
      <c r="J1767" s="7" t="str">
        <f>"集会所"</f>
        <v>集会所</v>
      </c>
      <c r="K1767" s="7" t="str">
        <f t="shared" si="604"/>
        <v>鉄筋コンクリート造</v>
      </c>
      <c r="L1767" s="7" t="str">
        <f>"S60.08.26"</f>
        <v>S60.08.26</v>
      </c>
      <c r="M1767" s="7">
        <v>88.34</v>
      </c>
      <c r="N1767" s="7">
        <v>19500000</v>
      </c>
      <c r="O1767" s="7">
        <v>15593325</v>
      </c>
      <c r="P1767" s="7">
        <v>0</v>
      </c>
      <c r="Q1767" s="7" t="str">
        <f t="shared" si="603"/>
        <v>都市整備部</v>
      </c>
      <c r="R1767" s="7" t="str">
        <f t="shared" si="600"/>
        <v>住宅建築局住宅経営室</v>
      </c>
    </row>
    <row r="1768" spans="1:18" s="1" customFormat="1" x14ac:dyDescent="0.45">
      <c r="A1768" s="7" t="str">
        <f t="shared" si="605"/>
        <v>09940003118</v>
      </c>
      <c r="B1768" s="7" t="str">
        <f t="shared" si="606"/>
        <v>狭山</v>
      </c>
      <c r="C1768" s="7" t="str">
        <f t="shared" si="601"/>
        <v>行政財産</v>
      </c>
      <c r="D1768" s="7" t="str">
        <f t="shared" si="602"/>
        <v>公営住宅</v>
      </c>
      <c r="E1768" s="7" t="str">
        <f t="shared" si="607"/>
        <v>大阪府大阪狭山市西山台４丁目</v>
      </c>
      <c r="F1768" s="7"/>
      <c r="G1768" s="7" t="str">
        <f t="shared" si="599"/>
        <v>事業用資産</v>
      </c>
      <c r="H1768" s="7" t="str">
        <f t="shared" si="597"/>
        <v>棚卸以外</v>
      </c>
      <c r="I1768" s="7">
        <v>5</v>
      </c>
      <c r="J1768" s="7" t="str">
        <f>"１１号棟（増築）"</f>
        <v>１１号棟（増築）</v>
      </c>
      <c r="K1768" s="7" t="str">
        <f t="shared" si="604"/>
        <v>鉄筋コンクリート造</v>
      </c>
      <c r="L1768" s="7" t="str">
        <f>"S62.12.17"</f>
        <v>S62.12.17</v>
      </c>
      <c r="M1768" s="7">
        <v>753.96</v>
      </c>
      <c r="N1768" s="7">
        <v>102863000</v>
      </c>
      <c r="O1768" s="7">
        <v>77147586</v>
      </c>
      <c r="P1768" s="7">
        <v>0</v>
      </c>
      <c r="Q1768" s="7" t="str">
        <f t="shared" si="603"/>
        <v>都市整備部</v>
      </c>
      <c r="R1768" s="7" t="str">
        <f t="shared" si="600"/>
        <v>住宅建築局住宅経営室</v>
      </c>
    </row>
    <row r="1769" spans="1:18" s="1" customFormat="1" x14ac:dyDescent="0.45">
      <c r="A1769" s="7" t="str">
        <f t="shared" si="605"/>
        <v>09940003118</v>
      </c>
      <c r="B1769" s="7" t="str">
        <f t="shared" si="606"/>
        <v>狭山</v>
      </c>
      <c r="C1769" s="7" t="str">
        <f t="shared" si="601"/>
        <v>行政財産</v>
      </c>
      <c r="D1769" s="7" t="str">
        <f t="shared" si="602"/>
        <v>公営住宅</v>
      </c>
      <c r="E1769" s="7" t="str">
        <f t="shared" si="607"/>
        <v>大阪府大阪狭山市西山台４丁目</v>
      </c>
      <c r="F1769" s="7"/>
      <c r="G1769" s="7" t="str">
        <f t="shared" si="599"/>
        <v>事業用資産</v>
      </c>
      <c r="H1769" s="7" t="str">
        <f t="shared" si="597"/>
        <v>棚卸以外</v>
      </c>
      <c r="I1769" s="7">
        <v>6</v>
      </c>
      <c r="J1769" s="7" t="str">
        <f>"１２号棟（増築）"</f>
        <v>１２号棟（増築）</v>
      </c>
      <c r="K1769" s="7" t="str">
        <f t="shared" si="604"/>
        <v>鉄筋コンクリート造</v>
      </c>
      <c r="L1769" s="7" t="str">
        <f>"S62.12.17"</f>
        <v>S62.12.17</v>
      </c>
      <c r="M1769" s="7">
        <v>753.96</v>
      </c>
      <c r="N1769" s="7">
        <v>107345000</v>
      </c>
      <c r="O1769" s="7">
        <v>80509167</v>
      </c>
      <c r="P1769" s="7">
        <v>0</v>
      </c>
      <c r="Q1769" s="7" t="str">
        <f t="shared" si="603"/>
        <v>都市整備部</v>
      </c>
      <c r="R1769" s="7" t="str">
        <f t="shared" si="600"/>
        <v>住宅建築局住宅経営室</v>
      </c>
    </row>
    <row r="1770" spans="1:18" s="1" customFormat="1" x14ac:dyDescent="0.45">
      <c r="A1770" s="7" t="str">
        <f t="shared" si="605"/>
        <v>09940003118</v>
      </c>
      <c r="B1770" s="7" t="str">
        <f t="shared" si="606"/>
        <v>狭山</v>
      </c>
      <c r="C1770" s="7" t="str">
        <f t="shared" si="601"/>
        <v>行政財産</v>
      </c>
      <c r="D1770" s="7" t="str">
        <f t="shared" si="602"/>
        <v>公営住宅</v>
      </c>
      <c r="E1770" s="7" t="str">
        <f t="shared" si="607"/>
        <v>大阪府大阪狭山市西山台４丁目</v>
      </c>
      <c r="F1770" s="7"/>
      <c r="G1770" s="7" t="str">
        <f t="shared" si="599"/>
        <v>事業用資産</v>
      </c>
      <c r="H1770" s="7" t="str">
        <f t="shared" si="597"/>
        <v>棚卸以外</v>
      </c>
      <c r="I1770" s="7">
        <v>7</v>
      </c>
      <c r="J1770" s="7" t="str">
        <f>"４４号棟（増築）"</f>
        <v>４４号棟（増築）</v>
      </c>
      <c r="K1770" s="7" t="str">
        <f t="shared" si="604"/>
        <v>鉄筋コンクリート造</v>
      </c>
      <c r="L1770" s="7" t="str">
        <f>"S62.11.26"</f>
        <v>S62.11.26</v>
      </c>
      <c r="M1770" s="7">
        <v>1192.74</v>
      </c>
      <c r="N1770" s="7">
        <v>149319000</v>
      </c>
      <c r="O1770" s="7">
        <v>112254000</v>
      </c>
      <c r="P1770" s="7">
        <v>0</v>
      </c>
      <c r="Q1770" s="7" t="str">
        <f t="shared" si="603"/>
        <v>都市整備部</v>
      </c>
      <c r="R1770" s="7" t="str">
        <f t="shared" si="600"/>
        <v>住宅建築局住宅経営室</v>
      </c>
    </row>
    <row r="1771" spans="1:18" s="1" customFormat="1" x14ac:dyDescent="0.45">
      <c r="A1771" s="7" t="str">
        <f t="shared" si="605"/>
        <v>09940003118</v>
      </c>
      <c r="B1771" s="7" t="str">
        <f t="shared" si="606"/>
        <v>狭山</v>
      </c>
      <c r="C1771" s="7" t="str">
        <f t="shared" si="601"/>
        <v>行政財産</v>
      </c>
      <c r="D1771" s="7" t="str">
        <f t="shared" si="602"/>
        <v>公営住宅</v>
      </c>
      <c r="E1771" s="7" t="str">
        <f t="shared" si="607"/>
        <v>大阪府大阪狭山市西山台４丁目</v>
      </c>
      <c r="F1771" s="7"/>
      <c r="G1771" s="7" t="str">
        <f t="shared" si="599"/>
        <v>事業用資産</v>
      </c>
      <c r="H1771" s="7" t="str">
        <f t="shared" si="597"/>
        <v>棚卸以外</v>
      </c>
      <c r="I1771" s="7">
        <v>8</v>
      </c>
      <c r="J1771" s="7" t="str">
        <f>"３０号棟（増築）"</f>
        <v>３０号棟（増築）</v>
      </c>
      <c r="K1771" s="7" t="str">
        <f t="shared" si="604"/>
        <v>鉄筋コンクリート造</v>
      </c>
      <c r="L1771" s="7" t="str">
        <f>"S62.11.26"</f>
        <v>S62.11.26</v>
      </c>
      <c r="M1771" s="7">
        <v>1391.53</v>
      </c>
      <c r="N1771" s="7">
        <v>178362000</v>
      </c>
      <c r="O1771" s="7">
        <v>134087880</v>
      </c>
      <c r="P1771" s="7">
        <v>0</v>
      </c>
      <c r="Q1771" s="7" t="str">
        <f t="shared" si="603"/>
        <v>都市整備部</v>
      </c>
      <c r="R1771" s="7" t="str">
        <f t="shared" si="600"/>
        <v>住宅建築局住宅経営室</v>
      </c>
    </row>
    <row r="1772" spans="1:18" s="1" customFormat="1" x14ac:dyDescent="0.45">
      <c r="A1772" s="7" t="str">
        <f t="shared" ref="A1772:A1803" si="608">"09940003122"</f>
        <v>09940003122</v>
      </c>
      <c r="B1772" s="7" t="str">
        <f t="shared" ref="B1772:B1803" si="609">"千里高野台（吹田高野台）"</f>
        <v>千里高野台（吹田高野台）</v>
      </c>
      <c r="C1772" s="7" t="str">
        <f t="shared" si="601"/>
        <v>行政財産</v>
      </c>
      <c r="D1772" s="7" t="str">
        <f t="shared" si="602"/>
        <v>公営住宅</v>
      </c>
      <c r="E1772" s="7" t="str">
        <f t="shared" ref="E1772:E1803" si="610">"大阪府吹田市高野台１丁目"</f>
        <v>大阪府吹田市高野台１丁目</v>
      </c>
      <c r="F1772" s="7"/>
      <c r="G1772" s="7" t="str">
        <f t="shared" si="599"/>
        <v>事業用資産</v>
      </c>
      <c r="H1772" s="7" t="str">
        <f t="shared" si="597"/>
        <v>棚卸以外</v>
      </c>
      <c r="I1772" s="7">
        <v>1</v>
      </c>
      <c r="J1772" s="7" t="str">
        <f>"２０～２３・６０～７２号棟"</f>
        <v>２０～２３・６０～７２号棟</v>
      </c>
      <c r="K1772" s="7" t="str">
        <f t="shared" si="604"/>
        <v>鉄筋コンクリート造</v>
      </c>
      <c r="L1772" s="7" t="str">
        <f>"S38.06.14"</f>
        <v>S38.06.14</v>
      </c>
      <c r="M1772" s="7">
        <v>13336.6</v>
      </c>
      <c r="N1772" s="7">
        <v>453258818</v>
      </c>
      <c r="O1772" s="7">
        <v>453258817</v>
      </c>
      <c r="P1772" s="7">
        <v>0</v>
      </c>
      <c r="Q1772" s="7" t="str">
        <f t="shared" si="603"/>
        <v>都市整備部</v>
      </c>
      <c r="R1772" s="7" t="str">
        <f t="shared" si="600"/>
        <v>住宅建築局住宅経営室</v>
      </c>
    </row>
    <row r="1773" spans="1:18" s="1" customFormat="1" x14ac:dyDescent="0.45">
      <c r="A1773" s="7" t="str">
        <f t="shared" si="608"/>
        <v>09940003122</v>
      </c>
      <c r="B1773" s="7" t="str">
        <f t="shared" si="609"/>
        <v>千里高野台（吹田高野台）</v>
      </c>
      <c r="C1773" s="7" t="str">
        <f t="shared" si="601"/>
        <v>行政財産</v>
      </c>
      <c r="D1773" s="7" t="str">
        <f t="shared" si="602"/>
        <v>公営住宅</v>
      </c>
      <c r="E1773" s="7" t="str">
        <f t="shared" si="610"/>
        <v>大阪府吹田市高野台１丁目</v>
      </c>
      <c r="F1773" s="7"/>
      <c r="G1773" s="7" t="str">
        <f t="shared" si="599"/>
        <v>事業用資産</v>
      </c>
      <c r="H1773" s="7" t="str">
        <f t="shared" si="597"/>
        <v>棚卸以外</v>
      </c>
      <c r="I1773" s="7">
        <v>2</v>
      </c>
      <c r="J1773" s="7" t="str">
        <f>"２４～２７号棟"</f>
        <v>２４～２７号棟</v>
      </c>
      <c r="K1773" s="7" t="str">
        <f t="shared" si="604"/>
        <v>鉄筋コンクリート造</v>
      </c>
      <c r="L1773" s="7" t="str">
        <f>"S38.06.14"</f>
        <v>S38.06.14</v>
      </c>
      <c r="M1773" s="7">
        <v>4459.72</v>
      </c>
      <c r="N1773" s="7">
        <v>100727118</v>
      </c>
      <c r="O1773" s="7">
        <v>100727117</v>
      </c>
      <c r="P1773" s="7">
        <v>0</v>
      </c>
      <c r="Q1773" s="7" t="str">
        <f t="shared" si="603"/>
        <v>都市整備部</v>
      </c>
      <c r="R1773" s="7" t="str">
        <f t="shared" si="600"/>
        <v>住宅建築局住宅経営室</v>
      </c>
    </row>
    <row r="1774" spans="1:18" s="1" customFormat="1" x14ac:dyDescent="0.45">
      <c r="A1774" s="7" t="str">
        <f t="shared" si="608"/>
        <v>09940003122</v>
      </c>
      <c r="B1774" s="7" t="str">
        <f t="shared" si="609"/>
        <v>千里高野台（吹田高野台）</v>
      </c>
      <c r="C1774" s="7" t="str">
        <f t="shared" si="601"/>
        <v>行政財産</v>
      </c>
      <c r="D1774" s="7" t="str">
        <f t="shared" si="602"/>
        <v>公営住宅</v>
      </c>
      <c r="E1774" s="7" t="str">
        <f t="shared" si="610"/>
        <v>大阪府吹田市高野台１丁目</v>
      </c>
      <c r="F1774" s="7"/>
      <c r="G1774" s="7" t="str">
        <f t="shared" si="599"/>
        <v>事業用資産</v>
      </c>
      <c r="H1774" s="7" t="str">
        <f t="shared" si="597"/>
        <v>棚卸以外</v>
      </c>
      <c r="I1774" s="7">
        <v>3</v>
      </c>
      <c r="J1774" s="7" t="str">
        <f>"集会所"</f>
        <v>集会所</v>
      </c>
      <c r="K1774" s="7" t="str">
        <f t="shared" si="604"/>
        <v>鉄筋コンクリート造</v>
      </c>
      <c r="L1774" s="7" t="str">
        <f>"S38.06.14"</f>
        <v>S38.06.14</v>
      </c>
      <c r="M1774" s="7">
        <v>185.88</v>
      </c>
      <c r="N1774" s="7">
        <v>21434000</v>
      </c>
      <c r="O1774" s="7">
        <v>21433999</v>
      </c>
      <c r="P1774" s="7">
        <v>0</v>
      </c>
      <c r="Q1774" s="7" t="str">
        <f t="shared" si="603"/>
        <v>都市整備部</v>
      </c>
      <c r="R1774" s="7" t="str">
        <f t="shared" si="600"/>
        <v>住宅建築局住宅経営室</v>
      </c>
    </row>
    <row r="1775" spans="1:18" s="1" customFormat="1" x14ac:dyDescent="0.45">
      <c r="A1775" s="7" t="str">
        <f t="shared" si="608"/>
        <v>09940003122</v>
      </c>
      <c r="B1775" s="7" t="str">
        <f t="shared" si="609"/>
        <v>千里高野台（吹田高野台）</v>
      </c>
      <c r="C1775" s="7" t="str">
        <f t="shared" si="601"/>
        <v>行政財産</v>
      </c>
      <c r="D1775" s="7" t="str">
        <f t="shared" si="602"/>
        <v>公営住宅</v>
      </c>
      <c r="E1775" s="7" t="str">
        <f t="shared" si="610"/>
        <v>大阪府吹田市高野台１丁目</v>
      </c>
      <c r="F1775" s="7"/>
      <c r="G1775" s="7" t="str">
        <f t="shared" si="599"/>
        <v>事業用資産</v>
      </c>
      <c r="H1775" s="7" t="str">
        <f t="shared" si="597"/>
        <v>棚卸以外</v>
      </c>
      <c r="I1775" s="7">
        <v>7</v>
      </c>
      <c r="J1775" s="7" t="str">
        <f>"２０号棟増築"</f>
        <v>２０号棟増築</v>
      </c>
      <c r="K1775" s="7" t="str">
        <f t="shared" si="604"/>
        <v>鉄筋コンクリート造</v>
      </c>
      <c r="L1775" s="7" t="str">
        <f>"S60.10.28"</f>
        <v>S60.10.28</v>
      </c>
      <c r="M1775" s="7">
        <v>621.4</v>
      </c>
      <c r="N1775" s="7">
        <v>83868000</v>
      </c>
      <c r="O1775" s="7">
        <v>66767647</v>
      </c>
      <c r="P1775" s="7">
        <v>0</v>
      </c>
      <c r="Q1775" s="7" t="str">
        <f t="shared" si="603"/>
        <v>都市整備部</v>
      </c>
      <c r="R1775" s="7" t="str">
        <f t="shared" si="600"/>
        <v>住宅建築局住宅経営室</v>
      </c>
    </row>
    <row r="1776" spans="1:18" s="1" customFormat="1" x14ac:dyDescent="0.45">
      <c r="A1776" s="7" t="str">
        <f t="shared" si="608"/>
        <v>09940003122</v>
      </c>
      <c r="B1776" s="7" t="str">
        <f t="shared" si="609"/>
        <v>千里高野台（吹田高野台）</v>
      </c>
      <c r="C1776" s="7" t="str">
        <f t="shared" si="601"/>
        <v>行政財産</v>
      </c>
      <c r="D1776" s="7" t="str">
        <f t="shared" si="602"/>
        <v>公営住宅</v>
      </c>
      <c r="E1776" s="7" t="str">
        <f t="shared" si="610"/>
        <v>大阪府吹田市高野台１丁目</v>
      </c>
      <c r="F1776" s="7"/>
      <c r="G1776" s="7" t="str">
        <f t="shared" si="599"/>
        <v>事業用資産</v>
      </c>
      <c r="H1776" s="7" t="str">
        <f t="shared" si="597"/>
        <v>棚卸以外</v>
      </c>
      <c r="I1776" s="7">
        <v>29</v>
      </c>
      <c r="J1776" s="7" t="str">
        <f>"６５号棟増築"</f>
        <v>６５号棟増築</v>
      </c>
      <c r="K1776" s="7" t="str">
        <f t="shared" si="604"/>
        <v>鉄筋コンクリート造</v>
      </c>
      <c r="L1776" s="7" t="str">
        <f>"S61.07.25"</f>
        <v>S61.07.25</v>
      </c>
      <c r="M1776" s="7">
        <v>596.54</v>
      </c>
      <c r="N1776" s="7">
        <v>77711000</v>
      </c>
      <c r="O1776" s="7">
        <v>60625840</v>
      </c>
      <c r="P1776" s="7">
        <v>0</v>
      </c>
      <c r="Q1776" s="7" t="str">
        <f t="shared" si="603"/>
        <v>都市整備部</v>
      </c>
      <c r="R1776" s="7" t="str">
        <f t="shared" si="600"/>
        <v>住宅建築局住宅経営室</v>
      </c>
    </row>
    <row r="1777" spans="1:18" s="1" customFormat="1" x14ac:dyDescent="0.45">
      <c r="A1777" s="7" t="str">
        <f t="shared" si="608"/>
        <v>09940003122</v>
      </c>
      <c r="B1777" s="7" t="str">
        <f t="shared" si="609"/>
        <v>千里高野台（吹田高野台）</v>
      </c>
      <c r="C1777" s="7" t="str">
        <f t="shared" si="601"/>
        <v>行政財産</v>
      </c>
      <c r="D1777" s="7" t="str">
        <f t="shared" si="602"/>
        <v>公営住宅</v>
      </c>
      <c r="E1777" s="7" t="str">
        <f t="shared" si="610"/>
        <v>大阪府吹田市高野台１丁目</v>
      </c>
      <c r="F1777" s="7"/>
      <c r="G1777" s="7" t="str">
        <f t="shared" si="599"/>
        <v>事業用資産</v>
      </c>
      <c r="H1777" s="7" t="str">
        <f t="shared" si="597"/>
        <v>棚卸以外</v>
      </c>
      <c r="I1777" s="7">
        <v>30</v>
      </c>
      <c r="J1777" s="7" t="str">
        <f>"６６号棟増築"</f>
        <v>６６号棟増築</v>
      </c>
      <c r="K1777" s="7" t="str">
        <f t="shared" si="604"/>
        <v>鉄筋コンクリート造</v>
      </c>
      <c r="L1777" s="7" t="str">
        <f>"S61.07.25"</f>
        <v>S61.07.25</v>
      </c>
      <c r="M1777" s="7">
        <v>397.69</v>
      </c>
      <c r="N1777" s="7">
        <v>52948000</v>
      </c>
      <c r="O1777" s="7">
        <v>41307200</v>
      </c>
      <c r="P1777" s="7">
        <v>0</v>
      </c>
      <c r="Q1777" s="7" t="str">
        <f t="shared" si="603"/>
        <v>都市整備部</v>
      </c>
      <c r="R1777" s="7" t="str">
        <f t="shared" si="600"/>
        <v>住宅建築局住宅経営室</v>
      </c>
    </row>
    <row r="1778" spans="1:18" s="1" customFormat="1" x14ac:dyDescent="0.45">
      <c r="A1778" s="7" t="str">
        <f t="shared" si="608"/>
        <v>09940003122</v>
      </c>
      <c r="B1778" s="7" t="str">
        <f t="shared" si="609"/>
        <v>千里高野台（吹田高野台）</v>
      </c>
      <c r="C1778" s="7" t="str">
        <f t="shared" si="601"/>
        <v>行政財産</v>
      </c>
      <c r="D1778" s="7" t="str">
        <f t="shared" si="602"/>
        <v>公営住宅</v>
      </c>
      <c r="E1778" s="7" t="str">
        <f t="shared" si="610"/>
        <v>大阪府吹田市高野台１丁目</v>
      </c>
      <c r="F1778" s="7"/>
      <c r="G1778" s="7" t="str">
        <f t="shared" si="599"/>
        <v>事業用資産</v>
      </c>
      <c r="H1778" s="7" t="str">
        <f t="shared" si="597"/>
        <v>棚卸以外</v>
      </c>
      <c r="I1778" s="7">
        <v>31</v>
      </c>
      <c r="J1778" s="7" t="str">
        <f>"６７号棟増築"</f>
        <v>６７号棟増築</v>
      </c>
      <c r="K1778" s="7" t="str">
        <f t="shared" si="604"/>
        <v>鉄筋コンクリート造</v>
      </c>
      <c r="L1778" s="7" t="str">
        <f>"S61.07.25"</f>
        <v>S61.07.25</v>
      </c>
      <c r="M1778" s="7">
        <v>578.76</v>
      </c>
      <c r="N1778" s="7">
        <v>78890000</v>
      </c>
      <c r="O1778" s="7">
        <v>61545440</v>
      </c>
      <c r="P1778" s="7">
        <v>0</v>
      </c>
      <c r="Q1778" s="7" t="str">
        <f t="shared" si="603"/>
        <v>都市整備部</v>
      </c>
      <c r="R1778" s="7" t="str">
        <f t="shared" si="600"/>
        <v>住宅建築局住宅経営室</v>
      </c>
    </row>
    <row r="1779" spans="1:18" s="1" customFormat="1" x14ac:dyDescent="0.45">
      <c r="A1779" s="7" t="str">
        <f t="shared" si="608"/>
        <v>09940003122</v>
      </c>
      <c r="B1779" s="7" t="str">
        <f t="shared" si="609"/>
        <v>千里高野台（吹田高野台）</v>
      </c>
      <c r="C1779" s="7" t="str">
        <f t="shared" si="601"/>
        <v>行政財産</v>
      </c>
      <c r="D1779" s="7" t="str">
        <f t="shared" si="602"/>
        <v>公営住宅</v>
      </c>
      <c r="E1779" s="7" t="str">
        <f t="shared" si="610"/>
        <v>大阪府吹田市高野台１丁目</v>
      </c>
      <c r="F1779" s="7"/>
      <c r="G1779" s="7" t="str">
        <f t="shared" si="599"/>
        <v>事業用資産</v>
      </c>
      <c r="H1779" s="7" t="str">
        <f t="shared" si="597"/>
        <v>棚卸以外</v>
      </c>
      <c r="I1779" s="7">
        <v>32</v>
      </c>
      <c r="J1779" s="7" t="str">
        <f>"６８号棟増築"</f>
        <v>６８号棟増築</v>
      </c>
      <c r="K1779" s="7" t="str">
        <f t="shared" si="604"/>
        <v>鉄筋コンクリート造</v>
      </c>
      <c r="L1779" s="7" t="str">
        <f>"S61.07.25"</f>
        <v>S61.07.25</v>
      </c>
      <c r="M1779" s="7">
        <v>385.84</v>
      </c>
      <c r="N1779" s="7">
        <v>53072000</v>
      </c>
      <c r="O1779" s="7">
        <v>41404000</v>
      </c>
      <c r="P1779" s="7">
        <v>0</v>
      </c>
      <c r="Q1779" s="7" t="str">
        <f t="shared" si="603"/>
        <v>都市整備部</v>
      </c>
      <c r="R1779" s="7" t="str">
        <f t="shared" si="600"/>
        <v>住宅建築局住宅経営室</v>
      </c>
    </row>
    <row r="1780" spans="1:18" s="1" customFormat="1" x14ac:dyDescent="0.45">
      <c r="A1780" s="7" t="str">
        <f t="shared" si="608"/>
        <v>09940003122</v>
      </c>
      <c r="B1780" s="7" t="str">
        <f t="shared" si="609"/>
        <v>千里高野台（吹田高野台）</v>
      </c>
      <c r="C1780" s="7" t="str">
        <f t="shared" si="601"/>
        <v>行政財産</v>
      </c>
      <c r="D1780" s="7" t="str">
        <f t="shared" si="602"/>
        <v>公営住宅</v>
      </c>
      <c r="E1780" s="7" t="str">
        <f t="shared" si="610"/>
        <v>大阪府吹田市高野台１丁目</v>
      </c>
      <c r="F1780" s="7"/>
      <c r="G1780" s="7" t="str">
        <f t="shared" si="599"/>
        <v>事業用資産</v>
      </c>
      <c r="H1780" s="7" t="str">
        <f t="shared" si="597"/>
        <v>棚卸以外</v>
      </c>
      <c r="I1780" s="7">
        <v>33</v>
      </c>
      <c r="J1780" s="7" t="str">
        <f>"６２号棟増築"</f>
        <v>６２号棟増築</v>
      </c>
      <c r="K1780" s="7" t="str">
        <f t="shared" si="604"/>
        <v>鉄筋コンクリート造</v>
      </c>
      <c r="L1780" s="7" t="str">
        <f>"S61.10.28"</f>
        <v>S61.10.28</v>
      </c>
      <c r="M1780" s="7">
        <v>272.70999999999998</v>
      </c>
      <c r="N1780" s="7">
        <v>61708000</v>
      </c>
      <c r="O1780" s="7">
        <v>47813044</v>
      </c>
      <c r="P1780" s="7">
        <v>0</v>
      </c>
      <c r="Q1780" s="7" t="str">
        <f t="shared" si="603"/>
        <v>都市整備部</v>
      </c>
      <c r="R1780" s="7" t="str">
        <f t="shared" si="600"/>
        <v>住宅建築局住宅経営室</v>
      </c>
    </row>
    <row r="1781" spans="1:18" s="1" customFormat="1" x14ac:dyDescent="0.45">
      <c r="A1781" s="7" t="str">
        <f t="shared" si="608"/>
        <v>09940003122</v>
      </c>
      <c r="B1781" s="7" t="str">
        <f t="shared" si="609"/>
        <v>千里高野台（吹田高野台）</v>
      </c>
      <c r="C1781" s="7" t="str">
        <f t="shared" si="601"/>
        <v>行政財産</v>
      </c>
      <c r="D1781" s="7" t="str">
        <f t="shared" si="602"/>
        <v>公営住宅</v>
      </c>
      <c r="E1781" s="7" t="str">
        <f t="shared" si="610"/>
        <v>大阪府吹田市高野台１丁目</v>
      </c>
      <c r="F1781" s="7"/>
      <c r="G1781" s="7" t="str">
        <f t="shared" si="599"/>
        <v>事業用資産</v>
      </c>
      <c r="H1781" s="7" t="str">
        <f t="shared" si="597"/>
        <v>棚卸以外</v>
      </c>
      <c r="I1781" s="7">
        <v>34</v>
      </c>
      <c r="J1781" s="7" t="str">
        <f>"６３号棟増築"</f>
        <v>６３号棟増築</v>
      </c>
      <c r="K1781" s="7" t="str">
        <f t="shared" si="604"/>
        <v>鉄筋コンクリート造</v>
      </c>
      <c r="L1781" s="7" t="str">
        <f>"S61.10.28"</f>
        <v>S61.10.28</v>
      </c>
      <c r="M1781" s="7">
        <v>377.2</v>
      </c>
      <c r="N1781" s="7">
        <v>70147000</v>
      </c>
      <c r="O1781" s="7">
        <v>54351875</v>
      </c>
      <c r="P1781" s="7">
        <v>0</v>
      </c>
      <c r="Q1781" s="7" t="str">
        <f t="shared" si="603"/>
        <v>都市整備部</v>
      </c>
      <c r="R1781" s="7" t="str">
        <f t="shared" si="600"/>
        <v>住宅建築局住宅経営室</v>
      </c>
    </row>
    <row r="1782" spans="1:18" s="1" customFormat="1" x14ac:dyDescent="0.45">
      <c r="A1782" s="7" t="str">
        <f t="shared" si="608"/>
        <v>09940003122</v>
      </c>
      <c r="B1782" s="7" t="str">
        <f t="shared" si="609"/>
        <v>千里高野台（吹田高野台）</v>
      </c>
      <c r="C1782" s="7" t="str">
        <f t="shared" si="601"/>
        <v>行政財産</v>
      </c>
      <c r="D1782" s="7" t="str">
        <f t="shared" si="602"/>
        <v>公営住宅</v>
      </c>
      <c r="E1782" s="7" t="str">
        <f t="shared" si="610"/>
        <v>大阪府吹田市高野台１丁目</v>
      </c>
      <c r="F1782" s="7"/>
      <c r="G1782" s="7" t="str">
        <f t="shared" si="599"/>
        <v>事業用資産</v>
      </c>
      <c r="H1782" s="7" t="str">
        <f t="shared" si="597"/>
        <v>棚卸以外</v>
      </c>
      <c r="I1782" s="7">
        <v>35</v>
      </c>
      <c r="J1782" s="7" t="str">
        <f>"６４号棟増築"</f>
        <v>６４号棟増築</v>
      </c>
      <c r="K1782" s="7" t="str">
        <f t="shared" si="604"/>
        <v>鉄筋コンクリート造</v>
      </c>
      <c r="L1782" s="7" t="str">
        <f>"S61.10.28"</f>
        <v>S61.10.28</v>
      </c>
      <c r="M1782" s="7">
        <v>214.43</v>
      </c>
      <c r="N1782" s="7">
        <v>43594000</v>
      </c>
      <c r="O1782" s="7">
        <v>33777915</v>
      </c>
      <c r="P1782" s="7">
        <v>0</v>
      </c>
      <c r="Q1782" s="7" t="str">
        <f t="shared" si="603"/>
        <v>都市整備部</v>
      </c>
      <c r="R1782" s="7" t="str">
        <f t="shared" si="600"/>
        <v>住宅建築局住宅経営室</v>
      </c>
    </row>
    <row r="1783" spans="1:18" s="1" customFormat="1" x14ac:dyDescent="0.45">
      <c r="A1783" s="7" t="str">
        <f t="shared" si="608"/>
        <v>09940003122</v>
      </c>
      <c r="B1783" s="7" t="str">
        <f t="shared" si="609"/>
        <v>千里高野台（吹田高野台）</v>
      </c>
      <c r="C1783" s="7" t="str">
        <f t="shared" si="601"/>
        <v>行政財産</v>
      </c>
      <c r="D1783" s="7" t="str">
        <f t="shared" si="602"/>
        <v>公営住宅</v>
      </c>
      <c r="E1783" s="7" t="str">
        <f t="shared" si="610"/>
        <v>大阪府吹田市高野台１丁目</v>
      </c>
      <c r="F1783" s="7"/>
      <c r="G1783" s="7" t="str">
        <f t="shared" si="599"/>
        <v>事業用資産</v>
      </c>
      <c r="H1783" s="7" t="str">
        <f t="shared" si="597"/>
        <v>棚卸以外</v>
      </c>
      <c r="I1783" s="7">
        <v>38</v>
      </c>
      <c r="J1783" s="7" t="str">
        <f>"６０号棟増築"</f>
        <v>６０号棟増築</v>
      </c>
      <c r="K1783" s="7" t="str">
        <f t="shared" si="604"/>
        <v>鉄筋コンクリート造</v>
      </c>
      <c r="L1783" s="7" t="str">
        <f>"S38.11.26"</f>
        <v>S38.11.26</v>
      </c>
      <c r="M1783" s="7">
        <v>214.43</v>
      </c>
      <c r="N1783" s="7">
        <v>43693000</v>
      </c>
      <c r="O1783" s="7">
        <v>33776920</v>
      </c>
      <c r="P1783" s="7">
        <v>0</v>
      </c>
      <c r="Q1783" s="7" t="str">
        <f t="shared" si="603"/>
        <v>都市整備部</v>
      </c>
      <c r="R1783" s="7" t="str">
        <f t="shared" si="600"/>
        <v>住宅建築局住宅経営室</v>
      </c>
    </row>
    <row r="1784" spans="1:18" s="1" customFormat="1" x14ac:dyDescent="0.45">
      <c r="A1784" s="7" t="str">
        <f t="shared" si="608"/>
        <v>09940003122</v>
      </c>
      <c r="B1784" s="7" t="str">
        <f t="shared" si="609"/>
        <v>千里高野台（吹田高野台）</v>
      </c>
      <c r="C1784" s="7" t="str">
        <f t="shared" si="601"/>
        <v>行政財産</v>
      </c>
      <c r="D1784" s="7" t="str">
        <f t="shared" si="602"/>
        <v>公営住宅</v>
      </c>
      <c r="E1784" s="7" t="str">
        <f t="shared" si="610"/>
        <v>大阪府吹田市高野台１丁目</v>
      </c>
      <c r="F1784" s="7"/>
      <c r="G1784" s="7" t="str">
        <f t="shared" si="599"/>
        <v>事業用資産</v>
      </c>
      <c r="H1784" s="7" t="str">
        <f t="shared" si="597"/>
        <v>棚卸以外</v>
      </c>
      <c r="I1784" s="7">
        <v>39</v>
      </c>
      <c r="J1784" s="7" t="str">
        <f>"６１号棟増築"</f>
        <v>６１号棟増築</v>
      </c>
      <c r="K1784" s="7" t="str">
        <f t="shared" si="604"/>
        <v>鉄筋コンクリート造</v>
      </c>
      <c r="L1784" s="7" t="str">
        <f>"S38.11.26"</f>
        <v>S38.11.26</v>
      </c>
      <c r="M1784" s="7">
        <v>266.58999999999997</v>
      </c>
      <c r="N1784" s="7">
        <v>44288000</v>
      </c>
      <c r="O1784" s="7">
        <v>34236900</v>
      </c>
      <c r="P1784" s="7">
        <v>0</v>
      </c>
      <c r="Q1784" s="7" t="str">
        <f t="shared" si="603"/>
        <v>都市整備部</v>
      </c>
      <c r="R1784" s="7" t="str">
        <f t="shared" si="600"/>
        <v>住宅建築局住宅経営室</v>
      </c>
    </row>
    <row r="1785" spans="1:18" s="1" customFormat="1" x14ac:dyDescent="0.45">
      <c r="A1785" s="7" t="str">
        <f t="shared" si="608"/>
        <v>09940003122</v>
      </c>
      <c r="B1785" s="7" t="str">
        <f t="shared" si="609"/>
        <v>千里高野台（吹田高野台）</v>
      </c>
      <c r="C1785" s="7" t="str">
        <f t="shared" si="601"/>
        <v>行政財産</v>
      </c>
      <c r="D1785" s="7" t="str">
        <f t="shared" si="602"/>
        <v>公営住宅</v>
      </c>
      <c r="E1785" s="7" t="str">
        <f t="shared" si="610"/>
        <v>大阪府吹田市高野台１丁目</v>
      </c>
      <c r="F1785" s="7"/>
      <c r="G1785" s="7" t="str">
        <f t="shared" si="599"/>
        <v>事業用資産</v>
      </c>
      <c r="H1785" s="7" t="str">
        <f t="shared" si="597"/>
        <v>棚卸以外</v>
      </c>
      <c r="I1785" s="7">
        <v>42</v>
      </c>
      <c r="J1785" s="7" t="str">
        <f>"２４号棟増築"</f>
        <v>２４号棟増築</v>
      </c>
      <c r="K1785" s="7" t="str">
        <f t="shared" si="604"/>
        <v>鉄筋コンクリート造</v>
      </c>
      <c r="L1785" s="7" t="str">
        <f>"S62.08.28"</f>
        <v>S62.08.28</v>
      </c>
      <c r="M1785" s="7">
        <v>211.03</v>
      </c>
      <c r="N1785" s="7">
        <v>42813000</v>
      </c>
      <c r="O1785" s="7">
        <v>32413570</v>
      </c>
      <c r="P1785" s="7">
        <v>0</v>
      </c>
      <c r="Q1785" s="7" t="str">
        <f t="shared" si="603"/>
        <v>都市整備部</v>
      </c>
      <c r="R1785" s="7" t="str">
        <f t="shared" si="600"/>
        <v>住宅建築局住宅経営室</v>
      </c>
    </row>
    <row r="1786" spans="1:18" s="1" customFormat="1" x14ac:dyDescent="0.45">
      <c r="A1786" s="7" t="str">
        <f t="shared" si="608"/>
        <v>09940003122</v>
      </c>
      <c r="B1786" s="7" t="str">
        <f t="shared" si="609"/>
        <v>千里高野台（吹田高野台）</v>
      </c>
      <c r="C1786" s="7" t="str">
        <f t="shared" si="601"/>
        <v>行政財産</v>
      </c>
      <c r="D1786" s="7" t="str">
        <f t="shared" si="602"/>
        <v>公営住宅</v>
      </c>
      <c r="E1786" s="7" t="str">
        <f t="shared" si="610"/>
        <v>大阪府吹田市高野台１丁目</v>
      </c>
      <c r="F1786" s="7"/>
      <c r="G1786" s="7" t="str">
        <f t="shared" si="599"/>
        <v>事業用資産</v>
      </c>
      <c r="H1786" s="7" t="str">
        <f t="shared" si="597"/>
        <v>棚卸以外</v>
      </c>
      <c r="I1786" s="7">
        <v>43</v>
      </c>
      <c r="J1786" s="7" t="str">
        <f>"２５号棟増築"</f>
        <v>２５号棟増築</v>
      </c>
      <c r="K1786" s="7" t="str">
        <f t="shared" si="604"/>
        <v>鉄筋コンクリート造</v>
      </c>
      <c r="L1786" s="7" t="str">
        <f>"S62.08.28"</f>
        <v>S62.08.28</v>
      </c>
      <c r="M1786" s="7">
        <v>405.43</v>
      </c>
      <c r="N1786" s="7">
        <v>75094000</v>
      </c>
      <c r="O1786" s="7">
        <v>56853342</v>
      </c>
      <c r="P1786" s="7">
        <v>0</v>
      </c>
      <c r="Q1786" s="7" t="str">
        <f t="shared" si="603"/>
        <v>都市整備部</v>
      </c>
      <c r="R1786" s="7" t="str">
        <f t="shared" si="600"/>
        <v>住宅建築局住宅経営室</v>
      </c>
    </row>
    <row r="1787" spans="1:18" s="1" customFormat="1" x14ac:dyDescent="0.45">
      <c r="A1787" s="7" t="str">
        <f t="shared" si="608"/>
        <v>09940003122</v>
      </c>
      <c r="B1787" s="7" t="str">
        <f t="shared" si="609"/>
        <v>千里高野台（吹田高野台）</v>
      </c>
      <c r="C1787" s="7" t="str">
        <f t="shared" si="601"/>
        <v>行政財産</v>
      </c>
      <c r="D1787" s="7" t="str">
        <f t="shared" si="602"/>
        <v>公営住宅</v>
      </c>
      <c r="E1787" s="7" t="str">
        <f t="shared" si="610"/>
        <v>大阪府吹田市高野台１丁目</v>
      </c>
      <c r="F1787" s="7"/>
      <c r="G1787" s="7" t="str">
        <f t="shared" si="599"/>
        <v>事業用資産</v>
      </c>
      <c r="H1787" s="7" t="str">
        <f t="shared" si="597"/>
        <v>棚卸以外</v>
      </c>
      <c r="I1787" s="7">
        <v>44</v>
      </c>
      <c r="J1787" s="7" t="str">
        <f>"２６号棟増築"</f>
        <v>２６号棟増築</v>
      </c>
      <c r="K1787" s="7" t="str">
        <f t="shared" si="604"/>
        <v>鉄筋コンクリート造</v>
      </c>
      <c r="L1787" s="7" t="str">
        <f>"S62.08.28"</f>
        <v>S62.08.28</v>
      </c>
      <c r="M1787" s="7">
        <v>211.03</v>
      </c>
      <c r="N1787" s="7">
        <v>43073000</v>
      </c>
      <c r="O1787" s="7">
        <v>32610417</v>
      </c>
      <c r="P1787" s="7">
        <v>0</v>
      </c>
      <c r="Q1787" s="7" t="str">
        <f t="shared" si="603"/>
        <v>都市整備部</v>
      </c>
      <c r="R1787" s="7" t="str">
        <f t="shared" si="600"/>
        <v>住宅建築局住宅経営室</v>
      </c>
    </row>
    <row r="1788" spans="1:18" s="1" customFormat="1" x14ac:dyDescent="0.45">
      <c r="A1788" s="7" t="str">
        <f t="shared" si="608"/>
        <v>09940003122</v>
      </c>
      <c r="B1788" s="7" t="str">
        <f t="shared" si="609"/>
        <v>千里高野台（吹田高野台）</v>
      </c>
      <c r="C1788" s="7" t="str">
        <f t="shared" si="601"/>
        <v>行政財産</v>
      </c>
      <c r="D1788" s="7" t="str">
        <f t="shared" si="602"/>
        <v>公営住宅</v>
      </c>
      <c r="E1788" s="7" t="str">
        <f t="shared" si="610"/>
        <v>大阪府吹田市高野台１丁目</v>
      </c>
      <c r="F1788" s="7"/>
      <c r="G1788" s="7" t="str">
        <f t="shared" si="599"/>
        <v>事業用資産</v>
      </c>
      <c r="H1788" s="7" t="str">
        <f t="shared" si="597"/>
        <v>棚卸以外</v>
      </c>
      <c r="I1788" s="7">
        <v>45</v>
      </c>
      <c r="J1788" s="7" t="str">
        <f>"２６号棟増築"</f>
        <v>２６号棟増築</v>
      </c>
      <c r="K1788" s="7" t="str">
        <f t="shared" si="604"/>
        <v>鉄筋コンクリート造</v>
      </c>
      <c r="L1788" s="7" t="str">
        <f>"S62.08.28"</f>
        <v>S62.08.28</v>
      </c>
      <c r="M1788" s="7">
        <v>211.03</v>
      </c>
      <c r="N1788" s="7">
        <v>43147000</v>
      </c>
      <c r="O1788" s="7">
        <v>32666354</v>
      </c>
      <c r="P1788" s="7">
        <v>0</v>
      </c>
      <c r="Q1788" s="7" t="str">
        <f t="shared" si="603"/>
        <v>都市整備部</v>
      </c>
      <c r="R1788" s="7" t="str">
        <f t="shared" si="600"/>
        <v>住宅建築局住宅経営室</v>
      </c>
    </row>
    <row r="1789" spans="1:18" s="1" customFormat="1" x14ac:dyDescent="0.45">
      <c r="A1789" s="7" t="str">
        <f t="shared" si="608"/>
        <v>09940003122</v>
      </c>
      <c r="B1789" s="7" t="str">
        <f t="shared" si="609"/>
        <v>千里高野台（吹田高野台）</v>
      </c>
      <c r="C1789" s="7" t="str">
        <f t="shared" si="601"/>
        <v>行政財産</v>
      </c>
      <c r="D1789" s="7" t="str">
        <f t="shared" si="602"/>
        <v>公営住宅</v>
      </c>
      <c r="E1789" s="7" t="str">
        <f t="shared" si="610"/>
        <v>大阪府吹田市高野台１丁目</v>
      </c>
      <c r="F1789" s="7"/>
      <c r="G1789" s="7" t="str">
        <f t="shared" si="599"/>
        <v>事業用資産</v>
      </c>
      <c r="H1789" s="7" t="str">
        <f t="shared" si="597"/>
        <v>棚卸以外</v>
      </c>
      <c r="I1789" s="7">
        <v>46</v>
      </c>
      <c r="J1789" s="7" t="str">
        <f>"２７号棟増築"</f>
        <v>２７号棟増築</v>
      </c>
      <c r="K1789" s="7" t="str">
        <f t="shared" si="604"/>
        <v>鉄筋コンクリート造</v>
      </c>
      <c r="L1789" s="7" t="str">
        <f>"S62.08.28"</f>
        <v>S62.08.28</v>
      </c>
      <c r="M1789" s="7">
        <v>671.11</v>
      </c>
      <c r="N1789" s="7">
        <v>87080000</v>
      </c>
      <c r="O1789" s="7">
        <v>65927946</v>
      </c>
      <c r="P1789" s="7">
        <v>0</v>
      </c>
      <c r="Q1789" s="7" t="str">
        <f t="shared" si="603"/>
        <v>都市整備部</v>
      </c>
      <c r="R1789" s="7" t="str">
        <f t="shared" si="600"/>
        <v>住宅建築局住宅経営室</v>
      </c>
    </row>
    <row r="1790" spans="1:18" s="1" customFormat="1" x14ac:dyDescent="0.45">
      <c r="A1790" s="7" t="str">
        <f t="shared" si="608"/>
        <v>09940003122</v>
      </c>
      <c r="B1790" s="7" t="str">
        <f t="shared" si="609"/>
        <v>千里高野台（吹田高野台）</v>
      </c>
      <c r="C1790" s="7" t="str">
        <f t="shared" si="601"/>
        <v>行政財産</v>
      </c>
      <c r="D1790" s="7" t="str">
        <f t="shared" si="602"/>
        <v>公営住宅</v>
      </c>
      <c r="E1790" s="7" t="str">
        <f t="shared" si="610"/>
        <v>大阪府吹田市高野台１丁目</v>
      </c>
      <c r="F1790" s="7"/>
      <c r="G1790" s="7" t="str">
        <f t="shared" si="599"/>
        <v>事業用資産</v>
      </c>
      <c r="H1790" s="7" t="str">
        <f t="shared" si="597"/>
        <v>棚卸以外</v>
      </c>
      <c r="I1790" s="7">
        <v>52</v>
      </c>
      <c r="J1790" s="7" t="str">
        <f>"６９号棟増築"</f>
        <v>６９号棟増築</v>
      </c>
      <c r="K1790" s="7" t="str">
        <f t="shared" si="604"/>
        <v>鉄筋コンクリート造</v>
      </c>
      <c r="L1790" s="7" t="str">
        <f>"S62.11.26"</f>
        <v>S62.11.26</v>
      </c>
      <c r="M1790" s="7">
        <v>385.84</v>
      </c>
      <c r="N1790" s="7">
        <v>52333000</v>
      </c>
      <c r="O1790" s="7">
        <v>39342960</v>
      </c>
      <c r="P1790" s="7">
        <v>0</v>
      </c>
      <c r="Q1790" s="7" t="str">
        <f t="shared" si="603"/>
        <v>都市整備部</v>
      </c>
      <c r="R1790" s="7" t="str">
        <f t="shared" si="600"/>
        <v>住宅建築局住宅経営室</v>
      </c>
    </row>
    <row r="1791" spans="1:18" s="1" customFormat="1" x14ac:dyDescent="0.45">
      <c r="A1791" s="7" t="str">
        <f t="shared" si="608"/>
        <v>09940003122</v>
      </c>
      <c r="B1791" s="7" t="str">
        <f t="shared" si="609"/>
        <v>千里高野台（吹田高野台）</v>
      </c>
      <c r="C1791" s="7" t="str">
        <f t="shared" si="601"/>
        <v>行政財産</v>
      </c>
      <c r="D1791" s="7" t="str">
        <f t="shared" si="602"/>
        <v>公営住宅</v>
      </c>
      <c r="E1791" s="7" t="str">
        <f t="shared" si="610"/>
        <v>大阪府吹田市高野台１丁目</v>
      </c>
      <c r="F1791" s="7"/>
      <c r="G1791" s="7" t="str">
        <f t="shared" si="599"/>
        <v>事業用資産</v>
      </c>
      <c r="H1791" s="7" t="str">
        <f t="shared" si="597"/>
        <v>棚卸以外</v>
      </c>
      <c r="I1791" s="7">
        <v>53</v>
      </c>
      <c r="J1791" s="7" t="str">
        <f>"７０号棟増築"</f>
        <v>７０号棟増築</v>
      </c>
      <c r="K1791" s="7" t="str">
        <f t="shared" si="604"/>
        <v>鉄筋コンクリート造</v>
      </c>
      <c r="L1791" s="7" t="str">
        <f>"S62.11.26"</f>
        <v>S62.11.26</v>
      </c>
      <c r="M1791" s="7">
        <v>556.22</v>
      </c>
      <c r="N1791" s="7">
        <v>80588000</v>
      </c>
      <c r="O1791" s="7">
        <v>60584088</v>
      </c>
      <c r="P1791" s="7">
        <v>0</v>
      </c>
      <c r="Q1791" s="7" t="str">
        <f t="shared" si="603"/>
        <v>都市整備部</v>
      </c>
      <c r="R1791" s="7" t="str">
        <f t="shared" si="600"/>
        <v>住宅建築局住宅経営室</v>
      </c>
    </row>
    <row r="1792" spans="1:18" s="1" customFormat="1" x14ac:dyDescent="0.45">
      <c r="A1792" s="7" t="str">
        <f t="shared" si="608"/>
        <v>09940003122</v>
      </c>
      <c r="B1792" s="7" t="str">
        <f t="shared" si="609"/>
        <v>千里高野台（吹田高野台）</v>
      </c>
      <c r="C1792" s="7" t="str">
        <f t="shared" si="601"/>
        <v>行政財産</v>
      </c>
      <c r="D1792" s="7" t="str">
        <f t="shared" si="602"/>
        <v>公営住宅</v>
      </c>
      <c r="E1792" s="7" t="str">
        <f t="shared" si="610"/>
        <v>大阪府吹田市高野台１丁目</v>
      </c>
      <c r="F1792" s="7"/>
      <c r="G1792" s="7" t="str">
        <f t="shared" si="599"/>
        <v>事業用資産</v>
      </c>
      <c r="H1792" s="7" t="str">
        <f t="shared" si="597"/>
        <v>棚卸以外</v>
      </c>
      <c r="I1792" s="7">
        <v>54</v>
      </c>
      <c r="J1792" s="7" t="str">
        <f>"７１号棟増築"</f>
        <v>７１号棟増築</v>
      </c>
      <c r="K1792" s="7" t="str">
        <f t="shared" si="604"/>
        <v>鉄筋コンクリート造</v>
      </c>
      <c r="L1792" s="7" t="str">
        <f>"S62.11.26"</f>
        <v>S62.11.26</v>
      </c>
      <c r="M1792" s="7">
        <v>578.76</v>
      </c>
      <c r="N1792" s="7">
        <v>78518000</v>
      </c>
      <c r="O1792" s="7">
        <v>59028008</v>
      </c>
      <c r="P1792" s="7">
        <v>0</v>
      </c>
      <c r="Q1792" s="7" t="str">
        <f t="shared" si="603"/>
        <v>都市整備部</v>
      </c>
      <c r="R1792" s="7" t="str">
        <f t="shared" si="600"/>
        <v>住宅建築局住宅経営室</v>
      </c>
    </row>
    <row r="1793" spans="1:18" s="1" customFormat="1" x14ac:dyDescent="0.45">
      <c r="A1793" s="7" t="str">
        <f t="shared" si="608"/>
        <v>09940003122</v>
      </c>
      <c r="B1793" s="7" t="str">
        <f t="shared" si="609"/>
        <v>千里高野台（吹田高野台）</v>
      </c>
      <c r="C1793" s="7" t="str">
        <f t="shared" si="601"/>
        <v>行政財産</v>
      </c>
      <c r="D1793" s="7" t="str">
        <f t="shared" si="602"/>
        <v>公営住宅</v>
      </c>
      <c r="E1793" s="7" t="str">
        <f t="shared" si="610"/>
        <v>大阪府吹田市高野台１丁目</v>
      </c>
      <c r="F1793" s="7"/>
      <c r="G1793" s="7" t="str">
        <f t="shared" si="599"/>
        <v>事業用資産</v>
      </c>
      <c r="H1793" s="7" t="str">
        <f t="shared" si="597"/>
        <v>棚卸以外</v>
      </c>
      <c r="I1793" s="7">
        <v>55</v>
      </c>
      <c r="J1793" s="7" t="str">
        <f>"７２号棟増築"</f>
        <v>７２号棟増築</v>
      </c>
      <c r="K1793" s="7" t="str">
        <f t="shared" si="604"/>
        <v>鉄筋コンクリート造</v>
      </c>
      <c r="L1793" s="7" t="str">
        <f>"S62.11.26"</f>
        <v>S62.11.26</v>
      </c>
      <c r="M1793" s="7">
        <v>251.47</v>
      </c>
      <c r="N1793" s="7">
        <v>44853000</v>
      </c>
      <c r="O1793" s="7">
        <v>33719448</v>
      </c>
      <c r="P1793" s="7">
        <v>0</v>
      </c>
      <c r="Q1793" s="7" t="str">
        <f t="shared" si="603"/>
        <v>都市整備部</v>
      </c>
      <c r="R1793" s="7" t="str">
        <f t="shared" si="600"/>
        <v>住宅建築局住宅経営室</v>
      </c>
    </row>
    <row r="1794" spans="1:18" s="1" customFormat="1" x14ac:dyDescent="0.45">
      <c r="A1794" s="7" t="str">
        <f t="shared" si="608"/>
        <v>09940003122</v>
      </c>
      <c r="B1794" s="7" t="str">
        <f t="shared" si="609"/>
        <v>千里高野台（吹田高野台）</v>
      </c>
      <c r="C1794" s="7" t="str">
        <f t="shared" si="601"/>
        <v>行政財産</v>
      </c>
      <c r="D1794" s="7" t="str">
        <f t="shared" si="602"/>
        <v>公営住宅</v>
      </c>
      <c r="E1794" s="7" t="str">
        <f t="shared" si="610"/>
        <v>大阪府吹田市高野台１丁目</v>
      </c>
      <c r="F1794" s="7"/>
      <c r="G1794" s="7" t="str">
        <f t="shared" si="599"/>
        <v>事業用資産</v>
      </c>
      <c r="H1794" s="7" t="str">
        <f t="shared" si="597"/>
        <v>棚卸以外</v>
      </c>
      <c r="I1794" s="7">
        <v>56</v>
      </c>
      <c r="J1794" s="7" t="str">
        <f>"３７号棟"</f>
        <v>３７号棟</v>
      </c>
      <c r="K1794" s="7" t="str">
        <f t="shared" si="604"/>
        <v>鉄筋コンクリート造</v>
      </c>
      <c r="L1794" s="7" t="str">
        <f t="shared" ref="L1794:L1800" si="611">"H01.09.28"</f>
        <v>H01.09.28</v>
      </c>
      <c r="M1794" s="7">
        <v>2363.1999999999998</v>
      </c>
      <c r="N1794" s="7">
        <v>252880939</v>
      </c>
      <c r="O1794" s="7">
        <v>180049770</v>
      </c>
      <c r="P1794" s="7">
        <v>0</v>
      </c>
      <c r="Q1794" s="7" t="str">
        <f t="shared" si="603"/>
        <v>都市整備部</v>
      </c>
      <c r="R1794" s="7" t="str">
        <f t="shared" si="600"/>
        <v>住宅建築局住宅経営室</v>
      </c>
    </row>
    <row r="1795" spans="1:18" s="1" customFormat="1" x14ac:dyDescent="0.45">
      <c r="A1795" s="7" t="str">
        <f t="shared" si="608"/>
        <v>09940003122</v>
      </c>
      <c r="B1795" s="7" t="str">
        <f t="shared" si="609"/>
        <v>千里高野台（吹田高野台）</v>
      </c>
      <c r="C1795" s="7" t="str">
        <f t="shared" si="601"/>
        <v>行政財産</v>
      </c>
      <c r="D1795" s="7" t="str">
        <f t="shared" si="602"/>
        <v>公営住宅</v>
      </c>
      <c r="E1795" s="7" t="str">
        <f t="shared" si="610"/>
        <v>大阪府吹田市高野台１丁目</v>
      </c>
      <c r="F1795" s="7"/>
      <c r="G1795" s="7" t="str">
        <f t="shared" si="599"/>
        <v>事業用資産</v>
      </c>
      <c r="H1795" s="7" t="str">
        <f t="shared" si="597"/>
        <v>棚卸以外</v>
      </c>
      <c r="I1795" s="7">
        <v>57</v>
      </c>
      <c r="J1795" s="7" t="str">
        <f>"３８号棟"</f>
        <v>３８号棟</v>
      </c>
      <c r="K1795" s="7" t="str">
        <f t="shared" si="604"/>
        <v>鉄筋コンクリート造</v>
      </c>
      <c r="L1795" s="7" t="str">
        <f t="shared" si="611"/>
        <v>H01.09.28</v>
      </c>
      <c r="M1795" s="7">
        <v>2365.52</v>
      </c>
      <c r="N1795" s="7">
        <v>255280939</v>
      </c>
      <c r="O1795" s="7">
        <v>181760682</v>
      </c>
      <c r="P1795" s="7">
        <v>0</v>
      </c>
      <c r="Q1795" s="7" t="str">
        <f t="shared" si="603"/>
        <v>都市整備部</v>
      </c>
      <c r="R1795" s="7" t="str">
        <f t="shared" si="600"/>
        <v>住宅建築局住宅経営室</v>
      </c>
    </row>
    <row r="1796" spans="1:18" s="1" customFormat="1" x14ac:dyDescent="0.45">
      <c r="A1796" s="7" t="str">
        <f t="shared" si="608"/>
        <v>09940003122</v>
      </c>
      <c r="B1796" s="7" t="str">
        <f t="shared" si="609"/>
        <v>千里高野台（吹田高野台）</v>
      </c>
      <c r="C1796" s="7" t="str">
        <f t="shared" si="601"/>
        <v>行政財産</v>
      </c>
      <c r="D1796" s="7" t="str">
        <f t="shared" si="602"/>
        <v>公営住宅</v>
      </c>
      <c r="E1796" s="7" t="str">
        <f t="shared" si="610"/>
        <v>大阪府吹田市高野台１丁目</v>
      </c>
      <c r="F1796" s="7"/>
      <c r="G1796" s="7" t="str">
        <f t="shared" si="599"/>
        <v>事業用資産</v>
      </c>
      <c r="H1796" s="7" t="str">
        <f t="shared" ref="H1796:H1859" si="612">"棚卸以外"</f>
        <v>棚卸以外</v>
      </c>
      <c r="I1796" s="7">
        <v>58</v>
      </c>
      <c r="J1796" s="7" t="str">
        <f>"３９号棟"</f>
        <v>３９号棟</v>
      </c>
      <c r="K1796" s="7" t="str">
        <f t="shared" si="604"/>
        <v>鉄筋コンクリート造</v>
      </c>
      <c r="L1796" s="7" t="str">
        <f t="shared" si="611"/>
        <v>H01.09.28</v>
      </c>
      <c r="M1796" s="7">
        <v>1774.14</v>
      </c>
      <c r="N1796" s="7">
        <v>195085000</v>
      </c>
      <c r="O1796" s="7">
        <v>139050192</v>
      </c>
      <c r="P1796" s="7">
        <v>0</v>
      </c>
      <c r="Q1796" s="7" t="str">
        <f t="shared" si="603"/>
        <v>都市整備部</v>
      </c>
      <c r="R1796" s="7" t="str">
        <f t="shared" si="600"/>
        <v>住宅建築局住宅経営室</v>
      </c>
    </row>
    <row r="1797" spans="1:18" s="1" customFormat="1" x14ac:dyDescent="0.45">
      <c r="A1797" s="7" t="str">
        <f t="shared" si="608"/>
        <v>09940003122</v>
      </c>
      <c r="B1797" s="7" t="str">
        <f t="shared" si="609"/>
        <v>千里高野台（吹田高野台）</v>
      </c>
      <c r="C1797" s="7" t="str">
        <f t="shared" si="601"/>
        <v>行政財産</v>
      </c>
      <c r="D1797" s="7" t="str">
        <f t="shared" si="602"/>
        <v>公営住宅</v>
      </c>
      <c r="E1797" s="7" t="str">
        <f t="shared" si="610"/>
        <v>大阪府吹田市高野台１丁目</v>
      </c>
      <c r="F1797" s="7"/>
      <c r="G1797" s="7" t="str">
        <f t="shared" si="599"/>
        <v>事業用資産</v>
      </c>
      <c r="H1797" s="7" t="str">
        <f t="shared" si="612"/>
        <v>棚卸以外</v>
      </c>
      <c r="I1797" s="7">
        <v>59</v>
      </c>
      <c r="J1797" s="7" t="str">
        <f>"４０号棟"</f>
        <v>４０号棟</v>
      </c>
      <c r="K1797" s="7" t="str">
        <f t="shared" si="604"/>
        <v>鉄筋コンクリート造</v>
      </c>
      <c r="L1797" s="7" t="str">
        <f t="shared" si="611"/>
        <v>H01.09.28</v>
      </c>
      <c r="M1797" s="7">
        <v>1774.14</v>
      </c>
      <c r="N1797" s="7">
        <v>184860000</v>
      </c>
      <c r="O1797" s="7">
        <v>131761932</v>
      </c>
      <c r="P1797" s="7">
        <v>0</v>
      </c>
      <c r="Q1797" s="7" t="str">
        <f t="shared" si="603"/>
        <v>都市整備部</v>
      </c>
      <c r="R1797" s="7" t="str">
        <f t="shared" si="600"/>
        <v>住宅建築局住宅経営室</v>
      </c>
    </row>
    <row r="1798" spans="1:18" s="1" customFormat="1" x14ac:dyDescent="0.45">
      <c r="A1798" s="7" t="str">
        <f t="shared" si="608"/>
        <v>09940003122</v>
      </c>
      <c r="B1798" s="7" t="str">
        <f t="shared" si="609"/>
        <v>千里高野台（吹田高野台）</v>
      </c>
      <c r="C1798" s="7" t="str">
        <f t="shared" si="601"/>
        <v>行政財産</v>
      </c>
      <c r="D1798" s="7" t="str">
        <f t="shared" si="602"/>
        <v>公営住宅</v>
      </c>
      <c r="E1798" s="7" t="str">
        <f t="shared" si="610"/>
        <v>大阪府吹田市高野台１丁目</v>
      </c>
      <c r="F1798" s="7"/>
      <c r="G1798" s="7" t="str">
        <f t="shared" si="599"/>
        <v>事業用資産</v>
      </c>
      <c r="H1798" s="7" t="str">
        <f t="shared" si="612"/>
        <v>棚卸以外</v>
      </c>
      <c r="I1798" s="7">
        <v>60</v>
      </c>
      <c r="J1798" s="7" t="str">
        <f>"４１号棟"</f>
        <v>４１号棟</v>
      </c>
      <c r="K1798" s="7" t="str">
        <f t="shared" si="604"/>
        <v>鉄筋コンクリート造</v>
      </c>
      <c r="L1798" s="7" t="str">
        <f t="shared" si="611"/>
        <v>H01.09.28</v>
      </c>
      <c r="M1798" s="7">
        <v>1772.4</v>
      </c>
      <c r="N1798" s="7">
        <v>205309000</v>
      </c>
      <c r="O1798" s="7">
        <v>146337648</v>
      </c>
      <c r="P1798" s="7">
        <v>0</v>
      </c>
      <c r="Q1798" s="7" t="str">
        <f t="shared" si="603"/>
        <v>都市整備部</v>
      </c>
      <c r="R1798" s="7" t="str">
        <f t="shared" si="600"/>
        <v>住宅建築局住宅経営室</v>
      </c>
    </row>
    <row r="1799" spans="1:18" s="1" customFormat="1" x14ac:dyDescent="0.45">
      <c r="A1799" s="7" t="str">
        <f t="shared" si="608"/>
        <v>09940003122</v>
      </c>
      <c r="B1799" s="7" t="str">
        <f t="shared" si="609"/>
        <v>千里高野台（吹田高野台）</v>
      </c>
      <c r="C1799" s="7" t="str">
        <f t="shared" si="601"/>
        <v>行政財産</v>
      </c>
      <c r="D1799" s="7" t="str">
        <f t="shared" si="602"/>
        <v>公営住宅</v>
      </c>
      <c r="E1799" s="7" t="str">
        <f t="shared" si="610"/>
        <v>大阪府吹田市高野台１丁目</v>
      </c>
      <c r="F1799" s="7"/>
      <c r="G1799" s="7" t="str">
        <f t="shared" si="599"/>
        <v>事業用資産</v>
      </c>
      <c r="H1799" s="7" t="str">
        <f t="shared" si="612"/>
        <v>棚卸以外</v>
      </c>
      <c r="I1799" s="7">
        <v>61</v>
      </c>
      <c r="J1799" s="7" t="str">
        <f>"４２号棟"</f>
        <v>４２号棟</v>
      </c>
      <c r="K1799" s="7" t="str">
        <f t="shared" si="604"/>
        <v>鉄筋コンクリート造</v>
      </c>
      <c r="L1799" s="7" t="str">
        <f t="shared" si="611"/>
        <v>H01.09.28</v>
      </c>
      <c r="M1799" s="7">
        <v>2954</v>
      </c>
      <c r="N1799" s="7">
        <v>315744939</v>
      </c>
      <c r="O1799" s="7">
        <v>224857092</v>
      </c>
      <c r="P1799" s="7">
        <v>0</v>
      </c>
      <c r="Q1799" s="7" t="str">
        <f t="shared" si="603"/>
        <v>都市整備部</v>
      </c>
      <c r="R1799" s="7" t="str">
        <f t="shared" si="600"/>
        <v>住宅建築局住宅経営室</v>
      </c>
    </row>
    <row r="1800" spans="1:18" s="1" customFormat="1" x14ac:dyDescent="0.45">
      <c r="A1800" s="7" t="str">
        <f t="shared" si="608"/>
        <v>09940003122</v>
      </c>
      <c r="B1800" s="7" t="str">
        <f t="shared" si="609"/>
        <v>千里高野台（吹田高野台）</v>
      </c>
      <c r="C1800" s="7" t="str">
        <f t="shared" si="601"/>
        <v>行政財産</v>
      </c>
      <c r="D1800" s="7" t="str">
        <f t="shared" si="602"/>
        <v>公営住宅</v>
      </c>
      <c r="E1800" s="7" t="str">
        <f t="shared" si="610"/>
        <v>大阪府吹田市高野台１丁目</v>
      </c>
      <c r="F1800" s="7"/>
      <c r="G1800" s="7" t="str">
        <f t="shared" si="599"/>
        <v>事業用資産</v>
      </c>
      <c r="H1800" s="7" t="str">
        <f t="shared" si="612"/>
        <v>棚卸以外</v>
      </c>
      <c r="I1800" s="7">
        <v>62</v>
      </c>
      <c r="J1800" s="7" t="str">
        <f>"受水槽"</f>
        <v>受水槽</v>
      </c>
      <c r="K1800" s="7" t="str">
        <f t="shared" si="604"/>
        <v>鉄筋コンクリート造</v>
      </c>
      <c r="L1800" s="7" t="str">
        <f t="shared" si="611"/>
        <v>H01.09.28</v>
      </c>
      <c r="M1800" s="7">
        <v>99</v>
      </c>
      <c r="N1800" s="7">
        <v>25954000</v>
      </c>
      <c r="O1800" s="7">
        <v>18499236</v>
      </c>
      <c r="P1800" s="7">
        <v>0</v>
      </c>
      <c r="Q1800" s="7" t="str">
        <f t="shared" si="603"/>
        <v>都市整備部</v>
      </c>
      <c r="R1800" s="7" t="str">
        <f t="shared" si="600"/>
        <v>住宅建築局住宅経営室</v>
      </c>
    </row>
    <row r="1801" spans="1:18" s="1" customFormat="1" x14ac:dyDescent="0.45">
      <c r="A1801" s="7" t="str">
        <f t="shared" si="608"/>
        <v>09940003122</v>
      </c>
      <c r="B1801" s="7" t="str">
        <f t="shared" si="609"/>
        <v>千里高野台（吹田高野台）</v>
      </c>
      <c r="C1801" s="7" t="str">
        <f t="shared" si="601"/>
        <v>行政財産</v>
      </c>
      <c r="D1801" s="7" t="str">
        <f t="shared" si="602"/>
        <v>公営住宅</v>
      </c>
      <c r="E1801" s="7" t="str">
        <f t="shared" si="610"/>
        <v>大阪府吹田市高野台１丁目</v>
      </c>
      <c r="F1801" s="7"/>
      <c r="G1801" s="7" t="str">
        <f t="shared" si="599"/>
        <v>事業用資産</v>
      </c>
      <c r="H1801" s="7" t="str">
        <f t="shared" si="612"/>
        <v>棚卸以外</v>
      </c>
      <c r="I1801" s="7">
        <v>63</v>
      </c>
      <c r="J1801" s="7" t="str">
        <f>"８５号棟"</f>
        <v>８５号棟</v>
      </c>
      <c r="K1801" s="7" t="str">
        <f t="shared" si="604"/>
        <v>鉄筋コンクリート造</v>
      </c>
      <c r="L1801" s="7" t="str">
        <f>"H01.10.27"</f>
        <v>H01.10.27</v>
      </c>
      <c r="M1801" s="7">
        <v>1707.44</v>
      </c>
      <c r="N1801" s="7">
        <v>172836939</v>
      </c>
      <c r="O1801" s="7">
        <v>122691163</v>
      </c>
      <c r="P1801" s="7">
        <v>0</v>
      </c>
      <c r="Q1801" s="7" t="str">
        <f t="shared" si="603"/>
        <v>都市整備部</v>
      </c>
      <c r="R1801" s="7" t="str">
        <f t="shared" si="600"/>
        <v>住宅建築局住宅経営室</v>
      </c>
    </row>
    <row r="1802" spans="1:18" s="1" customFormat="1" x14ac:dyDescent="0.45">
      <c r="A1802" s="7" t="str">
        <f t="shared" si="608"/>
        <v>09940003122</v>
      </c>
      <c r="B1802" s="7" t="str">
        <f t="shared" si="609"/>
        <v>千里高野台（吹田高野台）</v>
      </c>
      <c r="C1802" s="7" t="str">
        <f t="shared" si="601"/>
        <v>行政財産</v>
      </c>
      <c r="D1802" s="7" t="str">
        <f t="shared" si="602"/>
        <v>公営住宅</v>
      </c>
      <c r="E1802" s="7" t="str">
        <f t="shared" si="610"/>
        <v>大阪府吹田市高野台１丁目</v>
      </c>
      <c r="F1802" s="7"/>
      <c r="G1802" s="7" t="str">
        <f t="shared" si="599"/>
        <v>事業用資産</v>
      </c>
      <c r="H1802" s="7" t="str">
        <f t="shared" si="612"/>
        <v>棚卸以外</v>
      </c>
      <c r="I1802" s="7">
        <v>64</v>
      </c>
      <c r="J1802" s="7" t="str">
        <f>"８６号棟"</f>
        <v>８６号棟</v>
      </c>
      <c r="K1802" s="7" t="str">
        <f t="shared" si="604"/>
        <v>鉄筋コンクリート造</v>
      </c>
      <c r="L1802" s="7" t="str">
        <f>"H01.10.27"</f>
        <v>H01.10.27</v>
      </c>
      <c r="M1802" s="7">
        <v>1089.1500000000001</v>
      </c>
      <c r="N1802" s="7">
        <v>120799000</v>
      </c>
      <c r="O1802" s="7">
        <v>85887383</v>
      </c>
      <c r="P1802" s="7">
        <v>0</v>
      </c>
      <c r="Q1802" s="7" t="str">
        <f t="shared" si="603"/>
        <v>都市整備部</v>
      </c>
      <c r="R1802" s="7" t="str">
        <f t="shared" si="600"/>
        <v>住宅建築局住宅経営室</v>
      </c>
    </row>
    <row r="1803" spans="1:18" s="1" customFormat="1" x14ac:dyDescent="0.45">
      <c r="A1803" s="7" t="str">
        <f t="shared" si="608"/>
        <v>09940003122</v>
      </c>
      <c r="B1803" s="7" t="str">
        <f t="shared" si="609"/>
        <v>千里高野台（吹田高野台）</v>
      </c>
      <c r="C1803" s="7" t="str">
        <f t="shared" si="601"/>
        <v>行政財産</v>
      </c>
      <c r="D1803" s="7" t="str">
        <f t="shared" si="602"/>
        <v>公営住宅</v>
      </c>
      <c r="E1803" s="7" t="str">
        <f t="shared" si="610"/>
        <v>大阪府吹田市高野台１丁目</v>
      </c>
      <c r="F1803" s="7"/>
      <c r="G1803" s="7" t="str">
        <f t="shared" si="599"/>
        <v>事業用資産</v>
      </c>
      <c r="H1803" s="7" t="str">
        <f t="shared" si="612"/>
        <v>棚卸以外</v>
      </c>
      <c r="I1803" s="7">
        <v>65</v>
      </c>
      <c r="J1803" s="7" t="str">
        <f>"８７号棟"</f>
        <v>８７号棟</v>
      </c>
      <c r="K1803" s="7" t="str">
        <f t="shared" si="604"/>
        <v>鉄筋コンクリート造</v>
      </c>
      <c r="L1803" s="7" t="str">
        <f>"H01.10.27"</f>
        <v>H01.10.27</v>
      </c>
      <c r="M1803" s="7">
        <v>1692.02</v>
      </c>
      <c r="N1803" s="7">
        <v>174270000</v>
      </c>
      <c r="O1803" s="7">
        <v>123904990</v>
      </c>
      <c r="P1803" s="7">
        <v>0</v>
      </c>
      <c r="Q1803" s="7" t="str">
        <f t="shared" si="603"/>
        <v>都市整備部</v>
      </c>
      <c r="R1803" s="7" t="str">
        <f t="shared" si="600"/>
        <v>住宅建築局住宅経営室</v>
      </c>
    </row>
    <row r="1804" spans="1:18" s="1" customFormat="1" x14ac:dyDescent="0.45">
      <c r="A1804" s="7" t="str">
        <f t="shared" ref="A1804:A1837" si="613">"09940003122"</f>
        <v>09940003122</v>
      </c>
      <c r="B1804" s="7" t="str">
        <f t="shared" ref="B1804:B1837" si="614">"千里高野台（吹田高野台）"</f>
        <v>千里高野台（吹田高野台）</v>
      </c>
      <c r="C1804" s="7" t="str">
        <f t="shared" si="601"/>
        <v>行政財産</v>
      </c>
      <c r="D1804" s="7" t="str">
        <f t="shared" si="602"/>
        <v>公営住宅</v>
      </c>
      <c r="E1804" s="7" t="str">
        <f t="shared" ref="E1804:E1837" si="615">"大阪府吹田市高野台１丁目"</f>
        <v>大阪府吹田市高野台１丁目</v>
      </c>
      <c r="F1804" s="7"/>
      <c r="G1804" s="7" t="str">
        <f t="shared" si="599"/>
        <v>事業用資産</v>
      </c>
      <c r="H1804" s="7" t="str">
        <f t="shared" si="612"/>
        <v>棚卸以外</v>
      </c>
      <c r="I1804" s="7">
        <v>66</v>
      </c>
      <c r="J1804" s="7" t="str">
        <f>"受水槽"</f>
        <v>受水槽</v>
      </c>
      <c r="K1804" s="7" t="str">
        <f t="shared" si="604"/>
        <v>鉄筋コンクリート造</v>
      </c>
      <c r="L1804" s="7" t="str">
        <f>"H01.10.27"</f>
        <v>H01.10.27</v>
      </c>
      <c r="M1804" s="7">
        <v>78</v>
      </c>
      <c r="N1804" s="7">
        <v>20726000</v>
      </c>
      <c r="O1804" s="7">
        <v>14736349</v>
      </c>
      <c r="P1804" s="7">
        <v>0</v>
      </c>
      <c r="Q1804" s="7" t="str">
        <f t="shared" si="603"/>
        <v>都市整備部</v>
      </c>
      <c r="R1804" s="7" t="str">
        <f t="shared" si="600"/>
        <v>住宅建築局住宅経営室</v>
      </c>
    </row>
    <row r="1805" spans="1:18" s="1" customFormat="1" x14ac:dyDescent="0.45">
      <c r="A1805" s="7" t="str">
        <f t="shared" si="613"/>
        <v>09940003122</v>
      </c>
      <c r="B1805" s="7" t="str">
        <f t="shared" si="614"/>
        <v>千里高野台（吹田高野台）</v>
      </c>
      <c r="C1805" s="7" t="str">
        <f t="shared" si="601"/>
        <v>行政財産</v>
      </c>
      <c r="D1805" s="7" t="str">
        <f t="shared" si="602"/>
        <v>公営住宅</v>
      </c>
      <c r="E1805" s="7" t="str">
        <f t="shared" si="615"/>
        <v>大阪府吹田市高野台１丁目</v>
      </c>
      <c r="F1805" s="7"/>
      <c r="G1805" s="7" t="str">
        <f t="shared" si="599"/>
        <v>事業用資産</v>
      </c>
      <c r="H1805" s="7" t="str">
        <f t="shared" si="612"/>
        <v>棚卸以外</v>
      </c>
      <c r="I1805" s="7">
        <v>67</v>
      </c>
      <c r="J1805" s="7" t="str">
        <f>"８８号棟"</f>
        <v>８８号棟</v>
      </c>
      <c r="K1805" s="7" t="str">
        <f t="shared" si="604"/>
        <v>鉄筋コンクリート造</v>
      </c>
      <c r="L1805" s="7" t="str">
        <f t="shared" ref="L1805:L1811" si="616">"H03.06.27"</f>
        <v>H03.06.27</v>
      </c>
      <c r="M1805" s="7">
        <v>2480.2800000000002</v>
      </c>
      <c r="N1805" s="7">
        <v>355939000</v>
      </c>
      <c r="O1805" s="7">
        <v>240448338</v>
      </c>
      <c r="P1805" s="7">
        <v>0</v>
      </c>
      <c r="Q1805" s="7" t="str">
        <f t="shared" si="603"/>
        <v>都市整備部</v>
      </c>
      <c r="R1805" s="7" t="str">
        <f t="shared" si="600"/>
        <v>住宅建築局住宅経営室</v>
      </c>
    </row>
    <row r="1806" spans="1:18" s="1" customFormat="1" x14ac:dyDescent="0.45">
      <c r="A1806" s="7" t="str">
        <f t="shared" si="613"/>
        <v>09940003122</v>
      </c>
      <c r="B1806" s="7" t="str">
        <f t="shared" si="614"/>
        <v>千里高野台（吹田高野台）</v>
      </c>
      <c r="C1806" s="7" t="str">
        <f t="shared" si="601"/>
        <v>行政財産</v>
      </c>
      <c r="D1806" s="7" t="str">
        <f t="shared" si="602"/>
        <v>公営住宅</v>
      </c>
      <c r="E1806" s="7" t="str">
        <f t="shared" si="615"/>
        <v>大阪府吹田市高野台１丁目</v>
      </c>
      <c r="F1806" s="7"/>
      <c r="G1806" s="7" t="str">
        <f t="shared" si="599"/>
        <v>事業用資産</v>
      </c>
      <c r="H1806" s="7" t="str">
        <f t="shared" si="612"/>
        <v>棚卸以外</v>
      </c>
      <c r="I1806" s="7">
        <v>68</v>
      </c>
      <c r="J1806" s="7" t="str">
        <f>"９０号棟"</f>
        <v>９０号棟</v>
      </c>
      <c r="K1806" s="7" t="str">
        <f t="shared" si="604"/>
        <v>鉄筋コンクリート造</v>
      </c>
      <c r="L1806" s="7" t="str">
        <f t="shared" si="616"/>
        <v>H03.06.27</v>
      </c>
      <c r="M1806" s="7">
        <v>1854.9</v>
      </c>
      <c r="N1806" s="7">
        <v>266221878</v>
      </c>
      <c r="O1806" s="7">
        <v>179471574</v>
      </c>
      <c r="P1806" s="7">
        <v>0</v>
      </c>
      <c r="Q1806" s="7" t="str">
        <f t="shared" si="603"/>
        <v>都市整備部</v>
      </c>
      <c r="R1806" s="7" t="str">
        <f t="shared" si="600"/>
        <v>住宅建築局住宅経営室</v>
      </c>
    </row>
    <row r="1807" spans="1:18" s="1" customFormat="1" x14ac:dyDescent="0.45">
      <c r="A1807" s="7" t="str">
        <f t="shared" si="613"/>
        <v>09940003122</v>
      </c>
      <c r="B1807" s="7" t="str">
        <f t="shared" si="614"/>
        <v>千里高野台（吹田高野台）</v>
      </c>
      <c r="C1807" s="7" t="str">
        <f t="shared" si="601"/>
        <v>行政財産</v>
      </c>
      <c r="D1807" s="7" t="str">
        <f t="shared" si="602"/>
        <v>公営住宅</v>
      </c>
      <c r="E1807" s="7" t="str">
        <f t="shared" si="615"/>
        <v>大阪府吹田市高野台１丁目</v>
      </c>
      <c r="F1807" s="7"/>
      <c r="G1807" s="7" t="str">
        <f t="shared" si="599"/>
        <v>事業用資産</v>
      </c>
      <c r="H1807" s="7" t="str">
        <f t="shared" si="612"/>
        <v>棚卸以外</v>
      </c>
      <c r="I1807" s="7">
        <v>69</v>
      </c>
      <c r="J1807" s="7" t="str">
        <f>"集会所"</f>
        <v>集会所</v>
      </c>
      <c r="K1807" s="7" t="str">
        <f t="shared" si="604"/>
        <v>鉄筋コンクリート造</v>
      </c>
      <c r="L1807" s="7" t="str">
        <f t="shared" si="616"/>
        <v>H03.06.27</v>
      </c>
      <c r="M1807" s="7">
        <v>150</v>
      </c>
      <c r="N1807" s="7">
        <v>45595000</v>
      </c>
      <c r="O1807" s="7">
        <v>30801183</v>
      </c>
      <c r="P1807" s="7">
        <v>0</v>
      </c>
      <c r="Q1807" s="7" t="str">
        <f t="shared" si="603"/>
        <v>都市整備部</v>
      </c>
      <c r="R1807" s="7" t="str">
        <f t="shared" si="600"/>
        <v>住宅建築局住宅経営室</v>
      </c>
    </row>
    <row r="1808" spans="1:18" s="1" customFormat="1" x14ac:dyDescent="0.45">
      <c r="A1808" s="7" t="str">
        <f t="shared" si="613"/>
        <v>09940003122</v>
      </c>
      <c r="B1808" s="7" t="str">
        <f t="shared" si="614"/>
        <v>千里高野台（吹田高野台）</v>
      </c>
      <c r="C1808" s="7" t="str">
        <f t="shared" si="601"/>
        <v>行政財産</v>
      </c>
      <c r="D1808" s="7" t="str">
        <f t="shared" si="602"/>
        <v>公営住宅</v>
      </c>
      <c r="E1808" s="7" t="str">
        <f t="shared" si="615"/>
        <v>大阪府吹田市高野台１丁目</v>
      </c>
      <c r="F1808" s="7"/>
      <c r="G1808" s="7" t="str">
        <f t="shared" si="599"/>
        <v>事業用資産</v>
      </c>
      <c r="H1808" s="7" t="str">
        <f t="shared" si="612"/>
        <v>棚卸以外</v>
      </c>
      <c r="I1808" s="7">
        <v>70</v>
      </c>
      <c r="J1808" s="7" t="str">
        <f>"３４号棟"</f>
        <v>３４号棟</v>
      </c>
      <c r="K1808" s="7" t="str">
        <f t="shared" si="604"/>
        <v>鉄筋コンクリート造</v>
      </c>
      <c r="L1808" s="7" t="str">
        <f t="shared" si="616"/>
        <v>H03.06.27</v>
      </c>
      <c r="M1808" s="7">
        <v>2365.52</v>
      </c>
      <c r="N1808" s="7">
        <v>348132000</v>
      </c>
      <c r="O1808" s="7">
        <v>235174536</v>
      </c>
      <c r="P1808" s="7">
        <v>0</v>
      </c>
      <c r="Q1808" s="7" t="str">
        <f t="shared" si="603"/>
        <v>都市整備部</v>
      </c>
      <c r="R1808" s="7" t="str">
        <f t="shared" si="600"/>
        <v>住宅建築局住宅経営室</v>
      </c>
    </row>
    <row r="1809" spans="1:18" s="1" customFormat="1" x14ac:dyDescent="0.45">
      <c r="A1809" s="7" t="str">
        <f t="shared" si="613"/>
        <v>09940003122</v>
      </c>
      <c r="B1809" s="7" t="str">
        <f t="shared" si="614"/>
        <v>千里高野台（吹田高野台）</v>
      </c>
      <c r="C1809" s="7" t="str">
        <f t="shared" si="601"/>
        <v>行政財産</v>
      </c>
      <c r="D1809" s="7" t="str">
        <f t="shared" si="602"/>
        <v>公営住宅</v>
      </c>
      <c r="E1809" s="7" t="str">
        <f t="shared" si="615"/>
        <v>大阪府吹田市高野台１丁目</v>
      </c>
      <c r="F1809" s="7"/>
      <c r="G1809" s="7" t="str">
        <f t="shared" si="599"/>
        <v>事業用資産</v>
      </c>
      <c r="H1809" s="7" t="str">
        <f t="shared" si="612"/>
        <v>棚卸以外</v>
      </c>
      <c r="I1809" s="7">
        <v>71</v>
      </c>
      <c r="J1809" s="7" t="str">
        <f>"３５号棟"</f>
        <v>３５号棟</v>
      </c>
      <c r="K1809" s="7" t="str">
        <f t="shared" si="604"/>
        <v>鉄筋コンクリート造</v>
      </c>
      <c r="L1809" s="7" t="str">
        <f t="shared" si="616"/>
        <v>H03.06.27</v>
      </c>
      <c r="M1809" s="7">
        <v>1777.65</v>
      </c>
      <c r="N1809" s="7">
        <v>277327000</v>
      </c>
      <c r="O1809" s="7">
        <v>187343415</v>
      </c>
      <c r="P1809" s="7">
        <v>0</v>
      </c>
      <c r="Q1809" s="7" t="str">
        <f t="shared" si="603"/>
        <v>都市整備部</v>
      </c>
      <c r="R1809" s="7" t="str">
        <f t="shared" si="600"/>
        <v>住宅建築局住宅経営室</v>
      </c>
    </row>
    <row r="1810" spans="1:18" s="1" customFormat="1" x14ac:dyDescent="0.45">
      <c r="A1810" s="7" t="str">
        <f t="shared" si="613"/>
        <v>09940003122</v>
      </c>
      <c r="B1810" s="7" t="str">
        <f t="shared" si="614"/>
        <v>千里高野台（吹田高野台）</v>
      </c>
      <c r="C1810" s="7" t="str">
        <f t="shared" si="601"/>
        <v>行政財産</v>
      </c>
      <c r="D1810" s="7" t="str">
        <f t="shared" si="602"/>
        <v>公営住宅</v>
      </c>
      <c r="E1810" s="7" t="str">
        <f t="shared" si="615"/>
        <v>大阪府吹田市高野台１丁目</v>
      </c>
      <c r="F1810" s="7"/>
      <c r="G1810" s="7" t="str">
        <f t="shared" si="599"/>
        <v>事業用資産</v>
      </c>
      <c r="H1810" s="7" t="str">
        <f t="shared" si="612"/>
        <v>棚卸以外</v>
      </c>
      <c r="I1810" s="7">
        <v>72</v>
      </c>
      <c r="J1810" s="7" t="str">
        <f>"３６号棟"</f>
        <v>３６号棟</v>
      </c>
      <c r="K1810" s="7" t="str">
        <f t="shared" si="604"/>
        <v>鉄筋コンクリート造</v>
      </c>
      <c r="L1810" s="7" t="str">
        <f t="shared" si="616"/>
        <v>H03.06.27</v>
      </c>
      <c r="M1810" s="7">
        <v>1776.9</v>
      </c>
      <c r="N1810" s="7">
        <v>277903000</v>
      </c>
      <c r="O1810" s="7">
        <v>187732416</v>
      </c>
      <c r="P1810" s="7">
        <v>0</v>
      </c>
      <c r="Q1810" s="7" t="str">
        <f t="shared" si="603"/>
        <v>都市整備部</v>
      </c>
      <c r="R1810" s="7" t="str">
        <f t="shared" si="600"/>
        <v>住宅建築局住宅経営室</v>
      </c>
    </row>
    <row r="1811" spans="1:18" s="1" customFormat="1" x14ac:dyDescent="0.45">
      <c r="A1811" s="7" t="str">
        <f t="shared" si="613"/>
        <v>09940003122</v>
      </c>
      <c r="B1811" s="7" t="str">
        <f t="shared" si="614"/>
        <v>千里高野台（吹田高野台）</v>
      </c>
      <c r="C1811" s="7" t="str">
        <f t="shared" si="601"/>
        <v>行政財産</v>
      </c>
      <c r="D1811" s="7" t="str">
        <f t="shared" si="602"/>
        <v>公営住宅</v>
      </c>
      <c r="E1811" s="7" t="str">
        <f t="shared" si="615"/>
        <v>大阪府吹田市高野台１丁目</v>
      </c>
      <c r="F1811" s="7"/>
      <c r="G1811" s="7" t="str">
        <f t="shared" si="599"/>
        <v>事業用資産</v>
      </c>
      <c r="H1811" s="7" t="str">
        <f t="shared" si="612"/>
        <v>棚卸以外</v>
      </c>
      <c r="I1811" s="7">
        <v>73</v>
      </c>
      <c r="J1811" s="7" t="str">
        <f>"集会所"</f>
        <v>集会所</v>
      </c>
      <c r="K1811" s="7" t="str">
        <f t="shared" si="604"/>
        <v>鉄筋コンクリート造</v>
      </c>
      <c r="L1811" s="7" t="str">
        <f t="shared" si="616"/>
        <v>H03.06.27</v>
      </c>
      <c r="M1811" s="7">
        <v>149.91999999999999</v>
      </c>
      <c r="N1811" s="7">
        <v>35652000</v>
      </c>
      <c r="O1811" s="7">
        <v>24084153</v>
      </c>
      <c r="P1811" s="7">
        <v>0</v>
      </c>
      <c r="Q1811" s="7" t="str">
        <f t="shared" si="603"/>
        <v>都市整備部</v>
      </c>
      <c r="R1811" s="7" t="str">
        <f t="shared" si="600"/>
        <v>住宅建築局住宅経営室</v>
      </c>
    </row>
    <row r="1812" spans="1:18" s="1" customFormat="1" x14ac:dyDescent="0.45">
      <c r="A1812" s="7" t="str">
        <f t="shared" si="613"/>
        <v>09940003122</v>
      </c>
      <c r="B1812" s="7" t="str">
        <f t="shared" si="614"/>
        <v>千里高野台（吹田高野台）</v>
      </c>
      <c r="C1812" s="7" t="str">
        <f t="shared" si="601"/>
        <v>行政財産</v>
      </c>
      <c r="D1812" s="7" t="str">
        <f t="shared" si="602"/>
        <v>公営住宅</v>
      </c>
      <c r="E1812" s="7" t="str">
        <f t="shared" si="615"/>
        <v>大阪府吹田市高野台１丁目</v>
      </c>
      <c r="F1812" s="7"/>
      <c r="G1812" s="7" t="str">
        <f t="shared" si="599"/>
        <v>事業用資産</v>
      </c>
      <c r="H1812" s="7" t="str">
        <f t="shared" si="612"/>
        <v>棚卸以外</v>
      </c>
      <c r="I1812" s="7">
        <v>74</v>
      </c>
      <c r="J1812" s="7" t="str">
        <f>"Ｂ４５号棟（２丁目）"</f>
        <v>Ｂ４５号棟（２丁目）</v>
      </c>
      <c r="K1812" s="7" t="str">
        <f t="shared" si="604"/>
        <v>鉄筋コンクリート造</v>
      </c>
      <c r="L1812" s="7" t="str">
        <f>"H06.01.28"</f>
        <v>H06.01.28</v>
      </c>
      <c r="M1812" s="7">
        <v>8965.06</v>
      </c>
      <c r="N1812" s="7">
        <v>1779729048</v>
      </c>
      <c r="O1812" s="7">
        <v>1102363770</v>
      </c>
      <c r="P1812" s="7">
        <v>0</v>
      </c>
      <c r="Q1812" s="7" t="str">
        <f t="shared" si="603"/>
        <v>都市整備部</v>
      </c>
      <c r="R1812" s="7" t="str">
        <f t="shared" si="600"/>
        <v>住宅建築局住宅経営室</v>
      </c>
    </row>
    <row r="1813" spans="1:18" s="1" customFormat="1" x14ac:dyDescent="0.45">
      <c r="A1813" s="7" t="str">
        <f t="shared" si="613"/>
        <v>09940003122</v>
      </c>
      <c r="B1813" s="7" t="str">
        <f t="shared" si="614"/>
        <v>千里高野台（吹田高野台）</v>
      </c>
      <c r="C1813" s="7" t="str">
        <f t="shared" si="601"/>
        <v>行政財産</v>
      </c>
      <c r="D1813" s="7" t="str">
        <f t="shared" si="602"/>
        <v>公営住宅</v>
      </c>
      <c r="E1813" s="7" t="str">
        <f t="shared" si="615"/>
        <v>大阪府吹田市高野台１丁目</v>
      </c>
      <c r="F1813" s="7"/>
      <c r="G1813" s="7" t="str">
        <f t="shared" si="599"/>
        <v>事業用資産</v>
      </c>
      <c r="H1813" s="7" t="str">
        <f t="shared" si="612"/>
        <v>棚卸以外</v>
      </c>
      <c r="I1813" s="7">
        <v>75</v>
      </c>
      <c r="J1813" s="7" t="str">
        <f>"Ｂ９３号棟（４丁目）"</f>
        <v>Ｂ９３号棟（４丁目）</v>
      </c>
      <c r="K1813" s="7" t="str">
        <f t="shared" si="604"/>
        <v>鉄筋コンクリート造</v>
      </c>
      <c r="L1813" s="7" t="str">
        <f>"H06.01.28"</f>
        <v>H06.01.28</v>
      </c>
      <c r="M1813" s="7">
        <v>7907.56</v>
      </c>
      <c r="N1813" s="7">
        <v>1515388048</v>
      </c>
      <c r="O1813" s="7">
        <v>938322270</v>
      </c>
      <c r="P1813" s="7">
        <v>0</v>
      </c>
      <c r="Q1813" s="7" t="str">
        <f t="shared" si="603"/>
        <v>都市整備部</v>
      </c>
      <c r="R1813" s="7" t="str">
        <f t="shared" si="600"/>
        <v>住宅建築局住宅経営室</v>
      </c>
    </row>
    <row r="1814" spans="1:18" s="1" customFormat="1" x14ac:dyDescent="0.45">
      <c r="A1814" s="7" t="str">
        <f t="shared" si="613"/>
        <v>09940003122</v>
      </c>
      <c r="B1814" s="7" t="str">
        <f t="shared" si="614"/>
        <v>千里高野台（吹田高野台）</v>
      </c>
      <c r="C1814" s="7" t="str">
        <f t="shared" si="601"/>
        <v>行政財産</v>
      </c>
      <c r="D1814" s="7" t="str">
        <f t="shared" si="602"/>
        <v>公営住宅</v>
      </c>
      <c r="E1814" s="7" t="str">
        <f t="shared" si="615"/>
        <v>大阪府吹田市高野台１丁目</v>
      </c>
      <c r="F1814" s="7"/>
      <c r="G1814" s="7" t="str">
        <f t="shared" si="599"/>
        <v>事業用資産</v>
      </c>
      <c r="H1814" s="7" t="str">
        <f t="shared" si="612"/>
        <v>棚卸以外</v>
      </c>
      <c r="I1814" s="7">
        <v>76</v>
      </c>
      <c r="J1814" s="7" t="str">
        <f>"受水槽（Ｂ９３号棟）"</f>
        <v>受水槽（Ｂ９３号棟）</v>
      </c>
      <c r="K1814" s="7" t="str">
        <f t="shared" si="604"/>
        <v>鉄筋コンクリート造</v>
      </c>
      <c r="L1814" s="7" t="str">
        <f>"H06.01.28"</f>
        <v>H06.01.28</v>
      </c>
      <c r="M1814" s="7">
        <v>90.92</v>
      </c>
      <c r="N1814" s="7">
        <v>20117000</v>
      </c>
      <c r="O1814" s="7">
        <v>12484150</v>
      </c>
      <c r="P1814" s="7">
        <v>0</v>
      </c>
      <c r="Q1814" s="7" t="str">
        <f t="shared" si="603"/>
        <v>都市整備部</v>
      </c>
      <c r="R1814" s="7" t="str">
        <f t="shared" si="600"/>
        <v>住宅建築局住宅経営室</v>
      </c>
    </row>
    <row r="1815" spans="1:18" s="1" customFormat="1" x14ac:dyDescent="0.45">
      <c r="A1815" s="7" t="str">
        <f t="shared" si="613"/>
        <v>09940003122</v>
      </c>
      <c r="B1815" s="7" t="str">
        <f t="shared" si="614"/>
        <v>千里高野台（吹田高野台）</v>
      </c>
      <c r="C1815" s="7" t="str">
        <f t="shared" si="601"/>
        <v>行政財産</v>
      </c>
      <c r="D1815" s="7" t="str">
        <f t="shared" si="602"/>
        <v>公営住宅</v>
      </c>
      <c r="E1815" s="7" t="str">
        <f t="shared" si="615"/>
        <v>大阪府吹田市高野台１丁目</v>
      </c>
      <c r="F1815" s="7"/>
      <c r="G1815" s="7" t="str">
        <f t="shared" ref="G1815:G1878" si="617">"事業用資産"</f>
        <v>事業用資産</v>
      </c>
      <c r="H1815" s="7" t="str">
        <f t="shared" si="612"/>
        <v>棚卸以外</v>
      </c>
      <c r="I1815" s="7">
        <v>77</v>
      </c>
      <c r="J1815" s="7" t="str">
        <f>"電気室"</f>
        <v>電気室</v>
      </c>
      <c r="K1815" s="7" t="str">
        <f t="shared" si="604"/>
        <v>鉄筋コンクリート造</v>
      </c>
      <c r="L1815" s="7" t="str">
        <f>"H06.01.28"</f>
        <v>H06.01.28</v>
      </c>
      <c r="M1815" s="7">
        <v>33.840000000000003</v>
      </c>
      <c r="N1815" s="7">
        <v>7071000</v>
      </c>
      <c r="O1815" s="7">
        <v>4388300</v>
      </c>
      <c r="P1815" s="7">
        <v>0</v>
      </c>
      <c r="Q1815" s="7" t="str">
        <f t="shared" si="603"/>
        <v>都市整備部</v>
      </c>
      <c r="R1815" s="7" t="str">
        <f t="shared" si="600"/>
        <v>住宅建築局住宅経営室</v>
      </c>
    </row>
    <row r="1816" spans="1:18" s="1" customFormat="1" x14ac:dyDescent="0.45">
      <c r="A1816" s="7" t="str">
        <f t="shared" si="613"/>
        <v>09940003122</v>
      </c>
      <c r="B1816" s="7" t="str">
        <f t="shared" si="614"/>
        <v>千里高野台（吹田高野台）</v>
      </c>
      <c r="C1816" s="7" t="str">
        <f t="shared" si="601"/>
        <v>行政財産</v>
      </c>
      <c r="D1816" s="7" t="str">
        <f t="shared" si="602"/>
        <v>公営住宅</v>
      </c>
      <c r="E1816" s="7" t="str">
        <f t="shared" si="615"/>
        <v>大阪府吹田市高野台１丁目</v>
      </c>
      <c r="F1816" s="7"/>
      <c r="G1816" s="7" t="str">
        <f t="shared" si="617"/>
        <v>事業用資産</v>
      </c>
      <c r="H1816" s="7" t="str">
        <f t="shared" si="612"/>
        <v>棚卸以外</v>
      </c>
      <c r="I1816" s="7">
        <v>78</v>
      </c>
      <c r="J1816" s="7" t="str">
        <f>"Ｂ４３号棟（２丁目）"</f>
        <v>Ｂ４３号棟（２丁目）</v>
      </c>
      <c r="K1816" s="7" t="str">
        <f t="shared" si="604"/>
        <v>鉄筋コンクリート造</v>
      </c>
      <c r="L1816" s="7" t="str">
        <f>"H06.06.29"</f>
        <v>H06.06.29</v>
      </c>
      <c r="M1816" s="7">
        <v>3169.98</v>
      </c>
      <c r="N1816" s="7">
        <v>599721024</v>
      </c>
      <c r="O1816" s="7">
        <v>365881695</v>
      </c>
      <c r="P1816" s="7">
        <v>0</v>
      </c>
      <c r="Q1816" s="7" t="str">
        <f t="shared" si="603"/>
        <v>都市整備部</v>
      </c>
      <c r="R1816" s="7" t="str">
        <f t="shared" ref="R1816:R1879" si="618">"住宅建築局住宅経営室"</f>
        <v>住宅建築局住宅経営室</v>
      </c>
    </row>
    <row r="1817" spans="1:18" s="1" customFormat="1" x14ac:dyDescent="0.45">
      <c r="A1817" s="7" t="str">
        <f t="shared" si="613"/>
        <v>09940003122</v>
      </c>
      <c r="B1817" s="7" t="str">
        <f t="shared" si="614"/>
        <v>千里高野台（吹田高野台）</v>
      </c>
      <c r="C1817" s="7" t="str">
        <f t="shared" si="601"/>
        <v>行政財産</v>
      </c>
      <c r="D1817" s="7" t="str">
        <f t="shared" si="602"/>
        <v>公営住宅</v>
      </c>
      <c r="E1817" s="7" t="str">
        <f t="shared" si="615"/>
        <v>大阪府吹田市高野台１丁目</v>
      </c>
      <c r="F1817" s="7"/>
      <c r="G1817" s="7" t="str">
        <f t="shared" si="617"/>
        <v>事業用資産</v>
      </c>
      <c r="H1817" s="7" t="str">
        <f t="shared" si="612"/>
        <v>棚卸以外</v>
      </c>
      <c r="I1817" s="7">
        <v>79</v>
      </c>
      <c r="J1817" s="7" t="str">
        <f>"Ｂ４４号棟（２丁目）"</f>
        <v>Ｂ４４号棟（２丁目）</v>
      </c>
      <c r="K1817" s="7" t="str">
        <f t="shared" si="604"/>
        <v>鉄筋コンクリート造</v>
      </c>
      <c r="L1817" s="7" t="str">
        <f>"H06.06.29"</f>
        <v>H06.06.29</v>
      </c>
      <c r="M1817" s="7">
        <v>5054.72</v>
      </c>
      <c r="N1817" s="7">
        <v>944662024</v>
      </c>
      <c r="O1817" s="7">
        <v>576882660</v>
      </c>
      <c r="P1817" s="7">
        <v>0</v>
      </c>
      <c r="Q1817" s="7" t="str">
        <f t="shared" si="603"/>
        <v>都市整備部</v>
      </c>
      <c r="R1817" s="7" t="str">
        <f t="shared" si="618"/>
        <v>住宅建築局住宅経営室</v>
      </c>
    </row>
    <row r="1818" spans="1:18" s="1" customFormat="1" x14ac:dyDescent="0.45">
      <c r="A1818" s="7" t="str">
        <f t="shared" si="613"/>
        <v>09940003122</v>
      </c>
      <c r="B1818" s="7" t="str">
        <f t="shared" si="614"/>
        <v>千里高野台（吹田高野台）</v>
      </c>
      <c r="C1818" s="7" t="str">
        <f t="shared" ref="C1818:C1881" si="619">"行政財産"</f>
        <v>行政財産</v>
      </c>
      <c r="D1818" s="7" t="str">
        <f t="shared" ref="D1818:D1881" si="620">"公営住宅"</f>
        <v>公営住宅</v>
      </c>
      <c r="E1818" s="7" t="str">
        <f t="shared" si="615"/>
        <v>大阪府吹田市高野台１丁目</v>
      </c>
      <c r="F1818" s="7"/>
      <c r="G1818" s="7" t="str">
        <f t="shared" si="617"/>
        <v>事業用資産</v>
      </c>
      <c r="H1818" s="7" t="str">
        <f t="shared" si="612"/>
        <v>棚卸以外</v>
      </c>
      <c r="I1818" s="7">
        <v>80</v>
      </c>
      <c r="J1818" s="7" t="str">
        <f>"Ｂ９１号棟（４丁目）"</f>
        <v>Ｂ９１号棟（４丁目）</v>
      </c>
      <c r="K1818" s="7" t="str">
        <f t="shared" si="604"/>
        <v>鉄筋コンクリート造</v>
      </c>
      <c r="L1818" s="7" t="str">
        <f>"H06.08.30"</f>
        <v>H06.08.30</v>
      </c>
      <c r="M1818" s="7">
        <v>5005.72</v>
      </c>
      <c r="N1818" s="7">
        <v>1098849902</v>
      </c>
      <c r="O1818" s="7">
        <v>666998096</v>
      </c>
      <c r="P1818" s="7">
        <v>0</v>
      </c>
      <c r="Q1818" s="7" t="str">
        <f t="shared" si="603"/>
        <v>都市整備部</v>
      </c>
      <c r="R1818" s="7" t="str">
        <f t="shared" si="618"/>
        <v>住宅建築局住宅経営室</v>
      </c>
    </row>
    <row r="1819" spans="1:18" s="1" customFormat="1" x14ac:dyDescent="0.45">
      <c r="A1819" s="7" t="str">
        <f t="shared" si="613"/>
        <v>09940003122</v>
      </c>
      <c r="B1819" s="7" t="str">
        <f t="shared" si="614"/>
        <v>千里高野台（吹田高野台）</v>
      </c>
      <c r="C1819" s="7" t="str">
        <f t="shared" si="619"/>
        <v>行政財産</v>
      </c>
      <c r="D1819" s="7" t="str">
        <f t="shared" si="620"/>
        <v>公営住宅</v>
      </c>
      <c r="E1819" s="7" t="str">
        <f t="shared" si="615"/>
        <v>大阪府吹田市高野台１丁目</v>
      </c>
      <c r="F1819" s="7"/>
      <c r="G1819" s="7" t="str">
        <f t="shared" si="617"/>
        <v>事業用資産</v>
      </c>
      <c r="H1819" s="7" t="str">
        <f t="shared" si="612"/>
        <v>棚卸以外</v>
      </c>
      <c r="I1819" s="7">
        <v>81</v>
      </c>
      <c r="J1819" s="7" t="str">
        <f>"Ｂ９２号棟（４丁目）"</f>
        <v>Ｂ９２号棟（４丁目）</v>
      </c>
      <c r="K1819" s="7" t="str">
        <f t="shared" si="604"/>
        <v>鉄筋コンクリート造</v>
      </c>
      <c r="L1819" s="7" t="str">
        <f>"H06.08.30"</f>
        <v>H06.08.30</v>
      </c>
      <c r="M1819" s="7">
        <v>2820.49</v>
      </c>
      <c r="N1819" s="7">
        <v>617160963</v>
      </c>
      <c r="O1819" s="7">
        <v>374222557</v>
      </c>
      <c r="P1819" s="7">
        <v>0</v>
      </c>
      <c r="Q1819" s="7" t="str">
        <f t="shared" ref="Q1819:Q1882" si="621">"都市整備部"</f>
        <v>都市整備部</v>
      </c>
      <c r="R1819" s="7" t="str">
        <f t="shared" si="618"/>
        <v>住宅建築局住宅経営室</v>
      </c>
    </row>
    <row r="1820" spans="1:18" s="1" customFormat="1" x14ac:dyDescent="0.45">
      <c r="A1820" s="7" t="str">
        <f t="shared" si="613"/>
        <v>09940003122</v>
      </c>
      <c r="B1820" s="7" t="str">
        <f t="shared" si="614"/>
        <v>千里高野台（吹田高野台）</v>
      </c>
      <c r="C1820" s="7" t="str">
        <f t="shared" si="619"/>
        <v>行政財産</v>
      </c>
      <c r="D1820" s="7" t="str">
        <f t="shared" si="620"/>
        <v>公営住宅</v>
      </c>
      <c r="E1820" s="7" t="str">
        <f t="shared" si="615"/>
        <v>大阪府吹田市高野台１丁目</v>
      </c>
      <c r="F1820" s="7"/>
      <c r="G1820" s="7" t="str">
        <f t="shared" si="617"/>
        <v>事業用資産</v>
      </c>
      <c r="H1820" s="7" t="str">
        <f t="shared" si="612"/>
        <v>棚卸以外</v>
      </c>
      <c r="I1820" s="7">
        <v>82</v>
      </c>
      <c r="J1820" s="7" t="str">
        <f>"受水槽ポンプ室"</f>
        <v>受水槽ポンプ室</v>
      </c>
      <c r="K1820" s="7" t="str">
        <f t="shared" si="604"/>
        <v>鉄筋コンクリート造</v>
      </c>
      <c r="L1820" s="7" t="str">
        <f>"H06.01.28"</f>
        <v>H06.01.28</v>
      </c>
      <c r="M1820" s="7">
        <v>90.92</v>
      </c>
      <c r="N1820" s="7">
        <v>440469000</v>
      </c>
      <c r="O1820" s="7">
        <v>273340900</v>
      </c>
      <c r="P1820" s="7">
        <v>0</v>
      </c>
      <c r="Q1820" s="7" t="str">
        <f t="shared" si="621"/>
        <v>都市整備部</v>
      </c>
      <c r="R1820" s="7" t="str">
        <f t="shared" si="618"/>
        <v>住宅建築局住宅経営室</v>
      </c>
    </row>
    <row r="1821" spans="1:18" s="1" customFormat="1" x14ac:dyDescent="0.45">
      <c r="A1821" s="7" t="str">
        <f t="shared" si="613"/>
        <v>09940003122</v>
      </c>
      <c r="B1821" s="7" t="str">
        <f t="shared" si="614"/>
        <v>千里高野台（吹田高野台）</v>
      </c>
      <c r="C1821" s="7" t="str">
        <f t="shared" si="619"/>
        <v>行政財産</v>
      </c>
      <c r="D1821" s="7" t="str">
        <f t="shared" si="620"/>
        <v>公営住宅</v>
      </c>
      <c r="E1821" s="7" t="str">
        <f t="shared" si="615"/>
        <v>大阪府吹田市高野台１丁目</v>
      </c>
      <c r="F1821" s="7"/>
      <c r="G1821" s="7" t="str">
        <f t="shared" si="617"/>
        <v>事業用資産</v>
      </c>
      <c r="H1821" s="7" t="str">
        <f t="shared" si="612"/>
        <v>棚卸以外</v>
      </c>
      <c r="I1821" s="7">
        <v>83</v>
      </c>
      <c r="J1821" s="7" t="str">
        <f>"電気室"</f>
        <v>電気室</v>
      </c>
      <c r="K1821" s="7" t="str">
        <f t="shared" si="604"/>
        <v>鉄筋コンクリート造</v>
      </c>
      <c r="L1821" s="7" t="str">
        <f>"H06.01.28"</f>
        <v>H06.01.28</v>
      </c>
      <c r="M1821" s="7">
        <v>33.840000000000003</v>
      </c>
      <c r="N1821" s="7">
        <v>77071000</v>
      </c>
      <c r="O1821" s="7">
        <v>47827850</v>
      </c>
      <c r="P1821" s="7">
        <v>0</v>
      </c>
      <c r="Q1821" s="7" t="str">
        <f t="shared" si="621"/>
        <v>都市整備部</v>
      </c>
      <c r="R1821" s="7" t="str">
        <f t="shared" si="618"/>
        <v>住宅建築局住宅経営室</v>
      </c>
    </row>
    <row r="1822" spans="1:18" s="1" customFormat="1" x14ac:dyDescent="0.45">
      <c r="A1822" s="7" t="str">
        <f t="shared" si="613"/>
        <v>09940003122</v>
      </c>
      <c r="B1822" s="7" t="str">
        <f t="shared" si="614"/>
        <v>千里高野台（吹田高野台）</v>
      </c>
      <c r="C1822" s="7" t="str">
        <f t="shared" si="619"/>
        <v>行政財産</v>
      </c>
      <c r="D1822" s="7" t="str">
        <f t="shared" si="620"/>
        <v>公営住宅</v>
      </c>
      <c r="E1822" s="7" t="str">
        <f t="shared" si="615"/>
        <v>大阪府吹田市高野台１丁目</v>
      </c>
      <c r="F1822" s="7"/>
      <c r="G1822" s="7" t="str">
        <f t="shared" si="617"/>
        <v>事業用資産</v>
      </c>
      <c r="H1822" s="7" t="str">
        <f t="shared" si="612"/>
        <v>棚卸以外</v>
      </c>
      <c r="I1822" s="7">
        <v>84</v>
      </c>
      <c r="J1822" s="7" t="str">
        <f>"吹田高野台　３号棟"</f>
        <v>吹田高野台　３号棟</v>
      </c>
      <c r="K1822" s="7" t="str">
        <f t="shared" ref="K1822:K1885" si="622">"鉄筋コンクリート造"</f>
        <v>鉄筋コンクリート造</v>
      </c>
      <c r="L1822" s="7" t="str">
        <f>"H28.08.01"</f>
        <v>H28.08.01</v>
      </c>
      <c r="M1822" s="7">
        <v>11149.27</v>
      </c>
      <c r="N1822" s="7">
        <v>1708247584</v>
      </c>
      <c r="O1822" s="7">
        <v>239275832</v>
      </c>
      <c r="P1822" s="7">
        <v>0</v>
      </c>
      <c r="Q1822" s="7" t="str">
        <f t="shared" si="621"/>
        <v>都市整備部</v>
      </c>
      <c r="R1822" s="7" t="str">
        <f t="shared" si="618"/>
        <v>住宅建築局住宅経営室</v>
      </c>
    </row>
    <row r="1823" spans="1:18" s="1" customFormat="1" x14ac:dyDescent="0.45">
      <c r="A1823" s="7" t="str">
        <f t="shared" si="613"/>
        <v>09940003122</v>
      </c>
      <c r="B1823" s="7" t="str">
        <f t="shared" si="614"/>
        <v>千里高野台（吹田高野台）</v>
      </c>
      <c r="C1823" s="7" t="str">
        <f t="shared" si="619"/>
        <v>行政財産</v>
      </c>
      <c r="D1823" s="7" t="str">
        <f t="shared" si="620"/>
        <v>公営住宅</v>
      </c>
      <c r="E1823" s="7" t="str">
        <f t="shared" si="615"/>
        <v>大阪府吹田市高野台１丁目</v>
      </c>
      <c r="F1823" s="7"/>
      <c r="G1823" s="7" t="str">
        <f t="shared" si="617"/>
        <v>事業用資産</v>
      </c>
      <c r="H1823" s="7" t="str">
        <f t="shared" si="612"/>
        <v>棚卸以外</v>
      </c>
      <c r="I1823" s="7">
        <v>85</v>
      </c>
      <c r="J1823" s="7" t="str">
        <f>"集会所　吹田高野台"</f>
        <v>集会所　吹田高野台</v>
      </c>
      <c r="K1823" s="7" t="str">
        <f t="shared" si="622"/>
        <v>鉄筋コンクリート造</v>
      </c>
      <c r="L1823" s="7" t="str">
        <f>"H28.08.01"</f>
        <v>H28.08.01</v>
      </c>
      <c r="M1823" s="7">
        <v>165.19</v>
      </c>
      <c r="N1823" s="7">
        <v>47460222</v>
      </c>
      <c r="O1823" s="7">
        <v>6647850</v>
      </c>
      <c r="P1823" s="7">
        <v>0</v>
      </c>
      <c r="Q1823" s="7" t="str">
        <f t="shared" si="621"/>
        <v>都市整備部</v>
      </c>
      <c r="R1823" s="7" t="str">
        <f t="shared" si="618"/>
        <v>住宅建築局住宅経営室</v>
      </c>
    </row>
    <row r="1824" spans="1:18" s="1" customFormat="1" x14ac:dyDescent="0.45">
      <c r="A1824" s="7" t="str">
        <f t="shared" si="613"/>
        <v>09940003122</v>
      </c>
      <c r="B1824" s="7" t="str">
        <f t="shared" si="614"/>
        <v>千里高野台（吹田高野台）</v>
      </c>
      <c r="C1824" s="7" t="str">
        <f t="shared" si="619"/>
        <v>行政財産</v>
      </c>
      <c r="D1824" s="7" t="str">
        <f t="shared" si="620"/>
        <v>公営住宅</v>
      </c>
      <c r="E1824" s="7" t="str">
        <f t="shared" si="615"/>
        <v>大阪府吹田市高野台１丁目</v>
      </c>
      <c r="F1824" s="7"/>
      <c r="G1824" s="7" t="str">
        <f t="shared" si="617"/>
        <v>事業用資産</v>
      </c>
      <c r="H1824" s="7" t="str">
        <f t="shared" si="612"/>
        <v>棚卸以外</v>
      </c>
      <c r="I1824" s="7">
        <v>86</v>
      </c>
      <c r="J1824" s="7" t="str">
        <f>"ブースターポンプ室"</f>
        <v>ブースターポンプ室</v>
      </c>
      <c r="K1824" s="7" t="str">
        <f t="shared" si="622"/>
        <v>鉄筋コンクリート造</v>
      </c>
      <c r="L1824" s="7" t="str">
        <f>"H28.08.01"</f>
        <v>H28.08.01</v>
      </c>
      <c r="M1824" s="7">
        <v>6</v>
      </c>
      <c r="N1824" s="7">
        <v>11143811</v>
      </c>
      <c r="O1824" s="7">
        <v>1560961</v>
      </c>
      <c r="P1824" s="7">
        <v>0</v>
      </c>
      <c r="Q1824" s="7" t="str">
        <f t="shared" si="621"/>
        <v>都市整備部</v>
      </c>
      <c r="R1824" s="7" t="str">
        <f t="shared" si="618"/>
        <v>住宅建築局住宅経営室</v>
      </c>
    </row>
    <row r="1825" spans="1:18" s="1" customFormat="1" x14ac:dyDescent="0.45">
      <c r="A1825" s="7" t="str">
        <f t="shared" si="613"/>
        <v>09940003122</v>
      </c>
      <c r="B1825" s="7" t="str">
        <f t="shared" si="614"/>
        <v>千里高野台（吹田高野台）</v>
      </c>
      <c r="C1825" s="7" t="str">
        <f t="shared" si="619"/>
        <v>行政財産</v>
      </c>
      <c r="D1825" s="7" t="str">
        <f t="shared" si="620"/>
        <v>公営住宅</v>
      </c>
      <c r="E1825" s="7" t="str">
        <f t="shared" si="615"/>
        <v>大阪府吹田市高野台１丁目</v>
      </c>
      <c r="F1825" s="7"/>
      <c r="G1825" s="7" t="str">
        <f t="shared" si="617"/>
        <v>事業用資産</v>
      </c>
      <c r="H1825" s="7" t="str">
        <f t="shared" si="612"/>
        <v>棚卸以外</v>
      </c>
      <c r="I1825" s="7">
        <v>87</v>
      </c>
      <c r="J1825" s="7" t="str">
        <f>"電気室"</f>
        <v>電気室</v>
      </c>
      <c r="K1825" s="7" t="str">
        <f t="shared" si="622"/>
        <v>鉄筋コンクリート造</v>
      </c>
      <c r="L1825" s="7" t="str">
        <f>"H28.08.01"</f>
        <v>H28.08.01</v>
      </c>
      <c r="M1825" s="7">
        <v>43.16</v>
      </c>
      <c r="N1825" s="7">
        <v>16481083</v>
      </c>
      <c r="O1825" s="7">
        <v>2308538</v>
      </c>
      <c r="P1825" s="7">
        <v>0</v>
      </c>
      <c r="Q1825" s="7" t="str">
        <f t="shared" si="621"/>
        <v>都市整備部</v>
      </c>
      <c r="R1825" s="7" t="str">
        <f t="shared" si="618"/>
        <v>住宅建築局住宅経営室</v>
      </c>
    </row>
    <row r="1826" spans="1:18" s="1" customFormat="1" x14ac:dyDescent="0.45">
      <c r="A1826" s="7" t="str">
        <f t="shared" si="613"/>
        <v>09940003122</v>
      </c>
      <c r="B1826" s="7" t="str">
        <f t="shared" si="614"/>
        <v>千里高野台（吹田高野台）</v>
      </c>
      <c r="C1826" s="7" t="str">
        <f t="shared" si="619"/>
        <v>行政財産</v>
      </c>
      <c r="D1826" s="7" t="str">
        <f t="shared" si="620"/>
        <v>公営住宅</v>
      </c>
      <c r="E1826" s="7" t="str">
        <f t="shared" si="615"/>
        <v>大阪府吹田市高野台１丁目</v>
      </c>
      <c r="F1826" s="7"/>
      <c r="G1826" s="7" t="str">
        <f t="shared" si="617"/>
        <v>事業用資産</v>
      </c>
      <c r="H1826" s="7" t="str">
        <f t="shared" si="612"/>
        <v>棚卸以外</v>
      </c>
      <c r="I1826" s="7">
        <v>88</v>
      </c>
      <c r="J1826" s="7" t="str">
        <f>"吹田高野台４号棟"</f>
        <v>吹田高野台４号棟</v>
      </c>
      <c r="K1826" s="7" t="str">
        <f t="shared" si="622"/>
        <v>鉄筋コンクリート造</v>
      </c>
      <c r="L1826" s="7" t="str">
        <f>"H29.10.01"</f>
        <v>H29.10.01</v>
      </c>
      <c r="M1826" s="7">
        <v>7030.52</v>
      </c>
      <c r="N1826" s="7">
        <v>1483493407</v>
      </c>
      <c r="O1826" s="7">
        <v>170970020</v>
      </c>
      <c r="P1826" s="7">
        <v>0</v>
      </c>
      <c r="Q1826" s="7" t="str">
        <f t="shared" si="621"/>
        <v>都市整備部</v>
      </c>
      <c r="R1826" s="7" t="str">
        <f t="shared" si="618"/>
        <v>住宅建築局住宅経営室</v>
      </c>
    </row>
    <row r="1827" spans="1:18" s="1" customFormat="1" x14ac:dyDescent="0.45">
      <c r="A1827" s="7" t="str">
        <f t="shared" si="613"/>
        <v>09940003122</v>
      </c>
      <c r="B1827" s="7" t="str">
        <f t="shared" si="614"/>
        <v>千里高野台（吹田高野台）</v>
      </c>
      <c r="C1827" s="7" t="str">
        <f t="shared" si="619"/>
        <v>行政財産</v>
      </c>
      <c r="D1827" s="7" t="str">
        <f t="shared" si="620"/>
        <v>公営住宅</v>
      </c>
      <c r="E1827" s="7" t="str">
        <f t="shared" si="615"/>
        <v>大阪府吹田市高野台１丁目</v>
      </c>
      <c r="F1827" s="7"/>
      <c r="G1827" s="7" t="str">
        <f t="shared" si="617"/>
        <v>事業用資産</v>
      </c>
      <c r="H1827" s="7" t="str">
        <f t="shared" si="612"/>
        <v>棚卸以外</v>
      </c>
      <c r="I1827" s="7">
        <v>89</v>
      </c>
      <c r="J1827" s="7" t="str">
        <f>"吹田高野台５号棟"</f>
        <v>吹田高野台５号棟</v>
      </c>
      <c r="K1827" s="7" t="str">
        <f t="shared" si="622"/>
        <v>鉄筋コンクリート造</v>
      </c>
      <c r="L1827" s="7" t="str">
        <f>"H29.10.01"</f>
        <v>H29.10.01</v>
      </c>
      <c r="M1827" s="7">
        <v>3558.03</v>
      </c>
      <c r="N1827" s="7">
        <v>596598814</v>
      </c>
      <c r="O1827" s="7">
        <v>68757000</v>
      </c>
      <c r="P1827" s="7">
        <v>0</v>
      </c>
      <c r="Q1827" s="7" t="str">
        <f t="shared" si="621"/>
        <v>都市整備部</v>
      </c>
      <c r="R1827" s="7" t="str">
        <f t="shared" si="618"/>
        <v>住宅建築局住宅経営室</v>
      </c>
    </row>
    <row r="1828" spans="1:18" s="1" customFormat="1" x14ac:dyDescent="0.45">
      <c r="A1828" s="7" t="str">
        <f t="shared" si="613"/>
        <v>09940003122</v>
      </c>
      <c r="B1828" s="7" t="str">
        <f t="shared" si="614"/>
        <v>千里高野台（吹田高野台）</v>
      </c>
      <c r="C1828" s="7" t="str">
        <f t="shared" si="619"/>
        <v>行政財産</v>
      </c>
      <c r="D1828" s="7" t="str">
        <f t="shared" si="620"/>
        <v>公営住宅</v>
      </c>
      <c r="E1828" s="7" t="str">
        <f t="shared" si="615"/>
        <v>大阪府吹田市高野台１丁目</v>
      </c>
      <c r="F1828" s="7"/>
      <c r="G1828" s="7" t="str">
        <f t="shared" si="617"/>
        <v>事業用資産</v>
      </c>
      <c r="H1828" s="7" t="str">
        <f t="shared" si="612"/>
        <v>棚卸以外</v>
      </c>
      <c r="I1828" s="7">
        <v>91</v>
      </c>
      <c r="J1828" s="7" t="str">
        <f>"吹田高野台ゴミ置場・ポンプ室"</f>
        <v>吹田高野台ゴミ置場・ポンプ室</v>
      </c>
      <c r="K1828" s="7" t="str">
        <f t="shared" si="622"/>
        <v>鉄筋コンクリート造</v>
      </c>
      <c r="L1828" s="7" t="str">
        <f>"H29.10.01"</f>
        <v>H29.10.01</v>
      </c>
      <c r="M1828" s="7">
        <v>53.55</v>
      </c>
      <c r="N1828" s="7">
        <v>18870904</v>
      </c>
      <c r="O1828" s="7">
        <v>2174900</v>
      </c>
      <c r="P1828" s="7">
        <v>0</v>
      </c>
      <c r="Q1828" s="7" t="str">
        <f t="shared" si="621"/>
        <v>都市整備部</v>
      </c>
      <c r="R1828" s="7" t="str">
        <f t="shared" si="618"/>
        <v>住宅建築局住宅経営室</v>
      </c>
    </row>
    <row r="1829" spans="1:18" s="1" customFormat="1" x14ac:dyDescent="0.45">
      <c r="A1829" s="7" t="str">
        <f t="shared" si="613"/>
        <v>09940003122</v>
      </c>
      <c r="B1829" s="7" t="str">
        <f t="shared" si="614"/>
        <v>千里高野台（吹田高野台）</v>
      </c>
      <c r="C1829" s="7" t="str">
        <f t="shared" si="619"/>
        <v>行政財産</v>
      </c>
      <c r="D1829" s="7" t="str">
        <f t="shared" si="620"/>
        <v>公営住宅</v>
      </c>
      <c r="E1829" s="7" t="str">
        <f t="shared" si="615"/>
        <v>大阪府吹田市高野台１丁目</v>
      </c>
      <c r="F1829" s="7"/>
      <c r="G1829" s="7" t="str">
        <f t="shared" si="617"/>
        <v>事業用資産</v>
      </c>
      <c r="H1829" s="7" t="str">
        <f t="shared" si="612"/>
        <v>棚卸以外</v>
      </c>
      <c r="I1829" s="7">
        <v>92</v>
      </c>
      <c r="J1829" s="7" t="str">
        <f>"吹田高野台ゴミ置場"</f>
        <v>吹田高野台ゴミ置場</v>
      </c>
      <c r="K1829" s="7" t="str">
        <f t="shared" si="622"/>
        <v>鉄筋コンクリート造</v>
      </c>
      <c r="L1829" s="7" t="str">
        <f>"H29.10.01"</f>
        <v>H29.10.01</v>
      </c>
      <c r="M1829" s="7">
        <v>18.75</v>
      </c>
      <c r="N1829" s="7">
        <v>3778655</v>
      </c>
      <c r="O1829" s="7">
        <v>435500</v>
      </c>
      <c r="P1829" s="7">
        <v>0</v>
      </c>
      <c r="Q1829" s="7" t="str">
        <f t="shared" si="621"/>
        <v>都市整備部</v>
      </c>
      <c r="R1829" s="7" t="str">
        <f t="shared" si="618"/>
        <v>住宅建築局住宅経営室</v>
      </c>
    </row>
    <row r="1830" spans="1:18" s="1" customFormat="1" x14ac:dyDescent="0.45">
      <c r="A1830" s="7" t="str">
        <f t="shared" si="613"/>
        <v>09940003122</v>
      </c>
      <c r="B1830" s="7" t="str">
        <f t="shared" si="614"/>
        <v>千里高野台（吹田高野台）</v>
      </c>
      <c r="C1830" s="7" t="str">
        <f t="shared" si="619"/>
        <v>行政財産</v>
      </c>
      <c r="D1830" s="7" t="str">
        <f t="shared" si="620"/>
        <v>公営住宅</v>
      </c>
      <c r="E1830" s="7" t="str">
        <f t="shared" si="615"/>
        <v>大阪府吹田市高野台１丁目</v>
      </c>
      <c r="F1830" s="7"/>
      <c r="G1830" s="7" t="str">
        <f t="shared" si="617"/>
        <v>事業用資産</v>
      </c>
      <c r="H1830" s="7" t="str">
        <f t="shared" si="612"/>
        <v>棚卸以外</v>
      </c>
      <c r="I1830" s="7">
        <v>93</v>
      </c>
      <c r="J1830" s="7" t="str">
        <f>"吹田高野台電気室"</f>
        <v>吹田高野台電気室</v>
      </c>
      <c r="K1830" s="7" t="str">
        <f t="shared" si="622"/>
        <v>鉄筋コンクリート造</v>
      </c>
      <c r="L1830" s="7" t="str">
        <f>"H29.10.01"</f>
        <v>H29.10.01</v>
      </c>
      <c r="M1830" s="7">
        <v>61.36</v>
      </c>
      <c r="N1830" s="7">
        <v>24840348</v>
      </c>
      <c r="O1830" s="7">
        <v>2862860</v>
      </c>
      <c r="P1830" s="7">
        <v>0</v>
      </c>
      <c r="Q1830" s="7" t="str">
        <f t="shared" si="621"/>
        <v>都市整備部</v>
      </c>
      <c r="R1830" s="7" t="str">
        <f t="shared" si="618"/>
        <v>住宅建築局住宅経営室</v>
      </c>
    </row>
    <row r="1831" spans="1:18" s="1" customFormat="1" x14ac:dyDescent="0.45">
      <c r="A1831" s="7" t="str">
        <f t="shared" si="613"/>
        <v>09940003122</v>
      </c>
      <c r="B1831" s="7" t="str">
        <f t="shared" si="614"/>
        <v>千里高野台（吹田高野台）</v>
      </c>
      <c r="C1831" s="7" t="str">
        <f t="shared" si="619"/>
        <v>行政財産</v>
      </c>
      <c r="D1831" s="7" t="str">
        <f t="shared" si="620"/>
        <v>公営住宅</v>
      </c>
      <c r="E1831" s="7" t="str">
        <f t="shared" si="615"/>
        <v>大阪府吹田市高野台１丁目</v>
      </c>
      <c r="F1831" s="7"/>
      <c r="G1831" s="7" t="str">
        <f t="shared" si="617"/>
        <v>事業用資産</v>
      </c>
      <c r="H1831" s="7" t="str">
        <f t="shared" si="612"/>
        <v>棚卸以外</v>
      </c>
      <c r="I1831" s="7">
        <v>94</v>
      </c>
      <c r="J1831" s="7" t="str">
        <f>"吹田高野台 １号棟"</f>
        <v>吹田高野台 １号棟</v>
      </c>
      <c r="K1831" s="7" t="str">
        <f t="shared" si="622"/>
        <v>鉄筋コンクリート造</v>
      </c>
      <c r="L1831" s="7" t="str">
        <f>"H30.12.01"</f>
        <v>H30.12.01</v>
      </c>
      <c r="M1831" s="7">
        <v>4417.3599999999997</v>
      </c>
      <c r="N1831" s="7">
        <v>802844872</v>
      </c>
      <c r="O1831" s="7">
        <v>72597684</v>
      </c>
      <c r="P1831" s="7">
        <v>0</v>
      </c>
      <c r="Q1831" s="7" t="str">
        <f t="shared" si="621"/>
        <v>都市整備部</v>
      </c>
      <c r="R1831" s="7" t="str">
        <f t="shared" si="618"/>
        <v>住宅建築局住宅経営室</v>
      </c>
    </row>
    <row r="1832" spans="1:18" s="1" customFormat="1" x14ac:dyDescent="0.45">
      <c r="A1832" s="7" t="str">
        <f t="shared" si="613"/>
        <v>09940003122</v>
      </c>
      <c r="B1832" s="7" t="str">
        <f t="shared" si="614"/>
        <v>千里高野台（吹田高野台）</v>
      </c>
      <c r="C1832" s="7" t="str">
        <f t="shared" si="619"/>
        <v>行政財産</v>
      </c>
      <c r="D1832" s="7" t="str">
        <f t="shared" si="620"/>
        <v>公営住宅</v>
      </c>
      <c r="E1832" s="7" t="str">
        <f t="shared" si="615"/>
        <v>大阪府吹田市高野台１丁目</v>
      </c>
      <c r="F1832" s="7"/>
      <c r="G1832" s="7" t="str">
        <f t="shared" si="617"/>
        <v>事業用資産</v>
      </c>
      <c r="H1832" s="7" t="str">
        <f t="shared" si="612"/>
        <v>棚卸以外</v>
      </c>
      <c r="I1832" s="7">
        <v>95</v>
      </c>
      <c r="J1832" s="7" t="str">
        <f>"吹田高野台 ２号棟"</f>
        <v>吹田高野台 ２号棟</v>
      </c>
      <c r="K1832" s="7" t="str">
        <f t="shared" si="622"/>
        <v>鉄筋コンクリート造</v>
      </c>
      <c r="L1832" s="7" t="str">
        <f>"H30.12.01"</f>
        <v>H30.12.01</v>
      </c>
      <c r="M1832" s="7">
        <v>6268.68</v>
      </c>
      <c r="N1832" s="7">
        <v>1069876407</v>
      </c>
      <c r="O1832" s="7">
        <v>96744144</v>
      </c>
      <c r="P1832" s="7">
        <v>0</v>
      </c>
      <c r="Q1832" s="7" t="str">
        <f t="shared" si="621"/>
        <v>都市整備部</v>
      </c>
      <c r="R1832" s="7" t="str">
        <f t="shared" si="618"/>
        <v>住宅建築局住宅経営室</v>
      </c>
    </row>
    <row r="1833" spans="1:18" s="1" customFormat="1" x14ac:dyDescent="0.45">
      <c r="A1833" s="7" t="str">
        <f t="shared" si="613"/>
        <v>09940003122</v>
      </c>
      <c r="B1833" s="7" t="str">
        <f t="shared" si="614"/>
        <v>千里高野台（吹田高野台）</v>
      </c>
      <c r="C1833" s="7" t="str">
        <f t="shared" si="619"/>
        <v>行政財産</v>
      </c>
      <c r="D1833" s="7" t="str">
        <f t="shared" si="620"/>
        <v>公営住宅</v>
      </c>
      <c r="E1833" s="7" t="str">
        <f t="shared" si="615"/>
        <v>大阪府吹田市高野台１丁目</v>
      </c>
      <c r="F1833" s="7"/>
      <c r="G1833" s="7" t="str">
        <f t="shared" si="617"/>
        <v>事業用資産</v>
      </c>
      <c r="H1833" s="7" t="str">
        <f t="shared" si="612"/>
        <v>棚卸以外</v>
      </c>
      <c r="I1833" s="7">
        <v>96</v>
      </c>
      <c r="J1833" s="7" t="str">
        <f>"ブースターポンプ室（３棟）"</f>
        <v>ブースターポンプ室（３棟）</v>
      </c>
      <c r="K1833" s="7" t="str">
        <f t="shared" si="622"/>
        <v>鉄筋コンクリート造</v>
      </c>
      <c r="L1833" s="7" t="str">
        <f>"H30.12.01"</f>
        <v>H30.12.01</v>
      </c>
      <c r="M1833" s="7">
        <v>6.06</v>
      </c>
      <c r="N1833" s="7">
        <v>17074356</v>
      </c>
      <c r="O1833" s="7">
        <v>1543974</v>
      </c>
      <c r="P1833" s="7">
        <v>0</v>
      </c>
      <c r="Q1833" s="7" t="str">
        <f t="shared" si="621"/>
        <v>都市整備部</v>
      </c>
      <c r="R1833" s="7" t="str">
        <f t="shared" si="618"/>
        <v>住宅建築局住宅経営室</v>
      </c>
    </row>
    <row r="1834" spans="1:18" s="1" customFormat="1" x14ac:dyDescent="0.45">
      <c r="A1834" s="7" t="str">
        <f t="shared" si="613"/>
        <v>09940003122</v>
      </c>
      <c r="B1834" s="7" t="str">
        <f t="shared" si="614"/>
        <v>千里高野台（吹田高野台）</v>
      </c>
      <c r="C1834" s="7" t="str">
        <f t="shared" si="619"/>
        <v>行政財産</v>
      </c>
      <c r="D1834" s="7" t="str">
        <f t="shared" si="620"/>
        <v>公営住宅</v>
      </c>
      <c r="E1834" s="7" t="str">
        <f t="shared" si="615"/>
        <v>大阪府吹田市高野台１丁目</v>
      </c>
      <c r="F1834" s="7"/>
      <c r="G1834" s="7" t="str">
        <f t="shared" si="617"/>
        <v>事業用資産</v>
      </c>
      <c r="H1834" s="7" t="str">
        <f t="shared" si="612"/>
        <v>棚卸以外</v>
      </c>
      <c r="I1834" s="7">
        <v>97</v>
      </c>
      <c r="J1834" s="7" t="str">
        <f>"吹田高野台　６号棟"</f>
        <v>吹田高野台　６号棟</v>
      </c>
      <c r="K1834" s="7" t="str">
        <f t="shared" si="622"/>
        <v>鉄筋コンクリート造</v>
      </c>
      <c r="L1834" s="7" t="str">
        <f>"R03.02.01"</f>
        <v>R03.02.01</v>
      </c>
      <c r="M1834" s="7">
        <v>10895.47</v>
      </c>
      <c r="N1834" s="7">
        <v>2512175893</v>
      </c>
      <c r="O1834" s="7">
        <v>111355325</v>
      </c>
      <c r="P1834" s="7">
        <v>0</v>
      </c>
      <c r="Q1834" s="7" t="str">
        <f t="shared" si="621"/>
        <v>都市整備部</v>
      </c>
      <c r="R1834" s="7" t="str">
        <f t="shared" si="618"/>
        <v>住宅建築局住宅経営室</v>
      </c>
    </row>
    <row r="1835" spans="1:18" s="1" customFormat="1" x14ac:dyDescent="0.45">
      <c r="A1835" s="7" t="str">
        <f t="shared" si="613"/>
        <v>09940003122</v>
      </c>
      <c r="B1835" s="7" t="str">
        <f t="shared" si="614"/>
        <v>千里高野台（吹田高野台）</v>
      </c>
      <c r="C1835" s="7" t="str">
        <f t="shared" si="619"/>
        <v>行政財産</v>
      </c>
      <c r="D1835" s="7" t="str">
        <f t="shared" si="620"/>
        <v>公営住宅</v>
      </c>
      <c r="E1835" s="7" t="str">
        <f t="shared" si="615"/>
        <v>大阪府吹田市高野台１丁目</v>
      </c>
      <c r="F1835" s="7"/>
      <c r="G1835" s="7" t="str">
        <f t="shared" si="617"/>
        <v>事業用資産</v>
      </c>
      <c r="H1835" s="7" t="str">
        <f t="shared" si="612"/>
        <v>棚卸以外</v>
      </c>
      <c r="I1835" s="7">
        <v>98</v>
      </c>
      <c r="J1835" s="7" t="str">
        <f>"集会所（６号棟）"</f>
        <v>集会所（６号棟）</v>
      </c>
      <c r="K1835" s="7" t="str">
        <f t="shared" si="622"/>
        <v>鉄筋コンクリート造</v>
      </c>
      <c r="L1835" s="7" t="str">
        <f>"R03.02.01"</f>
        <v>R03.02.01</v>
      </c>
      <c r="M1835" s="7">
        <v>237.57</v>
      </c>
      <c r="N1835" s="7">
        <v>82710344</v>
      </c>
      <c r="O1835" s="7">
        <v>3666250</v>
      </c>
      <c r="P1835" s="7">
        <v>0</v>
      </c>
      <c r="Q1835" s="7" t="str">
        <f t="shared" si="621"/>
        <v>都市整備部</v>
      </c>
      <c r="R1835" s="7" t="str">
        <f t="shared" si="618"/>
        <v>住宅建築局住宅経営室</v>
      </c>
    </row>
    <row r="1836" spans="1:18" s="1" customFormat="1" x14ac:dyDescent="0.45">
      <c r="A1836" s="7" t="str">
        <f t="shared" si="613"/>
        <v>09940003122</v>
      </c>
      <c r="B1836" s="7" t="str">
        <f t="shared" si="614"/>
        <v>千里高野台（吹田高野台）</v>
      </c>
      <c r="C1836" s="7" t="str">
        <f t="shared" si="619"/>
        <v>行政財産</v>
      </c>
      <c r="D1836" s="7" t="str">
        <f t="shared" si="620"/>
        <v>公営住宅</v>
      </c>
      <c r="E1836" s="7" t="str">
        <f t="shared" si="615"/>
        <v>大阪府吹田市高野台１丁目</v>
      </c>
      <c r="F1836" s="7"/>
      <c r="G1836" s="7" t="str">
        <f t="shared" si="617"/>
        <v>事業用資産</v>
      </c>
      <c r="H1836" s="7" t="str">
        <f t="shared" si="612"/>
        <v>棚卸以外</v>
      </c>
      <c r="I1836" s="7">
        <v>99</v>
      </c>
      <c r="J1836" s="7" t="str">
        <f>"電気室（６号棟）"</f>
        <v>電気室（６号棟）</v>
      </c>
      <c r="K1836" s="7" t="str">
        <f t="shared" si="622"/>
        <v>鉄筋コンクリート造</v>
      </c>
      <c r="L1836" s="7" t="str">
        <f>"R03.02.01"</f>
        <v>R03.02.01</v>
      </c>
      <c r="M1836" s="7">
        <v>40.229999999999997</v>
      </c>
      <c r="N1836" s="7">
        <v>33519205</v>
      </c>
      <c r="O1836" s="7">
        <v>1485800</v>
      </c>
      <c r="P1836" s="7">
        <v>0</v>
      </c>
      <c r="Q1836" s="7" t="str">
        <f t="shared" si="621"/>
        <v>都市整備部</v>
      </c>
      <c r="R1836" s="7" t="str">
        <f t="shared" si="618"/>
        <v>住宅建築局住宅経営室</v>
      </c>
    </row>
    <row r="1837" spans="1:18" s="1" customFormat="1" x14ac:dyDescent="0.45">
      <c r="A1837" s="7" t="str">
        <f t="shared" si="613"/>
        <v>09940003122</v>
      </c>
      <c r="B1837" s="7" t="str">
        <f t="shared" si="614"/>
        <v>千里高野台（吹田高野台）</v>
      </c>
      <c r="C1837" s="7" t="str">
        <f t="shared" si="619"/>
        <v>行政財産</v>
      </c>
      <c r="D1837" s="7" t="str">
        <f t="shared" si="620"/>
        <v>公営住宅</v>
      </c>
      <c r="E1837" s="7" t="str">
        <f t="shared" si="615"/>
        <v>大阪府吹田市高野台１丁目</v>
      </c>
      <c r="F1837" s="7"/>
      <c r="G1837" s="7" t="str">
        <f t="shared" si="617"/>
        <v>事業用資産</v>
      </c>
      <c r="H1837" s="7" t="str">
        <f t="shared" si="612"/>
        <v>棚卸以外</v>
      </c>
      <c r="I1837" s="7">
        <v>100</v>
      </c>
      <c r="J1837" s="7" t="str">
        <f>"ポンプ室（６号棟）"</f>
        <v>ポンプ室（６号棟）</v>
      </c>
      <c r="K1837" s="7" t="str">
        <f t="shared" si="622"/>
        <v>鉄筋コンクリート造</v>
      </c>
      <c r="L1837" s="7" t="str">
        <f>"R03.02.01"</f>
        <v>R03.02.01</v>
      </c>
      <c r="M1837" s="7">
        <v>2.75</v>
      </c>
      <c r="N1837" s="7">
        <v>16705777</v>
      </c>
      <c r="O1837" s="7">
        <v>740525</v>
      </c>
      <c r="P1837" s="7">
        <v>0</v>
      </c>
      <c r="Q1837" s="7" t="str">
        <f t="shared" si="621"/>
        <v>都市整備部</v>
      </c>
      <c r="R1837" s="7" t="str">
        <f t="shared" si="618"/>
        <v>住宅建築局住宅経営室</v>
      </c>
    </row>
    <row r="1838" spans="1:18" s="1" customFormat="1" x14ac:dyDescent="0.45">
      <c r="A1838" s="7" t="str">
        <f t="shared" ref="A1838:A1844" si="623">"09940003123"</f>
        <v>09940003123</v>
      </c>
      <c r="B1838" s="7" t="str">
        <f t="shared" ref="B1838:B1844" si="624">"御池台２丁"</f>
        <v>御池台２丁</v>
      </c>
      <c r="C1838" s="7" t="str">
        <f t="shared" si="619"/>
        <v>行政財産</v>
      </c>
      <c r="D1838" s="7" t="str">
        <f t="shared" si="620"/>
        <v>公営住宅</v>
      </c>
      <c r="E1838" s="7" t="str">
        <f t="shared" ref="E1838:E1844" si="625">"大阪府堺市　南区御池台２丁"</f>
        <v>大阪府堺市　南区御池台２丁</v>
      </c>
      <c r="F1838" s="7"/>
      <c r="G1838" s="7" t="str">
        <f t="shared" si="617"/>
        <v>事業用資産</v>
      </c>
      <c r="H1838" s="7" t="str">
        <f t="shared" si="612"/>
        <v>棚卸以外</v>
      </c>
      <c r="I1838" s="7">
        <v>1</v>
      </c>
      <c r="J1838" s="7" t="str">
        <f>"１号棟"</f>
        <v>１号棟</v>
      </c>
      <c r="K1838" s="7" t="str">
        <f t="shared" si="622"/>
        <v>鉄筋コンクリート造</v>
      </c>
      <c r="L1838" s="7" t="str">
        <f t="shared" ref="L1838:L1844" si="626">"S55.03.26"</f>
        <v>S55.03.26</v>
      </c>
      <c r="M1838" s="7">
        <v>1939.5</v>
      </c>
      <c r="N1838" s="7">
        <v>128057000</v>
      </c>
      <c r="O1838" s="7">
        <v>117158832</v>
      </c>
      <c r="P1838" s="7">
        <v>0</v>
      </c>
      <c r="Q1838" s="7" t="str">
        <f t="shared" si="621"/>
        <v>都市整備部</v>
      </c>
      <c r="R1838" s="7" t="str">
        <f t="shared" si="618"/>
        <v>住宅建築局住宅経営室</v>
      </c>
    </row>
    <row r="1839" spans="1:18" s="1" customFormat="1" x14ac:dyDescent="0.45">
      <c r="A1839" s="7" t="str">
        <f t="shared" si="623"/>
        <v>09940003123</v>
      </c>
      <c r="B1839" s="7" t="str">
        <f t="shared" si="624"/>
        <v>御池台２丁</v>
      </c>
      <c r="C1839" s="7" t="str">
        <f t="shared" si="619"/>
        <v>行政財産</v>
      </c>
      <c r="D1839" s="7" t="str">
        <f t="shared" si="620"/>
        <v>公営住宅</v>
      </c>
      <c r="E1839" s="7" t="str">
        <f t="shared" si="625"/>
        <v>大阪府堺市　南区御池台２丁</v>
      </c>
      <c r="F1839" s="7"/>
      <c r="G1839" s="7" t="str">
        <f t="shared" si="617"/>
        <v>事業用資産</v>
      </c>
      <c r="H1839" s="7" t="str">
        <f t="shared" si="612"/>
        <v>棚卸以外</v>
      </c>
      <c r="I1839" s="7">
        <v>2</v>
      </c>
      <c r="J1839" s="7" t="str">
        <f>"２号棟"</f>
        <v>２号棟</v>
      </c>
      <c r="K1839" s="7" t="str">
        <f t="shared" si="622"/>
        <v>鉄筋コンクリート造</v>
      </c>
      <c r="L1839" s="7" t="str">
        <f t="shared" si="626"/>
        <v>S55.03.26</v>
      </c>
      <c r="M1839" s="7">
        <v>1978.29</v>
      </c>
      <c r="N1839" s="7">
        <v>236401101</v>
      </c>
      <c r="O1839" s="7">
        <v>117350932</v>
      </c>
      <c r="P1839" s="7">
        <v>0</v>
      </c>
      <c r="Q1839" s="7" t="str">
        <f t="shared" si="621"/>
        <v>都市整備部</v>
      </c>
      <c r="R1839" s="7" t="str">
        <f t="shared" si="618"/>
        <v>住宅建築局住宅経営室</v>
      </c>
    </row>
    <row r="1840" spans="1:18" s="1" customFormat="1" x14ac:dyDescent="0.45">
      <c r="A1840" s="7" t="str">
        <f t="shared" si="623"/>
        <v>09940003123</v>
      </c>
      <c r="B1840" s="7" t="str">
        <f t="shared" si="624"/>
        <v>御池台２丁</v>
      </c>
      <c r="C1840" s="7" t="str">
        <f t="shared" si="619"/>
        <v>行政財産</v>
      </c>
      <c r="D1840" s="7" t="str">
        <f t="shared" si="620"/>
        <v>公営住宅</v>
      </c>
      <c r="E1840" s="7" t="str">
        <f t="shared" si="625"/>
        <v>大阪府堺市　南区御池台２丁</v>
      </c>
      <c r="F1840" s="7"/>
      <c r="G1840" s="7" t="str">
        <f t="shared" si="617"/>
        <v>事業用資産</v>
      </c>
      <c r="H1840" s="7" t="str">
        <f t="shared" si="612"/>
        <v>棚卸以外</v>
      </c>
      <c r="I1840" s="7">
        <v>3</v>
      </c>
      <c r="J1840" s="7" t="str">
        <f>"３号棟"</f>
        <v>３号棟</v>
      </c>
      <c r="K1840" s="7" t="str">
        <f t="shared" si="622"/>
        <v>鉄筋コンクリート造</v>
      </c>
      <c r="L1840" s="7" t="str">
        <f t="shared" si="626"/>
        <v>S55.03.26</v>
      </c>
      <c r="M1840" s="7">
        <v>1978.29</v>
      </c>
      <c r="N1840" s="7">
        <v>236401101</v>
      </c>
      <c r="O1840" s="7">
        <v>117350932</v>
      </c>
      <c r="P1840" s="7">
        <v>0</v>
      </c>
      <c r="Q1840" s="7" t="str">
        <f t="shared" si="621"/>
        <v>都市整備部</v>
      </c>
      <c r="R1840" s="7" t="str">
        <f t="shared" si="618"/>
        <v>住宅建築局住宅経営室</v>
      </c>
    </row>
    <row r="1841" spans="1:18" s="1" customFormat="1" x14ac:dyDescent="0.45">
      <c r="A1841" s="7" t="str">
        <f t="shared" si="623"/>
        <v>09940003123</v>
      </c>
      <c r="B1841" s="7" t="str">
        <f t="shared" si="624"/>
        <v>御池台２丁</v>
      </c>
      <c r="C1841" s="7" t="str">
        <f t="shared" si="619"/>
        <v>行政財産</v>
      </c>
      <c r="D1841" s="7" t="str">
        <f t="shared" si="620"/>
        <v>公営住宅</v>
      </c>
      <c r="E1841" s="7" t="str">
        <f t="shared" si="625"/>
        <v>大阪府堺市　南区御池台２丁</v>
      </c>
      <c r="F1841" s="7"/>
      <c r="G1841" s="7" t="str">
        <f t="shared" si="617"/>
        <v>事業用資産</v>
      </c>
      <c r="H1841" s="7" t="str">
        <f t="shared" si="612"/>
        <v>棚卸以外</v>
      </c>
      <c r="I1841" s="7">
        <v>4</v>
      </c>
      <c r="J1841" s="7" t="str">
        <f>"５号棟"</f>
        <v>５号棟</v>
      </c>
      <c r="K1841" s="7" t="str">
        <f t="shared" si="622"/>
        <v>鉄筋コンクリート造</v>
      </c>
      <c r="L1841" s="7" t="str">
        <f t="shared" si="626"/>
        <v>S55.03.26</v>
      </c>
      <c r="M1841" s="7">
        <v>1319.86</v>
      </c>
      <c r="N1841" s="7">
        <v>161179400</v>
      </c>
      <c r="O1841" s="7">
        <v>81507975</v>
      </c>
      <c r="P1841" s="7">
        <v>0</v>
      </c>
      <c r="Q1841" s="7" t="str">
        <f t="shared" si="621"/>
        <v>都市整備部</v>
      </c>
      <c r="R1841" s="7" t="str">
        <f t="shared" si="618"/>
        <v>住宅建築局住宅経営室</v>
      </c>
    </row>
    <row r="1842" spans="1:18" s="1" customFormat="1" x14ac:dyDescent="0.45">
      <c r="A1842" s="7" t="str">
        <f t="shared" si="623"/>
        <v>09940003123</v>
      </c>
      <c r="B1842" s="7" t="str">
        <f t="shared" si="624"/>
        <v>御池台２丁</v>
      </c>
      <c r="C1842" s="7" t="str">
        <f t="shared" si="619"/>
        <v>行政財産</v>
      </c>
      <c r="D1842" s="7" t="str">
        <f t="shared" si="620"/>
        <v>公営住宅</v>
      </c>
      <c r="E1842" s="7" t="str">
        <f t="shared" si="625"/>
        <v>大阪府堺市　南区御池台２丁</v>
      </c>
      <c r="F1842" s="7"/>
      <c r="G1842" s="7" t="str">
        <f t="shared" si="617"/>
        <v>事業用資産</v>
      </c>
      <c r="H1842" s="7" t="str">
        <f t="shared" si="612"/>
        <v>棚卸以外</v>
      </c>
      <c r="I1842" s="7">
        <v>5</v>
      </c>
      <c r="J1842" s="7" t="str">
        <f>"６号棟"</f>
        <v>６号棟</v>
      </c>
      <c r="K1842" s="7" t="str">
        <f t="shared" si="622"/>
        <v>鉄筋コンクリート造</v>
      </c>
      <c r="L1842" s="7" t="str">
        <f t="shared" si="626"/>
        <v>S55.03.26</v>
      </c>
      <c r="M1842" s="7">
        <v>1950.85</v>
      </c>
      <c r="N1842" s="7">
        <v>136516000</v>
      </c>
      <c r="O1842" s="7">
        <v>124897800</v>
      </c>
      <c r="P1842" s="7">
        <v>0</v>
      </c>
      <c r="Q1842" s="7" t="str">
        <f t="shared" si="621"/>
        <v>都市整備部</v>
      </c>
      <c r="R1842" s="7" t="str">
        <f t="shared" si="618"/>
        <v>住宅建築局住宅経営室</v>
      </c>
    </row>
    <row r="1843" spans="1:18" s="1" customFormat="1" x14ac:dyDescent="0.45">
      <c r="A1843" s="7" t="str">
        <f t="shared" si="623"/>
        <v>09940003123</v>
      </c>
      <c r="B1843" s="7" t="str">
        <f t="shared" si="624"/>
        <v>御池台２丁</v>
      </c>
      <c r="C1843" s="7" t="str">
        <f t="shared" si="619"/>
        <v>行政財産</v>
      </c>
      <c r="D1843" s="7" t="str">
        <f t="shared" si="620"/>
        <v>公営住宅</v>
      </c>
      <c r="E1843" s="7" t="str">
        <f t="shared" si="625"/>
        <v>大阪府堺市　南区御池台２丁</v>
      </c>
      <c r="F1843" s="7"/>
      <c r="G1843" s="7" t="str">
        <f t="shared" si="617"/>
        <v>事業用資産</v>
      </c>
      <c r="H1843" s="7" t="str">
        <f t="shared" si="612"/>
        <v>棚卸以外</v>
      </c>
      <c r="I1843" s="7">
        <v>6</v>
      </c>
      <c r="J1843" s="7" t="str">
        <f>"７号棟"</f>
        <v>７号棟</v>
      </c>
      <c r="K1843" s="7" t="str">
        <f t="shared" si="622"/>
        <v>鉄筋コンクリート造</v>
      </c>
      <c r="L1843" s="7" t="str">
        <f t="shared" si="626"/>
        <v>S55.03.26</v>
      </c>
      <c r="M1843" s="7">
        <v>1950.85</v>
      </c>
      <c r="N1843" s="7">
        <v>136516000</v>
      </c>
      <c r="O1843" s="7">
        <v>124897800</v>
      </c>
      <c r="P1843" s="7">
        <v>0</v>
      </c>
      <c r="Q1843" s="7" t="str">
        <f t="shared" si="621"/>
        <v>都市整備部</v>
      </c>
      <c r="R1843" s="7" t="str">
        <f t="shared" si="618"/>
        <v>住宅建築局住宅経営室</v>
      </c>
    </row>
    <row r="1844" spans="1:18" s="1" customFormat="1" x14ac:dyDescent="0.45">
      <c r="A1844" s="7" t="str">
        <f t="shared" si="623"/>
        <v>09940003123</v>
      </c>
      <c r="B1844" s="7" t="str">
        <f t="shared" si="624"/>
        <v>御池台２丁</v>
      </c>
      <c r="C1844" s="7" t="str">
        <f t="shared" si="619"/>
        <v>行政財産</v>
      </c>
      <c r="D1844" s="7" t="str">
        <f t="shared" si="620"/>
        <v>公営住宅</v>
      </c>
      <c r="E1844" s="7" t="str">
        <f t="shared" si="625"/>
        <v>大阪府堺市　南区御池台２丁</v>
      </c>
      <c r="F1844" s="7"/>
      <c r="G1844" s="7" t="str">
        <f t="shared" si="617"/>
        <v>事業用資産</v>
      </c>
      <c r="H1844" s="7" t="str">
        <f t="shared" si="612"/>
        <v>棚卸以外</v>
      </c>
      <c r="I1844" s="7">
        <v>7</v>
      </c>
      <c r="J1844" s="7" t="str">
        <f>"集会所"</f>
        <v>集会所</v>
      </c>
      <c r="K1844" s="7" t="str">
        <f t="shared" si="622"/>
        <v>鉄筋コンクリート造</v>
      </c>
      <c r="L1844" s="7" t="str">
        <f t="shared" si="626"/>
        <v>S55.03.26</v>
      </c>
      <c r="M1844" s="7">
        <v>120</v>
      </c>
      <c r="N1844" s="7">
        <v>11717000</v>
      </c>
      <c r="O1844" s="7">
        <v>10719900</v>
      </c>
      <c r="P1844" s="7">
        <v>0</v>
      </c>
      <c r="Q1844" s="7" t="str">
        <f t="shared" si="621"/>
        <v>都市整備部</v>
      </c>
      <c r="R1844" s="7" t="str">
        <f t="shared" si="618"/>
        <v>住宅建築局住宅経営室</v>
      </c>
    </row>
    <row r="1845" spans="1:18" s="1" customFormat="1" x14ac:dyDescent="0.45">
      <c r="A1845" s="7" t="str">
        <f t="shared" ref="A1845:A1861" si="627">"09940003124"</f>
        <v>09940003124</v>
      </c>
      <c r="B1845" s="7" t="str">
        <f t="shared" ref="B1845:B1861" si="628">"鴨谷台１丁"</f>
        <v>鴨谷台１丁</v>
      </c>
      <c r="C1845" s="7" t="str">
        <f t="shared" si="619"/>
        <v>行政財産</v>
      </c>
      <c r="D1845" s="7" t="str">
        <f t="shared" si="620"/>
        <v>公営住宅</v>
      </c>
      <c r="E1845" s="7" t="str">
        <f t="shared" ref="E1845:E1861" si="629">"大阪府堺市　南区鴨谷台１丁"</f>
        <v>大阪府堺市　南区鴨谷台１丁</v>
      </c>
      <c r="F1845" s="7"/>
      <c r="G1845" s="7" t="str">
        <f t="shared" si="617"/>
        <v>事業用資産</v>
      </c>
      <c r="H1845" s="7" t="str">
        <f t="shared" si="612"/>
        <v>棚卸以外</v>
      </c>
      <c r="I1845" s="7">
        <v>1</v>
      </c>
      <c r="J1845" s="7" t="str">
        <f>"１１号棟"</f>
        <v>１１号棟</v>
      </c>
      <c r="K1845" s="7" t="str">
        <f t="shared" si="622"/>
        <v>鉄筋コンクリート造</v>
      </c>
      <c r="L1845" s="7" t="str">
        <f t="shared" ref="L1845:L1850" si="630">"S56.03.27"</f>
        <v>S56.03.27</v>
      </c>
      <c r="M1845" s="7">
        <v>1472.07</v>
      </c>
      <c r="N1845" s="7">
        <v>115939000</v>
      </c>
      <c r="O1845" s="7">
        <v>103605264</v>
      </c>
      <c r="P1845" s="7">
        <v>0</v>
      </c>
      <c r="Q1845" s="7" t="str">
        <f t="shared" si="621"/>
        <v>都市整備部</v>
      </c>
      <c r="R1845" s="7" t="str">
        <f t="shared" si="618"/>
        <v>住宅建築局住宅経営室</v>
      </c>
    </row>
    <row r="1846" spans="1:18" s="1" customFormat="1" x14ac:dyDescent="0.45">
      <c r="A1846" s="7" t="str">
        <f t="shared" si="627"/>
        <v>09940003124</v>
      </c>
      <c r="B1846" s="7" t="str">
        <f t="shared" si="628"/>
        <v>鴨谷台１丁</v>
      </c>
      <c r="C1846" s="7" t="str">
        <f t="shared" si="619"/>
        <v>行政財産</v>
      </c>
      <c r="D1846" s="7" t="str">
        <f t="shared" si="620"/>
        <v>公営住宅</v>
      </c>
      <c r="E1846" s="7" t="str">
        <f t="shared" si="629"/>
        <v>大阪府堺市　南区鴨谷台１丁</v>
      </c>
      <c r="F1846" s="7"/>
      <c r="G1846" s="7" t="str">
        <f t="shared" si="617"/>
        <v>事業用資産</v>
      </c>
      <c r="H1846" s="7" t="str">
        <f t="shared" si="612"/>
        <v>棚卸以外</v>
      </c>
      <c r="I1846" s="7">
        <v>2</v>
      </c>
      <c r="J1846" s="7" t="str">
        <f>"１７号棟"</f>
        <v>１７号棟</v>
      </c>
      <c r="K1846" s="7" t="str">
        <f t="shared" si="622"/>
        <v>鉄筋コンクリート造</v>
      </c>
      <c r="L1846" s="7" t="str">
        <f t="shared" si="630"/>
        <v>S56.03.27</v>
      </c>
      <c r="M1846" s="7">
        <v>2208.1</v>
      </c>
      <c r="N1846" s="7">
        <v>183444000</v>
      </c>
      <c r="O1846" s="7">
        <v>163929024</v>
      </c>
      <c r="P1846" s="7">
        <v>0</v>
      </c>
      <c r="Q1846" s="7" t="str">
        <f t="shared" si="621"/>
        <v>都市整備部</v>
      </c>
      <c r="R1846" s="7" t="str">
        <f t="shared" si="618"/>
        <v>住宅建築局住宅経営室</v>
      </c>
    </row>
    <row r="1847" spans="1:18" s="1" customFormat="1" x14ac:dyDescent="0.45">
      <c r="A1847" s="7" t="str">
        <f t="shared" si="627"/>
        <v>09940003124</v>
      </c>
      <c r="B1847" s="7" t="str">
        <f t="shared" si="628"/>
        <v>鴨谷台１丁</v>
      </c>
      <c r="C1847" s="7" t="str">
        <f t="shared" si="619"/>
        <v>行政財産</v>
      </c>
      <c r="D1847" s="7" t="str">
        <f t="shared" si="620"/>
        <v>公営住宅</v>
      </c>
      <c r="E1847" s="7" t="str">
        <f t="shared" si="629"/>
        <v>大阪府堺市　南区鴨谷台１丁</v>
      </c>
      <c r="F1847" s="7"/>
      <c r="G1847" s="7" t="str">
        <f t="shared" si="617"/>
        <v>事業用資産</v>
      </c>
      <c r="H1847" s="7" t="str">
        <f t="shared" si="612"/>
        <v>棚卸以外</v>
      </c>
      <c r="I1847" s="7">
        <v>3</v>
      </c>
      <c r="J1847" s="7" t="str">
        <f>"１５・１６号棟"</f>
        <v>１５・１６号棟</v>
      </c>
      <c r="K1847" s="7" t="str">
        <f t="shared" si="622"/>
        <v>鉄筋コンクリート造</v>
      </c>
      <c r="L1847" s="7" t="str">
        <f t="shared" si="630"/>
        <v>S56.03.27</v>
      </c>
      <c r="M1847" s="7">
        <v>2208.1</v>
      </c>
      <c r="N1847" s="7">
        <v>179388000</v>
      </c>
      <c r="O1847" s="7">
        <v>160304256</v>
      </c>
      <c r="P1847" s="7">
        <v>0</v>
      </c>
      <c r="Q1847" s="7" t="str">
        <f t="shared" si="621"/>
        <v>都市整備部</v>
      </c>
      <c r="R1847" s="7" t="str">
        <f t="shared" si="618"/>
        <v>住宅建築局住宅経営室</v>
      </c>
    </row>
    <row r="1848" spans="1:18" s="1" customFormat="1" x14ac:dyDescent="0.45">
      <c r="A1848" s="7" t="str">
        <f t="shared" si="627"/>
        <v>09940003124</v>
      </c>
      <c r="B1848" s="7" t="str">
        <f t="shared" si="628"/>
        <v>鴨谷台１丁</v>
      </c>
      <c r="C1848" s="7" t="str">
        <f t="shared" si="619"/>
        <v>行政財産</v>
      </c>
      <c r="D1848" s="7" t="str">
        <f t="shared" si="620"/>
        <v>公営住宅</v>
      </c>
      <c r="E1848" s="7" t="str">
        <f t="shared" si="629"/>
        <v>大阪府堺市　南区鴨谷台１丁</v>
      </c>
      <c r="F1848" s="7"/>
      <c r="G1848" s="7" t="str">
        <f t="shared" si="617"/>
        <v>事業用資産</v>
      </c>
      <c r="H1848" s="7" t="str">
        <f t="shared" si="612"/>
        <v>棚卸以外</v>
      </c>
      <c r="I1848" s="7">
        <v>4</v>
      </c>
      <c r="J1848" s="7" t="str">
        <f>"１４号棟"</f>
        <v>１４号棟</v>
      </c>
      <c r="K1848" s="7" t="str">
        <f t="shared" si="622"/>
        <v>鉄筋コンクリート造</v>
      </c>
      <c r="L1848" s="7" t="str">
        <f t="shared" si="630"/>
        <v>S56.03.27</v>
      </c>
      <c r="M1848" s="7">
        <v>1472.07</v>
      </c>
      <c r="N1848" s="7">
        <v>119590000</v>
      </c>
      <c r="O1848" s="7">
        <v>106868160</v>
      </c>
      <c r="P1848" s="7">
        <v>0</v>
      </c>
      <c r="Q1848" s="7" t="str">
        <f t="shared" si="621"/>
        <v>都市整備部</v>
      </c>
      <c r="R1848" s="7" t="str">
        <f t="shared" si="618"/>
        <v>住宅建築局住宅経営室</v>
      </c>
    </row>
    <row r="1849" spans="1:18" s="1" customFormat="1" x14ac:dyDescent="0.45">
      <c r="A1849" s="7" t="str">
        <f t="shared" si="627"/>
        <v>09940003124</v>
      </c>
      <c r="B1849" s="7" t="str">
        <f t="shared" si="628"/>
        <v>鴨谷台１丁</v>
      </c>
      <c r="C1849" s="7" t="str">
        <f t="shared" si="619"/>
        <v>行政財産</v>
      </c>
      <c r="D1849" s="7" t="str">
        <f t="shared" si="620"/>
        <v>公営住宅</v>
      </c>
      <c r="E1849" s="7" t="str">
        <f t="shared" si="629"/>
        <v>大阪府堺市　南区鴨谷台１丁</v>
      </c>
      <c r="F1849" s="7"/>
      <c r="G1849" s="7" t="str">
        <f t="shared" si="617"/>
        <v>事業用資産</v>
      </c>
      <c r="H1849" s="7" t="str">
        <f t="shared" si="612"/>
        <v>棚卸以外</v>
      </c>
      <c r="I1849" s="7">
        <v>5</v>
      </c>
      <c r="J1849" s="7" t="str">
        <f>"１８号棟"</f>
        <v>１８号棟</v>
      </c>
      <c r="K1849" s="7" t="str">
        <f t="shared" si="622"/>
        <v>鉄筋コンクリート造</v>
      </c>
      <c r="L1849" s="7" t="str">
        <f t="shared" si="630"/>
        <v>S56.03.27</v>
      </c>
      <c r="M1849" s="7">
        <v>1472.07</v>
      </c>
      <c r="N1849" s="7">
        <v>113349000</v>
      </c>
      <c r="O1849" s="7">
        <v>101290896</v>
      </c>
      <c r="P1849" s="7">
        <v>0</v>
      </c>
      <c r="Q1849" s="7" t="str">
        <f t="shared" si="621"/>
        <v>都市整備部</v>
      </c>
      <c r="R1849" s="7" t="str">
        <f t="shared" si="618"/>
        <v>住宅建築局住宅経営室</v>
      </c>
    </row>
    <row r="1850" spans="1:18" s="1" customFormat="1" x14ac:dyDescent="0.45">
      <c r="A1850" s="7" t="str">
        <f t="shared" si="627"/>
        <v>09940003124</v>
      </c>
      <c r="B1850" s="7" t="str">
        <f t="shared" si="628"/>
        <v>鴨谷台１丁</v>
      </c>
      <c r="C1850" s="7" t="str">
        <f t="shared" si="619"/>
        <v>行政財産</v>
      </c>
      <c r="D1850" s="7" t="str">
        <f t="shared" si="620"/>
        <v>公営住宅</v>
      </c>
      <c r="E1850" s="7" t="str">
        <f t="shared" si="629"/>
        <v>大阪府堺市　南区鴨谷台１丁</v>
      </c>
      <c r="F1850" s="7"/>
      <c r="G1850" s="7" t="str">
        <f t="shared" si="617"/>
        <v>事業用資産</v>
      </c>
      <c r="H1850" s="7" t="str">
        <f t="shared" si="612"/>
        <v>棚卸以外</v>
      </c>
      <c r="I1850" s="7">
        <v>6</v>
      </c>
      <c r="J1850" s="7" t="str">
        <f>"集会所"</f>
        <v>集会所</v>
      </c>
      <c r="K1850" s="7" t="str">
        <f t="shared" si="622"/>
        <v>鉄筋コンクリート造</v>
      </c>
      <c r="L1850" s="7" t="str">
        <f t="shared" si="630"/>
        <v>S56.03.27</v>
      </c>
      <c r="M1850" s="7">
        <v>128.33000000000001</v>
      </c>
      <c r="N1850" s="7">
        <v>24571926</v>
      </c>
      <c r="O1850" s="7">
        <v>19680336</v>
      </c>
      <c r="P1850" s="7">
        <v>0</v>
      </c>
      <c r="Q1850" s="7" t="str">
        <f t="shared" si="621"/>
        <v>都市整備部</v>
      </c>
      <c r="R1850" s="7" t="str">
        <f t="shared" si="618"/>
        <v>住宅建築局住宅経営室</v>
      </c>
    </row>
    <row r="1851" spans="1:18" s="1" customFormat="1" x14ac:dyDescent="0.45">
      <c r="A1851" s="7" t="str">
        <f t="shared" si="627"/>
        <v>09940003124</v>
      </c>
      <c r="B1851" s="7" t="str">
        <f t="shared" si="628"/>
        <v>鴨谷台１丁</v>
      </c>
      <c r="C1851" s="7" t="str">
        <f t="shared" si="619"/>
        <v>行政財産</v>
      </c>
      <c r="D1851" s="7" t="str">
        <f t="shared" si="620"/>
        <v>公営住宅</v>
      </c>
      <c r="E1851" s="7" t="str">
        <f t="shared" si="629"/>
        <v>大阪府堺市　南区鴨谷台１丁</v>
      </c>
      <c r="F1851" s="7"/>
      <c r="G1851" s="7" t="str">
        <f t="shared" si="617"/>
        <v>事業用資産</v>
      </c>
      <c r="H1851" s="7" t="str">
        <f t="shared" si="612"/>
        <v>棚卸以外</v>
      </c>
      <c r="I1851" s="7">
        <v>7</v>
      </c>
      <c r="J1851" s="7" t="str">
        <f>"８号棟"</f>
        <v>８号棟</v>
      </c>
      <c r="K1851" s="7" t="str">
        <f t="shared" si="622"/>
        <v>鉄筋コンクリート造</v>
      </c>
      <c r="L1851" s="7" t="str">
        <f t="shared" ref="L1851:L1861" si="631">"S59.03.27"</f>
        <v>S59.03.27</v>
      </c>
      <c r="M1851" s="7">
        <v>1472</v>
      </c>
      <c r="N1851" s="7">
        <v>117971000</v>
      </c>
      <c r="O1851" s="7">
        <v>97891092</v>
      </c>
      <c r="P1851" s="7">
        <v>0</v>
      </c>
      <c r="Q1851" s="7" t="str">
        <f t="shared" si="621"/>
        <v>都市整備部</v>
      </c>
      <c r="R1851" s="7" t="str">
        <f t="shared" si="618"/>
        <v>住宅建築局住宅経営室</v>
      </c>
    </row>
    <row r="1852" spans="1:18" s="1" customFormat="1" x14ac:dyDescent="0.45">
      <c r="A1852" s="7" t="str">
        <f t="shared" si="627"/>
        <v>09940003124</v>
      </c>
      <c r="B1852" s="7" t="str">
        <f t="shared" si="628"/>
        <v>鴨谷台１丁</v>
      </c>
      <c r="C1852" s="7" t="str">
        <f t="shared" si="619"/>
        <v>行政財産</v>
      </c>
      <c r="D1852" s="7" t="str">
        <f t="shared" si="620"/>
        <v>公営住宅</v>
      </c>
      <c r="E1852" s="7" t="str">
        <f t="shared" si="629"/>
        <v>大阪府堺市　南区鴨谷台１丁</v>
      </c>
      <c r="F1852" s="7"/>
      <c r="G1852" s="7" t="str">
        <f t="shared" si="617"/>
        <v>事業用資産</v>
      </c>
      <c r="H1852" s="7" t="str">
        <f t="shared" si="612"/>
        <v>棚卸以外</v>
      </c>
      <c r="I1852" s="7">
        <v>8</v>
      </c>
      <c r="J1852" s="7" t="str">
        <f>"１２号棟"</f>
        <v>１２号棟</v>
      </c>
      <c r="K1852" s="7" t="str">
        <f t="shared" si="622"/>
        <v>鉄筋コンクリート造</v>
      </c>
      <c r="L1852" s="7" t="str">
        <f t="shared" si="631"/>
        <v>S59.03.27</v>
      </c>
      <c r="M1852" s="7">
        <v>1477.4</v>
      </c>
      <c r="N1852" s="7">
        <v>123080000</v>
      </c>
      <c r="O1852" s="7">
        <v>102130236</v>
      </c>
      <c r="P1852" s="7">
        <v>0</v>
      </c>
      <c r="Q1852" s="7" t="str">
        <f t="shared" si="621"/>
        <v>都市整備部</v>
      </c>
      <c r="R1852" s="7" t="str">
        <f t="shared" si="618"/>
        <v>住宅建築局住宅経営室</v>
      </c>
    </row>
    <row r="1853" spans="1:18" s="1" customFormat="1" x14ac:dyDescent="0.45">
      <c r="A1853" s="7" t="str">
        <f t="shared" si="627"/>
        <v>09940003124</v>
      </c>
      <c r="B1853" s="7" t="str">
        <f t="shared" si="628"/>
        <v>鴨谷台１丁</v>
      </c>
      <c r="C1853" s="7" t="str">
        <f t="shared" si="619"/>
        <v>行政財産</v>
      </c>
      <c r="D1853" s="7" t="str">
        <f t="shared" si="620"/>
        <v>公営住宅</v>
      </c>
      <c r="E1853" s="7" t="str">
        <f t="shared" si="629"/>
        <v>大阪府堺市　南区鴨谷台１丁</v>
      </c>
      <c r="F1853" s="7"/>
      <c r="G1853" s="7" t="str">
        <f t="shared" si="617"/>
        <v>事業用資産</v>
      </c>
      <c r="H1853" s="7" t="str">
        <f t="shared" si="612"/>
        <v>棚卸以外</v>
      </c>
      <c r="I1853" s="7">
        <v>9</v>
      </c>
      <c r="J1853" s="7" t="str">
        <f>"１３号棟"</f>
        <v>１３号棟</v>
      </c>
      <c r="K1853" s="7" t="str">
        <f t="shared" si="622"/>
        <v>鉄筋コンクリート造</v>
      </c>
      <c r="L1853" s="7" t="str">
        <f t="shared" si="631"/>
        <v>S59.03.27</v>
      </c>
      <c r="M1853" s="7">
        <v>1472</v>
      </c>
      <c r="N1853" s="7">
        <v>117996000</v>
      </c>
      <c r="O1853" s="7">
        <v>97911684</v>
      </c>
      <c r="P1853" s="7">
        <v>0</v>
      </c>
      <c r="Q1853" s="7" t="str">
        <f t="shared" si="621"/>
        <v>都市整備部</v>
      </c>
      <c r="R1853" s="7" t="str">
        <f t="shared" si="618"/>
        <v>住宅建築局住宅経営室</v>
      </c>
    </row>
    <row r="1854" spans="1:18" s="1" customFormat="1" x14ac:dyDescent="0.45">
      <c r="A1854" s="7" t="str">
        <f t="shared" si="627"/>
        <v>09940003124</v>
      </c>
      <c r="B1854" s="7" t="str">
        <f t="shared" si="628"/>
        <v>鴨谷台１丁</v>
      </c>
      <c r="C1854" s="7" t="str">
        <f t="shared" si="619"/>
        <v>行政財産</v>
      </c>
      <c r="D1854" s="7" t="str">
        <f t="shared" si="620"/>
        <v>公営住宅</v>
      </c>
      <c r="E1854" s="7" t="str">
        <f t="shared" si="629"/>
        <v>大阪府堺市　南区鴨谷台１丁</v>
      </c>
      <c r="F1854" s="7"/>
      <c r="G1854" s="7" t="str">
        <f t="shared" si="617"/>
        <v>事業用資産</v>
      </c>
      <c r="H1854" s="7" t="str">
        <f t="shared" si="612"/>
        <v>棚卸以外</v>
      </c>
      <c r="I1854" s="7">
        <v>10</v>
      </c>
      <c r="J1854" s="7" t="str">
        <f>"９号棟"</f>
        <v>９号棟</v>
      </c>
      <c r="K1854" s="7" t="str">
        <f t="shared" si="622"/>
        <v>鉄筋コンクリート造</v>
      </c>
      <c r="L1854" s="7" t="str">
        <f t="shared" si="631"/>
        <v>S59.03.27</v>
      </c>
      <c r="M1854" s="7">
        <v>2218.75</v>
      </c>
      <c r="N1854" s="7">
        <v>184326000</v>
      </c>
      <c r="O1854" s="7">
        <v>152951760</v>
      </c>
      <c r="P1854" s="7">
        <v>0</v>
      </c>
      <c r="Q1854" s="7" t="str">
        <f t="shared" si="621"/>
        <v>都市整備部</v>
      </c>
      <c r="R1854" s="7" t="str">
        <f t="shared" si="618"/>
        <v>住宅建築局住宅経営室</v>
      </c>
    </row>
    <row r="1855" spans="1:18" s="1" customFormat="1" x14ac:dyDescent="0.45">
      <c r="A1855" s="7" t="str">
        <f t="shared" si="627"/>
        <v>09940003124</v>
      </c>
      <c r="B1855" s="7" t="str">
        <f t="shared" si="628"/>
        <v>鴨谷台１丁</v>
      </c>
      <c r="C1855" s="7" t="str">
        <f t="shared" si="619"/>
        <v>行政財産</v>
      </c>
      <c r="D1855" s="7" t="str">
        <f t="shared" si="620"/>
        <v>公営住宅</v>
      </c>
      <c r="E1855" s="7" t="str">
        <f t="shared" si="629"/>
        <v>大阪府堺市　南区鴨谷台１丁</v>
      </c>
      <c r="F1855" s="7"/>
      <c r="G1855" s="7" t="str">
        <f t="shared" si="617"/>
        <v>事業用資産</v>
      </c>
      <c r="H1855" s="7" t="str">
        <f t="shared" si="612"/>
        <v>棚卸以外</v>
      </c>
      <c r="I1855" s="7">
        <v>11</v>
      </c>
      <c r="J1855" s="7" t="str">
        <f>"７号棟"</f>
        <v>７号棟</v>
      </c>
      <c r="K1855" s="7" t="str">
        <f t="shared" si="622"/>
        <v>鉄筋コンクリート造</v>
      </c>
      <c r="L1855" s="7" t="str">
        <f t="shared" si="631"/>
        <v>S59.03.27</v>
      </c>
      <c r="M1855" s="7">
        <v>2208</v>
      </c>
      <c r="N1855" s="7">
        <v>177196000</v>
      </c>
      <c r="O1855" s="7">
        <v>147035304</v>
      </c>
      <c r="P1855" s="7">
        <v>0</v>
      </c>
      <c r="Q1855" s="7" t="str">
        <f t="shared" si="621"/>
        <v>都市整備部</v>
      </c>
      <c r="R1855" s="7" t="str">
        <f t="shared" si="618"/>
        <v>住宅建築局住宅経営室</v>
      </c>
    </row>
    <row r="1856" spans="1:18" s="1" customFormat="1" x14ac:dyDescent="0.45">
      <c r="A1856" s="7" t="str">
        <f t="shared" si="627"/>
        <v>09940003124</v>
      </c>
      <c r="B1856" s="7" t="str">
        <f t="shared" si="628"/>
        <v>鴨谷台１丁</v>
      </c>
      <c r="C1856" s="7" t="str">
        <f t="shared" si="619"/>
        <v>行政財産</v>
      </c>
      <c r="D1856" s="7" t="str">
        <f t="shared" si="620"/>
        <v>公営住宅</v>
      </c>
      <c r="E1856" s="7" t="str">
        <f t="shared" si="629"/>
        <v>大阪府堺市　南区鴨谷台１丁</v>
      </c>
      <c r="F1856" s="7"/>
      <c r="G1856" s="7" t="str">
        <f t="shared" si="617"/>
        <v>事業用資産</v>
      </c>
      <c r="H1856" s="7" t="str">
        <f t="shared" si="612"/>
        <v>棚卸以外</v>
      </c>
      <c r="I1856" s="7">
        <v>12</v>
      </c>
      <c r="J1856" s="7" t="str">
        <f>"５号棟"</f>
        <v>５号棟</v>
      </c>
      <c r="K1856" s="7" t="str">
        <f t="shared" si="622"/>
        <v>鉄筋コンクリート造</v>
      </c>
      <c r="L1856" s="7" t="str">
        <f t="shared" si="631"/>
        <v>S59.03.27</v>
      </c>
      <c r="M1856" s="7">
        <v>1486.2</v>
      </c>
      <c r="N1856" s="7">
        <v>153085000</v>
      </c>
      <c r="O1856" s="7">
        <v>127028304</v>
      </c>
      <c r="P1856" s="7">
        <v>0</v>
      </c>
      <c r="Q1856" s="7" t="str">
        <f t="shared" si="621"/>
        <v>都市整備部</v>
      </c>
      <c r="R1856" s="7" t="str">
        <f t="shared" si="618"/>
        <v>住宅建築局住宅経営室</v>
      </c>
    </row>
    <row r="1857" spans="1:18" s="1" customFormat="1" x14ac:dyDescent="0.45">
      <c r="A1857" s="7" t="str">
        <f t="shared" si="627"/>
        <v>09940003124</v>
      </c>
      <c r="B1857" s="7" t="str">
        <f t="shared" si="628"/>
        <v>鴨谷台１丁</v>
      </c>
      <c r="C1857" s="7" t="str">
        <f t="shared" si="619"/>
        <v>行政財産</v>
      </c>
      <c r="D1857" s="7" t="str">
        <f t="shared" si="620"/>
        <v>公営住宅</v>
      </c>
      <c r="E1857" s="7" t="str">
        <f t="shared" si="629"/>
        <v>大阪府堺市　南区鴨谷台１丁</v>
      </c>
      <c r="F1857" s="7"/>
      <c r="G1857" s="7" t="str">
        <f t="shared" si="617"/>
        <v>事業用資産</v>
      </c>
      <c r="H1857" s="7" t="str">
        <f t="shared" si="612"/>
        <v>棚卸以外</v>
      </c>
      <c r="I1857" s="7">
        <v>13</v>
      </c>
      <c r="J1857" s="7" t="str">
        <f>"６号棟"</f>
        <v>６号棟</v>
      </c>
      <c r="K1857" s="7" t="str">
        <f t="shared" si="622"/>
        <v>鉄筋コンクリート造</v>
      </c>
      <c r="L1857" s="7" t="str">
        <f t="shared" si="631"/>
        <v>S59.03.27</v>
      </c>
      <c r="M1857" s="7">
        <v>1472</v>
      </c>
      <c r="N1857" s="7">
        <v>136979000</v>
      </c>
      <c r="O1857" s="7">
        <v>113663628</v>
      </c>
      <c r="P1857" s="7">
        <v>0</v>
      </c>
      <c r="Q1857" s="7" t="str">
        <f t="shared" si="621"/>
        <v>都市整備部</v>
      </c>
      <c r="R1857" s="7" t="str">
        <f t="shared" si="618"/>
        <v>住宅建築局住宅経営室</v>
      </c>
    </row>
    <row r="1858" spans="1:18" s="1" customFormat="1" x14ac:dyDescent="0.45">
      <c r="A1858" s="7" t="str">
        <f t="shared" si="627"/>
        <v>09940003124</v>
      </c>
      <c r="B1858" s="7" t="str">
        <f t="shared" si="628"/>
        <v>鴨谷台１丁</v>
      </c>
      <c r="C1858" s="7" t="str">
        <f t="shared" si="619"/>
        <v>行政財産</v>
      </c>
      <c r="D1858" s="7" t="str">
        <f t="shared" si="620"/>
        <v>公営住宅</v>
      </c>
      <c r="E1858" s="7" t="str">
        <f t="shared" si="629"/>
        <v>大阪府堺市　南区鴨谷台１丁</v>
      </c>
      <c r="F1858" s="7"/>
      <c r="G1858" s="7" t="str">
        <f t="shared" si="617"/>
        <v>事業用資産</v>
      </c>
      <c r="H1858" s="7" t="str">
        <f t="shared" si="612"/>
        <v>棚卸以外</v>
      </c>
      <c r="I1858" s="7">
        <v>14</v>
      </c>
      <c r="J1858" s="7" t="str">
        <f>"２号棟"</f>
        <v>２号棟</v>
      </c>
      <c r="K1858" s="7" t="str">
        <f t="shared" si="622"/>
        <v>鉄筋コンクリート造</v>
      </c>
      <c r="L1858" s="7" t="str">
        <f t="shared" si="631"/>
        <v>S59.03.27</v>
      </c>
      <c r="M1858" s="7">
        <v>736</v>
      </c>
      <c r="N1858" s="7">
        <v>62603000</v>
      </c>
      <c r="O1858" s="7">
        <v>51947532</v>
      </c>
      <c r="P1858" s="7">
        <v>0</v>
      </c>
      <c r="Q1858" s="7" t="str">
        <f t="shared" si="621"/>
        <v>都市整備部</v>
      </c>
      <c r="R1858" s="7" t="str">
        <f t="shared" si="618"/>
        <v>住宅建築局住宅経営室</v>
      </c>
    </row>
    <row r="1859" spans="1:18" s="1" customFormat="1" x14ac:dyDescent="0.45">
      <c r="A1859" s="7" t="str">
        <f t="shared" si="627"/>
        <v>09940003124</v>
      </c>
      <c r="B1859" s="7" t="str">
        <f t="shared" si="628"/>
        <v>鴨谷台１丁</v>
      </c>
      <c r="C1859" s="7" t="str">
        <f t="shared" si="619"/>
        <v>行政財産</v>
      </c>
      <c r="D1859" s="7" t="str">
        <f t="shared" si="620"/>
        <v>公営住宅</v>
      </c>
      <c r="E1859" s="7" t="str">
        <f t="shared" si="629"/>
        <v>大阪府堺市　南区鴨谷台１丁</v>
      </c>
      <c r="F1859" s="7"/>
      <c r="G1859" s="7" t="str">
        <f t="shared" si="617"/>
        <v>事業用資産</v>
      </c>
      <c r="H1859" s="7" t="str">
        <f t="shared" si="612"/>
        <v>棚卸以外</v>
      </c>
      <c r="I1859" s="7">
        <v>15</v>
      </c>
      <c r="J1859" s="7" t="str">
        <f>"３号棟"</f>
        <v>３号棟</v>
      </c>
      <c r="K1859" s="7" t="str">
        <f t="shared" si="622"/>
        <v>鉄筋コンクリート造</v>
      </c>
      <c r="L1859" s="7" t="str">
        <f t="shared" si="631"/>
        <v>S59.03.27</v>
      </c>
      <c r="M1859" s="7">
        <v>1472</v>
      </c>
      <c r="N1859" s="7">
        <v>117890000</v>
      </c>
      <c r="O1859" s="7">
        <v>97823700</v>
      </c>
      <c r="P1859" s="7">
        <v>0</v>
      </c>
      <c r="Q1859" s="7" t="str">
        <f t="shared" si="621"/>
        <v>都市整備部</v>
      </c>
      <c r="R1859" s="7" t="str">
        <f t="shared" si="618"/>
        <v>住宅建築局住宅経営室</v>
      </c>
    </row>
    <row r="1860" spans="1:18" s="1" customFormat="1" x14ac:dyDescent="0.45">
      <c r="A1860" s="7" t="str">
        <f t="shared" si="627"/>
        <v>09940003124</v>
      </c>
      <c r="B1860" s="7" t="str">
        <f t="shared" si="628"/>
        <v>鴨谷台１丁</v>
      </c>
      <c r="C1860" s="7" t="str">
        <f t="shared" si="619"/>
        <v>行政財産</v>
      </c>
      <c r="D1860" s="7" t="str">
        <f t="shared" si="620"/>
        <v>公営住宅</v>
      </c>
      <c r="E1860" s="7" t="str">
        <f t="shared" si="629"/>
        <v>大阪府堺市　南区鴨谷台１丁</v>
      </c>
      <c r="F1860" s="7"/>
      <c r="G1860" s="7" t="str">
        <f t="shared" si="617"/>
        <v>事業用資産</v>
      </c>
      <c r="H1860" s="7" t="str">
        <f t="shared" ref="H1860:H1923" si="632">"棚卸以外"</f>
        <v>棚卸以外</v>
      </c>
      <c r="I1860" s="7">
        <v>16</v>
      </c>
      <c r="J1860" s="7" t="str">
        <f>"１号棟"</f>
        <v>１号棟</v>
      </c>
      <c r="K1860" s="7" t="str">
        <f t="shared" si="622"/>
        <v>鉄筋コンクリート造</v>
      </c>
      <c r="L1860" s="7" t="str">
        <f t="shared" si="631"/>
        <v>S59.03.27</v>
      </c>
      <c r="M1860" s="7">
        <v>1480.8</v>
      </c>
      <c r="N1860" s="7">
        <v>14981000</v>
      </c>
      <c r="O1860" s="7">
        <v>12431484</v>
      </c>
      <c r="P1860" s="7">
        <v>0</v>
      </c>
      <c r="Q1860" s="7" t="str">
        <f t="shared" si="621"/>
        <v>都市整備部</v>
      </c>
      <c r="R1860" s="7" t="str">
        <f t="shared" si="618"/>
        <v>住宅建築局住宅経営室</v>
      </c>
    </row>
    <row r="1861" spans="1:18" s="1" customFormat="1" x14ac:dyDescent="0.45">
      <c r="A1861" s="7" t="str">
        <f t="shared" si="627"/>
        <v>09940003124</v>
      </c>
      <c r="B1861" s="7" t="str">
        <f t="shared" si="628"/>
        <v>鴨谷台１丁</v>
      </c>
      <c r="C1861" s="7" t="str">
        <f t="shared" si="619"/>
        <v>行政財産</v>
      </c>
      <c r="D1861" s="7" t="str">
        <f t="shared" si="620"/>
        <v>公営住宅</v>
      </c>
      <c r="E1861" s="7" t="str">
        <f t="shared" si="629"/>
        <v>大阪府堺市　南区鴨谷台１丁</v>
      </c>
      <c r="F1861" s="7"/>
      <c r="G1861" s="7" t="str">
        <f t="shared" si="617"/>
        <v>事業用資産</v>
      </c>
      <c r="H1861" s="7" t="str">
        <f t="shared" si="632"/>
        <v>棚卸以外</v>
      </c>
      <c r="I1861" s="7">
        <v>17</v>
      </c>
      <c r="J1861" s="7" t="str">
        <f>"４号棟"</f>
        <v>４号棟</v>
      </c>
      <c r="K1861" s="7" t="str">
        <f t="shared" si="622"/>
        <v>鉄筋コンクリート造</v>
      </c>
      <c r="L1861" s="7" t="str">
        <f t="shared" si="631"/>
        <v>S59.03.27</v>
      </c>
      <c r="M1861" s="7">
        <v>1472</v>
      </c>
      <c r="N1861" s="7">
        <v>136386000</v>
      </c>
      <c r="O1861" s="7">
        <v>113171760</v>
      </c>
      <c r="P1861" s="7">
        <v>0</v>
      </c>
      <c r="Q1861" s="7" t="str">
        <f t="shared" si="621"/>
        <v>都市整備部</v>
      </c>
      <c r="R1861" s="7" t="str">
        <f t="shared" si="618"/>
        <v>住宅建築局住宅経営室</v>
      </c>
    </row>
    <row r="1862" spans="1:18" s="1" customFormat="1" x14ac:dyDescent="0.45">
      <c r="A1862" s="7" t="str">
        <f>"09940003125"</f>
        <v>09940003125</v>
      </c>
      <c r="B1862" s="7" t="str">
        <f>"寝屋川萱島東"</f>
        <v>寝屋川萱島東</v>
      </c>
      <c r="C1862" s="7" t="str">
        <f t="shared" si="619"/>
        <v>行政財産</v>
      </c>
      <c r="D1862" s="7" t="str">
        <f t="shared" si="620"/>
        <v>公営住宅</v>
      </c>
      <c r="E1862" s="7" t="str">
        <f>"大阪府寝屋川市萱島東３丁目"</f>
        <v>大阪府寝屋川市萱島東３丁目</v>
      </c>
      <c r="F1862" s="7"/>
      <c r="G1862" s="7" t="str">
        <f t="shared" si="617"/>
        <v>事業用資産</v>
      </c>
      <c r="H1862" s="7" t="str">
        <f t="shared" si="632"/>
        <v>棚卸以外</v>
      </c>
      <c r="I1862" s="7">
        <v>1</v>
      </c>
      <c r="J1862" s="7" t="str">
        <f>"１号棟"</f>
        <v>１号棟</v>
      </c>
      <c r="K1862" s="7" t="str">
        <f t="shared" si="622"/>
        <v>鉄筋コンクリート造</v>
      </c>
      <c r="L1862" s="7" t="str">
        <f>"H10.12.01"</f>
        <v>H10.12.01</v>
      </c>
      <c r="M1862" s="7">
        <v>3185.86</v>
      </c>
      <c r="N1862" s="7">
        <v>684955665</v>
      </c>
      <c r="O1862" s="7">
        <v>351546050</v>
      </c>
      <c r="P1862" s="7">
        <v>0</v>
      </c>
      <c r="Q1862" s="7" t="str">
        <f t="shared" si="621"/>
        <v>都市整備部</v>
      </c>
      <c r="R1862" s="7" t="str">
        <f t="shared" si="618"/>
        <v>住宅建築局住宅経営室</v>
      </c>
    </row>
    <row r="1863" spans="1:18" s="1" customFormat="1" x14ac:dyDescent="0.45">
      <c r="A1863" s="7" t="str">
        <f>"09940003125"</f>
        <v>09940003125</v>
      </c>
      <c r="B1863" s="7" t="str">
        <f>"寝屋川萱島東"</f>
        <v>寝屋川萱島東</v>
      </c>
      <c r="C1863" s="7" t="str">
        <f t="shared" si="619"/>
        <v>行政財産</v>
      </c>
      <c r="D1863" s="7" t="str">
        <f t="shared" si="620"/>
        <v>公営住宅</v>
      </c>
      <c r="E1863" s="7" t="str">
        <f>"大阪府寝屋川市萱島東３丁目"</f>
        <v>大阪府寝屋川市萱島東３丁目</v>
      </c>
      <c r="F1863" s="7"/>
      <c r="G1863" s="7" t="str">
        <f t="shared" si="617"/>
        <v>事業用資産</v>
      </c>
      <c r="H1863" s="7" t="str">
        <f t="shared" si="632"/>
        <v>棚卸以外</v>
      </c>
      <c r="I1863" s="7">
        <v>2</v>
      </c>
      <c r="J1863" s="7" t="str">
        <f>"受水槽ポンプ室・電気室"</f>
        <v>受水槽ポンプ室・電気室</v>
      </c>
      <c r="K1863" s="7" t="str">
        <f t="shared" si="622"/>
        <v>鉄筋コンクリート造</v>
      </c>
      <c r="L1863" s="7" t="str">
        <f>"H10.12.01"</f>
        <v>H10.12.01</v>
      </c>
      <c r="M1863" s="7">
        <v>75.599999999999994</v>
      </c>
      <c r="N1863" s="7">
        <v>37005000</v>
      </c>
      <c r="O1863" s="7">
        <v>19093092</v>
      </c>
      <c r="P1863" s="7">
        <v>0</v>
      </c>
      <c r="Q1863" s="7" t="str">
        <f t="shared" si="621"/>
        <v>都市整備部</v>
      </c>
      <c r="R1863" s="7" t="str">
        <f t="shared" si="618"/>
        <v>住宅建築局住宅経営室</v>
      </c>
    </row>
    <row r="1864" spans="1:18" s="1" customFormat="1" x14ac:dyDescent="0.45">
      <c r="A1864" s="7" t="str">
        <f>"09940003125"</f>
        <v>09940003125</v>
      </c>
      <c r="B1864" s="7" t="str">
        <f>"寝屋川萱島東"</f>
        <v>寝屋川萱島東</v>
      </c>
      <c r="C1864" s="7" t="str">
        <f t="shared" si="619"/>
        <v>行政財産</v>
      </c>
      <c r="D1864" s="7" t="str">
        <f t="shared" si="620"/>
        <v>公営住宅</v>
      </c>
      <c r="E1864" s="7" t="str">
        <f>"大阪府寝屋川市萱島東３丁目"</f>
        <v>大阪府寝屋川市萱島東３丁目</v>
      </c>
      <c r="F1864" s="7"/>
      <c r="G1864" s="7" t="str">
        <f t="shared" si="617"/>
        <v>事業用資産</v>
      </c>
      <c r="H1864" s="7" t="str">
        <f t="shared" si="632"/>
        <v>棚卸以外</v>
      </c>
      <c r="I1864" s="7">
        <v>3</v>
      </c>
      <c r="J1864" s="7" t="str">
        <f>"２号棟"</f>
        <v>２号棟</v>
      </c>
      <c r="K1864" s="7" t="str">
        <f t="shared" si="622"/>
        <v>鉄筋コンクリート造</v>
      </c>
      <c r="L1864" s="7" t="str">
        <f>"H14.11.27"</f>
        <v>H14.11.27</v>
      </c>
      <c r="M1864" s="7">
        <v>3014.7</v>
      </c>
      <c r="N1864" s="7">
        <v>536492666</v>
      </c>
      <c r="O1864" s="7">
        <v>231205176</v>
      </c>
      <c r="P1864" s="7">
        <v>0</v>
      </c>
      <c r="Q1864" s="7" t="str">
        <f t="shared" si="621"/>
        <v>都市整備部</v>
      </c>
      <c r="R1864" s="7" t="str">
        <f t="shared" si="618"/>
        <v>住宅建築局住宅経営室</v>
      </c>
    </row>
    <row r="1865" spans="1:18" s="1" customFormat="1" x14ac:dyDescent="0.45">
      <c r="A1865" s="7" t="str">
        <f t="shared" ref="A1865:A1877" si="633">"09940003126"</f>
        <v>09940003126</v>
      </c>
      <c r="B1865" s="7" t="str">
        <f t="shared" ref="B1865:B1877" si="634">"新檜尾台３丁"</f>
        <v>新檜尾台３丁</v>
      </c>
      <c r="C1865" s="7" t="str">
        <f t="shared" si="619"/>
        <v>行政財産</v>
      </c>
      <c r="D1865" s="7" t="str">
        <f t="shared" si="620"/>
        <v>公営住宅</v>
      </c>
      <c r="E1865" s="7" t="str">
        <f t="shared" ref="E1865:E1877" si="635">"大阪府堺市　南区新檜尾台３丁"</f>
        <v>大阪府堺市　南区新檜尾台３丁</v>
      </c>
      <c r="F1865" s="7"/>
      <c r="G1865" s="7" t="str">
        <f t="shared" si="617"/>
        <v>事業用資産</v>
      </c>
      <c r="H1865" s="7" t="str">
        <f t="shared" si="632"/>
        <v>棚卸以外</v>
      </c>
      <c r="I1865" s="7">
        <v>1</v>
      </c>
      <c r="J1865" s="7" t="str">
        <f>"１号棟"</f>
        <v>１号棟</v>
      </c>
      <c r="K1865" s="7" t="str">
        <f t="shared" si="622"/>
        <v>鉄筋コンクリート造</v>
      </c>
      <c r="L1865" s="7" t="str">
        <f t="shared" ref="L1865:L1877" si="636">"S54.03.22"</f>
        <v>S54.03.22</v>
      </c>
      <c r="M1865" s="7">
        <v>2635.82</v>
      </c>
      <c r="N1865" s="7">
        <v>317646542</v>
      </c>
      <c r="O1865" s="7">
        <v>173676504</v>
      </c>
      <c r="P1865" s="7">
        <v>0</v>
      </c>
      <c r="Q1865" s="7" t="str">
        <f t="shared" si="621"/>
        <v>都市整備部</v>
      </c>
      <c r="R1865" s="7" t="str">
        <f t="shared" si="618"/>
        <v>住宅建築局住宅経営室</v>
      </c>
    </row>
    <row r="1866" spans="1:18" s="1" customFormat="1" x14ac:dyDescent="0.45">
      <c r="A1866" s="7" t="str">
        <f t="shared" si="633"/>
        <v>09940003126</v>
      </c>
      <c r="B1866" s="7" t="str">
        <f t="shared" si="634"/>
        <v>新檜尾台３丁</v>
      </c>
      <c r="C1866" s="7" t="str">
        <f t="shared" si="619"/>
        <v>行政財産</v>
      </c>
      <c r="D1866" s="7" t="str">
        <f t="shared" si="620"/>
        <v>公営住宅</v>
      </c>
      <c r="E1866" s="7" t="str">
        <f t="shared" si="635"/>
        <v>大阪府堺市　南区新檜尾台３丁</v>
      </c>
      <c r="F1866" s="7"/>
      <c r="G1866" s="7" t="str">
        <f t="shared" si="617"/>
        <v>事業用資産</v>
      </c>
      <c r="H1866" s="7" t="str">
        <f t="shared" si="632"/>
        <v>棚卸以外</v>
      </c>
      <c r="I1866" s="7">
        <v>2</v>
      </c>
      <c r="J1866" s="7" t="str">
        <f>"３号棟"</f>
        <v>３号棟</v>
      </c>
      <c r="K1866" s="7" t="str">
        <f t="shared" si="622"/>
        <v>鉄筋コンクリート造</v>
      </c>
      <c r="L1866" s="7" t="str">
        <f t="shared" si="636"/>
        <v>S54.03.22</v>
      </c>
      <c r="M1866" s="7">
        <v>1284.5</v>
      </c>
      <c r="N1866" s="7">
        <v>94338000</v>
      </c>
      <c r="O1866" s="7">
        <v>88316448</v>
      </c>
      <c r="P1866" s="7">
        <v>0</v>
      </c>
      <c r="Q1866" s="7" t="str">
        <f t="shared" si="621"/>
        <v>都市整備部</v>
      </c>
      <c r="R1866" s="7" t="str">
        <f t="shared" si="618"/>
        <v>住宅建築局住宅経営室</v>
      </c>
    </row>
    <row r="1867" spans="1:18" s="1" customFormat="1" x14ac:dyDescent="0.45">
      <c r="A1867" s="7" t="str">
        <f t="shared" si="633"/>
        <v>09940003126</v>
      </c>
      <c r="B1867" s="7" t="str">
        <f t="shared" si="634"/>
        <v>新檜尾台３丁</v>
      </c>
      <c r="C1867" s="7" t="str">
        <f t="shared" si="619"/>
        <v>行政財産</v>
      </c>
      <c r="D1867" s="7" t="str">
        <f t="shared" si="620"/>
        <v>公営住宅</v>
      </c>
      <c r="E1867" s="7" t="str">
        <f t="shared" si="635"/>
        <v>大阪府堺市　南区新檜尾台３丁</v>
      </c>
      <c r="F1867" s="7"/>
      <c r="G1867" s="7" t="str">
        <f t="shared" si="617"/>
        <v>事業用資産</v>
      </c>
      <c r="H1867" s="7" t="str">
        <f t="shared" si="632"/>
        <v>棚卸以外</v>
      </c>
      <c r="I1867" s="7">
        <v>3</v>
      </c>
      <c r="J1867" s="7" t="str">
        <f>"４号棟"</f>
        <v>４号棟</v>
      </c>
      <c r="K1867" s="7" t="str">
        <f t="shared" si="622"/>
        <v>鉄筋コンクリート造</v>
      </c>
      <c r="L1867" s="7" t="str">
        <f t="shared" si="636"/>
        <v>S54.03.22</v>
      </c>
      <c r="M1867" s="7">
        <v>1318.52</v>
      </c>
      <c r="N1867" s="7">
        <v>157156657</v>
      </c>
      <c r="O1867" s="7">
        <v>93662736</v>
      </c>
      <c r="P1867" s="7">
        <v>0</v>
      </c>
      <c r="Q1867" s="7" t="str">
        <f t="shared" si="621"/>
        <v>都市整備部</v>
      </c>
      <c r="R1867" s="7" t="str">
        <f t="shared" si="618"/>
        <v>住宅建築局住宅経営室</v>
      </c>
    </row>
    <row r="1868" spans="1:18" s="1" customFormat="1" x14ac:dyDescent="0.45">
      <c r="A1868" s="7" t="str">
        <f t="shared" si="633"/>
        <v>09940003126</v>
      </c>
      <c r="B1868" s="7" t="str">
        <f t="shared" si="634"/>
        <v>新檜尾台３丁</v>
      </c>
      <c r="C1868" s="7" t="str">
        <f t="shared" si="619"/>
        <v>行政財産</v>
      </c>
      <c r="D1868" s="7" t="str">
        <f t="shared" si="620"/>
        <v>公営住宅</v>
      </c>
      <c r="E1868" s="7" t="str">
        <f t="shared" si="635"/>
        <v>大阪府堺市　南区新檜尾台３丁</v>
      </c>
      <c r="F1868" s="7"/>
      <c r="G1868" s="7" t="str">
        <f t="shared" si="617"/>
        <v>事業用資産</v>
      </c>
      <c r="H1868" s="7" t="str">
        <f t="shared" si="632"/>
        <v>棚卸以外</v>
      </c>
      <c r="I1868" s="7">
        <v>4</v>
      </c>
      <c r="J1868" s="7" t="str">
        <f>"５号棟"</f>
        <v>５号棟</v>
      </c>
      <c r="K1868" s="7" t="str">
        <f t="shared" si="622"/>
        <v>鉄筋コンクリート造</v>
      </c>
      <c r="L1868" s="7" t="str">
        <f t="shared" si="636"/>
        <v>S54.03.22</v>
      </c>
      <c r="M1868" s="7">
        <v>1284.5</v>
      </c>
      <c r="N1868" s="7">
        <v>94338000</v>
      </c>
      <c r="O1868" s="7">
        <v>88316448</v>
      </c>
      <c r="P1868" s="7">
        <v>0</v>
      </c>
      <c r="Q1868" s="7" t="str">
        <f t="shared" si="621"/>
        <v>都市整備部</v>
      </c>
      <c r="R1868" s="7" t="str">
        <f t="shared" si="618"/>
        <v>住宅建築局住宅経営室</v>
      </c>
    </row>
    <row r="1869" spans="1:18" s="1" customFormat="1" x14ac:dyDescent="0.45">
      <c r="A1869" s="7" t="str">
        <f t="shared" si="633"/>
        <v>09940003126</v>
      </c>
      <c r="B1869" s="7" t="str">
        <f t="shared" si="634"/>
        <v>新檜尾台３丁</v>
      </c>
      <c r="C1869" s="7" t="str">
        <f t="shared" si="619"/>
        <v>行政財産</v>
      </c>
      <c r="D1869" s="7" t="str">
        <f t="shared" si="620"/>
        <v>公営住宅</v>
      </c>
      <c r="E1869" s="7" t="str">
        <f t="shared" si="635"/>
        <v>大阪府堺市　南区新檜尾台３丁</v>
      </c>
      <c r="F1869" s="7"/>
      <c r="G1869" s="7" t="str">
        <f t="shared" si="617"/>
        <v>事業用資産</v>
      </c>
      <c r="H1869" s="7" t="str">
        <f t="shared" si="632"/>
        <v>棚卸以外</v>
      </c>
      <c r="I1869" s="7">
        <v>5</v>
      </c>
      <c r="J1869" s="7" t="str">
        <f>"６号棟"</f>
        <v>６号棟</v>
      </c>
      <c r="K1869" s="7" t="str">
        <f t="shared" si="622"/>
        <v>鉄筋コンクリート造</v>
      </c>
      <c r="L1869" s="7" t="str">
        <f t="shared" si="636"/>
        <v>S54.03.22</v>
      </c>
      <c r="M1869" s="7">
        <v>1990.67</v>
      </c>
      <c r="N1869" s="7">
        <v>224623985</v>
      </c>
      <c r="O1869" s="7">
        <v>130092480</v>
      </c>
      <c r="P1869" s="7">
        <v>0</v>
      </c>
      <c r="Q1869" s="7" t="str">
        <f t="shared" si="621"/>
        <v>都市整備部</v>
      </c>
      <c r="R1869" s="7" t="str">
        <f t="shared" si="618"/>
        <v>住宅建築局住宅経営室</v>
      </c>
    </row>
    <row r="1870" spans="1:18" s="1" customFormat="1" x14ac:dyDescent="0.45">
      <c r="A1870" s="7" t="str">
        <f t="shared" si="633"/>
        <v>09940003126</v>
      </c>
      <c r="B1870" s="7" t="str">
        <f t="shared" si="634"/>
        <v>新檜尾台３丁</v>
      </c>
      <c r="C1870" s="7" t="str">
        <f t="shared" si="619"/>
        <v>行政財産</v>
      </c>
      <c r="D1870" s="7" t="str">
        <f t="shared" si="620"/>
        <v>公営住宅</v>
      </c>
      <c r="E1870" s="7" t="str">
        <f t="shared" si="635"/>
        <v>大阪府堺市　南区新檜尾台３丁</v>
      </c>
      <c r="F1870" s="7"/>
      <c r="G1870" s="7" t="str">
        <f t="shared" si="617"/>
        <v>事業用資産</v>
      </c>
      <c r="H1870" s="7" t="str">
        <f t="shared" si="632"/>
        <v>棚卸以外</v>
      </c>
      <c r="I1870" s="7">
        <v>6</v>
      </c>
      <c r="J1870" s="7" t="str">
        <f>"７号棟"</f>
        <v>７号棟</v>
      </c>
      <c r="K1870" s="7" t="str">
        <f t="shared" si="622"/>
        <v>鉄筋コンクリート造</v>
      </c>
      <c r="L1870" s="7" t="str">
        <f t="shared" si="636"/>
        <v>S54.03.22</v>
      </c>
      <c r="M1870" s="7">
        <v>1990.67</v>
      </c>
      <c r="N1870" s="7">
        <v>224623985</v>
      </c>
      <c r="O1870" s="7">
        <v>130092480</v>
      </c>
      <c r="P1870" s="7">
        <v>0</v>
      </c>
      <c r="Q1870" s="7" t="str">
        <f t="shared" si="621"/>
        <v>都市整備部</v>
      </c>
      <c r="R1870" s="7" t="str">
        <f t="shared" si="618"/>
        <v>住宅建築局住宅経営室</v>
      </c>
    </row>
    <row r="1871" spans="1:18" s="1" customFormat="1" x14ac:dyDescent="0.45">
      <c r="A1871" s="7" t="str">
        <f t="shared" si="633"/>
        <v>09940003126</v>
      </c>
      <c r="B1871" s="7" t="str">
        <f t="shared" si="634"/>
        <v>新檜尾台３丁</v>
      </c>
      <c r="C1871" s="7" t="str">
        <f t="shared" si="619"/>
        <v>行政財産</v>
      </c>
      <c r="D1871" s="7" t="str">
        <f t="shared" si="620"/>
        <v>公営住宅</v>
      </c>
      <c r="E1871" s="7" t="str">
        <f t="shared" si="635"/>
        <v>大阪府堺市　南区新檜尾台３丁</v>
      </c>
      <c r="F1871" s="7"/>
      <c r="G1871" s="7" t="str">
        <f t="shared" si="617"/>
        <v>事業用資産</v>
      </c>
      <c r="H1871" s="7" t="str">
        <f t="shared" si="632"/>
        <v>棚卸以外</v>
      </c>
      <c r="I1871" s="7">
        <v>7</v>
      </c>
      <c r="J1871" s="7" t="str">
        <f>"１２号棟"</f>
        <v>１２号棟</v>
      </c>
      <c r="K1871" s="7" t="str">
        <f t="shared" si="622"/>
        <v>鉄筋コンクリート造</v>
      </c>
      <c r="L1871" s="7" t="str">
        <f t="shared" si="636"/>
        <v>S54.03.22</v>
      </c>
      <c r="M1871" s="7">
        <v>1990.58</v>
      </c>
      <c r="N1871" s="7">
        <v>234211406</v>
      </c>
      <c r="O1871" s="7">
        <v>126490752</v>
      </c>
      <c r="P1871" s="7">
        <v>0</v>
      </c>
      <c r="Q1871" s="7" t="str">
        <f t="shared" si="621"/>
        <v>都市整備部</v>
      </c>
      <c r="R1871" s="7" t="str">
        <f t="shared" si="618"/>
        <v>住宅建築局住宅経営室</v>
      </c>
    </row>
    <row r="1872" spans="1:18" s="1" customFormat="1" x14ac:dyDescent="0.45">
      <c r="A1872" s="7" t="str">
        <f t="shared" si="633"/>
        <v>09940003126</v>
      </c>
      <c r="B1872" s="7" t="str">
        <f t="shared" si="634"/>
        <v>新檜尾台３丁</v>
      </c>
      <c r="C1872" s="7" t="str">
        <f t="shared" si="619"/>
        <v>行政財産</v>
      </c>
      <c r="D1872" s="7" t="str">
        <f t="shared" si="620"/>
        <v>公営住宅</v>
      </c>
      <c r="E1872" s="7" t="str">
        <f t="shared" si="635"/>
        <v>大阪府堺市　南区新檜尾台３丁</v>
      </c>
      <c r="F1872" s="7"/>
      <c r="G1872" s="7" t="str">
        <f t="shared" si="617"/>
        <v>事業用資産</v>
      </c>
      <c r="H1872" s="7" t="str">
        <f t="shared" si="632"/>
        <v>棚卸以外</v>
      </c>
      <c r="I1872" s="7">
        <v>8</v>
      </c>
      <c r="J1872" s="7" t="str">
        <f>"９号棟"</f>
        <v>９号棟</v>
      </c>
      <c r="K1872" s="7" t="str">
        <f t="shared" si="622"/>
        <v>鉄筋コンクリート造</v>
      </c>
      <c r="L1872" s="7" t="str">
        <f t="shared" si="636"/>
        <v>S54.03.22</v>
      </c>
      <c r="M1872" s="7">
        <v>1327.18</v>
      </c>
      <c r="N1872" s="7">
        <v>154510657</v>
      </c>
      <c r="O1872" s="7">
        <v>91185888</v>
      </c>
      <c r="P1872" s="7">
        <v>0</v>
      </c>
      <c r="Q1872" s="7" t="str">
        <f t="shared" si="621"/>
        <v>都市整備部</v>
      </c>
      <c r="R1872" s="7" t="str">
        <f t="shared" si="618"/>
        <v>住宅建築局住宅経営室</v>
      </c>
    </row>
    <row r="1873" spans="1:18" s="1" customFormat="1" x14ac:dyDescent="0.45">
      <c r="A1873" s="7" t="str">
        <f t="shared" si="633"/>
        <v>09940003126</v>
      </c>
      <c r="B1873" s="7" t="str">
        <f t="shared" si="634"/>
        <v>新檜尾台３丁</v>
      </c>
      <c r="C1873" s="7" t="str">
        <f t="shared" si="619"/>
        <v>行政財産</v>
      </c>
      <c r="D1873" s="7" t="str">
        <f t="shared" si="620"/>
        <v>公営住宅</v>
      </c>
      <c r="E1873" s="7" t="str">
        <f t="shared" si="635"/>
        <v>大阪府堺市　南区新檜尾台３丁</v>
      </c>
      <c r="F1873" s="7"/>
      <c r="G1873" s="7" t="str">
        <f t="shared" si="617"/>
        <v>事業用資産</v>
      </c>
      <c r="H1873" s="7" t="str">
        <f t="shared" si="632"/>
        <v>棚卸以外</v>
      </c>
      <c r="I1873" s="7">
        <v>9</v>
      </c>
      <c r="J1873" s="7" t="str">
        <f>"１０号棟"</f>
        <v>１０号棟</v>
      </c>
      <c r="K1873" s="7" t="str">
        <f t="shared" si="622"/>
        <v>鉄筋コンクリート造</v>
      </c>
      <c r="L1873" s="7" t="str">
        <f t="shared" si="636"/>
        <v>S54.03.22</v>
      </c>
      <c r="M1873" s="7">
        <v>1399.67</v>
      </c>
      <c r="N1873" s="7">
        <v>110158000</v>
      </c>
      <c r="O1873" s="7">
        <v>103126848</v>
      </c>
      <c r="P1873" s="7">
        <v>0</v>
      </c>
      <c r="Q1873" s="7" t="str">
        <f t="shared" si="621"/>
        <v>都市整備部</v>
      </c>
      <c r="R1873" s="7" t="str">
        <f t="shared" si="618"/>
        <v>住宅建築局住宅経営室</v>
      </c>
    </row>
    <row r="1874" spans="1:18" s="1" customFormat="1" x14ac:dyDescent="0.45">
      <c r="A1874" s="7" t="str">
        <f t="shared" si="633"/>
        <v>09940003126</v>
      </c>
      <c r="B1874" s="7" t="str">
        <f t="shared" si="634"/>
        <v>新檜尾台３丁</v>
      </c>
      <c r="C1874" s="7" t="str">
        <f t="shared" si="619"/>
        <v>行政財産</v>
      </c>
      <c r="D1874" s="7" t="str">
        <f t="shared" si="620"/>
        <v>公営住宅</v>
      </c>
      <c r="E1874" s="7" t="str">
        <f t="shared" si="635"/>
        <v>大阪府堺市　南区新檜尾台３丁</v>
      </c>
      <c r="F1874" s="7"/>
      <c r="G1874" s="7" t="str">
        <f t="shared" si="617"/>
        <v>事業用資産</v>
      </c>
      <c r="H1874" s="7" t="str">
        <f t="shared" si="632"/>
        <v>棚卸以外</v>
      </c>
      <c r="I1874" s="7">
        <v>10</v>
      </c>
      <c r="J1874" s="7" t="str">
        <f>"１１号棟"</f>
        <v>１１号棟</v>
      </c>
      <c r="K1874" s="7" t="str">
        <f t="shared" si="622"/>
        <v>鉄筋コンクリート造</v>
      </c>
      <c r="L1874" s="7" t="str">
        <f t="shared" si="636"/>
        <v>S54.03.22</v>
      </c>
      <c r="M1874" s="7">
        <v>1399.67</v>
      </c>
      <c r="N1874" s="7">
        <v>110158000</v>
      </c>
      <c r="O1874" s="7">
        <v>103126848</v>
      </c>
      <c r="P1874" s="7">
        <v>0</v>
      </c>
      <c r="Q1874" s="7" t="str">
        <f t="shared" si="621"/>
        <v>都市整備部</v>
      </c>
      <c r="R1874" s="7" t="str">
        <f t="shared" si="618"/>
        <v>住宅建築局住宅経営室</v>
      </c>
    </row>
    <row r="1875" spans="1:18" s="1" customFormat="1" x14ac:dyDescent="0.45">
      <c r="A1875" s="7" t="str">
        <f t="shared" si="633"/>
        <v>09940003126</v>
      </c>
      <c r="B1875" s="7" t="str">
        <f t="shared" si="634"/>
        <v>新檜尾台３丁</v>
      </c>
      <c r="C1875" s="7" t="str">
        <f t="shared" si="619"/>
        <v>行政財産</v>
      </c>
      <c r="D1875" s="7" t="str">
        <f t="shared" si="620"/>
        <v>公営住宅</v>
      </c>
      <c r="E1875" s="7" t="str">
        <f t="shared" si="635"/>
        <v>大阪府堺市　南区新檜尾台３丁</v>
      </c>
      <c r="F1875" s="7"/>
      <c r="G1875" s="7" t="str">
        <f t="shared" si="617"/>
        <v>事業用資産</v>
      </c>
      <c r="H1875" s="7" t="str">
        <f t="shared" si="632"/>
        <v>棚卸以外</v>
      </c>
      <c r="I1875" s="7">
        <v>11</v>
      </c>
      <c r="J1875" s="7" t="str">
        <f>"１３号棟"</f>
        <v>１３号棟</v>
      </c>
      <c r="K1875" s="7" t="str">
        <f t="shared" si="622"/>
        <v>鉄筋コンクリート造</v>
      </c>
      <c r="L1875" s="7" t="str">
        <f t="shared" si="636"/>
        <v>S54.03.22</v>
      </c>
      <c r="M1875" s="7">
        <v>1322</v>
      </c>
      <c r="N1875" s="7">
        <v>164820657</v>
      </c>
      <c r="O1875" s="7">
        <v>100837728</v>
      </c>
      <c r="P1875" s="7">
        <v>0</v>
      </c>
      <c r="Q1875" s="7" t="str">
        <f t="shared" si="621"/>
        <v>都市整備部</v>
      </c>
      <c r="R1875" s="7" t="str">
        <f t="shared" si="618"/>
        <v>住宅建築局住宅経営室</v>
      </c>
    </row>
    <row r="1876" spans="1:18" s="1" customFormat="1" x14ac:dyDescent="0.45">
      <c r="A1876" s="7" t="str">
        <f t="shared" si="633"/>
        <v>09940003126</v>
      </c>
      <c r="B1876" s="7" t="str">
        <f t="shared" si="634"/>
        <v>新檜尾台３丁</v>
      </c>
      <c r="C1876" s="7" t="str">
        <f t="shared" si="619"/>
        <v>行政財産</v>
      </c>
      <c r="D1876" s="7" t="str">
        <f t="shared" si="620"/>
        <v>公営住宅</v>
      </c>
      <c r="E1876" s="7" t="str">
        <f t="shared" si="635"/>
        <v>大阪府堺市　南区新檜尾台３丁</v>
      </c>
      <c r="F1876" s="7"/>
      <c r="G1876" s="7" t="str">
        <f t="shared" si="617"/>
        <v>事業用資産</v>
      </c>
      <c r="H1876" s="7" t="str">
        <f t="shared" si="632"/>
        <v>棚卸以外</v>
      </c>
      <c r="I1876" s="7">
        <v>12</v>
      </c>
      <c r="J1876" s="7" t="str">
        <f>"２号棟"</f>
        <v>２号棟</v>
      </c>
      <c r="K1876" s="7" t="str">
        <f t="shared" si="622"/>
        <v>鉄筋コンクリート造</v>
      </c>
      <c r="L1876" s="7" t="str">
        <f t="shared" si="636"/>
        <v>S54.03.22</v>
      </c>
      <c r="M1876" s="7">
        <v>1800.72</v>
      </c>
      <c r="N1876" s="7">
        <v>222423985</v>
      </c>
      <c r="O1876" s="7">
        <v>130037604</v>
      </c>
      <c r="P1876" s="7">
        <v>0</v>
      </c>
      <c r="Q1876" s="7" t="str">
        <f t="shared" si="621"/>
        <v>都市整備部</v>
      </c>
      <c r="R1876" s="7" t="str">
        <f t="shared" si="618"/>
        <v>住宅建築局住宅経営室</v>
      </c>
    </row>
    <row r="1877" spans="1:18" s="1" customFormat="1" x14ac:dyDescent="0.45">
      <c r="A1877" s="7" t="str">
        <f t="shared" si="633"/>
        <v>09940003126</v>
      </c>
      <c r="B1877" s="7" t="str">
        <f t="shared" si="634"/>
        <v>新檜尾台３丁</v>
      </c>
      <c r="C1877" s="7" t="str">
        <f t="shared" si="619"/>
        <v>行政財産</v>
      </c>
      <c r="D1877" s="7" t="str">
        <f t="shared" si="620"/>
        <v>公営住宅</v>
      </c>
      <c r="E1877" s="7" t="str">
        <f t="shared" si="635"/>
        <v>大阪府堺市　南区新檜尾台３丁</v>
      </c>
      <c r="F1877" s="7"/>
      <c r="G1877" s="7" t="str">
        <f t="shared" si="617"/>
        <v>事業用資産</v>
      </c>
      <c r="H1877" s="7" t="str">
        <f t="shared" si="632"/>
        <v>棚卸以外</v>
      </c>
      <c r="I1877" s="7">
        <v>13</v>
      </c>
      <c r="J1877" s="7" t="str">
        <f>"集会所"</f>
        <v>集会所</v>
      </c>
      <c r="K1877" s="7" t="str">
        <f t="shared" si="622"/>
        <v>鉄筋コンクリート造</v>
      </c>
      <c r="L1877" s="7" t="str">
        <f t="shared" si="636"/>
        <v>S54.03.22</v>
      </c>
      <c r="M1877" s="7">
        <v>172.51</v>
      </c>
      <c r="N1877" s="7">
        <v>28164000</v>
      </c>
      <c r="O1877" s="7">
        <v>26366736</v>
      </c>
      <c r="P1877" s="7">
        <v>0</v>
      </c>
      <c r="Q1877" s="7" t="str">
        <f t="shared" si="621"/>
        <v>都市整備部</v>
      </c>
      <c r="R1877" s="7" t="str">
        <f t="shared" si="618"/>
        <v>住宅建築局住宅経営室</v>
      </c>
    </row>
    <row r="1878" spans="1:18" s="1" customFormat="1" x14ac:dyDescent="0.45">
      <c r="A1878" s="7" t="str">
        <f t="shared" ref="A1878:A1909" si="637">"09940003136"</f>
        <v>09940003136</v>
      </c>
      <c r="B1878" s="7" t="str">
        <f t="shared" ref="B1878:B1909" si="638">"千里古江台・吹田古江台"</f>
        <v>千里古江台・吹田古江台</v>
      </c>
      <c r="C1878" s="7" t="str">
        <f t="shared" si="619"/>
        <v>行政財産</v>
      </c>
      <c r="D1878" s="7" t="str">
        <f t="shared" si="620"/>
        <v>公営住宅</v>
      </c>
      <c r="E1878" s="7" t="str">
        <f t="shared" ref="E1878:E1909" si="639">"大阪府吹田市古江台４丁目"</f>
        <v>大阪府吹田市古江台４丁目</v>
      </c>
      <c r="F1878" s="7"/>
      <c r="G1878" s="7" t="str">
        <f t="shared" si="617"/>
        <v>事業用資産</v>
      </c>
      <c r="H1878" s="7" t="str">
        <f t="shared" si="632"/>
        <v>棚卸以外</v>
      </c>
      <c r="I1878" s="7">
        <v>1</v>
      </c>
      <c r="J1878" s="7" t="str">
        <f>"２７～２９・３０～３９・４０～４２号棟"</f>
        <v>２７～２９・３０～３９・４０～４２号棟</v>
      </c>
      <c r="K1878" s="7" t="str">
        <f t="shared" si="622"/>
        <v>鉄筋コンクリート造</v>
      </c>
      <c r="L1878" s="7" t="str">
        <f>"S40.04.25"</f>
        <v>S40.04.25</v>
      </c>
      <c r="M1878" s="7">
        <v>22065.02</v>
      </c>
      <c r="N1878" s="7">
        <v>915775296</v>
      </c>
      <c r="O1878" s="7">
        <v>571443663</v>
      </c>
      <c r="P1878" s="7">
        <v>0</v>
      </c>
      <c r="Q1878" s="7" t="str">
        <f t="shared" si="621"/>
        <v>都市整備部</v>
      </c>
      <c r="R1878" s="7" t="str">
        <f t="shared" si="618"/>
        <v>住宅建築局住宅経営室</v>
      </c>
    </row>
    <row r="1879" spans="1:18" s="1" customFormat="1" x14ac:dyDescent="0.45">
      <c r="A1879" s="7" t="str">
        <f t="shared" si="637"/>
        <v>09940003136</v>
      </c>
      <c r="B1879" s="7" t="str">
        <f t="shared" si="638"/>
        <v>千里古江台・吹田古江台</v>
      </c>
      <c r="C1879" s="7" t="str">
        <f t="shared" si="619"/>
        <v>行政財産</v>
      </c>
      <c r="D1879" s="7" t="str">
        <f t="shared" si="620"/>
        <v>公営住宅</v>
      </c>
      <c r="E1879" s="7" t="str">
        <f t="shared" si="639"/>
        <v>大阪府吹田市古江台４丁目</v>
      </c>
      <c r="F1879" s="7"/>
      <c r="G1879" s="7" t="str">
        <f t="shared" ref="G1879:G1942" si="640">"事業用資産"</f>
        <v>事業用資産</v>
      </c>
      <c r="H1879" s="7" t="str">
        <f t="shared" si="632"/>
        <v>棚卸以外</v>
      </c>
      <c r="I1879" s="7">
        <v>3</v>
      </c>
      <c r="J1879" s="7" t="str">
        <f>"１４～１８号棟"</f>
        <v>１４～１８号棟</v>
      </c>
      <c r="K1879" s="7" t="str">
        <f t="shared" si="622"/>
        <v>鉄筋コンクリート造</v>
      </c>
      <c r="L1879" s="7" t="str">
        <f>"S40.04.25"</f>
        <v>S40.04.25</v>
      </c>
      <c r="M1879" s="7">
        <v>6985.83</v>
      </c>
      <c r="N1879" s="7">
        <v>169422823</v>
      </c>
      <c r="O1879" s="7">
        <v>169422822</v>
      </c>
      <c r="P1879" s="7">
        <v>0</v>
      </c>
      <c r="Q1879" s="7" t="str">
        <f t="shared" si="621"/>
        <v>都市整備部</v>
      </c>
      <c r="R1879" s="7" t="str">
        <f t="shared" si="618"/>
        <v>住宅建築局住宅経営室</v>
      </c>
    </row>
    <row r="1880" spans="1:18" s="1" customFormat="1" x14ac:dyDescent="0.45">
      <c r="A1880" s="7" t="str">
        <f t="shared" si="637"/>
        <v>09940003136</v>
      </c>
      <c r="B1880" s="7" t="str">
        <f t="shared" si="638"/>
        <v>千里古江台・吹田古江台</v>
      </c>
      <c r="C1880" s="7" t="str">
        <f t="shared" si="619"/>
        <v>行政財産</v>
      </c>
      <c r="D1880" s="7" t="str">
        <f t="shared" si="620"/>
        <v>公営住宅</v>
      </c>
      <c r="E1880" s="7" t="str">
        <f t="shared" si="639"/>
        <v>大阪府吹田市古江台４丁目</v>
      </c>
      <c r="F1880" s="7"/>
      <c r="G1880" s="7" t="str">
        <f t="shared" si="640"/>
        <v>事業用資産</v>
      </c>
      <c r="H1880" s="7" t="str">
        <f t="shared" si="632"/>
        <v>棚卸以外</v>
      </c>
      <c r="I1880" s="7">
        <v>4</v>
      </c>
      <c r="J1880" s="7" t="str">
        <f>"集会所"</f>
        <v>集会所</v>
      </c>
      <c r="K1880" s="7" t="str">
        <f t="shared" si="622"/>
        <v>鉄筋コンクリート造</v>
      </c>
      <c r="L1880" s="7" t="str">
        <f>"S40.04.25"</f>
        <v>S40.04.25</v>
      </c>
      <c r="M1880" s="7">
        <v>217.09</v>
      </c>
      <c r="N1880" s="7">
        <v>13480000</v>
      </c>
      <c r="O1880" s="7">
        <v>13479999</v>
      </c>
      <c r="P1880" s="7">
        <v>0</v>
      </c>
      <c r="Q1880" s="7" t="str">
        <f t="shared" si="621"/>
        <v>都市整備部</v>
      </c>
      <c r="R1880" s="7" t="str">
        <f t="shared" ref="R1880:R1943" si="641">"住宅建築局住宅経営室"</f>
        <v>住宅建築局住宅経営室</v>
      </c>
    </row>
    <row r="1881" spans="1:18" s="1" customFormat="1" x14ac:dyDescent="0.45">
      <c r="A1881" s="7" t="str">
        <f t="shared" si="637"/>
        <v>09940003136</v>
      </c>
      <c r="B1881" s="7" t="str">
        <f t="shared" si="638"/>
        <v>千里古江台・吹田古江台</v>
      </c>
      <c r="C1881" s="7" t="str">
        <f t="shared" si="619"/>
        <v>行政財産</v>
      </c>
      <c r="D1881" s="7" t="str">
        <f t="shared" si="620"/>
        <v>公営住宅</v>
      </c>
      <c r="E1881" s="7" t="str">
        <f t="shared" si="639"/>
        <v>大阪府吹田市古江台４丁目</v>
      </c>
      <c r="F1881" s="7"/>
      <c r="G1881" s="7" t="str">
        <f t="shared" si="640"/>
        <v>事業用資産</v>
      </c>
      <c r="H1881" s="7" t="str">
        <f t="shared" si="632"/>
        <v>棚卸以外</v>
      </c>
      <c r="I1881" s="7">
        <v>5</v>
      </c>
      <c r="J1881" s="7" t="str">
        <f>"１１号棟増築"</f>
        <v>１１号棟増築</v>
      </c>
      <c r="K1881" s="7" t="str">
        <f t="shared" si="622"/>
        <v>鉄筋コンクリート造</v>
      </c>
      <c r="L1881" s="7" t="str">
        <f>"S56.12.21"</f>
        <v>S56.12.21</v>
      </c>
      <c r="M1881" s="7">
        <v>712.5</v>
      </c>
      <c r="N1881" s="7">
        <v>74833000</v>
      </c>
      <c r="O1881" s="7">
        <v>65678085</v>
      </c>
      <c r="P1881" s="7">
        <v>0</v>
      </c>
      <c r="Q1881" s="7" t="str">
        <f t="shared" si="621"/>
        <v>都市整備部</v>
      </c>
      <c r="R1881" s="7" t="str">
        <f t="shared" si="641"/>
        <v>住宅建築局住宅経営室</v>
      </c>
    </row>
    <row r="1882" spans="1:18" s="1" customFormat="1" x14ac:dyDescent="0.45">
      <c r="A1882" s="7" t="str">
        <f t="shared" si="637"/>
        <v>09940003136</v>
      </c>
      <c r="B1882" s="7" t="str">
        <f t="shared" si="638"/>
        <v>千里古江台・吹田古江台</v>
      </c>
      <c r="C1882" s="7" t="str">
        <f t="shared" ref="C1882:C1945" si="642">"行政財産"</f>
        <v>行政財産</v>
      </c>
      <c r="D1882" s="7" t="str">
        <f t="shared" ref="D1882:D1945" si="643">"公営住宅"</f>
        <v>公営住宅</v>
      </c>
      <c r="E1882" s="7" t="str">
        <f t="shared" si="639"/>
        <v>大阪府吹田市古江台４丁目</v>
      </c>
      <c r="F1882" s="7"/>
      <c r="G1882" s="7" t="str">
        <f t="shared" si="640"/>
        <v>事業用資産</v>
      </c>
      <c r="H1882" s="7" t="str">
        <f t="shared" si="632"/>
        <v>棚卸以外</v>
      </c>
      <c r="I1882" s="7">
        <v>6</v>
      </c>
      <c r="J1882" s="7" t="str">
        <f>"１２号棟増築"</f>
        <v>１２号棟増築</v>
      </c>
      <c r="K1882" s="7" t="str">
        <f t="shared" si="622"/>
        <v>鉄筋コンクリート造</v>
      </c>
      <c r="L1882" s="7" t="str">
        <f>"S56.12.21"</f>
        <v>S56.12.21</v>
      </c>
      <c r="M1882" s="7">
        <v>665</v>
      </c>
      <c r="N1882" s="7">
        <v>70766000</v>
      </c>
      <c r="O1882" s="7">
        <v>62108640</v>
      </c>
      <c r="P1882" s="7">
        <v>0</v>
      </c>
      <c r="Q1882" s="7" t="str">
        <f t="shared" si="621"/>
        <v>都市整備部</v>
      </c>
      <c r="R1882" s="7" t="str">
        <f t="shared" si="641"/>
        <v>住宅建築局住宅経営室</v>
      </c>
    </row>
    <row r="1883" spans="1:18" s="1" customFormat="1" x14ac:dyDescent="0.45">
      <c r="A1883" s="7" t="str">
        <f t="shared" si="637"/>
        <v>09940003136</v>
      </c>
      <c r="B1883" s="7" t="str">
        <f t="shared" si="638"/>
        <v>千里古江台・吹田古江台</v>
      </c>
      <c r="C1883" s="7" t="str">
        <f t="shared" si="642"/>
        <v>行政財産</v>
      </c>
      <c r="D1883" s="7" t="str">
        <f t="shared" si="643"/>
        <v>公営住宅</v>
      </c>
      <c r="E1883" s="7" t="str">
        <f t="shared" si="639"/>
        <v>大阪府吹田市古江台４丁目</v>
      </c>
      <c r="F1883" s="7"/>
      <c r="G1883" s="7" t="str">
        <f t="shared" si="640"/>
        <v>事業用資産</v>
      </c>
      <c r="H1883" s="7" t="str">
        <f t="shared" si="632"/>
        <v>棚卸以外</v>
      </c>
      <c r="I1883" s="7">
        <v>11</v>
      </c>
      <c r="J1883" s="7" t="str">
        <f>"１０号棟増築"</f>
        <v>１０号棟増築</v>
      </c>
      <c r="K1883" s="7" t="str">
        <f t="shared" si="622"/>
        <v>鉄筋コンクリート造</v>
      </c>
      <c r="L1883" s="7" t="str">
        <f>"S57.12.20"</f>
        <v>S57.12.20</v>
      </c>
      <c r="M1883" s="7">
        <v>728.44</v>
      </c>
      <c r="N1883" s="7">
        <v>86935000</v>
      </c>
      <c r="O1883" s="7">
        <v>74450103</v>
      </c>
      <c r="P1883" s="7">
        <v>0</v>
      </c>
      <c r="Q1883" s="7" t="str">
        <f t="shared" ref="Q1883:Q1946" si="644">"都市整備部"</f>
        <v>都市整備部</v>
      </c>
      <c r="R1883" s="7" t="str">
        <f t="shared" si="641"/>
        <v>住宅建築局住宅経営室</v>
      </c>
    </row>
    <row r="1884" spans="1:18" s="1" customFormat="1" x14ac:dyDescent="0.45">
      <c r="A1884" s="7" t="str">
        <f t="shared" si="637"/>
        <v>09940003136</v>
      </c>
      <c r="B1884" s="7" t="str">
        <f t="shared" si="638"/>
        <v>千里古江台・吹田古江台</v>
      </c>
      <c r="C1884" s="7" t="str">
        <f t="shared" si="642"/>
        <v>行政財産</v>
      </c>
      <c r="D1884" s="7" t="str">
        <f t="shared" si="643"/>
        <v>公営住宅</v>
      </c>
      <c r="E1884" s="7" t="str">
        <f t="shared" si="639"/>
        <v>大阪府吹田市古江台４丁目</v>
      </c>
      <c r="F1884" s="7"/>
      <c r="G1884" s="7" t="str">
        <f t="shared" si="640"/>
        <v>事業用資産</v>
      </c>
      <c r="H1884" s="7" t="str">
        <f t="shared" si="632"/>
        <v>棚卸以外</v>
      </c>
      <c r="I1884" s="7">
        <v>12</v>
      </c>
      <c r="J1884" s="7" t="str">
        <f>"３２号棟増築"</f>
        <v>３２号棟増築</v>
      </c>
      <c r="K1884" s="7" t="str">
        <f t="shared" si="622"/>
        <v>鉄筋コンクリート造</v>
      </c>
      <c r="L1884" s="7" t="str">
        <f>"S57.12.20"</f>
        <v>S57.12.20</v>
      </c>
      <c r="M1884" s="7">
        <v>617.48</v>
      </c>
      <c r="N1884" s="7">
        <v>78477000</v>
      </c>
      <c r="O1884" s="7">
        <v>67206552</v>
      </c>
      <c r="P1884" s="7">
        <v>0</v>
      </c>
      <c r="Q1884" s="7" t="str">
        <f t="shared" si="644"/>
        <v>都市整備部</v>
      </c>
      <c r="R1884" s="7" t="str">
        <f t="shared" si="641"/>
        <v>住宅建築局住宅経営室</v>
      </c>
    </row>
    <row r="1885" spans="1:18" s="1" customFormat="1" x14ac:dyDescent="0.45">
      <c r="A1885" s="7" t="str">
        <f t="shared" si="637"/>
        <v>09940003136</v>
      </c>
      <c r="B1885" s="7" t="str">
        <f t="shared" si="638"/>
        <v>千里古江台・吹田古江台</v>
      </c>
      <c r="C1885" s="7" t="str">
        <f t="shared" si="642"/>
        <v>行政財産</v>
      </c>
      <c r="D1885" s="7" t="str">
        <f t="shared" si="643"/>
        <v>公営住宅</v>
      </c>
      <c r="E1885" s="7" t="str">
        <f t="shared" si="639"/>
        <v>大阪府吹田市古江台４丁目</v>
      </c>
      <c r="F1885" s="7"/>
      <c r="G1885" s="7" t="str">
        <f t="shared" si="640"/>
        <v>事業用資産</v>
      </c>
      <c r="H1885" s="7" t="str">
        <f t="shared" si="632"/>
        <v>棚卸以外</v>
      </c>
      <c r="I1885" s="7">
        <v>13</v>
      </c>
      <c r="J1885" s="7" t="str">
        <f>"３３号棟増築"</f>
        <v>３３号棟増築</v>
      </c>
      <c r="K1885" s="7" t="str">
        <f t="shared" si="622"/>
        <v>鉄筋コンクリート造</v>
      </c>
      <c r="L1885" s="7" t="str">
        <f>"S57.12.20"</f>
        <v>S57.12.20</v>
      </c>
      <c r="M1885" s="7">
        <v>712.48</v>
      </c>
      <c r="N1885" s="7">
        <v>83628000</v>
      </c>
      <c r="O1885" s="7">
        <v>71617791</v>
      </c>
      <c r="P1885" s="7">
        <v>0</v>
      </c>
      <c r="Q1885" s="7" t="str">
        <f t="shared" si="644"/>
        <v>都市整備部</v>
      </c>
      <c r="R1885" s="7" t="str">
        <f t="shared" si="641"/>
        <v>住宅建築局住宅経営室</v>
      </c>
    </row>
    <row r="1886" spans="1:18" s="1" customFormat="1" x14ac:dyDescent="0.45">
      <c r="A1886" s="7" t="str">
        <f t="shared" si="637"/>
        <v>09940003136</v>
      </c>
      <c r="B1886" s="7" t="str">
        <f t="shared" si="638"/>
        <v>千里古江台・吹田古江台</v>
      </c>
      <c r="C1886" s="7" t="str">
        <f t="shared" si="642"/>
        <v>行政財産</v>
      </c>
      <c r="D1886" s="7" t="str">
        <f t="shared" si="643"/>
        <v>公営住宅</v>
      </c>
      <c r="E1886" s="7" t="str">
        <f t="shared" si="639"/>
        <v>大阪府吹田市古江台４丁目</v>
      </c>
      <c r="F1886" s="7"/>
      <c r="G1886" s="7" t="str">
        <f t="shared" si="640"/>
        <v>事業用資産</v>
      </c>
      <c r="H1886" s="7" t="str">
        <f t="shared" si="632"/>
        <v>棚卸以外</v>
      </c>
      <c r="I1886" s="7">
        <v>14</v>
      </c>
      <c r="J1886" s="7" t="str">
        <f>"３６号棟増築"</f>
        <v>３６号棟増築</v>
      </c>
      <c r="K1886" s="7" t="str">
        <f t="shared" ref="K1886:K1917" si="645">"鉄筋コンクリート造"</f>
        <v>鉄筋コンクリート造</v>
      </c>
      <c r="L1886" s="7" t="str">
        <f>"S57.12.20"</f>
        <v>S57.12.20</v>
      </c>
      <c r="M1886" s="7">
        <v>874.13</v>
      </c>
      <c r="N1886" s="7">
        <v>100365000</v>
      </c>
      <c r="O1886" s="7">
        <v>85951299</v>
      </c>
      <c r="P1886" s="7">
        <v>0</v>
      </c>
      <c r="Q1886" s="7" t="str">
        <f t="shared" si="644"/>
        <v>都市整備部</v>
      </c>
      <c r="R1886" s="7" t="str">
        <f t="shared" si="641"/>
        <v>住宅建築局住宅経営室</v>
      </c>
    </row>
    <row r="1887" spans="1:18" s="1" customFormat="1" x14ac:dyDescent="0.45">
      <c r="A1887" s="7" t="str">
        <f t="shared" si="637"/>
        <v>09940003136</v>
      </c>
      <c r="B1887" s="7" t="str">
        <f t="shared" si="638"/>
        <v>千里古江台・吹田古江台</v>
      </c>
      <c r="C1887" s="7" t="str">
        <f t="shared" si="642"/>
        <v>行政財産</v>
      </c>
      <c r="D1887" s="7" t="str">
        <f t="shared" si="643"/>
        <v>公営住宅</v>
      </c>
      <c r="E1887" s="7" t="str">
        <f t="shared" si="639"/>
        <v>大阪府吹田市古江台４丁目</v>
      </c>
      <c r="F1887" s="7"/>
      <c r="G1887" s="7" t="str">
        <f t="shared" si="640"/>
        <v>事業用資産</v>
      </c>
      <c r="H1887" s="7" t="str">
        <f t="shared" si="632"/>
        <v>棚卸以外</v>
      </c>
      <c r="I1887" s="7">
        <v>15</v>
      </c>
      <c r="J1887" s="7" t="str">
        <f>"３７号棟増築"</f>
        <v>３７号棟増築</v>
      </c>
      <c r="K1887" s="7" t="str">
        <f t="shared" si="645"/>
        <v>鉄筋コンクリート造</v>
      </c>
      <c r="L1887" s="7" t="str">
        <f>"S57.12.20"</f>
        <v>S57.12.20</v>
      </c>
      <c r="M1887" s="7">
        <v>485.63</v>
      </c>
      <c r="N1887" s="7">
        <v>56901000</v>
      </c>
      <c r="O1887" s="7">
        <v>48729387</v>
      </c>
      <c r="P1887" s="7">
        <v>0</v>
      </c>
      <c r="Q1887" s="7" t="str">
        <f t="shared" si="644"/>
        <v>都市整備部</v>
      </c>
      <c r="R1887" s="7" t="str">
        <f t="shared" si="641"/>
        <v>住宅建築局住宅経営室</v>
      </c>
    </row>
    <row r="1888" spans="1:18" s="1" customFormat="1" x14ac:dyDescent="0.45">
      <c r="A1888" s="7" t="str">
        <f t="shared" si="637"/>
        <v>09940003136</v>
      </c>
      <c r="B1888" s="7" t="str">
        <f t="shared" si="638"/>
        <v>千里古江台・吹田古江台</v>
      </c>
      <c r="C1888" s="7" t="str">
        <f t="shared" si="642"/>
        <v>行政財産</v>
      </c>
      <c r="D1888" s="7" t="str">
        <f t="shared" si="643"/>
        <v>公営住宅</v>
      </c>
      <c r="E1888" s="7" t="str">
        <f t="shared" si="639"/>
        <v>大阪府吹田市古江台４丁目</v>
      </c>
      <c r="F1888" s="7"/>
      <c r="G1888" s="7" t="str">
        <f t="shared" si="640"/>
        <v>事業用資産</v>
      </c>
      <c r="H1888" s="7" t="str">
        <f t="shared" si="632"/>
        <v>棚卸以外</v>
      </c>
      <c r="I1888" s="7">
        <v>18</v>
      </c>
      <c r="J1888" s="7" t="str">
        <f>"３０号棟増築"</f>
        <v>３０号棟増築</v>
      </c>
      <c r="K1888" s="7" t="str">
        <f t="shared" si="645"/>
        <v>鉄筋コンクリート造</v>
      </c>
      <c r="L1888" s="7" t="str">
        <f>"S58.06.22"</f>
        <v>S58.06.22</v>
      </c>
      <c r="M1888" s="7">
        <v>738.81</v>
      </c>
      <c r="N1888" s="7">
        <v>88157000</v>
      </c>
      <c r="O1888" s="7">
        <v>74558439</v>
      </c>
      <c r="P1888" s="7">
        <v>0</v>
      </c>
      <c r="Q1888" s="7" t="str">
        <f t="shared" si="644"/>
        <v>都市整備部</v>
      </c>
      <c r="R1888" s="7" t="str">
        <f t="shared" si="641"/>
        <v>住宅建築局住宅経営室</v>
      </c>
    </row>
    <row r="1889" spans="1:18" s="1" customFormat="1" x14ac:dyDescent="0.45">
      <c r="A1889" s="7" t="str">
        <f t="shared" si="637"/>
        <v>09940003136</v>
      </c>
      <c r="B1889" s="7" t="str">
        <f t="shared" si="638"/>
        <v>千里古江台・吹田古江台</v>
      </c>
      <c r="C1889" s="7" t="str">
        <f t="shared" si="642"/>
        <v>行政財産</v>
      </c>
      <c r="D1889" s="7" t="str">
        <f t="shared" si="643"/>
        <v>公営住宅</v>
      </c>
      <c r="E1889" s="7" t="str">
        <f t="shared" si="639"/>
        <v>大阪府吹田市古江台４丁目</v>
      </c>
      <c r="F1889" s="7"/>
      <c r="G1889" s="7" t="str">
        <f t="shared" si="640"/>
        <v>事業用資産</v>
      </c>
      <c r="H1889" s="7" t="str">
        <f t="shared" si="632"/>
        <v>棚卸以外</v>
      </c>
      <c r="I1889" s="7">
        <v>19</v>
      </c>
      <c r="J1889" s="7" t="str">
        <f>"３１号棟増築"</f>
        <v>３１号棟増築</v>
      </c>
      <c r="K1889" s="7" t="str">
        <f t="shared" si="645"/>
        <v>鉄筋コンクリート造</v>
      </c>
      <c r="L1889" s="7" t="str">
        <f>"S58.06.22"</f>
        <v>S58.06.22</v>
      </c>
      <c r="M1889" s="7">
        <v>851.25</v>
      </c>
      <c r="N1889" s="7">
        <v>104705000</v>
      </c>
      <c r="O1889" s="7">
        <v>88554096</v>
      </c>
      <c r="P1889" s="7">
        <v>0</v>
      </c>
      <c r="Q1889" s="7" t="str">
        <f t="shared" si="644"/>
        <v>都市整備部</v>
      </c>
      <c r="R1889" s="7" t="str">
        <f t="shared" si="641"/>
        <v>住宅建築局住宅経営室</v>
      </c>
    </row>
    <row r="1890" spans="1:18" s="1" customFormat="1" x14ac:dyDescent="0.45">
      <c r="A1890" s="7" t="str">
        <f t="shared" si="637"/>
        <v>09940003136</v>
      </c>
      <c r="B1890" s="7" t="str">
        <f t="shared" si="638"/>
        <v>千里古江台・吹田古江台</v>
      </c>
      <c r="C1890" s="7" t="str">
        <f t="shared" si="642"/>
        <v>行政財産</v>
      </c>
      <c r="D1890" s="7" t="str">
        <f t="shared" si="643"/>
        <v>公営住宅</v>
      </c>
      <c r="E1890" s="7" t="str">
        <f t="shared" si="639"/>
        <v>大阪府吹田市古江台４丁目</v>
      </c>
      <c r="F1890" s="7"/>
      <c r="G1890" s="7" t="str">
        <f t="shared" si="640"/>
        <v>事業用資産</v>
      </c>
      <c r="H1890" s="7" t="str">
        <f t="shared" si="632"/>
        <v>棚卸以外</v>
      </c>
      <c r="I1890" s="7">
        <v>20</v>
      </c>
      <c r="J1890" s="7" t="str">
        <f>"４０号棟増築"</f>
        <v>４０号棟増築</v>
      </c>
      <c r="K1890" s="7" t="str">
        <f t="shared" si="645"/>
        <v>鉄筋コンクリート造</v>
      </c>
      <c r="L1890" s="7" t="str">
        <f>"S58.06.22"</f>
        <v>S58.06.22</v>
      </c>
      <c r="M1890" s="7">
        <v>472.92</v>
      </c>
      <c r="N1890" s="7">
        <v>63379000</v>
      </c>
      <c r="O1890" s="7">
        <v>53602875</v>
      </c>
      <c r="P1890" s="7">
        <v>0</v>
      </c>
      <c r="Q1890" s="7" t="str">
        <f t="shared" si="644"/>
        <v>都市整備部</v>
      </c>
      <c r="R1890" s="7" t="str">
        <f t="shared" si="641"/>
        <v>住宅建築局住宅経営室</v>
      </c>
    </row>
    <row r="1891" spans="1:18" s="1" customFormat="1" x14ac:dyDescent="0.45">
      <c r="A1891" s="7" t="str">
        <f t="shared" si="637"/>
        <v>09940003136</v>
      </c>
      <c r="B1891" s="7" t="str">
        <f t="shared" si="638"/>
        <v>千里古江台・吹田古江台</v>
      </c>
      <c r="C1891" s="7" t="str">
        <f t="shared" si="642"/>
        <v>行政財産</v>
      </c>
      <c r="D1891" s="7" t="str">
        <f t="shared" si="643"/>
        <v>公営住宅</v>
      </c>
      <c r="E1891" s="7" t="str">
        <f t="shared" si="639"/>
        <v>大阪府吹田市古江台４丁目</v>
      </c>
      <c r="F1891" s="7"/>
      <c r="G1891" s="7" t="str">
        <f t="shared" si="640"/>
        <v>事業用資産</v>
      </c>
      <c r="H1891" s="7" t="str">
        <f t="shared" si="632"/>
        <v>棚卸以外</v>
      </c>
      <c r="I1891" s="7">
        <v>21</v>
      </c>
      <c r="J1891" s="7" t="str">
        <f>"４号棟増築"</f>
        <v>４号棟増築</v>
      </c>
      <c r="K1891" s="7" t="str">
        <f t="shared" si="645"/>
        <v>鉄筋コンクリート造</v>
      </c>
      <c r="L1891" s="7" t="str">
        <f>"S58.11.25"</f>
        <v>S58.11.25</v>
      </c>
      <c r="M1891" s="7">
        <v>985.08</v>
      </c>
      <c r="N1891" s="7">
        <v>118131000</v>
      </c>
      <c r="O1891" s="7">
        <v>98861816</v>
      </c>
      <c r="P1891" s="7">
        <v>0</v>
      </c>
      <c r="Q1891" s="7" t="str">
        <f t="shared" si="644"/>
        <v>都市整備部</v>
      </c>
      <c r="R1891" s="7" t="str">
        <f t="shared" si="641"/>
        <v>住宅建築局住宅経営室</v>
      </c>
    </row>
    <row r="1892" spans="1:18" s="1" customFormat="1" x14ac:dyDescent="0.45">
      <c r="A1892" s="7" t="str">
        <f t="shared" si="637"/>
        <v>09940003136</v>
      </c>
      <c r="B1892" s="7" t="str">
        <f t="shared" si="638"/>
        <v>千里古江台・吹田古江台</v>
      </c>
      <c r="C1892" s="7" t="str">
        <f t="shared" si="642"/>
        <v>行政財産</v>
      </c>
      <c r="D1892" s="7" t="str">
        <f t="shared" si="643"/>
        <v>公営住宅</v>
      </c>
      <c r="E1892" s="7" t="str">
        <f t="shared" si="639"/>
        <v>大阪府吹田市古江台４丁目</v>
      </c>
      <c r="F1892" s="7"/>
      <c r="G1892" s="7" t="str">
        <f t="shared" si="640"/>
        <v>事業用資産</v>
      </c>
      <c r="H1892" s="7" t="str">
        <f t="shared" si="632"/>
        <v>棚卸以外</v>
      </c>
      <c r="I1892" s="7">
        <v>22</v>
      </c>
      <c r="J1892" s="7" t="str">
        <f>"５号棟増築"</f>
        <v>５号棟増築</v>
      </c>
      <c r="K1892" s="7" t="str">
        <f t="shared" si="645"/>
        <v>鉄筋コンクリート造</v>
      </c>
      <c r="L1892" s="7" t="str">
        <f>"S58.11.25"</f>
        <v>S58.11.25</v>
      </c>
      <c r="M1892" s="7">
        <v>945.84</v>
      </c>
      <c r="N1892" s="7">
        <v>116367000</v>
      </c>
      <c r="O1892" s="7">
        <v>97385400</v>
      </c>
      <c r="P1892" s="7">
        <v>0</v>
      </c>
      <c r="Q1892" s="7" t="str">
        <f t="shared" si="644"/>
        <v>都市整備部</v>
      </c>
      <c r="R1892" s="7" t="str">
        <f t="shared" si="641"/>
        <v>住宅建築局住宅経営室</v>
      </c>
    </row>
    <row r="1893" spans="1:18" s="1" customFormat="1" x14ac:dyDescent="0.45">
      <c r="A1893" s="7" t="str">
        <f t="shared" si="637"/>
        <v>09940003136</v>
      </c>
      <c r="B1893" s="7" t="str">
        <f t="shared" si="638"/>
        <v>千里古江台・吹田古江台</v>
      </c>
      <c r="C1893" s="7" t="str">
        <f t="shared" si="642"/>
        <v>行政財産</v>
      </c>
      <c r="D1893" s="7" t="str">
        <f t="shared" si="643"/>
        <v>公営住宅</v>
      </c>
      <c r="E1893" s="7" t="str">
        <f t="shared" si="639"/>
        <v>大阪府吹田市古江台４丁目</v>
      </c>
      <c r="F1893" s="7"/>
      <c r="G1893" s="7" t="str">
        <f t="shared" si="640"/>
        <v>事業用資産</v>
      </c>
      <c r="H1893" s="7" t="str">
        <f t="shared" si="632"/>
        <v>棚卸以外</v>
      </c>
      <c r="I1893" s="7">
        <v>23</v>
      </c>
      <c r="J1893" s="7" t="str">
        <f>"２７号棟増築"</f>
        <v>２７号棟増築</v>
      </c>
      <c r="K1893" s="7" t="str">
        <f t="shared" si="645"/>
        <v>鉄筋コンクリート造</v>
      </c>
      <c r="L1893" s="7" t="str">
        <f>"S58.11.25"</f>
        <v>S58.11.25</v>
      </c>
      <c r="M1893" s="7">
        <v>731.13</v>
      </c>
      <c r="N1893" s="7">
        <v>90981000</v>
      </c>
      <c r="O1893" s="7">
        <v>76140208</v>
      </c>
      <c r="P1893" s="7">
        <v>0</v>
      </c>
      <c r="Q1893" s="7" t="str">
        <f t="shared" si="644"/>
        <v>都市整備部</v>
      </c>
      <c r="R1893" s="7" t="str">
        <f t="shared" si="641"/>
        <v>住宅建築局住宅経営室</v>
      </c>
    </row>
    <row r="1894" spans="1:18" s="1" customFormat="1" x14ac:dyDescent="0.45">
      <c r="A1894" s="7" t="str">
        <f t="shared" si="637"/>
        <v>09940003136</v>
      </c>
      <c r="B1894" s="7" t="str">
        <f t="shared" si="638"/>
        <v>千里古江台・吹田古江台</v>
      </c>
      <c r="C1894" s="7" t="str">
        <f t="shared" si="642"/>
        <v>行政財産</v>
      </c>
      <c r="D1894" s="7" t="str">
        <f t="shared" si="643"/>
        <v>公営住宅</v>
      </c>
      <c r="E1894" s="7" t="str">
        <f t="shared" si="639"/>
        <v>大阪府吹田市古江台４丁目</v>
      </c>
      <c r="F1894" s="7"/>
      <c r="G1894" s="7" t="str">
        <f t="shared" si="640"/>
        <v>事業用資産</v>
      </c>
      <c r="H1894" s="7" t="str">
        <f t="shared" si="632"/>
        <v>棚卸以外</v>
      </c>
      <c r="I1894" s="7">
        <v>24</v>
      </c>
      <c r="J1894" s="7" t="str">
        <f>"２８号棟増築"</f>
        <v>２８号棟増築</v>
      </c>
      <c r="K1894" s="7" t="str">
        <f t="shared" si="645"/>
        <v>鉄筋コンクリート造</v>
      </c>
      <c r="L1894" s="7" t="str">
        <f>"S58.11.25"</f>
        <v>S58.11.25</v>
      </c>
      <c r="M1894" s="7">
        <v>379.29</v>
      </c>
      <c r="N1894" s="7">
        <v>52460000</v>
      </c>
      <c r="O1894" s="7">
        <v>43903080</v>
      </c>
      <c r="P1894" s="7">
        <v>0</v>
      </c>
      <c r="Q1894" s="7" t="str">
        <f t="shared" si="644"/>
        <v>都市整備部</v>
      </c>
      <c r="R1894" s="7" t="str">
        <f t="shared" si="641"/>
        <v>住宅建築局住宅経営室</v>
      </c>
    </row>
    <row r="1895" spans="1:18" s="1" customFormat="1" x14ac:dyDescent="0.45">
      <c r="A1895" s="7" t="str">
        <f t="shared" si="637"/>
        <v>09940003136</v>
      </c>
      <c r="B1895" s="7" t="str">
        <f t="shared" si="638"/>
        <v>千里古江台・吹田古江台</v>
      </c>
      <c r="C1895" s="7" t="str">
        <f t="shared" si="642"/>
        <v>行政財産</v>
      </c>
      <c r="D1895" s="7" t="str">
        <f t="shared" si="643"/>
        <v>公営住宅</v>
      </c>
      <c r="E1895" s="7" t="str">
        <f t="shared" si="639"/>
        <v>大阪府吹田市古江台４丁目</v>
      </c>
      <c r="F1895" s="7"/>
      <c r="G1895" s="7" t="str">
        <f t="shared" si="640"/>
        <v>事業用資産</v>
      </c>
      <c r="H1895" s="7" t="str">
        <f t="shared" si="632"/>
        <v>棚卸以外</v>
      </c>
      <c r="I1895" s="7">
        <v>25</v>
      </c>
      <c r="J1895" s="7" t="str">
        <f>"３４号棟増築"</f>
        <v>３４号棟増築</v>
      </c>
      <c r="K1895" s="7" t="str">
        <f t="shared" si="645"/>
        <v>鉄筋コンクリート造</v>
      </c>
      <c r="L1895" s="7" t="str">
        <f>"S58.12.19"</f>
        <v>S58.12.19</v>
      </c>
      <c r="M1895" s="7">
        <v>731.13</v>
      </c>
      <c r="N1895" s="7">
        <v>94371000</v>
      </c>
      <c r="O1895" s="7">
        <v>78810075</v>
      </c>
      <c r="P1895" s="7">
        <v>0</v>
      </c>
      <c r="Q1895" s="7" t="str">
        <f t="shared" si="644"/>
        <v>都市整備部</v>
      </c>
      <c r="R1895" s="7" t="str">
        <f t="shared" si="641"/>
        <v>住宅建築局住宅経営室</v>
      </c>
    </row>
    <row r="1896" spans="1:18" s="1" customFormat="1" x14ac:dyDescent="0.45">
      <c r="A1896" s="7" t="str">
        <f t="shared" si="637"/>
        <v>09940003136</v>
      </c>
      <c r="B1896" s="7" t="str">
        <f t="shared" si="638"/>
        <v>千里古江台・吹田古江台</v>
      </c>
      <c r="C1896" s="7" t="str">
        <f t="shared" si="642"/>
        <v>行政財産</v>
      </c>
      <c r="D1896" s="7" t="str">
        <f t="shared" si="643"/>
        <v>公営住宅</v>
      </c>
      <c r="E1896" s="7" t="str">
        <f t="shared" si="639"/>
        <v>大阪府吹田市古江台４丁目</v>
      </c>
      <c r="F1896" s="7"/>
      <c r="G1896" s="7" t="str">
        <f t="shared" si="640"/>
        <v>事業用資産</v>
      </c>
      <c r="H1896" s="7" t="str">
        <f t="shared" si="632"/>
        <v>棚卸以外</v>
      </c>
      <c r="I1896" s="7">
        <v>26</v>
      </c>
      <c r="J1896" s="7" t="str">
        <f>"３５号棟増築"</f>
        <v>３５号棟増築</v>
      </c>
      <c r="K1896" s="7" t="str">
        <f t="shared" si="645"/>
        <v>鉄筋コンクリート造</v>
      </c>
      <c r="L1896" s="7" t="str">
        <f>"S58.12.19"</f>
        <v>S58.12.19</v>
      </c>
      <c r="M1896" s="7">
        <v>711.18</v>
      </c>
      <c r="N1896" s="7">
        <v>92287000</v>
      </c>
      <c r="O1896" s="7">
        <v>77069730</v>
      </c>
      <c r="P1896" s="7">
        <v>0</v>
      </c>
      <c r="Q1896" s="7" t="str">
        <f t="shared" si="644"/>
        <v>都市整備部</v>
      </c>
      <c r="R1896" s="7" t="str">
        <f t="shared" si="641"/>
        <v>住宅建築局住宅経営室</v>
      </c>
    </row>
    <row r="1897" spans="1:18" s="1" customFormat="1" x14ac:dyDescent="0.45">
      <c r="A1897" s="7" t="str">
        <f t="shared" si="637"/>
        <v>09940003136</v>
      </c>
      <c r="B1897" s="7" t="str">
        <f t="shared" si="638"/>
        <v>千里古江台・吹田古江台</v>
      </c>
      <c r="C1897" s="7" t="str">
        <f t="shared" si="642"/>
        <v>行政財産</v>
      </c>
      <c r="D1897" s="7" t="str">
        <f t="shared" si="643"/>
        <v>公営住宅</v>
      </c>
      <c r="E1897" s="7" t="str">
        <f t="shared" si="639"/>
        <v>大阪府吹田市古江台４丁目</v>
      </c>
      <c r="F1897" s="7"/>
      <c r="G1897" s="7" t="str">
        <f t="shared" si="640"/>
        <v>事業用資産</v>
      </c>
      <c r="H1897" s="7" t="str">
        <f t="shared" si="632"/>
        <v>棚卸以外</v>
      </c>
      <c r="I1897" s="7">
        <v>31</v>
      </c>
      <c r="J1897" s="7" t="str">
        <f>"４２号棟増築"</f>
        <v>４２号棟増築</v>
      </c>
      <c r="K1897" s="7" t="str">
        <f t="shared" si="645"/>
        <v>鉄筋コンクリート造</v>
      </c>
      <c r="L1897" s="7" t="str">
        <f>"S59.11.28"</f>
        <v>S59.11.28</v>
      </c>
      <c r="M1897" s="7">
        <v>1020.37</v>
      </c>
      <c r="N1897" s="7">
        <v>141250000</v>
      </c>
      <c r="O1897" s="7">
        <v>115204240</v>
      </c>
      <c r="P1897" s="7">
        <v>0</v>
      </c>
      <c r="Q1897" s="7" t="str">
        <f t="shared" si="644"/>
        <v>都市整備部</v>
      </c>
      <c r="R1897" s="7" t="str">
        <f t="shared" si="641"/>
        <v>住宅建築局住宅経営室</v>
      </c>
    </row>
    <row r="1898" spans="1:18" s="1" customFormat="1" x14ac:dyDescent="0.45">
      <c r="A1898" s="7" t="str">
        <f t="shared" si="637"/>
        <v>09940003136</v>
      </c>
      <c r="B1898" s="7" t="str">
        <f t="shared" si="638"/>
        <v>千里古江台・吹田古江台</v>
      </c>
      <c r="C1898" s="7" t="str">
        <f t="shared" si="642"/>
        <v>行政財産</v>
      </c>
      <c r="D1898" s="7" t="str">
        <f t="shared" si="643"/>
        <v>公営住宅</v>
      </c>
      <c r="E1898" s="7" t="str">
        <f t="shared" si="639"/>
        <v>大阪府吹田市古江台４丁目</v>
      </c>
      <c r="F1898" s="7"/>
      <c r="G1898" s="7" t="str">
        <f t="shared" si="640"/>
        <v>事業用資産</v>
      </c>
      <c r="H1898" s="7" t="str">
        <f t="shared" si="632"/>
        <v>棚卸以外</v>
      </c>
      <c r="I1898" s="7">
        <v>34</v>
      </c>
      <c r="J1898" s="7" t="str">
        <f>"２８号棟増築"</f>
        <v>２８号棟増築</v>
      </c>
      <c r="K1898" s="7" t="str">
        <f t="shared" si="645"/>
        <v>鉄筋コンクリート造</v>
      </c>
      <c r="L1898" s="7" t="str">
        <f>"S59.12.21"</f>
        <v>S59.12.21</v>
      </c>
      <c r="M1898" s="7">
        <v>123.18</v>
      </c>
      <c r="N1898" s="7">
        <v>22616000</v>
      </c>
      <c r="O1898" s="7">
        <v>18405900</v>
      </c>
      <c r="P1898" s="7">
        <v>0</v>
      </c>
      <c r="Q1898" s="7" t="str">
        <f t="shared" si="644"/>
        <v>都市整備部</v>
      </c>
      <c r="R1898" s="7" t="str">
        <f t="shared" si="641"/>
        <v>住宅建築局住宅経営室</v>
      </c>
    </row>
    <row r="1899" spans="1:18" s="1" customFormat="1" x14ac:dyDescent="0.45">
      <c r="A1899" s="7" t="str">
        <f t="shared" si="637"/>
        <v>09940003136</v>
      </c>
      <c r="B1899" s="7" t="str">
        <f t="shared" si="638"/>
        <v>千里古江台・吹田古江台</v>
      </c>
      <c r="C1899" s="7" t="str">
        <f t="shared" si="642"/>
        <v>行政財産</v>
      </c>
      <c r="D1899" s="7" t="str">
        <f t="shared" si="643"/>
        <v>公営住宅</v>
      </c>
      <c r="E1899" s="7" t="str">
        <f t="shared" si="639"/>
        <v>大阪府吹田市古江台４丁目</v>
      </c>
      <c r="F1899" s="7"/>
      <c r="G1899" s="7" t="str">
        <f t="shared" si="640"/>
        <v>事業用資産</v>
      </c>
      <c r="H1899" s="7" t="str">
        <f t="shared" si="632"/>
        <v>棚卸以外</v>
      </c>
      <c r="I1899" s="7">
        <v>35</v>
      </c>
      <c r="J1899" s="7" t="str">
        <f>"２９号棟増築"</f>
        <v>２９号棟増築</v>
      </c>
      <c r="K1899" s="7" t="str">
        <f t="shared" si="645"/>
        <v>鉄筋コンクリート造</v>
      </c>
      <c r="L1899" s="7" t="str">
        <f>"S59.12.21"</f>
        <v>S59.12.21</v>
      </c>
      <c r="M1899" s="7">
        <v>461.94</v>
      </c>
      <c r="N1899" s="7">
        <v>78975000</v>
      </c>
      <c r="O1899" s="7">
        <v>64272393</v>
      </c>
      <c r="P1899" s="7">
        <v>0</v>
      </c>
      <c r="Q1899" s="7" t="str">
        <f t="shared" si="644"/>
        <v>都市整備部</v>
      </c>
      <c r="R1899" s="7" t="str">
        <f t="shared" si="641"/>
        <v>住宅建築局住宅経営室</v>
      </c>
    </row>
    <row r="1900" spans="1:18" s="1" customFormat="1" x14ac:dyDescent="0.45">
      <c r="A1900" s="7" t="str">
        <f t="shared" si="637"/>
        <v>09940003136</v>
      </c>
      <c r="B1900" s="7" t="str">
        <f t="shared" si="638"/>
        <v>千里古江台・吹田古江台</v>
      </c>
      <c r="C1900" s="7" t="str">
        <f t="shared" si="642"/>
        <v>行政財産</v>
      </c>
      <c r="D1900" s="7" t="str">
        <f t="shared" si="643"/>
        <v>公営住宅</v>
      </c>
      <c r="E1900" s="7" t="str">
        <f t="shared" si="639"/>
        <v>大阪府吹田市古江台４丁目</v>
      </c>
      <c r="F1900" s="7"/>
      <c r="G1900" s="7" t="str">
        <f t="shared" si="640"/>
        <v>事業用資産</v>
      </c>
      <c r="H1900" s="7" t="str">
        <f t="shared" si="632"/>
        <v>棚卸以外</v>
      </c>
      <c r="I1900" s="7">
        <v>36</v>
      </c>
      <c r="J1900" s="7" t="str">
        <f>"１５号棟増築"</f>
        <v>１５号棟増築</v>
      </c>
      <c r="K1900" s="7" t="str">
        <f t="shared" si="645"/>
        <v>鉄筋コンクリート造</v>
      </c>
      <c r="L1900" s="7" t="str">
        <f>"S10.11.21"</f>
        <v>S10.11.21</v>
      </c>
      <c r="M1900" s="7">
        <v>211.07</v>
      </c>
      <c r="N1900" s="7">
        <v>42454000</v>
      </c>
      <c r="O1900" s="7">
        <v>33722752</v>
      </c>
      <c r="P1900" s="7">
        <v>0</v>
      </c>
      <c r="Q1900" s="7" t="str">
        <f t="shared" si="644"/>
        <v>都市整備部</v>
      </c>
      <c r="R1900" s="7" t="str">
        <f t="shared" si="641"/>
        <v>住宅建築局住宅経営室</v>
      </c>
    </row>
    <row r="1901" spans="1:18" s="1" customFormat="1" x14ac:dyDescent="0.45">
      <c r="A1901" s="7" t="str">
        <f t="shared" si="637"/>
        <v>09940003136</v>
      </c>
      <c r="B1901" s="7" t="str">
        <f t="shared" si="638"/>
        <v>千里古江台・吹田古江台</v>
      </c>
      <c r="C1901" s="7" t="str">
        <f t="shared" si="642"/>
        <v>行政財産</v>
      </c>
      <c r="D1901" s="7" t="str">
        <f t="shared" si="643"/>
        <v>公営住宅</v>
      </c>
      <c r="E1901" s="7" t="str">
        <f t="shared" si="639"/>
        <v>大阪府吹田市古江台４丁目</v>
      </c>
      <c r="F1901" s="7"/>
      <c r="G1901" s="7" t="str">
        <f t="shared" si="640"/>
        <v>事業用資産</v>
      </c>
      <c r="H1901" s="7" t="str">
        <f t="shared" si="632"/>
        <v>棚卸以外</v>
      </c>
      <c r="I1901" s="7">
        <v>37</v>
      </c>
      <c r="J1901" s="7" t="str">
        <f>"１６号棟増築"</f>
        <v>１６号棟増築</v>
      </c>
      <c r="K1901" s="7" t="str">
        <f t="shared" si="645"/>
        <v>鉄筋コンクリート造</v>
      </c>
      <c r="L1901" s="7" t="str">
        <f>"S10.11.21"</f>
        <v>S10.11.21</v>
      </c>
      <c r="M1901" s="7">
        <v>211.07</v>
      </c>
      <c r="N1901" s="7">
        <v>42450000</v>
      </c>
      <c r="O1901" s="7">
        <v>33719168</v>
      </c>
      <c r="P1901" s="7">
        <v>0</v>
      </c>
      <c r="Q1901" s="7" t="str">
        <f t="shared" si="644"/>
        <v>都市整備部</v>
      </c>
      <c r="R1901" s="7" t="str">
        <f t="shared" si="641"/>
        <v>住宅建築局住宅経営室</v>
      </c>
    </row>
    <row r="1902" spans="1:18" s="1" customFormat="1" x14ac:dyDescent="0.45">
      <c r="A1902" s="7" t="str">
        <f t="shared" si="637"/>
        <v>09940003136</v>
      </c>
      <c r="B1902" s="7" t="str">
        <f t="shared" si="638"/>
        <v>千里古江台・吹田古江台</v>
      </c>
      <c r="C1902" s="7" t="str">
        <f t="shared" si="642"/>
        <v>行政財産</v>
      </c>
      <c r="D1902" s="7" t="str">
        <f t="shared" si="643"/>
        <v>公営住宅</v>
      </c>
      <c r="E1902" s="7" t="str">
        <f t="shared" si="639"/>
        <v>大阪府吹田市古江台４丁目</v>
      </c>
      <c r="F1902" s="7"/>
      <c r="G1902" s="7" t="str">
        <f t="shared" si="640"/>
        <v>事業用資産</v>
      </c>
      <c r="H1902" s="7" t="str">
        <f t="shared" si="632"/>
        <v>棚卸以外</v>
      </c>
      <c r="I1902" s="7">
        <v>38</v>
      </c>
      <c r="J1902" s="7" t="str">
        <f>"１７号棟増築"</f>
        <v>１７号棟増築</v>
      </c>
      <c r="K1902" s="7" t="str">
        <f t="shared" si="645"/>
        <v>鉄筋コンクリート造</v>
      </c>
      <c r="L1902" s="7" t="str">
        <f>"S10.11.21"</f>
        <v>S10.11.21</v>
      </c>
      <c r="M1902" s="7">
        <v>211.07</v>
      </c>
      <c r="N1902" s="7">
        <v>42449000</v>
      </c>
      <c r="O1902" s="7">
        <v>33718720</v>
      </c>
      <c r="P1902" s="7">
        <v>0</v>
      </c>
      <c r="Q1902" s="7" t="str">
        <f t="shared" si="644"/>
        <v>都市整備部</v>
      </c>
      <c r="R1902" s="7" t="str">
        <f t="shared" si="641"/>
        <v>住宅建築局住宅経営室</v>
      </c>
    </row>
    <row r="1903" spans="1:18" s="1" customFormat="1" x14ac:dyDescent="0.45">
      <c r="A1903" s="7" t="str">
        <f t="shared" si="637"/>
        <v>09940003136</v>
      </c>
      <c r="B1903" s="7" t="str">
        <f t="shared" si="638"/>
        <v>千里古江台・吹田古江台</v>
      </c>
      <c r="C1903" s="7" t="str">
        <f t="shared" si="642"/>
        <v>行政財産</v>
      </c>
      <c r="D1903" s="7" t="str">
        <f t="shared" si="643"/>
        <v>公営住宅</v>
      </c>
      <c r="E1903" s="7" t="str">
        <f t="shared" si="639"/>
        <v>大阪府吹田市古江台４丁目</v>
      </c>
      <c r="F1903" s="7"/>
      <c r="G1903" s="7" t="str">
        <f t="shared" si="640"/>
        <v>事業用資産</v>
      </c>
      <c r="H1903" s="7" t="str">
        <f t="shared" si="632"/>
        <v>棚卸以外</v>
      </c>
      <c r="I1903" s="7">
        <v>39</v>
      </c>
      <c r="J1903" s="7" t="str">
        <f>"１８号棟増築"</f>
        <v>１８号棟増築</v>
      </c>
      <c r="K1903" s="7" t="str">
        <f t="shared" si="645"/>
        <v>鉄筋コンクリート造</v>
      </c>
      <c r="L1903" s="7" t="str">
        <f>"S10.11.21"</f>
        <v>S10.11.21</v>
      </c>
      <c r="M1903" s="7">
        <v>74.040000000000006</v>
      </c>
      <c r="N1903" s="7">
        <v>15589000</v>
      </c>
      <c r="O1903" s="7">
        <v>12383168</v>
      </c>
      <c r="P1903" s="7">
        <v>0</v>
      </c>
      <c r="Q1903" s="7" t="str">
        <f t="shared" si="644"/>
        <v>都市整備部</v>
      </c>
      <c r="R1903" s="7" t="str">
        <f t="shared" si="641"/>
        <v>住宅建築局住宅経営室</v>
      </c>
    </row>
    <row r="1904" spans="1:18" s="1" customFormat="1" x14ac:dyDescent="0.45">
      <c r="A1904" s="7" t="str">
        <f t="shared" si="637"/>
        <v>09940003136</v>
      </c>
      <c r="B1904" s="7" t="str">
        <f t="shared" si="638"/>
        <v>千里古江台・吹田古江台</v>
      </c>
      <c r="C1904" s="7" t="str">
        <f t="shared" si="642"/>
        <v>行政財産</v>
      </c>
      <c r="D1904" s="7" t="str">
        <f t="shared" si="643"/>
        <v>公営住宅</v>
      </c>
      <c r="E1904" s="7" t="str">
        <f t="shared" si="639"/>
        <v>大阪府吹田市古江台４丁目</v>
      </c>
      <c r="F1904" s="7"/>
      <c r="G1904" s="7" t="str">
        <f t="shared" si="640"/>
        <v>事業用資産</v>
      </c>
      <c r="H1904" s="7" t="str">
        <f t="shared" si="632"/>
        <v>棚卸以外</v>
      </c>
      <c r="I1904" s="7">
        <v>41</v>
      </c>
      <c r="J1904" s="7" t="str">
        <f>"３７号棟増築"</f>
        <v>３７号棟増築</v>
      </c>
      <c r="K1904" s="7" t="str">
        <f t="shared" si="645"/>
        <v>鉄筋コンクリート造</v>
      </c>
      <c r="L1904" s="7" t="str">
        <f t="shared" ref="L1904:L1909" si="646">"S60.09.27"</f>
        <v>S60.09.27</v>
      </c>
      <c r="M1904" s="7">
        <v>151.06</v>
      </c>
      <c r="N1904" s="7">
        <v>25895000</v>
      </c>
      <c r="O1904" s="7">
        <v>20661300</v>
      </c>
      <c r="P1904" s="7">
        <v>0</v>
      </c>
      <c r="Q1904" s="7" t="str">
        <f t="shared" si="644"/>
        <v>都市整備部</v>
      </c>
      <c r="R1904" s="7" t="str">
        <f t="shared" si="641"/>
        <v>住宅建築局住宅経営室</v>
      </c>
    </row>
    <row r="1905" spans="1:18" s="1" customFormat="1" x14ac:dyDescent="0.45">
      <c r="A1905" s="7" t="str">
        <f t="shared" si="637"/>
        <v>09940003136</v>
      </c>
      <c r="B1905" s="7" t="str">
        <f t="shared" si="638"/>
        <v>千里古江台・吹田古江台</v>
      </c>
      <c r="C1905" s="7" t="str">
        <f t="shared" si="642"/>
        <v>行政財産</v>
      </c>
      <c r="D1905" s="7" t="str">
        <f t="shared" si="643"/>
        <v>公営住宅</v>
      </c>
      <c r="E1905" s="7" t="str">
        <f t="shared" si="639"/>
        <v>大阪府吹田市古江台４丁目</v>
      </c>
      <c r="F1905" s="7"/>
      <c r="G1905" s="7" t="str">
        <f t="shared" si="640"/>
        <v>事業用資産</v>
      </c>
      <c r="H1905" s="7" t="str">
        <f t="shared" si="632"/>
        <v>棚卸以外</v>
      </c>
      <c r="I1905" s="7">
        <v>42</v>
      </c>
      <c r="J1905" s="7" t="str">
        <f>"３８号棟増築"</f>
        <v>３８号棟増築</v>
      </c>
      <c r="K1905" s="7" t="str">
        <f t="shared" si="645"/>
        <v>鉄筋コンクリート造</v>
      </c>
      <c r="L1905" s="7" t="str">
        <f t="shared" si="646"/>
        <v>S60.09.27</v>
      </c>
      <c r="M1905" s="7">
        <v>411.51</v>
      </c>
      <c r="N1905" s="7">
        <v>95392000</v>
      </c>
      <c r="O1905" s="7">
        <v>76110750</v>
      </c>
      <c r="P1905" s="7">
        <v>0</v>
      </c>
      <c r="Q1905" s="7" t="str">
        <f t="shared" si="644"/>
        <v>都市整備部</v>
      </c>
      <c r="R1905" s="7" t="str">
        <f t="shared" si="641"/>
        <v>住宅建築局住宅経営室</v>
      </c>
    </row>
    <row r="1906" spans="1:18" s="1" customFormat="1" x14ac:dyDescent="0.45">
      <c r="A1906" s="7" t="str">
        <f t="shared" si="637"/>
        <v>09940003136</v>
      </c>
      <c r="B1906" s="7" t="str">
        <f t="shared" si="638"/>
        <v>千里古江台・吹田古江台</v>
      </c>
      <c r="C1906" s="7" t="str">
        <f t="shared" si="642"/>
        <v>行政財産</v>
      </c>
      <c r="D1906" s="7" t="str">
        <f t="shared" si="643"/>
        <v>公営住宅</v>
      </c>
      <c r="E1906" s="7" t="str">
        <f t="shared" si="639"/>
        <v>大阪府吹田市古江台４丁目</v>
      </c>
      <c r="F1906" s="7"/>
      <c r="G1906" s="7" t="str">
        <f t="shared" si="640"/>
        <v>事業用資産</v>
      </c>
      <c r="H1906" s="7" t="str">
        <f t="shared" si="632"/>
        <v>棚卸以外</v>
      </c>
      <c r="I1906" s="7">
        <v>43</v>
      </c>
      <c r="J1906" s="7" t="str">
        <f>"３９号棟増築"</f>
        <v>３９号棟増築</v>
      </c>
      <c r="K1906" s="7" t="str">
        <f t="shared" si="645"/>
        <v>鉄筋コンクリート造</v>
      </c>
      <c r="L1906" s="7" t="str">
        <f t="shared" si="646"/>
        <v>S60.09.27</v>
      </c>
      <c r="M1906" s="7">
        <v>735.96</v>
      </c>
      <c r="N1906" s="7">
        <v>97132000</v>
      </c>
      <c r="O1906" s="7">
        <v>77499000</v>
      </c>
      <c r="P1906" s="7">
        <v>0</v>
      </c>
      <c r="Q1906" s="7" t="str">
        <f t="shared" si="644"/>
        <v>都市整備部</v>
      </c>
      <c r="R1906" s="7" t="str">
        <f t="shared" si="641"/>
        <v>住宅建築局住宅経営室</v>
      </c>
    </row>
    <row r="1907" spans="1:18" s="1" customFormat="1" x14ac:dyDescent="0.45">
      <c r="A1907" s="7" t="str">
        <f t="shared" si="637"/>
        <v>09940003136</v>
      </c>
      <c r="B1907" s="7" t="str">
        <f t="shared" si="638"/>
        <v>千里古江台・吹田古江台</v>
      </c>
      <c r="C1907" s="7" t="str">
        <f t="shared" si="642"/>
        <v>行政財産</v>
      </c>
      <c r="D1907" s="7" t="str">
        <f t="shared" si="643"/>
        <v>公営住宅</v>
      </c>
      <c r="E1907" s="7" t="str">
        <f t="shared" si="639"/>
        <v>大阪府吹田市古江台４丁目</v>
      </c>
      <c r="F1907" s="7"/>
      <c r="G1907" s="7" t="str">
        <f t="shared" si="640"/>
        <v>事業用資産</v>
      </c>
      <c r="H1907" s="7" t="str">
        <f t="shared" si="632"/>
        <v>棚卸以外</v>
      </c>
      <c r="I1907" s="7">
        <v>44</v>
      </c>
      <c r="J1907" s="7" t="str">
        <f>"４０号棟増築"</f>
        <v>４０号棟増築</v>
      </c>
      <c r="K1907" s="7" t="str">
        <f t="shared" si="645"/>
        <v>鉄筋コンクリート造</v>
      </c>
      <c r="L1907" s="7" t="str">
        <f t="shared" si="646"/>
        <v>S60.09.27</v>
      </c>
      <c r="M1907" s="7">
        <v>151.96</v>
      </c>
      <c r="N1907" s="7">
        <v>26018000</v>
      </c>
      <c r="O1907" s="7">
        <v>20759400</v>
      </c>
      <c r="P1907" s="7">
        <v>0</v>
      </c>
      <c r="Q1907" s="7" t="str">
        <f t="shared" si="644"/>
        <v>都市整備部</v>
      </c>
      <c r="R1907" s="7" t="str">
        <f t="shared" si="641"/>
        <v>住宅建築局住宅経営室</v>
      </c>
    </row>
    <row r="1908" spans="1:18" s="1" customFormat="1" x14ac:dyDescent="0.45">
      <c r="A1908" s="7" t="str">
        <f t="shared" si="637"/>
        <v>09940003136</v>
      </c>
      <c r="B1908" s="7" t="str">
        <f t="shared" si="638"/>
        <v>千里古江台・吹田古江台</v>
      </c>
      <c r="C1908" s="7" t="str">
        <f t="shared" si="642"/>
        <v>行政財産</v>
      </c>
      <c r="D1908" s="7" t="str">
        <f t="shared" si="643"/>
        <v>公営住宅</v>
      </c>
      <c r="E1908" s="7" t="str">
        <f t="shared" si="639"/>
        <v>大阪府吹田市古江台４丁目</v>
      </c>
      <c r="F1908" s="7"/>
      <c r="G1908" s="7" t="str">
        <f t="shared" si="640"/>
        <v>事業用資産</v>
      </c>
      <c r="H1908" s="7" t="str">
        <f t="shared" si="632"/>
        <v>棚卸以外</v>
      </c>
      <c r="I1908" s="7">
        <v>45</v>
      </c>
      <c r="J1908" s="7" t="str">
        <f>"４１号棟増築"</f>
        <v>４１号棟増築</v>
      </c>
      <c r="K1908" s="7" t="str">
        <f t="shared" si="645"/>
        <v>鉄筋コンクリート造</v>
      </c>
      <c r="L1908" s="7" t="str">
        <f t="shared" si="646"/>
        <v>S60.09.27</v>
      </c>
      <c r="M1908" s="7">
        <v>281.97000000000003</v>
      </c>
      <c r="N1908" s="7">
        <v>72346000</v>
      </c>
      <c r="O1908" s="7">
        <v>57723300</v>
      </c>
      <c r="P1908" s="7">
        <v>0</v>
      </c>
      <c r="Q1908" s="7" t="str">
        <f t="shared" si="644"/>
        <v>都市整備部</v>
      </c>
      <c r="R1908" s="7" t="str">
        <f t="shared" si="641"/>
        <v>住宅建築局住宅経営室</v>
      </c>
    </row>
    <row r="1909" spans="1:18" s="1" customFormat="1" x14ac:dyDescent="0.45">
      <c r="A1909" s="7" t="str">
        <f t="shared" si="637"/>
        <v>09940003136</v>
      </c>
      <c r="B1909" s="7" t="str">
        <f t="shared" si="638"/>
        <v>千里古江台・吹田古江台</v>
      </c>
      <c r="C1909" s="7" t="str">
        <f t="shared" si="642"/>
        <v>行政財産</v>
      </c>
      <c r="D1909" s="7" t="str">
        <f t="shared" si="643"/>
        <v>公営住宅</v>
      </c>
      <c r="E1909" s="7" t="str">
        <f t="shared" si="639"/>
        <v>大阪府吹田市古江台４丁目</v>
      </c>
      <c r="F1909" s="7"/>
      <c r="G1909" s="7" t="str">
        <f t="shared" si="640"/>
        <v>事業用資産</v>
      </c>
      <c r="H1909" s="7" t="str">
        <f t="shared" si="632"/>
        <v>棚卸以外</v>
      </c>
      <c r="I1909" s="7">
        <v>48</v>
      </c>
      <c r="J1909" s="7" t="str">
        <f>"１０号棟増築"</f>
        <v>１０号棟増築</v>
      </c>
      <c r="K1909" s="7" t="str">
        <f t="shared" si="645"/>
        <v>鉄筋コンクリート造</v>
      </c>
      <c r="L1909" s="7" t="str">
        <f t="shared" si="646"/>
        <v>S60.09.27</v>
      </c>
      <c r="M1909" s="7">
        <v>156.6</v>
      </c>
      <c r="N1909" s="7">
        <v>26550000</v>
      </c>
      <c r="O1909" s="7">
        <v>21183750</v>
      </c>
      <c r="P1909" s="7">
        <v>0</v>
      </c>
      <c r="Q1909" s="7" t="str">
        <f t="shared" si="644"/>
        <v>都市整備部</v>
      </c>
      <c r="R1909" s="7" t="str">
        <f t="shared" si="641"/>
        <v>住宅建築局住宅経営室</v>
      </c>
    </row>
    <row r="1910" spans="1:18" s="1" customFormat="1" x14ac:dyDescent="0.45">
      <c r="A1910" s="7" t="str">
        <f t="shared" ref="A1910:A1930" si="647">"09940003136"</f>
        <v>09940003136</v>
      </c>
      <c r="B1910" s="7" t="str">
        <f t="shared" ref="B1910:B1930" si="648">"千里古江台・吹田古江台"</f>
        <v>千里古江台・吹田古江台</v>
      </c>
      <c r="C1910" s="7" t="str">
        <f t="shared" si="642"/>
        <v>行政財産</v>
      </c>
      <c r="D1910" s="7" t="str">
        <f t="shared" si="643"/>
        <v>公営住宅</v>
      </c>
      <c r="E1910" s="7" t="str">
        <f t="shared" ref="E1910:E1930" si="649">"大阪府吹田市古江台４丁目"</f>
        <v>大阪府吹田市古江台４丁目</v>
      </c>
      <c r="F1910" s="7"/>
      <c r="G1910" s="7" t="str">
        <f t="shared" si="640"/>
        <v>事業用資産</v>
      </c>
      <c r="H1910" s="7" t="str">
        <f t="shared" si="632"/>
        <v>棚卸以外</v>
      </c>
      <c r="I1910" s="7">
        <v>49</v>
      </c>
      <c r="J1910" s="7" t="str">
        <f>"１４号棟増築"</f>
        <v>１４号棟増築</v>
      </c>
      <c r="K1910" s="7" t="str">
        <f t="shared" si="645"/>
        <v>鉄筋コンクリート造</v>
      </c>
      <c r="L1910" s="7" t="str">
        <f>"S60.11.26"</f>
        <v>S60.11.26</v>
      </c>
      <c r="M1910" s="7">
        <v>74.05</v>
      </c>
      <c r="N1910" s="7">
        <v>15533000</v>
      </c>
      <c r="O1910" s="7">
        <v>12338368</v>
      </c>
      <c r="P1910" s="7">
        <v>0</v>
      </c>
      <c r="Q1910" s="7" t="str">
        <f t="shared" si="644"/>
        <v>都市整備部</v>
      </c>
      <c r="R1910" s="7" t="str">
        <f t="shared" si="641"/>
        <v>住宅建築局住宅経営室</v>
      </c>
    </row>
    <row r="1911" spans="1:18" s="1" customFormat="1" x14ac:dyDescent="0.45">
      <c r="A1911" s="7" t="str">
        <f t="shared" si="647"/>
        <v>09940003136</v>
      </c>
      <c r="B1911" s="7" t="str">
        <f t="shared" si="648"/>
        <v>千里古江台・吹田古江台</v>
      </c>
      <c r="C1911" s="7" t="str">
        <f t="shared" si="642"/>
        <v>行政財産</v>
      </c>
      <c r="D1911" s="7" t="str">
        <f t="shared" si="643"/>
        <v>公営住宅</v>
      </c>
      <c r="E1911" s="7" t="str">
        <f t="shared" si="649"/>
        <v>大阪府吹田市古江台４丁目</v>
      </c>
      <c r="F1911" s="7"/>
      <c r="G1911" s="7" t="str">
        <f t="shared" si="640"/>
        <v>事業用資産</v>
      </c>
      <c r="H1911" s="7" t="str">
        <f t="shared" si="632"/>
        <v>棚卸以外</v>
      </c>
      <c r="I1911" s="7">
        <v>50</v>
      </c>
      <c r="J1911" s="7" t="str">
        <f>"集会所増築"</f>
        <v>集会所増築</v>
      </c>
      <c r="K1911" s="7" t="str">
        <f t="shared" si="645"/>
        <v>鉄筋コンクリート造</v>
      </c>
      <c r="L1911" s="7" t="str">
        <f>"S63.03.31"</f>
        <v>S63.03.31</v>
      </c>
      <c r="M1911" s="7">
        <v>122.69</v>
      </c>
      <c r="N1911" s="7">
        <v>22800000</v>
      </c>
      <c r="O1911" s="7">
        <v>16978920</v>
      </c>
      <c r="P1911" s="7">
        <v>0</v>
      </c>
      <c r="Q1911" s="7" t="str">
        <f t="shared" si="644"/>
        <v>都市整備部</v>
      </c>
      <c r="R1911" s="7" t="str">
        <f t="shared" si="641"/>
        <v>住宅建築局住宅経営室</v>
      </c>
    </row>
    <row r="1912" spans="1:18" s="1" customFormat="1" x14ac:dyDescent="0.45">
      <c r="A1912" s="7" t="str">
        <f t="shared" si="647"/>
        <v>09940003136</v>
      </c>
      <c r="B1912" s="7" t="str">
        <f t="shared" si="648"/>
        <v>千里古江台・吹田古江台</v>
      </c>
      <c r="C1912" s="7" t="str">
        <f t="shared" si="642"/>
        <v>行政財産</v>
      </c>
      <c r="D1912" s="7" t="str">
        <f t="shared" si="643"/>
        <v>公営住宅</v>
      </c>
      <c r="E1912" s="7" t="str">
        <f t="shared" si="649"/>
        <v>大阪府吹田市古江台４丁目</v>
      </c>
      <c r="F1912" s="7"/>
      <c r="G1912" s="7" t="str">
        <f t="shared" si="640"/>
        <v>事業用資産</v>
      </c>
      <c r="H1912" s="7" t="str">
        <f t="shared" si="632"/>
        <v>棚卸以外</v>
      </c>
      <c r="I1912" s="7">
        <v>51</v>
      </c>
      <c r="J1912" s="7" t="str">
        <f>"Ｂ４３、Ｂ４４号棟"</f>
        <v>Ｂ４３、Ｂ４４号棟</v>
      </c>
      <c r="K1912" s="7" t="str">
        <f t="shared" si="645"/>
        <v>鉄筋コンクリート造</v>
      </c>
      <c r="L1912" s="7" t="str">
        <f>"H09.03.27"</f>
        <v>H09.03.27</v>
      </c>
      <c r="M1912" s="7">
        <v>5860.91</v>
      </c>
      <c r="N1912" s="7">
        <v>1245980377</v>
      </c>
      <c r="O1912" s="7">
        <v>689475066</v>
      </c>
      <c r="P1912" s="7">
        <v>0</v>
      </c>
      <c r="Q1912" s="7" t="str">
        <f t="shared" si="644"/>
        <v>都市整備部</v>
      </c>
      <c r="R1912" s="7" t="str">
        <f t="shared" si="641"/>
        <v>住宅建築局住宅経営室</v>
      </c>
    </row>
    <row r="1913" spans="1:18" s="1" customFormat="1" x14ac:dyDescent="0.45">
      <c r="A1913" s="7" t="str">
        <f t="shared" si="647"/>
        <v>09940003136</v>
      </c>
      <c r="B1913" s="7" t="str">
        <f t="shared" si="648"/>
        <v>千里古江台・吹田古江台</v>
      </c>
      <c r="C1913" s="7" t="str">
        <f t="shared" si="642"/>
        <v>行政財産</v>
      </c>
      <c r="D1913" s="7" t="str">
        <f t="shared" si="643"/>
        <v>公営住宅</v>
      </c>
      <c r="E1913" s="7" t="str">
        <f t="shared" si="649"/>
        <v>大阪府吹田市古江台４丁目</v>
      </c>
      <c r="F1913" s="7"/>
      <c r="G1913" s="7" t="str">
        <f t="shared" si="640"/>
        <v>事業用資産</v>
      </c>
      <c r="H1913" s="7" t="str">
        <f t="shared" si="632"/>
        <v>棚卸以外</v>
      </c>
      <c r="I1913" s="7">
        <v>52</v>
      </c>
      <c r="J1913" s="7" t="str">
        <f>"受水槽ポンプ室"</f>
        <v>受水槽ポンプ室</v>
      </c>
      <c r="K1913" s="7" t="str">
        <f t="shared" si="645"/>
        <v>鉄筋コンクリート造</v>
      </c>
      <c r="L1913" s="7" t="str">
        <f>"H09.03.27"</f>
        <v>H09.03.27</v>
      </c>
      <c r="M1913" s="7">
        <v>127.89</v>
      </c>
      <c r="N1913" s="7">
        <v>54277000</v>
      </c>
      <c r="O1913" s="7">
        <v>30025632</v>
      </c>
      <c r="P1913" s="7">
        <v>0</v>
      </c>
      <c r="Q1913" s="7" t="str">
        <f t="shared" si="644"/>
        <v>都市整備部</v>
      </c>
      <c r="R1913" s="7" t="str">
        <f t="shared" si="641"/>
        <v>住宅建築局住宅経営室</v>
      </c>
    </row>
    <row r="1914" spans="1:18" s="1" customFormat="1" x14ac:dyDescent="0.45">
      <c r="A1914" s="7" t="str">
        <f t="shared" si="647"/>
        <v>09940003136</v>
      </c>
      <c r="B1914" s="7" t="str">
        <f t="shared" si="648"/>
        <v>千里古江台・吹田古江台</v>
      </c>
      <c r="C1914" s="7" t="str">
        <f t="shared" si="642"/>
        <v>行政財産</v>
      </c>
      <c r="D1914" s="7" t="str">
        <f t="shared" si="643"/>
        <v>公営住宅</v>
      </c>
      <c r="E1914" s="7" t="str">
        <f t="shared" si="649"/>
        <v>大阪府吹田市古江台４丁目</v>
      </c>
      <c r="F1914" s="7"/>
      <c r="G1914" s="7" t="str">
        <f t="shared" si="640"/>
        <v>事業用資産</v>
      </c>
      <c r="H1914" s="7" t="str">
        <f t="shared" si="632"/>
        <v>棚卸以外</v>
      </c>
      <c r="I1914" s="7">
        <v>53</v>
      </c>
      <c r="J1914" s="7" t="str">
        <f>"Ｂ４５棟"</f>
        <v>Ｂ４５棟</v>
      </c>
      <c r="K1914" s="7" t="str">
        <f t="shared" si="645"/>
        <v>鉄筋コンクリート造</v>
      </c>
      <c r="L1914" s="7" t="str">
        <f>"H11.04.28"</f>
        <v>H11.04.28</v>
      </c>
      <c r="M1914" s="7">
        <v>3966.79</v>
      </c>
      <c r="N1914" s="7">
        <v>795087771</v>
      </c>
      <c r="O1914" s="7">
        <v>405029313</v>
      </c>
      <c r="P1914" s="7">
        <v>0</v>
      </c>
      <c r="Q1914" s="7" t="str">
        <f t="shared" si="644"/>
        <v>都市整備部</v>
      </c>
      <c r="R1914" s="7" t="str">
        <f t="shared" si="641"/>
        <v>住宅建築局住宅経営室</v>
      </c>
    </row>
    <row r="1915" spans="1:18" s="1" customFormat="1" x14ac:dyDescent="0.45">
      <c r="A1915" s="7" t="str">
        <f t="shared" si="647"/>
        <v>09940003136</v>
      </c>
      <c r="B1915" s="7" t="str">
        <f t="shared" si="648"/>
        <v>千里古江台・吹田古江台</v>
      </c>
      <c r="C1915" s="7" t="str">
        <f t="shared" si="642"/>
        <v>行政財産</v>
      </c>
      <c r="D1915" s="7" t="str">
        <f t="shared" si="643"/>
        <v>公営住宅</v>
      </c>
      <c r="E1915" s="7" t="str">
        <f t="shared" si="649"/>
        <v>大阪府吹田市古江台４丁目</v>
      </c>
      <c r="F1915" s="7"/>
      <c r="G1915" s="7" t="str">
        <f t="shared" si="640"/>
        <v>事業用資産</v>
      </c>
      <c r="H1915" s="7" t="str">
        <f t="shared" si="632"/>
        <v>棚卸以外</v>
      </c>
      <c r="I1915" s="7">
        <v>54</v>
      </c>
      <c r="J1915" s="7" t="str">
        <f>"Ｂ４６棟"</f>
        <v>Ｂ４６棟</v>
      </c>
      <c r="K1915" s="7" t="str">
        <f t="shared" si="645"/>
        <v>鉄筋コンクリート造</v>
      </c>
      <c r="L1915" s="7" t="str">
        <f>"H11.04.28"</f>
        <v>H11.04.28</v>
      </c>
      <c r="M1915" s="7">
        <v>2916.07</v>
      </c>
      <c r="N1915" s="7">
        <v>591621772</v>
      </c>
      <c r="O1915" s="7">
        <v>301492628</v>
      </c>
      <c r="P1915" s="7">
        <v>0</v>
      </c>
      <c r="Q1915" s="7" t="str">
        <f t="shared" si="644"/>
        <v>都市整備部</v>
      </c>
      <c r="R1915" s="7" t="str">
        <f t="shared" si="641"/>
        <v>住宅建築局住宅経営室</v>
      </c>
    </row>
    <row r="1916" spans="1:18" s="1" customFormat="1" x14ac:dyDescent="0.45">
      <c r="A1916" s="7" t="str">
        <f t="shared" si="647"/>
        <v>09940003136</v>
      </c>
      <c r="B1916" s="7" t="str">
        <f t="shared" si="648"/>
        <v>千里古江台・吹田古江台</v>
      </c>
      <c r="C1916" s="7" t="str">
        <f t="shared" si="642"/>
        <v>行政財産</v>
      </c>
      <c r="D1916" s="7" t="str">
        <f t="shared" si="643"/>
        <v>公営住宅</v>
      </c>
      <c r="E1916" s="7" t="str">
        <f t="shared" si="649"/>
        <v>大阪府吹田市古江台４丁目</v>
      </c>
      <c r="F1916" s="7"/>
      <c r="G1916" s="7" t="str">
        <f t="shared" si="640"/>
        <v>事業用資産</v>
      </c>
      <c r="H1916" s="7" t="str">
        <f t="shared" si="632"/>
        <v>棚卸以外</v>
      </c>
      <c r="I1916" s="7">
        <v>55</v>
      </c>
      <c r="J1916" s="7" t="str">
        <f>"集会所"</f>
        <v>集会所</v>
      </c>
      <c r="K1916" s="7" t="str">
        <f t="shared" si="645"/>
        <v>鉄筋コンクリート造</v>
      </c>
      <c r="L1916" s="7" t="str">
        <f>"H11.04.01"</f>
        <v>H11.04.01</v>
      </c>
      <c r="M1916" s="7">
        <v>99.97</v>
      </c>
      <c r="N1916" s="7">
        <v>23595000</v>
      </c>
      <c r="O1916" s="7">
        <v>12006932</v>
      </c>
      <c r="P1916" s="7">
        <v>0</v>
      </c>
      <c r="Q1916" s="7" t="str">
        <f t="shared" si="644"/>
        <v>都市整備部</v>
      </c>
      <c r="R1916" s="7" t="str">
        <f t="shared" si="641"/>
        <v>住宅建築局住宅経営室</v>
      </c>
    </row>
    <row r="1917" spans="1:18" s="1" customFormat="1" x14ac:dyDescent="0.45">
      <c r="A1917" s="7" t="str">
        <f t="shared" si="647"/>
        <v>09940003136</v>
      </c>
      <c r="B1917" s="7" t="str">
        <f t="shared" si="648"/>
        <v>千里古江台・吹田古江台</v>
      </c>
      <c r="C1917" s="7" t="str">
        <f t="shared" si="642"/>
        <v>行政財産</v>
      </c>
      <c r="D1917" s="7" t="str">
        <f t="shared" si="643"/>
        <v>公営住宅</v>
      </c>
      <c r="E1917" s="7" t="str">
        <f t="shared" si="649"/>
        <v>大阪府吹田市古江台４丁目</v>
      </c>
      <c r="F1917" s="7"/>
      <c r="G1917" s="7" t="str">
        <f t="shared" si="640"/>
        <v>事業用資産</v>
      </c>
      <c r="H1917" s="7" t="str">
        <f t="shared" si="632"/>
        <v>棚卸以外</v>
      </c>
      <c r="I1917" s="7">
        <v>56</v>
      </c>
      <c r="J1917" s="7" t="str">
        <f>"Ｂ４７号棟"</f>
        <v>Ｂ４７号棟</v>
      </c>
      <c r="K1917" s="7" t="str">
        <f t="shared" si="645"/>
        <v>鉄筋コンクリート造</v>
      </c>
      <c r="L1917" s="7" t="str">
        <f>"H17.02.25"</f>
        <v>H17.02.25</v>
      </c>
      <c r="M1917" s="7">
        <v>1326.21</v>
      </c>
      <c r="N1917" s="7">
        <v>270128559</v>
      </c>
      <c r="O1917" s="7">
        <v>104217043</v>
      </c>
      <c r="P1917" s="7">
        <v>0</v>
      </c>
      <c r="Q1917" s="7" t="str">
        <f t="shared" si="644"/>
        <v>都市整備部</v>
      </c>
      <c r="R1917" s="7" t="str">
        <f t="shared" si="641"/>
        <v>住宅建築局住宅経営室</v>
      </c>
    </row>
    <row r="1918" spans="1:18" s="1" customFormat="1" x14ac:dyDescent="0.45">
      <c r="A1918" s="7" t="str">
        <f t="shared" si="647"/>
        <v>09940003136</v>
      </c>
      <c r="B1918" s="7" t="str">
        <f t="shared" si="648"/>
        <v>千里古江台・吹田古江台</v>
      </c>
      <c r="C1918" s="7" t="str">
        <f t="shared" si="642"/>
        <v>行政財産</v>
      </c>
      <c r="D1918" s="7" t="str">
        <f t="shared" si="643"/>
        <v>公営住宅</v>
      </c>
      <c r="E1918" s="7" t="str">
        <f t="shared" si="649"/>
        <v>大阪府吹田市古江台４丁目</v>
      </c>
      <c r="F1918" s="7"/>
      <c r="G1918" s="7" t="str">
        <f t="shared" si="640"/>
        <v>事業用資産</v>
      </c>
      <c r="H1918" s="7" t="str">
        <f t="shared" si="632"/>
        <v>棚卸以外</v>
      </c>
      <c r="I1918" s="7">
        <v>57</v>
      </c>
      <c r="J1918" s="7" t="str">
        <f>"３号棟（吹田古江台）"</f>
        <v>３号棟（吹田古江台）</v>
      </c>
      <c r="K1918" s="7" t="str">
        <f>"鉄骨コンクリート造"</f>
        <v>鉄骨コンクリート造</v>
      </c>
      <c r="L1918" s="7" t="str">
        <f>"H22.05.27"</f>
        <v>H22.05.27</v>
      </c>
      <c r="M1918" s="7">
        <v>8611.2999999999993</v>
      </c>
      <c r="N1918" s="7">
        <v>1297098343</v>
      </c>
      <c r="O1918" s="7">
        <v>354940067</v>
      </c>
      <c r="P1918" s="7">
        <v>0</v>
      </c>
      <c r="Q1918" s="7" t="str">
        <f t="shared" si="644"/>
        <v>都市整備部</v>
      </c>
      <c r="R1918" s="7" t="str">
        <f t="shared" si="641"/>
        <v>住宅建築局住宅経営室</v>
      </c>
    </row>
    <row r="1919" spans="1:18" s="1" customFormat="1" x14ac:dyDescent="0.45">
      <c r="A1919" s="7" t="str">
        <f t="shared" si="647"/>
        <v>09940003136</v>
      </c>
      <c r="B1919" s="7" t="str">
        <f t="shared" si="648"/>
        <v>千里古江台・吹田古江台</v>
      </c>
      <c r="C1919" s="7" t="str">
        <f t="shared" si="642"/>
        <v>行政財産</v>
      </c>
      <c r="D1919" s="7" t="str">
        <f t="shared" si="643"/>
        <v>公営住宅</v>
      </c>
      <c r="E1919" s="7" t="str">
        <f t="shared" si="649"/>
        <v>大阪府吹田市古江台４丁目</v>
      </c>
      <c r="F1919" s="7"/>
      <c r="G1919" s="7" t="str">
        <f t="shared" si="640"/>
        <v>事業用資産</v>
      </c>
      <c r="H1919" s="7" t="str">
        <f t="shared" si="632"/>
        <v>棚卸以外</v>
      </c>
      <c r="I1919" s="7">
        <v>58</v>
      </c>
      <c r="J1919" s="7" t="str">
        <f>"電気室・ポンプ室"</f>
        <v>電気室・ポンプ室</v>
      </c>
      <c r="K1919" s="7" t="str">
        <f>"鉄筋コンクリート造"</f>
        <v>鉄筋コンクリート造</v>
      </c>
      <c r="L1919" s="7" t="str">
        <f>"H22.05.27"</f>
        <v>H22.05.27</v>
      </c>
      <c r="M1919" s="7">
        <v>39.69</v>
      </c>
      <c r="N1919" s="7">
        <v>16593000</v>
      </c>
      <c r="O1919" s="7">
        <v>4530834</v>
      </c>
      <c r="P1919" s="7">
        <v>0</v>
      </c>
      <c r="Q1919" s="7" t="str">
        <f t="shared" si="644"/>
        <v>都市整備部</v>
      </c>
      <c r="R1919" s="7" t="str">
        <f t="shared" si="641"/>
        <v>住宅建築局住宅経営室</v>
      </c>
    </row>
    <row r="1920" spans="1:18" s="1" customFormat="1" x14ac:dyDescent="0.45">
      <c r="A1920" s="7" t="str">
        <f t="shared" si="647"/>
        <v>09940003136</v>
      </c>
      <c r="B1920" s="7" t="str">
        <f t="shared" si="648"/>
        <v>千里古江台・吹田古江台</v>
      </c>
      <c r="C1920" s="7" t="str">
        <f t="shared" si="642"/>
        <v>行政財産</v>
      </c>
      <c r="D1920" s="7" t="str">
        <f t="shared" si="643"/>
        <v>公営住宅</v>
      </c>
      <c r="E1920" s="7" t="str">
        <f t="shared" si="649"/>
        <v>大阪府吹田市古江台４丁目</v>
      </c>
      <c r="F1920" s="7"/>
      <c r="G1920" s="7" t="str">
        <f t="shared" si="640"/>
        <v>事業用資産</v>
      </c>
      <c r="H1920" s="7" t="str">
        <f t="shared" si="632"/>
        <v>棚卸以外</v>
      </c>
      <c r="I1920" s="7">
        <v>59</v>
      </c>
      <c r="J1920" s="7" t="str">
        <f>"２号棟（吹田古江台）"</f>
        <v>２号棟（吹田古江台）</v>
      </c>
      <c r="K1920" s="7" t="str">
        <f>"鉄骨コンクリート造"</f>
        <v>鉄骨コンクリート造</v>
      </c>
      <c r="L1920" s="7" t="str">
        <f>"H25.02.01"</f>
        <v>H25.02.01</v>
      </c>
      <c r="M1920" s="7">
        <v>7920.24</v>
      </c>
      <c r="N1920" s="7">
        <v>968128913</v>
      </c>
      <c r="O1920" s="7">
        <v>207672750</v>
      </c>
      <c r="P1920" s="7">
        <v>0</v>
      </c>
      <c r="Q1920" s="7" t="str">
        <f t="shared" si="644"/>
        <v>都市整備部</v>
      </c>
      <c r="R1920" s="7" t="str">
        <f t="shared" si="641"/>
        <v>住宅建築局住宅経営室</v>
      </c>
    </row>
    <row r="1921" spans="1:18" s="1" customFormat="1" x14ac:dyDescent="0.45">
      <c r="A1921" s="7" t="str">
        <f t="shared" si="647"/>
        <v>09940003136</v>
      </c>
      <c r="B1921" s="7" t="str">
        <f t="shared" si="648"/>
        <v>千里古江台・吹田古江台</v>
      </c>
      <c r="C1921" s="7" t="str">
        <f t="shared" si="642"/>
        <v>行政財産</v>
      </c>
      <c r="D1921" s="7" t="str">
        <f t="shared" si="643"/>
        <v>公営住宅</v>
      </c>
      <c r="E1921" s="7" t="str">
        <f t="shared" si="649"/>
        <v>大阪府吹田市古江台４丁目</v>
      </c>
      <c r="F1921" s="7"/>
      <c r="G1921" s="7" t="str">
        <f t="shared" si="640"/>
        <v>事業用資産</v>
      </c>
      <c r="H1921" s="7" t="str">
        <f t="shared" si="632"/>
        <v>棚卸以外</v>
      </c>
      <c r="I1921" s="7">
        <v>61</v>
      </c>
      <c r="J1921" s="7" t="str">
        <f>"ブースターポンプ室"</f>
        <v>ブースターポンプ室</v>
      </c>
      <c r="K1921" s="7" t="str">
        <f t="shared" ref="K1921:K1960" si="650">"鉄筋コンクリート造"</f>
        <v>鉄筋コンクリート造</v>
      </c>
      <c r="L1921" s="7" t="str">
        <f>"H25.02.01"</f>
        <v>H25.02.01</v>
      </c>
      <c r="M1921" s="7">
        <v>6</v>
      </c>
      <c r="N1921" s="7">
        <v>8546327</v>
      </c>
      <c r="O1921" s="7">
        <v>1833634</v>
      </c>
      <c r="P1921" s="7">
        <v>0</v>
      </c>
      <c r="Q1921" s="7" t="str">
        <f t="shared" si="644"/>
        <v>都市整備部</v>
      </c>
      <c r="R1921" s="7" t="str">
        <f t="shared" si="641"/>
        <v>住宅建築局住宅経営室</v>
      </c>
    </row>
    <row r="1922" spans="1:18" s="1" customFormat="1" x14ac:dyDescent="0.45">
      <c r="A1922" s="7" t="str">
        <f t="shared" si="647"/>
        <v>09940003136</v>
      </c>
      <c r="B1922" s="7" t="str">
        <f t="shared" si="648"/>
        <v>千里古江台・吹田古江台</v>
      </c>
      <c r="C1922" s="7" t="str">
        <f t="shared" si="642"/>
        <v>行政財産</v>
      </c>
      <c r="D1922" s="7" t="str">
        <f t="shared" si="643"/>
        <v>公営住宅</v>
      </c>
      <c r="E1922" s="7" t="str">
        <f t="shared" si="649"/>
        <v>大阪府吹田市古江台４丁目</v>
      </c>
      <c r="F1922" s="7"/>
      <c r="G1922" s="7" t="str">
        <f t="shared" si="640"/>
        <v>事業用資産</v>
      </c>
      <c r="H1922" s="7" t="str">
        <f t="shared" si="632"/>
        <v>棚卸以外</v>
      </c>
      <c r="I1922" s="7">
        <v>62</v>
      </c>
      <c r="J1922" s="7" t="str">
        <f>"電気室"</f>
        <v>電気室</v>
      </c>
      <c r="K1922" s="7" t="str">
        <f t="shared" si="650"/>
        <v>鉄筋コンクリート造</v>
      </c>
      <c r="L1922" s="7" t="str">
        <f>"H24.02.01"</f>
        <v>H24.02.01</v>
      </c>
      <c r="M1922" s="7">
        <v>38</v>
      </c>
      <c r="N1922" s="7">
        <v>5537306</v>
      </c>
      <c r="O1922" s="7">
        <v>1187978</v>
      </c>
      <c r="P1922" s="7">
        <v>0</v>
      </c>
      <c r="Q1922" s="7" t="str">
        <f t="shared" si="644"/>
        <v>都市整備部</v>
      </c>
      <c r="R1922" s="7" t="str">
        <f t="shared" si="641"/>
        <v>住宅建築局住宅経営室</v>
      </c>
    </row>
    <row r="1923" spans="1:18" s="1" customFormat="1" x14ac:dyDescent="0.45">
      <c r="A1923" s="7" t="str">
        <f t="shared" si="647"/>
        <v>09940003136</v>
      </c>
      <c r="B1923" s="7" t="str">
        <f t="shared" si="648"/>
        <v>千里古江台・吹田古江台</v>
      </c>
      <c r="C1923" s="7" t="str">
        <f t="shared" si="642"/>
        <v>行政財産</v>
      </c>
      <c r="D1923" s="7" t="str">
        <f t="shared" si="643"/>
        <v>公営住宅</v>
      </c>
      <c r="E1923" s="7" t="str">
        <f t="shared" si="649"/>
        <v>大阪府吹田市古江台４丁目</v>
      </c>
      <c r="F1923" s="7"/>
      <c r="G1923" s="7" t="str">
        <f t="shared" si="640"/>
        <v>事業用資産</v>
      </c>
      <c r="H1923" s="7" t="str">
        <f t="shared" si="632"/>
        <v>棚卸以外</v>
      </c>
      <c r="I1923" s="7">
        <v>63</v>
      </c>
      <c r="J1923" s="7" t="str">
        <f>"５号棟（吹田古江台）"</f>
        <v>５号棟（吹田古江台）</v>
      </c>
      <c r="K1923" s="7" t="str">
        <f t="shared" si="650"/>
        <v>鉄筋コンクリート造</v>
      </c>
      <c r="L1923" s="7" t="str">
        <f>"H27.12.01"</f>
        <v>H27.12.01</v>
      </c>
      <c r="M1923" s="7">
        <v>6457.11</v>
      </c>
      <c r="N1923" s="7">
        <v>1157336701</v>
      </c>
      <c r="O1923" s="7">
        <v>178565576</v>
      </c>
      <c r="P1923" s="7">
        <v>0</v>
      </c>
      <c r="Q1923" s="7" t="str">
        <f t="shared" si="644"/>
        <v>都市整備部</v>
      </c>
      <c r="R1923" s="7" t="str">
        <f t="shared" si="641"/>
        <v>住宅建築局住宅経営室</v>
      </c>
    </row>
    <row r="1924" spans="1:18" s="1" customFormat="1" x14ac:dyDescent="0.45">
      <c r="A1924" s="7" t="str">
        <f t="shared" si="647"/>
        <v>09940003136</v>
      </c>
      <c r="B1924" s="7" t="str">
        <f t="shared" si="648"/>
        <v>千里古江台・吹田古江台</v>
      </c>
      <c r="C1924" s="7" t="str">
        <f t="shared" si="642"/>
        <v>行政財産</v>
      </c>
      <c r="D1924" s="7" t="str">
        <f t="shared" si="643"/>
        <v>公営住宅</v>
      </c>
      <c r="E1924" s="7" t="str">
        <f t="shared" si="649"/>
        <v>大阪府吹田市古江台４丁目</v>
      </c>
      <c r="F1924" s="7"/>
      <c r="G1924" s="7" t="str">
        <f t="shared" si="640"/>
        <v>事業用資産</v>
      </c>
      <c r="H1924" s="7" t="str">
        <f t="shared" ref="H1924:H1987" si="651">"棚卸以外"</f>
        <v>棚卸以外</v>
      </c>
      <c r="I1924" s="7">
        <v>64</v>
      </c>
      <c r="J1924" s="7" t="str">
        <f>"ポンプ室（電気室と同一棟）吹田古江台"</f>
        <v>ポンプ室（電気室と同一棟）吹田古江台</v>
      </c>
      <c r="K1924" s="7" t="str">
        <f t="shared" si="650"/>
        <v>鉄筋コンクリート造</v>
      </c>
      <c r="L1924" s="7" t="str">
        <f>"H27.12.01"</f>
        <v>H27.12.01</v>
      </c>
      <c r="M1924" s="7">
        <v>44.08</v>
      </c>
      <c r="N1924" s="7">
        <v>18394484</v>
      </c>
      <c r="O1924" s="7">
        <v>2837505</v>
      </c>
      <c r="P1924" s="7">
        <v>0</v>
      </c>
      <c r="Q1924" s="7" t="str">
        <f t="shared" si="644"/>
        <v>都市整備部</v>
      </c>
      <c r="R1924" s="7" t="str">
        <f t="shared" si="641"/>
        <v>住宅建築局住宅経営室</v>
      </c>
    </row>
    <row r="1925" spans="1:18" s="1" customFormat="1" x14ac:dyDescent="0.45">
      <c r="A1925" s="7" t="str">
        <f t="shared" si="647"/>
        <v>09940003136</v>
      </c>
      <c r="B1925" s="7" t="str">
        <f t="shared" si="648"/>
        <v>千里古江台・吹田古江台</v>
      </c>
      <c r="C1925" s="7" t="str">
        <f t="shared" si="642"/>
        <v>行政財産</v>
      </c>
      <c r="D1925" s="7" t="str">
        <f t="shared" si="643"/>
        <v>公営住宅</v>
      </c>
      <c r="E1925" s="7" t="str">
        <f t="shared" si="649"/>
        <v>大阪府吹田市古江台４丁目</v>
      </c>
      <c r="F1925" s="7"/>
      <c r="G1925" s="7" t="str">
        <f t="shared" si="640"/>
        <v>事業用資産</v>
      </c>
      <c r="H1925" s="7" t="str">
        <f t="shared" si="651"/>
        <v>棚卸以外</v>
      </c>
      <c r="I1925" s="7">
        <v>66</v>
      </c>
      <c r="J1925" s="7" t="str">
        <f>"ポンプ室（電気室と同一棟）"</f>
        <v>ポンプ室（電気室と同一棟）</v>
      </c>
      <c r="K1925" s="7" t="str">
        <f t="shared" si="650"/>
        <v>鉄筋コンクリート造</v>
      </c>
      <c r="L1925" s="7" t="str">
        <f>"H28.02.01"</f>
        <v>H28.02.01</v>
      </c>
      <c r="M1925" s="7">
        <v>44.08</v>
      </c>
      <c r="N1925" s="7">
        <v>17407976</v>
      </c>
      <c r="O1925" s="7">
        <v>2623610</v>
      </c>
      <c r="P1925" s="7">
        <v>0</v>
      </c>
      <c r="Q1925" s="7" t="str">
        <f t="shared" si="644"/>
        <v>都市整備部</v>
      </c>
      <c r="R1925" s="7" t="str">
        <f t="shared" si="641"/>
        <v>住宅建築局住宅経営室</v>
      </c>
    </row>
    <row r="1926" spans="1:18" s="1" customFormat="1" x14ac:dyDescent="0.45">
      <c r="A1926" s="7" t="str">
        <f t="shared" si="647"/>
        <v>09940003136</v>
      </c>
      <c r="B1926" s="7" t="str">
        <f t="shared" si="648"/>
        <v>千里古江台・吹田古江台</v>
      </c>
      <c r="C1926" s="7" t="str">
        <f t="shared" si="642"/>
        <v>行政財産</v>
      </c>
      <c r="D1926" s="7" t="str">
        <f t="shared" si="643"/>
        <v>公営住宅</v>
      </c>
      <c r="E1926" s="7" t="str">
        <f t="shared" si="649"/>
        <v>大阪府吹田市古江台４丁目</v>
      </c>
      <c r="F1926" s="7"/>
      <c r="G1926" s="7" t="str">
        <f t="shared" si="640"/>
        <v>事業用資産</v>
      </c>
      <c r="H1926" s="7" t="str">
        <f t="shared" si="651"/>
        <v>棚卸以外</v>
      </c>
      <c r="I1926" s="7">
        <v>67</v>
      </c>
      <c r="J1926" s="7" t="str">
        <f>"吹田古江台　１号棟"</f>
        <v>吹田古江台　１号棟</v>
      </c>
      <c r="K1926" s="7" t="str">
        <f t="shared" si="650"/>
        <v>鉄筋コンクリート造</v>
      </c>
      <c r="L1926" s="7" t="str">
        <f>"H28.02.01"</f>
        <v>H28.02.01</v>
      </c>
      <c r="M1926" s="7">
        <v>7125.05</v>
      </c>
      <c r="N1926" s="7">
        <v>1276689248</v>
      </c>
      <c r="O1926" s="7">
        <v>192493410</v>
      </c>
      <c r="P1926" s="7">
        <v>0</v>
      </c>
      <c r="Q1926" s="7" t="str">
        <f t="shared" si="644"/>
        <v>都市整備部</v>
      </c>
      <c r="R1926" s="7" t="str">
        <f t="shared" si="641"/>
        <v>住宅建築局住宅経営室</v>
      </c>
    </row>
    <row r="1927" spans="1:18" s="1" customFormat="1" x14ac:dyDescent="0.45">
      <c r="A1927" s="7" t="str">
        <f t="shared" si="647"/>
        <v>09940003136</v>
      </c>
      <c r="B1927" s="7" t="str">
        <f t="shared" si="648"/>
        <v>千里古江台・吹田古江台</v>
      </c>
      <c r="C1927" s="7" t="str">
        <f t="shared" si="642"/>
        <v>行政財産</v>
      </c>
      <c r="D1927" s="7" t="str">
        <f t="shared" si="643"/>
        <v>公営住宅</v>
      </c>
      <c r="E1927" s="7" t="str">
        <f t="shared" si="649"/>
        <v>大阪府吹田市古江台４丁目</v>
      </c>
      <c r="F1927" s="7"/>
      <c r="G1927" s="7" t="str">
        <f t="shared" si="640"/>
        <v>事業用資産</v>
      </c>
      <c r="H1927" s="7" t="str">
        <f t="shared" si="651"/>
        <v>棚卸以外</v>
      </c>
      <c r="I1927" s="7">
        <v>69</v>
      </c>
      <c r="J1927" s="7" t="str">
        <f>"電気室・受水槽・ポンプ室"</f>
        <v>電気室・受水槽・ポンプ室</v>
      </c>
      <c r="K1927" s="7" t="str">
        <f t="shared" si="650"/>
        <v>鉄筋コンクリート造</v>
      </c>
      <c r="L1927" s="7" t="str">
        <f>"R01.08.01"</f>
        <v>R01.08.01</v>
      </c>
      <c r="M1927" s="7">
        <v>55.51</v>
      </c>
      <c r="N1927" s="7">
        <v>21844892</v>
      </c>
      <c r="O1927" s="7">
        <v>1665519</v>
      </c>
      <c r="P1927" s="7">
        <v>0</v>
      </c>
      <c r="Q1927" s="7" t="str">
        <f t="shared" si="644"/>
        <v>都市整備部</v>
      </c>
      <c r="R1927" s="7" t="str">
        <f t="shared" si="641"/>
        <v>住宅建築局住宅経営室</v>
      </c>
    </row>
    <row r="1928" spans="1:18" s="1" customFormat="1" x14ac:dyDescent="0.45">
      <c r="A1928" s="7" t="str">
        <f t="shared" si="647"/>
        <v>09940003136</v>
      </c>
      <c r="B1928" s="7" t="str">
        <f t="shared" si="648"/>
        <v>千里古江台・吹田古江台</v>
      </c>
      <c r="C1928" s="7" t="str">
        <f t="shared" si="642"/>
        <v>行政財産</v>
      </c>
      <c r="D1928" s="7" t="str">
        <f t="shared" si="643"/>
        <v>公営住宅</v>
      </c>
      <c r="E1928" s="7" t="str">
        <f t="shared" si="649"/>
        <v>大阪府吹田市古江台４丁目</v>
      </c>
      <c r="F1928" s="7"/>
      <c r="G1928" s="7" t="str">
        <f t="shared" si="640"/>
        <v>事業用資産</v>
      </c>
      <c r="H1928" s="7" t="str">
        <f t="shared" si="651"/>
        <v>棚卸以外</v>
      </c>
      <c r="I1928" s="7">
        <v>70</v>
      </c>
      <c r="J1928" s="7" t="str">
        <f>"吹田古江台　４号棟"</f>
        <v>吹田古江台　４号棟</v>
      </c>
      <c r="K1928" s="7" t="str">
        <f t="shared" si="650"/>
        <v>鉄筋コンクリート造</v>
      </c>
      <c r="L1928" s="7" t="str">
        <f>"R01.09.01"</f>
        <v>R01.09.01</v>
      </c>
      <c r="M1928" s="7">
        <v>7695.87</v>
      </c>
      <c r="N1928" s="7">
        <v>1535520219</v>
      </c>
      <c r="O1928" s="7">
        <v>114347268</v>
      </c>
      <c r="P1928" s="7">
        <v>0</v>
      </c>
      <c r="Q1928" s="7" t="str">
        <f t="shared" si="644"/>
        <v>都市整備部</v>
      </c>
      <c r="R1928" s="7" t="str">
        <f t="shared" si="641"/>
        <v>住宅建築局住宅経営室</v>
      </c>
    </row>
    <row r="1929" spans="1:18" s="1" customFormat="1" x14ac:dyDescent="0.45">
      <c r="A1929" s="7" t="str">
        <f t="shared" si="647"/>
        <v>09940003136</v>
      </c>
      <c r="B1929" s="7" t="str">
        <f t="shared" si="648"/>
        <v>千里古江台・吹田古江台</v>
      </c>
      <c r="C1929" s="7" t="str">
        <f t="shared" si="642"/>
        <v>行政財産</v>
      </c>
      <c r="D1929" s="7" t="str">
        <f t="shared" si="643"/>
        <v>公営住宅</v>
      </c>
      <c r="E1929" s="7" t="str">
        <f t="shared" si="649"/>
        <v>大阪府吹田市古江台４丁目</v>
      </c>
      <c r="F1929" s="7"/>
      <c r="G1929" s="7" t="str">
        <f t="shared" si="640"/>
        <v>事業用資産</v>
      </c>
      <c r="H1929" s="7" t="str">
        <f t="shared" si="651"/>
        <v>棚卸以外</v>
      </c>
      <c r="I1929" s="7">
        <v>71</v>
      </c>
      <c r="J1929" s="7" t="str">
        <f>"電気室・受水槽・ポンプ室"</f>
        <v>電気室・受水槽・ポンプ室</v>
      </c>
      <c r="K1929" s="7" t="str">
        <f t="shared" si="650"/>
        <v>鉄筋コンクリート造</v>
      </c>
      <c r="L1929" s="7" t="str">
        <f>"R01.09.01"</f>
        <v>R01.09.01</v>
      </c>
      <c r="M1929" s="7">
        <v>65.52</v>
      </c>
      <c r="N1929" s="7">
        <v>27354449</v>
      </c>
      <c r="O1929" s="7">
        <v>2037042</v>
      </c>
      <c r="P1929" s="7">
        <v>0</v>
      </c>
      <c r="Q1929" s="7" t="str">
        <f t="shared" si="644"/>
        <v>都市整備部</v>
      </c>
      <c r="R1929" s="7" t="str">
        <f t="shared" si="641"/>
        <v>住宅建築局住宅経営室</v>
      </c>
    </row>
    <row r="1930" spans="1:18" s="1" customFormat="1" x14ac:dyDescent="0.45">
      <c r="A1930" s="7" t="str">
        <f t="shared" si="647"/>
        <v>09940003136</v>
      </c>
      <c r="B1930" s="7" t="str">
        <f t="shared" si="648"/>
        <v>千里古江台・吹田古江台</v>
      </c>
      <c r="C1930" s="7" t="str">
        <f t="shared" si="642"/>
        <v>行政財産</v>
      </c>
      <c r="D1930" s="7" t="str">
        <f t="shared" si="643"/>
        <v>公営住宅</v>
      </c>
      <c r="E1930" s="7" t="str">
        <f t="shared" si="649"/>
        <v>大阪府吹田市古江台４丁目</v>
      </c>
      <c r="F1930" s="7"/>
      <c r="G1930" s="7" t="str">
        <f t="shared" si="640"/>
        <v>事業用資産</v>
      </c>
      <c r="H1930" s="7" t="str">
        <f t="shared" si="651"/>
        <v>棚卸以外</v>
      </c>
      <c r="I1930" s="7">
        <v>72</v>
      </c>
      <c r="J1930" s="7" t="str">
        <f>"吹田古江台　６号棟"</f>
        <v>吹田古江台　６号棟</v>
      </c>
      <c r="K1930" s="7" t="str">
        <f t="shared" si="650"/>
        <v>鉄筋コンクリート造</v>
      </c>
      <c r="L1930" s="7" t="str">
        <f>"R01.08.01"</f>
        <v>R01.08.01</v>
      </c>
      <c r="M1930" s="7">
        <v>5149.49</v>
      </c>
      <c r="N1930" s="7">
        <v>1050100389</v>
      </c>
      <c r="O1930" s="7">
        <v>80060883</v>
      </c>
      <c r="P1930" s="7">
        <v>0</v>
      </c>
      <c r="Q1930" s="7" t="str">
        <f t="shared" si="644"/>
        <v>都市整備部</v>
      </c>
      <c r="R1930" s="7" t="str">
        <f t="shared" si="641"/>
        <v>住宅建築局住宅経営室</v>
      </c>
    </row>
    <row r="1931" spans="1:18" s="1" customFormat="1" x14ac:dyDescent="0.45">
      <c r="A1931" s="7" t="str">
        <f>"09940003140"</f>
        <v>09940003140</v>
      </c>
      <c r="B1931" s="7" t="str">
        <f>"交野藤が尾"</f>
        <v>交野藤が尾</v>
      </c>
      <c r="C1931" s="7" t="str">
        <f t="shared" si="642"/>
        <v>行政財産</v>
      </c>
      <c r="D1931" s="7" t="str">
        <f t="shared" si="643"/>
        <v>公営住宅</v>
      </c>
      <c r="E1931" s="7" t="str">
        <f>"大阪府交野市藤が尾１丁目"</f>
        <v>大阪府交野市藤が尾１丁目</v>
      </c>
      <c r="F1931" s="7"/>
      <c r="G1931" s="7" t="str">
        <f t="shared" si="640"/>
        <v>事業用資産</v>
      </c>
      <c r="H1931" s="7" t="str">
        <f t="shared" si="651"/>
        <v>棚卸以外</v>
      </c>
      <c r="I1931" s="7">
        <v>1</v>
      </c>
      <c r="J1931" s="7" t="str">
        <f>"１～９・１１～１５号棟"</f>
        <v>１～９・１１～１５号棟</v>
      </c>
      <c r="K1931" s="7" t="str">
        <f t="shared" si="650"/>
        <v>鉄筋コンクリート造</v>
      </c>
      <c r="L1931" s="7" t="str">
        <f>"S49.04.01"</f>
        <v>S49.04.01</v>
      </c>
      <c r="M1931" s="7">
        <v>32142.15</v>
      </c>
      <c r="N1931" s="7">
        <v>2101527472</v>
      </c>
      <c r="O1931" s="7">
        <v>1629154358</v>
      </c>
      <c r="P1931" s="7">
        <v>0</v>
      </c>
      <c r="Q1931" s="7" t="str">
        <f t="shared" si="644"/>
        <v>都市整備部</v>
      </c>
      <c r="R1931" s="7" t="str">
        <f t="shared" si="641"/>
        <v>住宅建築局住宅経営室</v>
      </c>
    </row>
    <row r="1932" spans="1:18" s="1" customFormat="1" x14ac:dyDescent="0.45">
      <c r="A1932" s="7" t="str">
        <f>"09940003140"</f>
        <v>09940003140</v>
      </c>
      <c r="B1932" s="7" t="str">
        <f>"交野藤が尾"</f>
        <v>交野藤が尾</v>
      </c>
      <c r="C1932" s="7" t="str">
        <f t="shared" si="642"/>
        <v>行政財産</v>
      </c>
      <c r="D1932" s="7" t="str">
        <f t="shared" si="643"/>
        <v>公営住宅</v>
      </c>
      <c r="E1932" s="7" t="str">
        <f>"大阪府交野市藤が尾１丁目"</f>
        <v>大阪府交野市藤が尾１丁目</v>
      </c>
      <c r="F1932" s="7"/>
      <c r="G1932" s="7" t="str">
        <f t="shared" si="640"/>
        <v>事業用資産</v>
      </c>
      <c r="H1932" s="7" t="str">
        <f t="shared" si="651"/>
        <v>棚卸以外</v>
      </c>
      <c r="I1932" s="7">
        <v>2</v>
      </c>
      <c r="J1932" s="7" t="str">
        <f>"集会所"</f>
        <v>集会所</v>
      </c>
      <c r="K1932" s="7" t="str">
        <f t="shared" si="650"/>
        <v>鉄筋コンクリート造</v>
      </c>
      <c r="L1932" s="7" t="str">
        <f>"S49.04.01"</f>
        <v>S49.04.01</v>
      </c>
      <c r="M1932" s="7">
        <v>158.34</v>
      </c>
      <c r="N1932" s="7">
        <v>7898000</v>
      </c>
      <c r="O1932" s="7">
        <v>7897999</v>
      </c>
      <c r="P1932" s="7">
        <v>0</v>
      </c>
      <c r="Q1932" s="7" t="str">
        <f t="shared" si="644"/>
        <v>都市整備部</v>
      </c>
      <c r="R1932" s="7" t="str">
        <f t="shared" si="641"/>
        <v>住宅建築局住宅経営室</v>
      </c>
    </row>
    <row r="1933" spans="1:18" s="1" customFormat="1" x14ac:dyDescent="0.45">
      <c r="A1933" s="7" t="str">
        <f t="shared" ref="A1933:A1961" si="652">"09940003141"</f>
        <v>09940003141</v>
      </c>
      <c r="B1933" s="7" t="str">
        <f t="shared" ref="B1933:B1961" si="653">"吹田藤白台（旧　千里藤白台）"</f>
        <v>吹田藤白台（旧　千里藤白台）</v>
      </c>
      <c r="C1933" s="7" t="str">
        <f t="shared" si="642"/>
        <v>行政財産</v>
      </c>
      <c r="D1933" s="7" t="str">
        <f t="shared" si="643"/>
        <v>公営住宅</v>
      </c>
      <c r="E1933" s="7" t="str">
        <f t="shared" ref="E1933:E1961" si="654">"大阪府吹田市藤白台１丁目"</f>
        <v>大阪府吹田市藤白台１丁目</v>
      </c>
      <c r="F1933" s="7"/>
      <c r="G1933" s="7" t="str">
        <f t="shared" si="640"/>
        <v>事業用資産</v>
      </c>
      <c r="H1933" s="7" t="str">
        <f t="shared" si="651"/>
        <v>棚卸以外</v>
      </c>
      <c r="I1933" s="7">
        <v>1</v>
      </c>
      <c r="J1933" s="7" t="str">
        <f>"23・34～37号棟"</f>
        <v>23・34～37号棟</v>
      </c>
      <c r="K1933" s="7" t="str">
        <f t="shared" si="650"/>
        <v>鉄筋コンクリート造</v>
      </c>
      <c r="L1933" s="7" t="str">
        <f>"S40.03.25"</f>
        <v>S40.03.25</v>
      </c>
      <c r="M1933" s="7">
        <v>10837.11</v>
      </c>
      <c r="N1933" s="7">
        <v>750681932</v>
      </c>
      <c r="O1933" s="7">
        <v>750681931</v>
      </c>
      <c r="P1933" s="7">
        <v>0</v>
      </c>
      <c r="Q1933" s="7" t="str">
        <f t="shared" si="644"/>
        <v>都市整備部</v>
      </c>
      <c r="R1933" s="7" t="str">
        <f t="shared" si="641"/>
        <v>住宅建築局住宅経営室</v>
      </c>
    </row>
    <row r="1934" spans="1:18" s="1" customFormat="1" x14ac:dyDescent="0.45">
      <c r="A1934" s="7" t="str">
        <f t="shared" si="652"/>
        <v>09940003141</v>
      </c>
      <c r="B1934" s="7" t="str">
        <f t="shared" si="653"/>
        <v>吹田藤白台（旧　千里藤白台）</v>
      </c>
      <c r="C1934" s="7" t="str">
        <f t="shared" si="642"/>
        <v>行政財産</v>
      </c>
      <c r="D1934" s="7" t="str">
        <f t="shared" si="643"/>
        <v>公営住宅</v>
      </c>
      <c r="E1934" s="7" t="str">
        <f t="shared" si="654"/>
        <v>大阪府吹田市藤白台１丁目</v>
      </c>
      <c r="F1934" s="7"/>
      <c r="G1934" s="7" t="str">
        <f t="shared" si="640"/>
        <v>事業用資産</v>
      </c>
      <c r="H1934" s="7" t="str">
        <f t="shared" si="651"/>
        <v>棚卸以外</v>
      </c>
      <c r="I1934" s="7">
        <v>2</v>
      </c>
      <c r="J1934" s="7" t="str">
        <f>"３２、３３号棟"</f>
        <v>３２、３３号棟</v>
      </c>
      <c r="K1934" s="7" t="str">
        <f t="shared" si="650"/>
        <v>鉄筋コンクリート造</v>
      </c>
      <c r="L1934" s="7" t="str">
        <f>"S40.03.25"</f>
        <v>S40.03.25</v>
      </c>
      <c r="M1934" s="7">
        <v>3414.33</v>
      </c>
      <c r="N1934" s="7">
        <v>242041236</v>
      </c>
      <c r="O1934" s="7">
        <v>242041235</v>
      </c>
      <c r="P1934" s="7">
        <v>0</v>
      </c>
      <c r="Q1934" s="7" t="str">
        <f t="shared" si="644"/>
        <v>都市整備部</v>
      </c>
      <c r="R1934" s="7" t="str">
        <f t="shared" si="641"/>
        <v>住宅建築局住宅経営室</v>
      </c>
    </row>
    <row r="1935" spans="1:18" s="1" customFormat="1" x14ac:dyDescent="0.45">
      <c r="A1935" s="7" t="str">
        <f t="shared" si="652"/>
        <v>09940003141</v>
      </c>
      <c r="B1935" s="7" t="str">
        <f t="shared" si="653"/>
        <v>吹田藤白台（旧　千里藤白台）</v>
      </c>
      <c r="C1935" s="7" t="str">
        <f t="shared" si="642"/>
        <v>行政財産</v>
      </c>
      <c r="D1935" s="7" t="str">
        <f t="shared" si="643"/>
        <v>公営住宅</v>
      </c>
      <c r="E1935" s="7" t="str">
        <f t="shared" si="654"/>
        <v>大阪府吹田市藤白台１丁目</v>
      </c>
      <c r="F1935" s="7"/>
      <c r="G1935" s="7" t="str">
        <f t="shared" si="640"/>
        <v>事業用資産</v>
      </c>
      <c r="H1935" s="7" t="str">
        <f t="shared" si="651"/>
        <v>棚卸以外</v>
      </c>
      <c r="I1935" s="7">
        <v>3</v>
      </c>
      <c r="J1935" s="7" t="str">
        <f>"集会所"</f>
        <v>集会所</v>
      </c>
      <c r="K1935" s="7" t="str">
        <f t="shared" si="650"/>
        <v>鉄筋コンクリート造</v>
      </c>
      <c r="L1935" s="7" t="str">
        <f>"S40.03.25"</f>
        <v>S40.03.25</v>
      </c>
      <c r="M1935" s="7">
        <v>99.17</v>
      </c>
      <c r="N1935" s="7">
        <v>3850000</v>
      </c>
      <c r="O1935" s="7">
        <v>3849999</v>
      </c>
      <c r="P1935" s="7">
        <v>0</v>
      </c>
      <c r="Q1935" s="7" t="str">
        <f t="shared" si="644"/>
        <v>都市整備部</v>
      </c>
      <c r="R1935" s="7" t="str">
        <f t="shared" si="641"/>
        <v>住宅建築局住宅経営室</v>
      </c>
    </row>
    <row r="1936" spans="1:18" s="1" customFormat="1" x14ac:dyDescent="0.45">
      <c r="A1936" s="7" t="str">
        <f t="shared" si="652"/>
        <v>09940003141</v>
      </c>
      <c r="B1936" s="7" t="str">
        <f t="shared" si="653"/>
        <v>吹田藤白台（旧　千里藤白台）</v>
      </c>
      <c r="C1936" s="7" t="str">
        <f t="shared" si="642"/>
        <v>行政財産</v>
      </c>
      <c r="D1936" s="7" t="str">
        <f t="shared" si="643"/>
        <v>公営住宅</v>
      </c>
      <c r="E1936" s="7" t="str">
        <f t="shared" si="654"/>
        <v>大阪府吹田市藤白台１丁目</v>
      </c>
      <c r="F1936" s="7"/>
      <c r="G1936" s="7" t="str">
        <f t="shared" si="640"/>
        <v>事業用資産</v>
      </c>
      <c r="H1936" s="7" t="str">
        <f t="shared" si="651"/>
        <v>棚卸以外</v>
      </c>
      <c r="I1936" s="7">
        <v>4</v>
      </c>
      <c r="J1936" s="7" t="str">
        <f>"吹田藤白台、１号棟"</f>
        <v>吹田藤白台、１号棟</v>
      </c>
      <c r="K1936" s="7" t="str">
        <f t="shared" si="650"/>
        <v>鉄筋コンクリート造</v>
      </c>
      <c r="L1936" s="7" t="str">
        <f>"H24.09.01"</f>
        <v>H24.09.01</v>
      </c>
      <c r="M1936" s="7">
        <v>8915.4500000000007</v>
      </c>
      <c r="N1936" s="7">
        <v>1267550468</v>
      </c>
      <c r="O1936" s="7">
        <v>283160286</v>
      </c>
      <c r="P1936" s="7">
        <v>0</v>
      </c>
      <c r="Q1936" s="7" t="str">
        <f t="shared" si="644"/>
        <v>都市整備部</v>
      </c>
      <c r="R1936" s="7" t="str">
        <f t="shared" si="641"/>
        <v>住宅建築局住宅経営室</v>
      </c>
    </row>
    <row r="1937" spans="1:18" s="1" customFormat="1" x14ac:dyDescent="0.45">
      <c r="A1937" s="7" t="str">
        <f t="shared" si="652"/>
        <v>09940003141</v>
      </c>
      <c r="B1937" s="7" t="str">
        <f t="shared" si="653"/>
        <v>吹田藤白台（旧　千里藤白台）</v>
      </c>
      <c r="C1937" s="7" t="str">
        <f t="shared" si="642"/>
        <v>行政財産</v>
      </c>
      <c r="D1937" s="7" t="str">
        <f t="shared" si="643"/>
        <v>公営住宅</v>
      </c>
      <c r="E1937" s="7" t="str">
        <f t="shared" si="654"/>
        <v>大阪府吹田市藤白台１丁目</v>
      </c>
      <c r="F1937" s="7"/>
      <c r="G1937" s="7" t="str">
        <f t="shared" si="640"/>
        <v>事業用資産</v>
      </c>
      <c r="H1937" s="7" t="str">
        <f t="shared" si="651"/>
        <v>棚卸以外</v>
      </c>
      <c r="I1937" s="7">
        <v>5</v>
      </c>
      <c r="J1937" s="7" t="str">
        <f>"吹田藤白台・３号棟"</f>
        <v>吹田藤白台・３号棟</v>
      </c>
      <c r="K1937" s="7" t="str">
        <f t="shared" si="650"/>
        <v>鉄筋コンクリート造</v>
      </c>
      <c r="L1937" s="7" t="str">
        <f>"H24.09.01"</f>
        <v>H24.09.01</v>
      </c>
      <c r="M1937" s="7">
        <v>10471.530000000001</v>
      </c>
      <c r="N1937" s="7">
        <v>1525323911</v>
      </c>
      <c r="O1937" s="7">
        <v>340740035</v>
      </c>
      <c r="P1937" s="7">
        <v>0</v>
      </c>
      <c r="Q1937" s="7" t="str">
        <f t="shared" si="644"/>
        <v>都市整備部</v>
      </c>
      <c r="R1937" s="7" t="str">
        <f t="shared" si="641"/>
        <v>住宅建築局住宅経営室</v>
      </c>
    </row>
    <row r="1938" spans="1:18" s="1" customFormat="1" x14ac:dyDescent="0.45">
      <c r="A1938" s="7" t="str">
        <f t="shared" si="652"/>
        <v>09940003141</v>
      </c>
      <c r="B1938" s="7" t="str">
        <f t="shared" si="653"/>
        <v>吹田藤白台（旧　千里藤白台）</v>
      </c>
      <c r="C1938" s="7" t="str">
        <f t="shared" si="642"/>
        <v>行政財産</v>
      </c>
      <c r="D1938" s="7" t="str">
        <f t="shared" si="643"/>
        <v>公営住宅</v>
      </c>
      <c r="E1938" s="7" t="str">
        <f t="shared" si="654"/>
        <v>大阪府吹田市藤白台１丁目</v>
      </c>
      <c r="F1938" s="7"/>
      <c r="G1938" s="7" t="str">
        <f t="shared" si="640"/>
        <v>事業用資産</v>
      </c>
      <c r="H1938" s="7" t="str">
        <f t="shared" si="651"/>
        <v>棚卸以外</v>
      </c>
      <c r="I1938" s="7">
        <v>6</v>
      </c>
      <c r="J1938" s="7" t="str">
        <f>"集会所"</f>
        <v>集会所</v>
      </c>
      <c r="K1938" s="7" t="str">
        <f t="shared" si="650"/>
        <v>鉄筋コンクリート造</v>
      </c>
      <c r="L1938" s="7" t="str">
        <f>"H24.09.01"</f>
        <v>H24.09.01</v>
      </c>
      <c r="M1938" s="7">
        <v>101.58</v>
      </c>
      <c r="N1938" s="7">
        <v>29959498</v>
      </c>
      <c r="O1938" s="7">
        <v>6693120</v>
      </c>
      <c r="P1938" s="7">
        <v>0</v>
      </c>
      <c r="Q1938" s="7" t="str">
        <f t="shared" si="644"/>
        <v>都市整備部</v>
      </c>
      <c r="R1938" s="7" t="str">
        <f t="shared" si="641"/>
        <v>住宅建築局住宅経営室</v>
      </c>
    </row>
    <row r="1939" spans="1:18" s="1" customFormat="1" x14ac:dyDescent="0.45">
      <c r="A1939" s="7" t="str">
        <f t="shared" si="652"/>
        <v>09940003141</v>
      </c>
      <c r="B1939" s="7" t="str">
        <f t="shared" si="653"/>
        <v>吹田藤白台（旧　千里藤白台）</v>
      </c>
      <c r="C1939" s="7" t="str">
        <f t="shared" si="642"/>
        <v>行政財産</v>
      </c>
      <c r="D1939" s="7" t="str">
        <f t="shared" si="643"/>
        <v>公営住宅</v>
      </c>
      <c r="E1939" s="7" t="str">
        <f t="shared" si="654"/>
        <v>大阪府吹田市藤白台１丁目</v>
      </c>
      <c r="F1939" s="7"/>
      <c r="G1939" s="7" t="str">
        <f t="shared" si="640"/>
        <v>事業用資産</v>
      </c>
      <c r="H1939" s="7" t="str">
        <f t="shared" si="651"/>
        <v>棚卸以外</v>
      </c>
      <c r="I1939" s="7">
        <v>7</v>
      </c>
      <c r="J1939" s="7" t="str">
        <f>"ブースターポンプ室（２ヶ所）"</f>
        <v>ブースターポンプ室（２ヶ所）</v>
      </c>
      <c r="K1939" s="7" t="str">
        <f t="shared" si="650"/>
        <v>鉄筋コンクリート造</v>
      </c>
      <c r="L1939" s="7" t="str">
        <f>"H24.09.01"</f>
        <v>H24.09.01</v>
      </c>
      <c r="M1939" s="7">
        <v>5.9</v>
      </c>
      <c r="N1939" s="7">
        <v>14373932</v>
      </c>
      <c r="O1939" s="7">
        <v>3211236</v>
      </c>
      <c r="P1939" s="7">
        <v>0</v>
      </c>
      <c r="Q1939" s="7" t="str">
        <f t="shared" si="644"/>
        <v>都市整備部</v>
      </c>
      <c r="R1939" s="7" t="str">
        <f t="shared" si="641"/>
        <v>住宅建築局住宅経営室</v>
      </c>
    </row>
    <row r="1940" spans="1:18" s="1" customFormat="1" x14ac:dyDescent="0.45">
      <c r="A1940" s="7" t="str">
        <f t="shared" si="652"/>
        <v>09940003141</v>
      </c>
      <c r="B1940" s="7" t="str">
        <f t="shared" si="653"/>
        <v>吹田藤白台（旧　千里藤白台）</v>
      </c>
      <c r="C1940" s="7" t="str">
        <f t="shared" si="642"/>
        <v>行政財産</v>
      </c>
      <c r="D1940" s="7" t="str">
        <f t="shared" si="643"/>
        <v>公営住宅</v>
      </c>
      <c r="E1940" s="7" t="str">
        <f t="shared" si="654"/>
        <v>大阪府吹田市藤白台１丁目</v>
      </c>
      <c r="F1940" s="7"/>
      <c r="G1940" s="7" t="str">
        <f t="shared" si="640"/>
        <v>事業用資産</v>
      </c>
      <c r="H1940" s="7" t="str">
        <f t="shared" si="651"/>
        <v>棚卸以外</v>
      </c>
      <c r="I1940" s="7">
        <v>8</v>
      </c>
      <c r="J1940" s="7" t="str">
        <f>"電気室（２ヶ所）"</f>
        <v>電気室（２ヶ所）</v>
      </c>
      <c r="K1940" s="7" t="str">
        <f t="shared" si="650"/>
        <v>鉄筋コンクリート造</v>
      </c>
      <c r="L1940" s="7" t="str">
        <f>"H24.09.01"</f>
        <v>H24.09.01</v>
      </c>
      <c r="M1940" s="7">
        <v>110.53</v>
      </c>
      <c r="N1940" s="7">
        <v>51584077</v>
      </c>
      <c r="O1940" s="7">
        <v>11524212</v>
      </c>
      <c r="P1940" s="7">
        <v>0</v>
      </c>
      <c r="Q1940" s="7" t="str">
        <f t="shared" si="644"/>
        <v>都市整備部</v>
      </c>
      <c r="R1940" s="7" t="str">
        <f t="shared" si="641"/>
        <v>住宅建築局住宅経営室</v>
      </c>
    </row>
    <row r="1941" spans="1:18" s="1" customFormat="1" x14ac:dyDescent="0.45">
      <c r="A1941" s="7" t="str">
        <f t="shared" si="652"/>
        <v>09940003141</v>
      </c>
      <c r="B1941" s="7" t="str">
        <f t="shared" si="653"/>
        <v>吹田藤白台（旧　千里藤白台）</v>
      </c>
      <c r="C1941" s="7" t="str">
        <f t="shared" si="642"/>
        <v>行政財産</v>
      </c>
      <c r="D1941" s="7" t="str">
        <f t="shared" si="643"/>
        <v>公営住宅</v>
      </c>
      <c r="E1941" s="7" t="str">
        <f t="shared" si="654"/>
        <v>大阪府吹田市藤白台１丁目</v>
      </c>
      <c r="F1941" s="7"/>
      <c r="G1941" s="7" t="str">
        <f t="shared" si="640"/>
        <v>事業用資産</v>
      </c>
      <c r="H1941" s="7" t="str">
        <f t="shared" si="651"/>
        <v>棚卸以外</v>
      </c>
      <c r="I1941" s="7">
        <v>9</v>
      </c>
      <c r="J1941" s="7" t="str">
        <f>"２号棟（吹田藤白台）"</f>
        <v>２号棟（吹田藤白台）</v>
      </c>
      <c r="K1941" s="7" t="str">
        <f t="shared" si="650"/>
        <v>鉄筋コンクリート造</v>
      </c>
      <c r="L1941" s="7" t="str">
        <f t="shared" ref="L1941:L1948" si="655">"H26.10.01"</f>
        <v>H26.10.01</v>
      </c>
      <c r="M1941" s="7">
        <v>5050.08</v>
      </c>
      <c r="N1941" s="7">
        <v>1070792868</v>
      </c>
      <c r="O1941" s="7">
        <v>191803781</v>
      </c>
      <c r="P1941" s="7">
        <v>0</v>
      </c>
      <c r="Q1941" s="7" t="str">
        <f t="shared" si="644"/>
        <v>都市整備部</v>
      </c>
      <c r="R1941" s="7" t="str">
        <f t="shared" si="641"/>
        <v>住宅建築局住宅経営室</v>
      </c>
    </row>
    <row r="1942" spans="1:18" s="1" customFormat="1" x14ac:dyDescent="0.45">
      <c r="A1942" s="7" t="str">
        <f t="shared" si="652"/>
        <v>09940003141</v>
      </c>
      <c r="B1942" s="7" t="str">
        <f t="shared" si="653"/>
        <v>吹田藤白台（旧　千里藤白台）</v>
      </c>
      <c r="C1942" s="7" t="str">
        <f t="shared" si="642"/>
        <v>行政財産</v>
      </c>
      <c r="D1942" s="7" t="str">
        <f t="shared" si="643"/>
        <v>公営住宅</v>
      </c>
      <c r="E1942" s="7" t="str">
        <f t="shared" si="654"/>
        <v>大阪府吹田市藤白台１丁目</v>
      </c>
      <c r="F1942" s="7"/>
      <c r="G1942" s="7" t="str">
        <f t="shared" si="640"/>
        <v>事業用資産</v>
      </c>
      <c r="H1942" s="7" t="str">
        <f t="shared" si="651"/>
        <v>棚卸以外</v>
      </c>
      <c r="I1942" s="7">
        <v>10</v>
      </c>
      <c r="J1942" s="7" t="str">
        <f>"１１号棟（吹田藤白台）"</f>
        <v>１１号棟（吹田藤白台）</v>
      </c>
      <c r="K1942" s="7" t="str">
        <f t="shared" si="650"/>
        <v>鉄筋コンクリート造</v>
      </c>
      <c r="L1942" s="7" t="str">
        <f t="shared" si="655"/>
        <v>H26.10.01</v>
      </c>
      <c r="M1942" s="7">
        <v>4433.37</v>
      </c>
      <c r="N1942" s="7">
        <v>634818796</v>
      </c>
      <c r="O1942" s="7">
        <v>113706343</v>
      </c>
      <c r="P1942" s="7">
        <v>0</v>
      </c>
      <c r="Q1942" s="7" t="str">
        <f t="shared" si="644"/>
        <v>都市整備部</v>
      </c>
      <c r="R1942" s="7" t="str">
        <f t="shared" si="641"/>
        <v>住宅建築局住宅経営室</v>
      </c>
    </row>
    <row r="1943" spans="1:18" s="1" customFormat="1" x14ac:dyDescent="0.45">
      <c r="A1943" s="7" t="str">
        <f t="shared" si="652"/>
        <v>09940003141</v>
      </c>
      <c r="B1943" s="7" t="str">
        <f t="shared" si="653"/>
        <v>吹田藤白台（旧　千里藤白台）</v>
      </c>
      <c r="C1943" s="7" t="str">
        <f t="shared" si="642"/>
        <v>行政財産</v>
      </c>
      <c r="D1943" s="7" t="str">
        <f t="shared" si="643"/>
        <v>公営住宅</v>
      </c>
      <c r="E1943" s="7" t="str">
        <f t="shared" si="654"/>
        <v>大阪府吹田市藤白台１丁目</v>
      </c>
      <c r="F1943" s="7"/>
      <c r="G1943" s="7" t="str">
        <f t="shared" ref="G1943:G2006" si="656">"事業用資産"</f>
        <v>事業用資産</v>
      </c>
      <c r="H1943" s="7" t="str">
        <f t="shared" si="651"/>
        <v>棚卸以外</v>
      </c>
      <c r="I1943" s="7">
        <v>11</v>
      </c>
      <c r="J1943" s="7" t="str">
        <f>"１２号棟（吹田藤白台）"</f>
        <v>１２号棟（吹田藤白台）</v>
      </c>
      <c r="K1943" s="7" t="str">
        <f t="shared" si="650"/>
        <v>鉄筋コンクリート造</v>
      </c>
      <c r="L1943" s="7" t="str">
        <f t="shared" si="655"/>
        <v>H26.10.01</v>
      </c>
      <c r="M1943" s="7">
        <v>3398.23</v>
      </c>
      <c r="N1943" s="7">
        <v>526220126</v>
      </c>
      <c r="O1943" s="7">
        <v>94258692</v>
      </c>
      <c r="P1943" s="7">
        <v>0</v>
      </c>
      <c r="Q1943" s="7" t="str">
        <f t="shared" si="644"/>
        <v>都市整備部</v>
      </c>
      <c r="R1943" s="7" t="str">
        <f t="shared" si="641"/>
        <v>住宅建築局住宅経営室</v>
      </c>
    </row>
    <row r="1944" spans="1:18" s="1" customFormat="1" x14ac:dyDescent="0.45">
      <c r="A1944" s="7" t="str">
        <f t="shared" si="652"/>
        <v>09940003141</v>
      </c>
      <c r="B1944" s="7" t="str">
        <f t="shared" si="653"/>
        <v>吹田藤白台（旧　千里藤白台）</v>
      </c>
      <c r="C1944" s="7" t="str">
        <f t="shared" si="642"/>
        <v>行政財産</v>
      </c>
      <c r="D1944" s="7" t="str">
        <f t="shared" si="643"/>
        <v>公営住宅</v>
      </c>
      <c r="E1944" s="7" t="str">
        <f t="shared" si="654"/>
        <v>大阪府吹田市藤白台１丁目</v>
      </c>
      <c r="F1944" s="7"/>
      <c r="G1944" s="7" t="str">
        <f t="shared" si="656"/>
        <v>事業用資産</v>
      </c>
      <c r="H1944" s="7" t="str">
        <f t="shared" si="651"/>
        <v>棚卸以外</v>
      </c>
      <c r="I1944" s="7">
        <v>12</v>
      </c>
      <c r="J1944" s="7" t="str">
        <f>"ブースターポンプ室（２号棟）"</f>
        <v>ブースターポンプ室（２号棟）</v>
      </c>
      <c r="K1944" s="7" t="str">
        <f t="shared" si="650"/>
        <v>鉄筋コンクリート造</v>
      </c>
      <c r="L1944" s="7" t="str">
        <f t="shared" si="655"/>
        <v>H26.10.01</v>
      </c>
      <c r="M1944" s="7">
        <v>1.76</v>
      </c>
      <c r="N1944" s="7">
        <v>10306726</v>
      </c>
      <c r="O1944" s="7">
        <v>1845775</v>
      </c>
      <c r="P1944" s="7">
        <v>0</v>
      </c>
      <c r="Q1944" s="7" t="str">
        <f t="shared" si="644"/>
        <v>都市整備部</v>
      </c>
      <c r="R1944" s="7" t="str">
        <f t="shared" ref="R1944:R2007" si="657">"住宅建築局住宅経営室"</f>
        <v>住宅建築局住宅経営室</v>
      </c>
    </row>
    <row r="1945" spans="1:18" s="1" customFormat="1" x14ac:dyDescent="0.45">
      <c r="A1945" s="7" t="str">
        <f t="shared" si="652"/>
        <v>09940003141</v>
      </c>
      <c r="B1945" s="7" t="str">
        <f t="shared" si="653"/>
        <v>吹田藤白台（旧　千里藤白台）</v>
      </c>
      <c r="C1945" s="7" t="str">
        <f t="shared" si="642"/>
        <v>行政財産</v>
      </c>
      <c r="D1945" s="7" t="str">
        <f t="shared" si="643"/>
        <v>公営住宅</v>
      </c>
      <c r="E1945" s="7" t="str">
        <f t="shared" si="654"/>
        <v>大阪府吹田市藤白台１丁目</v>
      </c>
      <c r="F1945" s="7"/>
      <c r="G1945" s="7" t="str">
        <f t="shared" si="656"/>
        <v>事業用資産</v>
      </c>
      <c r="H1945" s="7" t="str">
        <f t="shared" si="651"/>
        <v>棚卸以外</v>
      </c>
      <c r="I1945" s="7">
        <v>13</v>
      </c>
      <c r="J1945" s="7" t="str">
        <f>"ブースターポンプ室（１１号棟）"</f>
        <v>ブースターポンプ室（１１号棟）</v>
      </c>
      <c r="K1945" s="7" t="str">
        <f t="shared" si="650"/>
        <v>鉄筋コンクリート造</v>
      </c>
      <c r="L1945" s="7" t="str">
        <f t="shared" si="655"/>
        <v>H26.10.01</v>
      </c>
      <c r="M1945" s="7">
        <v>1.76</v>
      </c>
      <c r="N1945" s="7">
        <v>6279033</v>
      </c>
      <c r="O1945" s="7">
        <v>1124534</v>
      </c>
      <c r="P1945" s="7">
        <v>0</v>
      </c>
      <c r="Q1945" s="7" t="str">
        <f t="shared" si="644"/>
        <v>都市整備部</v>
      </c>
      <c r="R1945" s="7" t="str">
        <f t="shared" si="657"/>
        <v>住宅建築局住宅経営室</v>
      </c>
    </row>
    <row r="1946" spans="1:18" s="1" customFormat="1" x14ac:dyDescent="0.45">
      <c r="A1946" s="7" t="str">
        <f t="shared" si="652"/>
        <v>09940003141</v>
      </c>
      <c r="B1946" s="7" t="str">
        <f t="shared" si="653"/>
        <v>吹田藤白台（旧　千里藤白台）</v>
      </c>
      <c r="C1946" s="7" t="str">
        <f t="shared" ref="C1946:C2009" si="658">"行政財産"</f>
        <v>行政財産</v>
      </c>
      <c r="D1946" s="7" t="str">
        <f t="shared" ref="D1946:D2009" si="659">"公営住宅"</f>
        <v>公営住宅</v>
      </c>
      <c r="E1946" s="7" t="str">
        <f t="shared" si="654"/>
        <v>大阪府吹田市藤白台１丁目</v>
      </c>
      <c r="F1946" s="7"/>
      <c r="G1946" s="7" t="str">
        <f t="shared" si="656"/>
        <v>事業用資産</v>
      </c>
      <c r="H1946" s="7" t="str">
        <f t="shared" si="651"/>
        <v>棚卸以外</v>
      </c>
      <c r="I1946" s="7">
        <v>14</v>
      </c>
      <c r="J1946" s="7" t="str">
        <f>"ブースターポンプ室（１２号棟）"</f>
        <v>ブースターポンプ室（１２号棟）</v>
      </c>
      <c r="K1946" s="7" t="str">
        <f t="shared" si="650"/>
        <v>鉄筋コンクリート造</v>
      </c>
      <c r="L1946" s="7" t="str">
        <f t="shared" si="655"/>
        <v>H26.10.01</v>
      </c>
      <c r="M1946" s="7">
        <v>1.76</v>
      </c>
      <c r="N1946" s="7">
        <v>5951874</v>
      </c>
      <c r="O1946" s="7">
        <v>1065853</v>
      </c>
      <c r="P1946" s="7">
        <v>0</v>
      </c>
      <c r="Q1946" s="7" t="str">
        <f t="shared" si="644"/>
        <v>都市整備部</v>
      </c>
      <c r="R1946" s="7" t="str">
        <f t="shared" si="657"/>
        <v>住宅建築局住宅経営室</v>
      </c>
    </row>
    <row r="1947" spans="1:18" s="1" customFormat="1" x14ac:dyDescent="0.45">
      <c r="A1947" s="7" t="str">
        <f t="shared" si="652"/>
        <v>09940003141</v>
      </c>
      <c r="B1947" s="7" t="str">
        <f t="shared" si="653"/>
        <v>吹田藤白台（旧　千里藤白台）</v>
      </c>
      <c r="C1947" s="7" t="str">
        <f t="shared" si="658"/>
        <v>行政財産</v>
      </c>
      <c r="D1947" s="7" t="str">
        <f t="shared" si="659"/>
        <v>公営住宅</v>
      </c>
      <c r="E1947" s="7" t="str">
        <f t="shared" si="654"/>
        <v>大阪府吹田市藤白台１丁目</v>
      </c>
      <c r="F1947" s="7"/>
      <c r="G1947" s="7" t="str">
        <f t="shared" si="656"/>
        <v>事業用資産</v>
      </c>
      <c r="H1947" s="7" t="str">
        <f t="shared" si="651"/>
        <v>棚卸以外</v>
      </c>
      <c r="I1947" s="7">
        <v>15</v>
      </c>
      <c r="J1947" s="7" t="str">
        <f>"電気室（２号棟）"</f>
        <v>電気室（２号棟）</v>
      </c>
      <c r="K1947" s="7" t="str">
        <f t="shared" si="650"/>
        <v>鉄筋コンクリート造</v>
      </c>
      <c r="L1947" s="7" t="str">
        <f t="shared" si="655"/>
        <v>H26.10.01</v>
      </c>
      <c r="M1947" s="7">
        <v>49.4</v>
      </c>
      <c r="N1947" s="7">
        <v>7072697</v>
      </c>
      <c r="O1947" s="7">
        <v>1266641</v>
      </c>
      <c r="P1947" s="7">
        <v>0</v>
      </c>
      <c r="Q1947" s="7" t="str">
        <f t="shared" ref="Q1947:Q2010" si="660">"都市整備部"</f>
        <v>都市整備部</v>
      </c>
      <c r="R1947" s="7" t="str">
        <f t="shared" si="657"/>
        <v>住宅建築局住宅経営室</v>
      </c>
    </row>
    <row r="1948" spans="1:18" s="1" customFormat="1" x14ac:dyDescent="0.45">
      <c r="A1948" s="7" t="str">
        <f t="shared" si="652"/>
        <v>09940003141</v>
      </c>
      <c r="B1948" s="7" t="str">
        <f t="shared" si="653"/>
        <v>吹田藤白台（旧　千里藤白台）</v>
      </c>
      <c r="C1948" s="7" t="str">
        <f t="shared" si="658"/>
        <v>行政財産</v>
      </c>
      <c r="D1948" s="7" t="str">
        <f t="shared" si="659"/>
        <v>公営住宅</v>
      </c>
      <c r="E1948" s="7" t="str">
        <f t="shared" si="654"/>
        <v>大阪府吹田市藤白台１丁目</v>
      </c>
      <c r="F1948" s="7"/>
      <c r="G1948" s="7" t="str">
        <f t="shared" si="656"/>
        <v>事業用資産</v>
      </c>
      <c r="H1948" s="7" t="str">
        <f t="shared" si="651"/>
        <v>棚卸以外</v>
      </c>
      <c r="I1948" s="7">
        <v>16</v>
      </c>
      <c r="J1948" s="7" t="str">
        <f>"電気室（１１・１２号棟）"</f>
        <v>電気室（１１・１２号棟）</v>
      </c>
      <c r="K1948" s="7" t="str">
        <f t="shared" si="650"/>
        <v>鉄筋コンクリート造</v>
      </c>
      <c r="L1948" s="7" t="str">
        <f t="shared" si="655"/>
        <v>H26.10.01</v>
      </c>
      <c r="M1948" s="7">
        <v>98.8</v>
      </c>
      <c r="N1948" s="7">
        <v>14832428</v>
      </c>
      <c r="O1948" s="7">
        <v>2656199</v>
      </c>
      <c r="P1948" s="7">
        <v>0</v>
      </c>
      <c r="Q1948" s="7" t="str">
        <f t="shared" si="660"/>
        <v>都市整備部</v>
      </c>
      <c r="R1948" s="7" t="str">
        <f t="shared" si="657"/>
        <v>住宅建築局住宅経営室</v>
      </c>
    </row>
    <row r="1949" spans="1:18" s="1" customFormat="1" x14ac:dyDescent="0.45">
      <c r="A1949" s="7" t="str">
        <f t="shared" si="652"/>
        <v>09940003141</v>
      </c>
      <c r="B1949" s="7" t="str">
        <f t="shared" si="653"/>
        <v>吹田藤白台（旧　千里藤白台）</v>
      </c>
      <c r="C1949" s="7" t="str">
        <f t="shared" si="658"/>
        <v>行政財産</v>
      </c>
      <c r="D1949" s="7" t="str">
        <f t="shared" si="659"/>
        <v>公営住宅</v>
      </c>
      <c r="E1949" s="7" t="str">
        <f t="shared" si="654"/>
        <v>大阪府吹田市藤白台１丁目</v>
      </c>
      <c r="F1949" s="7"/>
      <c r="G1949" s="7" t="str">
        <f t="shared" si="656"/>
        <v>事業用資産</v>
      </c>
      <c r="H1949" s="7" t="str">
        <f t="shared" si="651"/>
        <v>棚卸以外</v>
      </c>
      <c r="I1949" s="7">
        <v>17</v>
      </c>
      <c r="J1949" s="7" t="str">
        <f>"吹田藤白台（４号棟）"</f>
        <v>吹田藤白台（４号棟）</v>
      </c>
      <c r="K1949" s="7" t="str">
        <f t="shared" si="650"/>
        <v>鉄筋コンクリート造</v>
      </c>
      <c r="L1949" s="7" t="str">
        <f>"H30.05.01"</f>
        <v>H30.05.01</v>
      </c>
      <c r="M1949" s="7">
        <v>8162.55</v>
      </c>
      <c r="N1949" s="7">
        <v>1079346735</v>
      </c>
      <c r="O1949" s="7">
        <v>110996688</v>
      </c>
      <c r="P1949" s="7">
        <v>0</v>
      </c>
      <c r="Q1949" s="7" t="str">
        <f t="shared" si="660"/>
        <v>都市整備部</v>
      </c>
      <c r="R1949" s="7" t="str">
        <f t="shared" si="657"/>
        <v>住宅建築局住宅経営室</v>
      </c>
    </row>
    <row r="1950" spans="1:18" s="1" customFormat="1" x14ac:dyDescent="0.45">
      <c r="A1950" s="7" t="str">
        <f t="shared" si="652"/>
        <v>09940003141</v>
      </c>
      <c r="B1950" s="7" t="str">
        <f t="shared" si="653"/>
        <v>吹田藤白台（旧　千里藤白台）</v>
      </c>
      <c r="C1950" s="7" t="str">
        <f t="shared" si="658"/>
        <v>行政財産</v>
      </c>
      <c r="D1950" s="7" t="str">
        <f t="shared" si="659"/>
        <v>公営住宅</v>
      </c>
      <c r="E1950" s="7" t="str">
        <f t="shared" si="654"/>
        <v>大阪府吹田市藤白台１丁目</v>
      </c>
      <c r="F1950" s="7"/>
      <c r="G1950" s="7" t="str">
        <f t="shared" si="656"/>
        <v>事業用資産</v>
      </c>
      <c r="H1950" s="7" t="str">
        <f t="shared" si="651"/>
        <v>棚卸以外</v>
      </c>
      <c r="I1950" s="7">
        <v>18</v>
      </c>
      <c r="J1950" s="7" t="str">
        <f>"吹田藤白台（５号棟）"</f>
        <v>吹田藤白台（５号棟）</v>
      </c>
      <c r="K1950" s="7" t="str">
        <f t="shared" si="650"/>
        <v>鉄筋コンクリート造</v>
      </c>
      <c r="L1950" s="7" t="str">
        <f>"H30.05.01"</f>
        <v>H30.05.01</v>
      </c>
      <c r="M1950" s="7">
        <v>2794.52</v>
      </c>
      <c r="N1950" s="7">
        <v>396812286</v>
      </c>
      <c r="O1950" s="7">
        <v>40806944</v>
      </c>
      <c r="P1950" s="7">
        <v>0</v>
      </c>
      <c r="Q1950" s="7" t="str">
        <f t="shared" si="660"/>
        <v>都市整備部</v>
      </c>
      <c r="R1950" s="7" t="str">
        <f t="shared" si="657"/>
        <v>住宅建築局住宅経営室</v>
      </c>
    </row>
    <row r="1951" spans="1:18" s="1" customFormat="1" x14ac:dyDescent="0.45">
      <c r="A1951" s="7" t="str">
        <f t="shared" si="652"/>
        <v>09940003141</v>
      </c>
      <c r="B1951" s="7" t="str">
        <f t="shared" si="653"/>
        <v>吹田藤白台（旧　千里藤白台）</v>
      </c>
      <c r="C1951" s="7" t="str">
        <f t="shared" si="658"/>
        <v>行政財産</v>
      </c>
      <c r="D1951" s="7" t="str">
        <f t="shared" si="659"/>
        <v>公営住宅</v>
      </c>
      <c r="E1951" s="7" t="str">
        <f t="shared" si="654"/>
        <v>大阪府吹田市藤白台１丁目</v>
      </c>
      <c r="F1951" s="7"/>
      <c r="G1951" s="7" t="str">
        <f t="shared" si="656"/>
        <v>事業用資産</v>
      </c>
      <c r="H1951" s="7" t="str">
        <f t="shared" si="651"/>
        <v>棚卸以外</v>
      </c>
      <c r="I1951" s="7">
        <v>19</v>
      </c>
      <c r="J1951" s="7" t="str">
        <f>"集会所"</f>
        <v>集会所</v>
      </c>
      <c r="K1951" s="7" t="str">
        <f t="shared" si="650"/>
        <v>鉄筋コンクリート造</v>
      </c>
      <c r="L1951" s="7" t="str">
        <f>"H30.05.01"</f>
        <v>H30.05.01</v>
      </c>
      <c r="M1951" s="7">
        <v>140.80000000000001</v>
      </c>
      <c r="N1951" s="7">
        <v>28589054</v>
      </c>
      <c r="O1951" s="7">
        <v>2940020</v>
      </c>
      <c r="P1951" s="7">
        <v>0</v>
      </c>
      <c r="Q1951" s="7" t="str">
        <f t="shared" si="660"/>
        <v>都市整備部</v>
      </c>
      <c r="R1951" s="7" t="str">
        <f t="shared" si="657"/>
        <v>住宅建築局住宅経営室</v>
      </c>
    </row>
    <row r="1952" spans="1:18" s="1" customFormat="1" x14ac:dyDescent="0.45">
      <c r="A1952" s="7" t="str">
        <f t="shared" si="652"/>
        <v>09940003141</v>
      </c>
      <c r="B1952" s="7" t="str">
        <f t="shared" si="653"/>
        <v>吹田藤白台（旧　千里藤白台）</v>
      </c>
      <c r="C1952" s="7" t="str">
        <f t="shared" si="658"/>
        <v>行政財産</v>
      </c>
      <c r="D1952" s="7" t="str">
        <f t="shared" si="659"/>
        <v>公営住宅</v>
      </c>
      <c r="E1952" s="7" t="str">
        <f t="shared" si="654"/>
        <v>大阪府吹田市藤白台１丁目</v>
      </c>
      <c r="F1952" s="7"/>
      <c r="G1952" s="7" t="str">
        <f t="shared" si="656"/>
        <v>事業用資産</v>
      </c>
      <c r="H1952" s="7" t="str">
        <f t="shared" si="651"/>
        <v>棚卸以外</v>
      </c>
      <c r="I1952" s="7">
        <v>20</v>
      </c>
      <c r="J1952" s="7" t="str">
        <f>"ポンプ室"</f>
        <v>ポンプ室</v>
      </c>
      <c r="K1952" s="7" t="str">
        <f t="shared" si="650"/>
        <v>鉄筋コンクリート造</v>
      </c>
      <c r="L1952" s="7" t="str">
        <f>"H30.05.01"</f>
        <v>H30.05.01</v>
      </c>
      <c r="M1952" s="7">
        <v>3.88</v>
      </c>
      <c r="N1952" s="7">
        <v>5633000</v>
      </c>
      <c r="O1952" s="7">
        <v>579304</v>
      </c>
      <c r="P1952" s="7">
        <v>0</v>
      </c>
      <c r="Q1952" s="7" t="str">
        <f t="shared" si="660"/>
        <v>都市整備部</v>
      </c>
      <c r="R1952" s="7" t="str">
        <f t="shared" si="657"/>
        <v>住宅建築局住宅経営室</v>
      </c>
    </row>
    <row r="1953" spans="1:18" s="1" customFormat="1" x14ac:dyDescent="0.45">
      <c r="A1953" s="7" t="str">
        <f t="shared" si="652"/>
        <v>09940003141</v>
      </c>
      <c r="B1953" s="7" t="str">
        <f t="shared" si="653"/>
        <v>吹田藤白台（旧　千里藤白台）</v>
      </c>
      <c r="C1953" s="7" t="str">
        <f t="shared" si="658"/>
        <v>行政財産</v>
      </c>
      <c r="D1953" s="7" t="str">
        <f t="shared" si="659"/>
        <v>公営住宅</v>
      </c>
      <c r="E1953" s="7" t="str">
        <f t="shared" si="654"/>
        <v>大阪府吹田市藤白台１丁目</v>
      </c>
      <c r="F1953" s="7"/>
      <c r="G1953" s="7" t="str">
        <f t="shared" si="656"/>
        <v>事業用資産</v>
      </c>
      <c r="H1953" s="7" t="str">
        <f t="shared" si="651"/>
        <v>棚卸以外</v>
      </c>
      <c r="I1953" s="7">
        <v>21</v>
      </c>
      <c r="J1953" s="7" t="str">
        <f>"電気室"</f>
        <v>電気室</v>
      </c>
      <c r="K1953" s="7" t="str">
        <f t="shared" si="650"/>
        <v>鉄筋コンクリート造</v>
      </c>
      <c r="L1953" s="7" t="str">
        <f>"H30.05.01"</f>
        <v>H30.05.01</v>
      </c>
      <c r="M1953" s="7">
        <v>54.93</v>
      </c>
      <c r="N1953" s="7">
        <v>20827439</v>
      </c>
      <c r="O1953" s="7">
        <v>2141882</v>
      </c>
      <c r="P1953" s="7">
        <v>0</v>
      </c>
      <c r="Q1953" s="7" t="str">
        <f t="shared" si="660"/>
        <v>都市整備部</v>
      </c>
      <c r="R1953" s="7" t="str">
        <f t="shared" si="657"/>
        <v>住宅建築局住宅経営室</v>
      </c>
    </row>
    <row r="1954" spans="1:18" s="1" customFormat="1" x14ac:dyDescent="0.45">
      <c r="A1954" s="7" t="str">
        <f t="shared" si="652"/>
        <v>09940003141</v>
      </c>
      <c r="B1954" s="7" t="str">
        <f t="shared" si="653"/>
        <v>吹田藤白台（旧　千里藤白台）</v>
      </c>
      <c r="C1954" s="7" t="str">
        <f t="shared" si="658"/>
        <v>行政財産</v>
      </c>
      <c r="D1954" s="7" t="str">
        <f t="shared" si="659"/>
        <v>公営住宅</v>
      </c>
      <c r="E1954" s="7" t="str">
        <f t="shared" si="654"/>
        <v>大阪府吹田市藤白台１丁目</v>
      </c>
      <c r="F1954" s="7"/>
      <c r="G1954" s="7" t="str">
        <f t="shared" si="656"/>
        <v>事業用資産</v>
      </c>
      <c r="H1954" s="7" t="str">
        <f t="shared" si="651"/>
        <v>棚卸以外</v>
      </c>
      <c r="I1954" s="7">
        <v>22</v>
      </c>
      <c r="J1954" s="7" t="str">
        <f>"吹田藤白台（１３号棟）"</f>
        <v>吹田藤白台（１３号棟）</v>
      </c>
      <c r="K1954" s="7" t="str">
        <f t="shared" si="650"/>
        <v>鉄筋コンクリート造</v>
      </c>
      <c r="L1954" s="7" t="str">
        <f t="shared" ref="L1954:L1959" si="661">"H30.10.01"</f>
        <v>H30.10.01</v>
      </c>
      <c r="M1954" s="7">
        <v>3074.18</v>
      </c>
      <c r="N1954" s="7">
        <v>399656862</v>
      </c>
      <c r="O1954" s="7">
        <v>37556436</v>
      </c>
      <c r="P1954" s="7">
        <v>0</v>
      </c>
      <c r="Q1954" s="7" t="str">
        <f t="shared" si="660"/>
        <v>都市整備部</v>
      </c>
      <c r="R1954" s="7" t="str">
        <f t="shared" si="657"/>
        <v>住宅建築局住宅経営室</v>
      </c>
    </row>
    <row r="1955" spans="1:18" s="1" customFormat="1" x14ac:dyDescent="0.45">
      <c r="A1955" s="7" t="str">
        <f t="shared" si="652"/>
        <v>09940003141</v>
      </c>
      <c r="B1955" s="7" t="str">
        <f t="shared" si="653"/>
        <v>吹田藤白台（旧　千里藤白台）</v>
      </c>
      <c r="C1955" s="7" t="str">
        <f t="shared" si="658"/>
        <v>行政財産</v>
      </c>
      <c r="D1955" s="7" t="str">
        <f t="shared" si="659"/>
        <v>公営住宅</v>
      </c>
      <c r="E1955" s="7" t="str">
        <f t="shared" si="654"/>
        <v>大阪府吹田市藤白台１丁目</v>
      </c>
      <c r="F1955" s="7"/>
      <c r="G1955" s="7" t="str">
        <f t="shared" si="656"/>
        <v>事業用資産</v>
      </c>
      <c r="H1955" s="7" t="str">
        <f t="shared" si="651"/>
        <v>棚卸以外</v>
      </c>
      <c r="I1955" s="7">
        <v>23</v>
      </c>
      <c r="J1955" s="7" t="str">
        <f>"吹田藤白台（１４号棟）"</f>
        <v>吹田藤白台（１４号棟）</v>
      </c>
      <c r="K1955" s="7" t="str">
        <f t="shared" si="650"/>
        <v>鉄筋コンクリート造</v>
      </c>
      <c r="L1955" s="7" t="str">
        <f t="shared" si="661"/>
        <v>H30.10.01</v>
      </c>
      <c r="M1955" s="7">
        <v>2590.04</v>
      </c>
      <c r="N1955" s="7">
        <v>347911887</v>
      </c>
      <c r="O1955" s="7">
        <v>32693898</v>
      </c>
      <c r="P1955" s="7">
        <v>0</v>
      </c>
      <c r="Q1955" s="7" t="str">
        <f t="shared" si="660"/>
        <v>都市整備部</v>
      </c>
      <c r="R1955" s="7" t="str">
        <f t="shared" si="657"/>
        <v>住宅建築局住宅経営室</v>
      </c>
    </row>
    <row r="1956" spans="1:18" s="1" customFormat="1" x14ac:dyDescent="0.45">
      <c r="A1956" s="7" t="str">
        <f t="shared" si="652"/>
        <v>09940003141</v>
      </c>
      <c r="B1956" s="7" t="str">
        <f t="shared" si="653"/>
        <v>吹田藤白台（旧　千里藤白台）</v>
      </c>
      <c r="C1956" s="7" t="str">
        <f t="shared" si="658"/>
        <v>行政財産</v>
      </c>
      <c r="D1956" s="7" t="str">
        <f t="shared" si="659"/>
        <v>公営住宅</v>
      </c>
      <c r="E1956" s="7" t="str">
        <f t="shared" si="654"/>
        <v>大阪府吹田市藤白台１丁目</v>
      </c>
      <c r="F1956" s="7"/>
      <c r="G1956" s="7" t="str">
        <f t="shared" si="656"/>
        <v>事業用資産</v>
      </c>
      <c r="H1956" s="7" t="str">
        <f t="shared" si="651"/>
        <v>棚卸以外</v>
      </c>
      <c r="I1956" s="7">
        <v>24</v>
      </c>
      <c r="J1956" s="7" t="str">
        <f>"吹田藤白台（１５号棟）"</f>
        <v>吹田藤白台（１５号棟）</v>
      </c>
      <c r="K1956" s="7" t="str">
        <f t="shared" si="650"/>
        <v>鉄筋コンクリート造</v>
      </c>
      <c r="L1956" s="7" t="str">
        <f t="shared" si="661"/>
        <v>H30.10.01</v>
      </c>
      <c r="M1956" s="7">
        <v>3044.6</v>
      </c>
      <c r="N1956" s="7">
        <v>402924829</v>
      </c>
      <c r="O1956" s="7">
        <v>37863518</v>
      </c>
      <c r="P1956" s="7">
        <v>0</v>
      </c>
      <c r="Q1956" s="7" t="str">
        <f t="shared" si="660"/>
        <v>都市整備部</v>
      </c>
      <c r="R1956" s="7" t="str">
        <f t="shared" si="657"/>
        <v>住宅建築局住宅経営室</v>
      </c>
    </row>
    <row r="1957" spans="1:18" s="1" customFormat="1" x14ac:dyDescent="0.45">
      <c r="A1957" s="7" t="str">
        <f t="shared" si="652"/>
        <v>09940003141</v>
      </c>
      <c r="B1957" s="7" t="str">
        <f t="shared" si="653"/>
        <v>吹田藤白台（旧　千里藤白台）</v>
      </c>
      <c r="C1957" s="7" t="str">
        <f t="shared" si="658"/>
        <v>行政財産</v>
      </c>
      <c r="D1957" s="7" t="str">
        <f t="shared" si="659"/>
        <v>公営住宅</v>
      </c>
      <c r="E1957" s="7" t="str">
        <f t="shared" si="654"/>
        <v>大阪府吹田市藤白台１丁目</v>
      </c>
      <c r="F1957" s="7"/>
      <c r="G1957" s="7" t="str">
        <f t="shared" si="656"/>
        <v>事業用資産</v>
      </c>
      <c r="H1957" s="7" t="str">
        <f t="shared" si="651"/>
        <v>棚卸以外</v>
      </c>
      <c r="I1957" s="7">
        <v>25</v>
      </c>
      <c r="J1957" s="7" t="str">
        <f>"集会所"</f>
        <v>集会所</v>
      </c>
      <c r="K1957" s="7" t="str">
        <f t="shared" si="650"/>
        <v>鉄筋コンクリート造</v>
      </c>
      <c r="L1957" s="7" t="str">
        <f t="shared" si="661"/>
        <v>H30.10.01</v>
      </c>
      <c r="M1957" s="7">
        <v>172.5</v>
      </c>
      <c r="N1957" s="7">
        <v>31501361</v>
      </c>
      <c r="O1957" s="7">
        <v>2960262</v>
      </c>
      <c r="P1957" s="7">
        <v>0</v>
      </c>
      <c r="Q1957" s="7" t="str">
        <f t="shared" si="660"/>
        <v>都市整備部</v>
      </c>
      <c r="R1957" s="7" t="str">
        <f t="shared" si="657"/>
        <v>住宅建築局住宅経営室</v>
      </c>
    </row>
    <row r="1958" spans="1:18" s="1" customFormat="1" x14ac:dyDescent="0.45">
      <c r="A1958" s="7" t="str">
        <f t="shared" si="652"/>
        <v>09940003141</v>
      </c>
      <c r="B1958" s="7" t="str">
        <f t="shared" si="653"/>
        <v>吹田藤白台（旧　千里藤白台）</v>
      </c>
      <c r="C1958" s="7" t="str">
        <f t="shared" si="658"/>
        <v>行政財産</v>
      </c>
      <c r="D1958" s="7" t="str">
        <f t="shared" si="659"/>
        <v>公営住宅</v>
      </c>
      <c r="E1958" s="7" t="str">
        <f t="shared" si="654"/>
        <v>大阪府吹田市藤白台１丁目</v>
      </c>
      <c r="F1958" s="7"/>
      <c r="G1958" s="7" t="str">
        <f t="shared" si="656"/>
        <v>事業用資産</v>
      </c>
      <c r="H1958" s="7" t="str">
        <f t="shared" si="651"/>
        <v>棚卸以外</v>
      </c>
      <c r="I1958" s="7">
        <v>26</v>
      </c>
      <c r="J1958" s="7" t="str">
        <f>"ポンプ室"</f>
        <v>ポンプ室</v>
      </c>
      <c r="K1958" s="7" t="str">
        <f t="shared" si="650"/>
        <v>鉄筋コンクリート造</v>
      </c>
      <c r="L1958" s="7" t="str">
        <f t="shared" si="661"/>
        <v>H30.10.01</v>
      </c>
      <c r="M1958" s="7">
        <v>8.82</v>
      </c>
      <c r="N1958" s="7">
        <v>9685483</v>
      </c>
      <c r="O1958" s="7">
        <v>895896</v>
      </c>
      <c r="P1958" s="7">
        <v>0</v>
      </c>
      <c r="Q1958" s="7" t="str">
        <f t="shared" si="660"/>
        <v>都市整備部</v>
      </c>
      <c r="R1958" s="7" t="str">
        <f t="shared" si="657"/>
        <v>住宅建築局住宅経営室</v>
      </c>
    </row>
    <row r="1959" spans="1:18" s="1" customFormat="1" x14ac:dyDescent="0.45">
      <c r="A1959" s="7" t="str">
        <f t="shared" si="652"/>
        <v>09940003141</v>
      </c>
      <c r="B1959" s="7" t="str">
        <f t="shared" si="653"/>
        <v>吹田藤白台（旧　千里藤白台）</v>
      </c>
      <c r="C1959" s="7" t="str">
        <f t="shared" si="658"/>
        <v>行政財産</v>
      </c>
      <c r="D1959" s="7" t="str">
        <f t="shared" si="659"/>
        <v>公営住宅</v>
      </c>
      <c r="E1959" s="7" t="str">
        <f t="shared" si="654"/>
        <v>大阪府吹田市藤白台１丁目</v>
      </c>
      <c r="F1959" s="7"/>
      <c r="G1959" s="7" t="str">
        <f t="shared" si="656"/>
        <v>事業用資産</v>
      </c>
      <c r="H1959" s="7" t="str">
        <f t="shared" si="651"/>
        <v>棚卸以外</v>
      </c>
      <c r="I1959" s="7">
        <v>27</v>
      </c>
      <c r="J1959" s="7" t="str">
        <f>"電気室"</f>
        <v>電気室</v>
      </c>
      <c r="K1959" s="7" t="str">
        <f t="shared" si="650"/>
        <v>鉄筋コンクリート造</v>
      </c>
      <c r="L1959" s="7" t="str">
        <f t="shared" si="661"/>
        <v>H30.10.01</v>
      </c>
      <c r="M1959" s="7">
        <v>82.55</v>
      </c>
      <c r="N1959" s="7">
        <v>30028715</v>
      </c>
      <c r="O1959" s="7">
        <v>2560397</v>
      </c>
      <c r="P1959" s="7">
        <v>0</v>
      </c>
      <c r="Q1959" s="7" t="str">
        <f t="shared" si="660"/>
        <v>都市整備部</v>
      </c>
      <c r="R1959" s="7" t="str">
        <f t="shared" si="657"/>
        <v>住宅建築局住宅経営室</v>
      </c>
    </row>
    <row r="1960" spans="1:18" s="1" customFormat="1" x14ac:dyDescent="0.45">
      <c r="A1960" s="7" t="str">
        <f t="shared" si="652"/>
        <v>09940003141</v>
      </c>
      <c r="B1960" s="7" t="str">
        <f t="shared" si="653"/>
        <v>吹田藤白台（旧　千里藤白台）</v>
      </c>
      <c r="C1960" s="7" t="str">
        <f t="shared" si="658"/>
        <v>行政財産</v>
      </c>
      <c r="D1960" s="7" t="str">
        <f t="shared" si="659"/>
        <v>公営住宅</v>
      </c>
      <c r="E1960" s="7" t="str">
        <f t="shared" si="654"/>
        <v>大阪府吹田市藤白台１丁目</v>
      </c>
      <c r="F1960" s="7"/>
      <c r="G1960" s="7" t="str">
        <f t="shared" si="656"/>
        <v>事業用資産</v>
      </c>
      <c r="H1960" s="7" t="str">
        <f t="shared" si="651"/>
        <v>棚卸以外</v>
      </c>
      <c r="I1960" s="7">
        <v>28</v>
      </c>
      <c r="J1960" s="7" t="str">
        <f>"吹田藤白台（１６号棟）"</f>
        <v>吹田藤白台（１６号棟）</v>
      </c>
      <c r="K1960" s="7" t="str">
        <f t="shared" si="650"/>
        <v>鉄筋コンクリート造</v>
      </c>
      <c r="L1960" s="7" t="str">
        <f>"R02.12.01"</f>
        <v>R02.12.01</v>
      </c>
      <c r="M1960" s="7">
        <v>3272.37</v>
      </c>
      <c r="N1960" s="7">
        <v>728599327</v>
      </c>
      <c r="O1960" s="7">
        <v>34879761</v>
      </c>
      <c r="P1960" s="7">
        <v>0</v>
      </c>
      <c r="Q1960" s="7" t="str">
        <f t="shared" si="660"/>
        <v>都市整備部</v>
      </c>
      <c r="R1960" s="7" t="str">
        <f t="shared" si="657"/>
        <v>住宅建築局住宅経営室</v>
      </c>
    </row>
    <row r="1961" spans="1:18" s="1" customFormat="1" ht="26.4" x14ac:dyDescent="0.45">
      <c r="A1961" s="7" t="str">
        <f t="shared" si="652"/>
        <v>09940003141</v>
      </c>
      <c r="B1961" s="7" t="str">
        <f t="shared" si="653"/>
        <v>吹田藤白台（旧　千里藤白台）</v>
      </c>
      <c r="C1961" s="7" t="str">
        <f t="shared" si="658"/>
        <v>行政財産</v>
      </c>
      <c r="D1961" s="7" t="str">
        <f t="shared" si="659"/>
        <v>公営住宅</v>
      </c>
      <c r="E1961" s="7" t="str">
        <f t="shared" si="654"/>
        <v>大阪府吹田市藤白台１丁目</v>
      </c>
      <c r="F1961" s="7"/>
      <c r="G1961" s="7" t="str">
        <f t="shared" si="656"/>
        <v>事業用資産</v>
      </c>
      <c r="H1961" s="7" t="str">
        <f t="shared" si="651"/>
        <v>棚卸以外</v>
      </c>
      <c r="I1961" s="7">
        <v>29</v>
      </c>
      <c r="J1961" s="7" t="str">
        <f>"吹田藤白台（１７号棟）"</f>
        <v>吹田藤白台（１７号棟）</v>
      </c>
      <c r="K1961" s="7" t="str">
        <f>"鉄骨鉄筋コンクリート造"</f>
        <v>鉄骨鉄筋コンクリート造</v>
      </c>
      <c r="L1961" s="7" t="str">
        <f>"R02.12.01"</f>
        <v>R02.12.01</v>
      </c>
      <c r="M1961" s="7">
        <v>4308.66</v>
      </c>
      <c r="N1961" s="7">
        <v>901043242</v>
      </c>
      <c r="O1961" s="7">
        <v>43135065</v>
      </c>
      <c r="P1961" s="7">
        <v>0</v>
      </c>
      <c r="Q1961" s="7" t="str">
        <f t="shared" si="660"/>
        <v>都市整備部</v>
      </c>
      <c r="R1961" s="7" t="str">
        <f t="shared" si="657"/>
        <v>住宅建築局住宅経営室</v>
      </c>
    </row>
    <row r="1962" spans="1:18" s="1" customFormat="1" x14ac:dyDescent="0.45">
      <c r="A1962" s="7" t="str">
        <f>"09940003142"</f>
        <v>09940003142</v>
      </c>
      <c r="B1962" s="7" t="str">
        <f>"千里青山台"</f>
        <v>千里青山台</v>
      </c>
      <c r="C1962" s="7" t="str">
        <f t="shared" si="658"/>
        <v>行政財産</v>
      </c>
      <c r="D1962" s="7" t="str">
        <f t="shared" si="659"/>
        <v>公営住宅</v>
      </c>
      <c r="E1962" s="7" t="str">
        <f>"大阪府吹田市青山台２丁目"</f>
        <v>大阪府吹田市青山台２丁目</v>
      </c>
      <c r="F1962" s="7"/>
      <c r="G1962" s="7" t="str">
        <f t="shared" si="656"/>
        <v>事業用資産</v>
      </c>
      <c r="H1962" s="7" t="str">
        <f t="shared" si="651"/>
        <v>棚卸以外</v>
      </c>
      <c r="I1962" s="7">
        <v>1</v>
      </c>
      <c r="J1962" s="7" t="str">
        <f>"１～１５号棟"</f>
        <v>１～１５号棟</v>
      </c>
      <c r="K1962" s="7" t="str">
        <f t="shared" ref="K1962:K1970" si="662">"鉄筋コンクリート造"</f>
        <v>鉄筋コンクリート造</v>
      </c>
      <c r="L1962" s="7" t="str">
        <f>"S40.05.22"</f>
        <v>S40.05.22</v>
      </c>
      <c r="M1962" s="7">
        <v>31953.94</v>
      </c>
      <c r="N1962" s="7">
        <v>3053834498</v>
      </c>
      <c r="O1962" s="7">
        <v>2176921310</v>
      </c>
      <c r="P1962" s="7">
        <v>0</v>
      </c>
      <c r="Q1962" s="7" t="str">
        <f t="shared" si="660"/>
        <v>都市整備部</v>
      </c>
      <c r="R1962" s="7" t="str">
        <f t="shared" si="657"/>
        <v>住宅建築局住宅経営室</v>
      </c>
    </row>
    <row r="1963" spans="1:18" s="1" customFormat="1" x14ac:dyDescent="0.45">
      <c r="A1963" s="7" t="str">
        <f>"09940003142"</f>
        <v>09940003142</v>
      </c>
      <c r="B1963" s="7" t="str">
        <f>"千里青山台"</f>
        <v>千里青山台</v>
      </c>
      <c r="C1963" s="7" t="str">
        <f t="shared" si="658"/>
        <v>行政財産</v>
      </c>
      <c r="D1963" s="7" t="str">
        <f t="shared" si="659"/>
        <v>公営住宅</v>
      </c>
      <c r="E1963" s="7" t="str">
        <f>"大阪府吹田市青山台２丁目"</f>
        <v>大阪府吹田市青山台２丁目</v>
      </c>
      <c r="F1963" s="7"/>
      <c r="G1963" s="7" t="str">
        <f t="shared" si="656"/>
        <v>事業用資産</v>
      </c>
      <c r="H1963" s="7" t="str">
        <f t="shared" si="651"/>
        <v>棚卸以外</v>
      </c>
      <c r="I1963" s="7">
        <v>2</v>
      </c>
      <c r="J1963" s="7" t="str">
        <f>"集会所"</f>
        <v>集会所</v>
      </c>
      <c r="K1963" s="7" t="str">
        <f t="shared" si="662"/>
        <v>鉄筋コンクリート造</v>
      </c>
      <c r="L1963" s="7" t="str">
        <f>"S40.05.22"</f>
        <v>S40.05.22</v>
      </c>
      <c r="M1963" s="7">
        <v>82.64</v>
      </c>
      <c r="N1963" s="7">
        <v>3500000</v>
      </c>
      <c r="O1963" s="7">
        <v>3499999</v>
      </c>
      <c r="P1963" s="7">
        <v>0</v>
      </c>
      <c r="Q1963" s="7" t="str">
        <f t="shared" si="660"/>
        <v>都市整備部</v>
      </c>
      <c r="R1963" s="7" t="str">
        <f t="shared" si="657"/>
        <v>住宅建築局住宅経営室</v>
      </c>
    </row>
    <row r="1964" spans="1:18" s="1" customFormat="1" x14ac:dyDescent="0.45">
      <c r="A1964" s="7" t="str">
        <f>"09940003142"</f>
        <v>09940003142</v>
      </c>
      <c r="B1964" s="7" t="str">
        <f>"千里青山台"</f>
        <v>千里青山台</v>
      </c>
      <c r="C1964" s="7" t="str">
        <f t="shared" si="658"/>
        <v>行政財産</v>
      </c>
      <c r="D1964" s="7" t="str">
        <f t="shared" si="659"/>
        <v>公営住宅</v>
      </c>
      <c r="E1964" s="7" t="str">
        <f>"大阪府吹田市青山台２丁目"</f>
        <v>大阪府吹田市青山台２丁目</v>
      </c>
      <c r="F1964" s="7"/>
      <c r="G1964" s="7" t="str">
        <f t="shared" si="656"/>
        <v>事業用資産</v>
      </c>
      <c r="H1964" s="7" t="str">
        <f t="shared" si="651"/>
        <v>棚卸以外</v>
      </c>
      <c r="I1964" s="7">
        <v>3</v>
      </c>
      <c r="J1964" s="7" t="str">
        <f>"集会所増築"</f>
        <v>集会所増築</v>
      </c>
      <c r="K1964" s="7" t="str">
        <f t="shared" si="662"/>
        <v>鉄筋コンクリート造</v>
      </c>
      <c r="L1964" s="7" t="str">
        <f>"S57.02.08"</f>
        <v>S57.02.08</v>
      </c>
      <c r="M1964" s="7">
        <v>68.17</v>
      </c>
      <c r="N1964" s="7">
        <v>16655000</v>
      </c>
      <c r="O1964" s="7">
        <v>11951244</v>
      </c>
      <c r="P1964" s="7">
        <v>0</v>
      </c>
      <c r="Q1964" s="7" t="str">
        <f t="shared" si="660"/>
        <v>都市整備部</v>
      </c>
      <c r="R1964" s="7" t="str">
        <f t="shared" si="657"/>
        <v>住宅建築局住宅経営室</v>
      </c>
    </row>
    <row r="1965" spans="1:18" s="1" customFormat="1" x14ac:dyDescent="0.45">
      <c r="A1965" s="7" t="str">
        <f t="shared" ref="A1965:A1970" si="663">"09940003143"</f>
        <v>09940003143</v>
      </c>
      <c r="B1965" s="7" t="str">
        <f t="shared" ref="B1965:B1970" si="664">"清滝（旧楠公里）"</f>
        <v>清滝（旧楠公里）</v>
      </c>
      <c r="C1965" s="7" t="str">
        <f t="shared" si="658"/>
        <v>行政財産</v>
      </c>
      <c r="D1965" s="7" t="str">
        <f t="shared" si="659"/>
        <v>公営住宅</v>
      </c>
      <c r="E1965" s="7" t="str">
        <f t="shared" ref="E1965:E1970" si="665">"大阪府四條畷市清滝新町"</f>
        <v>大阪府四條畷市清滝新町</v>
      </c>
      <c r="F1965" s="7"/>
      <c r="G1965" s="7" t="str">
        <f t="shared" si="656"/>
        <v>事業用資産</v>
      </c>
      <c r="H1965" s="7" t="str">
        <f t="shared" si="651"/>
        <v>棚卸以外</v>
      </c>
      <c r="I1965" s="7">
        <v>1</v>
      </c>
      <c r="J1965" s="7" t="str">
        <f>"１・２・１０～１７号棟"</f>
        <v>１・２・１０～１７号棟</v>
      </c>
      <c r="K1965" s="7" t="str">
        <f t="shared" si="662"/>
        <v>鉄筋コンクリート造</v>
      </c>
      <c r="L1965" s="7" t="str">
        <f>"S46.06.27"</f>
        <v>S46.06.27</v>
      </c>
      <c r="M1965" s="7">
        <v>22047.03</v>
      </c>
      <c r="N1965" s="7">
        <v>1747524127</v>
      </c>
      <c r="O1965" s="7">
        <v>949130989</v>
      </c>
      <c r="P1965" s="7">
        <v>0</v>
      </c>
      <c r="Q1965" s="7" t="str">
        <f t="shared" si="660"/>
        <v>都市整備部</v>
      </c>
      <c r="R1965" s="7" t="str">
        <f t="shared" si="657"/>
        <v>住宅建築局住宅経営室</v>
      </c>
    </row>
    <row r="1966" spans="1:18" s="1" customFormat="1" x14ac:dyDescent="0.45">
      <c r="A1966" s="7" t="str">
        <f t="shared" si="663"/>
        <v>09940003143</v>
      </c>
      <c r="B1966" s="7" t="str">
        <f t="shared" si="664"/>
        <v>清滝（旧楠公里）</v>
      </c>
      <c r="C1966" s="7" t="str">
        <f t="shared" si="658"/>
        <v>行政財産</v>
      </c>
      <c r="D1966" s="7" t="str">
        <f t="shared" si="659"/>
        <v>公営住宅</v>
      </c>
      <c r="E1966" s="7" t="str">
        <f t="shared" si="665"/>
        <v>大阪府四條畷市清滝新町</v>
      </c>
      <c r="F1966" s="7"/>
      <c r="G1966" s="7" t="str">
        <f t="shared" si="656"/>
        <v>事業用資産</v>
      </c>
      <c r="H1966" s="7" t="str">
        <f t="shared" si="651"/>
        <v>棚卸以外</v>
      </c>
      <c r="I1966" s="7">
        <v>2</v>
      </c>
      <c r="J1966" s="7" t="str">
        <f>"３～６・８・９号棟"</f>
        <v>３～６・８・９号棟</v>
      </c>
      <c r="K1966" s="7" t="str">
        <f t="shared" si="662"/>
        <v>鉄筋コンクリート造</v>
      </c>
      <c r="L1966" s="7" t="str">
        <f>"S46.06.27"</f>
        <v>S46.06.27</v>
      </c>
      <c r="M1966" s="7">
        <v>14710.16</v>
      </c>
      <c r="N1966" s="7">
        <v>1069813449</v>
      </c>
      <c r="O1966" s="7">
        <v>659731433</v>
      </c>
      <c r="P1966" s="7">
        <v>0</v>
      </c>
      <c r="Q1966" s="7" t="str">
        <f t="shared" si="660"/>
        <v>都市整備部</v>
      </c>
      <c r="R1966" s="7" t="str">
        <f t="shared" si="657"/>
        <v>住宅建築局住宅経営室</v>
      </c>
    </row>
    <row r="1967" spans="1:18" s="1" customFormat="1" x14ac:dyDescent="0.45">
      <c r="A1967" s="7" t="str">
        <f t="shared" si="663"/>
        <v>09940003143</v>
      </c>
      <c r="B1967" s="7" t="str">
        <f t="shared" si="664"/>
        <v>清滝（旧楠公里）</v>
      </c>
      <c r="C1967" s="7" t="str">
        <f t="shared" si="658"/>
        <v>行政財産</v>
      </c>
      <c r="D1967" s="7" t="str">
        <f t="shared" si="659"/>
        <v>公営住宅</v>
      </c>
      <c r="E1967" s="7" t="str">
        <f t="shared" si="665"/>
        <v>大阪府四條畷市清滝新町</v>
      </c>
      <c r="F1967" s="7"/>
      <c r="G1967" s="7" t="str">
        <f t="shared" si="656"/>
        <v>事業用資産</v>
      </c>
      <c r="H1967" s="7" t="str">
        <f t="shared" si="651"/>
        <v>棚卸以外</v>
      </c>
      <c r="I1967" s="7">
        <v>3</v>
      </c>
      <c r="J1967" s="7" t="str">
        <f>"集会室"</f>
        <v>集会室</v>
      </c>
      <c r="K1967" s="7" t="str">
        <f t="shared" si="662"/>
        <v>鉄筋コンクリート造</v>
      </c>
      <c r="L1967" s="7" t="str">
        <f>"S46.06.27"</f>
        <v>S46.06.27</v>
      </c>
      <c r="M1967" s="7">
        <v>137.85</v>
      </c>
      <c r="N1967" s="7">
        <v>25509196</v>
      </c>
      <c r="O1967" s="7">
        <v>10043456</v>
      </c>
      <c r="P1967" s="7">
        <v>0</v>
      </c>
      <c r="Q1967" s="7" t="str">
        <f t="shared" si="660"/>
        <v>都市整備部</v>
      </c>
      <c r="R1967" s="7" t="str">
        <f t="shared" si="657"/>
        <v>住宅建築局住宅経営室</v>
      </c>
    </row>
    <row r="1968" spans="1:18" s="1" customFormat="1" x14ac:dyDescent="0.45">
      <c r="A1968" s="7" t="str">
        <f t="shared" si="663"/>
        <v>09940003143</v>
      </c>
      <c r="B1968" s="7" t="str">
        <f t="shared" si="664"/>
        <v>清滝（旧楠公里）</v>
      </c>
      <c r="C1968" s="7" t="str">
        <f t="shared" si="658"/>
        <v>行政財産</v>
      </c>
      <c r="D1968" s="7" t="str">
        <f t="shared" si="659"/>
        <v>公営住宅</v>
      </c>
      <c r="E1968" s="7" t="str">
        <f t="shared" si="665"/>
        <v>大阪府四條畷市清滝新町</v>
      </c>
      <c r="F1968" s="7"/>
      <c r="G1968" s="7" t="str">
        <f t="shared" si="656"/>
        <v>事業用資産</v>
      </c>
      <c r="H1968" s="7" t="str">
        <f t="shared" si="651"/>
        <v>棚卸以外</v>
      </c>
      <c r="I1968" s="7">
        <v>4</v>
      </c>
      <c r="J1968" s="7" t="str">
        <f>"集会所"</f>
        <v>集会所</v>
      </c>
      <c r="K1968" s="7" t="str">
        <f t="shared" si="662"/>
        <v>鉄筋コンクリート造</v>
      </c>
      <c r="L1968" s="7" t="str">
        <f>"H02.03.30"</f>
        <v>H02.03.30</v>
      </c>
      <c r="M1968" s="7">
        <v>66</v>
      </c>
      <c r="N1968" s="7">
        <v>18098057</v>
      </c>
      <c r="O1968" s="7">
        <v>12513204</v>
      </c>
      <c r="P1968" s="7">
        <v>0</v>
      </c>
      <c r="Q1968" s="7" t="str">
        <f t="shared" si="660"/>
        <v>都市整備部</v>
      </c>
      <c r="R1968" s="7" t="str">
        <f t="shared" si="657"/>
        <v>住宅建築局住宅経営室</v>
      </c>
    </row>
    <row r="1969" spans="1:18" s="1" customFormat="1" x14ac:dyDescent="0.45">
      <c r="A1969" s="7" t="str">
        <f t="shared" si="663"/>
        <v>09940003143</v>
      </c>
      <c r="B1969" s="7" t="str">
        <f t="shared" si="664"/>
        <v>清滝（旧楠公里）</v>
      </c>
      <c r="C1969" s="7" t="str">
        <f t="shared" si="658"/>
        <v>行政財産</v>
      </c>
      <c r="D1969" s="7" t="str">
        <f t="shared" si="659"/>
        <v>公営住宅</v>
      </c>
      <c r="E1969" s="7" t="str">
        <f t="shared" si="665"/>
        <v>大阪府四條畷市清滝新町</v>
      </c>
      <c r="F1969" s="7"/>
      <c r="G1969" s="7" t="str">
        <f t="shared" si="656"/>
        <v>事業用資産</v>
      </c>
      <c r="H1969" s="7" t="str">
        <f t="shared" si="651"/>
        <v>棚卸以外</v>
      </c>
      <c r="I1969" s="7">
        <v>5</v>
      </c>
      <c r="J1969" s="7" t="str">
        <f>"汚水処理場"</f>
        <v>汚水処理場</v>
      </c>
      <c r="K1969" s="7" t="str">
        <f t="shared" si="662"/>
        <v>鉄筋コンクリート造</v>
      </c>
      <c r="L1969" s="7" t="str">
        <f>"S46.06.27"</f>
        <v>S46.06.27</v>
      </c>
      <c r="M1969" s="7">
        <v>290.29000000000002</v>
      </c>
      <c r="N1969" s="7">
        <v>72417000</v>
      </c>
      <c r="O1969" s="7">
        <v>72416999</v>
      </c>
      <c r="P1969" s="7">
        <v>0</v>
      </c>
      <c r="Q1969" s="7" t="str">
        <f t="shared" si="660"/>
        <v>都市整備部</v>
      </c>
      <c r="R1969" s="7" t="str">
        <f t="shared" si="657"/>
        <v>住宅建築局住宅経営室</v>
      </c>
    </row>
    <row r="1970" spans="1:18" s="1" customFormat="1" x14ac:dyDescent="0.45">
      <c r="A1970" s="7" t="str">
        <f t="shared" si="663"/>
        <v>09940003143</v>
      </c>
      <c r="B1970" s="7" t="str">
        <f t="shared" si="664"/>
        <v>清滝（旧楠公里）</v>
      </c>
      <c r="C1970" s="7" t="str">
        <f t="shared" si="658"/>
        <v>行政財産</v>
      </c>
      <c r="D1970" s="7" t="str">
        <f t="shared" si="659"/>
        <v>公営住宅</v>
      </c>
      <c r="E1970" s="7" t="str">
        <f t="shared" si="665"/>
        <v>大阪府四條畷市清滝新町</v>
      </c>
      <c r="F1970" s="7"/>
      <c r="G1970" s="7" t="str">
        <f t="shared" si="656"/>
        <v>事業用資産</v>
      </c>
      <c r="H1970" s="7" t="str">
        <f t="shared" si="651"/>
        <v>棚卸以外</v>
      </c>
      <c r="I1970" s="7">
        <v>6</v>
      </c>
      <c r="J1970" s="7" t="str">
        <f>"受水槽"</f>
        <v>受水槽</v>
      </c>
      <c r="K1970" s="7" t="str">
        <f t="shared" si="662"/>
        <v>鉄筋コンクリート造</v>
      </c>
      <c r="L1970" s="7" t="str">
        <f>"S46.06.27"</f>
        <v>S46.06.27</v>
      </c>
      <c r="M1970" s="7">
        <v>219.12</v>
      </c>
      <c r="N1970" s="7">
        <v>43544000</v>
      </c>
      <c r="O1970" s="7">
        <v>43543999</v>
      </c>
      <c r="P1970" s="7">
        <v>0</v>
      </c>
      <c r="Q1970" s="7" t="str">
        <f t="shared" si="660"/>
        <v>都市整備部</v>
      </c>
      <c r="R1970" s="7" t="str">
        <f t="shared" si="657"/>
        <v>住宅建築局住宅経営室</v>
      </c>
    </row>
    <row r="1971" spans="1:18" s="1" customFormat="1" ht="26.4" x14ac:dyDescent="0.45">
      <c r="A1971" s="7" t="str">
        <f>"09940003147"</f>
        <v>09940003147</v>
      </c>
      <c r="B1971" s="7" t="str">
        <f>"柏原河原"</f>
        <v>柏原河原</v>
      </c>
      <c r="C1971" s="7" t="str">
        <f t="shared" si="658"/>
        <v>行政財産</v>
      </c>
      <c r="D1971" s="7" t="str">
        <f t="shared" si="659"/>
        <v>公営住宅</v>
      </c>
      <c r="E1971" s="7" t="str">
        <f>"大阪府柏原市河原町"</f>
        <v>大阪府柏原市河原町</v>
      </c>
      <c r="F1971" s="7"/>
      <c r="G1971" s="7" t="str">
        <f t="shared" si="656"/>
        <v>事業用資産</v>
      </c>
      <c r="H1971" s="7" t="str">
        <f t="shared" si="651"/>
        <v>棚卸以外</v>
      </c>
      <c r="I1971" s="7">
        <v>1</v>
      </c>
      <c r="J1971" s="7" t="str">
        <f>"１～４号棟"</f>
        <v>１～４号棟</v>
      </c>
      <c r="K1971" s="7" t="str">
        <f>"鉄骨鉄筋コンクリート造"</f>
        <v>鉄骨鉄筋コンクリート造</v>
      </c>
      <c r="L1971" s="7" t="str">
        <f>"S49.09.10"</f>
        <v>S49.09.10</v>
      </c>
      <c r="M1971" s="7">
        <v>23602.37</v>
      </c>
      <c r="N1971" s="7">
        <v>1759647589</v>
      </c>
      <c r="O1971" s="7">
        <v>1701986683</v>
      </c>
      <c r="P1971" s="7">
        <v>0</v>
      </c>
      <c r="Q1971" s="7" t="str">
        <f t="shared" si="660"/>
        <v>都市整備部</v>
      </c>
      <c r="R1971" s="7" t="str">
        <f t="shared" si="657"/>
        <v>住宅建築局住宅経営室</v>
      </c>
    </row>
    <row r="1972" spans="1:18" s="1" customFormat="1" ht="26.4" x14ac:dyDescent="0.45">
      <c r="A1972" s="7" t="str">
        <f>"09940003147"</f>
        <v>09940003147</v>
      </c>
      <c r="B1972" s="7" t="str">
        <f>"柏原河原"</f>
        <v>柏原河原</v>
      </c>
      <c r="C1972" s="7" t="str">
        <f t="shared" si="658"/>
        <v>行政財産</v>
      </c>
      <c r="D1972" s="7" t="str">
        <f t="shared" si="659"/>
        <v>公営住宅</v>
      </c>
      <c r="E1972" s="7" t="str">
        <f>"大阪府柏原市河原町"</f>
        <v>大阪府柏原市河原町</v>
      </c>
      <c r="F1972" s="7"/>
      <c r="G1972" s="7" t="str">
        <f t="shared" si="656"/>
        <v>事業用資産</v>
      </c>
      <c r="H1972" s="7" t="str">
        <f t="shared" si="651"/>
        <v>棚卸以外</v>
      </c>
      <c r="I1972" s="7">
        <v>2</v>
      </c>
      <c r="J1972" s="7" t="str">
        <f>"受水槽ポンプ室"</f>
        <v>受水槽ポンプ室</v>
      </c>
      <c r="K1972" s="7" t="str">
        <f>"鉄骨鉄筋コンクリート造"</f>
        <v>鉄骨鉄筋コンクリート造</v>
      </c>
      <c r="L1972" s="7" t="str">
        <f>"S49.09.10"</f>
        <v>S49.09.10</v>
      </c>
      <c r="M1972" s="7">
        <v>141.44999999999999</v>
      </c>
      <c r="N1972" s="7">
        <v>5682000</v>
      </c>
      <c r="O1972" s="7">
        <v>5681999</v>
      </c>
      <c r="P1972" s="7">
        <v>0</v>
      </c>
      <c r="Q1972" s="7" t="str">
        <f t="shared" si="660"/>
        <v>都市整備部</v>
      </c>
      <c r="R1972" s="7" t="str">
        <f t="shared" si="657"/>
        <v>住宅建築局住宅経営室</v>
      </c>
    </row>
    <row r="1973" spans="1:18" s="1" customFormat="1" ht="26.4" x14ac:dyDescent="0.45">
      <c r="A1973" s="7" t="str">
        <f>"09940003148"</f>
        <v>09940003148</v>
      </c>
      <c r="B1973" s="7" t="str">
        <f>"泉大津要池"</f>
        <v>泉大津要池</v>
      </c>
      <c r="C1973" s="7" t="str">
        <f t="shared" si="658"/>
        <v>行政財産</v>
      </c>
      <c r="D1973" s="7" t="str">
        <f t="shared" si="659"/>
        <v>公営住宅</v>
      </c>
      <c r="E1973" s="7" t="str">
        <f>"大阪府泉大津市要池住宅"</f>
        <v>大阪府泉大津市要池住宅</v>
      </c>
      <c r="F1973" s="7"/>
      <c r="G1973" s="7" t="str">
        <f t="shared" si="656"/>
        <v>事業用資産</v>
      </c>
      <c r="H1973" s="7" t="str">
        <f t="shared" si="651"/>
        <v>棚卸以外</v>
      </c>
      <c r="I1973" s="7">
        <v>1</v>
      </c>
      <c r="J1973" s="7" t="str">
        <f>"１～４・６～９号棟"</f>
        <v>１～４・６～９号棟</v>
      </c>
      <c r="K1973" s="7" t="str">
        <f>"鉄骨鉄筋コンクリート造"</f>
        <v>鉄骨鉄筋コンクリート造</v>
      </c>
      <c r="L1973" s="7" t="str">
        <f>"S50.07.30"</f>
        <v>S50.07.30</v>
      </c>
      <c r="M1973" s="7">
        <v>43140.36</v>
      </c>
      <c r="N1973" s="7">
        <v>3690905301</v>
      </c>
      <c r="O1973" s="7">
        <v>3325003022</v>
      </c>
      <c r="P1973" s="7">
        <v>0</v>
      </c>
      <c r="Q1973" s="7" t="str">
        <f t="shared" si="660"/>
        <v>都市整備部</v>
      </c>
      <c r="R1973" s="7" t="str">
        <f t="shared" si="657"/>
        <v>住宅建築局住宅経営室</v>
      </c>
    </row>
    <row r="1974" spans="1:18" s="1" customFormat="1" x14ac:dyDescent="0.45">
      <c r="A1974" s="7" t="str">
        <f>"09940003148"</f>
        <v>09940003148</v>
      </c>
      <c r="B1974" s="7" t="str">
        <f>"泉大津要池"</f>
        <v>泉大津要池</v>
      </c>
      <c r="C1974" s="7" t="str">
        <f t="shared" si="658"/>
        <v>行政財産</v>
      </c>
      <c r="D1974" s="7" t="str">
        <f t="shared" si="659"/>
        <v>公営住宅</v>
      </c>
      <c r="E1974" s="7" t="str">
        <f>"大阪府泉大津市要池住宅"</f>
        <v>大阪府泉大津市要池住宅</v>
      </c>
      <c r="F1974" s="7"/>
      <c r="G1974" s="7" t="str">
        <f t="shared" si="656"/>
        <v>事業用資産</v>
      </c>
      <c r="H1974" s="7" t="str">
        <f t="shared" si="651"/>
        <v>棚卸以外</v>
      </c>
      <c r="I1974" s="7">
        <v>2</v>
      </c>
      <c r="J1974" s="7" t="str">
        <f>"集会所"</f>
        <v>集会所</v>
      </c>
      <c r="K1974" s="7" t="str">
        <f t="shared" ref="K1974:K2016" si="666">"鉄筋コンクリート造"</f>
        <v>鉄筋コンクリート造</v>
      </c>
      <c r="L1974" s="7" t="str">
        <f>"S50.07.30"</f>
        <v>S50.07.30</v>
      </c>
      <c r="M1974" s="7">
        <v>208.9</v>
      </c>
      <c r="N1974" s="7">
        <v>11768113</v>
      </c>
      <c r="O1974" s="7">
        <v>9603999</v>
      </c>
      <c r="P1974" s="7">
        <v>0</v>
      </c>
      <c r="Q1974" s="7" t="str">
        <f t="shared" si="660"/>
        <v>都市整備部</v>
      </c>
      <c r="R1974" s="7" t="str">
        <f t="shared" si="657"/>
        <v>住宅建築局住宅経営室</v>
      </c>
    </row>
    <row r="1975" spans="1:18" s="1" customFormat="1" x14ac:dyDescent="0.45">
      <c r="A1975" s="7" t="str">
        <f>"09940003148"</f>
        <v>09940003148</v>
      </c>
      <c r="B1975" s="7" t="str">
        <f>"泉大津要池"</f>
        <v>泉大津要池</v>
      </c>
      <c r="C1975" s="7" t="str">
        <f t="shared" si="658"/>
        <v>行政財産</v>
      </c>
      <c r="D1975" s="7" t="str">
        <f t="shared" si="659"/>
        <v>公営住宅</v>
      </c>
      <c r="E1975" s="7" t="str">
        <f>"大阪府泉大津市要池住宅"</f>
        <v>大阪府泉大津市要池住宅</v>
      </c>
      <c r="F1975" s="7"/>
      <c r="G1975" s="7" t="str">
        <f t="shared" si="656"/>
        <v>事業用資産</v>
      </c>
      <c r="H1975" s="7" t="str">
        <f t="shared" si="651"/>
        <v>棚卸以外</v>
      </c>
      <c r="I1975" s="7">
        <v>3</v>
      </c>
      <c r="J1975" s="7" t="str">
        <f>"受水槽（２５０ｔ）"</f>
        <v>受水槽（２５０ｔ）</v>
      </c>
      <c r="K1975" s="7" t="str">
        <f t="shared" si="666"/>
        <v>鉄筋コンクリート造</v>
      </c>
      <c r="L1975" s="7" t="str">
        <f>"S50.07.30"</f>
        <v>S50.07.30</v>
      </c>
      <c r="M1975" s="7">
        <v>128.6</v>
      </c>
      <c r="N1975" s="7">
        <v>5870000</v>
      </c>
      <c r="O1975" s="7">
        <v>5869999</v>
      </c>
      <c r="P1975" s="7">
        <v>0</v>
      </c>
      <c r="Q1975" s="7" t="str">
        <f t="shared" si="660"/>
        <v>都市整備部</v>
      </c>
      <c r="R1975" s="7" t="str">
        <f t="shared" si="657"/>
        <v>住宅建築局住宅経営室</v>
      </c>
    </row>
    <row r="1976" spans="1:18" s="1" customFormat="1" x14ac:dyDescent="0.45">
      <c r="A1976" s="7" t="str">
        <f>"09940003148"</f>
        <v>09940003148</v>
      </c>
      <c r="B1976" s="7" t="str">
        <f>"泉大津要池"</f>
        <v>泉大津要池</v>
      </c>
      <c r="C1976" s="7" t="str">
        <f t="shared" si="658"/>
        <v>行政財産</v>
      </c>
      <c r="D1976" s="7" t="str">
        <f t="shared" si="659"/>
        <v>公営住宅</v>
      </c>
      <c r="E1976" s="7" t="str">
        <f>"大阪府泉大津市要池住宅"</f>
        <v>大阪府泉大津市要池住宅</v>
      </c>
      <c r="F1976" s="7"/>
      <c r="G1976" s="7" t="str">
        <f t="shared" si="656"/>
        <v>事業用資産</v>
      </c>
      <c r="H1976" s="7" t="str">
        <f t="shared" si="651"/>
        <v>棚卸以外</v>
      </c>
      <c r="I1976" s="7">
        <v>4</v>
      </c>
      <c r="J1976" s="7" t="str">
        <f>"受水槽（２０ｔ）"</f>
        <v>受水槽（２０ｔ）</v>
      </c>
      <c r="K1976" s="7" t="str">
        <f t="shared" si="666"/>
        <v>鉄筋コンクリート造</v>
      </c>
      <c r="L1976" s="7" t="str">
        <f>"S50.07.30"</f>
        <v>S50.07.30</v>
      </c>
      <c r="M1976" s="7">
        <v>114.3</v>
      </c>
      <c r="N1976" s="7">
        <v>6139000</v>
      </c>
      <c r="O1976" s="7">
        <v>6138999</v>
      </c>
      <c r="P1976" s="7">
        <v>0</v>
      </c>
      <c r="Q1976" s="7" t="str">
        <f t="shared" si="660"/>
        <v>都市整備部</v>
      </c>
      <c r="R1976" s="7" t="str">
        <f t="shared" si="657"/>
        <v>住宅建築局住宅経営室</v>
      </c>
    </row>
    <row r="1977" spans="1:18" s="1" customFormat="1" x14ac:dyDescent="0.45">
      <c r="A1977" s="7" t="str">
        <f t="shared" ref="A1977:A1984" si="667">"09940003149"</f>
        <v>09940003149</v>
      </c>
      <c r="B1977" s="7" t="str">
        <f t="shared" ref="B1977:B1984" si="668">"柏原円明"</f>
        <v>柏原円明</v>
      </c>
      <c r="C1977" s="7" t="str">
        <f t="shared" si="658"/>
        <v>行政財産</v>
      </c>
      <c r="D1977" s="7" t="str">
        <f t="shared" si="659"/>
        <v>公営住宅</v>
      </c>
      <c r="E1977" s="7" t="str">
        <f t="shared" ref="E1977:E1984" si="669">"大阪府柏原市平野１丁目"</f>
        <v>大阪府柏原市平野１丁目</v>
      </c>
      <c r="F1977" s="7"/>
      <c r="G1977" s="7" t="str">
        <f t="shared" si="656"/>
        <v>事業用資産</v>
      </c>
      <c r="H1977" s="7" t="str">
        <f t="shared" si="651"/>
        <v>棚卸以外</v>
      </c>
      <c r="I1977" s="7">
        <v>1</v>
      </c>
      <c r="J1977" s="7" t="str">
        <f>"１号棟"</f>
        <v>１号棟</v>
      </c>
      <c r="K1977" s="7" t="str">
        <f t="shared" si="666"/>
        <v>鉄筋コンクリート造</v>
      </c>
      <c r="L1977" s="7" t="str">
        <f t="shared" ref="L1977:L1984" si="670">"S56.03.18"</f>
        <v>S56.03.18</v>
      </c>
      <c r="M1977" s="7">
        <v>1850.9</v>
      </c>
      <c r="N1977" s="7">
        <v>166064000</v>
      </c>
      <c r="O1977" s="7">
        <v>148397760</v>
      </c>
      <c r="P1977" s="7">
        <v>0</v>
      </c>
      <c r="Q1977" s="7" t="str">
        <f t="shared" si="660"/>
        <v>都市整備部</v>
      </c>
      <c r="R1977" s="7" t="str">
        <f t="shared" si="657"/>
        <v>住宅建築局住宅経営室</v>
      </c>
    </row>
    <row r="1978" spans="1:18" s="1" customFormat="1" x14ac:dyDescent="0.45">
      <c r="A1978" s="7" t="str">
        <f t="shared" si="667"/>
        <v>09940003149</v>
      </c>
      <c r="B1978" s="7" t="str">
        <f t="shared" si="668"/>
        <v>柏原円明</v>
      </c>
      <c r="C1978" s="7" t="str">
        <f t="shared" si="658"/>
        <v>行政財産</v>
      </c>
      <c r="D1978" s="7" t="str">
        <f t="shared" si="659"/>
        <v>公営住宅</v>
      </c>
      <c r="E1978" s="7" t="str">
        <f t="shared" si="669"/>
        <v>大阪府柏原市平野１丁目</v>
      </c>
      <c r="F1978" s="7"/>
      <c r="G1978" s="7" t="str">
        <f t="shared" si="656"/>
        <v>事業用資産</v>
      </c>
      <c r="H1978" s="7" t="str">
        <f t="shared" si="651"/>
        <v>棚卸以外</v>
      </c>
      <c r="I1978" s="7">
        <v>2</v>
      </c>
      <c r="J1978" s="7" t="str">
        <f>"２号棟"</f>
        <v>２号棟</v>
      </c>
      <c r="K1978" s="7" t="str">
        <f t="shared" si="666"/>
        <v>鉄筋コンクリート造</v>
      </c>
      <c r="L1978" s="7" t="str">
        <f t="shared" si="670"/>
        <v>S56.03.18</v>
      </c>
      <c r="M1978" s="7">
        <v>1889.1</v>
      </c>
      <c r="N1978" s="7">
        <v>161505000</v>
      </c>
      <c r="O1978" s="7">
        <v>144323928</v>
      </c>
      <c r="P1978" s="7">
        <v>0</v>
      </c>
      <c r="Q1978" s="7" t="str">
        <f t="shared" si="660"/>
        <v>都市整備部</v>
      </c>
      <c r="R1978" s="7" t="str">
        <f t="shared" si="657"/>
        <v>住宅建築局住宅経営室</v>
      </c>
    </row>
    <row r="1979" spans="1:18" s="1" customFormat="1" x14ac:dyDescent="0.45">
      <c r="A1979" s="7" t="str">
        <f t="shared" si="667"/>
        <v>09940003149</v>
      </c>
      <c r="B1979" s="7" t="str">
        <f t="shared" si="668"/>
        <v>柏原円明</v>
      </c>
      <c r="C1979" s="7" t="str">
        <f t="shared" si="658"/>
        <v>行政財産</v>
      </c>
      <c r="D1979" s="7" t="str">
        <f t="shared" si="659"/>
        <v>公営住宅</v>
      </c>
      <c r="E1979" s="7" t="str">
        <f t="shared" si="669"/>
        <v>大阪府柏原市平野１丁目</v>
      </c>
      <c r="F1979" s="7"/>
      <c r="G1979" s="7" t="str">
        <f t="shared" si="656"/>
        <v>事業用資産</v>
      </c>
      <c r="H1979" s="7" t="str">
        <f t="shared" si="651"/>
        <v>棚卸以外</v>
      </c>
      <c r="I1979" s="7">
        <v>3</v>
      </c>
      <c r="J1979" s="7" t="str">
        <f>"４号棟"</f>
        <v>４号棟</v>
      </c>
      <c r="K1979" s="7" t="str">
        <f t="shared" si="666"/>
        <v>鉄筋コンクリート造</v>
      </c>
      <c r="L1979" s="7" t="str">
        <f t="shared" si="670"/>
        <v>S56.03.18</v>
      </c>
      <c r="M1979" s="7">
        <v>1850.9</v>
      </c>
      <c r="N1979" s="7">
        <v>163757000</v>
      </c>
      <c r="O1979" s="7">
        <v>146336400</v>
      </c>
      <c r="P1979" s="7">
        <v>0</v>
      </c>
      <c r="Q1979" s="7" t="str">
        <f t="shared" si="660"/>
        <v>都市整備部</v>
      </c>
      <c r="R1979" s="7" t="str">
        <f t="shared" si="657"/>
        <v>住宅建築局住宅経営室</v>
      </c>
    </row>
    <row r="1980" spans="1:18" s="1" customFormat="1" x14ac:dyDescent="0.45">
      <c r="A1980" s="7" t="str">
        <f t="shared" si="667"/>
        <v>09940003149</v>
      </c>
      <c r="B1980" s="7" t="str">
        <f t="shared" si="668"/>
        <v>柏原円明</v>
      </c>
      <c r="C1980" s="7" t="str">
        <f t="shared" si="658"/>
        <v>行政財産</v>
      </c>
      <c r="D1980" s="7" t="str">
        <f t="shared" si="659"/>
        <v>公営住宅</v>
      </c>
      <c r="E1980" s="7" t="str">
        <f t="shared" si="669"/>
        <v>大阪府柏原市平野１丁目</v>
      </c>
      <c r="F1980" s="7"/>
      <c r="G1980" s="7" t="str">
        <f t="shared" si="656"/>
        <v>事業用資産</v>
      </c>
      <c r="H1980" s="7" t="str">
        <f t="shared" si="651"/>
        <v>棚卸以外</v>
      </c>
      <c r="I1980" s="7">
        <v>4</v>
      </c>
      <c r="J1980" s="7" t="str">
        <f>"３号棟"</f>
        <v>３号棟</v>
      </c>
      <c r="K1980" s="7" t="str">
        <f t="shared" si="666"/>
        <v>鉄筋コンクリート造</v>
      </c>
      <c r="L1980" s="7" t="str">
        <f t="shared" si="670"/>
        <v>S56.03.18</v>
      </c>
      <c r="M1980" s="7">
        <v>1137.4000000000001</v>
      </c>
      <c r="N1980" s="7">
        <v>108196000</v>
      </c>
      <c r="O1980" s="7">
        <v>96685848</v>
      </c>
      <c r="P1980" s="7">
        <v>0</v>
      </c>
      <c r="Q1980" s="7" t="str">
        <f t="shared" si="660"/>
        <v>都市整備部</v>
      </c>
      <c r="R1980" s="7" t="str">
        <f t="shared" si="657"/>
        <v>住宅建築局住宅経営室</v>
      </c>
    </row>
    <row r="1981" spans="1:18" s="1" customFormat="1" x14ac:dyDescent="0.45">
      <c r="A1981" s="7" t="str">
        <f t="shared" si="667"/>
        <v>09940003149</v>
      </c>
      <c r="B1981" s="7" t="str">
        <f t="shared" si="668"/>
        <v>柏原円明</v>
      </c>
      <c r="C1981" s="7" t="str">
        <f t="shared" si="658"/>
        <v>行政財産</v>
      </c>
      <c r="D1981" s="7" t="str">
        <f t="shared" si="659"/>
        <v>公営住宅</v>
      </c>
      <c r="E1981" s="7" t="str">
        <f t="shared" si="669"/>
        <v>大阪府柏原市平野１丁目</v>
      </c>
      <c r="F1981" s="7"/>
      <c r="G1981" s="7" t="str">
        <f t="shared" si="656"/>
        <v>事業用資産</v>
      </c>
      <c r="H1981" s="7" t="str">
        <f t="shared" si="651"/>
        <v>棚卸以外</v>
      </c>
      <c r="I1981" s="7">
        <v>5</v>
      </c>
      <c r="J1981" s="7" t="str">
        <f>"集会所"</f>
        <v>集会所</v>
      </c>
      <c r="K1981" s="7" t="str">
        <f t="shared" si="666"/>
        <v>鉄筋コンクリート造</v>
      </c>
      <c r="L1981" s="7" t="str">
        <f t="shared" si="670"/>
        <v>S56.03.18</v>
      </c>
      <c r="M1981" s="7">
        <v>120</v>
      </c>
      <c r="N1981" s="7">
        <v>15011000</v>
      </c>
      <c r="O1981" s="7">
        <v>13414464</v>
      </c>
      <c r="P1981" s="7">
        <v>0</v>
      </c>
      <c r="Q1981" s="7" t="str">
        <f t="shared" si="660"/>
        <v>都市整備部</v>
      </c>
      <c r="R1981" s="7" t="str">
        <f t="shared" si="657"/>
        <v>住宅建築局住宅経営室</v>
      </c>
    </row>
    <row r="1982" spans="1:18" s="1" customFormat="1" x14ac:dyDescent="0.45">
      <c r="A1982" s="7" t="str">
        <f t="shared" si="667"/>
        <v>09940003149</v>
      </c>
      <c r="B1982" s="7" t="str">
        <f t="shared" si="668"/>
        <v>柏原円明</v>
      </c>
      <c r="C1982" s="7" t="str">
        <f t="shared" si="658"/>
        <v>行政財産</v>
      </c>
      <c r="D1982" s="7" t="str">
        <f t="shared" si="659"/>
        <v>公営住宅</v>
      </c>
      <c r="E1982" s="7" t="str">
        <f t="shared" si="669"/>
        <v>大阪府柏原市平野１丁目</v>
      </c>
      <c r="F1982" s="7"/>
      <c r="G1982" s="7" t="str">
        <f t="shared" si="656"/>
        <v>事業用資産</v>
      </c>
      <c r="H1982" s="7" t="str">
        <f t="shared" si="651"/>
        <v>棚卸以外</v>
      </c>
      <c r="I1982" s="7">
        <v>6</v>
      </c>
      <c r="J1982" s="7" t="str">
        <f>"受水槽"</f>
        <v>受水槽</v>
      </c>
      <c r="K1982" s="7" t="str">
        <f t="shared" si="666"/>
        <v>鉄筋コンクリート造</v>
      </c>
      <c r="L1982" s="7" t="str">
        <f t="shared" si="670"/>
        <v>S56.03.18</v>
      </c>
      <c r="M1982" s="7">
        <v>15.3</v>
      </c>
      <c r="N1982" s="7">
        <v>4285000</v>
      </c>
      <c r="O1982" s="7">
        <v>3829392</v>
      </c>
      <c r="P1982" s="7">
        <v>0</v>
      </c>
      <c r="Q1982" s="7" t="str">
        <f t="shared" si="660"/>
        <v>都市整備部</v>
      </c>
      <c r="R1982" s="7" t="str">
        <f t="shared" si="657"/>
        <v>住宅建築局住宅経営室</v>
      </c>
    </row>
    <row r="1983" spans="1:18" s="1" customFormat="1" x14ac:dyDescent="0.45">
      <c r="A1983" s="7" t="str">
        <f t="shared" si="667"/>
        <v>09940003149</v>
      </c>
      <c r="B1983" s="7" t="str">
        <f t="shared" si="668"/>
        <v>柏原円明</v>
      </c>
      <c r="C1983" s="7" t="str">
        <f t="shared" si="658"/>
        <v>行政財産</v>
      </c>
      <c r="D1983" s="7" t="str">
        <f t="shared" si="659"/>
        <v>公営住宅</v>
      </c>
      <c r="E1983" s="7" t="str">
        <f t="shared" si="669"/>
        <v>大阪府柏原市平野１丁目</v>
      </c>
      <c r="F1983" s="7"/>
      <c r="G1983" s="7" t="str">
        <f t="shared" si="656"/>
        <v>事業用資産</v>
      </c>
      <c r="H1983" s="7" t="str">
        <f t="shared" si="651"/>
        <v>棚卸以外</v>
      </c>
      <c r="I1983" s="7">
        <v>7</v>
      </c>
      <c r="J1983" s="7" t="str">
        <f>"受水槽"</f>
        <v>受水槽</v>
      </c>
      <c r="K1983" s="7" t="str">
        <f t="shared" si="666"/>
        <v>鉄筋コンクリート造</v>
      </c>
      <c r="L1983" s="7" t="str">
        <f t="shared" si="670"/>
        <v>S56.03.18</v>
      </c>
      <c r="M1983" s="7">
        <v>15.3</v>
      </c>
      <c r="N1983" s="7">
        <v>4285000</v>
      </c>
      <c r="O1983" s="7">
        <v>3829392</v>
      </c>
      <c r="P1983" s="7">
        <v>0</v>
      </c>
      <c r="Q1983" s="7" t="str">
        <f t="shared" si="660"/>
        <v>都市整備部</v>
      </c>
      <c r="R1983" s="7" t="str">
        <f t="shared" si="657"/>
        <v>住宅建築局住宅経営室</v>
      </c>
    </row>
    <row r="1984" spans="1:18" s="1" customFormat="1" x14ac:dyDescent="0.45">
      <c r="A1984" s="7" t="str">
        <f t="shared" si="667"/>
        <v>09940003149</v>
      </c>
      <c r="B1984" s="7" t="str">
        <f t="shared" si="668"/>
        <v>柏原円明</v>
      </c>
      <c r="C1984" s="7" t="str">
        <f t="shared" si="658"/>
        <v>行政財産</v>
      </c>
      <c r="D1984" s="7" t="str">
        <f t="shared" si="659"/>
        <v>公営住宅</v>
      </c>
      <c r="E1984" s="7" t="str">
        <f t="shared" si="669"/>
        <v>大阪府柏原市平野１丁目</v>
      </c>
      <c r="F1984" s="7"/>
      <c r="G1984" s="7" t="str">
        <f t="shared" si="656"/>
        <v>事業用資産</v>
      </c>
      <c r="H1984" s="7" t="str">
        <f t="shared" si="651"/>
        <v>棚卸以外</v>
      </c>
      <c r="I1984" s="7">
        <v>8</v>
      </c>
      <c r="J1984" s="7" t="str">
        <f>"受水槽"</f>
        <v>受水槽</v>
      </c>
      <c r="K1984" s="7" t="str">
        <f t="shared" si="666"/>
        <v>鉄筋コンクリート造</v>
      </c>
      <c r="L1984" s="7" t="str">
        <f t="shared" si="670"/>
        <v>S56.03.18</v>
      </c>
      <c r="M1984" s="7">
        <v>24.79</v>
      </c>
      <c r="N1984" s="7">
        <v>6943000</v>
      </c>
      <c r="O1984" s="7">
        <v>6204744</v>
      </c>
      <c r="P1984" s="7">
        <v>0</v>
      </c>
      <c r="Q1984" s="7" t="str">
        <f t="shared" si="660"/>
        <v>都市整備部</v>
      </c>
      <c r="R1984" s="7" t="str">
        <f t="shared" si="657"/>
        <v>住宅建築局住宅経営室</v>
      </c>
    </row>
    <row r="1985" spans="1:18" s="1" customFormat="1" x14ac:dyDescent="0.45">
      <c r="A1985" s="7" t="str">
        <f t="shared" ref="A1985:A1990" si="671">"09940003151"</f>
        <v>09940003151</v>
      </c>
      <c r="B1985" s="7" t="str">
        <f t="shared" ref="B1985:B1990" si="672">"泉大津式内"</f>
        <v>泉大津式内</v>
      </c>
      <c r="C1985" s="7" t="str">
        <f t="shared" si="658"/>
        <v>行政財産</v>
      </c>
      <c r="D1985" s="7" t="str">
        <f t="shared" si="659"/>
        <v>公営住宅</v>
      </c>
      <c r="E1985" s="7" t="str">
        <f t="shared" ref="E1985:E1990" si="673">"大阪府泉大津市式内町"</f>
        <v>大阪府泉大津市式内町</v>
      </c>
      <c r="F1985" s="7"/>
      <c r="G1985" s="7" t="str">
        <f t="shared" si="656"/>
        <v>事業用資産</v>
      </c>
      <c r="H1985" s="7" t="str">
        <f t="shared" si="651"/>
        <v>棚卸以外</v>
      </c>
      <c r="I1985" s="7">
        <v>1</v>
      </c>
      <c r="J1985" s="7" t="str">
        <f>"１号棟"</f>
        <v>１号棟</v>
      </c>
      <c r="K1985" s="7" t="str">
        <f t="shared" si="666"/>
        <v>鉄筋コンクリート造</v>
      </c>
      <c r="L1985" s="7" t="str">
        <f t="shared" ref="L1985:L1990" si="674">"S52.06.15"</f>
        <v>S52.06.15</v>
      </c>
      <c r="M1985" s="7">
        <v>588.24</v>
      </c>
      <c r="N1985" s="7">
        <v>42900000</v>
      </c>
      <c r="O1985" s="7">
        <v>41759136</v>
      </c>
      <c r="P1985" s="7">
        <v>0</v>
      </c>
      <c r="Q1985" s="7" t="str">
        <f t="shared" si="660"/>
        <v>都市整備部</v>
      </c>
      <c r="R1985" s="7" t="str">
        <f t="shared" si="657"/>
        <v>住宅建築局住宅経営室</v>
      </c>
    </row>
    <row r="1986" spans="1:18" s="1" customFormat="1" x14ac:dyDescent="0.45">
      <c r="A1986" s="7" t="str">
        <f t="shared" si="671"/>
        <v>09940003151</v>
      </c>
      <c r="B1986" s="7" t="str">
        <f t="shared" si="672"/>
        <v>泉大津式内</v>
      </c>
      <c r="C1986" s="7" t="str">
        <f t="shared" si="658"/>
        <v>行政財産</v>
      </c>
      <c r="D1986" s="7" t="str">
        <f t="shared" si="659"/>
        <v>公営住宅</v>
      </c>
      <c r="E1986" s="7" t="str">
        <f t="shared" si="673"/>
        <v>大阪府泉大津市式内町</v>
      </c>
      <c r="F1986" s="7"/>
      <c r="G1986" s="7" t="str">
        <f t="shared" si="656"/>
        <v>事業用資産</v>
      </c>
      <c r="H1986" s="7" t="str">
        <f t="shared" si="651"/>
        <v>棚卸以外</v>
      </c>
      <c r="I1986" s="7">
        <v>2</v>
      </c>
      <c r="J1986" s="7" t="str">
        <f>"２号棟"</f>
        <v>２号棟</v>
      </c>
      <c r="K1986" s="7" t="str">
        <f t="shared" si="666"/>
        <v>鉄筋コンクリート造</v>
      </c>
      <c r="L1986" s="7" t="str">
        <f t="shared" si="674"/>
        <v>S52.06.15</v>
      </c>
      <c r="M1986" s="7">
        <v>1833.04</v>
      </c>
      <c r="N1986" s="7">
        <v>137279000</v>
      </c>
      <c r="O1986" s="7">
        <v>133628247</v>
      </c>
      <c r="P1986" s="7">
        <v>0</v>
      </c>
      <c r="Q1986" s="7" t="str">
        <f t="shared" si="660"/>
        <v>都市整備部</v>
      </c>
      <c r="R1986" s="7" t="str">
        <f t="shared" si="657"/>
        <v>住宅建築局住宅経営室</v>
      </c>
    </row>
    <row r="1987" spans="1:18" s="1" customFormat="1" x14ac:dyDescent="0.45">
      <c r="A1987" s="7" t="str">
        <f t="shared" si="671"/>
        <v>09940003151</v>
      </c>
      <c r="B1987" s="7" t="str">
        <f t="shared" si="672"/>
        <v>泉大津式内</v>
      </c>
      <c r="C1987" s="7" t="str">
        <f t="shared" si="658"/>
        <v>行政財産</v>
      </c>
      <c r="D1987" s="7" t="str">
        <f t="shared" si="659"/>
        <v>公営住宅</v>
      </c>
      <c r="E1987" s="7" t="str">
        <f t="shared" si="673"/>
        <v>大阪府泉大津市式内町</v>
      </c>
      <c r="F1987" s="7"/>
      <c r="G1987" s="7" t="str">
        <f t="shared" si="656"/>
        <v>事業用資産</v>
      </c>
      <c r="H1987" s="7" t="str">
        <f t="shared" si="651"/>
        <v>棚卸以外</v>
      </c>
      <c r="I1987" s="7">
        <v>3</v>
      </c>
      <c r="J1987" s="7" t="str">
        <f>"３号棟"</f>
        <v>３号棟</v>
      </c>
      <c r="K1987" s="7" t="str">
        <f t="shared" si="666"/>
        <v>鉄筋コンクリート造</v>
      </c>
      <c r="L1987" s="7" t="str">
        <f t="shared" si="674"/>
        <v>S52.06.15</v>
      </c>
      <c r="M1987" s="7">
        <v>2364</v>
      </c>
      <c r="N1987" s="7">
        <v>167107000</v>
      </c>
      <c r="O1987" s="7">
        <v>162663210</v>
      </c>
      <c r="P1987" s="7">
        <v>0</v>
      </c>
      <c r="Q1987" s="7" t="str">
        <f t="shared" si="660"/>
        <v>都市整備部</v>
      </c>
      <c r="R1987" s="7" t="str">
        <f t="shared" si="657"/>
        <v>住宅建築局住宅経営室</v>
      </c>
    </row>
    <row r="1988" spans="1:18" s="1" customFormat="1" x14ac:dyDescent="0.45">
      <c r="A1988" s="7" t="str">
        <f t="shared" si="671"/>
        <v>09940003151</v>
      </c>
      <c r="B1988" s="7" t="str">
        <f t="shared" si="672"/>
        <v>泉大津式内</v>
      </c>
      <c r="C1988" s="7" t="str">
        <f t="shared" si="658"/>
        <v>行政財産</v>
      </c>
      <c r="D1988" s="7" t="str">
        <f t="shared" si="659"/>
        <v>公営住宅</v>
      </c>
      <c r="E1988" s="7" t="str">
        <f t="shared" si="673"/>
        <v>大阪府泉大津市式内町</v>
      </c>
      <c r="F1988" s="7"/>
      <c r="G1988" s="7" t="str">
        <f t="shared" si="656"/>
        <v>事業用資産</v>
      </c>
      <c r="H1988" s="7" t="str">
        <f t="shared" ref="H1988:H2051" si="675">"棚卸以外"</f>
        <v>棚卸以外</v>
      </c>
      <c r="I1988" s="7">
        <v>4</v>
      </c>
      <c r="J1988" s="7" t="str">
        <f>"４号棟"</f>
        <v>４号棟</v>
      </c>
      <c r="K1988" s="7" t="str">
        <f t="shared" si="666"/>
        <v>鉄筋コンクリート造</v>
      </c>
      <c r="L1988" s="7" t="str">
        <f t="shared" si="674"/>
        <v>S52.06.15</v>
      </c>
      <c r="M1988" s="7">
        <v>2147.58</v>
      </c>
      <c r="N1988" s="7">
        <v>221253000</v>
      </c>
      <c r="O1988" s="7">
        <v>167495158</v>
      </c>
      <c r="P1988" s="7">
        <v>0</v>
      </c>
      <c r="Q1988" s="7" t="str">
        <f t="shared" si="660"/>
        <v>都市整備部</v>
      </c>
      <c r="R1988" s="7" t="str">
        <f t="shared" si="657"/>
        <v>住宅建築局住宅経営室</v>
      </c>
    </row>
    <row r="1989" spans="1:18" s="1" customFormat="1" x14ac:dyDescent="0.45">
      <c r="A1989" s="7" t="str">
        <f t="shared" si="671"/>
        <v>09940003151</v>
      </c>
      <c r="B1989" s="7" t="str">
        <f t="shared" si="672"/>
        <v>泉大津式内</v>
      </c>
      <c r="C1989" s="7" t="str">
        <f t="shared" si="658"/>
        <v>行政財産</v>
      </c>
      <c r="D1989" s="7" t="str">
        <f t="shared" si="659"/>
        <v>公営住宅</v>
      </c>
      <c r="E1989" s="7" t="str">
        <f t="shared" si="673"/>
        <v>大阪府泉大津市式内町</v>
      </c>
      <c r="F1989" s="7"/>
      <c r="G1989" s="7" t="str">
        <f t="shared" si="656"/>
        <v>事業用資産</v>
      </c>
      <c r="H1989" s="7" t="str">
        <f t="shared" si="675"/>
        <v>棚卸以外</v>
      </c>
      <c r="I1989" s="7">
        <v>5</v>
      </c>
      <c r="J1989" s="7" t="str">
        <f>"５号棟"</f>
        <v>５号棟</v>
      </c>
      <c r="K1989" s="7" t="str">
        <f t="shared" si="666"/>
        <v>鉄筋コンクリート造</v>
      </c>
      <c r="L1989" s="7" t="str">
        <f t="shared" si="674"/>
        <v>S52.06.15</v>
      </c>
      <c r="M1989" s="7">
        <v>1182</v>
      </c>
      <c r="N1989" s="7">
        <v>98843000</v>
      </c>
      <c r="O1989" s="7">
        <v>96214446</v>
      </c>
      <c r="P1989" s="7">
        <v>0</v>
      </c>
      <c r="Q1989" s="7" t="str">
        <f t="shared" si="660"/>
        <v>都市整備部</v>
      </c>
      <c r="R1989" s="7" t="str">
        <f t="shared" si="657"/>
        <v>住宅建築局住宅経営室</v>
      </c>
    </row>
    <row r="1990" spans="1:18" s="1" customFormat="1" x14ac:dyDescent="0.45">
      <c r="A1990" s="7" t="str">
        <f t="shared" si="671"/>
        <v>09940003151</v>
      </c>
      <c r="B1990" s="7" t="str">
        <f t="shared" si="672"/>
        <v>泉大津式内</v>
      </c>
      <c r="C1990" s="7" t="str">
        <f t="shared" si="658"/>
        <v>行政財産</v>
      </c>
      <c r="D1990" s="7" t="str">
        <f t="shared" si="659"/>
        <v>公営住宅</v>
      </c>
      <c r="E1990" s="7" t="str">
        <f t="shared" si="673"/>
        <v>大阪府泉大津市式内町</v>
      </c>
      <c r="F1990" s="7"/>
      <c r="G1990" s="7" t="str">
        <f t="shared" si="656"/>
        <v>事業用資産</v>
      </c>
      <c r="H1990" s="7" t="str">
        <f t="shared" si="675"/>
        <v>棚卸以外</v>
      </c>
      <c r="I1990" s="7">
        <v>6</v>
      </c>
      <c r="J1990" s="7" t="str">
        <f>"集会所"</f>
        <v>集会所</v>
      </c>
      <c r="K1990" s="7" t="str">
        <f t="shared" si="666"/>
        <v>鉄筋コンクリート造</v>
      </c>
      <c r="L1990" s="7" t="str">
        <f t="shared" si="674"/>
        <v>S52.06.15</v>
      </c>
      <c r="M1990" s="7">
        <v>84</v>
      </c>
      <c r="N1990" s="7">
        <v>8526000</v>
      </c>
      <c r="O1990" s="7">
        <v>8299782</v>
      </c>
      <c r="P1990" s="7">
        <v>0</v>
      </c>
      <c r="Q1990" s="7" t="str">
        <f t="shared" si="660"/>
        <v>都市整備部</v>
      </c>
      <c r="R1990" s="7" t="str">
        <f t="shared" si="657"/>
        <v>住宅建築局住宅経営室</v>
      </c>
    </row>
    <row r="1991" spans="1:18" s="1" customFormat="1" x14ac:dyDescent="0.45">
      <c r="A1991" s="7" t="str">
        <f t="shared" ref="A1991:A1996" si="676">"09940003153"</f>
        <v>09940003153</v>
      </c>
      <c r="B1991" s="7" t="str">
        <f t="shared" ref="B1991:B1996" si="677">"泉大津なぎさ"</f>
        <v>泉大津なぎさ</v>
      </c>
      <c r="C1991" s="7" t="str">
        <f t="shared" si="658"/>
        <v>行政財産</v>
      </c>
      <c r="D1991" s="7" t="str">
        <f t="shared" si="659"/>
        <v>公営住宅</v>
      </c>
      <c r="E1991" s="7" t="str">
        <f t="shared" ref="E1991:E1996" si="678">"大阪府泉大津市なぎさ町"</f>
        <v>大阪府泉大津市なぎさ町</v>
      </c>
      <c r="F1991" s="7"/>
      <c r="G1991" s="7" t="str">
        <f t="shared" si="656"/>
        <v>事業用資産</v>
      </c>
      <c r="H1991" s="7" t="str">
        <f t="shared" si="675"/>
        <v>棚卸以外</v>
      </c>
      <c r="I1991" s="7">
        <v>1</v>
      </c>
      <c r="J1991" s="7" t="str">
        <f>"１号棟"</f>
        <v>１号棟</v>
      </c>
      <c r="K1991" s="7" t="str">
        <f t="shared" si="666"/>
        <v>鉄筋コンクリート造</v>
      </c>
      <c r="L1991" s="7" t="str">
        <f t="shared" ref="L1991:L1996" si="679">"H11.04.01"</f>
        <v>H11.04.01</v>
      </c>
      <c r="M1991" s="7">
        <v>7227.9</v>
      </c>
      <c r="N1991" s="7">
        <v>1639147166</v>
      </c>
      <c r="O1991" s="7">
        <v>831919846</v>
      </c>
      <c r="P1991" s="7">
        <v>0</v>
      </c>
      <c r="Q1991" s="7" t="str">
        <f t="shared" si="660"/>
        <v>都市整備部</v>
      </c>
      <c r="R1991" s="7" t="str">
        <f t="shared" si="657"/>
        <v>住宅建築局住宅経営室</v>
      </c>
    </row>
    <row r="1992" spans="1:18" s="1" customFormat="1" x14ac:dyDescent="0.45">
      <c r="A1992" s="7" t="str">
        <f t="shared" si="676"/>
        <v>09940003153</v>
      </c>
      <c r="B1992" s="7" t="str">
        <f t="shared" si="677"/>
        <v>泉大津なぎさ</v>
      </c>
      <c r="C1992" s="7" t="str">
        <f t="shared" si="658"/>
        <v>行政財産</v>
      </c>
      <c r="D1992" s="7" t="str">
        <f t="shared" si="659"/>
        <v>公営住宅</v>
      </c>
      <c r="E1992" s="7" t="str">
        <f t="shared" si="678"/>
        <v>大阪府泉大津市なぎさ町</v>
      </c>
      <c r="F1992" s="7"/>
      <c r="G1992" s="7" t="str">
        <f t="shared" si="656"/>
        <v>事業用資産</v>
      </c>
      <c r="H1992" s="7" t="str">
        <f t="shared" si="675"/>
        <v>棚卸以外</v>
      </c>
      <c r="I1992" s="7">
        <v>2</v>
      </c>
      <c r="J1992" s="7" t="str">
        <f>"２号棟"</f>
        <v>２号棟</v>
      </c>
      <c r="K1992" s="7" t="str">
        <f t="shared" si="666"/>
        <v>鉄筋コンクリート造</v>
      </c>
      <c r="L1992" s="7" t="str">
        <f t="shared" si="679"/>
        <v>H11.04.01</v>
      </c>
      <c r="M1992" s="7">
        <v>5374</v>
      </c>
      <c r="N1992" s="7">
        <v>1463031166</v>
      </c>
      <c r="O1992" s="7">
        <v>742300652</v>
      </c>
      <c r="P1992" s="7">
        <v>0</v>
      </c>
      <c r="Q1992" s="7" t="str">
        <f t="shared" si="660"/>
        <v>都市整備部</v>
      </c>
      <c r="R1992" s="7" t="str">
        <f t="shared" si="657"/>
        <v>住宅建築局住宅経営室</v>
      </c>
    </row>
    <row r="1993" spans="1:18" s="1" customFormat="1" x14ac:dyDescent="0.45">
      <c r="A1993" s="7" t="str">
        <f t="shared" si="676"/>
        <v>09940003153</v>
      </c>
      <c r="B1993" s="7" t="str">
        <f t="shared" si="677"/>
        <v>泉大津なぎさ</v>
      </c>
      <c r="C1993" s="7" t="str">
        <f t="shared" si="658"/>
        <v>行政財産</v>
      </c>
      <c r="D1993" s="7" t="str">
        <f t="shared" si="659"/>
        <v>公営住宅</v>
      </c>
      <c r="E1993" s="7" t="str">
        <f t="shared" si="678"/>
        <v>大阪府泉大津市なぎさ町</v>
      </c>
      <c r="F1993" s="7"/>
      <c r="G1993" s="7" t="str">
        <f t="shared" si="656"/>
        <v>事業用資産</v>
      </c>
      <c r="H1993" s="7" t="str">
        <f t="shared" si="675"/>
        <v>棚卸以外</v>
      </c>
      <c r="I1993" s="7">
        <v>3</v>
      </c>
      <c r="J1993" s="7" t="str">
        <f>"３号棟"</f>
        <v>３号棟</v>
      </c>
      <c r="K1993" s="7" t="str">
        <f t="shared" si="666"/>
        <v>鉄筋コンクリート造</v>
      </c>
      <c r="L1993" s="7" t="str">
        <f t="shared" si="679"/>
        <v>H11.04.01</v>
      </c>
      <c r="M1993" s="7">
        <v>5158.1000000000004</v>
      </c>
      <c r="N1993" s="7">
        <v>1313518163</v>
      </c>
      <c r="O1993" s="7">
        <v>668373657</v>
      </c>
      <c r="P1993" s="7">
        <v>0</v>
      </c>
      <c r="Q1993" s="7" t="str">
        <f t="shared" si="660"/>
        <v>都市整備部</v>
      </c>
      <c r="R1993" s="7" t="str">
        <f t="shared" si="657"/>
        <v>住宅建築局住宅経営室</v>
      </c>
    </row>
    <row r="1994" spans="1:18" s="1" customFormat="1" x14ac:dyDescent="0.45">
      <c r="A1994" s="7" t="str">
        <f t="shared" si="676"/>
        <v>09940003153</v>
      </c>
      <c r="B1994" s="7" t="str">
        <f t="shared" si="677"/>
        <v>泉大津なぎさ</v>
      </c>
      <c r="C1994" s="7" t="str">
        <f t="shared" si="658"/>
        <v>行政財産</v>
      </c>
      <c r="D1994" s="7" t="str">
        <f t="shared" si="659"/>
        <v>公営住宅</v>
      </c>
      <c r="E1994" s="7" t="str">
        <f t="shared" si="678"/>
        <v>大阪府泉大津市なぎさ町</v>
      </c>
      <c r="F1994" s="7"/>
      <c r="G1994" s="7" t="str">
        <f t="shared" si="656"/>
        <v>事業用資産</v>
      </c>
      <c r="H1994" s="7" t="str">
        <f t="shared" si="675"/>
        <v>棚卸以外</v>
      </c>
      <c r="I1994" s="7">
        <v>4</v>
      </c>
      <c r="J1994" s="7" t="str">
        <f>"４号棟"</f>
        <v>４号棟</v>
      </c>
      <c r="K1994" s="7" t="str">
        <f t="shared" si="666"/>
        <v>鉄筋コンクリート造</v>
      </c>
      <c r="L1994" s="7" t="str">
        <f t="shared" si="679"/>
        <v>H11.04.01</v>
      </c>
      <c r="M1994" s="7">
        <v>9607.7000000000007</v>
      </c>
      <c r="N1994" s="7">
        <v>2218997003</v>
      </c>
      <c r="O1994" s="7">
        <v>1127015521</v>
      </c>
      <c r="P1994" s="7">
        <v>0</v>
      </c>
      <c r="Q1994" s="7" t="str">
        <f t="shared" si="660"/>
        <v>都市整備部</v>
      </c>
      <c r="R1994" s="7" t="str">
        <f t="shared" si="657"/>
        <v>住宅建築局住宅経営室</v>
      </c>
    </row>
    <row r="1995" spans="1:18" s="1" customFormat="1" x14ac:dyDescent="0.45">
      <c r="A1995" s="7" t="str">
        <f t="shared" si="676"/>
        <v>09940003153</v>
      </c>
      <c r="B1995" s="7" t="str">
        <f t="shared" si="677"/>
        <v>泉大津なぎさ</v>
      </c>
      <c r="C1995" s="7" t="str">
        <f t="shared" si="658"/>
        <v>行政財産</v>
      </c>
      <c r="D1995" s="7" t="str">
        <f t="shared" si="659"/>
        <v>公営住宅</v>
      </c>
      <c r="E1995" s="7" t="str">
        <f t="shared" si="678"/>
        <v>大阪府泉大津市なぎさ町</v>
      </c>
      <c r="F1995" s="7"/>
      <c r="G1995" s="7" t="str">
        <f t="shared" si="656"/>
        <v>事業用資産</v>
      </c>
      <c r="H1995" s="7" t="str">
        <f t="shared" si="675"/>
        <v>棚卸以外</v>
      </c>
      <c r="I1995" s="7">
        <v>5</v>
      </c>
      <c r="J1995" s="7" t="str">
        <f>"受水槽ポンプ室・受電室"</f>
        <v>受水槽ポンプ室・受電室</v>
      </c>
      <c r="K1995" s="7" t="str">
        <f t="shared" si="666"/>
        <v>鉄筋コンクリート造</v>
      </c>
      <c r="L1995" s="7" t="str">
        <f t="shared" si="679"/>
        <v>H11.04.01</v>
      </c>
      <c r="M1995" s="7">
        <v>190.08</v>
      </c>
      <c r="N1995" s="7">
        <v>81636000</v>
      </c>
      <c r="O1995" s="7">
        <v>41541815</v>
      </c>
      <c r="P1995" s="7">
        <v>0</v>
      </c>
      <c r="Q1995" s="7" t="str">
        <f t="shared" si="660"/>
        <v>都市整備部</v>
      </c>
      <c r="R1995" s="7" t="str">
        <f t="shared" si="657"/>
        <v>住宅建築局住宅経営室</v>
      </c>
    </row>
    <row r="1996" spans="1:18" s="1" customFormat="1" x14ac:dyDescent="0.45">
      <c r="A1996" s="7" t="str">
        <f t="shared" si="676"/>
        <v>09940003153</v>
      </c>
      <c r="B1996" s="7" t="str">
        <f t="shared" si="677"/>
        <v>泉大津なぎさ</v>
      </c>
      <c r="C1996" s="7" t="str">
        <f t="shared" si="658"/>
        <v>行政財産</v>
      </c>
      <c r="D1996" s="7" t="str">
        <f t="shared" si="659"/>
        <v>公営住宅</v>
      </c>
      <c r="E1996" s="7" t="str">
        <f t="shared" si="678"/>
        <v>大阪府泉大津市なぎさ町</v>
      </c>
      <c r="F1996" s="7"/>
      <c r="G1996" s="7" t="str">
        <f t="shared" si="656"/>
        <v>事業用資産</v>
      </c>
      <c r="H1996" s="7" t="str">
        <f t="shared" si="675"/>
        <v>棚卸以外</v>
      </c>
      <c r="I1996" s="7">
        <v>6</v>
      </c>
      <c r="J1996" s="7" t="str">
        <f>"池水浄化ポンプ室棟"</f>
        <v>池水浄化ポンプ室棟</v>
      </c>
      <c r="K1996" s="7" t="str">
        <f t="shared" si="666"/>
        <v>鉄筋コンクリート造</v>
      </c>
      <c r="L1996" s="7" t="str">
        <f t="shared" si="679"/>
        <v>H11.04.01</v>
      </c>
      <c r="M1996" s="7">
        <v>11.89</v>
      </c>
      <c r="N1996" s="7">
        <v>2658000</v>
      </c>
      <c r="O1996" s="7">
        <v>1352631</v>
      </c>
      <c r="P1996" s="7">
        <v>0</v>
      </c>
      <c r="Q1996" s="7" t="str">
        <f t="shared" si="660"/>
        <v>都市整備部</v>
      </c>
      <c r="R1996" s="7" t="str">
        <f t="shared" si="657"/>
        <v>住宅建築局住宅経営室</v>
      </c>
    </row>
    <row r="1997" spans="1:18" s="1" customFormat="1" x14ac:dyDescent="0.45">
      <c r="A1997" s="7" t="str">
        <f t="shared" ref="A1997:A2002" si="680">"09940003159"</f>
        <v>09940003159</v>
      </c>
      <c r="B1997" s="7" t="str">
        <f t="shared" ref="B1997:B2002" si="681">"貝塚半田"</f>
        <v>貝塚半田</v>
      </c>
      <c r="C1997" s="7" t="str">
        <f t="shared" si="658"/>
        <v>行政財産</v>
      </c>
      <c r="D1997" s="7" t="str">
        <f t="shared" si="659"/>
        <v>公営住宅</v>
      </c>
      <c r="E1997" s="7" t="str">
        <f t="shared" ref="E1997:E2002" si="682">"大阪府貝塚市半田"</f>
        <v>大阪府貝塚市半田</v>
      </c>
      <c r="F1997" s="7"/>
      <c r="G1997" s="7" t="str">
        <f t="shared" si="656"/>
        <v>事業用資産</v>
      </c>
      <c r="H1997" s="7" t="str">
        <f t="shared" si="675"/>
        <v>棚卸以外</v>
      </c>
      <c r="I1997" s="7">
        <v>1</v>
      </c>
      <c r="J1997" s="7" t="str">
        <f>"１号棟"</f>
        <v>１号棟</v>
      </c>
      <c r="K1997" s="7" t="str">
        <f t="shared" si="666"/>
        <v>鉄筋コンクリート造</v>
      </c>
      <c r="L1997" s="7" t="str">
        <f>"H10.09.30"</f>
        <v>H10.09.30</v>
      </c>
      <c r="M1997" s="7">
        <v>8852.3700000000008</v>
      </c>
      <c r="N1997" s="7">
        <v>1680997000</v>
      </c>
      <c r="O1997" s="7">
        <v>876264648</v>
      </c>
      <c r="P1997" s="7">
        <v>0</v>
      </c>
      <c r="Q1997" s="7" t="str">
        <f t="shared" si="660"/>
        <v>都市整備部</v>
      </c>
      <c r="R1997" s="7" t="str">
        <f t="shared" si="657"/>
        <v>住宅建築局住宅経営室</v>
      </c>
    </row>
    <row r="1998" spans="1:18" s="1" customFormat="1" x14ac:dyDescent="0.45">
      <c r="A1998" s="7" t="str">
        <f t="shared" si="680"/>
        <v>09940003159</v>
      </c>
      <c r="B1998" s="7" t="str">
        <f t="shared" si="681"/>
        <v>貝塚半田</v>
      </c>
      <c r="C1998" s="7" t="str">
        <f t="shared" si="658"/>
        <v>行政財産</v>
      </c>
      <c r="D1998" s="7" t="str">
        <f t="shared" si="659"/>
        <v>公営住宅</v>
      </c>
      <c r="E1998" s="7" t="str">
        <f t="shared" si="682"/>
        <v>大阪府貝塚市半田</v>
      </c>
      <c r="F1998" s="7"/>
      <c r="G1998" s="7" t="str">
        <f t="shared" si="656"/>
        <v>事業用資産</v>
      </c>
      <c r="H1998" s="7" t="str">
        <f t="shared" si="675"/>
        <v>棚卸以外</v>
      </c>
      <c r="I1998" s="7">
        <v>2</v>
      </c>
      <c r="J1998" s="7" t="str">
        <f>"３号棟"</f>
        <v>３号棟</v>
      </c>
      <c r="K1998" s="7" t="str">
        <f t="shared" si="666"/>
        <v>鉄筋コンクリート造</v>
      </c>
      <c r="L1998" s="7" t="str">
        <f>"H10.09.30"</f>
        <v>H10.09.30</v>
      </c>
      <c r="M1998" s="7">
        <v>3038.38</v>
      </c>
      <c r="N1998" s="7">
        <v>589980000</v>
      </c>
      <c r="O1998" s="7">
        <v>307542816</v>
      </c>
      <c r="P1998" s="7">
        <v>0</v>
      </c>
      <c r="Q1998" s="7" t="str">
        <f t="shared" si="660"/>
        <v>都市整備部</v>
      </c>
      <c r="R1998" s="7" t="str">
        <f t="shared" si="657"/>
        <v>住宅建築局住宅経営室</v>
      </c>
    </row>
    <row r="1999" spans="1:18" s="1" customFormat="1" x14ac:dyDescent="0.45">
      <c r="A1999" s="7" t="str">
        <f t="shared" si="680"/>
        <v>09940003159</v>
      </c>
      <c r="B1999" s="7" t="str">
        <f t="shared" si="681"/>
        <v>貝塚半田</v>
      </c>
      <c r="C1999" s="7" t="str">
        <f t="shared" si="658"/>
        <v>行政財産</v>
      </c>
      <c r="D1999" s="7" t="str">
        <f t="shared" si="659"/>
        <v>公営住宅</v>
      </c>
      <c r="E1999" s="7" t="str">
        <f t="shared" si="682"/>
        <v>大阪府貝塚市半田</v>
      </c>
      <c r="F1999" s="7"/>
      <c r="G1999" s="7" t="str">
        <f t="shared" si="656"/>
        <v>事業用資産</v>
      </c>
      <c r="H1999" s="7" t="str">
        <f t="shared" si="675"/>
        <v>棚卸以外</v>
      </c>
      <c r="I1999" s="7">
        <v>3</v>
      </c>
      <c r="J1999" s="7" t="str">
        <f>"４号棟"</f>
        <v>４号棟</v>
      </c>
      <c r="K1999" s="7" t="str">
        <f t="shared" si="666"/>
        <v>鉄筋コンクリート造</v>
      </c>
      <c r="L1999" s="7" t="str">
        <f>"H10.09.30"</f>
        <v>H10.09.30</v>
      </c>
      <c r="M1999" s="7">
        <v>6467.35</v>
      </c>
      <c r="N1999" s="7">
        <v>1255232000</v>
      </c>
      <c r="O1999" s="7">
        <v>654323166</v>
      </c>
      <c r="P1999" s="7">
        <v>0</v>
      </c>
      <c r="Q1999" s="7" t="str">
        <f t="shared" si="660"/>
        <v>都市整備部</v>
      </c>
      <c r="R1999" s="7" t="str">
        <f t="shared" si="657"/>
        <v>住宅建築局住宅経営室</v>
      </c>
    </row>
    <row r="2000" spans="1:18" s="1" customFormat="1" x14ac:dyDescent="0.45">
      <c r="A2000" s="7" t="str">
        <f t="shared" si="680"/>
        <v>09940003159</v>
      </c>
      <c r="B2000" s="7" t="str">
        <f t="shared" si="681"/>
        <v>貝塚半田</v>
      </c>
      <c r="C2000" s="7" t="str">
        <f t="shared" si="658"/>
        <v>行政財産</v>
      </c>
      <c r="D2000" s="7" t="str">
        <f t="shared" si="659"/>
        <v>公営住宅</v>
      </c>
      <c r="E2000" s="7" t="str">
        <f t="shared" si="682"/>
        <v>大阪府貝塚市半田</v>
      </c>
      <c r="F2000" s="7"/>
      <c r="G2000" s="7" t="str">
        <f t="shared" si="656"/>
        <v>事業用資産</v>
      </c>
      <c r="H2000" s="7" t="str">
        <f t="shared" si="675"/>
        <v>棚卸以外</v>
      </c>
      <c r="I2000" s="7">
        <v>4</v>
      </c>
      <c r="J2000" s="7" t="str">
        <f>"集会所"</f>
        <v>集会所</v>
      </c>
      <c r="K2000" s="7" t="str">
        <f t="shared" si="666"/>
        <v>鉄筋コンクリート造</v>
      </c>
      <c r="L2000" s="7" t="str">
        <f>"H10.09.30"</f>
        <v>H10.09.30</v>
      </c>
      <c r="M2000" s="7">
        <v>168.1</v>
      </c>
      <c r="N2000" s="7">
        <v>52873000</v>
      </c>
      <c r="O2000" s="7">
        <v>26208504</v>
      </c>
      <c r="P2000" s="7">
        <v>0</v>
      </c>
      <c r="Q2000" s="7" t="str">
        <f t="shared" si="660"/>
        <v>都市整備部</v>
      </c>
      <c r="R2000" s="7" t="str">
        <f t="shared" si="657"/>
        <v>住宅建築局住宅経営室</v>
      </c>
    </row>
    <row r="2001" spans="1:18" s="1" customFormat="1" x14ac:dyDescent="0.45">
      <c r="A2001" s="7" t="str">
        <f t="shared" si="680"/>
        <v>09940003159</v>
      </c>
      <c r="B2001" s="7" t="str">
        <f t="shared" si="681"/>
        <v>貝塚半田</v>
      </c>
      <c r="C2001" s="7" t="str">
        <f t="shared" si="658"/>
        <v>行政財産</v>
      </c>
      <c r="D2001" s="7" t="str">
        <f t="shared" si="659"/>
        <v>公営住宅</v>
      </c>
      <c r="E2001" s="7" t="str">
        <f t="shared" si="682"/>
        <v>大阪府貝塚市半田</v>
      </c>
      <c r="F2001" s="7"/>
      <c r="G2001" s="7" t="str">
        <f t="shared" si="656"/>
        <v>事業用資産</v>
      </c>
      <c r="H2001" s="7" t="str">
        <f t="shared" si="675"/>
        <v>棚卸以外</v>
      </c>
      <c r="I2001" s="7">
        <v>5</v>
      </c>
      <c r="J2001" s="7" t="str">
        <f>"受水槽ポンプ室"</f>
        <v>受水槽ポンプ室</v>
      </c>
      <c r="K2001" s="7" t="str">
        <f t="shared" si="666"/>
        <v>鉄筋コンクリート造</v>
      </c>
      <c r="L2001" s="7" t="str">
        <f>"H10.09.30"</f>
        <v>H10.09.30</v>
      </c>
      <c r="M2001" s="7">
        <v>94.25</v>
      </c>
      <c r="N2001" s="7">
        <v>40159000</v>
      </c>
      <c r="O2001" s="7">
        <v>20933976</v>
      </c>
      <c r="P2001" s="7">
        <v>0</v>
      </c>
      <c r="Q2001" s="7" t="str">
        <f t="shared" si="660"/>
        <v>都市整備部</v>
      </c>
      <c r="R2001" s="7" t="str">
        <f t="shared" si="657"/>
        <v>住宅建築局住宅経営室</v>
      </c>
    </row>
    <row r="2002" spans="1:18" s="1" customFormat="1" x14ac:dyDescent="0.45">
      <c r="A2002" s="7" t="str">
        <f t="shared" si="680"/>
        <v>09940003159</v>
      </c>
      <c r="B2002" s="7" t="str">
        <f t="shared" si="681"/>
        <v>貝塚半田</v>
      </c>
      <c r="C2002" s="7" t="str">
        <f t="shared" si="658"/>
        <v>行政財産</v>
      </c>
      <c r="D2002" s="7" t="str">
        <f t="shared" si="659"/>
        <v>公営住宅</v>
      </c>
      <c r="E2002" s="7" t="str">
        <f t="shared" si="682"/>
        <v>大阪府貝塚市半田</v>
      </c>
      <c r="F2002" s="7"/>
      <c r="G2002" s="7" t="str">
        <f t="shared" si="656"/>
        <v>事業用資産</v>
      </c>
      <c r="H2002" s="7" t="str">
        <f t="shared" si="675"/>
        <v>棚卸以外</v>
      </c>
      <c r="I2002" s="7">
        <v>6</v>
      </c>
      <c r="J2002" s="7" t="str">
        <f>"２号棟"</f>
        <v>２号棟</v>
      </c>
      <c r="K2002" s="7" t="str">
        <f t="shared" si="666"/>
        <v>鉄筋コンクリート造</v>
      </c>
      <c r="L2002" s="7" t="str">
        <f>"H13.02.28"</f>
        <v>H13.02.28</v>
      </c>
      <c r="M2002" s="7">
        <v>5404.92</v>
      </c>
      <c r="N2002" s="7">
        <v>842160959</v>
      </c>
      <c r="O2002" s="7">
        <v>395226589</v>
      </c>
      <c r="P2002" s="7">
        <v>0</v>
      </c>
      <c r="Q2002" s="7" t="str">
        <f t="shared" si="660"/>
        <v>都市整備部</v>
      </c>
      <c r="R2002" s="7" t="str">
        <f t="shared" si="657"/>
        <v>住宅建築局住宅経営室</v>
      </c>
    </row>
    <row r="2003" spans="1:18" s="1" customFormat="1" x14ac:dyDescent="0.45">
      <c r="A2003" s="7" t="str">
        <f t="shared" ref="A2003:A2008" si="683">"09940003164"</f>
        <v>09940003164</v>
      </c>
      <c r="B2003" s="7" t="str">
        <f t="shared" ref="B2003:B2008" si="684">"寝屋川点野"</f>
        <v>寝屋川点野</v>
      </c>
      <c r="C2003" s="7" t="str">
        <f t="shared" si="658"/>
        <v>行政財産</v>
      </c>
      <c r="D2003" s="7" t="str">
        <f t="shared" si="659"/>
        <v>公営住宅</v>
      </c>
      <c r="E2003" s="7" t="str">
        <f t="shared" ref="E2003:E2008" si="685">"大阪府寝屋川市点野１丁目"</f>
        <v>大阪府寝屋川市点野１丁目</v>
      </c>
      <c r="F2003" s="7"/>
      <c r="G2003" s="7" t="str">
        <f t="shared" si="656"/>
        <v>事業用資産</v>
      </c>
      <c r="H2003" s="7" t="str">
        <f t="shared" si="675"/>
        <v>棚卸以外</v>
      </c>
      <c r="I2003" s="7">
        <v>1</v>
      </c>
      <c r="J2003" s="7" t="str">
        <f>"５～１５号棟"</f>
        <v>５～１５号棟</v>
      </c>
      <c r="K2003" s="7" t="str">
        <f t="shared" si="666"/>
        <v>鉄筋コンクリート造</v>
      </c>
      <c r="L2003" s="7" t="str">
        <f>"S50.08.19"</f>
        <v>S50.08.19</v>
      </c>
      <c r="M2003" s="7">
        <v>23913.77</v>
      </c>
      <c r="N2003" s="7">
        <v>2868393778</v>
      </c>
      <c r="O2003" s="7">
        <v>1989703700</v>
      </c>
      <c r="P2003" s="7">
        <v>0</v>
      </c>
      <c r="Q2003" s="7" t="str">
        <f t="shared" si="660"/>
        <v>都市整備部</v>
      </c>
      <c r="R2003" s="7" t="str">
        <f t="shared" si="657"/>
        <v>住宅建築局住宅経営室</v>
      </c>
    </row>
    <row r="2004" spans="1:18" s="1" customFormat="1" x14ac:dyDescent="0.45">
      <c r="A2004" s="7" t="str">
        <f t="shared" si="683"/>
        <v>09940003164</v>
      </c>
      <c r="B2004" s="7" t="str">
        <f t="shared" si="684"/>
        <v>寝屋川点野</v>
      </c>
      <c r="C2004" s="7" t="str">
        <f t="shared" si="658"/>
        <v>行政財産</v>
      </c>
      <c r="D2004" s="7" t="str">
        <f t="shared" si="659"/>
        <v>公営住宅</v>
      </c>
      <c r="E2004" s="7" t="str">
        <f t="shared" si="685"/>
        <v>大阪府寝屋川市点野１丁目</v>
      </c>
      <c r="F2004" s="7"/>
      <c r="G2004" s="7" t="str">
        <f t="shared" si="656"/>
        <v>事業用資産</v>
      </c>
      <c r="H2004" s="7" t="str">
        <f t="shared" si="675"/>
        <v>棚卸以外</v>
      </c>
      <c r="I2004" s="7">
        <v>2</v>
      </c>
      <c r="J2004" s="7" t="str">
        <f>"１・３・４号棟"</f>
        <v>１・３・４号棟</v>
      </c>
      <c r="K2004" s="7" t="str">
        <f t="shared" si="666"/>
        <v>鉄筋コンクリート造</v>
      </c>
      <c r="L2004" s="7" t="str">
        <f>"S50.08.19"</f>
        <v>S50.08.19</v>
      </c>
      <c r="M2004" s="7">
        <v>5927.66</v>
      </c>
      <c r="N2004" s="7">
        <v>944941981</v>
      </c>
      <c r="O2004" s="7">
        <v>489654815</v>
      </c>
      <c r="P2004" s="7">
        <v>0</v>
      </c>
      <c r="Q2004" s="7" t="str">
        <f t="shared" si="660"/>
        <v>都市整備部</v>
      </c>
      <c r="R2004" s="7" t="str">
        <f t="shared" si="657"/>
        <v>住宅建築局住宅経営室</v>
      </c>
    </row>
    <row r="2005" spans="1:18" s="1" customFormat="1" x14ac:dyDescent="0.45">
      <c r="A2005" s="7" t="str">
        <f t="shared" si="683"/>
        <v>09940003164</v>
      </c>
      <c r="B2005" s="7" t="str">
        <f t="shared" si="684"/>
        <v>寝屋川点野</v>
      </c>
      <c r="C2005" s="7" t="str">
        <f t="shared" si="658"/>
        <v>行政財産</v>
      </c>
      <c r="D2005" s="7" t="str">
        <f t="shared" si="659"/>
        <v>公営住宅</v>
      </c>
      <c r="E2005" s="7" t="str">
        <f t="shared" si="685"/>
        <v>大阪府寝屋川市点野１丁目</v>
      </c>
      <c r="F2005" s="7"/>
      <c r="G2005" s="7" t="str">
        <f t="shared" si="656"/>
        <v>事業用資産</v>
      </c>
      <c r="H2005" s="7" t="str">
        <f t="shared" si="675"/>
        <v>棚卸以外</v>
      </c>
      <c r="I2005" s="7">
        <v>3</v>
      </c>
      <c r="J2005" s="7" t="str">
        <f>"集会所"</f>
        <v>集会所</v>
      </c>
      <c r="K2005" s="7" t="str">
        <f t="shared" si="666"/>
        <v>鉄筋コンクリート造</v>
      </c>
      <c r="L2005" s="7" t="str">
        <f>"S50.08.19"</f>
        <v>S50.08.19</v>
      </c>
      <c r="M2005" s="7">
        <v>162.08000000000001</v>
      </c>
      <c r="N2005" s="7">
        <v>12958522</v>
      </c>
      <c r="O2005" s="7">
        <v>12563567</v>
      </c>
      <c r="P2005" s="7">
        <v>0</v>
      </c>
      <c r="Q2005" s="7" t="str">
        <f t="shared" si="660"/>
        <v>都市整備部</v>
      </c>
      <c r="R2005" s="7" t="str">
        <f t="shared" si="657"/>
        <v>住宅建築局住宅経営室</v>
      </c>
    </row>
    <row r="2006" spans="1:18" s="1" customFormat="1" x14ac:dyDescent="0.45">
      <c r="A2006" s="7" t="str">
        <f t="shared" si="683"/>
        <v>09940003164</v>
      </c>
      <c r="B2006" s="7" t="str">
        <f t="shared" si="684"/>
        <v>寝屋川点野</v>
      </c>
      <c r="C2006" s="7" t="str">
        <f t="shared" si="658"/>
        <v>行政財産</v>
      </c>
      <c r="D2006" s="7" t="str">
        <f t="shared" si="659"/>
        <v>公営住宅</v>
      </c>
      <c r="E2006" s="7" t="str">
        <f t="shared" si="685"/>
        <v>大阪府寝屋川市点野１丁目</v>
      </c>
      <c r="F2006" s="7"/>
      <c r="G2006" s="7" t="str">
        <f t="shared" si="656"/>
        <v>事業用資産</v>
      </c>
      <c r="H2006" s="7" t="str">
        <f t="shared" si="675"/>
        <v>棚卸以外</v>
      </c>
      <c r="I2006" s="7">
        <v>4</v>
      </c>
      <c r="J2006" s="7" t="str">
        <f>"１６号棟"</f>
        <v>１６号棟</v>
      </c>
      <c r="K2006" s="7" t="str">
        <f t="shared" si="666"/>
        <v>鉄筋コンクリート造</v>
      </c>
      <c r="L2006" s="7" t="str">
        <f>"S51.03.31"</f>
        <v>S51.03.31</v>
      </c>
      <c r="M2006" s="7">
        <v>606.95000000000005</v>
      </c>
      <c r="N2006" s="7">
        <v>55264000</v>
      </c>
      <c r="O2006" s="7">
        <v>55263999</v>
      </c>
      <c r="P2006" s="7">
        <v>0</v>
      </c>
      <c r="Q2006" s="7" t="str">
        <f t="shared" si="660"/>
        <v>都市整備部</v>
      </c>
      <c r="R2006" s="7" t="str">
        <f t="shared" si="657"/>
        <v>住宅建築局住宅経営室</v>
      </c>
    </row>
    <row r="2007" spans="1:18" s="1" customFormat="1" x14ac:dyDescent="0.45">
      <c r="A2007" s="7" t="str">
        <f t="shared" si="683"/>
        <v>09940003164</v>
      </c>
      <c r="B2007" s="7" t="str">
        <f t="shared" si="684"/>
        <v>寝屋川点野</v>
      </c>
      <c r="C2007" s="7" t="str">
        <f t="shared" si="658"/>
        <v>行政財産</v>
      </c>
      <c r="D2007" s="7" t="str">
        <f t="shared" si="659"/>
        <v>公営住宅</v>
      </c>
      <c r="E2007" s="7" t="str">
        <f t="shared" si="685"/>
        <v>大阪府寝屋川市点野１丁目</v>
      </c>
      <c r="F2007" s="7"/>
      <c r="G2007" s="7" t="str">
        <f t="shared" ref="G2007:G2070" si="686">"事業用資産"</f>
        <v>事業用資産</v>
      </c>
      <c r="H2007" s="7" t="str">
        <f t="shared" si="675"/>
        <v>棚卸以外</v>
      </c>
      <c r="I2007" s="7">
        <v>5</v>
      </c>
      <c r="J2007" s="7" t="str">
        <f>"汚水処理場"</f>
        <v>汚水処理場</v>
      </c>
      <c r="K2007" s="7" t="str">
        <f t="shared" si="666"/>
        <v>鉄筋コンクリート造</v>
      </c>
      <c r="L2007" s="7" t="str">
        <f>"S50.08.19"</f>
        <v>S50.08.19</v>
      </c>
      <c r="M2007" s="7">
        <v>330</v>
      </c>
      <c r="N2007" s="7">
        <v>100268000</v>
      </c>
      <c r="O2007" s="7">
        <v>100267999</v>
      </c>
      <c r="P2007" s="7">
        <v>0</v>
      </c>
      <c r="Q2007" s="7" t="str">
        <f t="shared" si="660"/>
        <v>都市整備部</v>
      </c>
      <c r="R2007" s="7" t="str">
        <f t="shared" si="657"/>
        <v>住宅建築局住宅経営室</v>
      </c>
    </row>
    <row r="2008" spans="1:18" s="1" customFormat="1" x14ac:dyDescent="0.45">
      <c r="A2008" s="7" t="str">
        <f t="shared" si="683"/>
        <v>09940003164</v>
      </c>
      <c r="B2008" s="7" t="str">
        <f t="shared" si="684"/>
        <v>寝屋川点野</v>
      </c>
      <c r="C2008" s="7" t="str">
        <f t="shared" si="658"/>
        <v>行政財産</v>
      </c>
      <c r="D2008" s="7" t="str">
        <f t="shared" si="659"/>
        <v>公営住宅</v>
      </c>
      <c r="E2008" s="7" t="str">
        <f t="shared" si="685"/>
        <v>大阪府寝屋川市点野１丁目</v>
      </c>
      <c r="F2008" s="7"/>
      <c r="G2008" s="7" t="str">
        <f t="shared" si="686"/>
        <v>事業用資産</v>
      </c>
      <c r="H2008" s="7" t="str">
        <f t="shared" si="675"/>
        <v>棚卸以外</v>
      </c>
      <c r="I2008" s="7">
        <v>6</v>
      </c>
      <c r="J2008" s="7" t="str">
        <f>"管理棟"</f>
        <v>管理棟</v>
      </c>
      <c r="K2008" s="7" t="str">
        <f t="shared" si="666"/>
        <v>鉄筋コンクリート造</v>
      </c>
      <c r="L2008" s="7" t="str">
        <f>"S50.08.19"</f>
        <v>S50.08.19</v>
      </c>
      <c r="M2008" s="7">
        <v>59.36</v>
      </c>
      <c r="N2008" s="7">
        <v>15522000</v>
      </c>
      <c r="O2008" s="7">
        <v>15521999</v>
      </c>
      <c r="P2008" s="7">
        <v>0</v>
      </c>
      <c r="Q2008" s="7" t="str">
        <f t="shared" si="660"/>
        <v>都市整備部</v>
      </c>
      <c r="R2008" s="7" t="str">
        <f t="shared" ref="R2008:R2071" si="687">"住宅建築局住宅経営室"</f>
        <v>住宅建築局住宅経営室</v>
      </c>
    </row>
    <row r="2009" spans="1:18" s="1" customFormat="1" x14ac:dyDescent="0.45">
      <c r="A2009" s="7" t="str">
        <f>"09940003166"</f>
        <v>09940003166</v>
      </c>
      <c r="B2009" s="7" t="str">
        <f>"寝屋川仁和寺"</f>
        <v>寝屋川仁和寺</v>
      </c>
      <c r="C2009" s="7" t="str">
        <f t="shared" si="658"/>
        <v>行政財産</v>
      </c>
      <c r="D2009" s="7" t="str">
        <f t="shared" si="659"/>
        <v>公営住宅</v>
      </c>
      <c r="E2009" s="7" t="str">
        <f>"大阪府寝屋川市仁和寺本町６丁目"</f>
        <v>大阪府寝屋川市仁和寺本町６丁目</v>
      </c>
      <c r="F2009" s="7"/>
      <c r="G2009" s="7" t="str">
        <f t="shared" si="686"/>
        <v>事業用資産</v>
      </c>
      <c r="H2009" s="7" t="str">
        <f t="shared" si="675"/>
        <v>棚卸以外</v>
      </c>
      <c r="I2009" s="7">
        <v>1</v>
      </c>
      <c r="J2009" s="7" t="str">
        <f>"１１～１６号棟"</f>
        <v>１１～１６号棟</v>
      </c>
      <c r="K2009" s="7" t="str">
        <f t="shared" si="666"/>
        <v>鉄筋コンクリート造</v>
      </c>
      <c r="L2009" s="7" t="str">
        <f>"S50.08.21"</f>
        <v>S50.08.21</v>
      </c>
      <c r="M2009" s="7">
        <v>10978.11</v>
      </c>
      <c r="N2009" s="7">
        <v>1443621775</v>
      </c>
      <c r="O2009" s="7">
        <v>853439113</v>
      </c>
      <c r="P2009" s="7">
        <v>0</v>
      </c>
      <c r="Q2009" s="7" t="str">
        <f t="shared" si="660"/>
        <v>都市整備部</v>
      </c>
      <c r="R2009" s="7" t="str">
        <f t="shared" si="687"/>
        <v>住宅建築局住宅経営室</v>
      </c>
    </row>
    <row r="2010" spans="1:18" s="1" customFormat="1" x14ac:dyDescent="0.45">
      <c r="A2010" s="7" t="str">
        <f>"09940003166"</f>
        <v>09940003166</v>
      </c>
      <c r="B2010" s="7" t="str">
        <f>"寝屋川仁和寺"</f>
        <v>寝屋川仁和寺</v>
      </c>
      <c r="C2010" s="7" t="str">
        <f t="shared" ref="C2010:C2073" si="688">"行政財産"</f>
        <v>行政財産</v>
      </c>
      <c r="D2010" s="7" t="str">
        <f t="shared" ref="D2010:D2073" si="689">"公営住宅"</f>
        <v>公営住宅</v>
      </c>
      <c r="E2010" s="7" t="str">
        <f>"大阪府寝屋川市仁和寺本町６丁目"</f>
        <v>大阪府寝屋川市仁和寺本町６丁目</v>
      </c>
      <c r="F2010" s="7"/>
      <c r="G2010" s="7" t="str">
        <f t="shared" si="686"/>
        <v>事業用資産</v>
      </c>
      <c r="H2010" s="7" t="str">
        <f t="shared" si="675"/>
        <v>棚卸以外</v>
      </c>
      <c r="I2010" s="7">
        <v>2</v>
      </c>
      <c r="J2010" s="7" t="str">
        <f>"１～９号棟"</f>
        <v>１～９号棟</v>
      </c>
      <c r="K2010" s="7" t="str">
        <f t="shared" si="666"/>
        <v>鉄筋コンクリート造</v>
      </c>
      <c r="L2010" s="7" t="str">
        <f>"S50.08.21"</f>
        <v>S50.08.21</v>
      </c>
      <c r="M2010" s="7">
        <v>11212.28</v>
      </c>
      <c r="N2010" s="7">
        <v>1475099189</v>
      </c>
      <c r="O2010" s="7">
        <v>1010350035</v>
      </c>
      <c r="P2010" s="7">
        <v>0</v>
      </c>
      <c r="Q2010" s="7" t="str">
        <f t="shared" si="660"/>
        <v>都市整備部</v>
      </c>
      <c r="R2010" s="7" t="str">
        <f t="shared" si="687"/>
        <v>住宅建築局住宅経営室</v>
      </c>
    </row>
    <row r="2011" spans="1:18" s="1" customFormat="1" x14ac:dyDescent="0.45">
      <c r="A2011" s="7" t="str">
        <f>"09940003166"</f>
        <v>09940003166</v>
      </c>
      <c r="B2011" s="7" t="str">
        <f>"寝屋川仁和寺"</f>
        <v>寝屋川仁和寺</v>
      </c>
      <c r="C2011" s="7" t="str">
        <f t="shared" si="688"/>
        <v>行政財産</v>
      </c>
      <c r="D2011" s="7" t="str">
        <f t="shared" si="689"/>
        <v>公営住宅</v>
      </c>
      <c r="E2011" s="7" t="str">
        <f>"大阪府寝屋川市仁和寺本町６丁目"</f>
        <v>大阪府寝屋川市仁和寺本町６丁目</v>
      </c>
      <c r="F2011" s="7"/>
      <c r="G2011" s="7" t="str">
        <f t="shared" si="686"/>
        <v>事業用資産</v>
      </c>
      <c r="H2011" s="7" t="str">
        <f t="shared" si="675"/>
        <v>棚卸以外</v>
      </c>
      <c r="I2011" s="7">
        <v>3</v>
      </c>
      <c r="J2011" s="7" t="str">
        <f>"集会所"</f>
        <v>集会所</v>
      </c>
      <c r="K2011" s="7" t="str">
        <f t="shared" si="666"/>
        <v>鉄筋コンクリート造</v>
      </c>
      <c r="L2011" s="7" t="str">
        <f>"S50.08.21"</f>
        <v>S50.08.21</v>
      </c>
      <c r="M2011" s="7">
        <v>165.88</v>
      </c>
      <c r="N2011" s="7">
        <v>40236882</v>
      </c>
      <c r="O2011" s="7">
        <v>19002567</v>
      </c>
      <c r="P2011" s="7">
        <v>0</v>
      </c>
      <c r="Q2011" s="7" t="str">
        <f t="shared" ref="Q2011:Q2074" si="690">"都市整備部"</f>
        <v>都市整備部</v>
      </c>
      <c r="R2011" s="7" t="str">
        <f t="shared" si="687"/>
        <v>住宅建築局住宅経営室</v>
      </c>
    </row>
    <row r="2012" spans="1:18" s="1" customFormat="1" x14ac:dyDescent="0.45">
      <c r="A2012" s="7" t="str">
        <f>"09940003166"</f>
        <v>09940003166</v>
      </c>
      <c r="B2012" s="7" t="str">
        <f>"寝屋川仁和寺"</f>
        <v>寝屋川仁和寺</v>
      </c>
      <c r="C2012" s="7" t="str">
        <f t="shared" si="688"/>
        <v>行政財産</v>
      </c>
      <c r="D2012" s="7" t="str">
        <f t="shared" si="689"/>
        <v>公営住宅</v>
      </c>
      <c r="E2012" s="7" t="str">
        <f>"大阪府寝屋川市仁和寺本町６丁目"</f>
        <v>大阪府寝屋川市仁和寺本町６丁目</v>
      </c>
      <c r="F2012" s="7"/>
      <c r="G2012" s="7" t="str">
        <f t="shared" si="686"/>
        <v>事業用資産</v>
      </c>
      <c r="H2012" s="7" t="str">
        <f t="shared" si="675"/>
        <v>棚卸以外</v>
      </c>
      <c r="I2012" s="7">
        <v>4</v>
      </c>
      <c r="J2012" s="7" t="str">
        <f>"１７号棟"</f>
        <v>１７号棟</v>
      </c>
      <c r="K2012" s="7" t="str">
        <f t="shared" si="666"/>
        <v>鉄筋コンクリート造</v>
      </c>
      <c r="L2012" s="7" t="str">
        <f>"S50.08.21"</f>
        <v>S50.08.21</v>
      </c>
      <c r="M2012" s="7">
        <v>606.95000000000005</v>
      </c>
      <c r="N2012" s="7">
        <v>74001000</v>
      </c>
      <c r="O2012" s="7">
        <v>74000999</v>
      </c>
      <c r="P2012" s="7">
        <v>0</v>
      </c>
      <c r="Q2012" s="7" t="str">
        <f t="shared" si="690"/>
        <v>都市整備部</v>
      </c>
      <c r="R2012" s="7" t="str">
        <f t="shared" si="687"/>
        <v>住宅建築局住宅経営室</v>
      </c>
    </row>
    <row r="2013" spans="1:18" s="1" customFormat="1" x14ac:dyDescent="0.45">
      <c r="A2013" s="7" t="str">
        <f t="shared" ref="A2013:A2018" si="691">"09940003167"</f>
        <v>09940003167</v>
      </c>
      <c r="B2013" s="7" t="str">
        <f t="shared" ref="B2013:B2018" si="692">"貝塚三ツ松"</f>
        <v>貝塚三ツ松</v>
      </c>
      <c r="C2013" s="7" t="str">
        <f t="shared" si="688"/>
        <v>行政財産</v>
      </c>
      <c r="D2013" s="7" t="str">
        <f t="shared" si="689"/>
        <v>公営住宅</v>
      </c>
      <c r="E2013" s="7" t="str">
        <f t="shared" ref="E2013:E2018" si="693">"大阪府貝塚市三ツ松"</f>
        <v>大阪府貝塚市三ツ松</v>
      </c>
      <c r="F2013" s="7"/>
      <c r="G2013" s="7" t="str">
        <f t="shared" si="686"/>
        <v>事業用資産</v>
      </c>
      <c r="H2013" s="7" t="str">
        <f t="shared" si="675"/>
        <v>棚卸以外</v>
      </c>
      <c r="I2013" s="7">
        <v>1</v>
      </c>
      <c r="J2013" s="7" t="str">
        <f>"住宅（元１種、１８～４４号棟）"</f>
        <v>住宅（元１種、１８～４４号棟）</v>
      </c>
      <c r="K2013" s="7" t="str">
        <f t="shared" si="666"/>
        <v>鉄筋コンクリート造</v>
      </c>
      <c r="L2013" s="7" t="str">
        <f>"S45.06.20"</f>
        <v>S45.06.20</v>
      </c>
      <c r="M2013" s="7">
        <v>33510</v>
      </c>
      <c r="N2013" s="7">
        <v>1410801176</v>
      </c>
      <c r="O2013" s="7">
        <v>1161151020</v>
      </c>
      <c r="P2013" s="7">
        <v>0</v>
      </c>
      <c r="Q2013" s="7" t="str">
        <f t="shared" si="690"/>
        <v>都市整備部</v>
      </c>
      <c r="R2013" s="7" t="str">
        <f t="shared" si="687"/>
        <v>住宅建築局住宅経営室</v>
      </c>
    </row>
    <row r="2014" spans="1:18" s="1" customFormat="1" x14ac:dyDescent="0.45">
      <c r="A2014" s="7" t="str">
        <f t="shared" si="691"/>
        <v>09940003167</v>
      </c>
      <c r="B2014" s="7" t="str">
        <f t="shared" si="692"/>
        <v>貝塚三ツ松</v>
      </c>
      <c r="C2014" s="7" t="str">
        <f t="shared" si="688"/>
        <v>行政財産</v>
      </c>
      <c r="D2014" s="7" t="str">
        <f t="shared" si="689"/>
        <v>公営住宅</v>
      </c>
      <c r="E2014" s="7" t="str">
        <f t="shared" si="693"/>
        <v>大阪府貝塚市三ツ松</v>
      </c>
      <c r="F2014" s="7"/>
      <c r="G2014" s="7" t="str">
        <f t="shared" si="686"/>
        <v>事業用資産</v>
      </c>
      <c r="H2014" s="7" t="str">
        <f t="shared" si="675"/>
        <v>棚卸以外</v>
      </c>
      <c r="I2014" s="7">
        <v>2</v>
      </c>
      <c r="J2014" s="7" t="str">
        <f>"住宅（元２種、１～１７、４５～５２号棟）"</f>
        <v>住宅（元２種、１～１７、４５～５２号棟）</v>
      </c>
      <c r="K2014" s="7" t="str">
        <f t="shared" si="666"/>
        <v>鉄筋コンクリート造</v>
      </c>
      <c r="L2014" s="7" t="str">
        <f>"S45.06.20"</f>
        <v>S45.06.20</v>
      </c>
      <c r="M2014" s="7">
        <v>31487.16</v>
      </c>
      <c r="N2014" s="7">
        <v>2056664538</v>
      </c>
      <c r="O2014" s="7">
        <v>1154129611</v>
      </c>
      <c r="P2014" s="7">
        <v>0</v>
      </c>
      <c r="Q2014" s="7" t="str">
        <f t="shared" si="690"/>
        <v>都市整備部</v>
      </c>
      <c r="R2014" s="7" t="str">
        <f t="shared" si="687"/>
        <v>住宅建築局住宅経営室</v>
      </c>
    </row>
    <row r="2015" spans="1:18" s="1" customFormat="1" x14ac:dyDescent="0.45">
      <c r="A2015" s="7" t="str">
        <f t="shared" si="691"/>
        <v>09940003167</v>
      </c>
      <c r="B2015" s="7" t="str">
        <f t="shared" si="692"/>
        <v>貝塚三ツ松</v>
      </c>
      <c r="C2015" s="7" t="str">
        <f t="shared" si="688"/>
        <v>行政財産</v>
      </c>
      <c r="D2015" s="7" t="str">
        <f t="shared" si="689"/>
        <v>公営住宅</v>
      </c>
      <c r="E2015" s="7" t="str">
        <f t="shared" si="693"/>
        <v>大阪府貝塚市三ツ松</v>
      </c>
      <c r="F2015" s="7"/>
      <c r="G2015" s="7" t="str">
        <f t="shared" si="686"/>
        <v>事業用資産</v>
      </c>
      <c r="H2015" s="7" t="str">
        <f t="shared" si="675"/>
        <v>棚卸以外</v>
      </c>
      <c r="I2015" s="7">
        <v>3</v>
      </c>
      <c r="J2015" s="7" t="str">
        <f>"集会所"</f>
        <v>集会所</v>
      </c>
      <c r="K2015" s="7" t="str">
        <f t="shared" si="666"/>
        <v>鉄筋コンクリート造</v>
      </c>
      <c r="L2015" s="7" t="str">
        <f>"H06.02.18"</f>
        <v>H06.02.18</v>
      </c>
      <c r="M2015" s="7">
        <v>138.41999999999999</v>
      </c>
      <c r="N2015" s="7">
        <v>33971000</v>
      </c>
      <c r="O2015" s="7">
        <v>20330981</v>
      </c>
      <c r="P2015" s="7">
        <v>0</v>
      </c>
      <c r="Q2015" s="7" t="str">
        <f t="shared" si="690"/>
        <v>都市整備部</v>
      </c>
      <c r="R2015" s="7" t="str">
        <f t="shared" si="687"/>
        <v>住宅建築局住宅経営室</v>
      </c>
    </row>
    <row r="2016" spans="1:18" s="1" customFormat="1" x14ac:dyDescent="0.45">
      <c r="A2016" s="7" t="str">
        <f t="shared" si="691"/>
        <v>09940003167</v>
      </c>
      <c r="B2016" s="7" t="str">
        <f t="shared" si="692"/>
        <v>貝塚三ツ松</v>
      </c>
      <c r="C2016" s="7" t="str">
        <f t="shared" si="688"/>
        <v>行政財産</v>
      </c>
      <c r="D2016" s="7" t="str">
        <f t="shared" si="689"/>
        <v>公営住宅</v>
      </c>
      <c r="E2016" s="7" t="str">
        <f t="shared" si="693"/>
        <v>大阪府貝塚市三ツ松</v>
      </c>
      <c r="F2016" s="7"/>
      <c r="G2016" s="7" t="str">
        <f t="shared" si="686"/>
        <v>事業用資産</v>
      </c>
      <c r="H2016" s="7" t="str">
        <f t="shared" si="675"/>
        <v>棚卸以外</v>
      </c>
      <c r="I2016" s="7">
        <v>4</v>
      </c>
      <c r="J2016" s="7" t="str">
        <f>"集会所"</f>
        <v>集会所</v>
      </c>
      <c r="K2016" s="7" t="str">
        <f t="shared" si="666"/>
        <v>鉄筋コンクリート造</v>
      </c>
      <c r="L2016" s="7" t="str">
        <f>"H06.02.18"</f>
        <v>H06.02.18</v>
      </c>
      <c r="M2016" s="7">
        <v>249.08</v>
      </c>
      <c r="N2016" s="7">
        <v>48536000</v>
      </c>
      <c r="O2016" s="7">
        <v>25336793</v>
      </c>
      <c r="P2016" s="7">
        <v>0</v>
      </c>
      <c r="Q2016" s="7" t="str">
        <f t="shared" si="690"/>
        <v>都市整備部</v>
      </c>
      <c r="R2016" s="7" t="str">
        <f t="shared" si="687"/>
        <v>住宅建築局住宅経営室</v>
      </c>
    </row>
    <row r="2017" spans="1:18" s="1" customFormat="1" x14ac:dyDescent="0.45">
      <c r="A2017" s="7" t="str">
        <f t="shared" si="691"/>
        <v>09940003167</v>
      </c>
      <c r="B2017" s="7" t="str">
        <f t="shared" si="692"/>
        <v>貝塚三ツ松</v>
      </c>
      <c r="C2017" s="7" t="str">
        <f t="shared" si="688"/>
        <v>行政財産</v>
      </c>
      <c r="D2017" s="7" t="str">
        <f t="shared" si="689"/>
        <v>公営住宅</v>
      </c>
      <c r="E2017" s="7" t="str">
        <f t="shared" si="693"/>
        <v>大阪府貝塚市三ツ松</v>
      </c>
      <c r="F2017" s="7"/>
      <c r="G2017" s="7" t="str">
        <f t="shared" si="686"/>
        <v>事業用資産</v>
      </c>
      <c r="H2017" s="7" t="str">
        <f t="shared" si="675"/>
        <v>棚卸以外</v>
      </c>
      <c r="I2017" s="7">
        <v>5</v>
      </c>
      <c r="J2017" s="7" t="str">
        <f>"集会所"</f>
        <v>集会所</v>
      </c>
      <c r="K2017" s="7" t="str">
        <f>"鉄骨造"</f>
        <v>鉄骨造</v>
      </c>
      <c r="L2017" s="7" t="str">
        <f>"H06.02.18"</f>
        <v>H06.02.18</v>
      </c>
      <c r="M2017" s="7">
        <v>134.93</v>
      </c>
      <c r="N2017" s="7">
        <v>20307000</v>
      </c>
      <c r="O2017" s="7">
        <v>12566094</v>
      </c>
      <c r="P2017" s="7">
        <v>0</v>
      </c>
      <c r="Q2017" s="7" t="str">
        <f t="shared" si="690"/>
        <v>都市整備部</v>
      </c>
      <c r="R2017" s="7" t="str">
        <f t="shared" si="687"/>
        <v>住宅建築局住宅経営室</v>
      </c>
    </row>
    <row r="2018" spans="1:18" s="1" customFormat="1" x14ac:dyDescent="0.45">
      <c r="A2018" s="7" t="str">
        <f t="shared" si="691"/>
        <v>09940003167</v>
      </c>
      <c r="B2018" s="7" t="str">
        <f t="shared" si="692"/>
        <v>貝塚三ツ松</v>
      </c>
      <c r="C2018" s="7" t="str">
        <f t="shared" si="688"/>
        <v>行政財産</v>
      </c>
      <c r="D2018" s="7" t="str">
        <f t="shared" si="689"/>
        <v>公営住宅</v>
      </c>
      <c r="E2018" s="7" t="str">
        <f t="shared" si="693"/>
        <v>大阪府貝塚市三ツ松</v>
      </c>
      <c r="F2018" s="7"/>
      <c r="G2018" s="7" t="str">
        <f t="shared" si="686"/>
        <v>事業用資産</v>
      </c>
      <c r="H2018" s="7" t="str">
        <f t="shared" si="675"/>
        <v>棚卸以外</v>
      </c>
      <c r="I2018" s="7">
        <v>6</v>
      </c>
      <c r="J2018" s="7" t="str">
        <f>"汚水処理場"</f>
        <v>汚水処理場</v>
      </c>
      <c r="K2018" s="7" t="str">
        <f>"鉄骨造"</f>
        <v>鉄骨造</v>
      </c>
      <c r="L2018" s="7" t="str">
        <f>"S46.01.26"</f>
        <v>S46.01.26</v>
      </c>
      <c r="M2018" s="7">
        <v>399</v>
      </c>
      <c r="N2018" s="7">
        <v>131131000</v>
      </c>
      <c r="O2018" s="7">
        <v>131130999</v>
      </c>
      <c r="P2018" s="7">
        <v>0</v>
      </c>
      <c r="Q2018" s="7" t="str">
        <f t="shared" si="690"/>
        <v>都市整備部</v>
      </c>
      <c r="R2018" s="7" t="str">
        <f t="shared" si="687"/>
        <v>住宅建築局住宅経営室</v>
      </c>
    </row>
    <row r="2019" spans="1:18" s="1" customFormat="1" x14ac:dyDescent="0.45">
      <c r="A2019" s="7" t="str">
        <f>"09940003168"</f>
        <v>09940003168</v>
      </c>
      <c r="B2019" s="7" t="str">
        <f>"寝屋川秦"</f>
        <v>寝屋川秦</v>
      </c>
      <c r="C2019" s="7" t="str">
        <f t="shared" si="688"/>
        <v>行政財産</v>
      </c>
      <c r="D2019" s="7" t="str">
        <f t="shared" si="689"/>
        <v>公営住宅</v>
      </c>
      <c r="E2019" s="7" t="str">
        <f>"大阪府寝屋川市三井が丘２丁目"</f>
        <v>大阪府寝屋川市三井が丘２丁目</v>
      </c>
      <c r="F2019" s="7"/>
      <c r="G2019" s="7" t="str">
        <f t="shared" si="686"/>
        <v>事業用資産</v>
      </c>
      <c r="H2019" s="7" t="str">
        <f t="shared" si="675"/>
        <v>棚卸以外</v>
      </c>
      <c r="I2019" s="7">
        <v>1</v>
      </c>
      <c r="J2019" s="7" t="str">
        <f>"３・５～１７・１９号棟他３棟"</f>
        <v>３・５～１７・１９号棟他３棟</v>
      </c>
      <c r="K2019" s="7" t="str">
        <f t="shared" ref="K2019:K2050" si="694">"鉄筋コンクリート造"</f>
        <v>鉄筋コンクリート造</v>
      </c>
      <c r="L2019" s="7" t="str">
        <f>"S46.08.21"</f>
        <v>S46.08.21</v>
      </c>
      <c r="M2019" s="7">
        <v>29615.08</v>
      </c>
      <c r="N2019" s="7">
        <v>1985770599</v>
      </c>
      <c r="O2019" s="7">
        <v>1211787283</v>
      </c>
      <c r="P2019" s="7">
        <v>0</v>
      </c>
      <c r="Q2019" s="7" t="str">
        <f t="shared" si="690"/>
        <v>都市整備部</v>
      </c>
      <c r="R2019" s="7" t="str">
        <f t="shared" si="687"/>
        <v>住宅建築局住宅経営室</v>
      </c>
    </row>
    <row r="2020" spans="1:18" s="1" customFormat="1" x14ac:dyDescent="0.45">
      <c r="A2020" s="7" t="str">
        <f>"09940003168"</f>
        <v>09940003168</v>
      </c>
      <c r="B2020" s="7" t="str">
        <f>"寝屋川秦"</f>
        <v>寝屋川秦</v>
      </c>
      <c r="C2020" s="7" t="str">
        <f t="shared" si="688"/>
        <v>行政財産</v>
      </c>
      <c r="D2020" s="7" t="str">
        <f t="shared" si="689"/>
        <v>公営住宅</v>
      </c>
      <c r="E2020" s="7" t="str">
        <f>"大阪府寝屋川市三井が丘２丁目"</f>
        <v>大阪府寝屋川市三井が丘２丁目</v>
      </c>
      <c r="F2020" s="7"/>
      <c r="G2020" s="7" t="str">
        <f t="shared" si="686"/>
        <v>事業用資産</v>
      </c>
      <c r="H2020" s="7" t="str">
        <f t="shared" si="675"/>
        <v>棚卸以外</v>
      </c>
      <c r="I2020" s="7">
        <v>2</v>
      </c>
      <c r="J2020" s="7" t="str">
        <f>"１・２・４・１８号棟他２棟"</f>
        <v>１・２・４・１８号棟他２棟</v>
      </c>
      <c r="K2020" s="7" t="str">
        <f t="shared" si="694"/>
        <v>鉄筋コンクリート造</v>
      </c>
      <c r="L2020" s="7" t="str">
        <f>"S46.08.21"</f>
        <v>S46.08.21</v>
      </c>
      <c r="M2020" s="7">
        <v>9905.2900000000009</v>
      </c>
      <c r="N2020" s="7">
        <v>490151447</v>
      </c>
      <c r="O2020" s="7">
        <v>39054327</v>
      </c>
      <c r="P2020" s="7">
        <v>0</v>
      </c>
      <c r="Q2020" s="7" t="str">
        <f t="shared" si="690"/>
        <v>都市整備部</v>
      </c>
      <c r="R2020" s="7" t="str">
        <f t="shared" si="687"/>
        <v>住宅建築局住宅経営室</v>
      </c>
    </row>
    <row r="2021" spans="1:18" s="1" customFormat="1" x14ac:dyDescent="0.45">
      <c r="A2021" s="7" t="str">
        <f>"09940003168"</f>
        <v>09940003168</v>
      </c>
      <c r="B2021" s="7" t="str">
        <f>"寝屋川秦"</f>
        <v>寝屋川秦</v>
      </c>
      <c r="C2021" s="7" t="str">
        <f t="shared" si="688"/>
        <v>行政財産</v>
      </c>
      <c r="D2021" s="7" t="str">
        <f t="shared" si="689"/>
        <v>公営住宅</v>
      </c>
      <c r="E2021" s="7" t="str">
        <f>"大阪府寝屋川市三井が丘２丁目"</f>
        <v>大阪府寝屋川市三井が丘２丁目</v>
      </c>
      <c r="F2021" s="7"/>
      <c r="G2021" s="7" t="str">
        <f t="shared" si="686"/>
        <v>事業用資産</v>
      </c>
      <c r="H2021" s="7" t="str">
        <f t="shared" si="675"/>
        <v>棚卸以外</v>
      </c>
      <c r="I2021" s="7">
        <v>3</v>
      </c>
      <c r="J2021" s="7" t="str">
        <f>"集会室"</f>
        <v>集会室</v>
      </c>
      <c r="K2021" s="7" t="str">
        <f t="shared" si="694"/>
        <v>鉄筋コンクリート造</v>
      </c>
      <c r="L2021" s="7" t="str">
        <f>"S46.08.21"</f>
        <v>S46.08.21</v>
      </c>
      <c r="M2021" s="7">
        <v>338.83</v>
      </c>
      <c r="N2021" s="7">
        <v>17150306</v>
      </c>
      <c r="O2021" s="7">
        <v>17150305</v>
      </c>
      <c r="P2021" s="7">
        <v>0</v>
      </c>
      <c r="Q2021" s="7" t="str">
        <f t="shared" si="690"/>
        <v>都市整備部</v>
      </c>
      <c r="R2021" s="7" t="str">
        <f t="shared" si="687"/>
        <v>住宅建築局住宅経営室</v>
      </c>
    </row>
    <row r="2022" spans="1:18" s="1" customFormat="1" x14ac:dyDescent="0.45">
      <c r="A2022" s="7" t="str">
        <f>"09940003168"</f>
        <v>09940003168</v>
      </c>
      <c r="B2022" s="7" t="str">
        <f>"寝屋川秦"</f>
        <v>寝屋川秦</v>
      </c>
      <c r="C2022" s="7" t="str">
        <f t="shared" si="688"/>
        <v>行政財産</v>
      </c>
      <c r="D2022" s="7" t="str">
        <f t="shared" si="689"/>
        <v>公営住宅</v>
      </c>
      <c r="E2022" s="7" t="str">
        <f>"大阪府寝屋川市三井が丘２丁目"</f>
        <v>大阪府寝屋川市三井が丘２丁目</v>
      </c>
      <c r="F2022" s="7"/>
      <c r="G2022" s="7" t="str">
        <f t="shared" si="686"/>
        <v>事業用資産</v>
      </c>
      <c r="H2022" s="7" t="str">
        <f t="shared" si="675"/>
        <v>棚卸以外</v>
      </c>
      <c r="I2022" s="7">
        <v>4</v>
      </c>
      <c r="J2022" s="7" t="str">
        <f>"受水槽"</f>
        <v>受水槽</v>
      </c>
      <c r="K2022" s="7" t="str">
        <f t="shared" si="694"/>
        <v>鉄筋コンクリート造</v>
      </c>
      <c r="L2022" s="7" t="str">
        <f>"S46.08.21"</f>
        <v>S46.08.21</v>
      </c>
      <c r="M2022" s="7">
        <v>219.12</v>
      </c>
      <c r="N2022" s="7">
        <v>53912000</v>
      </c>
      <c r="O2022" s="7">
        <v>53911999</v>
      </c>
      <c r="P2022" s="7">
        <v>0</v>
      </c>
      <c r="Q2022" s="7" t="str">
        <f t="shared" si="690"/>
        <v>都市整備部</v>
      </c>
      <c r="R2022" s="7" t="str">
        <f t="shared" si="687"/>
        <v>住宅建築局住宅経営室</v>
      </c>
    </row>
    <row r="2023" spans="1:18" s="1" customFormat="1" x14ac:dyDescent="0.45">
      <c r="A2023" s="7" t="str">
        <f>"09940003169"</f>
        <v>09940003169</v>
      </c>
      <c r="B2023" s="7" t="str">
        <f>"寝屋川三井"</f>
        <v>寝屋川三井</v>
      </c>
      <c r="C2023" s="7" t="str">
        <f t="shared" si="688"/>
        <v>行政財産</v>
      </c>
      <c r="D2023" s="7" t="str">
        <f t="shared" si="689"/>
        <v>公営住宅</v>
      </c>
      <c r="E2023" s="7" t="str">
        <f>"大阪府寝屋川市三井が丘３丁目"</f>
        <v>大阪府寝屋川市三井が丘３丁目</v>
      </c>
      <c r="F2023" s="7"/>
      <c r="G2023" s="7" t="str">
        <f t="shared" si="686"/>
        <v>事業用資産</v>
      </c>
      <c r="H2023" s="7" t="str">
        <f t="shared" si="675"/>
        <v>棚卸以外</v>
      </c>
      <c r="I2023" s="7">
        <v>1</v>
      </c>
      <c r="J2023" s="7" t="str">
        <f>"７～１６号棟"</f>
        <v>７～１６号棟</v>
      </c>
      <c r="K2023" s="7" t="str">
        <f t="shared" si="694"/>
        <v>鉄筋コンクリート造</v>
      </c>
      <c r="L2023" s="7" t="str">
        <f>"S46.04.26"</f>
        <v>S46.04.26</v>
      </c>
      <c r="M2023" s="7">
        <v>19074.34</v>
      </c>
      <c r="N2023" s="7">
        <v>1884083381</v>
      </c>
      <c r="O2023" s="7">
        <v>895981962</v>
      </c>
      <c r="P2023" s="7">
        <v>0</v>
      </c>
      <c r="Q2023" s="7" t="str">
        <f t="shared" si="690"/>
        <v>都市整備部</v>
      </c>
      <c r="R2023" s="7" t="str">
        <f t="shared" si="687"/>
        <v>住宅建築局住宅経営室</v>
      </c>
    </row>
    <row r="2024" spans="1:18" s="1" customFormat="1" x14ac:dyDescent="0.45">
      <c r="A2024" s="7" t="str">
        <f>"09940003169"</f>
        <v>09940003169</v>
      </c>
      <c r="B2024" s="7" t="str">
        <f>"寝屋川三井"</f>
        <v>寝屋川三井</v>
      </c>
      <c r="C2024" s="7" t="str">
        <f t="shared" si="688"/>
        <v>行政財産</v>
      </c>
      <c r="D2024" s="7" t="str">
        <f t="shared" si="689"/>
        <v>公営住宅</v>
      </c>
      <c r="E2024" s="7" t="str">
        <f>"大阪府寝屋川市三井が丘３丁目"</f>
        <v>大阪府寝屋川市三井が丘３丁目</v>
      </c>
      <c r="F2024" s="7"/>
      <c r="G2024" s="7" t="str">
        <f t="shared" si="686"/>
        <v>事業用資産</v>
      </c>
      <c r="H2024" s="7" t="str">
        <f t="shared" si="675"/>
        <v>棚卸以外</v>
      </c>
      <c r="I2024" s="7">
        <v>2</v>
      </c>
      <c r="J2024" s="7" t="str">
        <f>"集会所"</f>
        <v>集会所</v>
      </c>
      <c r="K2024" s="7" t="str">
        <f t="shared" si="694"/>
        <v>鉄筋コンクリート造</v>
      </c>
      <c r="L2024" s="7" t="str">
        <f>"S46.04.26"</f>
        <v>S46.04.26</v>
      </c>
      <c r="M2024" s="7">
        <v>193.12</v>
      </c>
      <c r="N2024" s="7">
        <v>38788736</v>
      </c>
      <c r="O2024" s="7">
        <v>21271091</v>
      </c>
      <c r="P2024" s="7">
        <v>0</v>
      </c>
      <c r="Q2024" s="7" t="str">
        <f t="shared" si="690"/>
        <v>都市整備部</v>
      </c>
      <c r="R2024" s="7" t="str">
        <f t="shared" si="687"/>
        <v>住宅建築局住宅経営室</v>
      </c>
    </row>
    <row r="2025" spans="1:18" s="1" customFormat="1" x14ac:dyDescent="0.45">
      <c r="A2025" s="7" t="str">
        <f>"09940003169"</f>
        <v>09940003169</v>
      </c>
      <c r="B2025" s="7" t="str">
        <f>"寝屋川三井"</f>
        <v>寝屋川三井</v>
      </c>
      <c r="C2025" s="7" t="str">
        <f t="shared" si="688"/>
        <v>行政財産</v>
      </c>
      <c r="D2025" s="7" t="str">
        <f t="shared" si="689"/>
        <v>公営住宅</v>
      </c>
      <c r="E2025" s="7" t="str">
        <f>"大阪府寝屋川市三井が丘３丁目"</f>
        <v>大阪府寝屋川市三井が丘３丁目</v>
      </c>
      <c r="F2025" s="7"/>
      <c r="G2025" s="7" t="str">
        <f t="shared" si="686"/>
        <v>事業用資産</v>
      </c>
      <c r="H2025" s="7" t="str">
        <f t="shared" si="675"/>
        <v>棚卸以外</v>
      </c>
      <c r="I2025" s="7">
        <v>3</v>
      </c>
      <c r="J2025" s="7" t="str">
        <f>"１～５号棟"</f>
        <v>１～５号棟</v>
      </c>
      <c r="K2025" s="7" t="str">
        <f t="shared" si="694"/>
        <v>鉄筋コンクリート造</v>
      </c>
      <c r="L2025" s="7" t="str">
        <f>"S46.08.19"</f>
        <v>S46.08.19</v>
      </c>
      <c r="M2025" s="7">
        <v>8902.99</v>
      </c>
      <c r="N2025" s="7">
        <v>728985768</v>
      </c>
      <c r="O2025" s="7">
        <v>451228672</v>
      </c>
      <c r="P2025" s="7">
        <v>0</v>
      </c>
      <c r="Q2025" s="7" t="str">
        <f t="shared" si="690"/>
        <v>都市整備部</v>
      </c>
      <c r="R2025" s="7" t="str">
        <f t="shared" si="687"/>
        <v>住宅建築局住宅経営室</v>
      </c>
    </row>
    <row r="2026" spans="1:18" s="1" customFormat="1" x14ac:dyDescent="0.45">
      <c r="A2026" s="7" t="str">
        <f>"09940003170"</f>
        <v>09940003170</v>
      </c>
      <c r="B2026" s="7" t="str">
        <f>"貝塚久保"</f>
        <v>貝塚久保</v>
      </c>
      <c r="C2026" s="7" t="str">
        <f t="shared" si="688"/>
        <v>行政財産</v>
      </c>
      <c r="D2026" s="7" t="str">
        <f t="shared" si="689"/>
        <v>公営住宅</v>
      </c>
      <c r="E2026" s="7" t="str">
        <f>"大阪府貝塚市久保"</f>
        <v>大阪府貝塚市久保</v>
      </c>
      <c r="F2026" s="7"/>
      <c r="G2026" s="7" t="str">
        <f t="shared" si="686"/>
        <v>事業用資産</v>
      </c>
      <c r="H2026" s="7" t="str">
        <f t="shared" si="675"/>
        <v>棚卸以外</v>
      </c>
      <c r="I2026" s="7">
        <v>1</v>
      </c>
      <c r="J2026" s="7" t="str">
        <f>"住宅"</f>
        <v>住宅</v>
      </c>
      <c r="K2026" s="7" t="str">
        <f t="shared" si="694"/>
        <v>鉄筋コンクリート造</v>
      </c>
      <c r="L2026" s="7" t="str">
        <f>"S46.08.24"</f>
        <v>S46.08.24</v>
      </c>
      <c r="M2026" s="7">
        <v>13069.6</v>
      </c>
      <c r="N2026" s="7">
        <v>490276498</v>
      </c>
      <c r="O2026" s="7">
        <v>477088147</v>
      </c>
      <c r="P2026" s="7">
        <v>0</v>
      </c>
      <c r="Q2026" s="7" t="str">
        <f t="shared" si="690"/>
        <v>都市整備部</v>
      </c>
      <c r="R2026" s="7" t="str">
        <f t="shared" si="687"/>
        <v>住宅建築局住宅経営室</v>
      </c>
    </row>
    <row r="2027" spans="1:18" s="1" customFormat="1" x14ac:dyDescent="0.45">
      <c r="A2027" s="7" t="str">
        <f>"09940003170"</f>
        <v>09940003170</v>
      </c>
      <c r="B2027" s="7" t="str">
        <f>"貝塚久保"</f>
        <v>貝塚久保</v>
      </c>
      <c r="C2027" s="7" t="str">
        <f t="shared" si="688"/>
        <v>行政財産</v>
      </c>
      <c r="D2027" s="7" t="str">
        <f t="shared" si="689"/>
        <v>公営住宅</v>
      </c>
      <c r="E2027" s="7" t="str">
        <f>"大阪府貝塚市久保"</f>
        <v>大阪府貝塚市久保</v>
      </c>
      <c r="F2027" s="7"/>
      <c r="G2027" s="7" t="str">
        <f t="shared" si="686"/>
        <v>事業用資産</v>
      </c>
      <c r="H2027" s="7" t="str">
        <f t="shared" si="675"/>
        <v>棚卸以外</v>
      </c>
      <c r="I2027" s="7">
        <v>2</v>
      </c>
      <c r="J2027" s="7" t="str">
        <f>"住宅"</f>
        <v>住宅</v>
      </c>
      <c r="K2027" s="7" t="str">
        <f t="shared" si="694"/>
        <v>鉄筋コンクリート造</v>
      </c>
      <c r="L2027" s="7" t="str">
        <f>"S46.08.24"</f>
        <v>S46.08.24</v>
      </c>
      <c r="M2027" s="7">
        <v>9530.58</v>
      </c>
      <c r="N2027" s="7">
        <v>862380711</v>
      </c>
      <c r="O2027" s="7">
        <v>589450358</v>
      </c>
      <c r="P2027" s="7">
        <v>0</v>
      </c>
      <c r="Q2027" s="7" t="str">
        <f t="shared" si="690"/>
        <v>都市整備部</v>
      </c>
      <c r="R2027" s="7" t="str">
        <f t="shared" si="687"/>
        <v>住宅建築局住宅経営室</v>
      </c>
    </row>
    <row r="2028" spans="1:18" s="1" customFormat="1" x14ac:dyDescent="0.45">
      <c r="A2028" s="7" t="str">
        <f>"09940003170"</f>
        <v>09940003170</v>
      </c>
      <c r="B2028" s="7" t="str">
        <f>"貝塚久保"</f>
        <v>貝塚久保</v>
      </c>
      <c r="C2028" s="7" t="str">
        <f t="shared" si="688"/>
        <v>行政財産</v>
      </c>
      <c r="D2028" s="7" t="str">
        <f t="shared" si="689"/>
        <v>公営住宅</v>
      </c>
      <c r="E2028" s="7" t="str">
        <f>"大阪府貝塚市久保"</f>
        <v>大阪府貝塚市久保</v>
      </c>
      <c r="F2028" s="7"/>
      <c r="G2028" s="7" t="str">
        <f t="shared" si="686"/>
        <v>事業用資産</v>
      </c>
      <c r="H2028" s="7" t="str">
        <f t="shared" si="675"/>
        <v>棚卸以外</v>
      </c>
      <c r="I2028" s="7">
        <v>3</v>
      </c>
      <c r="J2028" s="7" t="str">
        <f>"集会室"</f>
        <v>集会室</v>
      </c>
      <c r="K2028" s="7" t="str">
        <f t="shared" si="694"/>
        <v>鉄筋コンクリート造</v>
      </c>
      <c r="L2028" s="7" t="str">
        <f>"S46.08.24"</f>
        <v>S46.08.24</v>
      </c>
      <c r="M2028" s="7">
        <v>149.91999999999999</v>
      </c>
      <c r="N2028" s="7">
        <v>18300677</v>
      </c>
      <c r="O2028" s="7">
        <v>18300674</v>
      </c>
      <c r="P2028" s="7">
        <v>0</v>
      </c>
      <c r="Q2028" s="7" t="str">
        <f t="shared" si="690"/>
        <v>都市整備部</v>
      </c>
      <c r="R2028" s="7" t="str">
        <f t="shared" si="687"/>
        <v>住宅建築局住宅経営室</v>
      </c>
    </row>
    <row r="2029" spans="1:18" s="1" customFormat="1" x14ac:dyDescent="0.45">
      <c r="A2029" s="7" t="str">
        <f>"09940003170"</f>
        <v>09940003170</v>
      </c>
      <c r="B2029" s="7" t="str">
        <f>"貝塚久保"</f>
        <v>貝塚久保</v>
      </c>
      <c r="C2029" s="7" t="str">
        <f t="shared" si="688"/>
        <v>行政財産</v>
      </c>
      <c r="D2029" s="7" t="str">
        <f t="shared" si="689"/>
        <v>公営住宅</v>
      </c>
      <c r="E2029" s="7" t="str">
        <f>"大阪府貝塚市久保"</f>
        <v>大阪府貝塚市久保</v>
      </c>
      <c r="F2029" s="7"/>
      <c r="G2029" s="7" t="str">
        <f t="shared" si="686"/>
        <v>事業用資産</v>
      </c>
      <c r="H2029" s="7" t="str">
        <f t="shared" si="675"/>
        <v>棚卸以外</v>
      </c>
      <c r="I2029" s="7">
        <v>4</v>
      </c>
      <c r="J2029" s="7" t="str">
        <f>"汚水処理場"</f>
        <v>汚水処理場</v>
      </c>
      <c r="K2029" s="7" t="str">
        <f t="shared" si="694"/>
        <v>鉄筋コンクリート造</v>
      </c>
      <c r="L2029" s="7" t="str">
        <f>"S46.08.24"</f>
        <v>S46.08.24</v>
      </c>
      <c r="M2029" s="7">
        <v>80</v>
      </c>
      <c r="N2029" s="7">
        <v>81767000</v>
      </c>
      <c r="O2029" s="7">
        <v>81766999</v>
      </c>
      <c r="P2029" s="7">
        <v>0</v>
      </c>
      <c r="Q2029" s="7" t="str">
        <f t="shared" si="690"/>
        <v>都市整備部</v>
      </c>
      <c r="R2029" s="7" t="str">
        <f t="shared" si="687"/>
        <v>住宅建築局住宅経営室</v>
      </c>
    </row>
    <row r="2030" spans="1:18" s="1" customFormat="1" x14ac:dyDescent="0.45">
      <c r="A2030" s="7" t="str">
        <f>"09940003171"</f>
        <v>09940003171</v>
      </c>
      <c r="B2030" s="7" t="str">
        <f>"寝屋川打上"</f>
        <v>寝屋川打上</v>
      </c>
      <c r="C2030" s="7" t="str">
        <f t="shared" si="688"/>
        <v>行政財産</v>
      </c>
      <c r="D2030" s="7" t="str">
        <f t="shared" si="689"/>
        <v>公営住宅</v>
      </c>
      <c r="E2030" s="7" t="str">
        <f>"大阪府寝屋川市梅が丘１丁目"</f>
        <v>大阪府寝屋川市梅が丘１丁目</v>
      </c>
      <c r="F2030" s="7"/>
      <c r="G2030" s="7" t="str">
        <f t="shared" si="686"/>
        <v>事業用資産</v>
      </c>
      <c r="H2030" s="7" t="str">
        <f t="shared" si="675"/>
        <v>棚卸以外</v>
      </c>
      <c r="I2030" s="7">
        <v>1</v>
      </c>
      <c r="J2030" s="7" t="str">
        <f>"１～１３・１８～２１号棟"</f>
        <v>１～１３・１８～２１号棟</v>
      </c>
      <c r="K2030" s="7" t="str">
        <f t="shared" si="694"/>
        <v>鉄筋コンクリート造</v>
      </c>
      <c r="L2030" s="7" t="str">
        <f>"S50.08.26"</f>
        <v>S50.08.26</v>
      </c>
      <c r="M2030" s="7">
        <v>27504.48</v>
      </c>
      <c r="N2030" s="7">
        <v>2157578664</v>
      </c>
      <c r="O2030" s="7">
        <v>2098735392</v>
      </c>
      <c r="P2030" s="7">
        <v>0</v>
      </c>
      <c r="Q2030" s="7" t="str">
        <f t="shared" si="690"/>
        <v>都市整備部</v>
      </c>
      <c r="R2030" s="7" t="str">
        <f t="shared" si="687"/>
        <v>住宅建築局住宅経営室</v>
      </c>
    </row>
    <row r="2031" spans="1:18" s="1" customFormat="1" x14ac:dyDescent="0.45">
      <c r="A2031" s="7" t="str">
        <f>"09940003171"</f>
        <v>09940003171</v>
      </c>
      <c r="B2031" s="7" t="str">
        <f>"寝屋川打上"</f>
        <v>寝屋川打上</v>
      </c>
      <c r="C2031" s="7" t="str">
        <f t="shared" si="688"/>
        <v>行政財産</v>
      </c>
      <c r="D2031" s="7" t="str">
        <f t="shared" si="689"/>
        <v>公営住宅</v>
      </c>
      <c r="E2031" s="7" t="str">
        <f>"大阪府寝屋川市梅が丘１丁目"</f>
        <v>大阪府寝屋川市梅が丘１丁目</v>
      </c>
      <c r="F2031" s="7"/>
      <c r="G2031" s="7" t="str">
        <f t="shared" si="686"/>
        <v>事業用資産</v>
      </c>
      <c r="H2031" s="7" t="str">
        <f t="shared" si="675"/>
        <v>棚卸以外</v>
      </c>
      <c r="I2031" s="7">
        <v>2</v>
      </c>
      <c r="J2031" s="7" t="str">
        <f>"１４～１６号棟"</f>
        <v>１４～１６号棟</v>
      </c>
      <c r="K2031" s="7" t="str">
        <f t="shared" si="694"/>
        <v>鉄筋コンクリート造</v>
      </c>
      <c r="L2031" s="7" t="str">
        <f>"S50.08.26"</f>
        <v>S50.08.26</v>
      </c>
      <c r="M2031" s="7">
        <v>554.4</v>
      </c>
      <c r="N2031" s="7">
        <v>85245000</v>
      </c>
      <c r="O2031" s="7">
        <v>85244999</v>
      </c>
      <c r="P2031" s="7">
        <v>0</v>
      </c>
      <c r="Q2031" s="7" t="str">
        <f t="shared" si="690"/>
        <v>都市整備部</v>
      </c>
      <c r="R2031" s="7" t="str">
        <f t="shared" si="687"/>
        <v>住宅建築局住宅経営室</v>
      </c>
    </row>
    <row r="2032" spans="1:18" s="1" customFormat="1" x14ac:dyDescent="0.45">
      <c r="A2032" s="7" t="str">
        <f>"09940003171"</f>
        <v>09940003171</v>
      </c>
      <c r="B2032" s="7" t="str">
        <f>"寝屋川打上"</f>
        <v>寝屋川打上</v>
      </c>
      <c r="C2032" s="7" t="str">
        <f t="shared" si="688"/>
        <v>行政財産</v>
      </c>
      <c r="D2032" s="7" t="str">
        <f t="shared" si="689"/>
        <v>公営住宅</v>
      </c>
      <c r="E2032" s="7" t="str">
        <f>"大阪府寝屋川市梅が丘１丁目"</f>
        <v>大阪府寝屋川市梅が丘１丁目</v>
      </c>
      <c r="F2032" s="7"/>
      <c r="G2032" s="7" t="str">
        <f t="shared" si="686"/>
        <v>事業用資産</v>
      </c>
      <c r="H2032" s="7" t="str">
        <f t="shared" si="675"/>
        <v>棚卸以外</v>
      </c>
      <c r="I2032" s="7">
        <v>3</v>
      </c>
      <c r="J2032" s="7" t="str">
        <f>"集会所"</f>
        <v>集会所</v>
      </c>
      <c r="K2032" s="7" t="str">
        <f t="shared" si="694"/>
        <v>鉄筋コンクリート造</v>
      </c>
      <c r="L2032" s="7" t="str">
        <f>"S50.08.26"</f>
        <v>S50.08.26</v>
      </c>
      <c r="M2032" s="7">
        <v>240.28</v>
      </c>
      <c r="N2032" s="7">
        <v>16402181</v>
      </c>
      <c r="O2032" s="7">
        <v>7956115</v>
      </c>
      <c r="P2032" s="7">
        <v>0</v>
      </c>
      <c r="Q2032" s="7" t="str">
        <f t="shared" si="690"/>
        <v>都市整備部</v>
      </c>
      <c r="R2032" s="7" t="str">
        <f t="shared" si="687"/>
        <v>住宅建築局住宅経営室</v>
      </c>
    </row>
    <row r="2033" spans="1:18" s="1" customFormat="1" x14ac:dyDescent="0.45">
      <c r="A2033" s="7" t="str">
        <f>"09940003172"</f>
        <v>09940003172</v>
      </c>
      <c r="B2033" s="7" t="str">
        <f>"貝塚三ツ松第２"</f>
        <v>貝塚三ツ松第２</v>
      </c>
      <c r="C2033" s="7" t="str">
        <f t="shared" si="688"/>
        <v>行政財産</v>
      </c>
      <c r="D2033" s="7" t="str">
        <f t="shared" si="689"/>
        <v>公営住宅</v>
      </c>
      <c r="E2033" s="7" t="str">
        <f>"大阪府貝塚市三ツ松"</f>
        <v>大阪府貝塚市三ツ松</v>
      </c>
      <c r="F2033" s="7"/>
      <c r="G2033" s="7" t="str">
        <f t="shared" si="686"/>
        <v>事業用資産</v>
      </c>
      <c r="H2033" s="7" t="str">
        <f t="shared" si="675"/>
        <v>棚卸以外</v>
      </c>
      <c r="I2033" s="7">
        <v>1</v>
      </c>
      <c r="J2033" s="7" t="str">
        <f>"４～１２号棟"</f>
        <v>４～１２号棟</v>
      </c>
      <c r="K2033" s="7" t="str">
        <f t="shared" si="694"/>
        <v>鉄筋コンクリート造</v>
      </c>
      <c r="L2033" s="7" t="str">
        <f>"S46.06.17"</f>
        <v>S46.06.17</v>
      </c>
      <c r="M2033" s="7">
        <v>20188.03</v>
      </c>
      <c r="N2033" s="7">
        <v>1677498281</v>
      </c>
      <c r="O2033" s="7">
        <v>1131016326</v>
      </c>
      <c r="P2033" s="7">
        <v>0</v>
      </c>
      <c r="Q2033" s="7" t="str">
        <f t="shared" si="690"/>
        <v>都市整備部</v>
      </c>
      <c r="R2033" s="7" t="str">
        <f t="shared" si="687"/>
        <v>住宅建築局住宅経営室</v>
      </c>
    </row>
    <row r="2034" spans="1:18" s="1" customFormat="1" x14ac:dyDescent="0.45">
      <c r="A2034" s="7" t="str">
        <f>"09940003172"</f>
        <v>09940003172</v>
      </c>
      <c r="B2034" s="7" t="str">
        <f>"貝塚三ツ松第２"</f>
        <v>貝塚三ツ松第２</v>
      </c>
      <c r="C2034" s="7" t="str">
        <f t="shared" si="688"/>
        <v>行政財産</v>
      </c>
      <c r="D2034" s="7" t="str">
        <f t="shared" si="689"/>
        <v>公営住宅</v>
      </c>
      <c r="E2034" s="7" t="str">
        <f>"大阪府貝塚市三ツ松"</f>
        <v>大阪府貝塚市三ツ松</v>
      </c>
      <c r="F2034" s="7"/>
      <c r="G2034" s="7" t="str">
        <f t="shared" si="686"/>
        <v>事業用資産</v>
      </c>
      <c r="H2034" s="7" t="str">
        <f t="shared" si="675"/>
        <v>棚卸以外</v>
      </c>
      <c r="I2034" s="7">
        <v>2</v>
      </c>
      <c r="J2034" s="7" t="str">
        <f>"１～３号棟"</f>
        <v>１～３号棟</v>
      </c>
      <c r="K2034" s="7" t="str">
        <f t="shared" si="694"/>
        <v>鉄筋コンクリート造</v>
      </c>
      <c r="L2034" s="7" t="str">
        <f>"S46.06.17"</f>
        <v>S46.06.17</v>
      </c>
      <c r="M2034" s="7">
        <v>5719.9</v>
      </c>
      <c r="N2034" s="7">
        <v>476411000</v>
      </c>
      <c r="O2034" s="7">
        <v>381538175</v>
      </c>
      <c r="P2034" s="7">
        <v>0</v>
      </c>
      <c r="Q2034" s="7" t="str">
        <f t="shared" si="690"/>
        <v>都市整備部</v>
      </c>
      <c r="R2034" s="7" t="str">
        <f t="shared" si="687"/>
        <v>住宅建築局住宅経営室</v>
      </c>
    </row>
    <row r="2035" spans="1:18" s="1" customFormat="1" x14ac:dyDescent="0.45">
      <c r="A2035" s="7" t="str">
        <f>"09940003172"</f>
        <v>09940003172</v>
      </c>
      <c r="B2035" s="7" t="str">
        <f>"貝塚三ツ松第２"</f>
        <v>貝塚三ツ松第２</v>
      </c>
      <c r="C2035" s="7" t="str">
        <f t="shared" si="688"/>
        <v>行政財産</v>
      </c>
      <c r="D2035" s="7" t="str">
        <f t="shared" si="689"/>
        <v>公営住宅</v>
      </c>
      <c r="E2035" s="7" t="str">
        <f>"大阪府貝塚市三ツ松"</f>
        <v>大阪府貝塚市三ツ松</v>
      </c>
      <c r="F2035" s="7"/>
      <c r="G2035" s="7" t="str">
        <f t="shared" si="686"/>
        <v>事業用資産</v>
      </c>
      <c r="H2035" s="7" t="str">
        <f t="shared" si="675"/>
        <v>棚卸以外</v>
      </c>
      <c r="I2035" s="7">
        <v>3</v>
      </c>
      <c r="J2035" s="7" t="str">
        <f>"集会所"</f>
        <v>集会所</v>
      </c>
      <c r="K2035" s="7" t="str">
        <f t="shared" si="694"/>
        <v>鉄筋コンクリート造</v>
      </c>
      <c r="L2035" s="7" t="str">
        <f>"S46.06.17"</f>
        <v>S46.06.17</v>
      </c>
      <c r="M2035" s="7">
        <v>155.93</v>
      </c>
      <c r="N2035" s="7">
        <v>12115709</v>
      </c>
      <c r="O2035" s="7">
        <v>9251255</v>
      </c>
      <c r="P2035" s="7">
        <v>0</v>
      </c>
      <c r="Q2035" s="7" t="str">
        <f t="shared" si="690"/>
        <v>都市整備部</v>
      </c>
      <c r="R2035" s="7" t="str">
        <f t="shared" si="687"/>
        <v>住宅建築局住宅経営室</v>
      </c>
    </row>
    <row r="2036" spans="1:18" s="1" customFormat="1" x14ac:dyDescent="0.45">
      <c r="A2036" s="7" t="str">
        <f>"09940003172"</f>
        <v>09940003172</v>
      </c>
      <c r="B2036" s="7" t="str">
        <f>"貝塚三ツ松第２"</f>
        <v>貝塚三ツ松第２</v>
      </c>
      <c r="C2036" s="7" t="str">
        <f t="shared" si="688"/>
        <v>行政財産</v>
      </c>
      <c r="D2036" s="7" t="str">
        <f t="shared" si="689"/>
        <v>公営住宅</v>
      </c>
      <c r="E2036" s="7" t="str">
        <f>"大阪府貝塚市三ツ松"</f>
        <v>大阪府貝塚市三ツ松</v>
      </c>
      <c r="F2036" s="7"/>
      <c r="G2036" s="7" t="str">
        <f t="shared" si="686"/>
        <v>事業用資産</v>
      </c>
      <c r="H2036" s="7" t="str">
        <f t="shared" si="675"/>
        <v>棚卸以外</v>
      </c>
      <c r="I2036" s="7">
        <v>4</v>
      </c>
      <c r="J2036" s="7" t="str">
        <f>"汚水処理場"</f>
        <v>汚水処理場</v>
      </c>
      <c r="K2036" s="7" t="str">
        <f t="shared" si="694"/>
        <v>鉄筋コンクリート造</v>
      </c>
      <c r="L2036" s="7" t="str">
        <f>"S49.06.17"</f>
        <v>S49.06.17</v>
      </c>
      <c r="M2036" s="7">
        <v>300</v>
      </c>
      <c r="N2036" s="7">
        <v>63820000</v>
      </c>
      <c r="O2036" s="7">
        <v>63819999</v>
      </c>
      <c r="P2036" s="7">
        <v>0</v>
      </c>
      <c r="Q2036" s="7" t="str">
        <f t="shared" si="690"/>
        <v>都市整備部</v>
      </c>
      <c r="R2036" s="7" t="str">
        <f t="shared" si="687"/>
        <v>住宅建築局住宅経営室</v>
      </c>
    </row>
    <row r="2037" spans="1:18" s="1" customFormat="1" x14ac:dyDescent="0.45">
      <c r="A2037" s="7" t="str">
        <f>"09940003172"</f>
        <v>09940003172</v>
      </c>
      <c r="B2037" s="7" t="str">
        <f>"貝塚三ツ松第２"</f>
        <v>貝塚三ツ松第２</v>
      </c>
      <c r="C2037" s="7" t="str">
        <f t="shared" si="688"/>
        <v>行政財産</v>
      </c>
      <c r="D2037" s="7" t="str">
        <f t="shared" si="689"/>
        <v>公営住宅</v>
      </c>
      <c r="E2037" s="7" t="str">
        <f>"大阪府貝塚市三ツ松"</f>
        <v>大阪府貝塚市三ツ松</v>
      </c>
      <c r="F2037" s="7"/>
      <c r="G2037" s="7" t="str">
        <f t="shared" si="686"/>
        <v>事業用資産</v>
      </c>
      <c r="H2037" s="7" t="str">
        <f t="shared" si="675"/>
        <v>棚卸以外</v>
      </c>
      <c r="I2037" s="7">
        <v>5</v>
      </c>
      <c r="J2037" s="7" t="str">
        <f>"管理棟"</f>
        <v>管理棟</v>
      </c>
      <c r="K2037" s="7" t="str">
        <f t="shared" si="694"/>
        <v>鉄筋コンクリート造</v>
      </c>
      <c r="L2037" s="7" t="str">
        <f>"S49.06.17"</f>
        <v>S49.06.17</v>
      </c>
      <c r="M2037" s="7">
        <v>60</v>
      </c>
      <c r="N2037" s="7">
        <v>4347000</v>
      </c>
      <c r="O2037" s="7">
        <v>4346999</v>
      </c>
      <c r="P2037" s="7">
        <v>0</v>
      </c>
      <c r="Q2037" s="7" t="str">
        <f t="shared" si="690"/>
        <v>都市整備部</v>
      </c>
      <c r="R2037" s="7" t="str">
        <f t="shared" si="687"/>
        <v>住宅建築局住宅経営室</v>
      </c>
    </row>
    <row r="2038" spans="1:18" s="1" customFormat="1" x14ac:dyDescent="0.45">
      <c r="A2038" s="7" t="str">
        <f t="shared" ref="A2038:A2046" si="695">"09940003173"</f>
        <v>09940003173</v>
      </c>
      <c r="B2038" s="7" t="str">
        <f t="shared" ref="B2038:B2046" si="696">"寝屋川河北"</f>
        <v>寝屋川河北</v>
      </c>
      <c r="C2038" s="7" t="str">
        <f t="shared" si="688"/>
        <v>行政財産</v>
      </c>
      <c r="D2038" s="7" t="str">
        <f t="shared" si="689"/>
        <v>公営住宅</v>
      </c>
      <c r="E2038" s="7" t="str">
        <f t="shared" ref="E2038:E2046" si="697">"大阪府寝屋川市河北西町"</f>
        <v>大阪府寝屋川市河北西町</v>
      </c>
      <c r="F2038" s="7"/>
      <c r="G2038" s="7" t="str">
        <f t="shared" si="686"/>
        <v>事業用資産</v>
      </c>
      <c r="H2038" s="7" t="str">
        <f t="shared" si="675"/>
        <v>棚卸以外</v>
      </c>
      <c r="I2038" s="7">
        <v>1</v>
      </c>
      <c r="J2038" s="7" t="str">
        <f>"８号棟"</f>
        <v>８号棟</v>
      </c>
      <c r="K2038" s="7" t="str">
        <f t="shared" si="694"/>
        <v>鉄筋コンクリート造</v>
      </c>
      <c r="L2038" s="7" t="str">
        <f t="shared" ref="L2038:L2045" si="698">"S56.03.26"</f>
        <v>S56.03.26</v>
      </c>
      <c r="M2038" s="7">
        <v>1512.88</v>
      </c>
      <c r="N2038" s="7">
        <v>309629881</v>
      </c>
      <c r="O2038" s="7">
        <v>152761435</v>
      </c>
      <c r="P2038" s="7">
        <v>0</v>
      </c>
      <c r="Q2038" s="7" t="str">
        <f t="shared" si="690"/>
        <v>都市整備部</v>
      </c>
      <c r="R2038" s="7" t="str">
        <f t="shared" si="687"/>
        <v>住宅建築局住宅経営室</v>
      </c>
    </row>
    <row r="2039" spans="1:18" s="1" customFormat="1" x14ac:dyDescent="0.45">
      <c r="A2039" s="7" t="str">
        <f t="shared" si="695"/>
        <v>09940003173</v>
      </c>
      <c r="B2039" s="7" t="str">
        <f t="shared" si="696"/>
        <v>寝屋川河北</v>
      </c>
      <c r="C2039" s="7" t="str">
        <f t="shared" si="688"/>
        <v>行政財産</v>
      </c>
      <c r="D2039" s="7" t="str">
        <f t="shared" si="689"/>
        <v>公営住宅</v>
      </c>
      <c r="E2039" s="7" t="str">
        <f t="shared" si="697"/>
        <v>大阪府寝屋川市河北西町</v>
      </c>
      <c r="F2039" s="7"/>
      <c r="G2039" s="7" t="str">
        <f t="shared" si="686"/>
        <v>事業用資産</v>
      </c>
      <c r="H2039" s="7" t="str">
        <f t="shared" si="675"/>
        <v>棚卸以外</v>
      </c>
      <c r="I2039" s="7">
        <v>2</v>
      </c>
      <c r="J2039" s="7" t="str">
        <f>"６・７号棟"</f>
        <v>６・７号棟</v>
      </c>
      <c r="K2039" s="7" t="str">
        <f t="shared" si="694"/>
        <v>鉄筋コンクリート造</v>
      </c>
      <c r="L2039" s="7" t="str">
        <f t="shared" si="698"/>
        <v>S56.03.26</v>
      </c>
      <c r="M2039" s="7">
        <v>5111.8900000000003</v>
      </c>
      <c r="N2039" s="7">
        <v>731619362</v>
      </c>
      <c r="O2039" s="7">
        <v>532901904</v>
      </c>
      <c r="P2039" s="7">
        <v>0</v>
      </c>
      <c r="Q2039" s="7" t="str">
        <f t="shared" si="690"/>
        <v>都市整備部</v>
      </c>
      <c r="R2039" s="7" t="str">
        <f t="shared" si="687"/>
        <v>住宅建築局住宅経営室</v>
      </c>
    </row>
    <row r="2040" spans="1:18" s="1" customFormat="1" x14ac:dyDescent="0.45">
      <c r="A2040" s="7" t="str">
        <f t="shared" si="695"/>
        <v>09940003173</v>
      </c>
      <c r="B2040" s="7" t="str">
        <f t="shared" si="696"/>
        <v>寝屋川河北</v>
      </c>
      <c r="C2040" s="7" t="str">
        <f t="shared" si="688"/>
        <v>行政財産</v>
      </c>
      <c r="D2040" s="7" t="str">
        <f t="shared" si="689"/>
        <v>公営住宅</v>
      </c>
      <c r="E2040" s="7" t="str">
        <f t="shared" si="697"/>
        <v>大阪府寝屋川市河北西町</v>
      </c>
      <c r="F2040" s="7"/>
      <c r="G2040" s="7" t="str">
        <f t="shared" si="686"/>
        <v>事業用資産</v>
      </c>
      <c r="H2040" s="7" t="str">
        <f t="shared" si="675"/>
        <v>棚卸以外</v>
      </c>
      <c r="I2040" s="7">
        <v>3</v>
      </c>
      <c r="J2040" s="7" t="str">
        <f>"３号棟"</f>
        <v>３号棟</v>
      </c>
      <c r="K2040" s="7" t="str">
        <f t="shared" si="694"/>
        <v>鉄筋コンクリート造</v>
      </c>
      <c r="L2040" s="7" t="str">
        <f t="shared" si="698"/>
        <v>S56.03.26</v>
      </c>
      <c r="M2040" s="7">
        <v>3258.23</v>
      </c>
      <c r="N2040" s="7">
        <v>474585484</v>
      </c>
      <c r="O2040" s="7">
        <v>355336164</v>
      </c>
      <c r="P2040" s="7">
        <v>0</v>
      </c>
      <c r="Q2040" s="7" t="str">
        <f t="shared" si="690"/>
        <v>都市整備部</v>
      </c>
      <c r="R2040" s="7" t="str">
        <f t="shared" si="687"/>
        <v>住宅建築局住宅経営室</v>
      </c>
    </row>
    <row r="2041" spans="1:18" s="1" customFormat="1" x14ac:dyDescent="0.45">
      <c r="A2041" s="7" t="str">
        <f t="shared" si="695"/>
        <v>09940003173</v>
      </c>
      <c r="B2041" s="7" t="str">
        <f t="shared" si="696"/>
        <v>寝屋川河北</v>
      </c>
      <c r="C2041" s="7" t="str">
        <f t="shared" si="688"/>
        <v>行政財産</v>
      </c>
      <c r="D2041" s="7" t="str">
        <f t="shared" si="689"/>
        <v>公営住宅</v>
      </c>
      <c r="E2041" s="7" t="str">
        <f t="shared" si="697"/>
        <v>大阪府寝屋川市河北西町</v>
      </c>
      <c r="F2041" s="7"/>
      <c r="G2041" s="7" t="str">
        <f t="shared" si="686"/>
        <v>事業用資産</v>
      </c>
      <c r="H2041" s="7" t="str">
        <f t="shared" si="675"/>
        <v>棚卸以外</v>
      </c>
      <c r="I2041" s="7">
        <v>4</v>
      </c>
      <c r="J2041" s="7" t="str">
        <f>"４・５号棟"</f>
        <v>４・５号棟</v>
      </c>
      <c r="K2041" s="7" t="str">
        <f t="shared" si="694"/>
        <v>鉄筋コンクリート造</v>
      </c>
      <c r="L2041" s="7" t="str">
        <f t="shared" si="698"/>
        <v>S56.03.26</v>
      </c>
      <c r="M2041" s="7">
        <v>7343.66</v>
      </c>
      <c r="N2041" s="7">
        <v>920679149</v>
      </c>
      <c r="O2041" s="7">
        <v>665862552</v>
      </c>
      <c r="P2041" s="7">
        <v>0</v>
      </c>
      <c r="Q2041" s="7" t="str">
        <f t="shared" si="690"/>
        <v>都市整備部</v>
      </c>
      <c r="R2041" s="7" t="str">
        <f t="shared" si="687"/>
        <v>住宅建築局住宅経営室</v>
      </c>
    </row>
    <row r="2042" spans="1:18" s="1" customFormat="1" x14ac:dyDescent="0.45">
      <c r="A2042" s="7" t="str">
        <f t="shared" si="695"/>
        <v>09940003173</v>
      </c>
      <c r="B2042" s="7" t="str">
        <f t="shared" si="696"/>
        <v>寝屋川河北</v>
      </c>
      <c r="C2042" s="7" t="str">
        <f t="shared" si="688"/>
        <v>行政財産</v>
      </c>
      <c r="D2042" s="7" t="str">
        <f t="shared" si="689"/>
        <v>公営住宅</v>
      </c>
      <c r="E2042" s="7" t="str">
        <f t="shared" si="697"/>
        <v>大阪府寝屋川市河北西町</v>
      </c>
      <c r="F2042" s="7"/>
      <c r="G2042" s="7" t="str">
        <f t="shared" si="686"/>
        <v>事業用資産</v>
      </c>
      <c r="H2042" s="7" t="str">
        <f t="shared" si="675"/>
        <v>棚卸以外</v>
      </c>
      <c r="I2042" s="7">
        <v>5</v>
      </c>
      <c r="J2042" s="7" t="str">
        <f>"１・２号棟"</f>
        <v>１・２号棟</v>
      </c>
      <c r="K2042" s="7" t="str">
        <f t="shared" si="694"/>
        <v>鉄筋コンクリート造</v>
      </c>
      <c r="L2042" s="7" t="str">
        <f t="shared" si="698"/>
        <v>S56.03.26</v>
      </c>
      <c r="M2042" s="7">
        <v>6227.94</v>
      </c>
      <c r="N2042" s="7">
        <v>899513991</v>
      </c>
      <c r="O2042" s="7">
        <v>658680840</v>
      </c>
      <c r="P2042" s="7">
        <v>0</v>
      </c>
      <c r="Q2042" s="7" t="str">
        <f t="shared" si="690"/>
        <v>都市整備部</v>
      </c>
      <c r="R2042" s="7" t="str">
        <f t="shared" si="687"/>
        <v>住宅建築局住宅経営室</v>
      </c>
    </row>
    <row r="2043" spans="1:18" s="1" customFormat="1" x14ac:dyDescent="0.45">
      <c r="A2043" s="7" t="str">
        <f t="shared" si="695"/>
        <v>09940003173</v>
      </c>
      <c r="B2043" s="7" t="str">
        <f t="shared" si="696"/>
        <v>寝屋川河北</v>
      </c>
      <c r="C2043" s="7" t="str">
        <f t="shared" si="688"/>
        <v>行政財産</v>
      </c>
      <c r="D2043" s="7" t="str">
        <f t="shared" si="689"/>
        <v>公営住宅</v>
      </c>
      <c r="E2043" s="7" t="str">
        <f t="shared" si="697"/>
        <v>大阪府寝屋川市河北西町</v>
      </c>
      <c r="F2043" s="7"/>
      <c r="G2043" s="7" t="str">
        <f t="shared" si="686"/>
        <v>事業用資産</v>
      </c>
      <c r="H2043" s="7" t="str">
        <f t="shared" si="675"/>
        <v>棚卸以外</v>
      </c>
      <c r="I2043" s="7">
        <v>6</v>
      </c>
      <c r="J2043" s="7" t="str">
        <f>"集会所"</f>
        <v>集会所</v>
      </c>
      <c r="K2043" s="7" t="str">
        <f t="shared" si="694"/>
        <v>鉄筋コンクリート造</v>
      </c>
      <c r="L2043" s="7" t="str">
        <f t="shared" si="698"/>
        <v>S56.03.26</v>
      </c>
      <c r="M2043" s="7">
        <v>100</v>
      </c>
      <c r="N2043" s="7">
        <v>15722000</v>
      </c>
      <c r="O2043" s="7">
        <v>14049504</v>
      </c>
      <c r="P2043" s="7">
        <v>0</v>
      </c>
      <c r="Q2043" s="7" t="str">
        <f t="shared" si="690"/>
        <v>都市整備部</v>
      </c>
      <c r="R2043" s="7" t="str">
        <f t="shared" si="687"/>
        <v>住宅建築局住宅経営室</v>
      </c>
    </row>
    <row r="2044" spans="1:18" s="1" customFormat="1" x14ac:dyDescent="0.45">
      <c r="A2044" s="7" t="str">
        <f t="shared" si="695"/>
        <v>09940003173</v>
      </c>
      <c r="B2044" s="7" t="str">
        <f t="shared" si="696"/>
        <v>寝屋川河北</v>
      </c>
      <c r="C2044" s="7" t="str">
        <f t="shared" si="688"/>
        <v>行政財産</v>
      </c>
      <c r="D2044" s="7" t="str">
        <f t="shared" si="689"/>
        <v>公営住宅</v>
      </c>
      <c r="E2044" s="7" t="str">
        <f t="shared" si="697"/>
        <v>大阪府寝屋川市河北西町</v>
      </c>
      <c r="F2044" s="7"/>
      <c r="G2044" s="7" t="str">
        <f t="shared" si="686"/>
        <v>事業用資産</v>
      </c>
      <c r="H2044" s="7" t="str">
        <f t="shared" si="675"/>
        <v>棚卸以外</v>
      </c>
      <c r="I2044" s="7">
        <v>7</v>
      </c>
      <c r="J2044" s="7" t="str">
        <f>"受水槽"</f>
        <v>受水槽</v>
      </c>
      <c r="K2044" s="7" t="str">
        <f t="shared" si="694"/>
        <v>鉄筋コンクリート造</v>
      </c>
      <c r="L2044" s="7" t="str">
        <f t="shared" si="698"/>
        <v>S56.03.26</v>
      </c>
      <c r="M2044" s="7">
        <v>97.6</v>
      </c>
      <c r="N2044" s="7">
        <v>55835000</v>
      </c>
      <c r="O2044" s="7">
        <v>49895496</v>
      </c>
      <c r="P2044" s="7">
        <v>0</v>
      </c>
      <c r="Q2044" s="7" t="str">
        <f t="shared" si="690"/>
        <v>都市整備部</v>
      </c>
      <c r="R2044" s="7" t="str">
        <f t="shared" si="687"/>
        <v>住宅建築局住宅経営室</v>
      </c>
    </row>
    <row r="2045" spans="1:18" s="1" customFormat="1" x14ac:dyDescent="0.45">
      <c r="A2045" s="7" t="str">
        <f t="shared" si="695"/>
        <v>09940003173</v>
      </c>
      <c r="B2045" s="7" t="str">
        <f t="shared" si="696"/>
        <v>寝屋川河北</v>
      </c>
      <c r="C2045" s="7" t="str">
        <f t="shared" si="688"/>
        <v>行政財産</v>
      </c>
      <c r="D2045" s="7" t="str">
        <f t="shared" si="689"/>
        <v>公営住宅</v>
      </c>
      <c r="E2045" s="7" t="str">
        <f t="shared" si="697"/>
        <v>大阪府寝屋川市河北西町</v>
      </c>
      <c r="F2045" s="7"/>
      <c r="G2045" s="7" t="str">
        <f t="shared" si="686"/>
        <v>事業用資産</v>
      </c>
      <c r="H2045" s="7" t="str">
        <f t="shared" si="675"/>
        <v>棚卸以外</v>
      </c>
      <c r="I2045" s="7">
        <v>8</v>
      </c>
      <c r="J2045" s="7" t="str">
        <f>"電気室"</f>
        <v>電気室</v>
      </c>
      <c r="K2045" s="7" t="str">
        <f t="shared" si="694"/>
        <v>鉄筋コンクリート造</v>
      </c>
      <c r="L2045" s="7" t="str">
        <f t="shared" si="698"/>
        <v>S56.03.26</v>
      </c>
      <c r="M2045" s="7">
        <v>94.02</v>
      </c>
      <c r="N2045" s="7">
        <v>9747000</v>
      </c>
      <c r="O2045" s="7">
        <v>8710128</v>
      </c>
      <c r="P2045" s="7">
        <v>0</v>
      </c>
      <c r="Q2045" s="7" t="str">
        <f t="shared" si="690"/>
        <v>都市整備部</v>
      </c>
      <c r="R2045" s="7" t="str">
        <f t="shared" si="687"/>
        <v>住宅建築局住宅経営室</v>
      </c>
    </row>
    <row r="2046" spans="1:18" s="1" customFormat="1" x14ac:dyDescent="0.45">
      <c r="A2046" s="7" t="str">
        <f t="shared" si="695"/>
        <v>09940003173</v>
      </c>
      <c r="B2046" s="7" t="str">
        <f t="shared" si="696"/>
        <v>寝屋川河北</v>
      </c>
      <c r="C2046" s="7" t="str">
        <f t="shared" si="688"/>
        <v>行政財産</v>
      </c>
      <c r="D2046" s="7" t="str">
        <f t="shared" si="689"/>
        <v>公営住宅</v>
      </c>
      <c r="E2046" s="7" t="str">
        <f t="shared" si="697"/>
        <v>大阪府寝屋川市河北西町</v>
      </c>
      <c r="F2046" s="7"/>
      <c r="G2046" s="7" t="str">
        <f t="shared" si="686"/>
        <v>事業用資産</v>
      </c>
      <c r="H2046" s="7" t="str">
        <f t="shared" si="675"/>
        <v>棚卸以外</v>
      </c>
      <c r="I2046" s="7">
        <v>9</v>
      </c>
      <c r="J2046" s="7" t="str">
        <f>"集会所"</f>
        <v>集会所</v>
      </c>
      <c r="K2046" s="7" t="str">
        <f t="shared" si="694"/>
        <v>鉄筋コンクリート造</v>
      </c>
      <c r="L2046" s="7" t="str">
        <f>"H06.03.09"</f>
        <v>H06.03.09</v>
      </c>
      <c r="M2046" s="7">
        <v>52.51</v>
      </c>
      <c r="N2046" s="7">
        <v>22145000</v>
      </c>
      <c r="O2046" s="7">
        <v>13664220</v>
      </c>
      <c r="P2046" s="7">
        <v>0</v>
      </c>
      <c r="Q2046" s="7" t="str">
        <f t="shared" si="690"/>
        <v>都市整備部</v>
      </c>
      <c r="R2046" s="7" t="str">
        <f t="shared" si="687"/>
        <v>住宅建築局住宅経営室</v>
      </c>
    </row>
    <row r="2047" spans="1:18" s="1" customFormat="1" x14ac:dyDescent="0.45">
      <c r="A2047" s="7" t="str">
        <f t="shared" ref="A2047:A2057" si="699">"09940003174"</f>
        <v>09940003174</v>
      </c>
      <c r="B2047" s="7" t="str">
        <f t="shared" ref="B2047:B2057" si="700">"柏原芝山"</f>
        <v>柏原芝山</v>
      </c>
      <c r="C2047" s="7" t="str">
        <f t="shared" si="688"/>
        <v>行政財産</v>
      </c>
      <c r="D2047" s="7" t="str">
        <f t="shared" si="689"/>
        <v>公営住宅</v>
      </c>
      <c r="E2047" s="7" t="str">
        <f t="shared" ref="E2047:E2057" si="701">"大阪府柏原市国分　市場１丁目"</f>
        <v>大阪府柏原市国分　市場１丁目</v>
      </c>
      <c r="F2047" s="7"/>
      <c r="G2047" s="7" t="str">
        <f t="shared" si="686"/>
        <v>事業用資産</v>
      </c>
      <c r="H2047" s="7" t="str">
        <f t="shared" si="675"/>
        <v>棚卸以外</v>
      </c>
      <c r="I2047" s="7">
        <v>1</v>
      </c>
      <c r="J2047" s="7" t="str">
        <f>"受水槽"</f>
        <v>受水槽</v>
      </c>
      <c r="K2047" s="7" t="str">
        <f t="shared" si="694"/>
        <v>鉄筋コンクリート造</v>
      </c>
      <c r="L2047" s="7" t="str">
        <f t="shared" ref="L2047:L2057" si="702">"S58.08.23"</f>
        <v>S58.08.23</v>
      </c>
      <c r="M2047" s="7">
        <v>91.6</v>
      </c>
      <c r="N2047" s="7">
        <v>21832000</v>
      </c>
      <c r="O2047" s="7">
        <v>18387250</v>
      </c>
      <c r="P2047" s="7">
        <v>0</v>
      </c>
      <c r="Q2047" s="7" t="str">
        <f t="shared" si="690"/>
        <v>都市整備部</v>
      </c>
      <c r="R2047" s="7" t="str">
        <f t="shared" si="687"/>
        <v>住宅建築局住宅経営室</v>
      </c>
    </row>
    <row r="2048" spans="1:18" s="1" customFormat="1" x14ac:dyDescent="0.45">
      <c r="A2048" s="7" t="str">
        <f t="shared" si="699"/>
        <v>09940003174</v>
      </c>
      <c r="B2048" s="7" t="str">
        <f t="shared" si="700"/>
        <v>柏原芝山</v>
      </c>
      <c r="C2048" s="7" t="str">
        <f t="shared" si="688"/>
        <v>行政財産</v>
      </c>
      <c r="D2048" s="7" t="str">
        <f t="shared" si="689"/>
        <v>公営住宅</v>
      </c>
      <c r="E2048" s="7" t="str">
        <f t="shared" si="701"/>
        <v>大阪府柏原市国分　市場１丁目</v>
      </c>
      <c r="F2048" s="7"/>
      <c r="G2048" s="7" t="str">
        <f t="shared" si="686"/>
        <v>事業用資産</v>
      </c>
      <c r="H2048" s="7" t="str">
        <f t="shared" si="675"/>
        <v>棚卸以外</v>
      </c>
      <c r="I2048" s="7">
        <v>2</v>
      </c>
      <c r="J2048" s="7" t="str">
        <f>"１号棟"</f>
        <v>１号棟</v>
      </c>
      <c r="K2048" s="7" t="str">
        <f t="shared" si="694"/>
        <v>鉄筋コンクリート造</v>
      </c>
      <c r="L2048" s="7" t="str">
        <f t="shared" si="702"/>
        <v>S58.08.23</v>
      </c>
      <c r="M2048" s="7">
        <v>2082.65</v>
      </c>
      <c r="N2048" s="7">
        <v>226210000</v>
      </c>
      <c r="O2048" s="7">
        <v>190513950</v>
      </c>
      <c r="P2048" s="7">
        <v>0</v>
      </c>
      <c r="Q2048" s="7" t="str">
        <f t="shared" si="690"/>
        <v>都市整備部</v>
      </c>
      <c r="R2048" s="7" t="str">
        <f t="shared" si="687"/>
        <v>住宅建築局住宅経営室</v>
      </c>
    </row>
    <row r="2049" spans="1:18" s="1" customFormat="1" x14ac:dyDescent="0.45">
      <c r="A2049" s="7" t="str">
        <f t="shared" si="699"/>
        <v>09940003174</v>
      </c>
      <c r="B2049" s="7" t="str">
        <f t="shared" si="700"/>
        <v>柏原芝山</v>
      </c>
      <c r="C2049" s="7" t="str">
        <f t="shared" si="688"/>
        <v>行政財産</v>
      </c>
      <c r="D2049" s="7" t="str">
        <f t="shared" si="689"/>
        <v>公営住宅</v>
      </c>
      <c r="E2049" s="7" t="str">
        <f t="shared" si="701"/>
        <v>大阪府柏原市国分　市場１丁目</v>
      </c>
      <c r="F2049" s="7"/>
      <c r="G2049" s="7" t="str">
        <f t="shared" si="686"/>
        <v>事業用資産</v>
      </c>
      <c r="H2049" s="7" t="str">
        <f t="shared" si="675"/>
        <v>棚卸以外</v>
      </c>
      <c r="I2049" s="7">
        <v>3</v>
      </c>
      <c r="J2049" s="7" t="str">
        <f>"２号棟"</f>
        <v>２号棟</v>
      </c>
      <c r="K2049" s="7" t="str">
        <f t="shared" si="694"/>
        <v>鉄筋コンクリート造</v>
      </c>
      <c r="L2049" s="7" t="str">
        <f t="shared" si="702"/>
        <v>S58.08.23</v>
      </c>
      <c r="M2049" s="7">
        <v>2104.73</v>
      </c>
      <c r="N2049" s="7">
        <v>270234150</v>
      </c>
      <c r="O2049" s="7">
        <v>206243612</v>
      </c>
      <c r="P2049" s="7">
        <v>0</v>
      </c>
      <c r="Q2049" s="7" t="str">
        <f t="shared" si="690"/>
        <v>都市整備部</v>
      </c>
      <c r="R2049" s="7" t="str">
        <f t="shared" si="687"/>
        <v>住宅建築局住宅経営室</v>
      </c>
    </row>
    <row r="2050" spans="1:18" s="1" customFormat="1" x14ac:dyDescent="0.45">
      <c r="A2050" s="7" t="str">
        <f t="shared" si="699"/>
        <v>09940003174</v>
      </c>
      <c r="B2050" s="7" t="str">
        <f t="shared" si="700"/>
        <v>柏原芝山</v>
      </c>
      <c r="C2050" s="7" t="str">
        <f t="shared" si="688"/>
        <v>行政財産</v>
      </c>
      <c r="D2050" s="7" t="str">
        <f t="shared" si="689"/>
        <v>公営住宅</v>
      </c>
      <c r="E2050" s="7" t="str">
        <f t="shared" si="701"/>
        <v>大阪府柏原市国分　市場１丁目</v>
      </c>
      <c r="F2050" s="7"/>
      <c r="G2050" s="7" t="str">
        <f t="shared" si="686"/>
        <v>事業用資産</v>
      </c>
      <c r="H2050" s="7" t="str">
        <f t="shared" si="675"/>
        <v>棚卸以外</v>
      </c>
      <c r="I2050" s="7">
        <v>4</v>
      </c>
      <c r="J2050" s="7" t="str">
        <f>"３号棟"</f>
        <v>３号棟</v>
      </c>
      <c r="K2050" s="7" t="str">
        <f t="shared" si="694"/>
        <v>鉄筋コンクリート造</v>
      </c>
      <c r="L2050" s="7" t="str">
        <f t="shared" si="702"/>
        <v>S58.08.23</v>
      </c>
      <c r="M2050" s="7">
        <v>1411.4</v>
      </c>
      <c r="N2050" s="7">
        <v>154835000</v>
      </c>
      <c r="O2050" s="7">
        <v>130402225</v>
      </c>
      <c r="P2050" s="7">
        <v>0</v>
      </c>
      <c r="Q2050" s="7" t="str">
        <f t="shared" si="690"/>
        <v>都市整備部</v>
      </c>
      <c r="R2050" s="7" t="str">
        <f t="shared" si="687"/>
        <v>住宅建築局住宅経営室</v>
      </c>
    </row>
    <row r="2051" spans="1:18" s="1" customFormat="1" x14ac:dyDescent="0.45">
      <c r="A2051" s="7" t="str">
        <f t="shared" si="699"/>
        <v>09940003174</v>
      </c>
      <c r="B2051" s="7" t="str">
        <f t="shared" si="700"/>
        <v>柏原芝山</v>
      </c>
      <c r="C2051" s="7" t="str">
        <f t="shared" si="688"/>
        <v>行政財産</v>
      </c>
      <c r="D2051" s="7" t="str">
        <f t="shared" si="689"/>
        <v>公営住宅</v>
      </c>
      <c r="E2051" s="7" t="str">
        <f t="shared" si="701"/>
        <v>大阪府柏原市国分　市場１丁目</v>
      </c>
      <c r="F2051" s="7"/>
      <c r="G2051" s="7" t="str">
        <f t="shared" si="686"/>
        <v>事業用資産</v>
      </c>
      <c r="H2051" s="7" t="str">
        <f t="shared" si="675"/>
        <v>棚卸以外</v>
      </c>
      <c r="I2051" s="7">
        <v>5</v>
      </c>
      <c r="J2051" s="7" t="str">
        <f>"４号棟"</f>
        <v>４号棟</v>
      </c>
      <c r="K2051" s="7" t="str">
        <f t="shared" ref="K2051:K2082" si="703">"鉄筋コンクリート造"</f>
        <v>鉄筋コンクリート造</v>
      </c>
      <c r="L2051" s="7" t="str">
        <f t="shared" si="702"/>
        <v>S58.08.23</v>
      </c>
      <c r="M2051" s="7">
        <v>1480.31</v>
      </c>
      <c r="N2051" s="7">
        <v>143579000</v>
      </c>
      <c r="O2051" s="7">
        <v>120922175</v>
      </c>
      <c r="P2051" s="7">
        <v>0</v>
      </c>
      <c r="Q2051" s="7" t="str">
        <f t="shared" si="690"/>
        <v>都市整備部</v>
      </c>
      <c r="R2051" s="7" t="str">
        <f t="shared" si="687"/>
        <v>住宅建築局住宅経営室</v>
      </c>
    </row>
    <row r="2052" spans="1:18" s="1" customFormat="1" x14ac:dyDescent="0.45">
      <c r="A2052" s="7" t="str">
        <f t="shared" si="699"/>
        <v>09940003174</v>
      </c>
      <c r="B2052" s="7" t="str">
        <f t="shared" si="700"/>
        <v>柏原芝山</v>
      </c>
      <c r="C2052" s="7" t="str">
        <f t="shared" si="688"/>
        <v>行政財産</v>
      </c>
      <c r="D2052" s="7" t="str">
        <f t="shared" si="689"/>
        <v>公営住宅</v>
      </c>
      <c r="E2052" s="7" t="str">
        <f t="shared" si="701"/>
        <v>大阪府柏原市国分　市場１丁目</v>
      </c>
      <c r="F2052" s="7"/>
      <c r="G2052" s="7" t="str">
        <f t="shared" si="686"/>
        <v>事業用資産</v>
      </c>
      <c r="H2052" s="7" t="str">
        <f t="shared" ref="H2052:H2115" si="704">"棚卸以外"</f>
        <v>棚卸以外</v>
      </c>
      <c r="I2052" s="7">
        <v>6</v>
      </c>
      <c r="J2052" s="7" t="str">
        <f>"５号棟"</f>
        <v>５号棟</v>
      </c>
      <c r="K2052" s="7" t="str">
        <f t="shared" si="703"/>
        <v>鉄筋コンクリート造</v>
      </c>
      <c r="L2052" s="7" t="str">
        <f t="shared" si="702"/>
        <v>S58.08.23</v>
      </c>
      <c r="M2052" s="7">
        <v>2909.99</v>
      </c>
      <c r="N2052" s="7">
        <v>326661000</v>
      </c>
      <c r="O2052" s="7">
        <v>275113825</v>
      </c>
      <c r="P2052" s="7">
        <v>0</v>
      </c>
      <c r="Q2052" s="7" t="str">
        <f t="shared" si="690"/>
        <v>都市整備部</v>
      </c>
      <c r="R2052" s="7" t="str">
        <f t="shared" si="687"/>
        <v>住宅建築局住宅経営室</v>
      </c>
    </row>
    <row r="2053" spans="1:18" s="1" customFormat="1" x14ac:dyDescent="0.45">
      <c r="A2053" s="7" t="str">
        <f t="shared" si="699"/>
        <v>09940003174</v>
      </c>
      <c r="B2053" s="7" t="str">
        <f t="shared" si="700"/>
        <v>柏原芝山</v>
      </c>
      <c r="C2053" s="7" t="str">
        <f t="shared" si="688"/>
        <v>行政財産</v>
      </c>
      <c r="D2053" s="7" t="str">
        <f t="shared" si="689"/>
        <v>公営住宅</v>
      </c>
      <c r="E2053" s="7" t="str">
        <f t="shared" si="701"/>
        <v>大阪府柏原市国分　市場１丁目</v>
      </c>
      <c r="F2053" s="7"/>
      <c r="G2053" s="7" t="str">
        <f t="shared" si="686"/>
        <v>事業用資産</v>
      </c>
      <c r="H2053" s="7" t="str">
        <f t="shared" si="704"/>
        <v>棚卸以外</v>
      </c>
      <c r="I2053" s="7">
        <v>7</v>
      </c>
      <c r="J2053" s="7" t="str">
        <f>"７号棟"</f>
        <v>７号棟</v>
      </c>
      <c r="K2053" s="7" t="str">
        <f t="shared" si="703"/>
        <v>鉄筋コンクリート造</v>
      </c>
      <c r="L2053" s="7" t="str">
        <f t="shared" si="702"/>
        <v>S58.08.23</v>
      </c>
      <c r="M2053" s="7">
        <v>2161.44</v>
      </c>
      <c r="N2053" s="7">
        <v>265987150</v>
      </c>
      <c r="O2053" s="7">
        <v>202666862</v>
      </c>
      <c r="P2053" s="7">
        <v>0</v>
      </c>
      <c r="Q2053" s="7" t="str">
        <f t="shared" si="690"/>
        <v>都市整備部</v>
      </c>
      <c r="R2053" s="7" t="str">
        <f t="shared" si="687"/>
        <v>住宅建築局住宅経営室</v>
      </c>
    </row>
    <row r="2054" spans="1:18" s="1" customFormat="1" x14ac:dyDescent="0.45">
      <c r="A2054" s="7" t="str">
        <f t="shared" si="699"/>
        <v>09940003174</v>
      </c>
      <c r="B2054" s="7" t="str">
        <f t="shared" si="700"/>
        <v>柏原芝山</v>
      </c>
      <c r="C2054" s="7" t="str">
        <f t="shared" si="688"/>
        <v>行政財産</v>
      </c>
      <c r="D2054" s="7" t="str">
        <f t="shared" si="689"/>
        <v>公営住宅</v>
      </c>
      <c r="E2054" s="7" t="str">
        <f t="shared" si="701"/>
        <v>大阪府柏原市国分　市場１丁目</v>
      </c>
      <c r="F2054" s="7"/>
      <c r="G2054" s="7" t="str">
        <f t="shared" si="686"/>
        <v>事業用資産</v>
      </c>
      <c r="H2054" s="7" t="str">
        <f t="shared" si="704"/>
        <v>棚卸以外</v>
      </c>
      <c r="I2054" s="7">
        <v>8</v>
      </c>
      <c r="J2054" s="7" t="str">
        <f>"８号棟"</f>
        <v>８号棟</v>
      </c>
      <c r="K2054" s="7" t="str">
        <f t="shared" si="703"/>
        <v>鉄筋コンクリート造</v>
      </c>
      <c r="L2054" s="7" t="str">
        <f t="shared" si="702"/>
        <v>S58.08.23</v>
      </c>
      <c r="M2054" s="7">
        <v>2161.44</v>
      </c>
      <c r="N2054" s="7">
        <v>266945149</v>
      </c>
      <c r="O2054" s="7">
        <v>203473887</v>
      </c>
      <c r="P2054" s="7">
        <v>0</v>
      </c>
      <c r="Q2054" s="7" t="str">
        <f t="shared" si="690"/>
        <v>都市整備部</v>
      </c>
      <c r="R2054" s="7" t="str">
        <f t="shared" si="687"/>
        <v>住宅建築局住宅経営室</v>
      </c>
    </row>
    <row r="2055" spans="1:18" s="1" customFormat="1" x14ac:dyDescent="0.45">
      <c r="A2055" s="7" t="str">
        <f t="shared" si="699"/>
        <v>09940003174</v>
      </c>
      <c r="B2055" s="7" t="str">
        <f t="shared" si="700"/>
        <v>柏原芝山</v>
      </c>
      <c r="C2055" s="7" t="str">
        <f t="shared" si="688"/>
        <v>行政財産</v>
      </c>
      <c r="D2055" s="7" t="str">
        <f t="shared" si="689"/>
        <v>公営住宅</v>
      </c>
      <c r="E2055" s="7" t="str">
        <f t="shared" si="701"/>
        <v>大阪府柏原市国分　市場１丁目</v>
      </c>
      <c r="F2055" s="7"/>
      <c r="G2055" s="7" t="str">
        <f t="shared" si="686"/>
        <v>事業用資産</v>
      </c>
      <c r="H2055" s="7" t="str">
        <f t="shared" si="704"/>
        <v>棚卸以外</v>
      </c>
      <c r="I2055" s="7">
        <v>9</v>
      </c>
      <c r="J2055" s="7" t="str">
        <f>"集会所"</f>
        <v>集会所</v>
      </c>
      <c r="K2055" s="7" t="str">
        <f t="shared" si="703"/>
        <v>鉄筋コンクリート造</v>
      </c>
      <c r="L2055" s="7" t="str">
        <f t="shared" si="702"/>
        <v>S58.08.23</v>
      </c>
      <c r="M2055" s="7">
        <v>99.75</v>
      </c>
      <c r="N2055" s="7">
        <v>16228000</v>
      </c>
      <c r="O2055" s="7">
        <v>13667650</v>
      </c>
      <c r="P2055" s="7">
        <v>0</v>
      </c>
      <c r="Q2055" s="7" t="str">
        <f t="shared" si="690"/>
        <v>都市整備部</v>
      </c>
      <c r="R2055" s="7" t="str">
        <f t="shared" si="687"/>
        <v>住宅建築局住宅経営室</v>
      </c>
    </row>
    <row r="2056" spans="1:18" s="1" customFormat="1" x14ac:dyDescent="0.45">
      <c r="A2056" s="7" t="str">
        <f t="shared" si="699"/>
        <v>09940003174</v>
      </c>
      <c r="B2056" s="7" t="str">
        <f t="shared" si="700"/>
        <v>柏原芝山</v>
      </c>
      <c r="C2056" s="7" t="str">
        <f t="shared" si="688"/>
        <v>行政財産</v>
      </c>
      <c r="D2056" s="7" t="str">
        <f t="shared" si="689"/>
        <v>公営住宅</v>
      </c>
      <c r="E2056" s="7" t="str">
        <f t="shared" si="701"/>
        <v>大阪府柏原市国分　市場１丁目</v>
      </c>
      <c r="F2056" s="7"/>
      <c r="G2056" s="7" t="str">
        <f t="shared" si="686"/>
        <v>事業用資産</v>
      </c>
      <c r="H2056" s="7" t="str">
        <f t="shared" si="704"/>
        <v>棚卸以外</v>
      </c>
      <c r="I2056" s="7">
        <v>10</v>
      </c>
      <c r="J2056" s="7" t="str">
        <f>"処理場"</f>
        <v>処理場</v>
      </c>
      <c r="K2056" s="7" t="str">
        <f t="shared" si="703"/>
        <v>鉄筋コンクリート造</v>
      </c>
      <c r="L2056" s="7" t="str">
        <f t="shared" si="702"/>
        <v>S58.08.23</v>
      </c>
      <c r="M2056" s="7">
        <v>224.06</v>
      </c>
      <c r="N2056" s="7">
        <v>115266000</v>
      </c>
      <c r="O2056" s="7">
        <v>97077175</v>
      </c>
      <c r="P2056" s="7">
        <v>0</v>
      </c>
      <c r="Q2056" s="7" t="str">
        <f t="shared" si="690"/>
        <v>都市整備部</v>
      </c>
      <c r="R2056" s="7" t="str">
        <f t="shared" si="687"/>
        <v>住宅建築局住宅経営室</v>
      </c>
    </row>
    <row r="2057" spans="1:18" s="1" customFormat="1" x14ac:dyDescent="0.45">
      <c r="A2057" s="7" t="str">
        <f t="shared" si="699"/>
        <v>09940003174</v>
      </c>
      <c r="B2057" s="7" t="str">
        <f t="shared" si="700"/>
        <v>柏原芝山</v>
      </c>
      <c r="C2057" s="7" t="str">
        <f t="shared" si="688"/>
        <v>行政財産</v>
      </c>
      <c r="D2057" s="7" t="str">
        <f t="shared" si="689"/>
        <v>公営住宅</v>
      </c>
      <c r="E2057" s="7" t="str">
        <f t="shared" si="701"/>
        <v>大阪府柏原市国分　市場１丁目</v>
      </c>
      <c r="F2057" s="7"/>
      <c r="G2057" s="7" t="str">
        <f t="shared" si="686"/>
        <v>事業用資産</v>
      </c>
      <c r="H2057" s="7" t="str">
        <f t="shared" si="704"/>
        <v>棚卸以外</v>
      </c>
      <c r="I2057" s="7">
        <v>11</v>
      </c>
      <c r="J2057" s="7" t="str">
        <f>"６号棟"</f>
        <v>６号棟</v>
      </c>
      <c r="K2057" s="7" t="str">
        <f t="shared" si="703"/>
        <v>鉄筋コンクリート造</v>
      </c>
      <c r="L2057" s="7" t="str">
        <f t="shared" si="702"/>
        <v>S58.08.23</v>
      </c>
      <c r="M2057" s="7">
        <v>1426.24</v>
      </c>
      <c r="N2057" s="7">
        <v>147746000</v>
      </c>
      <c r="O2057" s="7">
        <v>124431475</v>
      </c>
      <c r="P2057" s="7">
        <v>0</v>
      </c>
      <c r="Q2057" s="7" t="str">
        <f t="shared" si="690"/>
        <v>都市整備部</v>
      </c>
      <c r="R2057" s="7" t="str">
        <f t="shared" si="687"/>
        <v>住宅建築局住宅経営室</v>
      </c>
    </row>
    <row r="2058" spans="1:18" s="1" customFormat="1" x14ac:dyDescent="0.45">
      <c r="A2058" s="7" t="str">
        <f>"09940003175"</f>
        <v>09940003175</v>
      </c>
      <c r="B2058" s="7" t="str">
        <f>"柏原旭ケ丘"</f>
        <v>柏原旭ケ丘</v>
      </c>
      <c r="C2058" s="7" t="str">
        <f t="shared" si="688"/>
        <v>行政財産</v>
      </c>
      <c r="D2058" s="7" t="str">
        <f t="shared" si="689"/>
        <v>公営住宅</v>
      </c>
      <c r="E2058" s="7" t="str">
        <f>"大阪府柏原市旭ケ丘３丁目"</f>
        <v>大阪府柏原市旭ケ丘３丁目</v>
      </c>
      <c r="F2058" s="7"/>
      <c r="G2058" s="7" t="str">
        <f t="shared" si="686"/>
        <v>事業用資産</v>
      </c>
      <c r="H2058" s="7" t="str">
        <f t="shared" si="704"/>
        <v>棚卸以外</v>
      </c>
      <c r="I2058" s="7">
        <v>1</v>
      </c>
      <c r="J2058" s="7" t="str">
        <f>"１号棟"</f>
        <v>１号棟</v>
      </c>
      <c r="K2058" s="7" t="str">
        <f t="shared" si="703"/>
        <v>鉄筋コンクリート造</v>
      </c>
      <c r="L2058" s="7" t="str">
        <f>"S51.05.06"</f>
        <v>S51.05.06</v>
      </c>
      <c r="M2058" s="7">
        <v>1167.8</v>
      </c>
      <c r="N2058" s="7">
        <v>91056000</v>
      </c>
      <c r="O2058" s="7">
        <v>90733214</v>
      </c>
      <c r="P2058" s="7">
        <v>0</v>
      </c>
      <c r="Q2058" s="7" t="str">
        <f t="shared" si="690"/>
        <v>都市整備部</v>
      </c>
      <c r="R2058" s="7" t="str">
        <f t="shared" si="687"/>
        <v>住宅建築局住宅経営室</v>
      </c>
    </row>
    <row r="2059" spans="1:18" s="1" customFormat="1" x14ac:dyDescent="0.45">
      <c r="A2059" s="7" t="str">
        <f>"09940003175"</f>
        <v>09940003175</v>
      </c>
      <c r="B2059" s="7" t="str">
        <f>"柏原旭ケ丘"</f>
        <v>柏原旭ケ丘</v>
      </c>
      <c r="C2059" s="7" t="str">
        <f t="shared" si="688"/>
        <v>行政財産</v>
      </c>
      <c r="D2059" s="7" t="str">
        <f t="shared" si="689"/>
        <v>公営住宅</v>
      </c>
      <c r="E2059" s="7" t="str">
        <f>"大阪府柏原市旭ケ丘３丁目"</f>
        <v>大阪府柏原市旭ケ丘３丁目</v>
      </c>
      <c r="F2059" s="7"/>
      <c r="G2059" s="7" t="str">
        <f t="shared" si="686"/>
        <v>事業用資産</v>
      </c>
      <c r="H2059" s="7" t="str">
        <f t="shared" si="704"/>
        <v>棚卸以外</v>
      </c>
      <c r="I2059" s="7">
        <v>2</v>
      </c>
      <c r="J2059" s="7" t="str">
        <f>"２号棟"</f>
        <v>２号棟</v>
      </c>
      <c r="K2059" s="7" t="str">
        <f t="shared" si="703"/>
        <v>鉄筋コンクリート造</v>
      </c>
      <c r="L2059" s="7" t="str">
        <f>"S51.05.06"</f>
        <v>S51.05.06</v>
      </c>
      <c r="M2059" s="7">
        <v>1751.7</v>
      </c>
      <c r="N2059" s="7">
        <v>136584000</v>
      </c>
      <c r="O2059" s="7">
        <v>136100102</v>
      </c>
      <c r="P2059" s="7">
        <v>0</v>
      </c>
      <c r="Q2059" s="7" t="str">
        <f t="shared" si="690"/>
        <v>都市整備部</v>
      </c>
      <c r="R2059" s="7" t="str">
        <f t="shared" si="687"/>
        <v>住宅建築局住宅経営室</v>
      </c>
    </row>
    <row r="2060" spans="1:18" s="1" customFormat="1" x14ac:dyDescent="0.45">
      <c r="A2060" s="7" t="str">
        <f>"09940003175"</f>
        <v>09940003175</v>
      </c>
      <c r="B2060" s="7" t="str">
        <f>"柏原旭ケ丘"</f>
        <v>柏原旭ケ丘</v>
      </c>
      <c r="C2060" s="7" t="str">
        <f t="shared" si="688"/>
        <v>行政財産</v>
      </c>
      <c r="D2060" s="7" t="str">
        <f t="shared" si="689"/>
        <v>公営住宅</v>
      </c>
      <c r="E2060" s="7" t="str">
        <f>"大阪府柏原市旭ケ丘３丁目"</f>
        <v>大阪府柏原市旭ケ丘３丁目</v>
      </c>
      <c r="F2060" s="7"/>
      <c r="G2060" s="7" t="str">
        <f t="shared" si="686"/>
        <v>事業用資産</v>
      </c>
      <c r="H2060" s="7" t="str">
        <f t="shared" si="704"/>
        <v>棚卸以外</v>
      </c>
      <c r="I2060" s="7">
        <v>3</v>
      </c>
      <c r="J2060" s="7" t="str">
        <f>"集会所"</f>
        <v>集会所</v>
      </c>
      <c r="K2060" s="7" t="str">
        <f t="shared" si="703"/>
        <v>鉄筋コンクリート造</v>
      </c>
      <c r="L2060" s="7" t="str">
        <f>"S51.05.06"</f>
        <v>S51.05.06</v>
      </c>
      <c r="M2060" s="7">
        <v>61.21</v>
      </c>
      <c r="N2060" s="7">
        <v>18279780</v>
      </c>
      <c r="O2060" s="7">
        <v>10095436</v>
      </c>
      <c r="P2060" s="7">
        <v>0</v>
      </c>
      <c r="Q2060" s="7" t="str">
        <f t="shared" si="690"/>
        <v>都市整備部</v>
      </c>
      <c r="R2060" s="7" t="str">
        <f t="shared" si="687"/>
        <v>住宅建築局住宅経営室</v>
      </c>
    </row>
    <row r="2061" spans="1:18" s="1" customFormat="1" x14ac:dyDescent="0.45">
      <c r="A2061" s="7" t="str">
        <f>"09940003175"</f>
        <v>09940003175</v>
      </c>
      <c r="B2061" s="7" t="str">
        <f>"柏原旭ケ丘"</f>
        <v>柏原旭ケ丘</v>
      </c>
      <c r="C2061" s="7" t="str">
        <f t="shared" si="688"/>
        <v>行政財産</v>
      </c>
      <c r="D2061" s="7" t="str">
        <f t="shared" si="689"/>
        <v>公営住宅</v>
      </c>
      <c r="E2061" s="7" t="str">
        <f>"大阪府柏原市旭ケ丘３丁目"</f>
        <v>大阪府柏原市旭ケ丘３丁目</v>
      </c>
      <c r="F2061" s="7"/>
      <c r="G2061" s="7" t="str">
        <f t="shared" si="686"/>
        <v>事業用資産</v>
      </c>
      <c r="H2061" s="7" t="str">
        <f t="shared" si="704"/>
        <v>棚卸以外</v>
      </c>
      <c r="I2061" s="7">
        <v>4</v>
      </c>
      <c r="J2061" s="7" t="str">
        <f>"ポンプ室"</f>
        <v>ポンプ室</v>
      </c>
      <c r="K2061" s="7" t="str">
        <f t="shared" si="703"/>
        <v>鉄筋コンクリート造</v>
      </c>
      <c r="L2061" s="7" t="str">
        <f>"S51.05.06"</f>
        <v>S51.05.06</v>
      </c>
      <c r="M2061" s="7">
        <v>22.95</v>
      </c>
      <c r="N2061" s="7">
        <v>1969000</v>
      </c>
      <c r="O2061" s="7">
        <v>1962504</v>
      </c>
      <c r="P2061" s="7">
        <v>0</v>
      </c>
      <c r="Q2061" s="7" t="str">
        <f t="shared" si="690"/>
        <v>都市整備部</v>
      </c>
      <c r="R2061" s="7" t="str">
        <f t="shared" si="687"/>
        <v>住宅建築局住宅経営室</v>
      </c>
    </row>
    <row r="2062" spans="1:18" s="1" customFormat="1" x14ac:dyDescent="0.45">
      <c r="A2062" s="7" t="str">
        <f>"09940003175"</f>
        <v>09940003175</v>
      </c>
      <c r="B2062" s="7" t="str">
        <f>"柏原旭ケ丘"</f>
        <v>柏原旭ケ丘</v>
      </c>
      <c r="C2062" s="7" t="str">
        <f t="shared" si="688"/>
        <v>行政財産</v>
      </c>
      <c r="D2062" s="7" t="str">
        <f t="shared" si="689"/>
        <v>公営住宅</v>
      </c>
      <c r="E2062" s="7" t="str">
        <f>"大阪府柏原市旭ケ丘３丁目"</f>
        <v>大阪府柏原市旭ケ丘３丁目</v>
      </c>
      <c r="F2062" s="7"/>
      <c r="G2062" s="7" t="str">
        <f t="shared" si="686"/>
        <v>事業用資産</v>
      </c>
      <c r="H2062" s="7" t="str">
        <f t="shared" si="704"/>
        <v>棚卸以外</v>
      </c>
      <c r="I2062" s="7">
        <v>5</v>
      </c>
      <c r="J2062" s="7" t="str">
        <f>"浄化槽"</f>
        <v>浄化槽</v>
      </c>
      <c r="K2062" s="7" t="str">
        <f t="shared" si="703"/>
        <v>鉄筋コンクリート造</v>
      </c>
      <c r="L2062" s="7" t="str">
        <f>"S51.05.06"</f>
        <v>S51.05.06</v>
      </c>
      <c r="M2062" s="7">
        <v>19.32</v>
      </c>
      <c r="N2062" s="7">
        <v>32570000</v>
      </c>
      <c r="O2062" s="7">
        <v>32454938</v>
      </c>
      <c r="P2062" s="7">
        <v>0</v>
      </c>
      <c r="Q2062" s="7" t="str">
        <f t="shared" si="690"/>
        <v>都市整備部</v>
      </c>
      <c r="R2062" s="7" t="str">
        <f t="shared" si="687"/>
        <v>住宅建築局住宅経営室</v>
      </c>
    </row>
    <row r="2063" spans="1:18" s="1" customFormat="1" x14ac:dyDescent="0.45">
      <c r="A2063" s="7" t="str">
        <f t="shared" ref="A2063:A2071" si="705">"09940003176"</f>
        <v>09940003176</v>
      </c>
      <c r="B2063" s="7" t="str">
        <f t="shared" ref="B2063:B2071" si="706">"寝屋川寝屋"</f>
        <v>寝屋川寝屋</v>
      </c>
      <c r="C2063" s="7" t="str">
        <f t="shared" si="688"/>
        <v>行政財産</v>
      </c>
      <c r="D2063" s="7" t="str">
        <f t="shared" si="689"/>
        <v>公営住宅</v>
      </c>
      <c r="E2063" s="7" t="str">
        <f t="shared" ref="E2063:E2071" si="707">"大阪府寝屋川市寝屋新町"</f>
        <v>大阪府寝屋川市寝屋新町</v>
      </c>
      <c r="F2063" s="7"/>
      <c r="G2063" s="7" t="str">
        <f t="shared" si="686"/>
        <v>事業用資産</v>
      </c>
      <c r="H2063" s="7" t="str">
        <f t="shared" si="704"/>
        <v>棚卸以外</v>
      </c>
      <c r="I2063" s="7">
        <v>1</v>
      </c>
      <c r="J2063" s="7" t="str">
        <f>"５号棟"</f>
        <v>５号棟</v>
      </c>
      <c r="K2063" s="7" t="str">
        <f t="shared" si="703"/>
        <v>鉄筋コンクリート造</v>
      </c>
      <c r="L2063" s="7" t="str">
        <f t="shared" ref="L2063:L2071" si="708">"S55.03.27"</f>
        <v>S55.03.27</v>
      </c>
      <c r="M2063" s="7">
        <v>1939.73</v>
      </c>
      <c r="N2063" s="7">
        <v>133933000</v>
      </c>
      <c r="O2063" s="7">
        <v>122534520</v>
      </c>
      <c r="P2063" s="7">
        <v>0</v>
      </c>
      <c r="Q2063" s="7" t="str">
        <f t="shared" si="690"/>
        <v>都市整備部</v>
      </c>
      <c r="R2063" s="7" t="str">
        <f t="shared" si="687"/>
        <v>住宅建築局住宅経営室</v>
      </c>
    </row>
    <row r="2064" spans="1:18" s="1" customFormat="1" x14ac:dyDescent="0.45">
      <c r="A2064" s="7" t="str">
        <f t="shared" si="705"/>
        <v>09940003176</v>
      </c>
      <c r="B2064" s="7" t="str">
        <f t="shared" si="706"/>
        <v>寝屋川寝屋</v>
      </c>
      <c r="C2064" s="7" t="str">
        <f t="shared" si="688"/>
        <v>行政財産</v>
      </c>
      <c r="D2064" s="7" t="str">
        <f t="shared" si="689"/>
        <v>公営住宅</v>
      </c>
      <c r="E2064" s="7" t="str">
        <f t="shared" si="707"/>
        <v>大阪府寝屋川市寝屋新町</v>
      </c>
      <c r="F2064" s="7"/>
      <c r="G2064" s="7" t="str">
        <f t="shared" si="686"/>
        <v>事業用資産</v>
      </c>
      <c r="H2064" s="7" t="str">
        <f t="shared" si="704"/>
        <v>棚卸以外</v>
      </c>
      <c r="I2064" s="7">
        <v>2</v>
      </c>
      <c r="J2064" s="7" t="str">
        <f>"２号棟"</f>
        <v>２号棟</v>
      </c>
      <c r="K2064" s="7" t="str">
        <f t="shared" si="703"/>
        <v>鉄筋コンクリート造</v>
      </c>
      <c r="L2064" s="7" t="str">
        <f t="shared" si="708"/>
        <v>S55.03.27</v>
      </c>
      <c r="M2064" s="7">
        <v>1971.51</v>
      </c>
      <c r="N2064" s="7">
        <v>182260858</v>
      </c>
      <c r="O2064" s="7">
        <v>140109168</v>
      </c>
      <c r="P2064" s="7">
        <v>0</v>
      </c>
      <c r="Q2064" s="7" t="str">
        <f t="shared" si="690"/>
        <v>都市整備部</v>
      </c>
      <c r="R2064" s="7" t="str">
        <f t="shared" si="687"/>
        <v>住宅建築局住宅経営室</v>
      </c>
    </row>
    <row r="2065" spans="1:18" s="1" customFormat="1" x14ac:dyDescent="0.45">
      <c r="A2065" s="7" t="str">
        <f t="shared" si="705"/>
        <v>09940003176</v>
      </c>
      <c r="B2065" s="7" t="str">
        <f t="shared" si="706"/>
        <v>寝屋川寝屋</v>
      </c>
      <c r="C2065" s="7" t="str">
        <f t="shared" si="688"/>
        <v>行政財産</v>
      </c>
      <c r="D2065" s="7" t="str">
        <f t="shared" si="689"/>
        <v>公営住宅</v>
      </c>
      <c r="E2065" s="7" t="str">
        <f t="shared" si="707"/>
        <v>大阪府寝屋川市寝屋新町</v>
      </c>
      <c r="F2065" s="7"/>
      <c r="G2065" s="7" t="str">
        <f t="shared" si="686"/>
        <v>事業用資産</v>
      </c>
      <c r="H2065" s="7" t="str">
        <f t="shared" si="704"/>
        <v>棚卸以外</v>
      </c>
      <c r="I2065" s="7">
        <v>3</v>
      </c>
      <c r="J2065" s="7" t="str">
        <f>"３号棟"</f>
        <v>３号棟</v>
      </c>
      <c r="K2065" s="7" t="str">
        <f t="shared" si="703"/>
        <v>鉄筋コンクリート造</v>
      </c>
      <c r="L2065" s="7" t="str">
        <f t="shared" si="708"/>
        <v>S55.03.27</v>
      </c>
      <c r="M2065" s="7">
        <v>1926.2</v>
      </c>
      <c r="N2065" s="7">
        <v>144133000</v>
      </c>
      <c r="O2065" s="7">
        <v>131866380</v>
      </c>
      <c r="P2065" s="7">
        <v>0</v>
      </c>
      <c r="Q2065" s="7" t="str">
        <f t="shared" si="690"/>
        <v>都市整備部</v>
      </c>
      <c r="R2065" s="7" t="str">
        <f t="shared" si="687"/>
        <v>住宅建築局住宅経営室</v>
      </c>
    </row>
    <row r="2066" spans="1:18" s="1" customFormat="1" x14ac:dyDescent="0.45">
      <c r="A2066" s="7" t="str">
        <f t="shared" si="705"/>
        <v>09940003176</v>
      </c>
      <c r="B2066" s="7" t="str">
        <f t="shared" si="706"/>
        <v>寝屋川寝屋</v>
      </c>
      <c r="C2066" s="7" t="str">
        <f t="shared" si="688"/>
        <v>行政財産</v>
      </c>
      <c r="D2066" s="7" t="str">
        <f t="shared" si="689"/>
        <v>公営住宅</v>
      </c>
      <c r="E2066" s="7" t="str">
        <f t="shared" si="707"/>
        <v>大阪府寝屋川市寝屋新町</v>
      </c>
      <c r="F2066" s="7"/>
      <c r="G2066" s="7" t="str">
        <f t="shared" si="686"/>
        <v>事業用資産</v>
      </c>
      <c r="H2066" s="7" t="str">
        <f t="shared" si="704"/>
        <v>棚卸以外</v>
      </c>
      <c r="I2066" s="7">
        <v>4</v>
      </c>
      <c r="J2066" s="7" t="str">
        <f>"４号棟"</f>
        <v>４号棟</v>
      </c>
      <c r="K2066" s="7" t="str">
        <f t="shared" si="703"/>
        <v>鉄筋コンクリート造</v>
      </c>
      <c r="L2066" s="7" t="str">
        <f t="shared" si="708"/>
        <v>S55.03.27</v>
      </c>
      <c r="M2066" s="7">
        <v>1284.5</v>
      </c>
      <c r="N2066" s="7">
        <v>99385000</v>
      </c>
      <c r="O2066" s="7">
        <v>90926940</v>
      </c>
      <c r="P2066" s="7">
        <v>0</v>
      </c>
      <c r="Q2066" s="7" t="str">
        <f t="shared" si="690"/>
        <v>都市整備部</v>
      </c>
      <c r="R2066" s="7" t="str">
        <f t="shared" si="687"/>
        <v>住宅建築局住宅経営室</v>
      </c>
    </row>
    <row r="2067" spans="1:18" s="1" customFormat="1" x14ac:dyDescent="0.45">
      <c r="A2067" s="7" t="str">
        <f t="shared" si="705"/>
        <v>09940003176</v>
      </c>
      <c r="B2067" s="7" t="str">
        <f t="shared" si="706"/>
        <v>寝屋川寝屋</v>
      </c>
      <c r="C2067" s="7" t="str">
        <f t="shared" si="688"/>
        <v>行政財産</v>
      </c>
      <c r="D2067" s="7" t="str">
        <f t="shared" si="689"/>
        <v>公営住宅</v>
      </c>
      <c r="E2067" s="7" t="str">
        <f t="shared" si="707"/>
        <v>大阪府寝屋川市寝屋新町</v>
      </c>
      <c r="F2067" s="7"/>
      <c r="G2067" s="7" t="str">
        <f t="shared" si="686"/>
        <v>事業用資産</v>
      </c>
      <c r="H2067" s="7" t="str">
        <f t="shared" si="704"/>
        <v>棚卸以外</v>
      </c>
      <c r="I2067" s="7">
        <v>5</v>
      </c>
      <c r="J2067" s="7" t="str">
        <f>"１号棟"</f>
        <v>１号棟</v>
      </c>
      <c r="K2067" s="7" t="str">
        <f t="shared" si="703"/>
        <v>鉄筋コンクリート造</v>
      </c>
      <c r="L2067" s="7" t="str">
        <f t="shared" si="708"/>
        <v>S55.03.27</v>
      </c>
      <c r="M2067" s="7">
        <v>1973.51</v>
      </c>
      <c r="N2067" s="7">
        <v>172234928</v>
      </c>
      <c r="O2067" s="7">
        <v>144256674</v>
      </c>
      <c r="P2067" s="7">
        <v>0</v>
      </c>
      <c r="Q2067" s="7" t="str">
        <f t="shared" si="690"/>
        <v>都市整備部</v>
      </c>
      <c r="R2067" s="7" t="str">
        <f t="shared" si="687"/>
        <v>住宅建築局住宅経営室</v>
      </c>
    </row>
    <row r="2068" spans="1:18" s="1" customFormat="1" x14ac:dyDescent="0.45">
      <c r="A2068" s="7" t="str">
        <f t="shared" si="705"/>
        <v>09940003176</v>
      </c>
      <c r="B2068" s="7" t="str">
        <f t="shared" si="706"/>
        <v>寝屋川寝屋</v>
      </c>
      <c r="C2068" s="7" t="str">
        <f t="shared" si="688"/>
        <v>行政財産</v>
      </c>
      <c r="D2068" s="7" t="str">
        <f t="shared" si="689"/>
        <v>公営住宅</v>
      </c>
      <c r="E2068" s="7" t="str">
        <f t="shared" si="707"/>
        <v>大阪府寝屋川市寝屋新町</v>
      </c>
      <c r="F2068" s="7"/>
      <c r="G2068" s="7" t="str">
        <f t="shared" si="686"/>
        <v>事業用資産</v>
      </c>
      <c r="H2068" s="7" t="str">
        <f t="shared" si="704"/>
        <v>棚卸以外</v>
      </c>
      <c r="I2068" s="7">
        <v>6</v>
      </c>
      <c r="J2068" s="7" t="str">
        <f>"６号棟"</f>
        <v>６号棟</v>
      </c>
      <c r="K2068" s="7" t="str">
        <f t="shared" si="703"/>
        <v>鉄筋コンクリート造</v>
      </c>
      <c r="L2068" s="7" t="str">
        <f t="shared" si="708"/>
        <v>S55.03.27</v>
      </c>
      <c r="M2068" s="7">
        <v>1338.47</v>
      </c>
      <c r="N2068" s="7">
        <v>137533858</v>
      </c>
      <c r="O2068" s="7">
        <v>99188820</v>
      </c>
      <c r="P2068" s="7">
        <v>0</v>
      </c>
      <c r="Q2068" s="7" t="str">
        <f t="shared" si="690"/>
        <v>都市整備部</v>
      </c>
      <c r="R2068" s="7" t="str">
        <f t="shared" si="687"/>
        <v>住宅建築局住宅経営室</v>
      </c>
    </row>
    <row r="2069" spans="1:18" s="1" customFormat="1" x14ac:dyDescent="0.45">
      <c r="A2069" s="7" t="str">
        <f t="shared" si="705"/>
        <v>09940003176</v>
      </c>
      <c r="B2069" s="7" t="str">
        <f t="shared" si="706"/>
        <v>寝屋川寝屋</v>
      </c>
      <c r="C2069" s="7" t="str">
        <f t="shared" si="688"/>
        <v>行政財産</v>
      </c>
      <c r="D2069" s="7" t="str">
        <f t="shared" si="689"/>
        <v>公営住宅</v>
      </c>
      <c r="E2069" s="7" t="str">
        <f t="shared" si="707"/>
        <v>大阪府寝屋川市寝屋新町</v>
      </c>
      <c r="F2069" s="7"/>
      <c r="G2069" s="7" t="str">
        <f t="shared" si="686"/>
        <v>事業用資産</v>
      </c>
      <c r="H2069" s="7" t="str">
        <f t="shared" si="704"/>
        <v>棚卸以外</v>
      </c>
      <c r="I2069" s="7">
        <v>7</v>
      </c>
      <c r="J2069" s="7" t="str">
        <f>"７号棟"</f>
        <v>７号棟</v>
      </c>
      <c r="K2069" s="7" t="str">
        <f t="shared" si="703"/>
        <v>鉄筋コンクリート造</v>
      </c>
      <c r="L2069" s="7" t="str">
        <f t="shared" si="708"/>
        <v>S55.03.27</v>
      </c>
      <c r="M2069" s="7">
        <v>2601.13</v>
      </c>
      <c r="N2069" s="7">
        <v>202952000</v>
      </c>
      <c r="O2069" s="7">
        <v>185679504</v>
      </c>
      <c r="P2069" s="7">
        <v>0</v>
      </c>
      <c r="Q2069" s="7" t="str">
        <f t="shared" si="690"/>
        <v>都市整備部</v>
      </c>
      <c r="R2069" s="7" t="str">
        <f t="shared" si="687"/>
        <v>住宅建築局住宅経営室</v>
      </c>
    </row>
    <row r="2070" spans="1:18" s="1" customFormat="1" x14ac:dyDescent="0.45">
      <c r="A2070" s="7" t="str">
        <f t="shared" si="705"/>
        <v>09940003176</v>
      </c>
      <c r="B2070" s="7" t="str">
        <f t="shared" si="706"/>
        <v>寝屋川寝屋</v>
      </c>
      <c r="C2070" s="7" t="str">
        <f t="shared" si="688"/>
        <v>行政財産</v>
      </c>
      <c r="D2070" s="7" t="str">
        <f t="shared" si="689"/>
        <v>公営住宅</v>
      </c>
      <c r="E2070" s="7" t="str">
        <f t="shared" si="707"/>
        <v>大阪府寝屋川市寝屋新町</v>
      </c>
      <c r="F2070" s="7"/>
      <c r="G2070" s="7" t="str">
        <f t="shared" si="686"/>
        <v>事業用資産</v>
      </c>
      <c r="H2070" s="7" t="str">
        <f t="shared" si="704"/>
        <v>棚卸以外</v>
      </c>
      <c r="I2070" s="7">
        <v>8</v>
      </c>
      <c r="J2070" s="7" t="str">
        <f>"集会所"</f>
        <v>集会所</v>
      </c>
      <c r="K2070" s="7" t="str">
        <f t="shared" si="703"/>
        <v>鉄筋コンクリート造</v>
      </c>
      <c r="L2070" s="7" t="str">
        <f t="shared" si="708"/>
        <v>S55.03.27</v>
      </c>
      <c r="M2070" s="7">
        <v>117.28</v>
      </c>
      <c r="N2070" s="7">
        <v>27940000</v>
      </c>
      <c r="O2070" s="7">
        <v>20960448</v>
      </c>
      <c r="P2070" s="7">
        <v>0</v>
      </c>
      <c r="Q2070" s="7" t="str">
        <f t="shared" si="690"/>
        <v>都市整備部</v>
      </c>
      <c r="R2070" s="7" t="str">
        <f t="shared" si="687"/>
        <v>住宅建築局住宅経営室</v>
      </c>
    </row>
    <row r="2071" spans="1:18" s="1" customFormat="1" x14ac:dyDescent="0.45">
      <c r="A2071" s="7" t="str">
        <f t="shared" si="705"/>
        <v>09940003176</v>
      </c>
      <c r="B2071" s="7" t="str">
        <f t="shared" si="706"/>
        <v>寝屋川寝屋</v>
      </c>
      <c r="C2071" s="7" t="str">
        <f t="shared" si="688"/>
        <v>行政財産</v>
      </c>
      <c r="D2071" s="7" t="str">
        <f t="shared" si="689"/>
        <v>公営住宅</v>
      </c>
      <c r="E2071" s="7" t="str">
        <f t="shared" si="707"/>
        <v>大阪府寝屋川市寝屋新町</v>
      </c>
      <c r="F2071" s="7"/>
      <c r="G2071" s="7" t="str">
        <f t="shared" ref="G2071:G2134" si="709">"事業用資産"</f>
        <v>事業用資産</v>
      </c>
      <c r="H2071" s="7" t="str">
        <f t="shared" si="704"/>
        <v>棚卸以外</v>
      </c>
      <c r="I2071" s="7">
        <v>9</v>
      </c>
      <c r="J2071" s="7" t="str">
        <f>"受水槽"</f>
        <v>受水槽</v>
      </c>
      <c r="K2071" s="7" t="str">
        <f t="shared" si="703"/>
        <v>鉄筋コンクリート造</v>
      </c>
      <c r="L2071" s="7" t="str">
        <f t="shared" si="708"/>
        <v>S55.03.27</v>
      </c>
      <c r="M2071" s="7">
        <v>88</v>
      </c>
      <c r="N2071" s="7">
        <v>8760000</v>
      </c>
      <c r="O2071" s="7">
        <v>8014512</v>
      </c>
      <c r="P2071" s="7">
        <v>0</v>
      </c>
      <c r="Q2071" s="7" t="str">
        <f t="shared" si="690"/>
        <v>都市整備部</v>
      </c>
      <c r="R2071" s="7" t="str">
        <f t="shared" si="687"/>
        <v>住宅建築局住宅経営室</v>
      </c>
    </row>
    <row r="2072" spans="1:18" s="1" customFormat="1" x14ac:dyDescent="0.45">
      <c r="A2072" s="7" t="str">
        <f>"09940003177"</f>
        <v>09940003177</v>
      </c>
      <c r="B2072" s="7" t="str">
        <f>"池田城南（旧池田鉄筋）"</f>
        <v>池田城南（旧池田鉄筋）</v>
      </c>
      <c r="C2072" s="7" t="str">
        <f t="shared" si="688"/>
        <v>行政財産</v>
      </c>
      <c r="D2072" s="7" t="str">
        <f t="shared" si="689"/>
        <v>公営住宅</v>
      </c>
      <c r="E2072" s="7" t="str">
        <f>"大阪府池田市城南３丁目"</f>
        <v>大阪府池田市城南３丁目</v>
      </c>
      <c r="F2072" s="7"/>
      <c r="G2072" s="7" t="str">
        <f t="shared" si="709"/>
        <v>事業用資産</v>
      </c>
      <c r="H2072" s="7" t="str">
        <f t="shared" si="704"/>
        <v>棚卸以外</v>
      </c>
      <c r="I2072" s="7">
        <v>1</v>
      </c>
      <c r="J2072" s="7" t="str">
        <f>"１号棟"</f>
        <v>１号棟</v>
      </c>
      <c r="K2072" s="7" t="str">
        <f t="shared" si="703"/>
        <v>鉄筋コンクリート造</v>
      </c>
      <c r="L2072" s="7" t="str">
        <f>"H25.03.01"</f>
        <v>H25.03.01</v>
      </c>
      <c r="M2072" s="7">
        <v>4232.0200000000004</v>
      </c>
      <c r="N2072" s="7">
        <v>583169973</v>
      </c>
      <c r="O2072" s="7">
        <v>124084720</v>
      </c>
      <c r="P2072" s="7">
        <v>0</v>
      </c>
      <c r="Q2072" s="7" t="str">
        <f t="shared" si="690"/>
        <v>都市整備部</v>
      </c>
      <c r="R2072" s="7" t="str">
        <f t="shared" ref="R2072:R2135" si="710">"住宅建築局住宅経営室"</f>
        <v>住宅建築局住宅経営室</v>
      </c>
    </row>
    <row r="2073" spans="1:18" s="1" customFormat="1" x14ac:dyDescent="0.45">
      <c r="A2073" s="7" t="str">
        <f>"09940003177"</f>
        <v>09940003177</v>
      </c>
      <c r="B2073" s="7" t="str">
        <f>"池田城南（旧池田鉄筋）"</f>
        <v>池田城南（旧池田鉄筋）</v>
      </c>
      <c r="C2073" s="7" t="str">
        <f t="shared" si="688"/>
        <v>行政財産</v>
      </c>
      <c r="D2073" s="7" t="str">
        <f t="shared" si="689"/>
        <v>公営住宅</v>
      </c>
      <c r="E2073" s="7" t="str">
        <f>"大阪府池田市城南３丁目"</f>
        <v>大阪府池田市城南３丁目</v>
      </c>
      <c r="F2073" s="7"/>
      <c r="G2073" s="7" t="str">
        <f t="shared" si="709"/>
        <v>事業用資産</v>
      </c>
      <c r="H2073" s="7" t="str">
        <f t="shared" si="704"/>
        <v>棚卸以外</v>
      </c>
      <c r="I2073" s="7">
        <v>2</v>
      </c>
      <c r="J2073" s="7" t="str">
        <f>"設備棟（ポンプ室・電気室）"</f>
        <v>設備棟（ポンプ室・電気室）</v>
      </c>
      <c r="K2073" s="7" t="str">
        <f t="shared" si="703"/>
        <v>鉄筋コンクリート造</v>
      </c>
      <c r="L2073" s="7" t="str">
        <f>"H25.03.01"</f>
        <v>H25.03.01</v>
      </c>
      <c r="M2073" s="7">
        <v>58.82</v>
      </c>
      <c r="N2073" s="7">
        <v>25746150</v>
      </c>
      <c r="O2073" s="7">
        <v>5478000</v>
      </c>
      <c r="P2073" s="7">
        <v>0</v>
      </c>
      <c r="Q2073" s="7" t="str">
        <f t="shared" si="690"/>
        <v>都市整備部</v>
      </c>
      <c r="R2073" s="7" t="str">
        <f t="shared" si="710"/>
        <v>住宅建築局住宅経営室</v>
      </c>
    </row>
    <row r="2074" spans="1:18" s="1" customFormat="1" x14ac:dyDescent="0.45">
      <c r="A2074" s="7" t="str">
        <f>"09940003177"</f>
        <v>09940003177</v>
      </c>
      <c r="B2074" s="7" t="str">
        <f>"池田城南（旧池田鉄筋）"</f>
        <v>池田城南（旧池田鉄筋）</v>
      </c>
      <c r="C2074" s="7" t="str">
        <f t="shared" ref="C2074:C2137" si="711">"行政財産"</f>
        <v>行政財産</v>
      </c>
      <c r="D2074" s="7" t="str">
        <f t="shared" ref="D2074:D2137" si="712">"公営住宅"</f>
        <v>公営住宅</v>
      </c>
      <c r="E2074" s="7" t="str">
        <f>"大阪府池田市城南３丁目"</f>
        <v>大阪府池田市城南３丁目</v>
      </c>
      <c r="F2074" s="7"/>
      <c r="G2074" s="7" t="str">
        <f t="shared" si="709"/>
        <v>事業用資産</v>
      </c>
      <c r="H2074" s="7" t="str">
        <f t="shared" si="704"/>
        <v>棚卸以外</v>
      </c>
      <c r="I2074" s="7">
        <v>3</v>
      </c>
      <c r="J2074" s="7" t="str">
        <f>"ゴミ置場"</f>
        <v>ゴミ置場</v>
      </c>
      <c r="K2074" s="7" t="str">
        <f t="shared" si="703"/>
        <v>鉄筋コンクリート造</v>
      </c>
      <c r="L2074" s="7" t="str">
        <f>"H25.03.01"</f>
        <v>H25.03.01</v>
      </c>
      <c r="M2074" s="7">
        <v>22.8</v>
      </c>
      <c r="N2074" s="7">
        <v>2451681</v>
      </c>
      <c r="O2074" s="7">
        <v>521640</v>
      </c>
      <c r="P2074" s="7">
        <v>0</v>
      </c>
      <c r="Q2074" s="7" t="str">
        <f t="shared" si="690"/>
        <v>都市整備部</v>
      </c>
      <c r="R2074" s="7" t="str">
        <f t="shared" si="710"/>
        <v>住宅建築局住宅経営室</v>
      </c>
    </row>
    <row r="2075" spans="1:18" s="1" customFormat="1" x14ac:dyDescent="0.45">
      <c r="A2075" s="7" t="str">
        <f t="shared" ref="A2075:A2082" si="713">"09940003179"</f>
        <v>09940003179</v>
      </c>
      <c r="B2075" s="7" t="str">
        <f t="shared" ref="B2075:B2082" si="714">"池田伏尾台"</f>
        <v>池田伏尾台</v>
      </c>
      <c r="C2075" s="7" t="str">
        <f t="shared" si="711"/>
        <v>行政財産</v>
      </c>
      <c r="D2075" s="7" t="str">
        <f t="shared" si="712"/>
        <v>公営住宅</v>
      </c>
      <c r="E2075" s="7" t="str">
        <f t="shared" ref="E2075:E2082" si="715">"大阪府池田市伏尾台２丁目"</f>
        <v>大阪府池田市伏尾台２丁目</v>
      </c>
      <c r="F2075" s="7"/>
      <c r="G2075" s="7" t="str">
        <f t="shared" si="709"/>
        <v>事業用資産</v>
      </c>
      <c r="H2075" s="7" t="str">
        <f t="shared" si="704"/>
        <v>棚卸以外</v>
      </c>
      <c r="I2075" s="7">
        <v>1</v>
      </c>
      <c r="J2075" s="7" t="str">
        <f>"２号棟"</f>
        <v>２号棟</v>
      </c>
      <c r="K2075" s="7" t="str">
        <f t="shared" si="703"/>
        <v>鉄筋コンクリート造</v>
      </c>
      <c r="L2075" s="7" t="str">
        <f t="shared" ref="L2075:L2082" si="716">"S58.03.24"</f>
        <v>S58.03.24</v>
      </c>
      <c r="M2075" s="7">
        <v>1631.23</v>
      </c>
      <c r="N2075" s="7">
        <v>174892000</v>
      </c>
      <c r="O2075" s="7">
        <v>148844640</v>
      </c>
      <c r="P2075" s="7">
        <v>0</v>
      </c>
      <c r="Q2075" s="7" t="str">
        <f t="shared" ref="Q2075:Q2138" si="717">"都市整備部"</f>
        <v>都市整備部</v>
      </c>
      <c r="R2075" s="7" t="str">
        <f t="shared" si="710"/>
        <v>住宅建築局住宅経営室</v>
      </c>
    </row>
    <row r="2076" spans="1:18" s="1" customFormat="1" x14ac:dyDescent="0.45">
      <c r="A2076" s="7" t="str">
        <f t="shared" si="713"/>
        <v>09940003179</v>
      </c>
      <c r="B2076" s="7" t="str">
        <f t="shared" si="714"/>
        <v>池田伏尾台</v>
      </c>
      <c r="C2076" s="7" t="str">
        <f t="shared" si="711"/>
        <v>行政財産</v>
      </c>
      <c r="D2076" s="7" t="str">
        <f t="shared" si="712"/>
        <v>公営住宅</v>
      </c>
      <c r="E2076" s="7" t="str">
        <f t="shared" si="715"/>
        <v>大阪府池田市伏尾台２丁目</v>
      </c>
      <c r="F2076" s="7"/>
      <c r="G2076" s="7" t="str">
        <f t="shared" si="709"/>
        <v>事業用資産</v>
      </c>
      <c r="H2076" s="7" t="str">
        <f t="shared" si="704"/>
        <v>棚卸以外</v>
      </c>
      <c r="I2076" s="7">
        <v>2</v>
      </c>
      <c r="J2076" s="7" t="str">
        <f>"３号棟"</f>
        <v>３号棟</v>
      </c>
      <c r="K2076" s="7" t="str">
        <f t="shared" si="703"/>
        <v>鉄筋コンクリート造</v>
      </c>
      <c r="L2076" s="7" t="str">
        <f t="shared" si="716"/>
        <v>S58.03.24</v>
      </c>
      <c r="M2076" s="7">
        <v>3473.14</v>
      </c>
      <c r="N2076" s="7">
        <v>347792000</v>
      </c>
      <c r="O2076" s="7">
        <v>295993440</v>
      </c>
      <c r="P2076" s="7">
        <v>0</v>
      </c>
      <c r="Q2076" s="7" t="str">
        <f t="shared" si="717"/>
        <v>都市整備部</v>
      </c>
      <c r="R2076" s="7" t="str">
        <f t="shared" si="710"/>
        <v>住宅建築局住宅経営室</v>
      </c>
    </row>
    <row r="2077" spans="1:18" s="1" customFormat="1" x14ac:dyDescent="0.45">
      <c r="A2077" s="7" t="str">
        <f t="shared" si="713"/>
        <v>09940003179</v>
      </c>
      <c r="B2077" s="7" t="str">
        <f t="shared" si="714"/>
        <v>池田伏尾台</v>
      </c>
      <c r="C2077" s="7" t="str">
        <f t="shared" si="711"/>
        <v>行政財産</v>
      </c>
      <c r="D2077" s="7" t="str">
        <f t="shared" si="712"/>
        <v>公営住宅</v>
      </c>
      <c r="E2077" s="7" t="str">
        <f t="shared" si="715"/>
        <v>大阪府池田市伏尾台２丁目</v>
      </c>
      <c r="F2077" s="7"/>
      <c r="G2077" s="7" t="str">
        <f t="shared" si="709"/>
        <v>事業用資産</v>
      </c>
      <c r="H2077" s="7" t="str">
        <f t="shared" si="704"/>
        <v>棚卸以外</v>
      </c>
      <c r="I2077" s="7">
        <v>3</v>
      </c>
      <c r="J2077" s="7" t="str">
        <f>"１号棟"</f>
        <v>１号棟</v>
      </c>
      <c r="K2077" s="7" t="str">
        <f t="shared" si="703"/>
        <v>鉄筋コンクリート造</v>
      </c>
      <c r="L2077" s="7" t="str">
        <f t="shared" si="716"/>
        <v>S58.03.24</v>
      </c>
      <c r="M2077" s="7">
        <v>1328.25</v>
      </c>
      <c r="N2077" s="7">
        <v>133326000</v>
      </c>
      <c r="O2077" s="7">
        <v>113469120</v>
      </c>
      <c r="P2077" s="7">
        <v>0</v>
      </c>
      <c r="Q2077" s="7" t="str">
        <f t="shared" si="717"/>
        <v>都市整備部</v>
      </c>
      <c r="R2077" s="7" t="str">
        <f t="shared" si="710"/>
        <v>住宅建築局住宅経営室</v>
      </c>
    </row>
    <row r="2078" spans="1:18" s="1" customFormat="1" x14ac:dyDescent="0.45">
      <c r="A2078" s="7" t="str">
        <f t="shared" si="713"/>
        <v>09940003179</v>
      </c>
      <c r="B2078" s="7" t="str">
        <f t="shared" si="714"/>
        <v>池田伏尾台</v>
      </c>
      <c r="C2078" s="7" t="str">
        <f t="shared" si="711"/>
        <v>行政財産</v>
      </c>
      <c r="D2078" s="7" t="str">
        <f t="shared" si="712"/>
        <v>公営住宅</v>
      </c>
      <c r="E2078" s="7" t="str">
        <f t="shared" si="715"/>
        <v>大阪府池田市伏尾台２丁目</v>
      </c>
      <c r="F2078" s="7"/>
      <c r="G2078" s="7" t="str">
        <f t="shared" si="709"/>
        <v>事業用資産</v>
      </c>
      <c r="H2078" s="7" t="str">
        <f t="shared" si="704"/>
        <v>棚卸以外</v>
      </c>
      <c r="I2078" s="7">
        <v>4</v>
      </c>
      <c r="J2078" s="7" t="str">
        <f>"６号棟"</f>
        <v>６号棟</v>
      </c>
      <c r="K2078" s="7" t="str">
        <f t="shared" si="703"/>
        <v>鉄筋コンクリート造</v>
      </c>
      <c r="L2078" s="7" t="str">
        <f t="shared" si="716"/>
        <v>S58.03.24</v>
      </c>
      <c r="M2078" s="7">
        <v>2574.65</v>
      </c>
      <c r="N2078" s="7">
        <v>275451000</v>
      </c>
      <c r="O2078" s="7">
        <v>234426720</v>
      </c>
      <c r="P2078" s="7">
        <v>0</v>
      </c>
      <c r="Q2078" s="7" t="str">
        <f t="shared" si="717"/>
        <v>都市整備部</v>
      </c>
      <c r="R2078" s="7" t="str">
        <f t="shared" si="710"/>
        <v>住宅建築局住宅経営室</v>
      </c>
    </row>
    <row r="2079" spans="1:18" s="1" customFormat="1" x14ac:dyDescent="0.45">
      <c r="A2079" s="7" t="str">
        <f t="shared" si="713"/>
        <v>09940003179</v>
      </c>
      <c r="B2079" s="7" t="str">
        <f t="shared" si="714"/>
        <v>池田伏尾台</v>
      </c>
      <c r="C2079" s="7" t="str">
        <f t="shared" si="711"/>
        <v>行政財産</v>
      </c>
      <c r="D2079" s="7" t="str">
        <f t="shared" si="712"/>
        <v>公営住宅</v>
      </c>
      <c r="E2079" s="7" t="str">
        <f t="shared" si="715"/>
        <v>大阪府池田市伏尾台２丁目</v>
      </c>
      <c r="F2079" s="7"/>
      <c r="G2079" s="7" t="str">
        <f t="shared" si="709"/>
        <v>事業用資産</v>
      </c>
      <c r="H2079" s="7" t="str">
        <f t="shared" si="704"/>
        <v>棚卸以外</v>
      </c>
      <c r="I2079" s="7">
        <v>5</v>
      </c>
      <c r="J2079" s="7" t="str">
        <f>"７号棟"</f>
        <v>７号棟</v>
      </c>
      <c r="K2079" s="7" t="str">
        <f t="shared" si="703"/>
        <v>鉄筋コンクリート造</v>
      </c>
      <c r="L2079" s="7" t="str">
        <f t="shared" si="716"/>
        <v>S58.03.24</v>
      </c>
      <c r="M2079" s="7">
        <v>3518.81</v>
      </c>
      <c r="N2079" s="7">
        <v>344122000</v>
      </c>
      <c r="O2079" s="7">
        <v>292870080</v>
      </c>
      <c r="P2079" s="7">
        <v>0</v>
      </c>
      <c r="Q2079" s="7" t="str">
        <f t="shared" si="717"/>
        <v>都市整備部</v>
      </c>
      <c r="R2079" s="7" t="str">
        <f t="shared" si="710"/>
        <v>住宅建築局住宅経営室</v>
      </c>
    </row>
    <row r="2080" spans="1:18" s="1" customFormat="1" x14ac:dyDescent="0.45">
      <c r="A2080" s="7" t="str">
        <f t="shared" si="713"/>
        <v>09940003179</v>
      </c>
      <c r="B2080" s="7" t="str">
        <f t="shared" si="714"/>
        <v>池田伏尾台</v>
      </c>
      <c r="C2080" s="7" t="str">
        <f t="shared" si="711"/>
        <v>行政財産</v>
      </c>
      <c r="D2080" s="7" t="str">
        <f t="shared" si="712"/>
        <v>公営住宅</v>
      </c>
      <c r="E2080" s="7" t="str">
        <f t="shared" si="715"/>
        <v>大阪府池田市伏尾台２丁目</v>
      </c>
      <c r="F2080" s="7"/>
      <c r="G2080" s="7" t="str">
        <f t="shared" si="709"/>
        <v>事業用資産</v>
      </c>
      <c r="H2080" s="7" t="str">
        <f t="shared" si="704"/>
        <v>棚卸以外</v>
      </c>
      <c r="I2080" s="7">
        <v>6</v>
      </c>
      <c r="J2080" s="7" t="str">
        <f>"４号棟"</f>
        <v>４号棟</v>
      </c>
      <c r="K2080" s="7" t="str">
        <f t="shared" si="703"/>
        <v>鉄筋コンクリート造</v>
      </c>
      <c r="L2080" s="7" t="str">
        <f t="shared" si="716"/>
        <v>S58.03.24</v>
      </c>
      <c r="M2080" s="7">
        <v>1567.71</v>
      </c>
      <c r="N2080" s="7">
        <v>164123000</v>
      </c>
      <c r="O2080" s="7">
        <v>139679520</v>
      </c>
      <c r="P2080" s="7">
        <v>0</v>
      </c>
      <c r="Q2080" s="7" t="str">
        <f t="shared" si="717"/>
        <v>都市整備部</v>
      </c>
      <c r="R2080" s="7" t="str">
        <f t="shared" si="710"/>
        <v>住宅建築局住宅経営室</v>
      </c>
    </row>
    <row r="2081" spans="1:18" s="1" customFormat="1" x14ac:dyDescent="0.45">
      <c r="A2081" s="7" t="str">
        <f t="shared" si="713"/>
        <v>09940003179</v>
      </c>
      <c r="B2081" s="7" t="str">
        <f t="shared" si="714"/>
        <v>池田伏尾台</v>
      </c>
      <c r="C2081" s="7" t="str">
        <f t="shared" si="711"/>
        <v>行政財産</v>
      </c>
      <c r="D2081" s="7" t="str">
        <f t="shared" si="712"/>
        <v>公営住宅</v>
      </c>
      <c r="E2081" s="7" t="str">
        <f t="shared" si="715"/>
        <v>大阪府池田市伏尾台２丁目</v>
      </c>
      <c r="F2081" s="7"/>
      <c r="G2081" s="7" t="str">
        <f t="shared" si="709"/>
        <v>事業用資産</v>
      </c>
      <c r="H2081" s="7" t="str">
        <f t="shared" si="704"/>
        <v>棚卸以外</v>
      </c>
      <c r="I2081" s="7">
        <v>7</v>
      </c>
      <c r="J2081" s="7" t="str">
        <f>"５号棟"</f>
        <v>５号棟</v>
      </c>
      <c r="K2081" s="7" t="str">
        <f t="shared" si="703"/>
        <v>鉄筋コンクリート造</v>
      </c>
      <c r="L2081" s="7" t="str">
        <f t="shared" si="716"/>
        <v>S58.03.24</v>
      </c>
      <c r="M2081" s="7">
        <v>1365.6</v>
      </c>
      <c r="N2081" s="7">
        <v>156450000</v>
      </c>
      <c r="O2081" s="7">
        <v>130875942</v>
      </c>
      <c r="P2081" s="7">
        <v>0</v>
      </c>
      <c r="Q2081" s="7" t="str">
        <f t="shared" si="717"/>
        <v>都市整備部</v>
      </c>
      <c r="R2081" s="7" t="str">
        <f t="shared" si="710"/>
        <v>住宅建築局住宅経営室</v>
      </c>
    </row>
    <row r="2082" spans="1:18" s="1" customFormat="1" x14ac:dyDescent="0.45">
      <c r="A2082" s="7" t="str">
        <f t="shared" si="713"/>
        <v>09940003179</v>
      </c>
      <c r="B2082" s="7" t="str">
        <f t="shared" si="714"/>
        <v>池田伏尾台</v>
      </c>
      <c r="C2082" s="7" t="str">
        <f t="shared" si="711"/>
        <v>行政財産</v>
      </c>
      <c r="D2082" s="7" t="str">
        <f t="shared" si="712"/>
        <v>公営住宅</v>
      </c>
      <c r="E2082" s="7" t="str">
        <f t="shared" si="715"/>
        <v>大阪府池田市伏尾台２丁目</v>
      </c>
      <c r="F2082" s="7"/>
      <c r="G2082" s="7" t="str">
        <f t="shared" si="709"/>
        <v>事業用資産</v>
      </c>
      <c r="H2082" s="7" t="str">
        <f t="shared" si="704"/>
        <v>棚卸以外</v>
      </c>
      <c r="I2082" s="7">
        <v>8</v>
      </c>
      <c r="J2082" s="7" t="str">
        <f>"ポンプ室"</f>
        <v>ポンプ室</v>
      </c>
      <c r="K2082" s="7" t="str">
        <f t="shared" si="703"/>
        <v>鉄筋コンクリート造</v>
      </c>
      <c r="L2082" s="7" t="str">
        <f t="shared" si="716"/>
        <v>S58.03.24</v>
      </c>
      <c r="M2082" s="7">
        <v>80.8</v>
      </c>
      <c r="N2082" s="7">
        <v>21491000</v>
      </c>
      <c r="O2082" s="7">
        <v>18290400</v>
      </c>
      <c r="P2082" s="7">
        <v>0</v>
      </c>
      <c r="Q2082" s="7" t="str">
        <f t="shared" si="717"/>
        <v>都市整備部</v>
      </c>
      <c r="R2082" s="7" t="str">
        <f t="shared" si="710"/>
        <v>住宅建築局住宅経営室</v>
      </c>
    </row>
    <row r="2083" spans="1:18" s="1" customFormat="1" x14ac:dyDescent="0.45">
      <c r="A2083" s="7" t="str">
        <f t="shared" ref="A2083:A2098" si="718">"09940003180"</f>
        <v>09940003180</v>
      </c>
      <c r="B2083" s="7" t="str">
        <f t="shared" ref="B2083:B2098" si="719">"高槻沢良木（旧高槻南）"</f>
        <v>高槻沢良木（旧高槻南）</v>
      </c>
      <c r="C2083" s="7" t="str">
        <f t="shared" si="711"/>
        <v>行政財産</v>
      </c>
      <c r="D2083" s="7" t="str">
        <f t="shared" si="712"/>
        <v>公営住宅</v>
      </c>
      <c r="E2083" s="7" t="str">
        <f t="shared" ref="E2083:E2098" si="720">"大阪府高槻市沢良木町"</f>
        <v>大阪府高槻市沢良木町</v>
      </c>
      <c r="F2083" s="7"/>
      <c r="G2083" s="7" t="str">
        <f t="shared" si="709"/>
        <v>事業用資産</v>
      </c>
      <c r="H2083" s="7" t="str">
        <f t="shared" si="704"/>
        <v>棚卸以外</v>
      </c>
      <c r="I2083" s="7">
        <v>1</v>
      </c>
      <c r="J2083" s="7" t="str">
        <f>"１号棟"</f>
        <v>１号棟</v>
      </c>
      <c r="K2083" s="7" t="str">
        <f t="shared" ref="K2083:K2114" si="721">"鉄筋コンクリート造"</f>
        <v>鉄筋コンクリート造</v>
      </c>
      <c r="L2083" s="7" t="str">
        <f t="shared" ref="L2083:L2090" si="722">"S63.08.29"</f>
        <v>S63.08.29</v>
      </c>
      <c r="M2083" s="7">
        <v>1383.96</v>
      </c>
      <c r="N2083" s="7">
        <v>157480939</v>
      </c>
      <c r="O2083" s="7">
        <v>115675440</v>
      </c>
      <c r="P2083" s="7">
        <v>0</v>
      </c>
      <c r="Q2083" s="7" t="str">
        <f t="shared" si="717"/>
        <v>都市整備部</v>
      </c>
      <c r="R2083" s="7" t="str">
        <f t="shared" si="710"/>
        <v>住宅建築局住宅経営室</v>
      </c>
    </row>
    <row r="2084" spans="1:18" s="1" customFormat="1" x14ac:dyDescent="0.45">
      <c r="A2084" s="7" t="str">
        <f t="shared" si="718"/>
        <v>09940003180</v>
      </c>
      <c r="B2084" s="7" t="str">
        <f t="shared" si="719"/>
        <v>高槻沢良木（旧高槻南）</v>
      </c>
      <c r="C2084" s="7" t="str">
        <f t="shared" si="711"/>
        <v>行政財産</v>
      </c>
      <c r="D2084" s="7" t="str">
        <f t="shared" si="712"/>
        <v>公営住宅</v>
      </c>
      <c r="E2084" s="7" t="str">
        <f t="shared" si="720"/>
        <v>大阪府高槻市沢良木町</v>
      </c>
      <c r="F2084" s="7"/>
      <c r="G2084" s="7" t="str">
        <f t="shared" si="709"/>
        <v>事業用資産</v>
      </c>
      <c r="H2084" s="7" t="str">
        <f t="shared" si="704"/>
        <v>棚卸以外</v>
      </c>
      <c r="I2084" s="7">
        <v>2</v>
      </c>
      <c r="J2084" s="7" t="str">
        <f>"２号棟"</f>
        <v>２号棟</v>
      </c>
      <c r="K2084" s="7" t="str">
        <f t="shared" si="721"/>
        <v>鉄筋コンクリート造</v>
      </c>
      <c r="L2084" s="7" t="str">
        <f t="shared" si="722"/>
        <v>S63.08.29</v>
      </c>
      <c r="M2084" s="7">
        <v>1383.96</v>
      </c>
      <c r="N2084" s="7">
        <v>158210878</v>
      </c>
      <c r="O2084" s="7">
        <v>116011175</v>
      </c>
      <c r="P2084" s="7">
        <v>0</v>
      </c>
      <c r="Q2084" s="7" t="str">
        <f t="shared" si="717"/>
        <v>都市整備部</v>
      </c>
      <c r="R2084" s="7" t="str">
        <f t="shared" si="710"/>
        <v>住宅建築局住宅経営室</v>
      </c>
    </row>
    <row r="2085" spans="1:18" s="1" customFormat="1" x14ac:dyDescent="0.45">
      <c r="A2085" s="7" t="str">
        <f t="shared" si="718"/>
        <v>09940003180</v>
      </c>
      <c r="B2085" s="7" t="str">
        <f t="shared" si="719"/>
        <v>高槻沢良木（旧高槻南）</v>
      </c>
      <c r="C2085" s="7" t="str">
        <f t="shared" si="711"/>
        <v>行政財産</v>
      </c>
      <c r="D2085" s="7" t="str">
        <f t="shared" si="712"/>
        <v>公営住宅</v>
      </c>
      <c r="E2085" s="7" t="str">
        <f t="shared" si="720"/>
        <v>大阪府高槻市沢良木町</v>
      </c>
      <c r="F2085" s="7"/>
      <c r="G2085" s="7" t="str">
        <f t="shared" si="709"/>
        <v>事業用資産</v>
      </c>
      <c r="H2085" s="7" t="str">
        <f t="shared" si="704"/>
        <v>棚卸以外</v>
      </c>
      <c r="I2085" s="7">
        <v>3</v>
      </c>
      <c r="J2085" s="7" t="str">
        <f>"３号棟"</f>
        <v>３号棟</v>
      </c>
      <c r="K2085" s="7" t="str">
        <f t="shared" si="721"/>
        <v>鉄筋コンクリート造</v>
      </c>
      <c r="L2085" s="7" t="str">
        <f t="shared" si="722"/>
        <v>S63.08.29</v>
      </c>
      <c r="M2085" s="7">
        <v>1635.22</v>
      </c>
      <c r="N2085" s="7">
        <v>180727000</v>
      </c>
      <c r="O2085" s="7">
        <v>132981770</v>
      </c>
      <c r="P2085" s="7">
        <v>0</v>
      </c>
      <c r="Q2085" s="7" t="str">
        <f t="shared" si="717"/>
        <v>都市整備部</v>
      </c>
      <c r="R2085" s="7" t="str">
        <f t="shared" si="710"/>
        <v>住宅建築局住宅経営室</v>
      </c>
    </row>
    <row r="2086" spans="1:18" s="1" customFormat="1" x14ac:dyDescent="0.45">
      <c r="A2086" s="7" t="str">
        <f t="shared" si="718"/>
        <v>09940003180</v>
      </c>
      <c r="B2086" s="7" t="str">
        <f t="shared" si="719"/>
        <v>高槻沢良木（旧高槻南）</v>
      </c>
      <c r="C2086" s="7" t="str">
        <f t="shared" si="711"/>
        <v>行政財産</v>
      </c>
      <c r="D2086" s="7" t="str">
        <f t="shared" si="712"/>
        <v>公営住宅</v>
      </c>
      <c r="E2086" s="7" t="str">
        <f t="shared" si="720"/>
        <v>大阪府高槻市沢良木町</v>
      </c>
      <c r="F2086" s="7"/>
      <c r="G2086" s="7" t="str">
        <f t="shared" si="709"/>
        <v>事業用資産</v>
      </c>
      <c r="H2086" s="7" t="str">
        <f t="shared" si="704"/>
        <v>棚卸以外</v>
      </c>
      <c r="I2086" s="7">
        <v>4</v>
      </c>
      <c r="J2086" s="7" t="str">
        <f>"４号棟"</f>
        <v>４号棟</v>
      </c>
      <c r="K2086" s="7" t="str">
        <f t="shared" si="721"/>
        <v>鉄筋コンクリート造</v>
      </c>
      <c r="L2086" s="7" t="str">
        <f t="shared" si="722"/>
        <v>S63.08.29</v>
      </c>
      <c r="M2086" s="7">
        <v>1635.22</v>
      </c>
      <c r="N2086" s="7">
        <v>181313817</v>
      </c>
      <c r="O2086" s="7">
        <v>132809130</v>
      </c>
      <c r="P2086" s="7">
        <v>0</v>
      </c>
      <c r="Q2086" s="7" t="str">
        <f t="shared" si="717"/>
        <v>都市整備部</v>
      </c>
      <c r="R2086" s="7" t="str">
        <f t="shared" si="710"/>
        <v>住宅建築局住宅経営室</v>
      </c>
    </row>
    <row r="2087" spans="1:18" s="1" customFormat="1" x14ac:dyDescent="0.45">
      <c r="A2087" s="7" t="str">
        <f t="shared" si="718"/>
        <v>09940003180</v>
      </c>
      <c r="B2087" s="7" t="str">
        <f t="shared" si="719"/>
        <v>高槻沢良木（旧高槻南）</v>
      </c>
      <c r="C2087" s="7" t="str">
        <f t="shared" si="711"/>
        <v>行政財産</v>
      </c>
      <c r="D2087" s="7" t="str">
        <f t="shared" si="712"/>
        <v>公営住宅</v>
      </c>
      <c r="E2087" s="7" t="str">
        <f t="shared" si="720"/>
        <v>大阪府高槻市沢良木町</v>
      </c>
      <c r="F2087" s="7"/>
      <c r="G2087" s="7" t="str">
        <f t="shared" si="709"/>
        <v>事業用資産</v>
      </c>
      <c r="H2087" s="7" t="str">
        <f t="shared" si="704"/>
        <v>棚卸以外</v>
      </c>
      <c r="I2087" s="7">
        <v>5</v>
      </c>
      <c r="J2087" s="7" t="str">
        <f>"５号棟"</f>
        <v>５号棟</v>
      </c>
      <c r="K2087" s="7" t="str">
        <f t="shared" si="721"/>
        <v>鉄筋コンクリート造</v>
      </c>
      <c r="L2087" s="7" t="str">
        <f t="shared" si="722"/>
        <v>S63.08.29</v>
      </c>
      <c r="M2087" s="7">
        <v>1505.4</v>
      </c>
      <c r="N2087" s="7">
        <v>167024000</v>
      </c>
      <c r="O2087" s="7">
        <v>122898930</v>
      </c>
      <c r="P2087" s="7">
        <v>0</v>
      </c>
      <c r="Q2087" s="7" t="str">
        <f t="shared" si="717"/>
        <v>都市整備部</v>
      </c>
      <c r="R2087" s="7" t="str">
        <f t="shared" si="710"/>
        <v>住宅建築局住宅経営室</v>
      </c>
    </row>
    <row r="2088" spans="1:18" s="1" customFormat="1" x14ac:dyDescent="0.45">
      <c r="A2088" s="7" t="str">
        <f t="shared" si="718"/>
        <v>09940003180</v>
      </c>
      <c r="B2088" s="7" t="str">
        <f t="shared" si="719"/>
        <v>高槻沢良木（旧高槻南）</v>
      </c>
      <c r="C2088" s="7" t="str">
        <f t="shared" si="711"/>
        <v>行政財産</v>
      </c>
      <c r="D2088" s="7" t="str">
        <f t="shared" si="712"/>
        <v>公営住宅</v>
      </c>
      <c r="E2088" s="7" t="str">
        <f t="shared" si="720"/>
        <v>大阪府高槻市沢良木町</v>
      </c>
      <c r="F2088" s="7"/>
      <c r="G2088" s="7" t="str">
        <f t="shared" si="709"/>
        <v>事業用資産</v>
      </c>
      <c r="H2088" s="7" t="str">
        <f t="shared" si="704"/>
        <v>棚卸以外</v>
      </c>
      <c r="I2088" s="7">
        <v>6</v>
      </c>
      <c r="J2088" s="7" t="str">
        <f>"６号棟"</f>
        <v>６号棟</v>
      </c>
      <c r="K2088" s="7" t="str">
        <f t="shared" si="721"/>
        <v>鉄筋コンクリート造</v>
      </c>
      <c r="L2088" s="7" t="str">
        <f t="shared" si="722"/>
        <v>S63.08.29</v>
      </c>
      <c r="M2088" s="7">
        <v>1505.4</v>
      </c>
      <c r="N2088" s="7">
        <v>168864000</v>
      </c>
      <c r="O2088" s="7">
        <v>124253075</v>
      </c>
      <c r="P2088" s="7">
        <v>0</v>
      </c>
      <c r="Q2088" s="7" t="str">
        <f t="shared" si="717"/>
        <v>都市整備部</v>
      </c>
      <c r="R2088" s="7" t="str">
        <f t="shared" si="710"/>
        <v>住宅建築局住宅経営室</v>
      </c>
    </row>
    <row r="2089" spans="1:18" s="1" customFormat="1" x14ac:dyDescent="0.45">
      <c r="A2089" s="7" t="str">
        <f t="shared" si="718"/>
        <v>09940003180</v>
      </c>
      <c r="B2089" s="7" t="str">
        <f t="shared" si="719"/>
        <v>高槻沢良木（旧高槻南）</v>
      </c>
      <c r="C2089" s="7" t="str">
        <f t="shared" si="711"/>
        <v>行政財産</v>
      </c>
      <c r="D2089" s="7" t="str">
        <f t="shared" si="712"/>
        <v>公営住宅</v>
      </c>
      <c r="E2089" s="7" t="str">
        <f t="shared" si="720"/>
        <v>大阪府高槻市沢良木町</v>
      </c>
      <c r="F2089" s="7"/>
      <c r="G2089" s="7" t="str">
        <f t="shared" si="709"/>
        <v>事業用資産</v>
      </c>
      <c r="H2089" s="7" t="str">
        <f t="shared" si="704"/>
        <v>棚卸以外</v>
      </c>
      <c r="I2089" s="7">
        <v>7</v>
      </c>
      <c r="J2089" s="7" t="str">
        <f>"７号棟"</f>
        <v>７号棟</v>
      </c>
      <c r="K2089" s="7" t="str">
        <f t="shared" si="721"/>
        <v>鉄筋コンクリート造</v>
      </c>
      <c r="L2089" s="7" t="str">
        <f t="shared" si="722"/>
        <v>S63.08.29</v>
      </c>
      <c r="M2089" s="7">
        <v>2042.7</v>
      </c>
      <c r="N2089" s="7">
        <v>220314878</v>
      </c>
      <c r="O2089" s="7">
        <v>161708070</v>
      </c>
      <c r="P2089" s="7">
        <v>0</v>
      </c>
      <c r="Q2089" s="7" t="str">
        <f t="shared" si="717"/>
        <v>都市整備部</v>
      </c>
      <c r="R2089" s="7" t="str">
        <f t="shared" si="710"/>
        <v>住宅建築局住宅経営室</v>
      </c>
    </row>
    <row r="2090" spans="1:18" s="1" customFormat="1" x14ac:dyDescent="0.45">
      <c r="A2090" s="7" t="str">
        <f t="shared" si="718"/>
        <v>09940003180</v>
      </c>
      <c r="B2090" s="7" t="str">
        <f t="shared" si="719"/>
        <v>高槻沢良木（旧高槻南）</v>
      </c>
      <c r="C2090" s="7" t="str">
        <f t="shared" si="711"/>
        <v>行政財産</v>
      </c>
      <c r="D2090" s="7" t="str">
        <f t="shared" si="712"/>
        <v>公営住宅</v>
      </c>
      <c r="E2090" s="7" t="str">
        <f t="shared" si="720"/>
        <v>大阪府高槻市沢良木町</v>
      </c>
      <c r="F2090" s="7"/>
      <c r="G2090" s="7" t="str">
        <f t="shared" si="709"/>
        <v>事業用資産</v>
      </c>
      <c r="H2090" s="7" t="str">
        <f t="shared" si="704"/>
        <v>棚卸以外</v>
      </c>
      <c r="I2090" s="7">
        <v>8</v>
      </c>
      <c r="J2090" s="7" t="str">
        <f>"受水槽"</f>
        <v>受水槽</v>
      </c>
      <c r="K2090" s="7" t="str">
        <f t="shared" si="721"/>
        <v>鉄筋コンクリート造</v>
      </c>
      <c r="L2090" s="7" t="str">
        <f t="shared" si="722"/>
        <v>S63.08.29</v>
      </c>
      <c r="M2090" s="7">
        <v>81.25</v>
      </c>
      <c r="N2090" s="7">
        <v>27369000</v>
      </c>
      <c r="O2090" s="7">
        <v>20138705</v>
      </c>
      <c r="P2090" s="7">
        <v>0</v>
      </c>
      <c r="Q2090" s="7" t="str">
        <f t="shared" si="717"/>
        <v>都市整備部</v>
      </c>
      <c r="R2090" s="7" t="str">
        <f t="shared" si="710"/>
        <v>住宅建築局住宅経営室</v>
      </c>
    </row>
    <row r="2091" spans="1:18" s="1" customFormat="1" x14ac:dyDescent="0.45">
      <c r="A2091" s="7" t="str">
        <f t="shared" si="718"/>
        <v>09940003180</v>
      </c>
      <c r="B2091" s="7" t="str">
        <f t="shared" si="719"/>
        <v>高槻沢良木（旧高槻南）</v>
      </c>
      <c r="C2091" s="7" t="str">
        <f t="shared" si="711"/>
        <v>行政財産</v>
      </c>
      <c r="D2091" s="7" t="str">
        <f t="shared" si="712"/>
        <v>公営住宅</v>
      </c>
      <c r="E2091" s="7" t="str">
        <f t="shared" si="720"/>
        <v>大阪府高槻市沢良木町</v>
      </c>
      <c r="F2091" s="7"/>
      <c r="G2091" s="7" t="str">
        <f t="shared" si="709"/>
        <v>事業用資産</v>
      </c>
      <c r="H2091" s="7" t="str">
        <f t="shared" si="704"/>
        <v>棚卸以外</v>
      </c>
      <c r="I2091" s="7">
        <v>9</v>
      </c>
      <c r="J2091" s="7" t="str">
        <f>"集会所"</f>
        <v>集会所</v>
      </c>
      <c r="K2091" s="7" t="str">
        <f t="shared" si="721"/>
        <v>鉄筋コンクリート造</v>
      </c>
      <c r="L2091" s="7" t="str">
        <f>"H02.04.01"</f>
        <v>H02.04.01</v>
      </c>
      <c r="M2091" s="7">
        <v>149.53</v>
      </c>
      <c r="N2091" s="7">
        <v>31465000</v>
      </c>
      <c r="O2091" s="7">
        <v>22037050</v>
      </c>
      <c r="P2091" s="7">
        <v>0</v>
      </c>
      <c r="Q2091" s="7" t="str">
        <f t="shared" si="717"/>
        <v>都市整備部</v>
      </c>
      <c r="R2091" s="7" t="str">
        <f t="shared" si="710"/>
        <v>住宅建築局住宅経営室</v>
      </c>
    </row>
    <row r="2092" spans="1:18" s="1" customFormat="1" x14ac:dyDescent="0.45">
      <c r="A2092" s="7" t="str">
        <f t="shared" si="718"/>
        <v>09940003180</v>
      </c>
      <c r="B2092" s="7" t="str">
        <f t="shared" si="719"/>
        <v>高槻沢良木（旧高槻南）</v>
      </c>
      <c r="C2092" s="7" t="str">
        <f t="shared" si="711"/>
        <v>行政財産</v>
      </c>
      <c r="D2092" s="7" t="str">
        <f t="shared" si="712"/>
        <v>公営住宅</v>
      </c>
      <c r="E2092" s="7" t="str">
        <f t="shared" si="720"/>
        <v>大阪府高槻市沢良木町</v>
      </c>
      <c r="F2092" s="7"/>
      <c r="G2092" s="7" t="str">
        <f t="shared" si="709"/>
        <v>事業用資産</v>
      </c>
      <c r="H2092" s="7" t="str">
        <f t="shared" si="704"/>
        <v>棚卸以外</v>
      </c>
      <c r="I2092" s="7">
        <v>10</v>
      </c>
      <c r="J2092" s="7" t="str">
        <f>"８号棟"</f>
        <v>８号棟</v>
      </c>
      <c r="K2092" s="7" t="str">
        <f t="shared" si="721"/>
        <v>鉄筋コンクリート造</v>
      </c>
      <c r="L2092" s="7" t="str">
        <f>"H02.04.27"</f>
        <v>H02.04.27</v>
      </c>
      <c r="M2092" s="7">
        <v>1635.22</v>
      </c>
      <c r="N2092" s="7">
        <v>202958939</v>
      </c>
      <c r="O2092" s="7">
        <v>141951545</v>
      </c>
      <c r="P2092" s="7">
        <v>0</v>
      </c>
      <c r="Q2092" s="7" t="str">
        <f t="shared" si="717"/>
        <v>都市整備部</v>
      </c>
      <c r="R2092" s="7" t="str">
        <f t="shared" si="710"/>
        <v>住宅建築局住宅経営室</v>
      </c>
    </row>
    <row r="2093" spans="1:18" s="1" customFormat="1" x14ac:dyDescent="0.45">
      <c r="A2093" s="7" t="str">
        <f t="shared" si="718"/>
        <v>09940003180</v>
      </c>
      <c r="B2093" s="7" t="str">
        <f t="shared" si="719"/>
        <v>高槻沢良木（旧高槻南）</v>
      </c>
      <c r="C2093" s="7" t="str">
        <f t="shared" si="711"/>
        <v>行政財産</v>
      </c>
      <c r="D2093" s="7" t="str">
        <f t="shared" si="712"/>
        <v>公営住宅</v>
      </c>
      <c r="E2093" s="7" t="str">
        <f t="shared" si="720"/>
        <v>大阪府高槻市沢良木町</v>
      </c>
      <c r="F2093" s="7"/>
      <c r="G2093" s="7" t="str">
        <f t="shared" si="709"/>
        <v>事業用資産</v>
      </c>
      <c r="H2093" s="7" t="str">
        <f t="shared" si="704"/>
        <v>棚卸以外</v>
      </c>
      <c r="I2093" s="7">
        <v>11</v>
      </c>
      <c r="J2093" s="7" t="str">
        <f>"９号棟"</f>
        <v>９号棟</v>
      </c>
      <c r="K2093" s="7" t="str">
        <f t="shared" si="721"/>
        <v>鉄筋コンクリート造</v>
      </c>
      <c r="L2093" s="7" t="str">
        <f>"H02.04.27"</f>
        <v>H02.04.27</v>
      </c>
      <c r="M2093" s="7">
        <v>1635.22</v>
      </c>
      <c r="N2093" s="7">
        <v>198561000</v>
      </c>
      <c r="O2093" s="7">
        <v>139063305</v>
      </c>
      <c r="P2093" s="7">
        <v>0</v>
      </c>
      <c r="Q2093" s="7" t="str">
        <f t="shared" si="717"/>
        <v>都市整備部</v>
      </c>
      <c r="R2093" s="7" t="str">
        <f t="shared" si="710"/>
        <v>住宅建築局住宅経営室</v>
      </c>
    </row>
    <row r="2094" spans="1:18" s="1" customFormat="1" x14ac:dyDescent="0.45">
      <c r="A2094" s="7" t="str">
        <f t="shared" si="718"/>
        <v>09940003180</v>
      </c>
      <c r="B2094" s="7" t="str">
        <f t="shared" si="719"/>
        <v>高槻沢良木（旧高槻南）</v>
      </c>
      <c r="C2094" s="7" t="str">
        <f t="shared" si="711"/>
        <v>行政財産</v>
      </c>
      <c r="D2094" s="7" t="str">
        <f t="shared" si="712"/>
        <v>公営住宅</v>
      </c>
      <c r="E2094" s="7" t="str">
        <f t="shared" si="720"/>
        <v>大阪府高槻市沢良木町</v>
      </c>
      <c r="F2094" s="7"/>
      <c r="G2094" s="7" t="str">
        <f t="shared" si="709"/>
        <v>事業用資産</v>
      </c>
      <c r="H2094" s="7" t="str">
        <f t="shared" si="704"/>
        <v>棚卸以外</v>
      </c>
      <c r="I2094" s="7">
        <v>12</v>
      </c>
      <c r="J2094" s="7" t="str">
        <f>"１０号棟"</f>
        <v>１０号棟</v>
      </c>
      <c r="K2094" s="7" t="str">
        <f t="shared" si="721"/>
        <v>鉄筋コンクリート造</v>
      </c>
      <c r="L2094" s="7" t="str">
        <f>"H02.04.27"</f>
        <v>H02.04.27</v>
      </c>
      <c r="M2094" s="7">
        <v>1505.4</v>
      </c>
      <c r="N2094" s="7">
        <v>181141000</v>
      </c>
      <c r="O2094" s="7">
        <v>126862940</v>
      </c>
      <c r="P2094" s="7">
        <v>0</v>
      </c>
      <c r="Q2094" s="7" t="str">
        <f t="shared" si="717"/>
        <v>都市整備部</v>
      </c>
      <c r="R2094" s="7" t="str">
        <f t="shared" si="710"/>
        <v>住宅建築局住宅経営室</v>
      </c>
    </row>
    <row r="2095" spans="1:18" s="1" customFormat="1" x14ac:dyDescent="0.45">
      <c r="A2095" s="7" t="str">
        <f t="shared" si="718"/>
        <v>09940003180</v>
      </c>
      <c r="B2095" s="7" t="str">
        <f t="shared" si="719"/>
        <v>高槻沢良木（旧高槻南）</v>
      </c>
      <c r="C2095" s="7" t="str">
        <f t="shared" si="711"/>
        <v>行政財産</v>
      </c>
      <c r="D2095" s="7" t="str">
        <f t="shared" si="712"/>
        <v>公営住宅</v>
      </c>
      <c r="E2095" s="7" t="str">
        <f t="shared" si="720"/>
        <v>大阪府高槻市沢良木町</v>
      </c>
      <c r="F2095" s="7"/>
      <c r="G2095" s="7" t="str">
        <f t="shared" si="709"/>
        <v>事業用資産</v>
      </c>
      <c r="H2095" s="7" t="str">
        <f t="shared" si="704"/>
        <v>棚卸以外</v>
      </c>
      <c r="I2095" s="7">
        <v>13</v>
      </c>
      <c r="J2095" s="7" t="str">
        <f>"１１号棟"</f>
        <v>１１号棟</v>
      </c>
      <c r="K2095" s="7" t="str">
        <f t="shared" si="721"/>
        <v>鉄筋コンクリート造</v>
      </c>
      <c r="L2095" s="7" t="str">
        <f>"H04.04.01"</f>
        <v>H04.04.01</v>
      </c>
      <c r="M2095" s="7">
        <v>1505.4</v>
      </c>
      <c r="N2095" s="7">
        <v>242315000</v>
      </c>
      <c r="O2095" s="7">
        <v>159395327</v>
      </c>
      <c r="P2095" s="7">
        <v>0</v>
      </c>
      <c r="Q2095" s="7" t="str">
        <f t="shared" si="717"/>
        <v>都市整備部</v>
      </c>
      <c r="R2095" s="7" t="str">
        <f t="shared" si="710"/>
        <v>住宅建築局住宅経営室</v>
      </c>
    </row>
    <row r="2096" spans="1:18" s="1" customFormat="1" x14ac:dyDescent="0.45">
      <c r="A2096" s="7" t="str">
        <f t="shared" si="718"/>
        <v>09940003180</v>
      </c>
      <c r="B2096" s="7" t="str">
        <f t="shared" si="719"/>
        <v>高槻沢良木（旧高槻南）</v>
      </c>
      <c r="C2096" s="7" t="str">
        <f t="shared" si="711"/>
        <v>行政財産</v>
      </c>
      <c r="D2096" s="7" t="str">
        <f t="shared" si="712"/>
        <v>公営住宅</v>
      </c>
      <c r="E2096" s="7" t="str">
        <f t="shared" si="720"/>
        <v>大阪府高槻市沢良木町</v>
      </c>
      <c r="F2096" s="7"/>
      <c r="G2096" s="7" t="str">
        <f t="shared" si="709"/>
        <v>事業用資産</v>
      </c>
      <c r="H2096" s="7" t="str">
        <f t="shared" si="704"/>
        <v>棚卸以外</v>
      </c>
      <c r="I2096" s="7">
        <v>14</v>
      </c>
      <c r="J2096" s="7" t="str">
        <f>"１２号棟"</f>
        <v>１２号棟</v>
      </c>
      <c r="K2096" s="7" t="str">
        <f t="shared" si="721"/>
        <v>鉄筋コンクリート造</v>
      </c>
      <c r="L2096" s="7" t="str">
        <f>"H04.04.01"</f>
        <v>H04.04.01</v>
      </c>
      <c r="M2096" s="7">
        <v>1502.76</v>
      </c>
      <c r="N2096" s="7">
        <v>249399939</v>
      </c>
      <c r="O2096" s="7">
        <v>163875523</v>
      </c>
      <c r="P2096" s="7">
        <v>0</v>
      </c>
      <c r="Q2096" s="7" t="str">
        <f t="shared" si="717"/>
        <v>都市整備部</v>
      </c>
      <c r="R2096" s="7" t="str">
        <f t="shared" si="710"/>
        <v>住宅建築局住宅経営室</v>
      </c>
    </row>
    <row r="2097" spans="1:18" s="1" customFormat="1" x14ac:dyDescent="0.45">
      <c r="A2097" s="7" t="str">
        <f t="shared" si="718"/>
        <v>09940003180</v>
      </c>
      <c r="B2097" s="7" t="str">
        <f t="shared" si="719"/>
        <v>高槻沢良木（旧高槻南）</v>
      </c>
      <c r="C2097" s="7" t="str">
        <f t="shared" si="711"/>
        <v>行政財産</v>
      </c>
      <c r="D2097" s="7" t="str">
        <f t="shared" si="712"/>
        <v>公営住宅</v>
      </c>
      <c r="E2097" s="7" t="str">
        <f t="shared" si="720"/>
        <v>大阪府高槻市沢良木町</v>
      </c>
      <c r="F2097" s="7"/>
      <c r="G2097" s="7" t="str">
        <f t="shared" si="709"/>
        <v>事業用資産</v>
      </c>
      <c r="H2097" s="7" t="str">
        <f t="shared" si="704"/>
        <v>棚卸以外</v>
      </c>
      <c r="I2097" s="7">
        <v>15</v>
      </c>
      <c r="J2097" s="7" t="str">
        <f>"１３号棟"</f>
        <v>１３号棟</v>
      </c>
      <c r="K2097" s="7" t="str">
        <f t="shared" si="721"/>
        <v>鉄筋コンクリート造</v>
      </c>
      <c r="L2097" s="7" t="str">
        <f>"H04.04.01"</f>
        <v>H04.04.01</v>
      </c>
      <c r="M2097" s="7">
        <v>2431.64</v>
      </c>
      <c r="N2097" s="7">
        <v>419368000</v>
      </c>
      <c r="O2097" s="7">
        <v>275861131</v>
      </c>
      <c r="P2097" s="7">
        <v>0</v>
      </c>
      <c r="Q2097" s="7" t="str">
        <f t="shared" si="717"/>
        <v>都市整備部</v>
      </c>
      <c r="R2097" s="7" t="str">
        <f t="shared" si="710"/>
        <v>住宅建築局住宅経営室</v>
      </c>
    </row>
    <row r="2098" spans="1:18" s="1" customFormat="1" x14ac:dyDescent="0.45">
      <c r="A2098" s="7" t="str">
        <f t="shared" si="718"/>
        <v>09940003180</v>
      </c>
      <c r="B2098" s="7" t="str">
        <f t="shared" si="719"/>
        <v>高槻沢良木（旧高槻南）</v>
      </c>
      <c r="C2098" s="7" t="str">
        <f t="shared" si="711"/>
        <v>行政財産</v>
      </c>
      <c r="D2098" s="7" t="str">
        <f t="shared" si="712"/>
        <v>公営住宅</v>
      </c>
      <c r="E2098" s="7" t="str">
        <f t="shared" si="720"/>
        <v>大阪府高槻市沢良木町</v>
      </c>
      <c r="F2098" s="7"/>
      <c r="G2098" s="7" t="str">
        <f t="shared" si="709"/>
        <v>事業用資産</v>
      </c>
      <c r="H2098" s="7" t="str">
        <f t="shared" si="704"/>
        <v>棚卸以外</v>
      </c>
      <c r="I2098" s="7">
        <v>16</v>
      </c>
      <c r="J2098" s="7" t="str">
        <f>"受水槽"</f>
        <v>受水槽</v>
      </c>
      <c r="K2098" s="7" t="str">
        <f t="shared" si="721"/>
        <v>鉄筋コンクリート造</v>
      </c>
      <c r="L2098" s="7" t="str">
        <f>"H04.04.01"</f>
        <v>H04.04.01</v>
      </c>
      <c r="M2098" s="7">
        <v>35.85</v>
      </c>
      <c r="N2098" s="7">
        <v>19370000</v>
      </c>
      <c r="O2098" s="7">
        <v>12741624</v>
      </c>
      <c r="P2098" s="7">
        <v>0</v>
      </c>
      <c r="Q2098" s="7" t="str">
        <f t="shared" si="717"/>
        <v>都市整備部</v>
      </c>
      <c r="R2098" s="7" t="str">
        <f t="shared" si="710"/>
        <v>住宅建築局住宅経営室</v>
      </c>
    </row>
    <row r="2099" spans="1:18" s="1" customFormat="1" x14ac:dyDescent="0.45">
      <c r="A2099" s="7" t="str">
        <f t="shared" ref="A2099:A2115" si="723">"09940003183"</f>
        <v>09940003183</v>
      </c>
      <c r="B2099" s="7" t="str">
        <f t="shared" ref="B2099:B2115" si="724">"高槻深沢"</f>
        <v>高槻深沢</v>
      </c>
      <c r="C2099" s="7" t="str">
        <f t="shared" si="711"/>
        <v>行政財産</v>
      </c>
      <c r="D2099" s="7" t="str">
        <f t="shared" si="712"/>
        <v>公営住宅</v>
      </c>
      <c r="E2099" s="7" t="str">
        <f t="shared" ref="E2099:E2115" si="725">"大阪府高槻市深沢町２丁目"</f>
        <v>大阪府高槻市深沢町２丁目</v>
      </c>
      <c r="F2099" s="7"/>
      <c r="G2099" s="7" t="str">
        <f t="shared" si="709"/>
        <v>事業用資産</v>
      </c>
      <c r="H2099" s="7" t="str">
        <f t="shared" si="704"/>
        <v>棚卸以外</v>
      </c>
      <c r="I2099" s="7">
        <v>1</v>
      </c>
      <c r="J2099" s="7" t="str">
        <f>"1号棟"</f>
        <v>1号棟</v>
      </c>
      <c r="K2099" s="7" t="str">
        <f t="shared" si="721"/>
        <v>鉄筋コンクリート造</v>
      </c>
      <c r="L2099" s="7" t="str">
        <f>"H16.02.26"</f>
        <v>H16.02.26</v>
      </c>
      <c r="M2099" s="7">
        <v>6542.1</v>
      </c>
      <c r="N2099" s="7">
        <v>1063564788</v>
      </c>
      <c r="O2099" s="7">
        <v>432949233</v>
      </c>
      <c r="P2099" s="7">
        <v>0</v>
      </c>
      <c r="Q2099" s="7" t="str">
        <f t="shared" si="717"/>
        <v>都市整備部</v>
      </c>
      <c r="R2099" s="7" t="str">
        <f t="shared" si="710"/>
        <v>住宅建築局住宅経営室</v>
      </c>
    </row>
    <row r="2100" spans="1:18" s="1" customFormat="1" x14ac:dyDescent="0.45">
      <c r="A2100" s="7" t="str">
        <f t="shared" si="723"/>
        <v>09940003183</v>
      </c>
      <c r="B2100" s="7" t="str">
        <f t="shared" si="724"/>
        <v>高槻深沢</v>
      </c>
      <c r="C2100" s="7" t="str">
        <f t="shared" si="711"/>
        <v>行政財産</v>
      </c>
      <c r="D2100" s="7" t="str">
        <f t="shared" si="712"/>
        <v>公営住宅</v>
      </c>
      <c r="E2100" s="7" t="str">
        <f t="shared" si="725"/>
        <v>大阪府高槻市深沢町２丁目</v>
      </c>
      <c r="F2100" s="7"/>
      <c r="G2100" s="7" t="str">
        <f t="shared" si="709"/>
        <v>事業用資産</v>
      </c>
      <c r="H2100" s="7" t="str">
        <f t="shared" si="704"/>
        <v>棚卸以外</v>
      </c>
      <c r="I2100" s="7">
        <v>2</v>
      </c>
      <c r="J2100" s="7" t="str">
        <f>"ポンプ室・電気室"</f>
        <v>ポンプ室・電気室</v>
      </c>
      <c r="K2100" s="7" t="str">
        <f t="shared" si="721"/>
        <v>鉄筋コンクリート造</v>
      </c>
      <c r="L2100" s="7" t="str">
        <f>"H16.02.26"</f>
        <v>H16.02.26</v>
      </c>
      <c r="M2100" s="7">
        <v>48</v>
      </c>
      <c r="N2100" s="7">
        <v>6060000</v>
      </c>
      <c r="O2100" s="7">
        <v>2460605</v>
      </c>
      <c r="P2100" s="7">
        <v>0</v>
      </c>
      <c r="Q2100" s="7" t="str">
        <f t="shared" si="717"/>
        <v>都市整備部</v>
      </c>
      <c r="R2100" s="7" t="str">
        <f t="shared" si="710"/>
        <v>住宅建築局住宅経営室</v>
      </c>
    </row>
    <row r="2101" spans="1:18" s="1" customFormat="1" x14ac:dyDescent="0.45">
      <c r="A2101" s="7" t="str">
        <f t="shared" si="723"/>
        <v>09940003183</v>
      </c>
      <c r="B2101" s="7" t="str">
        <f t="shared" si="724"/>
        <v>高槻深沢</v>
      </c>
      <c r="C2101" s="7" t="str">
        <f t="shared" si="711"/>
        <v>行政財産</v>
      </c>
      <c r="D2101" s="7" t="str">
        <f t="shared" si="712"/>
        <v>公営住宅</v>
      </c>
      <c r="E2101" s="7" t="str">
        <f t="shared" si="725"/>
        <v>大阪府高槻市深沢町２丁目</v>
      </c>
      <c r="F2101" s="7"/>
      <c r="G2101" s="7" t="str">
        <f t="shared" si="709"/>
        <v>事業用資産</v>
      </c>
      <c r="H2101" s="7" t="str">
        <f t="shared" si="704"/>
        <v>棚卸以外</v>
      </c>
      <c r="I2101" s="7">
        <v>3</v>
      </c>
      <c r="J2101" s="7" t="str">
        <f>"2号棟"</f>
        <v>2号棟</v>
      </c>
      <c r="K2101" s="7" t="str">
        <f t="shared" si="721"/>
        <v>鉄筋コンクリート造</v>
      </c>
      <c r="L2101" s="7" t="str">
        <f>"H16.02.26"</f>
        <v>H16.02.26</v>
      </c>
      <c r="M2101" s="7">
        <v>7291.6</v>
      </c>
      <c r="N2101" s="7">
        <v>1117288788</v>
      </c>
      <c r="O2101" s="7">
        <v>454762628</v>
      </c>
      <c r="P2101" s="7">
        <v>0</v>
      </c>
      <c r="Q2101" s="7" t="str">
        <f t="shared" si="717"/>
        <v>都市整備部</v>
      </c>
      <c r="R2101" s="7" t="str">
        <f t="shared" si="710"/>
        <v>住宅建築局住宅経営室</v>
      </c>
    </row>
    <row r="2102" spans="1:18" s="1" customFormat="1" x14ac:dyDescent="0.45">
      <c r="A2102" s="7" t="str">
        <f t="shared" si="723"/>
        <v>09940003183</v>
      </c>
      <c r="B2102" s="7" t="str">
        <f t="shared" si="724"/>
        <v>高槻深沢</v>
      </c>
      <c r="C2102" s="7" t="str">
        <f t="shared" si="711"/>
        <v>行政財産</v>
      </c>
      <c r="D2102" s="7" t="str">
        <f t="shared" si="712"/>
        <v>公営住宅</v>
      </c>
      <c r="E2102" s="7" t="str">
        <f t="shared" si="725"/>
        <v>大阪府高槻市深沢町２丁目</v>
      </c>
      <c r="F2102" s="7"/>
      <c r="G2102" s="7" t="str">
        <f t="shared" si="709"/>
        <v>事業用資産</v>
      </c>
      <c r="H2102" s="7" t="str">
        <f t="shared" si="704"/>
        <v>棚卸以外</v>
      </c>
      <c r="I2102" s="7">
        <v>4</v>
      </c>
      <c r="J2102" s="7" t="str">
        <f>"ポンプ室・電気室"</f>
        <v>ポンプ室・電気室</v>
      </c>
      <c r="K2102" s="7" t="str">
        <f t="shared" si="721"/>
        <v>鉄筋コンクリート造</v>
      </c>
      <c r="L2102" s="7" t="str">
        <f>"H16.02.26"</f>
        <v>H16.02.26</v>
      </c>
      <c r="M2102" s="7">
        <v>48</v>
      </c>
      <c r="N2102" s="7">
        <v>6192000</v>
      </c>
      <c r="O2102" s="7">
        <v>2514191</v>
      </c>
      <c r="P2102" s="7">
        <v>0</v>
      </c>
      <c r="Q2102" s="7" t="str">
        <f t="shared" si="717"/>
        <v>都市整備部</v>
      </c>
      <c r="R2102" s="7" t="str">
        <f t="shared" si="710"/>
        <v>住宅建築局住宅経営室</v>
      </c>
    </row>
    <row r="2103" spans="1:18" s="1" customFormat="1" x14ac:dyDescent="0.45">
      <c r="A2103" s="7" t="str">
        <f t="shared" si="723"/>
        <v>09940003183</v>
      </c>
      <c r="B2103" s="7" t="str">
        <f t="shared" si="724"/>
        <v>高槻深沢</v>
      </c>
      <c r="C2103" s="7" t="str">
        <f t="shared" si="711"/>
        <v>行政財産</v>
      </c>
      <c r="D2103" s="7" t="str">
        <f t="shared" si="712"/>
        <v>公営住宅</v>
      </c>
      <c r="E2103" s="7" t="str">
        <f t="shared" si="725"/>
        <v>大阪府高槻市深沢町２丁目</v>
      </c>
      <c r="F2103" s="7"/>
      <c r="G2103" s="7" t="str">
        <f t="shared" si="709"/>
        <v>事業用資産</v>
      </c>
      <c r="H2103" s="7" t="str">
        <f t="shared" si="704"/>
        <v>棚卸以外</v>
      </c>
      <c r="I2103" s="7">
        <v>5</v>
      </c>
      <c r="J2103" s="7" t="str">
        <f>"６号棟"</f>
        <v>６号棟</v>
      </c>
      <c r="K2103" s="7" t="str">
        <f t="shared" si="721"/>
        <v>鉄筋コンクリート造</v>
      </c>
      <c r="L2103" s="7" t="str">
        <f>"H18.04.28"</f>
        <v>H18.04.28</v>
      </c>
      <c r="M2103" s="7">
        <v>5316.28</v>
      </c>
      <c r="N2103" s="7">
        <v>776332788</v>
      </c>
      <c r="O2103" s="7">
        <v>280892416</v>
      </c>
      <c r="P2103" s="7">
        <v>0</v>
      </c>
      <c r="Q2103" s="7" t="str">
        <f t="shared" si="717"/>
        <v>都市整備部</v>
      </c>
      <c r="R2103" s="7" t="str">
        <f t="shared" si="710"/>
        <v>住宅建築局住宅経営室</v>
      </c>
    </row>
    <row r="2104" spans="1:18" s="1" customFormat="1" x14ac:dyDescent="0.45">
      <c r="A2104" s="7" t="str">
        <f t="shared" si="723"/>
        <v>09940003183</v>
      </c>
      <c r="B2104" s="7" t="str">
        <f t="shared" si="724"/>
        <v>高槻深沢</v>
      </c>
      <c r="C2104" s="7" t="str">
        <f t="shared" si="711"/>
        <v>行政財産</v>
      </c>
      <c r="D2104" s="7" t="str">
        <f t="shared" si="712"/>
        <v>公営住宅</v>
      </c>
      <c r="E2104" s="7" t="str">
        <f t="shared" si="725"/>
        <v>大阪府高槻市深沢町２丁目</v>
      </c>
      <c r="F2104" s="7"/>
      <c r="G2104" s="7" t="str">
        <f t="shared" si="709"/>
        <v>事業用資産</v>
      </c>
      <c r="H2104" s="7" t="str">
        <f t="shared" si="704"/>
        <v>棚卸以外</v>
      </c>
      <c r="I2104" s="7">
        <v>6</v>
      </c>
      <c r="J2104" s="7" t="str">
        <f>"７号棟"</f>
        <v>７号棟</v>
      </c>
      <c r="K2104" s="7" t="str">
        <f t="shared" si="721"/>
        <v>鉄筋コンクリート造</v>
      </c>
      <c r="L2104" s="7" t="str">
        <f>"H18.04.28"</f>
        <v>H18.04.28</v>
      </c>
      <c r="M2104" s="7">
        <v>3664.89</v>
      </c>
      <c r="N2104" s="7">
        <v>464078394</v>
      </c>
      <c r="O2104" s="7">
        <v>167769196</v>
      </c>
      <c r="P2104" s="7">
        <v>0</v>
      </c>
      <c r="Q2104" s="7" t="str">
        <f t="shared" si="717"/>
        <v>都市整備部</v>
      </c>
      <c r="R2104" s="7" t="str">
        <f t="shared" si="710"/>
        <v>住宅建築局住宅経営室</v>
      </c>
    </row>
    <row r="2105" spans="1:18" s="1" customFormat="1" x14ac:dyDescent="0.45">
      <c r="A2105" s="7" t="str">
        <f t="shared" si="723"/>
        <v>09940003183</v>
      </c>
      <c r="B2105" s="7" t="str">
        <f t="shared" si="724"/>
        <v>高槻深沢</v>
      </c>
      <c r="C2105" s="7" t="str">
        <f t="shared" si="711"/>
        <v>行政財産</v>
      </c>
      <c r="D2105" s="7" t="str">
        <f t="shared" si="712"/>
        <v>公営住宅</v>
      </c>
      <c r="E2105" s="7" t="str">
        <f t="shared" si="725"/>
        <v>大阪府高槻市深沢町２丁目</v>
      </c>
      <c r="F2105" s="7"/>
      <c r="G2105" s="7" t="str">
        <f t="shared" si="709"/>
        <v>事業用資産</v>
      </c>
      <c r="H2105" s="7" t="str">
        <f t="shared" si="704"/>
        <v>棚卸以外</v>
      </c>
      <c r="I2105" s="7">
        <v>7</v>
      </c>
      <c r="J2105" s="7" t="str">
        <f>"受水槽ポンプ室・電気室"</f>
        <v>受水槽ポンプ室・電気室</v>
      </c>
      <c r="K2105" s="7" t="str">
        <f t="shared" si="721"/>
        <v>鉄筋コンクリート造</v>
      </c>
      <c r="L2105" s="7" t="str">
        <f>"H18.04.28"</f>
        <v>H18.04.28</v>
      </c>
      <c r="M2105" s="7">
        <v>48</v>
      </c>
      <c r="N2105" s="7">
        <v>7812000</v>
      </c>
      <c r="O2105" s="7">
        <v>2811956</v>
      </c>
      <c r="P2105" s="7">
        <v>0</v>
      </c>
      <c r="Q2105" s="7" t="str">
        <f t="shared" si="717"/>
        <v>都市整備部</v>
      </c>
      <c r="R2105" s="7" t="str">
        <f t="shared" si="710"/>
        <v>住宅建築局住宅経営室</v>
      </c>
    </row>
    <row r="2106" spans="1:18" s="1" customFormat="1" x14ac:dyDescent="0.45">
      <c r="A2106" s="7" t="str">
        <f t="shared" si="723"/>
        <v>09940003183</v>
      </c>
      <c r="B2106" s="7" t="str">
        <f t="shared" si="724"/>
        <v>高槻深沢</v>
      </c>
      <c r="C2106" s="7" t="str">
        <f t="shared" si="711"/>
        <v>行政財産</v>
      </c>
      <c r="D2106" s="7" t="str">
        <f t="shared" si="712"/>
        <v>公営住宅</v>
      </c>
      <c r="E2106" s="7" t="str">
        <f t="shared" si="725"/>
        <v>大阪府高槻市深沢町２丁目</v>
      </c>
      <c r="F2106" s="7"/>
      <c r="G2106" s="7" t="str">
        <f t="shared" si="709"/>
        <v>事業用資産</v>
      </c>
      <c r="H2106" s="7" t="str">
        <f t="shared" si="704"/>
        <v>棚卸以外</v>
      </c>
      <c r="I2106" s="7">
        <v>8</v>
      </c>
      <c r="J2106" s="7" t="str">
        <f>"８号棟"</f>
        <v>８号棟</v>
      </c>
      <c r="K2106" s="7" t="str">
        <f t="shared" si="721"/>
        <v>鉄筋コンクリート造</v>
      </c>
      <c r="L2106" s="7" t="str">
        <f>"H20.08.12"</f>
        <v>H20.08.12</v>
      </c>
      <c r="M2106" s="7">
        <v>9812.16</v>
      </c>
      <c r="N2106" s="7">
        <v>1221914183</v>
      </c>
      <c r="O2106" s="7">
        <v>381265454</v>
      </c>
      <c r="P2106" s="7">
        <v>0</v>
      </c>
      <c r="Q2106" s="7" t="str">
        <f t="shared" si="717"/>
        <v>都市整備部</v>
      </c>
      <c r="R2106" s="7" t="str">
        <f t="shared" si="710"/>
        <v>住宅建築局住宅経営室</v>
      </c>
    </row>
    <row r="2107" spans="1:18" s="1" customFormat="1" x14ac:dyDescent="0.45">
      <c r="A2107" s="7" t="str">
        <f t="shared" si="723"/>
        <v>09940003183</v>
      </c>
      <c r="B2107" s="7" t="str">
        <f t="shared" si="724"/>
        <v>高槻深沢</v>
      </c>
      <c r="C2107" s="7" t="str">
        <f t="shared" si="711"/>
        <v>行政財産</v>
      </c>
      <c r="D2107" s="7" t="str">
        <f t="shared" si="712"/>
        <v>公営住宅</v>
      </c>
      <c r="E2107" s="7" t="str">
        <f t="shared" si="725"/>
        <v>大阪府高槻市深沢町２丁目</v>
      </c>
      <c r="F2107" s="7"/>
      <c r="G2107" s="7" t="str">
        <f t="shared" si="709"/>
        <v>事業用資産</v>
      </c>
      <c r="H2107" s="7" t="str">
        <f t="shared" si="704"/>
        <v>棚卸以外</v>
      </c>
      <c r="I2107" s="7">
        <v>9</v>
      </c>
      <c r="J2107" s="7" t="str">
        <f>"１０号等"</f>
        <v>１０号等</v>
      </c>
      <c r="K2107" s="7" t="str">
        <f t="shared" si="721"/>
        <v>鉄筋コンクリート造</v>
      </c>
      <c r="L2107" s="7" t="str">
        <f>"H20.08.12"</f>
        <v>H20.08.12</v>
      </c>
      <c r="M2107" s="7">
        <v>5014.66</v>
      </c>
      <c r="N2107" s="7">
        <v>656899184</v>
      </c>
      <c r="O2107" s="7">
        <v>205950454</v>
      </c>
      <c r="P2107" s="7">
        <v>0</v>
      </c>
      <c r="Q2107" s="7" t="str">
        <f t="shared" si="717"/>
        <v>都市整備部</v>
      </c>
      <c r="R2107" s="7" t="str">
        <f t="shared" si="710"/>
        <v>住宅建築局住宅経営室</v>
      </c>
    </row>
    <row r="2108" spans="1:18" s="1" customFormat="1" x14ac:dyDescent="0.45">
      <c r="A2108" s="7" t="str">
        <f t="shared" si="723"/>
        <v>09940003183</v>
      </c>
      <c r="B2108" s="7" t="str">
        <f t="shared" si="724"/>
        <v>高槻深沢</v>
      </c>
      <c r="C2108" s="7" t="str">
        <f t="shared" si="711"/>
        <v>行政財産</v>
      </c>
      <c r="D2108" s="7" t="str">
        <f t="shared" si="712"/>
        <v>公営住宅</v>
      </c>
      <c r="E2108" s="7" t="str">
        <f t="shared" si="725"/>
        <v>大阪府高槻市深沢町２丁目</v>
      </c>
      <c r="F2108" s="7"/>
      <c r="G2108" s="7" t="str">
        <f t="shared" si="709"/>
        <v>事業用資産</v>
      </c>
      <c r="H2108" s="7" t="str">
        <f t="shared" si="704"/>
        <v>棚卸以外</v>
      </c>
      <c r="I2108" s="7">
        <v>10</v>
      </c>
      <c r="J2108" s="7" t="str">
        <f>"ポンプ室・電気室"</f>
        <v>ポンプ室・電気室</v>
      </c>
      <c r="K2108" s="7" t="str">
        <f t="shared" si="721"/>
        <v>鉄筋コンクリート造</v>
      </c>
      <c r="L2108" s="7" t="str">
        <f>"H20.08.12"</f>
        <v>H20.08.12</v>
      </c>
      <c r="M2108" s="7">
        <v>39.119999999999997</v>
      </c>
      <c r="N2108" s="7">
        <v>9882000</v>
      </c>
      <c r="O2108" s="7">
        <v>3066350</v>
      </c>
      <c r="P2108" s="7">
        <v>0</v>
      </c>
      <c r="Q2108" s="7" t="str">
        <f t="shared" si="717"/>
        <v>都市整備部</v>
      </c>
      <c r="R2108" s="7" t="str">
        <f t="shared" si="710"/>
        <v>住宅建築局住宅経営室</v>
      </c>
    </row>
    <row r="2109" spans="1:18" s="1" customFormat="1" x14ac:dyDescent="0.45">
      <c r="A2109" s="7" t="str">
        <f t="shared" si="723"/>
        <v>09940003183</v>
      </c>
      <c r="B2109" s="7" t="str">
        <f t="shared" si="724"/>
        <v>高槻深沢</v>
      </c>
      <c r="C2109" s="7" t="str">
        <f t="shared" si="711"/>
        <v>行政財産</v>
      </c>
      <c r="D2109" s="7" t="str">
        <f t="shared" si="712"/>
        <v>公営住宅</v>
      </c>
      <c r="E2109" s="7" t="str">
        <f t="shared" si="725"/>
        <v>大阪府高槻市深沢町２丁目</v>
      </c>
      <c r="F2109" s="7"/>
      <c r="G2109" s="7" t="str">
        <f t="shared" si="709"/>
        <v>事業用資産</v>
      </c>
      <c r="H2109" s="7" t="str">
        <f t="shared" si="704"/>
        <v>棚卸以外</v>
      </c>
      <c r="I2109" s="7">
        <v>11</v>
      </c>
      <c r="J2109" s="7" t="str">
        <f>"ポンプ室・電気室"</f>
        <v>ポンプ室・電気室</v>
      </c>
      <c r="K2109" s="7" t="str">
        <f t="shared" si="721"/>
        <v>鉄筋コンクリート造</v>
      </c>
      <c r="L2109" s="7" t="str">
        <f>"H20.08.12"</f>
        <v>H20.08.12</v>
      </c>
      <c r="M2109" s="7">
        <v>53</v>
      </c>
      <c r="N2109" s="7">
        <v>13279000</v>
      </c>
      <c r="O2109" s="7">
        <v>4120375</v>
      </c>
      <c r="P2109" s="7">
        <v>0</v>
      </c>
      <c r="Q2109" s="7" t="str">
        <f t="shared" si="717"/>
        <v>都市整備部</v>
      </c>
      <c r="R2109" s="7" t="str">
        <f t="shared" si="710"/>
        <v>住宅建築局住宅経営室</v>
      </c>
    </row>
    <row r="2110" spans="1:18" s="1" customFormat="1" x14ac:dyDescent="0.45">
      <c r="A2110" s="7" t="str">
        <f t="shared" si="723"/>
        <v>09940003183</v>
      </c>
      <c r="B2110" s="7" t="str">
        <f t="shared" si="724"/>
        <v>高槻深沢</v>
      </c>
      <c r="C2110" s="7" t="str">
        <f t="shared" si="711"/>
        <v>行政財産</v>
      </c>
      <c r="D2110" s="7" t="str">
        <f t="shared" si="712"/>
        <v>公営住宅</v>
      </c>
      <c r="E2110" s="7" t="str">
        <f t="shared" si="725"/>
        <v>大阪府高槻市深沢町２丁目</v>
      </c>
      <c r="F2110" s="7"/>
      <c r="G2110" s="7" t="str">
        <f t="shared" si="709"/>
        <v>事業用資産</v>
      </c>
      <c r="H2110" s="7" t="str">
        <f t="shared" si="704"/>
        <v>棚卸以外</v>
      </c>
      <c r="I2110" s="7">
        <v>12</v>
      </c>
      <c r="J2110" s="7" t="str">
        <f>"５号棟"</f>
        <v>５号棟</v>
      </c>
      <c r="K2110" s="7" t="str">
        <f t="shared" si="721"/>
        <v>鉄筋コンクリート造</v>
      </c>
      <c r="L2110" s="7" t="str">
        <f t="shared" ref="L2110:L2115" si="726">"H23.06.30"</f>
        <v>H23.06.30</v>
      </c>
      <c r="M2110" s="7">
        <v>6870.69</v>
      </c>
      <c r="N2110" s="7">
        <v>867281349</v>
      </c>
      <c r="O2110" s="7">
        <v>216987434</v>
      </c>
      <c r="P2110" s="7">
        <v>0</v>
      </c>
      <c r="Q2110" s="7" t="str">
        <f t="shared" si="717"/>
        <v>都市整備部</v>
      </c>
      <c r="R2110" s="7" t="str">
        <f t="shared" si="710"/>
        <v>住宅建築局住宅経営室</v>
      </c>
    </row>
    <row r="2111" spans="1:18" s="1" customFormat="1" x14ac:dyDescent="0.45">
      <c r="A2111" s="7" t="str">
        <f t="shared" si="723"/>
        <v>09940003183</v>
      </c>
      <c r="B2111" s="7" t="str">
        <f t="shared" si="724"/>
        <v>高槻深沢</v>
      </c>
      <c r="C2111" s="7" t="str">
        <f t="shared" si="711"/>
        <v>行政財産</v>
      </c>
      <c r="D2111" s="7" t="str">
        <f t="shared" si="712"/>
        <v>公営住宅</v>
      </c>
      <c r="E2111" s="7" t="str">
        <f t="shared" si="725"/>
        <v>大阪府高槻市深沢町２丁目</v>
      </c>
      <c r="F2111" s="7"/>
      <c r="G2111" s="7" t="str">
        <f t="shared" si="709"/>
        <v>事業用資産</v>
      </c>
      <c r="H2111" s="7" t="str">
        <f t="shared" si="704"/>
        <v>棚卸以外</v>
      </c>
      <c r="I2111" s="7">
        <v>13</v>
      </c>
      <c r="J2111" s="7" t="str">
        <f>"４号棟"</f>
        <v>４号棟</v>
      </c>
      <c r="K2111" s="7" t="str">
        <f t="shared" si="721"/>
        <v>鉄筋コンクリート造</v>
      </c>
      <c r="L2111" s="7" t="str">
        <f t="shared" si="726"/>
        <v>H23.06.30</v>
      </c>
      <c r="M2111" s="7">
        <v>5135.24</v>
      </c>
      <c r="N2111" s="7">
        <v>677440414</v>
      </c>
      <c r="O2111" s="7">
        <v>169443646</v>
      </c>
      <c r="P2111" s="7">
        <v>0</v>
      </c>
      <c r="Q2111" s="7" t="str">
        <f t="shared" si="717"/>
        <v>都市整備部</v>
      </c>
      <c r="R2111" s="7" t="str">
        <f t="shared" si="710"/>
        <v>住宅建築局住宅経営室</v>
      </c>
    </row>
    <row r="2112" spans="1:18" s="1" customFormat="1" x14ac:dyDescent="0.45">
      <c r="A2112" s="7" t="str">
        <f t="shared" si="723"/>
        <v>09940003183</v>
      </c>
      <c r="B2112" s="7" t="str">
        <f t="shared" si="724"/>
        <v>高槻深沢</v>
      </c>
      <c r="C2112" s="7" t="str">
        <f t="shared" si="711"/>
        <v>行政財産</v>
      </c>
      <c r="D2112" s="7" t="str">
        <f t="shared" si="712"/>
        <v>公営住宅</v>
      </c>
      <c r="E2112" s="7" t="str">
        <f t="shared" si="725"/>
        <v>大阪府高槻市深沢町２丁目</v>
      </c>
      <c r="F2112" s="7"/>
      <c r="G2112" s="7" t="str">
        <f t="shared" si="709"/>
        <v>事業用資産</v>
      </c>
      <c r="H2112" s="7" t="str">
        <f t="shared" si="704"/>
        <v>棚卸以外</v>
      </c>
      <c r="I2112" s="7">
        <v>14</v>
      </c>
      <c r="J2112" s="7" t="str">
        <f>"９号棟"</f>
        <v>９号棟</v>
      </c>
      <c r="K2112" s="7" t="str">
        <f t="shared" si="721"/>
        <v>鉄筋コンクリート造</v>
      </c>
      <c r="L2112" s="7" t="str">
        <f t="shared" si="726"/>
        <v>H23.06.30</v>
      </c>
      <c r="M2112" s="7">
        <v>2934.51</v>
      </c>
      <c r="N2112" s="7">
        <v>376022645</v>
      </c>
      <c r="O2112" s="7">
        <v>94089157</v>
      </c>
      <c r="P2112" s="7">
        <v>0</v>
      </c>
      <c r="Q2112" s="7" t="str">
        <f t="shared" si="717"/>
        <v>都市整備部</v>
      </c>
      <c r="R2112" s="7" t="str">
        <f t="shared" si="710"/>
        <v>住宅建築局住宅経営室</v>
      </c>
    </row>
    <row r="2113" spans="1:18" s="1" customFormat="1" x14ac:dyDescent="0.45">
      <c r="A2113" s="7" t="str">
        <f t="shared" si="723"/>
        <v>09940003183</v>
      </c>
      <c r="B2113" s="7" t="str">
        <f t="shared" si="724"/>
        <v>高槻深沢</v>
      </c>
      <c r="C2113" s="7" t="str">
        <f t="shared" si="711"/>
        <v>行政財産</v>
      </c>
      <c r="D2113" s="7" t="str">
        <f t="shared" si="712"/>
        <v>公営住宅</v>
      </c>
      <c r="E2113" s="7" t="str">
        <f t="shared" si="725"/>
        <v>大阪府高槻市深沢町２丁目</v>
      </c>
      <c r="F2113" s="7"/>
      <c r="G2113" s="7" t="str">
        <f t="shared" si="709"/>
        <v>事業用資産</v>
      </c>
      <c r="H2113" s="7" t="str">
        <f t="shared" si="704"/>
        <v>棚卸以外</v>
      </c>
      <c r="I2113" s="7">
        <v>15</v>
      </c>
      <c r="J2113" s="7" t="str">
        <f>"集会所"</f>
        <v>集会所</v>
      </c>
      <c r="K2113" s="7" t="str">
        <f t="shared" si="721"/>
        <v>鉄筋コンクリート造</v>
      </c>
      <c r="L2113" s="7" t="str">
        <f t="shared" si="726"/>
        <v>H23.06.30</v>
      </c>
      <c r="M2113" s="7">
        <v>300.3</v>
      </c>
      <c r="N2113" s="7">
        <v>64601841</v>
      </c>
      <c r="O2113" s="7">
        <v>16150563</v>
      </c>
      <c r="P2113" s="7">
        <v>0</v>
      </c>
      <c r="Q2113" s="7" t="str">
        <f t="shared" si="717"/>
        <v>都市整備部</v>
      </c>
      <c r="R2113" s="7" t="str">
        <f t="shared" si="710"/>
        <v>住宅建築局住宅経営室</v>
      </c>
    </row>
    <row r="2114" spans="1:18" s="1" customFormat="1" x14ac:dyDescent="0.45">
      <c r="A2114" s="7" t="str">
        <f t="shared" si="723"/>
        <v>09940003183</v>
      </c>
      <c r="B2114" s="7" t="str">
        <f t="shared" si="724"/>
        <v>高槻深沢</v>
      </c>
      <c r="C2114" s="7" t="str">
        <f t="shared" si="711"/>
        <v>行政財産</v>
      </c>
      <c r="D2114" s="7" t="str">
        <f t="shared" si="712"/>
        <v>公営住宅</v>
      </c>
      <c r="E2114" s="7" t="str">
        <f t="shared" si="725"/>
        <v>大阪府高槻市深沢町２丁目</v>
      </c>
      <c r="F2114" s="7"/>
      <c r="G2114" s="7" t="str">
        <f t="shared" si="709"/>
        <v>事業用資産</v>
      </c>
      <c r="H2114" s="7" t="str">
        <f t="shared" si="704"/>
        <v>棚卸以外</v>
      </c>
      <c r="I2114" s="7">
        <v>16</v>
      </c>
      <c r="J2114" s="7" t="str">
        <f>"受水槽・ポンプ室（５号棟用）"</f>
        <v>受水槽・ポンプ室（５号棟用）</v>
      </c>
      <c r="K2114" s="7" t="str">
        <f t="shared" si="721"/>
        <v>鉄筋コンクリート造</v>
      </c>
      <c r="L2114" s="7" t="str">
        <f t="shared" si="726"/>
        <v>H23.06.30</v>
      </c>
      <c r="M2114" s="7">
        <v>6.6</v>
      </c>
      <c r="N2114" s="7">
        <v>6522961</v>
      </c>
      <c r="O2114" s="7">
        <v>1630806</v>
      </c>
      <c r="P2114" s="7">
        <v>0</v>
      </c>
      <c r="Q2114" s="7" t="str">
        <f t="shared" si="717"/>
        <v>都市整備部</v>
      </c>
      <c r="R2114" s="7" t="str">
        <f t="shared" si="710"/>
        <v>住宅建築局住宅経営室</v>
      </c>
    </row>
    <row r="2115" spans="1:18" s="1" customFormat="1" x14ac:dyDescent="0.45">
      <c r="A2115" s="7" t="str">
        <f t="shared" si="723"/>
        <v>09940003183</v>
      </c>
      <c r="B2115" s="7" t="str">
        <f t="shared" si="724"/>
        <v>高槻深沢</v>
      </c>
      <c r="C2115" s="7" t="str">
        <f t="shared" si="711"/>
        <v>行政財産</v>
      </c>
      <c r="D2115" s="7" t="str">
        <f t="shared" si="712"/>
        <v>公営住宅</v>
      </c>
      <c r="E2115" s="7" t="str">
        <f t="shared" si="725"/>
        <v>大阪府高槻市深沢町２丁目</v>
      </c>
      <c r="F2115" s="7"/>
      <c r="G2115" s="7" t="str">
        <f t="shared" si="709"/>
        <v>事業用資産</v>
      </c>
      <c r="H2115" s="7" t="str">
        <f t="shared" si="704"/>
        <v>棚卸以外</v>
      </c>
      <c r="I2115" s="7">
        <v>17</v>
      </c>
      <c r="J2115" s="7" t="str">
        <f>"受水槽ポンプ室・電気室（４号棟用）"</f>
        <v>受水槽ポンプ室・電気室（４号棟用）</v>
      </c>
      <c r="K2115" s="7" t="str">
        <f t="shared" ref="K2115:K2132" si="727">"鉄筋コンクリート造"</f>
        <v>鉄筋コンクリート造</v>
      </c>
      <c r="L2115" s="7" t="str">
        <f t="shared" si="726"/>
        <v>H23.06.30</v>
      </c>
      <c r="M2115" s="7">
        <v>44.68</v>
      </c>
      <c r="N2115" s="7">
        <v>12184190</v>
      </c>
      <c r="O2115" s="7">
        <v>3046164</v>
      </c>
      <c r="P2115" s="7">
        <v>0</v>
      </c>
      <c r="Q2115" s="7" t="str">
        <f t="shared" si="717"/>
        <v>都市整備部</v>
      </c>
      <c r="R2115" s="7" t="str">
        <f t="shared" si="710"/>
        <v>住宅建築局住宅経営室</v>
      </c>
    </row>
    <row r="2116" spans="1:18" s="1" customFormat="1" x14ac:dyDescent="0.45">
      <c r="A2116" s="7" t="str">
        <f t="shared" ref="A2116:A2123" si="728">"09940003184"</f>
        <v>09940003184</v>
      </c>
      <c r="B2116" s="7" t="str">
        <f t="shared" ref="B2116:B2123" si="729">"貴望ケ丘"</f>
        <v>貴望ケ丘</v>
      </c>
      <c r="C2116" s="7" t="str">
        <f t="shared" si="711"/>
        <v>行政財産</v>
      </c>
      <c r="D2116" s="7" t="str">
        <f t="shared" si="712"/>
        <v>公営住宅</v>
      </c>
      <c r="E2116" s="7" t="str">
        <f t="shared" ref="E2116:E2123" si="730">"大阪府河内長野市北貴望ケ丘"</f>
        <v>大阪府河内長野市北貴望ケ丘</v>
      </c>
      <c r="F2116" s="7"/>
      <c r="G2116" s="7" t="str">
        <f t="shared" si="709"/>
        <v>事業用資産</v>
      </c>
      <c r="H2116" s="7" t="str">
        <f t="shared" ref="H2116:H2179" si="731">"棚卸以外"</f>
        <v>棚卸以外</v>
      </c>
      <c r="I2116" s="7">
        <v>1</v>
      </c>
      <c r="J2116" s="7" t="str">
        <f>"９～１４号棟"</f>
        <v>９～１４号棟</v>
      </c>
      <c r="K2116" s="7" t="str">
        <f t="shared" si="727"/>
        <v>鉄筋コンクリート造</v>
      </c>
      <c r="L2116" s="7" t="str">
        <f>"S45.01.10"</f>
        <v>S45.01.10</v>
      </c>
      <c r="M2116" s="7">
        <v>10705.59</v>
      </c>
      <c r="N2116" s="7">
        <v>794132900</v>
      </c>
      <c r="O2116" s="7">
        <v>349033489</v>
      </c>
      <c r="P2116" s="7">
        <v>0</v>
      </c>
      <c r="Q2116" s="7" t="str">
        <f t="shared" si="717"/>
        <v>都市整備部</v>
      </c>
      <c r="R2116" s="7" t="str">
        <f t="shared" si="710"/>
        <v>住宅建築局住宅経営室</v>
      </c>
    </row>
    <row r="2117" spans="1:18" s="1" customFormat="1" x14ac:dyDescent="0.45">
      <c r="A2117" s="7" t="str">
        <f t="shared" si="728"/>
        <v>09940003184</v>
      </c>
      <c r="B2117" s="7" t="str">
        <f t="shared" si="729"/>
        <v>貴望ケ丘</v>
      </c>
      <c r="C2117" s="7" t="str">
        <f t="shared" si="711"/>
        <v>行政財産</v>
      </c>
      <c r="D2117" s="7" t="str">
        <f t="shared" si="712"/>
        <v>公営住宅</v>
      </c>
      <c r="E2117" s="7" t="str">
        <f t="shared" si="730"/>
        <v>大阪府河内長野市北貴望ケ丘</v>
      </c>
      <c r="F2117" s="7"/>
      <c r="G2117" s="7" t="str">
        <f t="shared" si="709"/>
        <v>事業用資産</v>
      </c>
      <c r="H2117" s="7" t="str">
        <f t="shared" si="731"/>
        <v>棚卸以外</v>
      </c>
      <c r="I2117" s="7">
        <v>2</v>
      </c>
      <c r="J2117" s="7" t="str">
        <f>"１～８号棟"</f>
        <v>１～８号棟</v>
      </c>
      <c r="K2117" s="7" t="str">
        <f t="shared" si="727"/>
        <v>鉄筋コンクリート造</v>
      </c>
      <c r="L2117" s="7" t="str">
        <f>"S45.01.10"</f>
        <v>S45.01.10</v>
      </c>
      <c r="M2117" s="7">
        <v>13157.95</v>
      </c>
      <c r="N2117" s="7">
        <v>921213877</v>
      </c>
      <c r="O2117" s="7">
        <v>389057581</v>
      </c>
      <c r="P2117" s="7">
        <v>0</v>
      </c>
      <c r="Q2117" s="7" t="str">
        <f t="shared" si="717"/>
        <v>都市整備部</v>
      </c>
      <c r="R2117" s="7" t="str">
        <f t="shared" si="710"/>
        <v>住宅建築局住宅経営室</v>
      </c>
    </row>
    <row r="2118" spans="1:18" s="1" customFormat="1" x14ac:dyDescent="0.45">
      <c r="A2118" s="7" t="str">
        <f t="shared" si="728"/>
        <v>09940003184</v>
      </c>
      <c r="B2118" s="7" t="str">
        <f t="shared" si="729"/>
        <v>貴望ケ丘</v>
      </c>
      <c r="C2118" s="7" t="str">
        <f t="shared" si="711"/>
        <v>行政財産</v>
      </c>
      <c r="D2118" s="7" t="str">
        <f t="shared" si="712"/>
        <v>公営住宅</v>
      </c>
      <c r="E2118" s="7" t="str">
        <f t="shared" si="730"/>
        <v>大阪府河内長野市北貴望ケ丘</v>
      </c>
      <c r="F2118" s="7"/>
      <c r="G2118" s="7" t="str">
        <f t="shared" si="709"/>
        <v>事業用資産</v>
      </c>
      <c r="H2118" s="7" t="str">
        <f t="shared" si="731"/>
        <v>棚卸以外</v>
      </c>
      <c r="I2118" s="7">
        <v>3</v>
      </c>
      <c r="J2118" s="7" t="str">
        <f>"集会所"</f>
        <v>集会所</v>
      </c>
      <c r="K2118" s="7" t="str">
        <f t="shared" si="727"/>
        <v>鉄筋コンクリート造</v>
      </c>
      <c r="L2118" s="7" t="str">
        <f>"S45.01.10"</f>
        <v>S45.01.10</v>
      </c>
      <c r="M2118" s="7">
        <v>93.16</v>
      </c>
      <c r="N2118" s="7">
        <v>13658491</v>
      </c>
      <c r="O2118" s="7">
        <v>5416746</v>
      </c>
      <c r="P2118" s="7">
        <v>0</v>
      </c>
      <c r="Q2118" s="7" t="str">
        <f t="shared" si="717"/>
        <v>都市整備部</v>
      </c>
      <c r="R2118" s="7" t="str">
        <f t="shared" si="710"/>
        <v>住宅建築局住宅経営室</v>
      </c>
    </row>
    <row r="2119" spans="1:18" s="1" customFormat="1" x14ac:dyDescent="0.45">
      <c r="A2119" s="7" t="str">
        <f t="shared" si="728"/>
        <v>09940003184</v>
      </c>
      <c r="B2119" s="7" t="str">
        <f t="shared" si="729"/>
        <v>貴望ケ丘</v>
      </c>
      <c r="C2119" s="7" t="str">
        <f t="shared" si="711"/>
        <v>行政財産</v>
      </c>
      <c r="D2119" s="7" t="str">
        <f t="shared" si="712"/>
        <v>公営住宅</v>
      </c>
      <c r="E2119" s="7" t="str">
        <f t="shared" si="730"/>
        <v>大阪府河内長野市北貴望ケ丘</v>
      </c>
      <c r="F2119" s="7"/>
      <c r="G2119" s="7" t="str">
        <f t="shared" si="709"/>
        <v>事業用資産</v>
      </c>
      <c r="H2119" s="7" t="str">
        <f t="shared" si="731"/>
        <v>棚卸以外</v>
      </c>
      <c r="I2119" s="7">
        <v>4</v>
      </c>
      <c r="J2119" s="7" t="str">
        <f>"集会所"</f>
        <v>集会所</v>
      </c>
      <c r="K2119" s="7" t="str">
        <f t="shared" si="727"/>
        <v>鉄筋コンクリート造</v>
      </c>
      <c r="L2119" s="7" t="str">
        <f>"H02.03.30"</f>
        <v>H02.03.30</v>
      </c>
      <c r="M2119" s="7">
        <v>56.82</v>
      </c>
      <c r="N2119" s="7">
        <v>17683342</v>
      </c>
      <c r="O2119" s="7">
        <v>11637565</v>
      </c>
      <c r="P2119" s="7">
        <v>0</v>
      </c>
      <c r="Q2119" s="7" t="str">
        <f t="shared" si="717"/>
        <v>都市整備部</v>
      </c>
      <c r="R2119" s="7" t="str">
        <f t="shared" si="710"/>
        <v>住宅建築局住宅経営室</v>
      </c>
    </row>
    <row r="2120" spans="1:18" s="1" customFormat="1" x14ac:dyDescent="0.45">
      <c r="A2120" s="7" t="str">
        <f t="shared" si="728"/>
        <v>09940003184</v>
      </c>
      <c r="B2120" s="7" t="str">
        <f t="shared" si="729"/>
        <v>貴望ケ丘</v>
      </c>
      <c r="C2120" s="7" t="str">
        <f t="shared" si="711"/>
        <v>行政財産</v>
      </c>
      <c r="D2120" s="7" t="str">
        <f t="shared" si="712"/>
        <v>公営住宅</v>
      </c>
      <c r="E2120" s="7" t="str">
        <f t="shared" si="730"/>
        <v>大阪府河内長野市北貴望ケ丘</v>
      </c>
      <c r="F2120" s="7"/>
      <c r="G2120" s="7" t="str">
        <f t="shared" si="709"/>
        <v>事業用資産</v>
      </c>
      <c r="H2120" s="7" t="str">
        <f t="shared" si="731"/>
        <v>棚卸以外</v>
      </c>
      <c r="I2120" s="7">
        <v>5</v>
      </c>
      <c r="J2120" s="7" t="str">
        <f>"６号棟増築分"</f>
        <v>６号棟増築分</v>
      </c>
      <c r="K2120" s="7" t="str">
        <f t="shared" si="727"/>
        <v>鉄筋コンクリート造</v>
      </c>
      <c r="L2120" s="7" t="str">
        <f>"H04.09.01"</f>
        <v>H04.09.01</v>
      </c>
      <c r="M2120" s="7">
        <v>394.8</v>
      </c>
      <c r="N2120" s="7">
        <v>80078000</v>
      </c>
      <c r="O2120" s="7">
        <v>51965778</v>
      </c>
      <c r="P2120" s="7">
        <v>0</v>
      </c>
      <c r="Q2120" s="7" t="str">
        <f t="shared" si="717"/>
        <v>都市整備部</v>
      </c>
      <c r="R2120" s="7" t="str">
        <f t="shared" si="710"/>
        <v>住宅建築局住宅経営室</v>
      </c>
    </row>
    <row r="2121" spans="1:18" s="1" customFormat="1" x14ac:dyDescent="0.45">
      <c r="A2121" s="7" t="str">
        <f t="shared" si="728"/>
        <v>09940003184</v>
      </c>
      <c r="B2121" s="7" t="str">
        <f t="shared" si="729"/>
        <v>貴望ケ丘</v>
      </c>
      <c r="C2121" s="7" t="str">
        <f t="shared" si="711"/>
        <v>行政財産</v>
      </c>
      <c r="D2121" s="7" t="str">
        <f t="shared" si="712"/>
        <v>公営住宅</v>
      </c>
      <c r="E2121" s="7" t="str">
        <f t="shared" si="730"/>
        <v>大阪府河内長野市北貴望ケ丘</v>
      </c>
      <c r="F2121" s="7"/>
      <c r="G2121" s="7" t="str">
        <f t="shared" si="709"/>
        <v>事業用資産</v>
      </c>
      <c r="H2121" s="7" t="str">
        <f t="shared" si="731"/>
        <v>棚卸以外</v>
      </c>
      <c r="I2121" s="7">
        <v>6</v>
      </c>
      <c r="J2121" s="7" t="str">
        <f>"９号棟増築分"</f>
        <v>９号棟増築分</v>
      </c>
      <c r="K2121" s="7" t="str">
        <f t="shared" si="727"/>
        <v>鉄筋コンクリート造</v>
      </c>
      <c r="L2121" s="7" t="str">
        <f>"H04.09.01"</f>
        <v>H04.09.01</v>
      </c>
      <c r="M2121" s="7">
        <v>584.61</v>
      </c>
      <c r="N2121" s="7">
        <v>115382000</v>
      </c>
      <c r="O2121" s="7">
        <v>74875914</v>
      </c>
      <c r="P2121" s="7">
        <v>0</v>
      </c>
      <c r="Q2121" s="7" t="str">
        <f t="shared" si="717"/>
        <v>都市整備部</v>
      </c>
      <c r="R2121" s="7" t="str">
        <f t="shared" si="710"/>
        <v>住宅建築局住宅経営室</v>
      </c>
    </row>
    <row r="2122" spans="1:18" s="1" customFormat="1" x14ac:dyDescent="0.45">
      <c r="A2122" s="7" t="str">
        <f t="shared" si="728"/>
        <v>09940003184</v>
      </c>
      <c r="B2122" s="7" t="str">
        <f t="shared" si="729"/>
        <v>貴望ケ丘</v>
      </c>
      <c r="C2122" s="7" t="str">
        <f t="shared" si="711"/>
        <v>行政財産</v>
      </c>
      <c r="D2122" s="7" t="str">
        <f t="shared" si="712"/>
        <v>公営住宅</v>
      </c>
      <c r="E2122" s="7" t="str">
        <f t="shared" si="730"/>
        <v>大阪府河内長野市北貴望ケ丘</v>
      </c>
      <c r="F2122" s="7"/>
      <c r="G2122" s="7" t="str">
        <f t="shared" si="709"/>
        <v>事業用資産</v>
      </c>
      <c r="H2122" s="7" t="str">
        <f t="shared" si="731"/>
        <v>棚卸以外</v>
      </c>
      <c r="I2122" s="7">
        <v>7</v>
      </c>
      <c r="J2122" s="7" t="str">
        <f>"１１号棟増築分"</f>
        <v>１１号棟増築分</v>
      </c>
      <c r="K2122" s="7" t="str">
        <f t="shared" si="727"/>
        <v>鉄筋コンクリート造</v>
      </c>
      <c r="L2122" s="7" t="str">
        <f>"H04.09.01"</f>
        <v>H04.09.01</v>
      </c>
      <c r="M2122" s="7">
        <v>584.61</v>
      </c>
      <c r="N2122" s="7">
        <v>115382000</v>
      </c>
      <c r="O2122" s="7">
        <v>74875914</v>
      </c>
      <c r="P2122" s="7">
        <v>0</v>
      </c>
      <c r="Q2122" s="7" t="str">
        <f t="shared" si="717"/>
        <v>都市整備部</v>
      </c>
      <c r="R2122" s="7" t="str">
        <f t="shared" si="710"/>
        <v>住宅建築局住宅経営室</v>
      </c>
    </row>
    <row r="2123" spans="1:18" s="1" customFormat="1" x14ac:dyDescent="0.45">
      <c r="A2123" s="7" t="str">
        <f t="shared" si="728"/>
        <v>09940003184</v>
      </c>
      <c r="B2123" s="7" t="str">
        <f t="shared" si="729"/>
        <v>貴望ケ丘</v>
      </c>
      <c r="C2123" s="7" t="str">
        <f t="shared" si="711"/>
        <v>行政財産</v>
      </c>
      <c r="D2123" s="7" t="str">
        <f t="shared" si="712"/>
        <v>公営住宅</v>
      </c>
      <c r="E2123" s="7" t="str">
        <f t="shared" si="730"/>
        <v>大阪府河内長野市北貴望ケ丘</v>
      </c>
      <c r="F2123" s="7"/>
      <c r="G2123" s="7" t="str">
        <f t="shared" si="709"/>
        <v>事業用資産</v>
      </c>
      <c r="H2123" s="7" t="str">
        <f t="shared" si="731"/>
        <v>棚卸以外</v>
      </c>
      <c r="I2123" s="7">
        <v>8</v>
      </c>
      <c r="J2123" s="7" t="str">
        <f>"１３号棟増築分"</f>
        <v>１３号棟増築分</v>
      </c>
      <c r="K2123" s="7" t="str">
        <f t="shared" si="727"/>
        <v>鉄筋コンクリート造</v>
      </c>
      <c r="L2123" s="7" t="str">
        <f>"H04.09.01"</f>
        <v>H04.09.01</v>
      </c>
      <c r="M2123" s="7">
        <v>584.61</v>
      </c>
      <c r="N2123" s="7">
        <v>115382000</v>
      </c>
      <c r="O2123" s="7">
        <v>74875914</v>
      </c>
      <c r="P2123" s="7">
        <v>0</v>
      </c>
      <c r="Q2123" s="7" t="str">
        <f t="shared" si="717"/>
        <v>都市整備部</v>
      </c>
      <c r="R2123" s="7" t="str">
        <f t="shared" si="710"/>
        <v>住宅建築局住宅経営室</v>
      </c>
    </row>
    <row r="2124" spans="1:18" s="1" customFormat="1" x14ac:dyDescent="0.45">
      <c r="A2124" s="7" t="str">
        <f t="shared" ref="A2124:A2140" si="732">"09940003185"</f>
        <v>09940003185</v>
      </c>
      <c r="B2124" s="7" t="str">
        <f t="shared" ref="B2124:B2140" si="733">"東大阪鴻池"</f>
        <v>東大阪鴻池</v>
      </c>
      <c r="C2124" s="7" t="str">
        <f t="shared" si="711"/>
        <v>行政財産</v>
      </c>
      <c r="D2124" s="7" t="str">
        <f t="shared" si="712"/>
        <v>公営住宅</v>
      </c>
      <c r="E2124" s="7" t="str">
        <f t="shared" ref="E2124:E2140" si="734">"大阪府東大阪市鴻池町１丁目"</f>
        <v>大阪府東大阪市鴻池町１丁目</v>
      </c>
      <c r="F2124" s="7"/>
      <c r="G2124" s="7" t="str">
        <f t="shared" si="709"/>
        <v>事業用資産</v>
      </c>
      <c r="H2124" s="7" t="str">
        <f t="shared" si="731"/>
        <v>棚卸以外</v>
      </c>
      <c r="I2124" s="7">
        <v>1</v>
      </c>
      <c r="J2124" s="7" t="str">
        <f>"１１号棟"</f>
        <v>１１号棟</v>
      </c>
      <c r="K2124" s="7" t="str">
        <f t="shared" si="727"/>
        <v>鉄筋コンクリート造</v>
      </c>
      <c r="L2124" s="7" t="str">
        <f>"S63.05.29"</f>
        <v>S63.05.29</v>
      </c>
      <c r="M2124" s="7">
        <v>3396.78</v>
      </c>
      <c r="N2124" s="7">
        <v>370934251</v>
      </c>
      <c r="O2124" s="7">
        <v>273943823</v>
      </c>
      <c r="P2124" s="7">
        <v>0</v>
      </c>
      <c r="Q2124" s="7" t="str">
        <f t="shared" si="717"/>
        <v>都市整備部</v>
      </c>
      <c r="R2124" s="7" t="str">
        <f t="shared" si="710"/>
        <v>住宅建築局住宅経営室</v>
      </c>
    </row>
    <row r="2125" spans="1:18" s="1" customFormat="1" x14ac:dyDescent="0.45">
      <c r="A2125" s="7" t="str">
        <f t="shared" si="732"/>
        <v>09940003185</v>
      </c>
      <c r="B2125" s="7" t="str">
        <f t="shared" si="733"/>
        <v>東大阪鴻池</v>
      </c>
      <c r="C2125" s="7" t="str">
        <f t="shared" si="711"/>
        <v>行政財産</v>
      </c>
      <c r="D2125" s="7" t="str">
        <f t="shared" si="712"/>
        <v>公営住宅</v>
      </c>
      <c r="E2125" s="7" t="str">
        <f t="shared" si="734"/>
        <v>大阪府東大阪市鴻池町１丁目</v>
      </c>
      <c r="F2125" s="7"/>
      <c r="G2125" s="7" t="str">
        <f t="shared" si="709"/>
        <v>事業用資産</v>
      </c>
      <c r="H2125" s="7" t="str">
        <f t="shared" si="731"/>
        <v>棚卸以外</v>
      </c>
      <c r="I2125" s="7">
        <v>2</v>
      </c>
      <c r="J2125" s="7" t="str">
        <f>"７号棟"</f>
        <v>７号棟</v>
      </c>
      <c r="K2125" s="7" t="str">
        <f t="shared" si="727"/>
        <v>鉄筋コンクリート造</v>
      </c>
      <c r="L2125" s="7" t="str">
        <f>"H01.12.10"</f>
        <v>H01.12.10</v>
      </c>
      <c r="M2125" s="7">
        <v>1926.24</v>
      </c>
      <c r="N2125" s="7">
        <v>233121000</v>
      </c>
      <c r="O2125" s="7">
        <v>164921064</v>
      </c>
      <c r="P2125" s="7">
        <v>0</v>
      </c>
      <c r="Q2125" s="7" t="str">
        <f t="shared" si="717"/>
        <v>都市整備部</v>
      </c>
      <c r="R2125" s="7" t="str">
        <f t="shared" si="710"/>
        <v>住宅建築局住宅経営室</v>
      </c>
    </row>
    <row r="2126" spans="1:18" s="1" customFormat="1" x14ac:dyDescent="0.45">
      <c r="A2126" s="7" t="str">
        <f t="shared" si="732"/>
        <v>09940003185</v>
      </c>
      <c r="B2126" s="7" t="str">
        <f t="shared" si="733"/>
        <v>東大阪鴻池</v>
      </c>
      <c r="C2126" s="7" t="str">
        <f t="shared" si="711"/>
        <v>行政財産</v>
      </c>
      <c r="D2126" s="7" t="str">
        <f t="shared" si="712"/>
        <v>公営住宅</v>
      </c>
      <c r="E2126" s="7" t="str">
        <f t="shared" si="734"/>
        <v>大阪府東大阪市鴻池町１丁目</v>
      </c>
      <c r="F2126" s="7"/>
      <c r="G2126" s="7" t="str">
        <f t="shared" si="709"/>
        <v>事業用資産</v>
      </c>
      <c r="H2126" s="7" t="str">
        <f t="shared" si="731"/>
        <v>棚卸以外</v>
      </c>
      <c r="I2126" s="7">
        <v>3</v>
      </c>
      <c r="J2126" s="7" t="str">
        <f>"１０号棟"</f>
        <v>１０号棟</v>
      </c>
      <c r="K2126" s="7" t="str">
        <f t="shared" si="727"/>
        <v>鉄筋コンクリート造</v>
      </c>
      <c r="L2126" s="7" t="str">
        <f>"H01.12.10"</f>
        <v>H01.12.10</v>
      </c>
      <c r="M2126" s="7">
        <v>1996.07</v>
      </c>
      <c r="N2126" s="7">
        <v>229376000</v>
      </c>
      <c r="O2126" s="7">
        <v>162271704</v>
      </c>
      <c r="P2126" s="7">
        <v>0</v>
      </c>
      <c r="Q2126" s="7" t="str">
        <f t="shared" si="717"/>
        <v>都市整備部</v>
      </c>
      <c r="R2126" s="7" t="str">
        <f t="shared" si="710"/>
        <v>住宅建築局住宅経営室</v>
      </c>
    </row>
    <row r="2127" spans="1:18" s="1" customFormat="1" x14ac:dyDescent="0.45">
      <c r="A2127" s="7" t="str">
        <f t="shared" si="732"/>
        <v>09940003185</v>
      </c>
      <c r="B2127" s="7" t="str">
        <f t="shared" si="733"/>
        <v>東大阪鴻池</v>
      </c>
      <c r="C2127" s="7" t="str">
        <f t="shared" si="711"/>
        <v>行政財産</v>
      </c>
      <c r="D2127" s="7" t="str">
        <f t="shared" si="712"/>
        <v>公営住宅</v>
      </c>
      <c r="E2127" s="7" t="str">
        <f t="shared" si="734"/>
        <v>大阪府東大阪市鴻池町１丁目</v>
      </c>
      <c r="F2127" s="7"/>
      <c r="G2127" s="7" t="str">
        <f t="shared" si="709"/>
        <v>事業用資産</v>
      </c>
      <c r="H2127" s="7" t="str">
        <f t="shared" si="731"/>
        <v>棚卸以外</v>
      </c>
      <c r="I2127" s="7">
        <v>4</v>
      </c>
      <c r="J2127" s="7" t="str">
        <f>"受水槽"</f>
        <v>受水槽</v>
      </c>
      <c r="K2127" s="7" t="str">
        <f t="shared" si="727"/>
        <v>鉄筋コンクリート造</v>
      </c>
      <c r="L2127" s="7" t="str">
        <f>"H01.12.10"</f>
        <v>H01.12.10</v>
      </c>
      <c r="M2127" s="7">
        <v>60.27</v>
      </c>
      <c r="N2127" s="7">
        <v>21617000</v>
      </c>
      <c r="O2127" s="7">
        <v>15293271</v>
      </c>
      <c r="P2127" s="7">
        <v>0</v>
      </c>
      <c r="Q2127" s="7" t="str">
        <f t="shared" si="717"/>
        <v>都市整備部</v>
      </c>
      <c r="R2127" s="7" t="str">
        <f t="shared" si="710"/>
        <v>住宅建築局住宅経営室</v>
      </c>
    </row>
    <row r="2128" spans="1:18" s="1" customFormat="1" x14ac:dyDescent="0.45">
      <c r="A2128" s="7" t="str">
        <f t="shared" si="732"/>
        <v>09940003185</v>
      </c>
      <c r="B2128" s="7" t="str">
        <f t="shared" si="733"/>
        <v>東大阪鴻池</v>
      </c>
      <c r="C2128" s="7" t="str">
        <f t="shared" si="711"/>
        <v>行政財産</v>
      </c>
      <c r="D2128" s="7" t="str">
        <f t="shared" si="712"/>
        <v>公営住宅</v>
      </c>
      <c r="E2128" s="7" t="str">
        <f t="shared" si="734"/>
        <v>大阪府東大阪市鴻池町１丁目</v>
      </c>
      <c r="F2128" s="7"/>
      <c r="G2128" s="7" t="str">
        <f t="shared" si="709"/>
        <v>事業用資産</v>
      </c>
      <c r="H2128" s="7" t="str">
        <f t="shared" si="731"/>
        <v>棚卸以外</v>
      </c>
      <c r="I2128" s="7">
        <v>5</v>
      </c>
      <c r="J2128" s="7" t="str">
        <f>"集会所"</f>
        <v>集会所</v>
      </c>
      <c r="K2128" s="7" t="str">
        <f t="shared" si="727"/>
        <v>鉄筋コンクリート造</v>
      </c>
      <c r="L2128" s="7" t="str">
        <f>"H01.12.10"</f>
        <v>H01.12.10</v>
      </c>
      <c r="M2128" s="7">
        <v>194.37</v>
      </c>
      <c r="N2128" s="7">
        <v>45332000</v>
      </c>
      <c r="O2128" s="7">
        <v>32070024</v>
      </c>
      <c r="P2128" s="7">
        <v>0</v>
      </c>
      <c r="Q2128" s="7" t="str">
        <f t="shared" si="717"/>
        <v>都市整備部</v>
      </c>
      <c r="R2128" s="7" t="str">
        <f t="shared" si="710"/>
        <v>住宅建築局住宅経営室</v>
      </c>
    </row>
    <row r="2129" spans="1:18" s="1" customFormat="1" x14ac:dyDescent="0.45">
      <c r="A2129" s="7" t="str">
        <f t="shared" si="732"/>
        <v>09940003185</v>
      </c>
      <c r="B2129" s="7" t="str">
        <f t="shared" si="733"/>
        <v>東大阪鴻池</v>
      </c>
      <c r="C2129" s="7" t="str">
        <f t="shared" si="711"/>
        <v>行政財産</v>
      </c>
      <c r="D2129" s="7" t="str">
        <f t="shared" si="712"/>
        <v>公営住宅</v>
      </c>
      <c r="E2129" s="7" t="str">
        <f t="shared" si="734"/>
        <v>大阪府東大阪市鴻池町１丁目</v>
      </c>
      <c r="F2129" s="7"/>
      <c r="G2129" s="7" t="str">
        <f t="shared" si="709"/>
        <v>事業用資産</v>
      </c>
      <c r="H2129" s="7" t="str">
        <f t="shared" si="731"/>
        <v>棚卸以外</v>
      </c>
      <c r="I2129" s="7">
        <v>6</v>
      </c>
      <c r="J2129" s="7" t="str">
        <f>"２号棟"</f>
        <v>２号棟</v>
      </c>
      <c r="K2129" s="7" t="str">
        <f t="shared" si="727"/>
        <v>鉄筋コンクリート造</v>
      </c>
      <c r="L2129" s="7" t="str">
        <f>"H03.06.28"</f>
        <v>H03.06.28</v>
      </c>
      <c r="M2129" s="7">
        <v>2041.62</v>
      </c>
      <c r="N2129" s="7">
        <v>336644647</v>
      </c>
      <c r="O2129" s="7">
        <v>233836699</v>
      </c>
      <c r="P2129" s="7">
        <v>0</v>
      </c>
      <c r="Q2129" s="7" t="str">
        <f t="shared" si="717"/>
        <v>都市整備部</v>
      </c>
      <c r="R2129" s="7" t="str">
        <f t="shared" si="710"/>
        <v>住宅建築局住宅経営室</v>
      </c>
    </row>
    <row r="2130" spans="1:18" s="1" customFormat="1" x14ac:dyDescent="0.45">
      <c r="A2130" s="7" t="str">
        <f t="shared" si="732"/>
        <v>09940003185</v>
      </c>
      <c r="B2130" s="7" t="str">
        <f t="shared" si="733"/>
        <v>東大阪鴻池</v>
      </c>
      <c r="C2130" s="7" t="str">
        <f t="shared" si="711"/>
        <v>行政財産</v>
      </c>
      <c r="D2130" s="7" t="str">
        <f t="shared" si="712"/>
        <v>公営住宅</v>
      </c>
      <c r="E2130" s="7" t="str">
        <f t="shared" si="734"/>
        <v>大阪府東大阪市鴻池町１丁目</v>
      </c>
      <c r="F2130" s="7"/>
      <c r="G2130" s="7" t="str">
        <f t="shared" si="709"/>
        <v>事業用資産</v>
      </c>
      <c r="H2130" s="7" t="str">
        <f t="shared" si="731"/>
        <v>棚卸以外</v>
      </c>
      <c r="I2130" s="7">
        <v>7</v>
      </c>
      <c r="J2130" s="7" t="str">
        <f>"３号棟"</f>
        <v>３号棟</v>
      </c>
      <c r="K2130" s="7" t="str">
        <f t="shared" si="727"/>
        <v>鉄筋コンクリート造</v>
      </c>
      <c r="L2130" s="7" t="str">
        <f>"H03.06.28"</f>
        <v>H03.06.28</v>
      </c>
      <c r="M2130" s="7">
        <v>1977.6</v>
      </c>
      <c r="N2130" s="7">
        <v>319088000</v>
      </c>
      <c r="O2130" s="7">
        <v>221186760</v>
      </c>
      <c r="P2130" s="7">
        <v>0</v>
      </c>
      <c r="Q2130" s="7" t="str">
        <f t="shared" si="717"/>
        <v>都市整備部</v>
      </c>
      <c r="R2130" s="7" t="str">
        <f t="shared" si="710"/>
        <v>住宅建築局住宅経営室</v>
      </c>
    </row>
    <row r="2131" spans="1:18" s="1" customFormat="1" x14ac:dyDescent="0.45">
      <c r="A2131" s="7" t="str">
        <f t="shared" si="732"/>
        <v>09940003185</v>
      </c>
      <c r="B2131" s="7" t="str">
        <f t="shared" si="733"/>
        <v>東大阪鴻池</v>
      </c>
      <c r="C2131" s="7" t="str">
        <f t="shared" si="711"/>
        <v>行政財産</v>
      </c>
      <c r="D2131" s="7" t="str">
        <f t="shared" si="712"/>
        <v>公営住宅</v>
      </c>
      <c r="E2131" s="7" t="str">
        <f t="shared" si="734"/>
        <v>大阪府東大阪市鴻池町１丁目</v>
      </c>
      <c r="F2131" s="7"/>
      <c r="G2131" s="7" t="str">
        <f t="shared" si="709"/>
        <v>事業用資産</v>
      </c>
      <c r="H2131" s="7" t="str">
        <f t="shared" si="731"/>
        <v>棚卸以外</v>
      </c>
      <c r="I2131" s="7">
        <v>8</v>
      </c>
      <c r="J2131" s="7" t="str">
        <f>"６号棟"</f>
        <v>６号棟</v>
      </c>
      <c r="K2131" s="7" t="str">
        <f t="shared" si="727"/>
        <v>鉄筋コンクリート造</v>
      </c>
      <c r="L2131" s="7" t="str">
        <f>"H03.06.28"</f>
        <v>H03.06.28</v>
      </c>
      <c r="M2131" s="7">
        <v>1996.07</v>
      </c>
      <c r="N2131" s="7">
        <v>314369823</v>
      </c>
      <c r="O2131" s="7">
        <v>209945748</v>
      </c>
      <c r="P2131" s="7">
        <v>0</v>
      </c>
      <c r="Q2131" s="7" t="str">
        <f t="shared" si="717"/>
        <v>都市整備部</v>
      </c>
      <c r="R2131" s="7" t="str">
        <f t="shared" si="710"/>
        <v>住宅建築局住宅経営室</v>
      </c>
    </row>
    <row r="2132" spans="1:18" s="1" customFormat="1" x14ac:dyDescent="0.45">
      <c r="A2132" s="7" t="str">
        <f t="shared" si="732"/>
        <v>09940003185</v>
      </c>
      <c r="B2132" s="7" t="str">
        <f t="shared" si="733"/>
        <v>東大阪鴻池</v>
      </c>
      <c r="C2132" s="7" t="str">
        <f t="shared" si="711"/>
        <v>行政財産</v>
      </c>
      <c r="D2132" s="7" t="str">
        <f t="shared" si="712"/>
        <v>公営住宅</v>
      </c>
      <c r="E2132" s="7" t="str">
        <f t="shared" si="734"/>
        <v>大阪府東大阪市鴻池町１丁目</v>
      </c>
      <c r="F2132" s="7"/>
      <c r="G2132" s="7" t="str">
        <f t="shared" si="709"/>
        <v>事業用資産</v>
      </c>
      <c r="H2132" s="7" t="str">
        <f t="shared" si="731"/>
        <v>棚卸以外</v>
      </c>
      <c r="I2132" s="7">
        <v>9</v>
      </c>
      <c r="J2132" s="7" t="str">
        <f>"１号棟"</f>
        <v>１号棟</v>
      </c>
      <c r="K2132" s="7" t="str">
        <f t="shared" si="727"/>
        <v>鉄筋コンクリート造</v>
      </c>
      <c r="L2132" s="7" t="str">
        <f t="shared" ref="L2132:L2137" si="735">"H05.01.26"</f>
        <v>H05.01.26</v>
      </c>
      <c r="M2132" s="7">
        <v>1486.87</v>
      </c>
      <c r="N2132" s="7">
        <v>286851647</v>
      </c>
      <c r="O2132" s="7">
        <v>192182607</v>
      </c>
      <c r="P2132" s="7">
        <v>0</v>
      </c>
      <c r="Q2132" s="7" t="str">
        <f t="shared" si="717"/>
        <v>都市整備部</v>
      </c>
      <c r="R2132" s="7" t="str">
        <f t="shared" si="710"/>
        <v>住宅建築局住宅経営室</v>
      </c>
    </row>
    <row r="2133" spans="1:18" s="1" customFormat="1" x14ac:dyDescent="0.45">
      <c r="A2133" s="7" t="str">
        <f t="shared" si="732"/>
        <v>09940003185</v>
      </c>
      <c r="B2133" s="7" t="str">
        <f t="shared" si="733"/>
        <v>東大阪鴻池</v>
      </c>
      <c r="C2133" s="7" t="str">
        <f t="shared" si="711"/>
        <v>行政財産</v>
      </c>
      <c r="D2133" s="7" t="str">
        <f t="shared" si="712"/>
        <v>公営住宅</v>
      </c>
      <c r="E2133" s="7" t="str">
        <f t="shared" si="734"/>
        <v>大阪府東大阪市鴻池町１丁目</v>
      </c>
      <c r="F2133" s="7"/>
      <c r="G2133" s="7" t="str">
        <f t="shared" si="709"/>
        <v>事業用資産</v>
      </c>
      <c r="H2133" s="7" t="str">
        <f t="shared" si="731"/>
        <v>棚卸以外</v>
      </c>
      <c r="I2133" s="7">
        <v>10</v>
      </c>
      <c r="J2133" s="7" t="str">
        <f>"４号棟"</f>
        <v>４号棟</v>
      </c>
      <c r="K2133" s="7" t="str">
        <f>"鉄筋"</f>
        <v>鉄筋</v>
      </c>
      <c r="L2133" s="7" t="str">
        <f t="shared" si="735"/>
        <v>H05.01.26</v>
      </c>
      <c r="M2133" s="7">
        <v>1445.1</v>
      </c>
      <c r="N2133" s="7">
        <v>241784000</v>
      </c>
      <c r="O2133" s="7">
        <v>155187952</v>
      </c>
      <c r="P2133" s="7">
        <v>0</v>
      </c>
      <c r="Q2133" s="7" t="str">
        <f t="shared" si="717"/>
        <v>都市整備部</v>
      </c>
      <c r="R2133" s="7" t="str">
        <f t="shared" si="710"/>
        <v>住宅建築局住宅経営室</v>
      </c>
    </row>
    <row r="2134" spans="1:18" s="1" customFormat="1" x14ac:dyDescent="0.45">
      <c r="A2134" s="7" t="str">
        <f t="shared" si="732"/>
        <v>09940003185</v>
      </c>
      <c r="B2134" s="7" t="str">
        <f t="shared" si="733"/>
        <v>東大阪鴻池</v>
      </c>
      <c r="C2134" s="7" t="str">
        <f t="shared" si="711"/>
        <v>行政財産</v>
      </c>
      <c r="D2134" s="7" t="str">
        <f t="shared" si="712"/>
        <v>公営住宅</v>
      </c>
      <c r="E2134" s="7" t="str">
        <f t="shared" si="734"/>
        <v>大阪府東大阪市鴻池町１丁目</v>
      </c>
      <c r="F2134" s="7"/>
      <c r="G2134" s="7" t="str">
        <f t="shared" si="709"/>
        <v>事業用資産</v>
      </c>
      <c r="H2134" s="7" t="str">
        <f t="shared" si="731"/>
        <v>棚卸以外</v>
      </c>
      <c r="I2134" s="7">
        <v>11</v>
      </c>
      <c r="J2134" s="7" t="str">
        <f>"５号棟"</f>
        <v>５号棟</v>
      </c>
      <c r="K2134" s="7" t="str">
        <f>"鉄筋"</f>
        <v>鉄筋</v>
      </c>
      <c r="L2134" s="7" t="str">
        <f t="shared" si="735"/>
        <v>H05.01.26</v>
      </c>
      <c r="M2134" s="7">
        <v>1442.48</v>
      </c>
      <c r="N2134" s="7">
        <v>118992000</v>
      </c>
      <c r="O2134" s="7">
        <v>76374398</v>
      </c>
      <c r="P2134" s="7">
        <v>0</v>
      </c>
      <c r="Q2134" s="7" t="str">
        <f t="shared" si="717"/>
        <v>都市整備部</v>
      </c>
      <c r="R2134" s="7" t="str">
        <f t="shared" si="710"/>
        <v>住宅建築局住宅経営室</v>
      </c>
    </row>
    <row r="2135" spans="1:18" s="1" customFormat="1" x14ac:dyDescent="0.45">
      <c r="A2135" s="7" t="str">
        <f t="shared" si="732"/>
        <v>09940003185</v>
      </c>
      <c r="B2135" s="7" t="str">
        <f t="shared" si="733"/>
        <v>東大阪鴻池</v>
      </c>
      <c r="C2135" s="7" t="str">
        <f t="shared" si="711"/>
        <v>行政財産</v>
      </c>
      <c r="D2135" s="7" t="str">
        <f t="shared" si="712"/>
        <v>公営住宅</v>
      </c>
      <c r="E2135" s="7" t="str">
        <f t="shared" si="734"/>
        <v>大阪府東大阪市鴻池町１丁目</v>
      </c>
      <c r="F2135" s="7"/>
      <c r="G2135" s="7" t="str">
        <f t="shared" ref="G2135:G2198" si="736">"事業用資産"</f>
        <v>事業用資産</v>
      </c>
      <c r="H2135" s="7" t="str">
        <f t="shared" si="731"/>
        <v>棚卸以外</v>
      </c>
      <c r="I2135" s="7">
        <v>12</v>
      </c>
      <c r="J2135" s="7" t="str">
        <f>"８号棟"</f>
        <v>８号棟</v>
      </c>
      <c r="K2135" s="7" t="str">
        <f>"鉄筋"</f>
        <v>鉄筋</v>
      </c>
      <c r="L2135" s="7" t="str">
        <f t="shared" si="735"/>
        <v>H05.01.26</v>
      </c>
      <c r="M2135" s="7">
        <v>1442.48</v>
      </c>
      <c r="N2135" s="7">
        <v>113191000</v>
      </c>
      <c r="O2135" s="7">
        <v>72651228</v>
      </c>
      <c r="P2135" s="7">
        <v>0</v>
      </c>
      <c r="Q2135" s="7" t="str">
        <f t="shared" si="717"/>
        <v>都市整備部</v>
      </c>
      <c r="R2135" s="7" t="str">
        <f t="shared" si="710"/>
        <v>住宅建築局住宅経営室</v>
      </c>
    </row>
    <row r="2136" spans="1:18" s="1" customFormat="1" x14ac:dyDescent="0.45">
      <c r="A2136" s="7" t="str">
        <f t="shared" si="732"/>
        <v>09940003185</v>
      </c>
      <c r="B2136" s="7" t="str">
        <f t="shared" si="733"/>
        <v>東大阪鴻池</v>
      </c>
      <c r="C2136" s="7" t="str">
        <f t="shared" si="711"/>
        <v>行政財産</v>
      </c>
      <c r="D2136" s="7" t="str">
        <f t="shared" si="712"/>
        <v>公営住宅</v>
      </c>
      <c r="E2136" s="7" t="str">
        <f t="shared" si="734"/>
        <v>大阪府東大阪市鴻池町１丁目</v>
      </c>
      <c r="F2136" s="7"/>
      <c r="G2136" s="7" t="str">
        <f t="shared" si="736"/>
        <v>事業用資産</v>
      </c>
      <c r="H2136" s="7" t="str">
        <f t="shared" si="731"/>
        <v>棚卸以外</v>
      </c>
      <c r="I2136" s="7">
        <v>13</v>
      </c>
      <c r="J2136" s="7" t="str">
        <f>"９号棟"</f>
        <v>９号棟</v>
      </c>
      <c r="K2136" s="7" t="str">
        <f>"鉄筋"</f>
        <v>鉄筋</v>
      </c>
      <c r="L2136" s="7" t="str">
        <f t="shared" si="735"/>
        <v>H05.01.26</v>
      </c>
      <c r="M2136" s="7">
        <v>2119.37</v>
      </c>
      <c r="N2136" s="7">
        <v>229216000</v>
      </c>
      <c r="O2136" s="7">
        <v>147121144</v>
      </c>
      <c r="P2136" s="7">
        <v>0</v>
      </c>
      <c r="Q2136" s="7" t="str">
        <f t="shared" si="717"/>
        <v>都市整備部</v>
      </c>
      <c r="R2136" s="7" t="str">
        <f t="shared" ref="R2136:R2199" si="737">"住宅建築局住宅経営室"</f>
        <v>住宅建築局住宅経営室</v>
      </c>
    </row>
    <row r="2137" spans="1:18" s="1" customFormat="1" x14ac:dyDescent="0.45">
      <c r="A2137" s="7" t="str">
        <f t="shared" si="732"/>
        <v>09940003185</v>
      </c>
      <c r="B2137" s="7" t="str">
        <f t="shared" si="733"/>
        <v>東大阪鴻池</v>
      </c>
      <c r="C2137" s="7" t="str">
        <f t="shared" si="711"/>
        <v>行政財産</v>
      </c>
      <c r="D2137" s="7" t="str">
        <f t="shared" si="712"/>
        <v>公営住宅</v>
      </c>
      <c r="E2137" s="7" t="str">
        <f t="shared" si="734"/>
        <v>大阪府東大阪市鴻池町１丁目</v>
      </c>
      <c r="F2137" s="7"/>
      <c r="G2137" s="7" t="str">
        <f t="shared" si="736"/>
        <v>事業用資産</v>
      </c>
      <c r="H2137" s="7" t="str">
        <f t="shared" si="731"/>
        <v>棚卸以外</v>
      </c>
      <c r="I2137" s="7">
        <v>14</v>
      </c>
      <c r="J2137" s="7" t="str">
        <f>"受水槽"</f>
        <v>受水槽</v>
      </c>
      <c r="K2137" s="7" t="str">
        <f t="shared" ref="K2137:K2168" si="738">"鉄筋コンクリート造"</f>
        <v>鉄筋コンクリート造</v>
      </c>
      <c r="L2137" s="7" t="str">
        <f t="shared" si="735"/>
        <v>H05.01.26</v>
      </c>
      <c r="M2137" s="7">
        <v>60.27</v>
      </c>
      <c r="N2137" s="7">
        <v>18251000</v>
      </c>
      <c r="O2137" s="7">
        <v>11714320</v>
      </c>
      <c r="P2137" s="7">
        <v>0</v>
      </c>
      <c r="Q2137" s="7" t="str">
        <f t="shared" si="717"/>
        <v>都市整備部</v>
      </c>
      <c r="R2137" s="7" t="str">
        <f t="shared" si="737"/>
        <v>住宅建築局住宅経営室</v>
      </c>
    </row>
    <row r="2138" spans="1:18" s="1" customFormat="1" x14ac:dyDescent="0.45">
      <c r="A2138" s="7" t="str">
        <f t="shared" si="732"/>
        <v>09940003185</v>
      </c>
      <c r="B2138" s="7" t="str">
        <f t="shared" si="733"/>
        <v>東大阪鴻池</v>
      </c>
      <c r="C2138" s="7" t="str">
        <f t="shared" ref="C2138:C2201" si="739">"行政財産"</f>
        <v>行政財産</v>
      </c>
      <c r="D2138" s="7" t="str">
        <f t="shared" ref="D2138:D2201" si="740">"公営住宅"</f>
        <v>公営住宅</v>
      </c>
      <c r="E2138" s="7" t="str">
        <f t="shared" si="734"/>
        <v>大阪府東大阪市鴻池町１丁目</v>
      </c>
      <c r="F2138" s="7"/>
      <c r="G2138" s="7" t="str">
        <f t="shared" si="736"/>
        <v>事業用資産</v>
      </c>
      <c r="H2138" s="7" t="str">
        <f t="shared" si="731"/>
        <v>棚卸以外</v>
      </c>
      <c r="I2138" s="7">
        <v>15</v>
      </c>
      <c r="J2138" s="7" t="str">
        <f>"１２号棟"</f>
        <v>１２号棟</v>
      </c>
      <c r="K2138" s="7" t="str">
        <f t="shared" si="738"/>
        <v>鉄筋コンクリート造</v>
      </c>
      <c r="L2138" s="7" t="str">
        <f>"H07.03.29"</f>
        <v>H07.03.29</v>
      </c>
      <c r="M2138" s="7">
        <v>8652.2199999999993</v>
      </c>
      <c r="N2138" s="7">
        <v>2031378492</v>
      </c>
      <c r="O2138" s="7">
        <v>1209616128</v>
      </c>
      <c r="P2138" s="7">
        <v>0</v>
      </c>
      <c r="Q2138" s="7" t="str">
        <f t="shared" si="717"/>
        <v>都市整備部</v>
      </c>
      <c r="R2138" s="7" t="str">
        <f t="shared" si="737"/>
        <v>住宅建築局住宅経営室</v>
      </c>
    </row>
    <row r="2139" spans="1:18" s="1" customFormat="1" x14ac:dyDescent="0.45">
      <c r="A2139" s="7" t="str">
        <f t="shared" si="732"/>
        <v>09940003185</v>
      </c>
      <c r="B2139" s="7" t="str">
        <f t="shared" si="733"/>
        <v>東大阪鴻池</v>
      </c>
      <c r="C2139" s="7" t="str">
        <f t="shared" si="739"/>
        <v>行政財産</v>
      </c>
      <c r="D2139" s="7" t="str">
        <f t="shared" si="740"/>
        <v>公営住宅</v>
      </c>
      <c r="E2139" s="7" t="str">
        <f t="shared" si="734"/>
        <v>大阪府東大阪市鴻池町１丁目</v>
      </c>
      <c r="F2139" s="7"/>
      <c r="G2139" s="7" t="str">
        <f t="shared" si="736"/>
        <v>事業用資産</v>
      </c>
      <c r="H2139" s="7" t="str">
        <f t="shared" si="731"/>
        <v>棚卸以外</v>
      </c>
      <c r="I2139" s="7">
        <v>16</v>
      </c>
      <c r="J2139" s="7" t="str">
        <f>"受水槽"</f>
        <v>受水槽</v>
      </c>
      <c r="K2139" s="7" t="str">
        <f t="shared" si="738"/>
        <v>鉄筋コンクリート造</v>
      </c>
      <c r="L2139" s="7" t="str">
        <f>"S63.05.30"</f>
        <v>S63.05.30</v>
      </c>
      <c r="M2139" s="7">
        <v>112.32</v>
      </c>
      <c r="N2139" s="7">
        <v>31458000</v>
      </c>
      <c r="O2139" s="7">
        <v>23314786</v>
      </c>
      <c r="P2139" s="7">
        <v>0</v>
      </c>
      <c r="Q2139" s="7" t="str">
        <f t="shared" ref="Q2139:Q2202" si="741">"都市整備部"</f>
        <v>都市整備部</v>
      </c>
      <c r="R2139" s="7" t="str">
        <f t="shared" si="737"/>
        <v>住宅建築局住宅経営室</v>
      </c>
    </row>
    <row r="2140" spans="1:18" s="1" customFormat="1" x14ac:dyDescent="0.45">
      <c r="A2140" s="7" t="str">
        <f t="shared" si="732"/>
        <v>09940003185</v>
      </c>
      <c r="B2140" s="7" t="str">
        <f t="shared" si="733"/>
        <v>東大阪鴻池</v>
      </c>
      <c r="C2140" s="7" t="str">
        <f t="shared" si="739"/>
        <v>行政財産</v>
      </c>
      <c r="D2140" s="7" t="str">
        <f t="shared" si="740"/>
        <v>公営住宅</v>
      </c>
      <c r="E2140" s="7" t="str">
        <f t="shared" si="734"/>
        <v>大阪府東大阪市鴻池町１丁目</v>
      </c>
      <c r="F2140" s="7"/>
      <c r="G2140" s="7" t="str">
        <f t="shared" si="736"/>
        <v>事業用資産</v>
      </c>
      <c r="H2140" s="7" t="str">
        <f t="shared" si="731"/>
        <v>棚卸以外</v>
      </c>
      <c r="I2140" s="7">
        <v>17</v>
      </c>
      <c r="J2140" s="7" t="str">
        <f>"電気室"</f>
        <v>電気室</v>
      </c>
      <c r="K2140" s="7" t="str">
        <f t="shared" si="738"/>
        <v>鉄筋コンクリート造</v>
      </c>
      <c r="L2140" s="7" t="str">
        <f>"H07.03.29"</f>
        <v>H07.03.29</v>
      </c>
      <c r="M2140" s="7">
        <v>33.840000000000003</v>
      </c>
      <c r="N2140" s="7">
        <v>7523000</v>
      </c>
      <c r="O2140" s="7">
        <v>4481904</v>
      </c>
      <c r="P2140" s="7">
        <v>0</v>
      </c>
      <c r="Q2140" s="7" t="str">
        <f t="shared" si="741"/>
        <v>都市整備部</v>
      </c>
      <c r="R2140" s="7" t="str">
        <f t="shared" si="737"/>
        <v>住宅建築局住宅経営室</v>
      </c>
    </row>
    <row r="2141" spans="1:18" s="1" customFormat="1" x14ac:dyDescent="0.45">
      <c r="A2141" s="7" t="str">
        <f t="shared" ref="A2141:A2149" si="742">"09940003186"</f>
        <v>09940003186</v>
      </c>
      <c r="B2141" s="7" t="str">
        <f t="shared" ref="B2141:B2149" si="743">"枚方田ノ口・枚方交北第２"</f>
        <v>枚方田ノ口・枚方交北第２</v>
      </c>
      <c r="C2141" s="7" t="str">
        <f t="shared" si="739"/>
        <v>行政財産</v>
      </c>
      <c r="D2141" s="7" t="str">
        <f t="shared" si="740"/>
        <v>公営住宅</v>
      </c>
      <c r="E2141" s="7" t="str">
        <f t="shared" ref="E2141:E2149" si="744">"大阪府枚方市交北３丁目"</f>
        <v>大阪府枚方市交北３丁目</v>
      </c>
      <c r="F2141" s="7"/>
      <c r="G2141" s="7" t="str">
        <f t="shared" si="736"/>
        <v>事業用資産</v>
      </c>
      <c r="H2141" s="7" t="str">
        <f t="shared" si="731"/>
        <v>棚卸以外</v>
      </c>
      <c r="I2141" s="7">
        <v>1</v>
      </c>
      <c r="J2141" s="7" t="str">
        <f>"６～２０・２６～２８号棟"</f>
        <v>６～２０・２６～２８号棟</v>
      </c>
      <c r="K2141" s="7" t="str">
        <f t="shared" si="738"/>
        <v>鉄筋コンクリート造</v>
      </c>
      <c r="L2141" s="7" t="str">
        <f>"S45.03.23"</f>
        <v>S45.03.23</v>
      </c>
      <c r="M2141" s="7">
        <v>46227.95</v>
      </c>
      <c r="N2141" s="7">
        <v>1645124000</v>
      </c>
      <c r="O2141" s="7">
        <v>1642705144</v>
      </c>
      <c r="P2141" s="7">
        <v>0</v>
      </c>
      <c r="Q2141" s="7" t="str">
        <f t="shared" si="741"/>
        <v>都市整備部</v>
      </c>
      <c r="R2141" s="7" t="str">
        <f t="shared" si="737"/>
        <v>住宅建築局住宅経営室</v>
      </c>
    </row>
    <row r="2142" spans="1:18" s="1" customFormat="1" x14ac:dyDescent="0.45">
      <c r="A2142" s="7" t="str">
        <f t="shared" si="742"/>
        <v>09940003186</v>
      </c>
      <c r="B2142" s="7" t="str">
        <f t="shared" si="743"/>
        <v>枚方田ノ口・枚方交北第２</v>
      </c>
      <c r="C2142" s="7" t="str">
        <f t="shared" si="739"/>
        <v>行政財産</v>
      </c>
      <c r="D2142" s="7" t="str">
        <f t="shared" si="740"/>
        <v>公営住宅</v>
      </c>
      <c r="E2142" s="7" t="str">
        <f t="shared" si="744"/>
        <v>大阪府枚方市交北３丁目</v>
      </c>
      <c r="F2142" s="7"/>
      <c r="G2142" s="7" t="str">
        <f t="shared" si="736"/>
        <v>事業用資産</v>
      </c>
      <c r="H2142" s="7" t="str">
        <f t="shared" si="731"/>
        <v>棚卸以外</v>
      </c>
      <c r="I2142" s="7">
        <v>3</v>
      </c>
      <c r="J2142" s="7" t="str">
        <f>"４・５号棟"</f>
        <v>４・５号棟</v>
      </c>
      <c r="K2142" s="7" t="str">
        <f t="shared" si="738"/>
        <v>鉄筋コンクリート造</v>
      </c>
      <c r="L2142" s="7" t="str">
        <f>"S45.09.24"</f>
        <v>S45.09.24</v>
      </c>
      <c r="M2142" s="7">
        <v>6183.59</v>
      </c>
      <c r="N2142" s="7">
        <v>165876333</v>
      </c>
      <c r="O2142" s="7">
        <v>158593618</v>
      </c>
      <c r="P2142" s="7">
        <v>0</v>
      </c>
      <c r="Q2142" s="7" t="str">
        <f t="shared" si="741"/>
        <v>都市整備部</v>
      </c>
      <c r="R2142" s="7" t="str">
        <f t="shared" si="737"/>
        <v>住宅建築局住宅経営室</v>
      </c>
    </row>
    <row r="2143" spans="1:18" s="1" customFormat="1" x14ac:dyDescent="0.45">
      <c r="A2143" s="7" t="str">
        <f t="shared" si="742"/>
        <v>09940003186</v>
      </c>
      <c r="B2143" s="7" t="str">
        <f t="shared" si="743"/>
        <v>枚方田ノ口・枚方交北第２</v>
      </c>
      <c r="C2143" s="7" t="str">
        <f t="shared" si="739"/>
        <v>行政財産</v>
      </c>
      <c r="D2143" s="7" t="str">
        <f t="shared" si="740"/>
        <v>公営住宅</v>
      </c>
      <c r="E2143" s="7" t="str">
        <f t="shared" si="744"/>
        <v>大阪府枚方市交北３丁目</v>
      </c>
      <c r="F2143" s="7"/>
      <c r="G2143" s="7" t="str">
        <f t="shared" si="736"/>
        <v>事業用資産</v>
      </c>
      <c r="H2143" s="7" t="str">
        <f t="shared" si="731"/>
        <v>棚卸以外</v>
      </c>
      <c r="I2143" s="7">
        <v>4</v>
      </c>
      <c r="J2143" s="7" t="str">
        <f>"２１～２５号棟"</f>
        <v>２１～２５号棟</v>
      </c>
      <c r="K2143" s="7" t="str">
        <f t="shared" si="738"/>
        <v>鉄筋コンクリート造</v>
      </c>
      <c r="L2143" s="7" t="str">
        <f>"S45.09.24"</f>
        <v>S45.09.24</v>
      </c>
      <c r="M2143" s="7">
        <v>9065.94</v>
      </c>
      <c r="N2143" s="7">
        <v>285296094</v>
      </c>
      <c r="O2143" s="7">
        <v>274372096</v>
      </c>
      <c r="P2143" s="7">
        <v>0</v>
      </c>
      <c r="Q2143" s="7" t="str">
        <f t="shared" si="741"/>
        <v>都市整備部</v>
      </c>
      <c r="R2143" s="7" t="str">
        <f t="shared" si="737"/>
        <v>住宅建築局住宅経営室</v>
      </c>
    </row>
    <row r="2144" spans="1:18" s="1" customFormat="1" x14ac:dyDescent="0.45">
      <c r="A2144" s="7" t="str">
        <f t="shared" si="742"/>
        <v>09940003186</v>
      </c>
      <c r="B2144" s="7" t="str">
        <f t="shared" si="743"/>
        <v>枚方田ノ口・枚方交北第２</v>
      </c>
      <c r="C2144" s="7" t="str">
        <f t="shared" si="739"/>
        <v>行政財産</v>
      </c>
      <c r="D2144" s="7" t="str">
        <f t="shared" si="740"/>
        <v>公営住宅</v>
      </c>
      <c r="E2144" s="7" t="str">
        <f t="shared" si="744"/>
        <v>大阪府枚方市交北３丁目</v>
      </c>
      <c r="F2144" s="7"/>
      <c r="G2144" s="7" t="str">
        <f t="shared" si="736"/>
        <v>事業用資産</v>
      </c>
      <c r="H2144" s="7" t="str">
        <f t="shared" si="731"/>
        <v>棚卸以外</v>
      </c>
      <c r="I2144" s="7">
        <v>5</v>
      </c>
      <c r="J2144" s="7" t="str">
        <f>"集会所"</f>
        <v>集会所</v>
      </c>
      <c r="K2144" s="7" t="str">
        <f t="shared" si="738"/>
        <v>鉄筋コンクリート造</v>
      </c>
      <c r="L2144" s="7" t="str">
        <f>"S45.03.23"</f>
        <v>S45.03.23</v>
      </c>
      <c r="M2144" s="7">
        <v>221.49</v>
      </c>
      <c r="N2144" s="7">
        <v>19968756</v>
      </c>
      <c r="O2144" s="7">
        <v>18805466</v>
      </c>
      <c r="P2144" s="7">
        <v>0</v>
      </c>
      <c r="Q2144" s="7" t="str">
        <f t="shared" si="741"/>
        <v>都市整備部</v>
      </c>
      <c r="R2144" s="7" t="str">
        <f t="shared" si="737"/>
        <v>住宅建築局住宅経営室</v>
      </c>
    </row>
    <row r="2145" spans="1:18" s="1" customFormat="1" x14ac:dyDescent="0.45">
      <c r="A2145" s="7" t="str">
        <f t="shared" si="742"/>
        <v>09940003186</v>
      </c>
      <c r="B2145" s="7" t="str">
        <f t="shared" si="743"/>
        <v>枚方田ノ口・枚方交北第２</v>
      </c>
      <c r="C2145" s="7" t="str">
        <f t="shared" si="739"/>
        <v>行政財産</v>
      </c>
      <c r="D2145" s="7" t="str">
        <f t="shared" si="740"/>
        <v>公営住宅</v>
      </c>
      <c r="E2145" s="7" t="str">
        <f t="shared" si="744"/>
        <v>大阪府枚方市交北３丁目</v>
      </c>
      <c r="F2145" s="7"/>
      <c r="G2145" s="7" t="str">
        <f t="shared" si="736"/>
        <v>事業用資産</v>
      </c>
      <c r="H2145" s="7" t="str">
        <f t="shared" si="731"/>
        <v>棚卸以外</v>
      </c>
      <c r="I2145" s="7">
        <v>6</v>
      </c>
      <c r="J2145" s="7" t="str">
        <f>"集会所(増築)"</f>
        <v>集会所(増築)</v>
      </c>
      <c r="K2145" s="7" t="str">
        <f t="shared" si="738"/>
        <v>鉄筋コンクリート造</v>
      </c>
      <c r="L2145" s="7" t="str">
        <f>"S45.03.23"</f>
        <v>S45.03.23</v>
      </c>
      <c r="M2145" s="7">
        <v>199.84</v>
      </c>
      <c r="N2145" s="7">
        <v>38607215</v>
      </c>
      <c r="O2145" s="7">
        <v>37499999</v>
      </c>
      <c r="P2145" s="7">
        <v>0</v>
      </c>
      <c r="Q2145" s="7" t="str">
        <f t="shared" si="741"/>
        <v>都市整備部</v>
      </c>
      <c r="R2145" s="7" t="str">
        <f t="shared" si="737"/>
        <v>住宅建築局住宅経営室</v>
      </c>
    </row>
    <row r="2146" spans="1:18" s="1" customFormat="1" x14ac:dyDescent="0.45">
      <c r="A2146" s="7" t="str">
        <f t="shared" si="742"/>
        <v>09940003186</v>
      </c>
      <c r="B2146" s="7" t="str">
        <f t="shared" si="743"/>
        <v>枚方田ノ口・枚方交北第２</v>
      </c>
      <c r="C2146" s="7" t="str">
        <f t="shared" si="739"/>
        <v>行政財産</v>
      </c>
      <c r="D2146" s="7" t="str">
        <f t="shared" si="740"/>
        <v>公営住宅</v>
      </c>
      <c r="E2146" s="7" t="str">
        <f t="shared" si="744"/>
        <v>大阪府枚方市交北３丁目</v>
      </c>
      <c r="F2146" s="7"/>
      <c r="G2146" s="7" t="str">
        <f t="shared" si="736"/>
        <v>事業用資産</v>
      </c>
      <c r="H2146" s="7" t="str">
        <f t="shared" si="731"/>
        <v>棚卸以外</v>
      </c>
      <c r="I2146" s="7">
        <v>7</v>
      </c>
      <c r="J2146" s="7" t="str">
        <f>"１号棟（枚方交北第２）"</f>
        <v>１号棟（枚方交北第２）</v>
      </c>
      <c r="K2146" s="7" t="str">
        <f t="shared" si="738"/>
        <v>鉄筋コンクリート造</v>
      </c>
      <c r="L2146" s="7" t="str">
        <f>"H26.11.01"</f>
        <v>H26.11.01</v>
      </c>
      <c r="M2146" s="7">
        <v>8158.65</v>
      </c>
      <c r="N2146" s="7">
        <v>955603949</v>
      </c>
      <c r="O2146" s="7">
        <v>169459418</v>
      </c>
      <c r="P2146" s="7">
        <v>0</v>
      </c>
      <c r="Q2146" s="7" t="str">
        <f t="shared" si="741"/>
        <v>都市整備部</v>
      </c>
      <c r="R2146" s="7" t="str">
        <f t="shared" si="737"/>
        <v>住宅建築局住宅経営室</v>
      </c>
    </row>
    <row r="2147" spans="1:18" s="1" customFormat="1" x14ac:dyDescent="0.45">
      <c r="A2147" s="7" t="str">
        <f t="shared" si="742"/>
        <v>09940003186</v>
      </c>
      <c r="B2147" s="7" t="str">
        <f t="shared" si="743"/>
        <v>枚方田ノ口・枚方交北第２</v>
      </c>
      <c r="C2147" s="7" t="str">
        <f t="shared" si="739"/>
        <v>行政財産</v>
      </c>
      <c r="D2147" s="7" t="str">
        <f t="shared" si="740"/>
        <v>公営住宅</v>
      </c>
      <c r="E2147" s="7" t="str">
        <f t="shared" si="744"/>
        <v>大阪府枚方市交北３丁目</v>
      </c>
      <c r="F2147" s="7"/>
      <c r="G2147" s="7" t="str">
        <f t="shared" si="736"/>
        <v>事業用資産</v>
      </c>
      <c r="H2147" s="7" t="str">
        <f t="shared" si="731"/>
        <v>棚卸以外</v>
      </c>
      <c r="I2147" s="7">
        <v>8</v>
      </c>
      <c r="J2147" s="7" t="str">
        <f>"２号棟（枚方交北第２）"</f>
        <v>２号棟（枚方交北第２）</v>
      </c>
      <c r="K2147" s="7" t="str">
        <f t="shared" si="738"/>
        <v>鉄筋コンクリート造</v>
      </c>
      <c r="L2147" s="7" t="str">
        <f>"H26.11.01"</f>
        <v>H26.11.01</v>
      </c>
      <c r="M2147" s="7">
        <v>4302.8100000000004</v>
      </c>
      <c r="N2147" s="7">
        <v>492200540</v>
      </c>
      <c r="O2147" s="7">
        <v>84680096</v>
      </c>
      <c r="P2147" s="7">
        <v>0</v>
      </c>
      <c r="Q2147" s="7" t="str">
        <f t="shared" si="741"/>
        <v>都市整備部</v>
      </c>
      <c r="R2147" s="7" t="str">
        <f t="shared" si="737"/>
        <v>住宅建築局住宅経営室</v>
      </c>
    </row>
    <row r="2148" spans="1:18" s="1" customFormat="1" x14ac:dyDescent="0.45">
      <c r="A2148" s="7" t="str">
        <f t="shared" si="742"/>
        <v>09940003186</v>
      </c>
      <c r="B2148" s="7" t="str">
        <f t="shared" si="743"/>
        <v>枚方田ノ口・枚方交北第２</v>
      </c>
      <c r="C2148" s="7" t="str">
        <f t="shared" si="739"/>
        <v>行政財産</v>
      </c>
      <c r="D2148" s="7" t="str">
        <f t="shared" si="740"/>
        <v>公営住宅</v>
      </c>
      <c r="E2148" s="7" t="str">
        <f t="shared" si="744"/>
        <v>大阪府枚方市交北３丁目</v>
      </c>
      <c r="F2148" s="7"/>
      <c r="G2148" s="7" t="str">
        <f t="shared" si="736"/>
        <v>事業用資産</v>
      </c>
      <c r="H2148" s="7" t="str">
        <f t="shared" si="731"/>
        <v>棚卸以外</v>
      </c>
      <c r="I2148" s="7">
        <v>9</v>
      </c>
      <c r="J2148" s="7" t="str">
        <f>"ポンプ室・電気室（枚方交北第２）"</f>
        <v>ポンプ室・電気室（枚方交北第２）</v>
      </c>
      <c r="K2148" s="7" t="str">
        <f t="shared" si="738"/>
        <v>鉄筋コンクリート造</v>
      </c>
      <c r="L2148" s="7" t="str">
        <f>"H26.11.01"</f>
        <v>H26.11.01</v>
      </c>
      <c r="M2148" s="7">
        <v>49.29</v>
      </c>
      <c r="N2148" s="7">
        <v>31807108</v>
      </c>
      <c r="O2148" s="7">
        <v>5639600</v>
      </c>
      <c r="P2148" s="7">
        <v>0</v>
      </c>
      <c r="Q2148" s="7" t="str">
        <f t="shared" si="741"/>
        <v>都市整備部</v>
      </c>
      <c r="R2148" s="7" t="str">
        <f t="shared" si="737"/>
        <v>住宅建築局住宅経営室</v>
      </c>
    </row>
    <row r="2149" spans="1:18" s="1" customFormat="1" x14ac:dyDescent="0.45">
      <c r="A2149" s="7" t="str">
        <f t="shared" si="742"/>
        <v>09940003186</v>
      </c>
      <c r="B2149" s="7" t="str">
        <f t="shared" si="743"/>
        <v>枚方田ノ口・枚方交北第２</v>
      </c>
      <c r="C2149" s="7" t="str">
        <f t="shared" si="739"/>
        <v>行政財産</v>
      </c>
      <c r="D2149" s="7" t="str">
        <f t="shared" si="740"/>
        <v>公営住宅</v>
      </c>
      <c r="E2149" s="7" t="str">
        <f t="shared" si="744"/>
        <v>大阪府枚方市交北３丁目</v>
      </c>
      <c r="F2149" s="7"/>
      <c r="G2149" s="7" t="str">
        <f t="shared" si="736"/>
        <v>事業用資産</v>
      </c>
      <c r="H2149" s="7" t="str">
        <f t="shared" si="731"/>
        <v>棚卸以外</v>
      </c>
      <c r="I2149" s="7">
        <v>10</v>
      </c>
      <c r="J2149" s="7" t="str">
        <f>"ゴミ置場（枚方交北第２）"</f>
        <v>ゴミ置場（枚方交北第２）</v>
      </c>
      <c r="K2149" s="7" t="str">
        <f t="shared" si="738"/>
        <v>鉄筋コンクリート造</v>
      </c>
      <c r="L2149" s="7" t="str">
        <f>"H26.11.01"</f>
        <v>H26.11.01</v>
      </c>
      <c r="M2149" s="7">
        <v>13.99</v>
      </c>
      <c r="N2149" s="7">
        <v>5909544</v>
      </c>
      <c r="O2149" s="7">
        <v>1047800</v>
      </c>
      <c r="P2149" s="7">
        <v>0</v>
      </c>
      <c r="Q2149" s="7" t="str">
        <f t="shared" si="741"/>
        <v>都市整備部</v>
      </c>
      <c r="R2149" s="7" t="str">
        <f t="shared" si="737"/>
        <v>住宅建築局住宅経営室</v>
      </c>
    </row>
    <row r="2150" spans="1:18" s="1" customFormat="1" x14ac:dyDescent="0.45">
      <c r="A2150" s="7" t="str">
        <f>"09940003187"</f>
        <v>09940003187</v>
      </c>
      <c r="B2150" s="7" t="str">
        <f>"竹城台第３"</f>
        <v>竹城台第３</v>
      </c>
      <c r="C2150" s="7" t="str">
        <f t="shared" si="739"/>
        <v>行政財産</v>
      </c>
      <c r="D2150" s="7" t="str">
        <f t="shared" si="740"/>
        <v>公営住宅</v>
      </c>
      <c r="E2150" s="7" t="str">
        <f>"大阪府堺市　南区竹城台３丁"</f>
        <v>大阪府堺市　南区竹城台３丁</v>
      </c>
      <c r="F2150" s="7"/>
      <c r="G2150" s="7" t="str">
        <f t="shared" si="736"/>
        <v>事業用資産</v>
      </c>
      <c r="H2150" s="7" t="str">
        <f t="shared" si="731"/>
        <v>棚卸以外</v>
      </c>
      <c r="I2150" s="7">
        <v>1</v>
      </c>
      <c r="J2150" s="7" t="str">
        <f>"１・２号棟"</f>
        <v>１・２号棟</v>
      </c>
      <c r="K2150" s="7" t="str">
        <f t="shared" si="738"/>
        <v>鉄筋コンクリート造</v>
      </c>
      <c r="L2150" s="7" t="str">
        <f>"S44.01.31"</f>
        <v>S44.01.31</v>
      </c>
      <c r="M2150" s="7">
        <v>9168.5499999999993</v>
      </c>
      <c r="N2150" s="7">
        <v>169477509</v>
      </c>
      <c r="O2150" s="7">
        <v>165569956</v>
      </c>
      <c r="P2150" s="7">
        <v>0</v>
      </c>
      <c r="Q2150" s="7" t="str">
        <f t="shared" si="741"/>
        <v>都市整備部</v>
      </c>
      <c r="R2150" s="7" t="str">
        <f t="shared" si="737"/>
        <v>住宅建築局住宅経営室</v>
      </c>
    </row>
    <row r="2151" spans="1:18" s="1" customFormat="1" x14ac:dyDescent="0.45">
      <c r="A2151" s="7" t="str">
        <f>"09940003187"</f>
        <v>09940003187</v>
      </c>
      <c r="B2151" s="7" t="str">
        <f>"竹城台第３"</f>
        <v>竹城台第３</v>
      </c>
      <c r="C2151" s="7" t="str">
        <f t="shared" si="739"/>
        <v>行政財産</v>
      </c>
      <c r="D2151" s="7" t="str">
        <f t="shared" si="740"/>
        <v>公営住宅</v>
      </c>
      <c r="E2151" s="7" t="str">
        <f>"大阪府堺市　南区竹城台３丁"</f>
        <v>大阪府堺市　南区竹城台３丁</v>
      </c>
      <c r="F2151" s="7"/>
      <c r="G2151" s="7" t="str">
        <f t="shared" si="736"/>
        <v>事業用資産</v>
      </c>
      <c r="H2151" s="7" t="str">
        <f t="shared" si="731"/>
        <v>棚卸以外</v>
      </c>
      <c r="I2151" s="7">
        <v>2</v>
      </c>
      <c r="J2151" s="7" t="str">
        <f>"６・７・９・１０号棟・他６棟"</f>
        <v>６・７・９・１０号棟・他６棟</v>
      </c>
      <c r="K2151" s="7" t="str">
        <f t="shared" si="738"/>
        <v>鉄筋コンクリート造</v>
      </c>
      <c r="L2151" s="7" t="str">
        <f>"S44.01.31"</f>
        <v>S44.01.31</v>
      </c>
      <c r="M2151" s="7">
        <v>24750.48</v>
      </c>
      <c r="N2151" s="7">
        <v>1656749283</v>
      </c>
      <c r="O2151" s="7">
        <v>1196807848</v>
      </c>
      <c r="P2151" s="7">
        <v>0</v>
      </c>
      <c r="Q2151" s="7" t="str">
        <f t="shared" si="741"/>
        <v>都市整備部</v>
      </c>
      <c r="R2151" s="7" t="str">
        <f t="shared" si="737"/>
        <v>住宅建築局住宅経営室</v>
      </c>
    </row>
    <row r="2152" spans="1:18" s="1" customFormat="1" x14ac:dyDescent="0.45">
      <c r="A2152" s="7" t="str">
        <f>"09940003187"</f>
        <v>09940003187</v>
      </c>
      <c r="B2152" s="7" t="str">
        <f>"竹城台第３"</f>
        <v>竹城台第３</v>
      </c>
      <c r="C2152" s="7" t="str">
        <f t="shared" si="739"/>
        <v>行政財産</v>
      </c>
      <c r="D2152" s="7" t="str">
        <f t="shared" si="740"/>
        <v>公営住宅</v>
      </c>
      <c r="E2152" s="7" t="str">
        <f>"大阪府堺市　南区竹城台３丁"</f>
        <v>大阪府堺市　南区竹城台３丁</v>
      </c>
      <c r="F2152" s="7"/>
      <c r="G2152" s="7" t="str">
        <f t="shared" si="736"/>
        <v>事業用資産</v>
      </c>
      <c r="H2152" s="7" t="str">
        <f t="shared" si="731"/>
        <v>棚卸以外</v>
      </c>
      <c r="I2152" s="7">
        <v>3</v>
      </c>
      <c r="J2152" s="7" t="str">
        <f>"集会所"</f>
        <v>集会所</v>
      </c>
      <c r="K2152" s="7" t="str">
        <f t="shared" si="738"/>
        <v>鉄筋コンクリート造</v>
      </c>
      <c r="L2152" s="7" t="str">
        <f>"S44.01.31"</f>
        <v>S44.01.31</v>
      </c>
      <c r="M2152" s="7">
        <v>117.84</v>
      </c>
      <c r="N2152" s="7">
        <v>5347065</v>
      </c>
      <c r="O2152" s="7">
        <v>3297888</v>
      </c>
      <c r="P2152" s="7">
        <v>0</v>
      </c>
      <c r="Q2152" s="7" t="str">
        <f t="shared" si="741"/>
        <v>都市整備部</v>
      </c>
      <c r="R2152" s="7" t="str">
        <f t="shared" si="737"/>
        <v>住宅建築局住宅経営室</v>
      </c>
    </row>
    <row r="2153" spans="1:18" s="1" customFormat="1" x14ac:dyDescent="0.45">
      <c r="A2153" s="7" t="str">
        <f t="shared" ref="A2153:A2160" si="745">"09940003188"</f>
        <v>09940003188</v>
      </c>
      <c r="B2153" s="7" t="str">
        <f t="shared" ref="B2153:B2160" si="746">"堺南長尾（旧　金岡住宅）"</f>
        <v>堺南長尾（旧　金岡住宅）</v>
      </c>
      <c r="C2153" s="7" t="str">
        <f t="shared" si="739"/>
        <v>行政財産</v>
      </c>
      <c r="D2153" s="7" t="str">
        <f t="shared" si="740"/>
        <v>公営住宅</v>
      </c>
      <c r="E2153" s="7" t="str">
        <f t="shared" ref="E2153:E2160" si="747">"大阪府堺市　北区南長尾町３丁"</f>
        <v>大阪府堺市　北区南長尾町３丁</v>
      </c>
      <c r="F2153" s="7"/>
      <c r="G2153" s="7" t="str">
        <f t="shared" si="736"/>
        <v>事業用資産</v>
      </c>
      <c r="H2153" s="7" t="str">
        <f t="shared" si="731"/>
        <v>棚卸以外</v>
      </c>
      <c r="I2153" s="7">
        <v>2</v>
      </c>
      <c r="J2153" s="7" t="str">
        <f>"集会所（新）"</f>
        <v>集会所（新）</v>
      </c>
      <c r="K2153" s="7" t="str">
        <f t="shared" si="738"/>
        <v>鉄筋コンクリート造</v>
      </c>
      <c r="L2153" s="7" t="str">
        <f>"H23.10.07"</f>
        <v>H23.10.07</v>
      </c>
      <c r="M2153" s="7">
        <v>199.66</v>
      </c>
      <c r="N2153" s="7">
        <v>43799890</v>
      </c>
      <c r="O2153" s="7">
        <v>10639420</v>
      </c>
      <c r="P2153" s="7">
        <v>0</v>
      </c>
      <c r="Q2153" s="7" t="str">
        <f t="shared" si="741"/>
        <v>都市整備部</v>
      </c>
      <c r="R2153" s="7" t="str">
        <f t="shared" si="737"/>
        <v>住宅建築局住宅経営室</v>
      </c>
    </row>
    <row r="2154" spans="1:18" s="1" customFormat="1" x14ac:dyDescent="0.45">
      <c r="A2154" s="7" t="str">
        <f t="shared" si="745"/>
        <v>09940003188</v>
      </c>
      <c r="B2154" s="7" t="str">
        <f t="shared" si="746"/>
        <v>堺南長尾（旧　金岡住宅）</v>
      </c>
      <c r="C2154" s="7" t="str">
        <f t="shared" si="739"/>
        <v>行政財産</v>
      </c>
      <c r="D2154" s="7" t="str">
        <f t="shared" si="740"/>
        <v>公営住宅</v>
      </c>
      <c r="E2154" s="7" t="str">
        <f t="shared" si="747"/>
        <v>大阪府堺市　北区南長尾町３丁</v>
      </c>
      <c r="F2154" s="7"/>
      <c r="G2154" s="7" t="str">
        <f t="shared" si="736"/>
        <v>事業用資産</v>
      </c>
      <c r="H2154" s="7" t="str">
        <f t="shared" si="731"/>
        <v>棚卸以外</v>
      </c>
      <c r="I2154" s="7">
        <v>4</v>
      </c>
      <c r="J2154" s="7" t="str">
        <f>"受水槽・ポンプ室"</f>
        <v>受水槽・ポンプ室</v>
      </c>
      <c r="K2154" s="7" t="str">
        <f t="shared" si="738"/>
        <v>鉄筋コンクリート造</v>
      </c>
      <c r="L2154" s="7" t="str">
        <f>"H24.09.01"</f>
        <v>H24.09.01</v>
      </c>
      <c r="M2154" s="7">
        <v>45.32</v>
      </c>
      <c r="N2154" s="7">
        <v>13590280</v>
      </c>
      <c r="O2154" s="7">
        <v>3028338</v>
      </c>
      <c r="P2154" s="7">
        <v>0</v>
      </c>
      <c r="Q2154" s="7" t="str">
        <f t="shared" si="741"/>
        <v>都市整備部</v>
      </c>
      <c r="R2154" s="7" t="str">
        <f t="shared" si="737"/>
        <v>住宅建築局住宅経営室</v>
      </c>
    </row>
    <row r="2155" spans="1:18" s="1" customFormat="1" x14ac:dyDescent="0.45">
      <c r="A2155" s="7" t="str">
        <f t="shared" si="745"/>
        <v>09940003188</v>
      </c>
      <c r="B2155" s="7" t="str">
        <f t="shared" si="746"/>
        <v>堺南長尾（旧　金岡住宅）</v>
      </c>
      <c r="C2155" s="7" t="str">
        <f t="shared" si="739"/>
        <v>行政財産</v>
      </c>
      <c r="D2155" s="7" t="str">
        <f t="shared" si="740"/>
        <v>公営住宅</v>
      </c>
      <c r="E2155" s="7" t="str">
        <f t="shared" si="747"/>
        <v>大阪府堺市　北区南長尾町３丁</v>
      </c>
      <c r="F2155" s="7"/>
      <c r="G2155" s="7" t="str">
        <f t="shared" si="736"/>
        <v>事業用資産</v>
      </c>
      <c r="H2155" s="7" t="str">
        <f t="shared" si="731"/>
        <v>棚卸以外</v>
      </c>
      <c r="I2155" s="7">
        <v>5</v>
      </c>
      <c r="J2155" s="7" t="str">
        <f>"堺南長尾住宅　２号棟"</f>
        <v>堺南長尾住宅　２号棟</v>
      </c>
      <c r="K2155" s="7" t="str">
        <f t="shared" si="738"/>
        <v>鉄筋コンクリート造</v>
      </c>
      <c r="L2155" s="7" t="str">
        <f>"H25.03.01"</f>
        <v>H25.03.01</v>
      </c>
      <c r="M2155" s="7">
        <v>5050.08</v>
      </c>
      <c r="N2155" s="7">
        <v>716383100</v>
      </c>
      <c r="O2155" s="7">
        <v>152346456</v>
      </c>
      <c r="P2155" s="7">
        <v>0</v>
      </c>
      <c r="Q2155" s="7" t="str">
        <f t="shared" si="741"/>
        <v>都市整備部</v>
      </c>
      <c r="R2155" s="7" t="str">
        <f t="shared" si="737"/>
        <v>住宅建築局住宅経営室</v>
      </c>
    </row>
    <row r="2156" spans="1:18" s="1" customFormat="1" x14ac:dyDescent="0.45">
      <c r="A2156" s="7" t="str">
        <f t="shared" si="745"/>
        <v>09940003188</v>
      </c>
      <c r="B2156" s="7" t="str">
        <f t="shared" si="746"/>
        <v>堺南長尾（旧　金岡住宅）</v>
      </c>
      <c r="C2156" s="7" t="str">
        <f t="shared" si="739"/>
        <v>行政財産</v>
      </c>
      <c r="D2156" s="7" t="str">
        <f t="shared" si="740"/>
        <v>公営住宅</v>
      </c>
      <c r="E2156" s="7" t="str">
        <f t="shared" si="747"/>
        <v>大阪府堺市　北区南長尾町３丁</v>
      </c>
      <c r="F2156" s="7"/>
      <c r="G2156" s="7" t="str">
        <f t="shared" si="736"/>
        <v>事業用資産</v>
      </c>
      <c r="H2156" s="7" t="str">
        <f t="shared" si="731"/>
        <v>棚卸以外</v>
      </c>
      <c r="I2156" s="7">
        <v>6</v>
      </c>
      <c r="J2156" s="7" t="str">
        <f>"堺南長尾住宅　３号棟"</f>
        <v>堺南長尾住宅　３号棟</v>
      </c>
      <c r="K2156" s="7" t="str">
        <f t="shared" si="738"/>
        <v>鉄筋コンクリート造</v>
      </c>
      <c r="L2156" s="7" t="str">
        <f>"H25.03.01"</f>
        <v>H25.03.01</v>
      </c>
      <c r="M2156" s="7">
        <v>9190.4500000000007</v>
      </c>
      <c r="N2156" s="7">
        <v>1219329790</v>
      </c>
      <c r="O2156" s="7">
        <v>259356336</v>
      </c>
      <c r="P2156" s="7">
        <v>0</v>
      </c>
      <c r="Q2156" s="7" t="str">
        <f t="shared" si="741"/>
        <v>都市整備部</v>
      </c>
      <c r="R2156" s="7" t="str">
        <f t="shared" si="737"/>
        <v>住宅建築局住宅経営室</v>
      </c>
    </row>
    <row r="2157" spans="1:18" s="1" customFormat="1" x14ac:dyDescent="0.45">
      <c r="A2157" s="7" t="str">
        <f t="shared" si="745"/>
        <v>09940003188</v>
      </c>
      <c r="B2157" s="7" t="str">
        <f t="shared" si="746"/>
        <v>堺南長尾（旧　金岡住宅）</v>
      </c>
      <c r="C2157" s="7" t="str">
        <f t="shared" si="739"/>
        <v>行政財産</v>
      </c>
      <c r="D2157" s="7" t="str">
        <f t="shared" si="740"/>
        <v>公営住宅</v>
      </c>
      <c r="E2157" s="7" t="str">
        <f t="shared" si="747"/>
        <v>大阪府堺市　北区南長尾町３丁</v>
      </c>
      <c r="F2157" s="7"/>
      <c r="G2157" s="7" t="str">
        <f t="shared" si="736"/>
        <v>事業用資産</v>
      </c>
      <c r="H2157" s="7" t="str">
        <f t="shared" si="731"/>
        <v>棚卸以外</v>
      </c>
      <c r="I2157" s="7">
        <v>7</v>
      </c>
      <c r="J2157" s="7" t="str">
        <f>"堺南長尾住宅　４号棟"</f>
        <v>堺南長尾住宅　４号棟</v>
      </c>
      <c r="K2157" s="7" t="str">
        <f t="shared" si="738"/>
        <v>鉄筋コンクリート造</v>
      </c>
      <c r="L2157" s="7" t="str">
        <f>"H25.03.01"</f>
        <v>H25.03.01</v>
      </c>
      <c r="M2157" s="7">
        <v>8606.08</v>
      </c>
      <c r="N2157" s="7">
        <v>1175228150</v>
      </c>
      <c r="O2157" s="7">
        <v>249973056</v>
      </c>
      <c r="P2157" s="7">
        <v>0</v>
      </c>
      <c r="Q2157" s="7" t="str">
        <f t="shared" si="741"/>
        <v>都市整備部</v>
      </c>
      <c r="R2157" s="7" t="str">
        <f t="shared" si="737"/>
        <v>住宅建築局住宅経営室</v>
      </c>
    </row>
    <row r="2158" spans="1:18" s="1" customFormat="1" x14ac:dyDescent="0.45">
      <c r="A2158" s="7" t="str">
        <f t="shared" si="745"/>
        <v>09940003188</v>
      </c>
      <c r="B2158" s="7" t="str">
        <f t="shared" si="746"/>
        <v>堺南長尾（旧　金岡住宅）</v>
      </c>
      <c r="C2158" s="7" t="str">
        <f t="shared" si="739"/>
        <v>行政財産</v>
      </c>
      <c r="D2158" s="7" t="str">
        <f t="shared" si="740"/>
        <v>公営住宅</v>
      </c>
      <c r="E2158" s="7" t="str">
        <f t="shared" si="747"/>
        <v>大阪府堺市　北区南長尾町３丁</v>
      </c>
      <c r="F2158" s="7"/>
      <c r="G2158" s="7" t="str">
        <f t="shared" si="736"/>
        <v>事業用資産</v>
      </c>
      <c r="H2158" s="7" t="str">
        <f t="shared" si="731"/>
        <v>棚卸以外</v>
      </c>
      <c r="I2158" s="7">
        <v>13</v>
      </c>
      <c r="J2158" s="7" t="str">
        <f>"ブースターポンプ室　３号棟"</f>
        <v>ブースターポンプ室　３号棟</v>
      </c>
      <c r="K2158" s="7" t="str">
        <f t="shared" si="738"/>
        <v>鉄筋コンクリート造</v>
      </c>
      <c r="L2158" s="7" t="str">
        <f>"H25.03.01"</f>
        <v>H25.03.01</v>
      </c>
      <c r="M2158" s="7">
        <v>2</v>
      </c>
      <c r="N2158" s="7">
        <v>5021060</v>
      </c>
      <c r="O2158" s="7">
        <v>1068360</v>
      </c>
      <c r="P2158" s="7">
        <v>0</v>
      </c>
      <c r="Q2158" s="7" t="str">
        <f t="shared" si="741"/>
        <v>都市整備部</v>
      </c>
      <c r="R2158" s="7" t="str">
        <f t="shared" si="737"/>
        <v>住宅建築局住宅経営室</v>
      </c>
    </row>
    <row r="2159" spans="1:18" s="1" customFormat="1" x14ac:dyDescent="0.45">
      <c r="A2159" s="7" t="str">
        <f t="shared" si="745"/>
        <v>09940003188</v>
      </c>
      <c r="B2159" s="7" t="str">
        <f t="shared" si="746"/>
        <v>堺南長尾（旧　金岡住宅）</v>
      </c>
      <c r="C2159" s="7" t="str">
        <f t="shared" si="739"/>
        <v>行政財産</v>
      </c>
      <c r="D2159" s="7" t="str">
        <f t="shared" si="740"/>
        <v>公営住宅</v>
      </c>
      <c r="E2159" s="7" t="str">
        <f t="shared" si="747"/>
        <v>大阪府堺市　北区南長尾町３丁</v>
      </c>
      <c r="F2159" s="7"/>
      <c r="G2159" s="7" t="str">
        <f t="shared" si="736"/>
        <v>事業用資産</v>
      </c>
      <c r="H2159" s="7" t="str">
        <f t="shared" si="731"/>
        <v>棚卸以外</v>
      </c>
      <c r="I2159" s="7">
        <v>14</v>
      </c>
      <c r="J2159" s="7" t="str">
        <f>"ブースターポンプ室　４号棟"</f>
        <v>ブースターポンプ室　４号棟</v>
      </c>
      <c r="K2159" s="7" t="str">
        <f t="shared" si="738"/>
        <v>鉄筋コンクリート造</v>
      </c>
      <c r="L2159" s="7" t="str">
        <f>"H25.03.01"</f>
        <v>H25.03.01</v>
      </c>
      <c r="M2159" s="7">
        <v>2</v>
      </c>
      <c r="N2159" s="7">
        <v>4944760</v>
      </c>
      <c r="O2159" s="7">
        <v>1052160</v>
      </c>
      <c r="P2159" s="7">
        <v>0</v>
      </c>
      <c r="Q2159" s="7" t="str">
        <f t="shared" si="741"/>
        <v>都市整備部</v>
      </c>
      <c r="R2159" s="7" t="str">
        <f t="shared" si="737"/>
        <v>住宅建築局住宅経営室</v>
      </c>
    </row>
    <row r="2160" spans="1:18" s="1" customFormat="1" x14ac:dyDescent="0.45">
      <c r="A2160" s="7" t="str">
        <f t="shared" si="745"/>
        <v>09940003188</v>
      </c>
      <c r="B2160" s="7" t="str">
        <f t="shared" si="746"/>
        <v>堺南長尾（旧　金岡住宅）</v>
      </c>
      <c r="C2160" s="7" t="str">
        <f t="shared" si="739"/>
        <v>行政財産</v>
      </c>
      <c r="D2160" s="7" t="str">
        <f t="shared" si="740"/>
        <v>公営住宅</v>
      </c>
      <c r="E2160" s="7" t="str">
        <f t="shared" si="747"/>
        <v>大阪府堺市　北区南長尾町３丁</v>
      </c>
      <c r="F2160" s="7"/>
      <c r="G2160" s="7" t="str">
        <f t="shared" si="736"/>
        <v>事業用資産</v>
      </c>
      <c r="H2160" s="7" t="str">
        <f t="shared" si="731"/>
        <v>棚卸以外</v>
      </c>
      <c r="I2160" s="7">
        <v>15</v>
      </c>
      <c r="J2160" s="7" t="str">
        <f>"１号棟"</f>
        <v>１号棟</v>
      </c>
      <c r="K2160" s="7" t="str">
        <f t="shared" si="738"/>
        <v>鉄筋コンクリート造</v>
      </c>
      <c r="L2160" s="7" t="str">
        <f>"H24.09.01"</f>
        <v>H24.09.01</v>
      </c>
      <c r="M2160" s="7">
        <v>5505.07</v>
      </c>
      <c r="N2160" s="7">
        <v>735092710</v>
      </c>
      <c r="O2160" s="7">
        <v>163534728</v>
      </c>
      <c r="P2160" s="7">
        <v>0</v>
      </c>
      <c r="Q2160" s="7" t="str">
        <f t="shared" si="741"/>
        <v>都市整備部</v>
      </c>
      <c r="R2160" s="7" t="str">
        <f t="shared" si="737"/>
        <v>住宅建築局住宅経営室</v>
      </c>
    </row>
    <row r="2161" spans="1:18" s="1" customFormat="1" x14ac:dyDescent="0.45">
      <c r="A2161" s="7" t="str">
        <f t="shared" ref="A2161:A2167" si="748">"09940003189"</f>
        <v>09940003189</v>
      </c>
      <c r="B2161" s="7" t="str">
        <f t="shared" ref="B2161:B2167" si="749">"和泉寺田"</f>
        <v>和泉寺田</v>
      </c>
      <c r="C2161" s="7" t="str">
        <f t="shared" si="739"/>
        <v>行政財産</v>
      </c>
      <c r="D2161" s="7" t="str">
        <f t="shared" si="740"/>
        <v>公営住宅</v>
      </c>
      <c r="E2161" s="7" t="str">
        <f t="shared" ref="E2161:E2167" si="750">"大阪府和泉市寺田町"</f>
        <v>大阪府和泉市寺田町</v>
      </c>
      <c r="F2161" s="7"/>
      <c r="G2161" s="7" t="str">
        <f t="shared" si="736"/>
        <v>事業用資産</v>
      </c>
      <c r="H2161" s="7" t="str">
        <f t="shared" si="731"/>
        <v>棚卸以外</v>
      </c>
      <c r="I2161" s="7">
        <v>3</v>
      </c>
      <c r="J2161" s="7" t="str">
        <f>"１号棟"</f>
        <v>１号棟</v>
      </c>
      <c r="K2161" s="7" t="str">
        <f t="shared" si="738"/>
        <v>鉄筋コンクリート造</v>
      </c>
      <c r="L2161" s="7" t="str">
        <f>"H18.10.26"</f>
        <v>H18.10.26</v>
      </c>
      <c r="M2161" s="7">
        <v>8922.52</v>
      </c>
      <c r="N2161" s="7">
        <v>1303755680</v>
      </c>
      <c r="O2161" s="7">
        <v>456612725</v>
      </c>
      <c r="P2161" s="7">
        <v>0</v>
      </c>
      <c r="Q2161" s="7" t="str">
        <f t="shared" si="741"/>
        <v>都市整備部</v>
      </c>
      <c r="R2161" s="7" t="str">
        <f t="shared" si="737"/>
        <v>住宅建築局住宅経営室</v>
      </c>
    </row>
    <row r="2162" spans="1:18" s="1" customFormat="1" x14ac:dyDescent="0.45">
      <c r="A2162" s="7" t="str">
        <f t="shared" si="748"/>
        <v>09940003189</v>
      </c>
      <c r="B2162" s="7" t="str">
        <f t="shared" si="749"/>
        <v>和泉寺田</v>
      </c>
      <c r="C2162" s="7" t="str">
        <f t="shared" si="739"/>
        <v>行政財産</v>
      </c>
      <c r="D2162" s="7" t="str">
        <f t="shared" si="740"/>
        <v>公営住宅</v>
      </c>
      <c r="E2162" s="7" t="str">
        <f t="shared" si="750"/>
        <v>大阪府和泉市寺田町</v>
      </c>
      <c r="F2162" s="7"/>
      <c r="G2162" s="7" t="str">
        <f t="shared" si="736"/>
        <v>事業用資産</v>
      </c>
      <c r="H2162" s="7" t="str">
        <f t="shared" si="731"/>
        <v>棚卸以外</v>
      </c>
      <c r="I2162" s="7">
        <v>4</v>
      </c>
      <c r="J2162" s="7" t="str">
        <f>"ポンプ室・電気室"</f>
        <v>ポンプ室・電気室</v>
      </c>
      <c r="K2162" s="7" t="str">
        <f t="shared" si="738"/>
        <v>鉄筋コンクリート造</v>
      </c>
      <c r="L2162" s="7" t="str">
        <f>"H18.10.26"</f>
        <v>H18.10.26</v>
      </c>
      <c r="M2162" s="7">
        <v>128.4</v>
      </c>
      <c r="N2162" s="7">
        <v>26789000</v>
      </c>
      <c r="O2162" s="7">
        <v>9357303</v>
      </c>
      <c r="P2162" s="7">
        <v>0</v>
      </c>
      <c r="Q2162" s="7" t="str">
        <f t="shared" si="741"/>
        <v>都市整備部</v>
      </c>
      <c r="R2162" s="7" t="str">
        <f t="shared" si="737"/>
        <v>住宅建築局住宅経営室</v>
      </c>
    </row>
    <row r="2163" spans="1:18" s="1" customFormat="1" x14ac:dyDescent="0.45">
      <c r="A2163" s="7" t="str">
        <f t="shared" si="748"/>
        <v>09940003189</v>
      </c>
      <c r="B2163" s="7" t="str">
        <f t="shared" si="749"/>
        <v>和泉寺田</v>
      </c>
      <c r="C2163" s="7" t="str">
        <f t="shared" si="739"/>
        <v>行政財産</v>
      </c>
      <c r="D2163" s="7" t="str">
        <f t="shared" si="740"/>
        <v>公営住宅</v>
      </c>
      <c r="E2163" s="7" t="str">
        <f t="shared" si="750"/>
        <v>大阪府和泉市寺田町</v>
      </c>
      <c r="F2163" s="7"/>
      <c r="G2163" s="7" t="str">
        <f t="shared" si="736"/>
        <v>事業用資産</v>
      </c>
      <c r="H2163" s="7" t="str">
        <f t="shared" si="731"/>
        <v>棚卸以外</v>
      </c>
      <c r="I2163" s="7">
        <v>5</v>
      </c>
      <c r="J2163" s="7" t="str">
        <f>"3号棟"</f>
        <v>3号棟</v>
      </c>
      <c r="K2163" s="7" t="str">
        <f t="shared" si="738"/>
        <v>鉄筋コンクリート造</v>
      </c>
      <c r="L2163" s="7" t="str">
        <f>"H21.11.27"</f>
        <v>H21.11.27</v>
      </c>
      <c r="M2163" s="7">
        <v>6536.71</v>
      </c>
      <c r="N2163" s="7">
        <v>990108979</v>
      </c>
      <c r="O2163" s="7">
        <v>281316226</v>
      </c>
      <c r="P2163" s="7">
        <v>0</v>
      </c>
      <c r="Q2163" s="7" t="str">
        <f t="shared" si="741"/>
        <v>都市整備部</v>
      </c>
      <c r="R2163" s="7" t="str">
        <f t="shared" si="737"/>
        <v>住宅建築局住宅経営室</v>
      </c>
    </row>
    <row r="2164" spans="1:18" s="1" customFormat="1" x14ac:dyDescent="0.45">
      <c r="A2164" s="7" t="str">
        <f t="shared" si="748"/>
        <v>09940003189</v>
      </c>
      <c r="B2164" s="7" t="str">
        <f t="shared" si="749"/>
        <v>和泉寺田</v>
      </c>
      <c r="C2164" s="7" t="str">
        <f t="shared" si="739"/>
        <v>行政財産</v>
      </c>
      <c r="D2164" s="7" t="str">
        <f t="shared" si="740"/>
        <v>公営住宅</v>
      </c>
      <c r="E2164" s="7" t="str">
        <f t="shared" si="750"/>
        <v>大阪府和泉市寺田町</v>
      </c>
      <c r="F2164" s="7"/>
      <c r="G2164" s="7" t="str">
        <f t="shared" si="736"/>
        <v>事業用資産</v>
      </c>
      <c r="H2164" s="7" t="str">
        <f t="shared" si="731"/>
        <v>棚卸以外</v>
      </c>
      <c r="I2164" s="7">
        <v>6</v>
      </c>
      <c r="J2164" s="7" t="str">
        <f>"ポンプ室・電気室"</f>
        <v>ポンプ室・電気室</v>
      </c>
      <c r="K2164" s="7" t="str">
        <f t="shared" si="738"/>
        <v>鉄筋コンクリート造</v>
      </c>
      <c r="L2164" s="7" t="str">
        <f>"H21.11.27"</f>
        <v>H21.11.27</v>
      </c>
      <c r="M2164" s="7">
        <v>100.2</v>
      </c>
      <c r="N2164" s="7">
        <v>22420553</v>
      </c>
      <c r="O2164" s="7">
        <v>6346185</v>
      </c>
      <c r="P2164" s="7">
        <v>0</v>
      </c>
      <c r="Q2164" s="7" t="str">
        <f t="shared" si="741"/>
        <v>都市整備部</v>
      </c>
      <c r="R2164" s="7" t="str">
        <f t="shared" si="737"/>
        <v>住宅建築局住宅経営室</v>
      </c>
    </row>
    <row r="2165" spans="1:18" s="1" customFormat="1" x14ac:dyDescent="0.45">
      <c r="A2165" s="7" t="str">
        <f t="shared" si="748"/>
        <v>09940003189</v>
      </c>
      <c r="B2165" s="7" t="str">
        <f t="shared" si="749"/>
        <v>和泉寺田</v>
      </c>
      <c r="C2165" s="7" t="str">
        <f t="shared" si="739"/>
        <v>行政財産</v>
      </c>
      <c r="D2165" s="7" t="str">
        <f t="shared" si="740"/>
        <v>公営住宅</v>
      </c>
      <c r="E2165" s="7" t="str">
        <f t="shared" si="750"/>
        <v>大阪府和泉市寺田町</v>
      </c>
      <c r="F2165" s="7"/>
      <c r="G2165" s="7" t="str">
        <f t="shared" si="736"/>
        <v>事業用資産</v>
      </c>
      <c r="H2165" s="7" t="str">
        <f t="shared" si="731"/>
        <v>棚卸以外</v>
      </c>
      <c r="I2165" s="7">
        <v>7</v>
      </c>
      <c r="J2165" s="7" t="str">
        <f>"２号棟"</f>
        <v>２号棟</v>
      </c>
      <c r="K2165" s="7" t="str">
        <f t="shared" si="738"/>
        <v>鉄筋コンクリート造</v>
      </c>
      <c r="L2165" s="7" t="str">
        <f>"H24.10.01"</f>
        <v>H24.10.01</v>
      </c>
      <c r="M2165" s="7">
        <v>3551.39</v>
      </c>
      <c r="N2165" s="7">
        <v>560010965</v>
      </c>
      <c r="O2165" s="7">
        <v>124144575</v>
      </c>
      <c r="P2165" s="7">
        <v>0</v>
      </c>
      <c r="Q2165" s="7" t="str">
        <f t="shared" si="741"/>
        <v>都市整備部</v>
      </c>
      <c r="R2165" s="7" t="str">
        <f t="shared" si="737"/>
        <v>住宅建築局住宅経営室</v>
      </c>
    </row>
    <row r="2166" spans="1:18" s="1" customFormat="1" x14ac:dyDescent="0.45">
      <c r="A2166" s="7" t="str">
        <f t="shared" si="748"/>
        <v>09940003189</v>
      </c>
      <c r="B2166" s="7" t="str">
        <f t="shared" si="749"/>
        <v>和泉寺田</v>
      </c>
      <c r="C2166" s="7" t="str">
        <f t="shared" si="739"/>
        <v>行政財産</v>
      </c>
      <c r="D2166" s="7" t="str">
        <f t="shared" si="740"/>
        <v>公営住宅</v>
      </c>
      <c r="E2166" s="7" t="str">
        <f t="shared" si="750"/>
        <v>大阪府和泉市寺田町</v>
      </c>
      <c r="F2166" s="7"/>
      <c r="G2166" s="7" t="str">
        <f t="shared" si="736"/>
        <v>事業用資産</v>
      </c>
      <c r="H2166" s="7" t="str">
        <f t="shared" si="731"/>
        <v>棚卸以外</v>
      </c>
      <c r="I2166" s="7">
        <v>8</v>
      </c>
      <c r="J2166" s="7" t="str">
        <f>"集会所"</f>
        <v>集会所</v>
      </c>
      <c r="K2166" s="7" t="str">
        <f t="shared" si="738"/>
        <v>鉄筋コンクリート造</v>
      </c>
      <c r="L2166" s="7" t="str">
        <f>"H24.10.01"</f>
        <v>H24.10.01</v>
      </c>
      <c r="M2166" s="7">
        <v>161.44</v>
      </c>
      <c r="N2166" s="7">
        <v>44189871</v>
      </c>
      <c r="O2166" s="7">
        <v>9793875</v>
      </c>
      <c r="P2166" s="7">
        <v>0</v>
      </c>
      <c r="Q2166" s="7" t="str">
        <f t="shared" si="741"/>
        <v>都市整備部</v>
      </c>
      <c r="R2166" s="7" t="str">
        <f t="shared" si="737"/>
        <v>住宅建築局住宅経営室</v>
      </c>
    </row>
    <row r="2167" spans="1:18" s="1" customFormat="1" x14ac:dyDescent="0.45">
      <c r="A2167" s="7" t="str">
        <f t="shared" si="748"/>
        <v>09940003189</v>
      </c>
      <c r="B2167" s="7" t="str">
        <f t="shared" si="749"/>
        <v>和泉寺田</v>
      </c>
      <c r="C2167" s="7" t="str">
        <f t="shared" si="739"/>
        <v>行政財産</v>
      </c>
      <c r="D2167" s="7" t="str">
        <f t="shared" si="740"/>
        <v>公営住宅</v>
      </c>
      <c r="E2167" s="7" t="str">
        <f t="shared" si="750"/>
        <v>大阪府和泉市寺田町</v>
      </c>
      <c r="F2167" s="7"/>
      <c r="G2167" s="7" t="str">
        <f t="shared" si="736"/>
        <v>事業用資産</v>
      </c>
      <c r="H2167" s="7" t="str">
        <f t="shared" si="731"/>
        <v>棚卸以外</v>
      </c>
      <c r="I2167" s="7">
        <v>9</v>
      </c>
      <c r="J2167" s="7" t="str">
        <f>"ゴミ置場"</f>
        <v>ゴミ置場</v>
      </c>
      <c r="K2167" s="7" t="str">
        <f t="shared" si="738"/>
        <v>鉄筋コンクリート造</v>
      </c>
      <c r="L2167" s="7" t="str">
        <f>"H24.10.01"</f>
        <v>H24.10.01</v>
      </c>
      <c r="M2167" s="7">
        <v>22.14</v>
      </c>
      <c r="N2167" s="7">
        <v>3907126</v>
      </c>
      <c r="O2167" s="7">
        <v>866000</v>
      </c>
      <c r="P2167" s="7">
        <v>0</v>
      </c>
      <c r="Q2167" s="7" t="str">
        <f t="shared" si="741"/>
        <v>都市整備部</v>
      </c>
      <c r="R2167" s="7" t="str">
        <f t="shared" si="737"/>
        <v>住宅建築局住宅経営室</v>
      </c>
    </row>
    <row r="2168" spans="1:18" s="1" customFormat="1" x14ac:dyDescent="0.45">
      <c r="A2168" s="7" t="str">
        <f t="shared" ref="A2168:A2191" si="751">"09940003192"</f>
        <v>09940003192</v>
      </c>
      <c r="B2168" s="7" t="str">
        <f t="shared" ref="B2168:B2191" si="752">"豊中新千里東（旧　新千里東）"</f>
        <v>豊中新千里東（旧　新千里東）</v>
      </c>
      <c r="C2168" s="7" t="str">
        <f t="shared" si="739"/>
        <v>行政財産</v>
      </c>
      <c r="D2168" s="7" t="str">
        <f t="shared" si="740"/>
        <v>公営住宅</v>
      </c>
      <c r="E2168" s="7" t="str">
        <f t="shared" ref="E2168:E2191" si="753">"大阪府豊中市新千里東町３丁目"</f>
        <v>大阪府豊中市新千里東町３丁目</v>
      </c>
      <c r="F2168" s="7"/>
      <c r="G2168" s="7" t="str">
        <f t="shared" si="736"/>
        <v>事業用資産</v>
      </c>
      <c r="H2168" s="7" t="str">
        <f t="shared" si="731"/>
        <v>棚卸以外</v>
      </c>
      <c r="I2168" s="7">
        <v>1</v>
      </c>
      <c r="J2168" s="7" t="str">
        <f>"14～17.19号棟"</f>
        <v>14～17.19号棟</v>
      </c>
      <c r="K2168" s="7" t="str">
        <f t="shared" si="738"/>
        <v>鉄筋コンクリート造</v>
      </c>
      <c r="L2168" s="7" t="str">
        <f>"S41.05.01"</f>
        <v>S41.05.01</v>
      </c>
      <c r="M2168" s="7">
        <v>7431.68</v>
      </c>
      <c r="N2168" s="7">
        <v>181308829</v>
      </c>
      <c r="O2168" s="7">
        <v>181308828</v>
      </c>
      <c r="P2168" s="7">
        <v>0</v>
      </c>
      <c r="Q2168" s="7" t="str">
        <f t="shared" si="741"/>
        <v>都市整備部</v>
      </c>
      <c r="R2168" s="7" t="str">
        <f t="shared" si="737"/>
        <v>住宅建築局住宅経営室</v>
      </c>
    </row>
    <row r="2169" spans="1:18" s="1" customFormat="1" x14ac:dyDescent="0.45">
      <c r="A2169" s="7" t="str">
        <f t="shared" si="751"/>
        <v>09940003192</v>
      </c>
      <c r="B2169" s="7" t="str">
        <f t="shared" si="752"/>
        <v>豊中新千里東（旧　新千里東）</v>
      </c>
      <c r="C2169" s="7" t="str">
        <f t="shared" si="739"/>
        <v>行政財産</v>
      </c>
      <c r="D2169" s="7" t="str">
        <f t="shared" si="740"/>
        <v>公営住宅</v>
      </c>
      <c r="E2169" s="7" t="str">
        <f t="shared" si="753"/>
        <v>大阪府豊中市新千里東町３丁目</v>
      </c>
      <c r="F2169" s="7"/>
      <c r="G2169" s="7" t="str">
        <f t="shared" si="736"/>
        <v>事業用資産</v>
      </c>
      <c r="H2169" s="7" t="str">
        <f t="shared" si="731"/>
        <v>棚卸以外</v>
      </c>
      <c r="I2169" s="7">
        <v>3</v>
      </c>
      <c r="J2169" s="7" t="str">
        <f>"１号棟増築"</f>
        <v>１号棟増築</v>
      </c>
      <c r="K2169" s="7" t="str">
        <f t="shared" ref="K2169:K2200" si="754">"鉄筋コンクリート造"</f>
        <v>鉄筋コンクリート造</v>
      </c>
      <c r="L2169" s="7" t="str">
        <f>"S60.02.25"</f>
        <v>S60.02.25</v>
      </c>
      <c r="M2169" s="7">
        <v>1040.1300000000001</v>
      </c>
      <c r="N2169" s="7">
        <v>154755000</v>
      </c>
      <c r="O2169" s="7">
        <v>125395773</v>
      </c>
      <c r="P2169" s="7">
        <v>0</v>
      </c>
      <c r="Q2169" s="7" t="str">
        <f t="shared" si="741"/>
        <v>都市整備部</v>
      </c>
      <c r="R2169" s="7" t="str">
        <f t="shared" si="737"/>
        <v>住宅建築局住宅経営室</v>
      </c>
    </row>
    <row r="2170" spans="1:18" s="1" customFormat="1" x14ac:dyDescent="0.45">
      <c r="A2170" s="7" t="str">
        <f t="shared" si="751"/>
        <v>09940003192</v>
      </c>
      <c r="B2170" s="7" t="str">
        <f t="shared" si="752"/>
        <v>豊中新千里東（旧　新千里東）</v>
      </c>
      <c r="C2170" s="7" t="str">
        <f t="shared" si="739"/>
        <v>行政財産</v>
      </c>
      <c r="D2170" s="7" t="str">
        <f t="shared" si="740"/>
        <v>公営住宅</v>
      </c>
      <c r="E2170" s="7" t="str">
        <f t="shared" si="753"/>
        <v>大阪府豊中市新千里東町３丁目</v>
      </c>
      <c r="F2170" s="7"/>
      <c r="G2170" s="7" t="str">
        <f t="shared" si="736"/>
        <v>事業用資産</v>
      </c>
      <c r="H2170" s="7" t="str">
        <f t="shared" si="731"/>
        <v>棚卸以外</v>
      </c>
      <c r="I2170" s="7">
        <v>5</v>
      </c>
      <c r="J2170" s="7" t="str">
        <f>"２号棟増築"</f>
        <v>２号棟増築</v>
      </c>
      <c r="K2170" s="7" t="str">
        <f t="shared" si="754"/>
        <v>鉄筋コンクリート造</v>
      </c>
      <c r="L2170" s="7" t="str">
        <f>"S60.02.25"</f>
        <v>S60.02.25</v>
      </c>
      <c r="M2170" s="7">
        <v>1191.45</v>
      </c>
      <c r="N2170" s="7">
        <v>164174000</v>
      </c>
      <c r="O2170" s="7">
        <v>133027673</v>
      </c>
      <c r="P2170" s="7">
        <v>0</v>
      </c>
      <c r="Q2170" s="7" t="str">
        <f t="shared" si="741"/>
        <v>都市整備部</v>
      </c>
      <c r="R2170" s="7" t="str">
        <f t="shared" si="737"/>
        <v>住宅建築局住宅経営室</v>
      </c>
    </row>
    <row r="2171" spans="1:18" s="1" customFormat="1" x14ac:dyDescent="0.45">
      <c r="A2171" s="7" t="str">
        <f t="shared" si="751"/>
        <v>09940003192</v>
      </c>
      <c r="B2171" s="7" t="str">
        <f t="shared" si="752"/>
        <v>豊中新千里東（旧　新千里東）</v>
      </c>
      <c r="C2171" s="7" t="str">
        <f t="shared" si="739"/>
        <v>行政財産</v>
      </c>
      <c r="D2171" s="7" t="str">
        <f t="shared" si="740"/>
        <v>公営住宅</v>
      </c>
      <c r="E2171" s="7" t="str">
        <f t="shared" si="753"/>
        <v>大阪府豊中市新千里東町３丁目</v>
      </c>
      <c r="F2171" s="7"/>
      <c r="G2171" s="7" t="str">
        <f t="shared" si="736"/>
        <v>事業用資産</v>
      </c>
      <c r="H2171" s="7" t="str">
        <f t="shared" si="731"/>
        <v>棚卸以外</v>
      </c>
      <c r="I2171" s="7">
        <v>6</v>
      </c>
      <c r="J2171" s="7" t="str">
        <f>"７号棟増築"</f>
        <v>７号棟増築</v>
      </c>
      <c r="K2171" s="7" t="str">
        <f t="shared" si="754"/>
        <v>鉄筋コンクリート造</v>
      </c>
      <c r="L2171" s="7" t="str">
        <f>"S60.05.23"</f>
        <v>S60.05.23</v>
      </c>
      <c r="M2171" s="7">
        <v>742.2</v>
      </c>
      <c r="N2171" s="7">
        <v>99664000</v>
      </c>
      <c r="O2171" s="7">
        <v>80226340</v>
      </c>
      <c r="P2171" s="7">
        <v>0</v>
      </c>
      <c r="Q2171" s="7" t="str">
        <f t="shared" si="741"/>
        <v>都市整備部</v>
      </c>
      <c r="R2171" s="7" t="str">
        <f t="shared" si="737"/>
        <v>住宅建築局住宅経営室</v>
      </c>
    </row>
    <row r="2172" spans="1:18" s="1" customFormat="1" x14ac:dyDescent="0.45">
      <c r="A2172" s="7" t="str">
        <f t="shared" si="751"/>
        <v>09940003192</v>
      </c>
      <c r="B2172" s="7" t="str">
        <f t="shared" si="752"/>
        <v>豊中新千里東（旧　新千里東）</v>
      </c>
      <c r="C2172" s="7" t="str">
        <f t="shared" si="739"/>
        <v>行政財産</v>
      </c>
      <c r="D2172" s="7" t="str">
        <f t="shared" si="740"/>
        <v>公営住宅</v>
      </c>
      <c r="E2172" s="7" t="str">
        <f t="shared" si="753"/>
        <v>大阪府豊中市新千里東町３丁目</v>
      </c>
      <c r="F2172" s="7"/>
      <c r="G2172" s="7" t="str">
        <f t="shared" si="736"/>
        <v>事業用資産</v>
      </c>
      <c r="H2172" s="7" t="str">
        <f t="shared" si="731"/>
        <v>棚卸以外</v>
      </c>
      <c r="I2172" s="7">
        <v>7</v>
      </c>
      <c r="J2172" s="7" t="str">
        <f>"１９号棟増築"</f>
        <v>１９号棟増築</v>
      </c>
      <c r="K2172" s="7" t="str">
        <f t="shared" si="754"/>
        <v>鉄筋コンクリート造</v>
      </c>
      <c r="L2172" s="7" t="str">
        <f>"S60.05.23"</f>
        <v>S60.05.23</v>
      </c>
      <c r="M2172" s="7">
        <v>853.4</v>
      </c>
      <c r="N2172" s="7">
        <v>126331000</v>
      </c>
      <c r="O2172" s="7">
        <v>101692368</v>
      </c>
      <c r="P2172" s="7">
        <v>0</v>
      </c>
      <c r="Q2172" s="7" t="str">
        <f t="shared" si="741"/>
        <v>都市整備部</v>
      </c>
      <c r="R2172" s="7" t="str">
        <f t="shared" si="737"/>
        <v>住宅建築局住宅経営室</v>
      </c>
    </row>
    <row r="2173" spans="1:18" s="1" customFormat="1" x14ac:dyDescent="0.45">
      <c r="A2173" s="7" t="str">
        <f t="shared" si="751"/>
        <v>09940003192</v>
      </c>
      <c r="B2173" s="7" t="str">
        <f t="shared" si="752"/>
        <v>豊中新千里東（旧　新千里東）</v>
      </c>
      <c r="C2173" s="7" t="str">
        <f t="shared" si="739"/>
        <v>行政財産</v>
      </c>
      <c r="D2173" s="7" t="str">
        <f t="shared" si="740"/>
        <v>公営住宅</v>
      </c>
      <c r="E2173" s="7" t="str">
        <f t="shared" si="753"/>
        <v>大阪府豊中市新千里東町３丁目</v>
      </c>
      <c r="F2173" s="7"/>
      <c r="G2173" s="7" t="str">
        <f t="shared" si="736"/>
        <v>事業用資産</v>
      </c>
      <c r="H2173" s="7" t="str">
        <f t="shared" si="731"/>
        <v>棚卸以外</v>
      </c>
      <c r="I2173" s="7">
        <v>13</v>
      </c>
      <c r="J2173" s="7" t="str">
        <f>"１４号棟増築"</f>
        <v>１４号棟増築</v>
      </c>
      <c r="K2173" s="7" t="str">
        <f t="shared" si="754"/>
        <v>鉄筋コンクリート造</v>
      </c>
      <c r="L2173" s="7" t="str">
        <f>"S60.10.25"</f>
        <v>S60.10.25</v>
      </c>
      <c r="M2173" s="7">
        <v>889.56</v>
      </c>
      <c r="N2173" s="7">
        <v>114288000</v>
      </c>
      <c r="O2173" s="7">
        <v>90984911</v>
      </c>
      <c r="P2173" s="7">
        <v>0</v>
      </c>
      <c r="Q2173" s="7" t="str">
        <f t="shared" si="741"/>
        <v>都市整備部</v>
      </c>
      <c r="R2173" s="7" t="str">
        <f t="shared" si="737"/>
        <v>住宅建築局住宅経営室</v>
      </c>
    </row>
    <row r="2174" spans="1:18" s="1" customFormat="1" x14ac:dyDescent="0.45">
      <c r="A2174" s="7" t="str">
        <f t="shared" si="751"/>
        <v>09940003192</v>
      </c>
      <c r="B2174" s="7" t="str">
        <f t="shared" si="752"/>
        <v>豊中新千里東（旧　新千里東）</v>
      </c>
      <c r="C2174" s="7" t="str">
        <f t="shared" si="739"/>
        <v>行政財産</v>
      </c>
      <c r="D2174" s="7" t="str">
        <f t="shared" si="740"/>
        <v>公営住宅</v>
      </c>
      <c r="E2174" s="7" t="str">
        <f t="shared" si="753"/>
        <v>大阪府豊中市新千里東町３丁目</v>
      </c>
      <c r="F2174" s="7"/>
      <c r="G2174" s="7" t="str">
        <f t="shared" si="736"/>
        <v>事業用資産</v>
      </c>
      <c r="H2174" s="7" t="str">
        <f t="shared" si="731"/>
        <v>棚卸以外</v>
      </c>
      <c r="I2174" s="7">
        <v>14</v>
      </c>
      <c r="J2174" s="7" t="str">
        <f>"１５号棟増築"</f>
        <v>１５号棟増築</v>
      </c>
      <c r="K2174" s="7" t="str">
        <f t="shared" si="754"/>
        <v>鉄筋コンクリート造</v>
      </c>
      <c r="L2174" s="7" t="str">
        <f>"S60.10.25"</f>
        <v>S60.10.25</v>
      </c>
      <c r="M2174" s="7">
        <v>426.7</v>
      </c>
      <c r="N2174" s="7">
        <v>59387000</v>
      </c>
      <c r="O2174" s="7">
        <v>47278353</v>
      </c>
      <c r="P2174" s="7">
        <v>0</v>
      </c>
      <c r="Q2174" s="7" t="str">
        <f t="shared" si="741"/>
        <v>都市整備部</v>
      </c>
      <c r="R2174" s="7" t="str">
        <f t="shared" si="737"/>
        <v>住宅建築局住宅経営室</v>
      </c>
    </row>
    <row r="2175" spans="1:18" s="1" customFormat="1" x14ac:dyDescent="0.45">
      <c r="A2175" s="7" t="str">
        <f t="shared" si="751"/>
        <v>09940003192</v>
      </c>
      <c r="B2175" s="7" t="str">
        <f t="shared" si="752"/>
        <v>豊中新千里東（旧　新千里東）</v>
      </c>
      <c r="C2175" s="7" t="str">
        <f t="shared" si="739"/>
        <v>行政財産</v>
      </c>
      <c r="D2175" s="7" t="str">
        <f t="shared" si="740"/>
        <v>公営住宅</v>
      </c>
      <c r="E2175" s="7" t="str">
        <f t="shared" si="753"/>
        <v>大阪府豊中市新千里東町３丁目</v>
      </c>
      <c r="F2175" s="7"/>
      <c r="G2175" s="7" t="str">
        <f t="shared" si="736"/>
        <v>事業用資産</v>
      </c>
      <c r="H2175" s="7" t="str">
        <f t="shared" si="731"/>
        <v>棚卸以外</v>
      </c>
      <c r="I2175" s="7">
        <v>15</v>
      </c>
      <c r="J2175" s="7" t="str">
        <f>"１６号棟増築"</f>
        <v>１６号棟増築</v>
      </c>
      <c r="K2175" s="7" t="str">
        <f t="shared" si="754"/>
        <v>鉄筋コンクリート造</v>
      </c>
      <c r="L2175" s="7" t="str">
        <f>"S60.10.25"</f>
        <v>S60.10.25</v>
      </c>
      <c r="M2175" s="7">
        <v>800.02</v>
      </c>
      <c r="N2175" s="7">
        <v>117827000</v>
      </c>
      <c r="O2175" s="7">
        <v>93802386</v>
      </c>
      <c r="P2175" s="7">
        <v>0</v>
      </c>
      <c r="Q2175" s="7" t="str">
        <f t="shared" si="741"/>
        <v>都市整備部</v>
      </c>
      <c r="R2175" s="7" t="str">
        <f t="shared" si="737"/>
        <v>住宅建築局住宅経営室</v>
      </c>
    </row>
    <row r="2176" spans="1:18" s="1" customFormat="1" x14ac:dyDescent="0.45">
      <c r="A2176" s="7" t="str">
        <f t="shared" si="751"/>
        <v>09940003192</v>
      </c>
      <c r="B2176" s="7" t="str">
        <f t="shared" si="752"/>
        <v>豊中新千里東（旧　新千里東）</v>
      </c>
      <c r="C2176" s="7" t="str">
        <f t="shared" si="739"/>
        <v>行政財産</v>
      </c>
      <c r="D2176" s="7" t="str">
        <f t="shared" si="740"/>
        <v>公営住宅</v>
      </c>
      <c r="E2176" s="7" t="str">
        <f t="shared" si="753"/>
        <v>大阪府豊中市新千里東町３丁目</v>
      </c>
      <c r="F2176" s="7"/>
      <c r="G2176" s="7" t="str">
        <f t="shared" si="736"/>
        <v>事業用資産</v>
      </c>
      <c r="H2176" s="7" t="str">
        <f t="shared" si="731"/>
        <v>棚卸以外</v>
      </c>
      <c r="I2176" s="7">
        <v>16</v>
      </c>
      <c r="J2176" s="7" t="str">
        <f>"１７号棟増築"</f>
        <v>１７号棟増築</v>
      </c>
      <c r="K2176" s="7" t="str">
        <f t="shared" si="754"/>
        <v>鉄筋コンクリート造</v>
      </c>
      <c r="L2176" s="7" t="str">
        <f>"S60.10.25"</f>
        <v>S60.10.25</v>
      </c>
      <c r="M2176" s="7">
        <v>881.67</v>
      </c>
      <c r="N2176" s="7">
        <v>117121000</v>
      </c>
      <c r="O2176" s="7">
        <v>93240238</v>
      </c>
      <c r="P2176" s="7">
        <v>0</v>
      </c>
      <c r="Q2176" s="7" t="str">
        <f t="shared" si="741"/>
        <v>都市整備部</v>
      </c>
      <c r="R2176" s="7" t="str">
        <f t="shared" si="737"/>
        <v>住宅建築局住宅経営室</v>
      </c>
    </row>
    <row r="2177" spans="1:18" s="1" customFormat="1" x14ac:dyDescent="0.45">
      <c r="A2177" s="7" t="str">
        <f t="shared" si="751"/>
        <v>09940003192</v>
      </c>
      <c r="B2177" s="7" t="str">
        <f t="shared" si="752"/>
        <v>豊中新千里東（旧　新千里東）</v>
      </c>
      <c r="C2177" s="7" t="str">
        <f t="shared" si="739"/>
        <v>行政財産</v>
      </c>
      <c r="D2177" s="7" t="str">
        <f t="shared" si="740"/>
        <v>公営住宅</v>
      </c>
      <c r="E2177" s="7" t="str">
        <f t="shared" si="753"/>
        <v>大阪府豊中市新千里東町３丁目</v>
      </c>
      <c r="F2177" s="7"/>
      <c r="G2177" s="7" t="str">
        <f t="shared" si="736"/>
        <v>事業用資産</v>
      </c>
      <c r="H2177" s="7" t="str">
        <f t="shared" si="731"/>
        <v>棚卸以外</v>
      </c>
      <c r="I2177" s="7">
        <v>20</v>
      </c>
      <c r="J2177" s="7" t="str">
        <f>"６号棟増築"</f>
        <v>６号棟増築</v>
      </c>
      <c r="K2177" s="7" t="str">
        <f t="shared" si="754"/>
        <v>鉄筋コンクリート造</v>
      </c>
      <c r="L2177" s="7" t="str">
        <f>"S61.10.23"</f>
        <v>S61.10.23</v>
      </c>
      <c r="M2177" s="7">
        <v>525.24</v>
      </c>
      <c r="N2177" s="7">
        <v>106616000</v>
      </c>
      <c r="O2177" s="7">
        <v>82608732</v>
      </c>
      <c r="P2177" s="7">
        <v>0</v>
      </c>
      <c r="Q2177" s="7" t="str">
        <f t="shared" si="741"/>
        <v>都市整備部</v>
      </c>
      <c r="R2177" s="7" t="str">
        <f t="shared" si="737"/>
        <v>住宅建築局住宅経営室</v>
      </c>
    </row>
    <row r="2178" spans="1:18" s="1" customFormat="1" x14ac:dyDescent="0.45">
      <c r="A2178" s="7" t="str">
        <f t="shared" si="751"/>
        <v>09940003192</v>
      </c>
      <c r="B2178" s="7" t="str">
        <f t="shared" si="752"/>
        <v>豊中新千里東（旧　新千里東）</v>
      </c>
      <c r="C2178" s="7" t="str">
        <f t="shared" si="739"/>
        <v>行政財産</v>
      </c>
      <c r="D2178" s="7" t="str">
        <f t="shared" si="740"/>
        <v>公営住宅</v>
      </c>
      <c r="E2178" s="7" t="str">
        <f t="shared" si="753"/>
        <v>大阪府豊中市新千里東町３丁目</v>
      </c>
      <c r="F2178" s="7"/>
      <c r="G2178" s="7" t="str">
        <f t="shared" si="736"/>
        <v>事業用資産</v>
      </c>
      <c r="H2178" s="7" t="str">
        <f t="shared" si="731"/>
        <v>棚卸以外</v>
      </c>
      <c r="I2178" s="7">
        <v>21</v>
      </c>
      <c r="J2178" s="7" t="str">
        <f>"１号棟（新）"</f>
        <v>１号棟（新）</v>
      </c>
      <c r="K2178" s="7" t="str">
        <f t="shared" si="754"/>
        <v>鉄筋コンクリート造</v>
      </c>
      <c r="L2178" s="7" t="str">
        <f>"H23.11.25"</f>
        <v>H23.11.25</v>
      </c>
      <c r="M2178" s="7">
        <v>12895.43</v>
      </c>
      <c r="N2178" s="7">
        <v>1881174301</v>
      </c>
      <c r="O2178" s="7">
        <v>453566798</v>
      </c>
      <c r="P2178" s="7">
        <v>0</v>
      </c>
      <c r="Q2178" s="7" t="str">
        <f t="shared" si="741"/>
        <v>都市整備部</v>
      </c>
      <c r="R2178" s="7" t="str">
        <f t="shared" si="737"/>
        <v>住宅建築局住宅経営室</v>
      </c>
    </row>
    <row r="2179" spans="1:18" s="1" customFormat="1" x14ac:dyDescent="0.45">
      <c r="A2179" s="7" t="str">
        <f t="shared" si="751"/>
        <v>09940003192</v>
      </c>
      <c r="B2179" s="7" t="str">
        <f t="shared" si="752"/>
        <v>豊中新千里東（旧　新千里東）</v>
      </c>
      <c r="C2179" s="7" t="str">
        <f t="shared" si="739"/>
        <v>行政財産</v>
      </c>
      <c r="D2179" s="7" t="str">
        <f t="shared" si="740"/>
        <v>公営住宅</v>
      </c>
      <c r="E2179" s="7" t="str">
        <f t="shared" si="753"/>
        <v>大阪府豊中市新千里東町３丁目</v>
      </c>
      <c r="F2179" s="7"/>
      <c r="G2179" s="7" t="str">
        <f t="shared" si="736"/>
        <v>事業用資産</v>
      </c>
      <c r="H2179" s="7" t="str">
        <f t="shared" si="731"/>
        <v>棚卸以外</v>
      </c>
      <c r="I2179" s="7">
        <v>22</v>
      </c>
      <c r="J2179" s="7" t="str">
        <f>"２号棟（新）"</f>
        <v>２号棟（新）</v>
      </c>
      <c r="K2179" s="7" t="str">
        <f t="shared" si="754"/>
        <v>鉄筋コンクリート造</v>
      </c>
      <c r="L2179" s="7" t="str">
        <f>"H23.11.25"</f>
        <v>H23.11.25</v>
      </c>
      <c r="M2179" s="7">
        <v>6649.02</v>
      </c>
      <c r="N2179" s="7">
        <v>969231910</v>
      </c>
      <c r="O2179" s="7">
        <v>233715592</v>
      </c>
      <c r="P2179" s="7">
        <v>0</v>
      </c>
      <c r="Q2179" s="7" t="str">
        <f t="shared" si="741"/>
        <v>都市整備部</v>
      </c>
      <c r="R2179" s="7" t="str">
        <f t="shared" si="737"/>
        <v>住宅建築局住宅経営室</v>
      </c>
    </row>
    <row r="2180" spans="1:18" s="1" customFormat="1" x14ac:dyDescent="0.45">
      <c r="A2180" s="7" t="str">
        <f t="shared" si="751"/>
        <v>09940003192</v>
      </c>
      <c r="B2180" s="7" t="str">
        <f t="shared" si="752"/>
        <v>豊中新千里東（旧　新千里東）</v>
      </c>
      <c r="C2180" s="7" t="str">
        <f t="shared" si="739"/>
        <v>行政財産</v>
      </c>
      <c r="D2180" s="7" t="str">
        <f t="shared" si="740"/>
        <v>公営住宅</v>
      </c>
      <c r="E2180" s="7" t="str">
        <f t="shared" si="753"/>
        <v>大阪府豊中市新千里東町３丁目</v>
      </c>
      <c r="F2180" s="7"/>
      <c r="G2180" s="7" t="str">
        <f t="shared" si="736"/>
        <v>事業用資産</v>
      </c>
      <c r="H2180" s="7" t="str">
        <f t="shared" ref="H2180:H2243" si="755">"棚卸以外"</f>
        <v>棚卸以外</v>
      </c>
      <c r="I2180" s="7">
        <v>23</v>
      </c>
      <c r="J2180" s="7" t="str">
        <f>"集会所（新）"</f>
        <v>集会所（新）</v>
      </c>
      <c r="K2180" s="7" t="str">
        <f t="shared" si="754"/>
        <v>鉄筋コンクリート造</v>
      </c>
      <c r="L2180" s="7" t="str">
        <f>"H23.11.25"</f>
        <v>H23.11.25</v>
      </c>
      <c r="M2180" s="7">
        <v>262.61</v>
      </c>
      <c r="N2180" s="7">
        <v>38280828</v>
      </c>
      <c r="O2180" s="7">
        <v>9230864</v>
      </c>
      <c r="P2180" s="7">
        <v>0</v>
      </c>
      <c r="Q2180" s="7" t="str">
        <f t="shared" si="741"/>
        <v>都市整備部</v>
      </c>
      <c r="R2180" s="7" t="str">
        <f t="shared" si="737"/>
        <v>住宅建築局住宅経営室</v>
      </c>
    </row>
    <row r="2181" spans="1:18" s="1" customFormat="1" x14ac:dyDescent="0.45">
      <c r="A2181" s="7" t="str">
        <f t="shared" si="751"/>
        <v>09940003192</v>
      </c>
      <c r="B2181" s="7" t="str">
        <f t="shared" si="752"/>
        <v>豊中新千里東（旧　新千里東）</v>
      </c>
      <c r="C2181" s="7" t="str">
        <f t="shared" si="739"/>
        <v>行政財産</v>
      </c>
      <c r="D2181" s="7" t="str">
        <f t="shared" si="740"/>
        <v>公営住宅</v>
      </c>
      <c r="E2181" s="7" t="str">
        <f t="shared" si="753"/>
        <v>大阪府豊中市新千里東町３丁目</v>
      </c>
      <c r="F2181" s="7"/>
      <c r="G2181" s="7" t="str">
        <f t="shared" si="736"/>
        <v>事業用資産</v>
      </c>
      <c r="H2181" s="7" t="str">
        <f t="shared" si="755"/>
        <v>棚卸以外</v>
      </c>
      <c r="I2181" s="7">
        <v>24</v>
      </c>
      <c r="J2181" s="7" t="str">
        <f>"立体駐車場（新）"</f>
        <v>立体駐車場（新）</v>
      </c>
      <c r="K2181" s="7" t="str">
        <f t="shared" si="754"/>
        <v>鉄筋コンクリート造</v>
      </c>
      <c r="L2181" s="7" t="str">
        <f>"H23.11.25"</f>
        <v>H23.11.25</v>
      </c>
      <c r="M2181" s="7">
        <v>2962.86</v>
      </c>
      <c r="N2181" s="7">
        <v>431898002</v>
      </c>
      <c r="O2181" s="7">
        <v>143966064</v>
      </c>
      <c r="P2181" s="7">
        <v>0</v>
      </c>
      <c r="Q2181" s="7" t="str">
        <f t="shared" si="741"/>
        <v>都市整備部</v>
      </c>
      <c r="R2181" s="7" t="str">
        <f t="shared" si="737"/>
        <v>住宅建築局住宅経営室</v>
      </c>
    </row>
    <row r="2182" spans="1:18" s="1" customFormat="1" x14ac:dyDescent="0.45">
      <c r="A2182" s="7" t="str">
        <f t="shared" si="751"/>
        <v>09940003192</v>
      </c>
      <c r="B2182" s="7" t="str">
        <f t="shared" si="752"/>
        <v>豊中新千里東（旧　新千里東）</v>
      </c>
      <c r="C2182" s="7" t="str">
        <f t="shared" si="739"/>
        <v>行政財産</v>
      </c>
      <c r="D2182" s="7" t="str">
        <f t="shared" si="740"/>
        <v>公営住宅</v>
      </c>
      <c r="E2182" s="7" t="str">
        <f t="shared" si="753"/>
        <v>大阪府豊中市新千里東町３丁目</v>
      </c>
      <c r="F2182" s="7"/>
      <c r="G2182" s="7" t="str">
        <f t="shared" si="736"/>
        <v>事業用資産</v>
      </c>
      <c r="H2182" s="7" t="str">
        <f t="shared" si="755"/>
        <v>棚卸以外</v>
      </c>
      <c r="I2182" s="7">
        <v>25</v>
      </c>
      <c r="J2182" s="7" t="str">
        <f>"ポンプ室（新）"</f>
        <v>ポンプ室（新）</v>
      </c>
      <c r="K2182" s="7" t="str">
        <f t="shared" si="754"/>
        <v>鉄筋コンクリート造</v>
      </c>
      <c r="L2182" s="7" t="str">
        <f>"H23.11.25"</f>
        <v>H23.11.25</v>
      </c>
      <c r="M2182" s="7">
        <v>11.25</v>
      </c>
      <c r="N2182" s="7">
        <v>1639920</v>
      </c>
      <c r="O2182" s="7">
        <v>395488</v>
      </c>
      <c r="P2182" s="7">
        <v>0</v>
      </c>
      <c r="Q2182" s="7" t="str">
        <f t="shared" si="741"/>
        <v>都市整備部</v>
      </c>
      <c r="R2182" s="7" t="str">
        <f t="shared" si="737"/>
        <v>住宅建築局住宅経営室</v>
      </c>
    </row>
    <row r="2183" spans="1:18" s="1" customFormat="1" x14ac:dyDescent="0.45">
      <c r="A2183" s="7" t="str">
        <f t="shared" si="751"/>
        <v>09940003192</v>
      </c>
      <c r="B2183" s="7" t="str">
        <f t="shared" si="752"/>
        <v>豊中新千里東（旧　新千里東）</v>
      </c>
      <c r="C2183" s="7" t="str">
        <f t="shared" si="739"/>
        <v>行政財産</v>
      </c>
      <c r="D2183" s="7" t="str">
        <f t="shared" si="740"/>
        <v>公営住宅</v>
      </c>
      <c r="E2183" s="7" t="str">
        <f t="shared" si="753"/>
        <v>大阪府豊中市新千里東町３丁目</v>
      </c>
      <c r="F2183" s="7"/>
      <c r="G2183" s="7" t="str">
        <f t="shared" si="736"/>
        <v>事業用資産</v>
      </c>
      <c r="H2183" s="7" t="str">
        <f t="shared" si="755"/>
        <v>棚卸以外</v>
      </c>
      <c r="I2183" s="7">
        <v>26</v>
      </c>
      <c r="J2183" s="7" t="str">
        <f>"3号棟（新）"</f>
        <v>3号棟（新）</v>
      </c>
      <c r="K2183" s="7" t="str">
        <f t="shared" si="754"/>
        <v>鉄筋コンクリート造</v>
      </c>
      <c r="L2183" s="7" t="str">
        <f>"H26.07.01"</f>
        <v>H26.07.01</v>
      </c>
      <c r="M2183" s="7">
        <v>11482</v>
      </c>
      <c r="N2183" s="7">
        <v>1651515505</v>
      </c>
      <c r="O2183" s="7">
        <v>304580332</v>
      </c>
      <c r="P2183" s="7">
        <v>0</v>
      </c>
      <c r="Q2183" s="7" t="str">
        <f t="shared" si="741"/>
        <v>都市整備部</v>
      </c>
      <c r="R2183" s="7" t="str">
        <f t="shared" si="737"/>
        <v>住宅建築局住宅経営室</v>
      </c>
    </row>
    <row r="2184" spans="1:18" s="1" customFormat="1" x14ac:dyDescent="0.45">
      <c r="A2184" s="7" t="str">
        <f t="shared" si="751"/>
        <v>09940003192</v>
      </c>
      <c r="B2184" s="7" t="str">
        <f t="shared" si="752"/>
        <v>豊中新千里東（旧　新千里東）</v>
      </c>
      <c r="C2184" s="7" t="str">
        <f t="shared" si="739"/>
        <v>行政財産</v>
      </c>
      <c r="D2184" s="7" t="str">
        <f t="shared" si="740"/>
        <v>公営住宅</v>
      </c>
      <c r="E2184" s="7" t="str">
        <f t="shared" si="753"/>
        <v>大阪府豊中市新千里東町３丁目</v>
      </c>
      <c r="F2184" s="7"/>
      <c r="G2184" s="7" t="str">
        <f t="shared" si="736"/>
        <v>事業用資産</v>
      </c>
      <c r="H2184" s="7" t="str">
        <f t="shared" si="755"/>
        <v>棚卸以外</v>
      </c>
      <c r="I2184" s="7">
        <v>27</v>
      </c>
      <c r="J2184" s="7" t="str">
        <f>"電気室"</f>
        <v>電気室</v>
      </c>
      <c r="K2184" s="7" t="str">
        <f t="shared" si="754"/>
        <v>鉄筋コンクリート造</v>
      </c>
      <c r="L2184" s="7" t="str">
        <f>"H26.07.01"</f>
        <v>H26.07.01</v>
      </c>
      <c r="M2184" s="7">
        <v>39</v>
      </c>
      <c r="N2184" s="7">
        <v>11779160</v>
      </c>
      <c r="O2184" s="7">
        <v>2172144</v>
      </c>
      <c r="P2184" s="7">
        <v>0</v>
      </c>
      <c r="Q2184" s="7" t="str">
        <f t="shared" si="741"/>
        <v>都市整備部</v>
      </c>
      <c r="R2184" s="7" t="str">
        <f t="shared" si="737"/>
        <v>住宅建築局住宅経営室</v>
      </c>
    </row>
    <row r="2185" spans="1:18" s="1" customFormat="1" x14ac:dyDescent="0.45">
      <c r="A2185" s="7" t="str">
        <f t="shared" si="751"/>
        <v>09940003192</v>
      </c>
      <c r="B2185" s="7" t="str">
        <f t="shared" si="752"/>
        <v>豊中新千里東（旧　新千里東）</v>
      </c>
      <c r="C2185" s="7" t="str">
        <f t="shared" si="739"/>
        <v>行政財産</v>
      </c>
      <c r="D2185" s="7" t="str">
        <f t="shared" si="740"/>
        <v>公営住宅</v>
      </c>
      <c r="E2185" s="7" t="str">
        <f t="shared" si="753"/>
        <v>大阪府豊中市新千里東町３丁目</v>
      </c>
      <c r="F2185" s="7"/>
      <c r="G2185" s="7" t="str">
        <f t="shared" si="736"/>
        <v>事業用資産</v>
      </c>
      <c r="H2185" s="7" t="str">
        <f t="shared" si="755"/>
        <v>棚卸以外</v>
      </c>
      <c r="I2185" s="7">
        <v>28</v>
      </c>
      <c r="J2185" s="7" t="str">
        <f>"豊中新千里東（５号棟）"</f>
        <v>豊中新千里東（５号棟）</v>
      </c>
      <c r="K2185" s="7" t="str">
        <f t="shared" si="754"/>
        <v>鉄筋コンクリート造</v>
      </c>
      <c r="L2185" s="7" t="str">
        <f>"H30.02.01"</f>
        <v>H30.02.01</v>
      </c>
      <c r="M2185" s="7">
        <v>5712.47</v>
      </c>
      <c r="N2185" s="7">
        <v>1237872110</v>
      </c>
      <c r="O2185" s="7">
        <v>133883349</v>
      </c>
      <c r="P2185" s="7">
        <v>0</v>
      </c>
      <c r="Q2185" s="7" t="str">
        <f t="shared" si="741"/>
        <v>都市整備部</v>
      </c>
      <c r="R2185" s="7" t="str">
        <f t="shared" si="737"/>
        <v>住宅建築局住宅経営室</v>
      </c>
    </row>
    <row r="2186" spans="1:18" s="1" customFormat="1" x14ac:dyDescent="0.45">
      <c r="A2186" s="7" t="str">
        <f t="shared" si="751"/>
        <v>09940003192</v>
      </c>
      <c r="B2186" s="7" t="str">
        <f t="shared" si="752"/>
        <v>豊中新千里東（旧　新千里東）</v>
      </c>
      <c r="C2186" s="7" t="str">
        <f t="shared" si="739"/>
        <v>行政財産</v>
      </c>
      <c r="D2186" s="7" t="str">
        <f t="shared" si="740"/>
        <v>公営住宅</v>
      </c>
      <c r="E2186" s="7" t="str">
        <f t="shared" si="753"/>
        <v>大阪府豊中市新千里東町３丁目</v>
      </c>
      <c r="F2186" s="7"/>
      <c r="G2186" s="7" t="str">
        <f t="shared" si="736"/>
        <v>事業用資産</v>
      </c>
      <c r="H2186" s="7" t="str">
        <f t="shared" si="755"/>
        <v>棚卸以外</v>
      </c>
      <c r="I2186" s="7">
        <v>29</v>
      </c>
      <c r="J2186" s="7" t="str">
        <f>"豊中新千里東（４号棟）"</f>
        <v>豊中新千里東（４号棟）</v>
      </c>
      <c r="K2186" s="7" t="str">
        <f t="shared" si="754"/>
        <v>鉄筋コンクリート造</v>
      </c>
      <c r="L2186" s="7" t="str">
        <f>"H30.02.01"</f>
        <v>H30.02.01</v>
      </c>
      <c r="M2186" s="7">
        <v>1901.65</v>
      </c>
      <c r="N2186" s="7">
        <v>521712325</v>
      </c>
      <c r="O2186" s="7">
        <v>56427091</v>
      </c>
      <c r="P2186" s="7">
        <v>0</v>
      </c>
      <c r="Q2186" s="7" t="str">
        <f t="shared" si="741"/>
        <v>都市整備部</v>
      </c>
      <c r="R2186" s="7" t="str">
        <f t="shared" si="737"/>
        <v>住宅建築局住宅経営室</v>
      </c>
    </row>
    <row r="2187" spans="1:18" s="1" customFormat="1" x14ac:dyDescent="0.45">
      <c r="A2187" s="7" t="str">
        <f t="shared" si="751"/>
        <v>09940003192</v>
      </c>
      <c r="B2187" s="7" t="str">
        <f t="shared" si="752"/>
        <v>豊中新千里東（旧　新千里東）</v>
      </c>
      <c r="C2187" s="7" t="str">
        <f t="shared" si="739"/>
        <v>行政財産</v>
      </c>
      <c r="D2187" s="7" t="str">
        <f t="shared" si="740"/>
        <v>公営住宅</v>
      </c>
      <c r="E2187" s="7" t="str">
        <f t="shared" si="753"/>
        <v>大阪府豊中市新千里東町３丁目</v>
      </c>
      <c r="F2187" s="7"/>
      <c r="G2187" s="7" t="str">
        <f t="shared" si="736"/>
        <v>事業用資産</v>
      </c>
      <c r="H2187" s="7" t="str">
        <f t="shared" si="755"/>
        <v>棚卸以外</v>
      </c>
      <c r="I2187" s="7">
        <v>30</v>
      </c>
      <c r="J2187" s="7" t="str">
        <f>"豊中新千里東（８号棟）"</f>
        <v>豊中新千里東（８号棟）</v>
      </c>
      <c r="K2187" s="7" t="str">
        <f t="shared" si="754"/>
        <v>鉄筋コンクリート造</v>
      </c>
      <c r="L2187" s="7" t="str">
        <f>"H30.02.01"</f>
        <v>H30.02.01</v>
      </c>
      <c r="M2187" s="7">
        <v>1704.78</v>
      </c>
      <c r="N2187" s="7">
        <v>425711213</v>
      </c>
      <c r="O2187" s="7">
        <v>46043976</v>
      </c>
      <c r="P2187" s="7">
        <v>0</v>
      </c>
      <c r="Q2187" s="7" t="str">
        <f t="shared" si="741"/>
        <v>都市整備部</v>
      </c>
      <c r="R2187" s="7" t="str">
        <f t="shared" si="737"/>
        <v>住宅建築局住宅経営室</v>
      </c>
    </row>
    <row r="2188" spans="1:18" s="1" customFormat="1" x14ac:dyDescent="0.45">
      <c r="A2188" s="7" t="str">
        <f t="shared" si="751"/>
        <v>09940003192</v>
      </c>
      <c r="B2188" s="7" t="str">
        <f t="shared" si="752"/>
        <v>豊中新千里東（旧　新千里東）</v>
      </c>
      <c r="C2188" s="7" t="str">
        <f t="shared" si="739"/>
        <v>行政財産</v>
      </c>
      <c r="D2188" s="7" t="str">
        <f t="shared" si="740"/>
        <v>公営住宅</v>
      </c>
      <c r="E2188" s="7" t="str">
        <f t="shared" si="753"/>
        <v>大阪府豊中市新千里東町３丁目</v>
      </c>
      <c r="F2188" s="7"/>
      <c r="G2188" s="7" t="str">
        <f t="shared" si="736"/>
        <v>事業用資産</v>
      </c>
      <c r="H2188" s="7" t="str">
        <f t="shared" si="755"/>
        <v>棚卸以外</v>
      </c>
      <c r="I2188" s="7">
        <v>31</v>
      </c>
      <c r="J2188" s="7" t="str">
        <f>"豊中新千里東（電気室）"</f>
        <v>豊中新千里東（電気室）</v>
      </c>
      <c r="K2188" s="7" t="str">
        <f t="shared" si="754"/>
        <v>鉄筋コンクリート造</v>
      </c>
      <c r="L2188" s="7" t="str">
        <f>"H30.02.01"</f>
        <v>H30.02.01</v>
      </c>
      <c r="M2188" s="7">
        <v>66.930000000000007</v>
      </c>
      <c r="N2188" s="7">
        <v>24101735</v>
      </c>
      <c r="O2188" s="7">
        <v>2606774</v>
      </c>
      <c r="P2188" s="7">
        <v>0</v>
      </c>
      <c r="Q2188" s="7" t="str">
        <f t="shared" si="741"/>
        <v>都市整備部</v>
      </c>
      <c r="R2188" s="7" t="str">
        <f t="shared" si="737"/>
        <v>住宅建築局住宅経営室</v>
      </c>
    </row>
    <row r="2189" spans="1:18" s="1" customFormat="1" x14ac:dyDescent="0.45">
      <c r="A2189" s="7" t="str">
        <f t="shared" si="751"/>
        <v>09940003192</v>
      </c>
      <c r="B2189" s="7" t="str">
        <f t="shared" si="752"/>
        <v>豊中新千里東（旧　新千里東）</v>
      </c>
      <c r="C2189" s="7" t="str">
        <f t="shared" si="739"/>
        <v>行政財産</v>
      </c>
      <c r="D2189" s="7" t="str">
        <f t="shared" si="740"/>
        <v>公営住宅</v>
      </c>
      <c r="E2189" s="7" t="str">
        <f t="shared" si="753"/>
        <v>大阪府豊中市新千里東町３丁目</v>
      </c>
      <c r="F2189" s="7"/>
      <c r="G2189" s="7" t="str">
        <f t="shared" si="736"/>
        <v>事業用資産</v>
      </c>
      <c r="H2189" s="7" t="str">
        <f t="shared" si="755"/>
        <v>棚卸以外</v>
      </c>
      <c r="I2189" s="7">
        <v>32</v>
      </c>
      <c r="J2189" s="7" t="str">
        <f>"豊中新千里東（受水槽・ポンプ室）"</f>
        <v>豊中新千里東（受水槽・ポンプ室）</v>
      </c>
      <c r="K2189" s="7" t="str">
        <f t="shared" si="754"/>
        <v>鉄筋コンクリート造</v>
      </c>
      <c r="L2189" s="7" t="str">
        <f>"H30.02.01"</f>
        <v>H30.02.01</v>
      </c>
      <c r="M2189" s="7">
        <v>11.68</v>
      </c>
      <c r="N2189" s="7">
        <v>11340824</v>
      </c>
      <c r="O2189" s="7">
        <v>1226588</v>
      </c>
      <c r="P2189" s="7">
        <v>0</v>
      </c>
      <c r="Q2189" s="7" t="str">
        <f t="shared" si="741"/>
        <v>都市整備部</v>
      </c>
      <c r="R2189" s="7" t="str">
        <f t="shared" si="737"/>
        <v>住宅建築局住宅経営室</v>
      </c>
    </row>
    <row r="2190" spans="1:18" s="1" customFormat="1" x14ac:dyDescent="0.45">
      <c r="A2190" s="7" t="str">
        <f t="shared" si="751"/>
        <v>09940003192</v>
      </c>
      <c r="B2190" s="7" t="str">
        <f t="shared" si="752"/>
        <v>豊中新千里東（旧　新千里東）</v>
      </c>
      <c r="C2190" s="7" t="str">
        <f t="shared" si="739"/>
        <v>行政財産</v>
      </c>
      <c r="D2190" s="7" t="str">
        <f t="shared" si="740"/>
        <v>公営住宅</v>
      </c>
      <c r="E2190" s="7" t="str">
        <f t="shared" si="753"/>
        <v>大阪府豊中市新千里東町３丁目</v>
      </c>
      <c r="F2190" s="7"/>
      <c r="G2190" s="7" t="str">
        <f t="shared" si="736"/>
        <v>事業用資産</v>
      </c>
      <c r="H2190" s="7" t="str">
        <f t="shared" si="755"/>
        <v>棚卸以外</v>
      </c>
      <c r="I2190" s="7">
        <v>33</v>
      </c>
      <c r="J2190" s="7" t="str">
        <f>"６号棟"</f>
        <v>６号棟</v>
      </c>
      <c r="K2190" s="7" t="str">
        <f t="shared" si="754"/>
        <v>鉄筋コンクリート造</v>
      </c>
      <c r="L2190" s="7" t="str">
        <f>"R05.03.01"</f>
        <v>R05.03.01</v>
      </c>
      <c r="M2190" s="7">
        <v>7327</v>
      </c>
      <c r="N2190" s="7">
        <v>1804171252</v>
      </c>
      <c r="O2190" s="7">
        <v>0</v>
      </c>
      <c r="P2190" s="7">
        <v>0</v>
      </c>
      <c r="Q2190" s="7" t="str">
        <f t="shared" si="741"/>
        <v>都市整備部</v>
      </c>
      <c r="R2190" s="7" t="str">
        <f t="shared" si="737"/>
        <v>住宅建築局住宅経営室</v>
      </c>
    </row>
    <row r="2191" spans="1:18" s="1" customFormat="1" x14ac:dyDescent="0.45">
      <c r="A2191" s="7" t="str">
        <f t="shared" si="751"/>
        <v>09940003192</v>
      </c>
      <c r="B2191" s="7" t="str">
        <f t="shared" si="752"/>
        <v>豊中新千里東（旧　新千里東）</v>
      </c>
      <c r="C2191" s="7" t="str">
        <f t="shared" si="739"/>
        <v>行政財産</v>
      </c>
      <c r="D2191" s="7" t="str">
        <f t="shared" si="740"/>
        <v>公営住宅</v>
      </c>
      <c r="E2191" s="7" t="str">
        <f t="shared" si="753"/>
        <v>大阪府豊中市新千里東町３丁目</v>
      </c>
      <c r="F2191" s="7"/>
      <c r="G2191" s="7" t="str">
        <f t="shared" si="736"/>
        <v>事業用資産</v>
      </c>
      <c r="H2191" s="7" t="str">
        <f t="shared" si="755"/>
        <v>棚卸以外</v>
      </c>
      <c r="I2191" s="7">
        <v>34</v>
      </c>
      <c r="J2191" s="7" t="str">
        <f>"電気室・ポンプ室"</f>
        <v>電気室・ポンプ室</v>
      </c>
      <c r="K2191" s="7" t="str">
        <f t="shared" si="754"/>
        <v>鉄筋コンクリート造</v>
      </c>
      <c r="L2191" s="7" t="str">
        <f>"R05.03.01"</f>
        <v>R05.03.01</v>
      </c>
      <c r="M2191" s="7">
        <v>62</v>
      </c>
      <c r="N2191" s="7">
        <v>33438403</v>
      </c>
      <c r="O2191" s="7">
        <v>0</v>
      </c>
      <c r="P2191" s="7">
        <v>0</v>
      </c>
      <c r="Q2191" s="7" t="str">
        <f t="shared" si="741"/>
        <v>都市整備部</v>
      </c>
      <c r="R2191" s="7" t="str">
        <f t="shared" si="737"/>
        <v>住宅建築局住宅経営室</v>
      </c>
    </row>
    <row r="2192" spans="1:18" s="1" customFormat="1" x14ac:dyDescent="0.45">
      <c r="A2192" s="7" t="str">
        <f t="shared" ref="A2192:A2203" si="756">"09940003193"</f>
        <v>09940003193</v>
      </c>
      <c r="B2192" s="7" t="str">
        <f t="shared" ref="B2192:B2203" si="757">"岸和田大町（旧久米田第２）"</f>
        <v>岸和田大町（旧久米田第２）</v>
      </c>
      <c r="C2192" s="7" t="str">
        <f t="shared" si="739"/>
        <v>行政財産</v>
      </c>
      <c r="D2192" s="7" t="str">
        <f t="shared" si="740"/>
        <v>公営住宅</v>
      </c>
      <c r="E2192" s="7" t="str">
        <f t="shared" ref="E2192:E2203" si="758">"大阪府岸和田市大町"</f>
        <v>大阪府岸和田市大町</v>
      </c>
      <c r="F2192" s="7"/>
      <c r="G2192" s="7" t="str">
        <f t="shared" si="736"/>
        <v>事業用資産</v>
      </c>
      <c r="H2192" s="7" t="str">
        <f t="shared" si="755"/>
        <v>棚卸以外</v>
      </c>
      <c r="I2192" s="7">
        <v>2</v>
      </c>
      <c r="J2192" s="7" t="str">
        <f>"１号棟"</f>
        <v>１号棟</v>
      </c>
      <c r="K2192" s="7" t="str">
        <f t="shared" si="754"/>
        <v>鉄筋コンクリート造</v>
      </c>
      <c r="L2192" s="7" t="str">
        <f>"H17.08.30"</f>
        <v>H17.08.30</v>
      </c>
      <c r="M2192" s="7">
        <v>4616.42</v>
      </c>
      <c r="N2192" s="7">
        <v>710706371</v>
      </c>
      <c r="O2192" s="7">
        <v>266076276</v>
      </c>
      <c r="P2192" s="7">
        <v>0</v>
      </c>
      <c r="Q2192" s="7" t="str">
        <f t="shared" si="741"/>
        <v>都市整備部</v>
      </c>
      <c r="R2192" s="7" t="str">
        <f t="shared" si="737"/>
        <v>住宅建築局住宅経営室</v>
      </c>
    </row>
    <row r="2193" spans="1:18" s="1" customFormat="1" x14ac:dyDescent="0.45">
      <c r="A2193" s="7" t="str">
        <f t="shared" si="756"/>
        <v>09940003193</v>
      </c>
      <c r="B2193" s="7" t="str">
        <f t="shared" si="757"/>
        <v>岸和田大町（旧久米田第２）</v>
      </c>
      <c r="C2193" s="7" t="str">
        <f t="shared" si="739"/>
        <v>行政財産</v>
      </c>
      <c r="D2193" s="7" t="str">
        <f t="shared" si="740"/>
        <v>公営住宅</v>
      </c>
      <c r="E2193" s="7" t="str">
        <f t="shared" si="758"/>
        <v>大阪府岸和田市大町</v>
      </c>
      <c r="F2193" s="7"/>
      <c r="G2193" s="7" t="str">
        <f t="shared" si="736"/>
        <v>事業用資産</v>
      </c>
      <c r="H2193" s="7" t="str">
        <f t="shared" si="755"/>
        <v>棚卸以外</v>
      </c>
      <c r="I2193" s="7">
        <v>3</v>
      </c>
      <c r="J2193" s="7" t="str">
        <f>"受水槽ポンプ室・電気室"</f>
        <v>受水槽ポンプ室・電気室</v>
      </c>
      <c r="K2193" s="7" t="str">
        <f t="shared" si="754"/>
        <v>鉄筋コンクリート造</v>
      </c>
      <c r="L2193" s="7" t="str">
        <f>"H17.08.30"</f>
        <v>H17.08.30</v>
      </c>
      <c r="M2193" s="7">
        <v>91.53</v>
      </c>
      <c r="N2193" s="7">
        <v>23352000</v>
      </c>
      <c r="O2193" s="7">
        <v>8736455</v>
      </c>
      <c r="P2193" s="7">
        <v>0</v>
      </c>
      <c r="Q2193" s="7" t="str">
        <f t="shared" si="741"/>
        <v>都市整備部</v>
      </c>
      <c r="R2193" s="7" t="str">
        <f t="shared" si="737"/>
        <v>住宅建築局住宅経営室</v>
      </c>
    </row>
    <row r="2194" spans="1:18" s="1" customFormat="1" x14ac:dyDescent="0.45">
      <c r="A2194" s="7" t="str">
        <f t="shared" si="756"/>
        <v>09940003193</v>
      </c>
      <c r="B2194" s="7" t="str">
        <f t="shared" si="757"/>
        <v>岸和田大町（旧久米田第２）</v>
      </c>
      <c r="C2194" s="7" t="str">
        <f t="shared" si="739"/>
        <v>行政財産</v>
      </c>
      <c r="D2194" s="7" t="str">
        <f t="shared" si="740"/>
        <v>公営住宅</v>
      </c>
      <c r="E2194" s="7" t="str">
        <f t="shared" si="758"/>
        <v>大阪府岸和田市大町</v>
      </c>
      <c r="F2194" s="7"/>
      <c r="G2194" s="7" t="str">
        <f t="shared" si="736"/>
        <v>事業用資産</v>
      </c>
      <c r="H2194" s="7" t="str">
        <f t="shared" si="755"/>
        <v>棚卸以外</v>
      </c>
      <c r="I2194" s="7">
        <v>4</v>
      </c>
      <c r="J2194" s="7" t="str">
        <f>"２号棟"</f>
        <v>２号棟</v>
      </c>
      <c r="K2194" s="7" t="str">
        <f t="shared" si="754"/>
        <v>鉄筋コンクリート造</v>
      </c>
      <c r="L2194" s="7" t="str">
        <f>"H18.01.13"</f>
        <v>H18.01.13</v>
      </c>
      <c r="M2194" s="7">
        <v>4016.99</v>
      </c>
      <c r="N2194" s="7">
        <v>549279371</v>
      </c>
      <c r="O2194" s="7">
        <v>200830338</v>
      </c>
      <c r="P2194" s="7">
        <v>0</v>
      </c>
      <c r="Q2194" s="7" t="str">
        <f t="shared" si="741"/>
        <v>都市整備部</v>
      </c>
      <c r="R2194" s="7" t="str">
        <f t="shared" si="737"/>
        <v>住宅建築局住宅経営室</v>
      </c>
    </row>
    <row r="2195" spans="1:18" s="1" customFormat="1" x14ac:dyDescent="0.45">
      <c r="A2195" s="7" t="str">
        <f t="shared" si="756"/>
        <v>09940003193</v>
      </c>
      <c r="B2195" s="7" t="str">
        <f t="shared" si="757"/>
        <v>岸和田大町（旧久米田第２）</v>
      </c>
      <c r="C2195" s="7" t="str">
        <f t="shared" si="739"/>
        <v>行政財産</v>
      </c>
      <c r="D2195" s="7" t="str">
        <f t="shared" si="740"/>
        <v>公営住宅</v>
      </c>
      <c r="E2195" s="7" t="str">
        <f t="shared" si="758"/>
        <v>大阪府岸和田市大町</v>
      </c>
      <c r="F2195" s="7"/>
      <c r="G2195" s="7" t="str">
        <f t="shared" si="736"/>
        <v>事業用資産</v>
      </c>
      <c r="H2195" s="7" t="str">
        <f t="shared" si="755"/>
        <v>棚卸以外</v>
      </c>
      <c r="I2195" s="7">
        <v>5</v>
      </c>
      <c r="J2195" s="7" t="str">
        <f>"電気室"</f>
        <v>電気室</v>
      </c>
      <c r="K2195" s="7" t="str">
        <f t="shared" si="754"/>
        <v>鉄筋コンクリート造</v>
      </c>
      <c r="L2195" s="7" t="str">
        <f>"H18.01.13"</f>
        <v>H18.01.13</v>
      </c>
      <c r="M2195" s="7">
        <v>30.25</v>
      </c>
      <c r="N2195" s="7">
        <v>7719000</v>
      </c>
      <c r="O2195" s="7">
        <v>2819522</v>
      </c>
      <c r="P2195" s="7">
        <v>0</v>
      </c>
      <c r="Q2195" s="7" t="str">
        <f t="shared" si="741"/>
        <v>都市整備部</v>
      </c>
      <c r="R2195" s="7" t="str">
        <f t="shared" si="737"/>
        <v>住宅建築局住宅経営室</v>
      </c>
    </row>
    <row r="2196" spans="1:18" s="1" customFormat="1" x14ac:dyDescent="0.45">
      <c r="A2196" s="7" t="str">
        <f t="shared" si="756"/>
        <v>09940003193</v>
      </c>
      <c r="B2196" s="7" t="str">
        <f t="shared" si="757"/>
        <v>岸和田大町（旧久米田第２）</v>
      </c>
      <c r="C2196" s="7" t="str">
        <f t="shared" si="739"/>
        <v>行政財産</v>
      </c>
      <c r="D2196" s="7" t="str">
        <f t="shared" si="740"/>
        <v>公営住宅</v>
      </c>
      <c r="E2196" s="7" t="str">
        <f t="shared" si="758"/>
        <v>大阪府岸和田市大町</v>
      </c>
      <c r="F2196" s="7"/>
      <c r="G2196" s="7" t="str">
        <f t="shared" si="736"/>
        <v>事業用資産</v>
      </c>
      <c r="H2196" s="7" t="str">
        <f t="shared" si="755"/>
        <v>棚卸以外</v>
      </c>
      <c r="I2196" s="7">
        <v>6</v>
      </c>
      <c r="J2196" s="7" t="str">
        <f>"３号棟"</f>
        <v>３号棟</v>
      </c>
      <c r="K2196" s="7" t="str">
        <f t="shared" si="754"/>
        <v>鉄筋コンクリート造</v>
      </c>
      <c r="L2196" s="7" t="str">
        <f>"H18.02.27"</f>
        <v>H18.02.27</v>
      </c>
      <c r="M2196" s="7">
        <v>2826</v>
      </c>
      <c r="N2196" s="7">
        <v>321251371</v>
      </c>
      <c r="O2196" s="7">
        <v>116977025</v>
      </c>
      <c r="P2196" s="7">
        <v>0</v>
      </c>
      <c r="Q2196" s="7" t="str">
        <f t="shared" si="741"/>
        <v>都市整備部</v>
      </c>
      <c r="R2196" s="7" t="str">
        <f t="shared" si="737"/>
        <v>住宅建築局住宅経営室</v>
      </c>
    </row>
    <row r="2197" spans="1:18" s="1" customFormat="1" x14ac:dyDescent="0.45">
      <c r="A2197" s="7" t="str">
        <f t="shared" si="756"/>
        <v>09940003193</v>
      </c>
      <c r="B2197" s="7" t="str">
        <f t="shared" si="757"/>
        <v>岸和田大町（旧久米田第２）</v>
      </c>
      <c r="C2197" s="7" t="str">
        <f t="shared" si="739"/>
        <v>行政財産</v>
      </c>
      <c r="D2197" s="7" t="str">
        <f t="shared" si="740"/>
        <v>公営住宅</v>
      </c>
      <c r="E2197" s="7" t="str">
        <f t="shared" si="758"/>
        <v>大阪府岸和田市大町</v>
      </c>
      <c r="F2197" s="7"/>
      <c r="G2197" s="7" t="str">
        <f t="shared" si="736"/>
        <v>事業用資産</v>
      </c>
      <c r="H2197" s="7" t="str">
        <f t="shared" si="755"/>
        <v>棚卸以外</v>
      </c>
      <c r="I2197" s="7">
        <v>7</v>
      </c>
      <c r="J2197" s="7" t="str">
        <f>"集会所"</f>
        <v>集会所</v>
      </c>
      <c r="K2197" s="7" t="str">
        <f t="shared" si="754"/>
        <v>鉄筋コンクリート造</v>
      </c>
      <c r="L2197" s="7" t="str">
        <f>"H18.02.27"</f>
        <v>H18.02.27</v>
      </c>
      <c r="M2197" s="7">
        <v>161.44</v>
      </c>
      <c r="N2197" s="7">
        <v>23025000</v>
      </c>
      <c r="O2197" s="7">
        <v>8369125</v>
      </c>
      <c r="P2197" s="7">
        <v>0</v>
      </c>
      <c r="Q2197" s="7" t="str">
        <f t="shared" si="741"/>
        <v>都市整備部</v>
      </c>
      <c r="R2197" s="7" t="str">
        <f t="shared" si="737"/>
        <v>住宅建築局住宅経営室</v>
      </c>
    </row>
    <row r="2198" spans="1:18" s="1" customFormat="1" x14ac:dyDescent="0.45">
      <c r="A2198" s="7" t="str">
        <f t="shared" si="756"/>
        <v>09940003193</v>
      </c>
      <c r="B2198" s="7" t="str">
        <f t="shared" si="757"/>
        <v>岸和田大町（旧久米田第２）</v>
      </c>
      <c r="C2198" s="7" t="str">
        <f t="shared" si="739"/>
        <v>行政財産</v>
      </c>
      <c r="D2198" s="7" t="str">
        <f t="shared" si="740"/>
        <v>公営住宅</v>
      </c>
      <c r="E2198" s="7" t="str">
        <f t="shared" si="758"/>
        <v>大阪府岸和田市大町</v>
      </c>
      <c r="F2198" s="7"/>
      <c r="G2198" s="7" t="str">
        <f t="shared" si="736"/>
        <v>事業用資産</v>
      </c>
      <c r="H2198" s="7" t="str">
        <f t="shared" si="755"/>
        <v>棚卸以外</v>
      </c>
      <c r="I2198" s="7">
        <v>8</v>
      </c>
      <c r="J2198" s="7" t="str">
        <f>"４号棟"</f>
        <v>４号棟</v>
      </c>
      <c r="K2198" s="7" t="str">
        <f t="shared" si="754"/>
        <v>鉄筋コンクリート造</v>
      </c>
      <c r="L2198" s="7" t="str">
        <f>"H21.02.25"</f>
        <v>H21.02.25</v>
      </c>
      <c r="M2198" s="7">
        <v>3775.18</v>
      </c>
      <c r="N2198" s="7">
        <v>485407740</v>
      </c>
      <c r="O2198" s="7">
        <v>146094302</v>
      </c>
      <c r="P2198" s="7">
        <v>0</v>
      </c>
      <c r="Q2198" s="7" t="str">
        <f t="shared" si="741"/>
        <v>都市整備部</v>
      </c>
      <c r="R2198" s="7" t="str">
        <f t="shared" si="737"/>
        <v>住宅建築局住宅経営室</v>
      </c>
    </row>
    <row r="2199" spans="1:18" s="1" customFormat="1" x14ac:dyDescent="0.45">
      <c r="A2199" s="7" t="str">
        <f t="shared" si="756"/>
        <v>09940003193</v>
      </c>
      <c r="B2199" s="7" t="str">
        <f t="shared" si="757"/>
        <v>岸和田大町（旧久米田第２）</v>
      </c>
      <c r="C2199" s="7" t="str">
        <f t="shared" si="739"/>
        <v>行政財産</v>
      </c>
      <c r="D2199" s="7" t="str">
        <f t="shared" si="740"/>
        <v>公営住宅</v>
      </c>
      <c r="E2199" s="7" t="str">
        <f t="shared" si="758"/>
        <v>大阪府岸和田市大町</v>
      </c>
      <c r="F2199" s="7"/>
      <c r="G2199" s="7" t="str">
        <f t="shared" ref="G2199:G2262" si="759">"事業用資産"</f>
        <v>事業用資産</v>
      </c>
      <c r="H2199" s="7" t="str">
        <f t="shared" si="755"/>
        <v>棚卸以外</v>
      </c>
      <c r="I2199" s="7">
        <v>9</v>
      </c>
      <c r="J2199" s="7" t="str">
        <f>"５号棟"</f>
        <v>５号棟</v>
      </c>
      <c r="K2199" s="7" t="str">
        <f t="shared" si="754"/>
        <v>鉄筋コンクリート造</v>
      </c>
      <c r="L2199" s="7" t="str">
        <f>"H21.02.25"</f>
        <v>H21.02.25</v>
      </c>
      <c r="M2199" s="7">
        <v>2984.24</v>
      </c>
      <c r="N2199" s="7">
        <v>414221000</v>
      </c>
      <c r="O2199" s="7">
        <v>124119515</v>
      </c>
      <c r="P2199" s="7">
        <v>0</v>
      </c>
      <c r="Q2199" s="7" t="str">
        <f t="shared" si="741"/>
        <v>都市整備部</v>
      </c>
      <c r="R2199" s="7" t="str">
        <f t="shared" si="737"/>
        <v>住宅建築局住宅経営室</v>
      </c>
    </row>
    <row r="2200" spans="1:18" s="1" customFormat="1" x14ac:dyDescent="0.45">
      <c r="A2200" s="7" t="str">
        <f t="shared" si="756"/>
        <v>09940003193</v>
      </c>
      <c r="B2200" s="7" t="str">
        <f t="shared" si="757"/>
        <v>岸和田大町（旧久米田第２）</v>
      </c>
      <c r="C2200" s="7" t="str">
        <f t="shared" si="739"/>
        <v>行政財産</v>
      </c>
      <c r="D2200" s="7" t="str">
        <f t="shared" si="740"/>
        <v>公営住宅</v>
      </c>
      <c r="E2200" s="7" t="str">
        <f t="shared" si="758"/>
        <v>大阪府岸和田市大町</v>
      </c>
      <c r="F2200" s="7"/>
      <c r="G2200" s="7" t="str">
        <f t="shared" si="759"/>
        <v>事業用資産</v>
      </c>
      <c r="H2200" s="7" t="str">
        <f t="shared" si="755"/>
        <v>棚卸以外</v>
      </c>
      <c r="I2200" s="7">
        <v>10</v>
      </c>
      <c r="J2200" s="7" t="str">
        <f>"ポンプ室・電気室"</f>
        <v>ポンプ室・電気室</v>
      </c>
      <c r="K2200" s="7" t="str">
        <f t="shared" si="754"/>
        <v>鉄筋コンクリート造</v>
      </c>
      <c r="L2200" s="7" t="str">
        <f>"H21.02.25"</f>
        <v>H21.02.25</v>
      </c>
      <c r="M2200" s="7">
        <v>73.41</v>
      </c>
      <c r="N2200" s="7">
        <v>20634000</v>
      </c>
      <c r="O2200" s="7">
        <v>6183034</v>
      </c>
      <c r="P2200" s="7">
        <v>0</v>
      </c>
      <c r="Q2200" s="7" t="str">
        <f t="shared" si="741"/>
        <v>都市整備部</v>
      </c>
      <c r="R2200" s="7" t="str">
        <f t="shared" ref="R2200:R2263" si="760">"住宅建築局住宅経営室"</f>
        <v>住宅建築局住宅経営室</v>
      </c>
    </row>
    <row r="2201" spans="1:18" s="1" customFormat="1" x14ac:dyDescent="0.45">
      <c r="A2201" s="7" t="str">
        <f t="shared" si="756"/>
        <v>09940003193</v>
      </c>
      <c r="B2201" s="7" t="str">
        <f t="shared" si="757"/>
        <v>岸和田大町（旧久米田第２）</v>
      </c>
      <c r="C2201" s="7" t="str">
        <f t="shared" si="739"/>
        <v>行政財産</v>
      </c>
      <c r="D2201" s="7" t="str">
        <f t="shared" si="740"/>
        <v>公営住宅</v>
      </c>
      <c r="E2201" s="7" t="str">
        <f t="shared" si="758"/>
        <v>大阪府岸和田市大町</v>
      </c>
      <c r="F2201" s="7"/>
      <c r="G2201" s="7" t="str">
        <f t="shared" si="759"/>
        <v>事業用資産</v>
      </c>
      <c r="H2201" s="7" t="str">
        <f t="shared" si="755"/>
        <v>棚卸以外</v>
      </c>
      <c r="I2201" s="7">
        <v>11</v>
      </c>
      <c r="J2201" s="7" t="str">
        <f>"６号棟"</f>
        <v>６号棟</v>
      </c>
      <c r="K2201" s="7" t="str">
        <f t="shared" ref="K2201:K2232" si="761">"鉄筋コンクリート造"</f>
        <v>鉄筋コンクリート造</v>
      </c>
      <c r="L2201" s="7" t="str">
        <f>"H22.01.29"</f>
        <v>H22.01.29</v>
      </c>
      <c r="M2201" s="7">
        <v>3863.29</v>
      </c>
      <c r="N2201" s="7">
        <v>463713979</v>
      </c>
      <c r="O2201" s="7">
        <v>130345448</v>
      </c>
      <c r="P2201" s="7">
        <v>0</v>
      </c>
      <c r="Q2201" s="7" t="str">
        <f t="shared" si="741"/>
        <v>都市整備部</v>
      </c>
      <c r="R2201" s="7" t="str">
        <f t="shared" si="760"/>
        <v>住宅建築局住宅経営室</v>
      </c>
    </row>
    <row r="2202" spans="1:18" s="1" customFormat="1" x14ac:dyDescent="0.45">
      <c r="A2202" s="7" t="str">
        <f t="shared" si="756"/>
        <v>09940003193</v>
      </c>
      <c r="B2202" s="7" t="str">
        <f t="shared" si="757"/>
        <v>岸和田大町（旧久米田第２）</v>
      </c>
      <c r="C2202" s="7" t="str">
        <f t="shared" ref="C2202:C2265" si="762">"行政財産"</f>
        <v>行政財産</v>
      </c>
      <c r="D2202" s="7" t="str">
        <f t="shared" ref="D2202:D2265" si="763">"公営住宅"</f>
        <v>公営住宅</v>
      </c>
      <c r="E2202" s="7" t="str">
        <f t="shared" si="758"/>
        <v>大阪府岸和田市大町</v>
      </c>
      <c r="F2202" s="7"/>
      <c r="G2202" s="7" t="str">
        <f t="shared" si="759"/>
        <v>事業用資産</v>
      </c>
      <c r="H2202" s="7" t="str">
        <f t="shared" si="755"/>
        <v>棚卸以外</v>
      </c>
      <c r="I2202" s="7">
        <v>12</v>
      </c>
      <c r="J2202" s="7" t="str">
        <f>"ポンプ室・電気室"</f>
        <v>ポンプ室・電気室</v>
      </c>
      <c r="K2202" s="7" t="str">
        <f t="shared" si="761"/>
        <v>鉄筋コンクリート造</v>
      </c>
      <c r="L2202" s="7" t="str">
        <f>"H22.01.29"</f>
        <v>H22.01.29</v>
      </c>
      <c r="M2202" s="7">
        <v>77.03</v>
      </c>
      <c r="N2202" s="7">
        <v>19628000</v>
      </c>
      <c r="O2202" s="7">
        <v>5498716</v>
      </c>
      <c r="P2202" s="7">
        <v>0</v>
      </c>
      <c r="Q2202" s="7" t="str">
        <f t="shared" si="741"/>
        <v>都市整備部</v>
      </c>
      <c r="R2202" s="7" t="str">
        <f t="shared" si="760"/>
        <v>住宅建築局住宅経営室</v>
      </c>
    </row>
    <row r="2203" spans="1:18" s="1" customFormat="1" x14ac:dyDescent="0.45">
      <c r="A2203" s="7" t="str">
        <f t="shared" si="756"/>
        <v>09940003193</v>
      </c>
      <c r="B2203" s="7" t="str">
        <f t="shared" si="757"/>
        <v>岸和田大町（旧久米田第２）</v>
      </c>
      <c r="C2203" s="7" t="str">
        <f t="shared" si="762"/>
        <v>行政財産</v>
      </c>
      <c r="D2203" s="7" t="str">
        <f t="shared" si="763"/>
        <v>公営住宅</v>
      </c>
      <c r="E2203" s="7" t="str">
        <f t="shared" si="758"/>
        <v>大阪府岸和田市大町</v>
      </c>
      <c r="F2203" s="7"/>
      <c r="G2203" s="7" t="str">
        <f t="shared" si="759"/>
        <v>事業用資産</v>
      </c>
      <c r="H2203" s="7" t="str">
        <f t="shared" si="755"/>
        <v>棚卸以外</v>
      </c>
      <c r="I2203" s="7">
        <v>13</v>
      </c>
      <c r="J2203" s="7" t="str">
        <f>"７号棟"</f>
        <v>７号棟</v>
      </c>
      <c r="K2203" s="7" t="str">
        <f t="shared" si="761"/>
        <v>鉄筋コンクリート造</v>
      </c>
      <c r="L2203" s="7" t="str">
        <f>"H24.09.01"</f>
        <v>H24.09.01</v>
      </c>
      <c r="M2203" s="7">
        <v>3782.24</v>
      </c>
      <c r="N2203" s="7">
        <v>542068995</v>
      </c>
      <c r="O2203" s="7">
        <v>121145646</v>
      </c>
      <c r="P2203" s="7">
        <v>0</v>
      </c>
      <c r="Q2203" s="7" t="str">
        <f t="shared" ref="Q2203:Q2266" si="764">"都市整備部"</f>
        <v>都市整備部</v>
      </c>
      <c r="R2203" s="7" t="str">
        <f t="shared" si="760"/>
        <v>住宅建築局住宅経営室</v>
      </c>
    </row>
    <row r="2204" spans="1:18" s="1" customFormat="1" x14ac:dyDescent="0.45">
      <c r="A2204" s="7" t="str">
        <f t="shared" ref="A2204:A2211" si="765">"09940003194"</f>
        <v>09940003194</v>
      </c>
      <c r="B2204" s="7" t="str">
        <f t="shared" ref="B2204:B2211" si="766">"田尻りんくう"</f>
        <v>田尻りんくう</v>
      </c>
      <c r="C2204" s="7" t="str">
        <f t="shared" si="762"/>
        <v>行政財産</v>
      </c>
      <c r="D2204" s="7" t="str">
        <f t="shared" si="763"/>
        <v>公営住宅</v>
      </c>
      <c r="E2204" s="7" t="str">
        <f t="shared" ref="E2204:E2211" si="767">"大阪府泉南郡　田尻町りんくうポート北"</f>
        <v>大阪府泉南郡　田尻町りんくうポート北</v>
      </c>
      <c r="F2204" s="7"/>
      <c r="G2204" s="7" t="str">
        <f t="shared" si="759"/>
        <v>事業用資産</v>
      </c>
      <c r="H2204" s="7" t="str">
        <f t="shared" si="755"/>
        <v>棚卸以外</v>
      </c>
      <c r="I2204" s="7">
        <v>1</v>
      </c>
      <c r="J2204" s="7" t="str">
        <f>"１号棟"</f>
        <v>１号棟</v>
      </c>
      <c r="K2204" s="7" t="str">
        <f t="shared" si="761"/>
        <v>鉄筋コンクリート造</v>
      </c>
      <c r="L2204" s="7" t="str">
        <f t="shared" ref="L2204:L2210" si="768">"H17.01.28"</f>
        <v>H17.01.28</v>
      </c>
      <c r="M2204" s="7">
        <v>1915.14</v>
      </c>
      <c r="N2204" s="7">
        <v>283964456</v>
      </c>
      <c r="O2204" s="7">
        <v>109664618</v>
      </c>
      <c r="P2204" s="7">
        <v>0</v>
      </c>
      <c r="Q2204" s="7" t="str">
        <f t="shared" si="764"/>
        <v>都市整備部</v>
      </c>
      <c r="R2204" s="7" t="str">
        <f t="shared" si="760"/>
        <v>住宅建築局住宅経営室</v>
      </c>
    </row>
    <row r="2205" spans="1:18" s="1" customFormat="1" x14ac:dyDescent="0.45">
      <c r="A2205" s="7" t="str">
        <f t="shared" si="765"/>
        <v>09940003194</v>
      </c>
      <c r="B2205" s="7" t="str">
        <f t="shared" si="766"/>
        <v>田尻りんくう</v>
      </c>
      <c r="C2205" s="7" t="str">
        <f t="shared" si="762"/>
        <v>行政財産</v>
      </c>
      <c r="D2205" s="7" t="str">
        <f t="shared" si="763"/>
        <v>公営住宅</v>
      </c>
      <c r="E2205" s="7" t="str">
        <f t="shared" si="767"/>
        <v>大阪府泉南郡　田尻町りんくうポート北</v>
      </c>
      <c r="F2205" s="7"/>
      <c r="G2205" s="7" t="str">
        <f t="shared" si="759"/>
        <v>事業用資産</v>
      </c>
      <c r="H2205" s="7" t="str">
        <f t="shared" si="755"/>
        <v>棚卸以外</v>
      </c>
      <c r="I2205" s="7">
        <v>2</v>
      </c>
      <c r="J2205" s="7" t="str">
        <f>"３号棟"</f>
        <v>３号棟</v>
      </c>
      <c r="K2205" s="7" t="str">
        <f t="shared" si="761"/>
        <v>鉄筋コンクリート造</v>
      </c>
      <c r="L2205" s="7" t="str">
        <f t="shared" si="768"/>
        <v>H17.01.28</v>
      </c>
      <c r="M2205" s="7">
        <v>2626</v>
      </c>
      <c r="N2205" s="7">
        <v>358330456</v>
      </c>
      <c r="O2205" s="7">
        <v>138409008</v>
      </c>
      <c r="P2205" s="7">
        <v>0</v>
      </c>
      <c r="Q2205" s="7" t="str">
        <f t="shared" si="764"/>
        <v>都市整備部</v>
      </c>
      <c r="R2205" s="7" t="str">
        <f t="shared" si="760"/>
        <v>住宅建築局住宅経営室</v>
      </c>
    </row>
    <row r="2206" spans="1:18" s="1" customFormat="1" x14ac:dyDescent="0.45">
      <c r="A2206" s="7" t="str">
        <f t="shared" si="765"/>
        <v>09940003194</v>
      </c>
      <c r="B2206" s="7" t="str">
        <f t="shared" si="766"/>
        <v>田尻りんくう</v>
      </c>
      <c r="C2206" s="7" t="str">
        <f t="shared" si="762"/>
        <v>行政財産</v>
      </c>
      <c r="D2206" s="7" t="str">
        <f t="shared" si="763"/>
        <v>公営住宅</v>
      </c>
      <c r="E2206" s="7" t="str">
        <f t="shared" si="767"/>
        <v>大阪府泉南郡　田尻町りんくうポート北</v>
      </c>
      <c r="F2206" s="7"/>
      <c r="G2206" s="7" t="str">
        <f t="shared" si="759"/>
        <v>事業用資産</v>
      </c>
      <c r="H2206" s="7" t="str">
        <f t="shared" si="755"/>
        <v>棚卸以外</v>
      </c>
      <c r="I2206" s="7">
        <v>3</v>
      </c>
      <c r="J2206" s="7" t="str">
        <f>"４号棟"</f>
        <v>４号棟</v>
      </c>
      <c r="K2206" s="7" t="str">
        <f t="shared" si="761"/>
        <v>鉄筋コンクリート造</v>
      </c>
      <c r="L2206" s="7" t="str">
        <f t="shared" si="768"/>
        <v>H17.01.28</v>
      </c>
      <c r="M2206" s="7">
        <v>3659.07</v>
      </c>
      <c r="N2206" s="7">
        <v>434066456</v>
      </c>
      <c r="O2206" s="7">
        <v>167682920</v>
      </c>
      <c r="P2206" s="7">
        <v>0</v>
      </c>
      <c r="Q2206" s="7" t="str">
        <f t="shared" si="764"/>
        <v>都市整備部</v>
      </c>
      <c r="R2206" s="7" t="str">
        <f t="shared" si="760"/>
        <v>住宅建築局住宅経営室</v>
      </c>
    </row>
    <row r="2207" spans="1:18" s="1" customFormat="1" x14ac:dyDescent="0.45">
      <c r="A2207" s="7" t="str">
        <f t="shared" si="765"/>
        <v>09940003194</v>
      </c>
      <c r="B2207" s="7" t="str">
        <f t="shared" si="766"/>
        <v>田尻りんくう</v>
      </c>
      <c r="C2207" s="7" t="str">
        <f t="shared" si="762"/>
        <v>行政財産</v>
      </c>
      <c r="D2207" s="7" t="str">
        <f t="shared" si="763"/>
        <v>公営住宅</v>
      </c>
      <c r="E2207" s="7" t="str">
        <f t="shared" si="767"/>
        <v>大阪府泉南郡　田尻町りんくうポート北</v>
      </c>
      <c r="F2207" s="7"/>
      <c r="G2207" s="7" t="str">
        <f t="shared" si="759"/>
        <v>事業用資産</v>
      </c>
      <c r="H2207" s="7" t="str">
        <f t="shared" si="755"/>
        <v>棚卸以外</v>
      </c>
      <c r="I2207" s="7">
        <v>4</v>
      </c>
      <c r="J2207" s="7" t="str">
        <f>"５号棟"</f>
        <v>５号棟</v>
      </c>
      <c r="K2207" s="7" t="str">
        <f t="shared" si="761"/>
        <v>鉄筋コンクリート造</v>
      </c>
      <c r="L2207" s="7" t="str">
        <f t="shared" si="768"/>
        <v>H17.01.28</v>
      </c>
      <c r="M2207" s="7">
        <v>3107.21</v>
      </c>
      <c r="N2207" s="7">
        <v>411971456</v>
      </c>
      <c r="O2207" s="7">
        <v>159142552</v>
      </c>
      <c r="P2207" s="7">
        <v>0</v>
      </c>
      <c r="Q2207" s="7" t="str">
        <f t="shared" si="764"/>
        <v>都市整備部</v>
      </c>
      <c r="R2207" s="7" t="str">
        <f t="shared" si="760"/>
        <v>住宅建築局住宅経営室</v>
      </c>
    </row>
    <row r="2208" spans="1:18" s="1" customFormat="1" x14ac:dyDescent="0.45">
      <c r="A2208" s="7" t="str">
        <f t="shared" si="765"/>
        <v>09940003194</v>
      </c>
      <c r="B2208" s="7" t="str">
        <f t="shared" si="766"/>
        <v>田尻りんくう</v>
      </c>
      <c r="C2208" s="7" t="str">
        <f t="shared" si="762"/>
        <v>行政財産</v>
      </c>
      <c r="D2208" s="7" t="str">
        <f t="shared" si="763"/>
        <v>公営住宅</v>
      </c>
      <c r="E2208" s="7" t="str">
        <f t="shared" si="767"/>
        <v>大阪府泉南郡　田尻町りんくうポート北</v>
      </c>
      <c r="F2208" s="7"/>
      <c r="G2208" s="7" t="str">
        <f t="shared" si="759"/>
        <v>事業用資産</v>
      </c>
      <c r="H2208" s="7" t="str">
        <f t="shared" si="755"/>
        <v>棚卸以外</v>
      </c>
      <c r="I2208" s="7">
        <v>5</v>
      </c>
      <c r="J2208" s="7" t="str">
        <f>"集会所"</f>
        <v>集会所</v>
      </c>
      <c r="K2208" s="7" t="str">
        <f t="shared" si="761"/>
        <v>鉄筋コンクリート造</v>
      </c>
      <c r="L2208" s="7" t="str">
        <f t="shared" si="768"/>
        <v>H17.01.28</v>
      </c>
      <c r="M2208" s="7">
        <v>149.36000000000001</v>
      </c>
      <c r="N2208" s="7">
        <v>25600000</v>
      </c>
      <c r="O2208" s="7">
        <v>9895238</v>
      </c>
      <c r="P2208" s="7">
        <v>0</v>
      </c>
      <c r="Q2208" s="7" t="str">
        <f t="shared" si="764"/>
        <v>都市整備部</v>
      </c>
      <c r="R2208" s="7" t="str">
        <f t="shared" si="760"/>
        <v>住宅建築局住宅経営室</v>
      </c>
    </row>
    <row r="2209" spans="1:18" s="1" customFormat="1" x14ac:dyDescent="0.45">
      <c r="A2209" s="7" t="str">
        <f t="shared" si="765"/>
        <v>09940003194</v>
      </c>
      <c r="B2209" s="7" t="str">
        <f t="shared" si="766"/>
        <v>田尻りんくう</v>
      </c>
      <c r="C2209" s="7" t="str">
        <f t="shared" si="762"/>
        <v>行政財産</v>
      </c>
      <c r="D2209" s="7" t="str">
        <f t="shared" si="763"/>
        <v>公営住宅</v>
      </c>
      <c r="E2209" s="7" t="str">
        <f t="shared" si="767"/>
        <v>大阪府泉南郡　田尻町りんくうポート北</v>
      </c>
      <c r="F2209" s="7"/>
      <c r="G2209" s="7" t="str">
        <f t="shared" si="759"/>
        <v>事業用資産</v>
      </c>
      <c r="H2209" s="7" t="str">
        <f t="shared" si="755"/>
        <v>棚卸以外</v>
      </c>
      <c r="I2209" s="7">
        <v>6</v>
      </c>
      <c r="J2209" s="7" t="str">
        <f>"ポンプ室・電気室"</f>
        <v>ポンプ室・電気室</v>
      </c>
      <c r="K2209" s="7" t="str">
        <f t="shared" si="761"/>
        <v>鉄筋コンクリート造</v>
      </c>
      <c r="L2209" s="7" t="str">
        <f t="shared" si="768"/>
        <v>H17.01.28</v>
      </c>
      <c r="M2209" s="7">
        <v>205.2</v>
      </c>
      <c r="N2209" s="7">
        <v>62464000</v>
      </c>
      <c r="O2209" s="7">
        <v>24143936</v>
      </c>
      <c r="P2209" s="7">
        <v>0</v>
      </c>
      <c r="Q2209" s="7" t="str">
        <f t="shared" si="764"/>
        <v>都市整備部</v>
      </c>
      <c r="R2209" s="7" t="str">
        <f t="shared" si="760"/>
        <v>住宅建築局住宅経営室</v>
      </c>
    </row>
    <row r="2210" spans="1:18" s="1" customFormat="1" x14ac:dyDescent="0.45">
      <c r="A2210" s="7" t="str">
        <f t="shared" si="765"/>
        <v>09940003194</v>
      </c>
      <c r="B2210" s="7" t="str">
        <f t="shared" si="766"/>
        <v>田尻りんくう</v>
      </c>
      <c r="C2210" s="7" t="str">
        <f t="shared" si="762"/>
        <v>行政財産</v>
      </c>
      <c r="D2210" s="7" t="str">
        <f t="shared" si="763"/>
        <v>公営住宅</v>
      </c>
      <c r="E2210" s="7" t="str">
        <f t="shared" si="767"/>
        <v>大阪府泉南郡　田尻町りんくうポート北</v>
      </c>
      <c r="F2210" s="7"/>
      <c r="G2210" s="7" t="str">
        <f t="shared" si="759"/>
        <v>事業用資産</v>
      </c>
      <c r="H2210" s="7" t="str">
        <f t="shared" si="755"/>
        <v>棚卸以外</v>
      </c>
      <c r="I2210" s="7">
        <v>7</v>
      </c>
      <c r="J2210" s="7" t="str">
        <f>"２号棟"</f>
        <v>２号棟</v>
      </c>
      <c r="K2210" s="7" t="str">
        <f t="shared" si="761"/>
        <v>鉄筋コンクリート造</v>
      </c>
      <c r="L2210" s="7" t="str">
        <f t="shared" si="768"/>
        <v>H17.01.28</v>
      </c>
      <c r="M2210" s="7">
        <v>7150.3</v>
      </c>
      <c r="N2210" s="7">
        <v>1158140910</v>
      </c>
      <c r="O2210" s="7">
        <v>447461004</v>
      </c>
      <c r="P2210" s="7">
        <v>0</v>
      </c>
      <c r="Q2210" s="7" t="str">
        <f t="shared" si="764"/>
        <v>都市整備部</v>
      </c>
      <c r="R2210" s="7" t="str">
        <f t="shared" si="760"/>
        <v>住宅建築局住宅経営室</v>
      </c>
    </row>
    <row r="2211" spans="1:18" s="1" customFormat="1" x14ac:dyDescent="0.45">
      <c r="A2211" s="7" t="str">
        <f t="shared" si="765"/>
        <v>09940003194</v>
      </c>
      <c r="B2211" s="7" t="str">
        <f t="shared" si="766"/>
        <v>田尻りんくう</v>
      </c>
      <c r="C2211" s="7" t="str">
        <f t="shared" si="762"/>
        <v>行政財産</v>
      </c>
      <c r="D2211" s="7" t="str">
        <f t="shared" si="763"/>
        <v>公営住宅</v>
      </c>
      <c r="E2211" s="7" t="str">
        <f t="shared" si="767"/>
        <v>大阪府泉南郡　田尻町りんくうポート北</v>
      </c>
      <c r="F2211" s="7"/>
      <c r="G2211" s="7" t="str">
        <f t="shared" si="759"/>
        <v>事業用資産</v>
      </c>
      <c r="H2211" s="7" t="str">
        <f t="shared" si="755"/>
        <v>棚卸以外</v>
      </c>
      <c r="I2211" s="7">
        <v>8</v>
      </c>
      <c r="J2211" s="7" t="str">
        <f>"６号棟・７号棟"</f>
        <v>６号棟・７号棟</v>
      </c>
      <c r="K2211" s="7" t="str">
        <f t="shared" si="761"/>
        <v>鉄筋コンクリート造</v>
      </c>
      <c r="L2211" s="7" t="str">
        <f>"H17.07.28"</f>
        <v>H17.07.28</v>
      </c>
      <c r="M2211" s="7">
        <v>3814.65</v>
      </c>
      <c r="N2211" s="7">
        <v>572011456</v>
      </c>
      <c r="O2211" s="7">
        <v>214922916</v>
      </c>
      <c r="P2211" s="7">
        <v>0</v>
      </c>
      <c r="Q2211" s="7" t="str">
        <f t="shared" si="764"/>
        <v>都市整備部</v>
      </c>
      <c r="R2211" s="7" t="str">
        <f t="shared" si="760"/>
        <v>住宅建築局住宅経営室</v>
      </c>
    </row>
    <row r="2212" spans="1:18" s="1" customFormat="1" x14ac:dyDescent="0.45">
      <c r="A2212" s="7" t="str">
        <f>"09940003196"</f>
        <v>09940003196</v>
      </c>
      <c r="B2212" s="7" t="str">
        <f>"泉南りんくう"</f>
        <v>泉南りんくう</v>
      </c>
      <c r="C2212" s="7" t="str">
        <f t="shared" si="762"/>
        <v>行政財産</v>
      </c>
      <c r="D2212" s="7" t="str">
        <f t="shared" si="763"/>
        <v>公営住宅</v>
      </c>
      <c r="E2212" s="7" t="str">
        <f>"大阪府泉南市りんくう南浜"</f>
        <v>大阪府泉南市りんくう南浜</v>
      </c>
      <c r="F2212" s="7"/>
      <c r="G2212" s="7" t="str">
        <f t="shared" si="759"/>
        <v>事業用資産</v>
      </c>
      <c r="H2212" s="7" t="str">
        <f t="shared" si="755"/>
        <v>棚卸以外</v>
      </c>
      <c r="I2212" s="7">
        <v>1</v>
      </c>
      <c r="J2212" s="7" t="str">
        <f>"１号棟"</f>
        <v>１号棟</v>
      </c>
      <c r="K2212" s="7" t="str">
        <f t="shared" si="761"/>
        <v>鉄筋コンクリート造</v>
      </c>
      <c r="L2212" s="7" t="str">
        <f>"H16.07.28"</f>
        <v>H16.07.28</v>
      </c>
      <c r="M2212" s="7">
        <v>1786.98</v>
      </c>
      <c r="N2212" s="7">
        <v>319168302</v>
      </c>
      <c r="O2212" s="7">
        <v>128072950</v>
      </c>
      <c r="P2212" s="7">
        <v>0</v>
      </c>
      <c r="Q2212" s="7" t="str">
        <f t="shared" si="764"/>
        <v>都市整備部</v>
      </c>
      <c r="R2212" s="7" t="str">
        <f t="shared" si="760"/>
        <v>住宅建築局住宅経営室</v>
      </c>
    </row>
    <row r="2213" spans="1:18" s="1" customFormat="1" x14ac:dyDescent="0.45">
      <c r="A2213" s="7" t="str">
        <f>"09940003196"</f>
        <v>09940003196</v>
      </c>
      <c r="B2213" s="7" t="str">
        <f>"泉南りんくう"</f>
        <v>泉南りんくう</v>
      </c>
      <c r="C2213" s="7" t="str">
        <f t="shared" si="762"/>
        <v>行政財産</v>
      </c>
      <c r="D2213" s="7" t="str">
        <f t="shared" si="763"/>
        <v>公営住宅</v>
      </c>
      <c r="E2213" s="7" t="str">
        <f>"大阪府泉南市りんくう南浜"</f>
        <v>大阪府泉南市りんくう南浜</v>
      </c>
      <c r="F2213" s="7"/>
      <c r="G2213" s="7" t="str">
        <f t="shared" si="759"/>
        <v>事業用資産</v>
      </c>
      <c r="H2213" s="7" t="str">
        <f t="shared" si="755"/>
        <v>棚卸以外</v>
      </c>
      <c r="I2213" s="7">
        <v>2</v>
      </c>
      <c r="J2213" s="7" t="str">
        <f>"ポンプ室"</f>
        <v>ポンプ室</v>
      </c>
      <c r="K2213" s="7" t="str">
        <f t="shared" si="761"/>
        <v>鉄筋コンクリート造</v>
      </c>
      <c r="L2213" s="7" t="str">
        <f>"H16.07.28"</f>
        <v>H16.07.28</v>
      </c>
      <c r="M2213" s="7">
        <v>20.8</v>
      </c>
      <c r="N2213" s="7">
        <v>8459000</v>
      </c>
      <c r="O2213" s="7">
        <v>3359776</v>
      </c>
      <c r="P2213" s="7">
        <v>0</v>
      </c>
      <c r="Q2213" s="7" t="str">
        <f t="shared" si="764"/>
        <v>都市整備部</v>
      </c>
      <c r="R2213" s="7" t="str">
        <f t="shared" si="760"/>
        <v>住宅建築局住宅経営室</v>
      </c>
    </row>
    <row r="2214" spans="1:18" s="1" customFormat="1" x14ac:dyDescent="0.45">
      <c r="A2214" s="7" t="str">
        <f t="shared" ref="A2214:A2222" si="769">"09940003199"</f>
        <v>09940003199</v>
      </c>
      <c r="B2214" s="7" t="str">
        <f t="shared" ref="B2214:B2222" si="770">"守口藤田"</f>
        <v>守口藤田</v>
      </c>
      <c r="C2214" s="7" t="str">
        <f t="shared" si="762"/>
        <v>行政財産</v>
      </c>
      <c r="D2214" s="7" t="str">
        <f t="shared" si="763"/>
        <v>公営住宅</v>
      </c>
      <c r="E2214" s="7" t="str">
        <f t="shared" ref="E2214:E2222" si="771">"大阪府守口市藤田町５丁目"</f>
        <v>大阪府守口市藤田町５丁目</v>
      </c>
      <c r="F2214" s="7"/>
      <c r="G2214" s="7" t="str">
        <f t="shared" si="759"/>
        <v>事業用資産</v>
      </c>
      <c r="H2214" s="7" t="str">
        <f t="shared" si="755"/>
        <v>棚卸以外</v>
      </c>
      <c r="I2214" s="7">
        <v>1</v>
      </c>
      <c r="J2214" s="7" t="str">
        <f>"１号棟"</f>
        <v>１号棟</v>
      </c>
      <c r="K2214" s="7" t="str">
        <f t="shared" si="761"/>
        <v>鉄筋コンクリート造</v>
      </c>
      <c r="L2214" s="7" t="str">
        <f>"S60.04.26"</f>
        <v>S60.04.26</v>
      </c>
      <c r="M2214" s="7">
        <v>2082.65</v>
      </c>
      <c r="N2214" s="7">
        <v>246002060</v>
      </c>
      <c r="O2214" s="7">
        <v>198224390</v>
      </c>
      <c r="P2214" s="7">
        <v>0</v>
      </c>
      <c r="Q2214" s="7" t="str">
        <f t="shared" si="764"/>
        <v>都市整備部</v>
      </c>
      <c r="R2214" s="7" t="str">
        <f t="shared" si="760"/>
        <v>住宅建築局住宅経営室</v>
      </c>
    </row>
    <row r="2215" spans="1:18" s="1" customFormat="1" x14ac:dyDescent="0.45">
      <c r="A2215" s="7" t="str">
        <f t="shared" si="769"/>
        <v>09940003199</v>
      </c>
      <c r="B2215" s="7" t="str">
        <f t="shared" si="770"/>
        <v>守口藤田</v>
      </c>
      <c r="C2215" s="7" t="str">
        <f t="shared" si="762"/>
        <v>行政財産</v>
      </c>
      <c r="D2215" s="7" t="str">
        <f t="shared" si="763"/>
        <v>公営住宅</v>
      </c>
      <c r="E2215" s="7" t="str">
        <f t="shared" si="771"/>
        <v>大阪府守口市藤田町５丁目</v>
      </c>
      <c r="F2215" s="7"/>
      <c r="G2215" s="7" t="str">
        <f t="shared" si="759"/>
        <v>事業用資産</v>
      </c>
      <c r="H2215" s="7" t="str">
        <f t="shared" si="755"/>
        <v>棚卸以外</v>
      </c>
      <c r="I2215" s="7">
        <v>2</v>
      </c>
      <c r="J2215" s="7" t="str">
        <f>"２号棟"</f>
        <v>２号棟</v>
      </c>
      <c r="K2215" s="7" t="str">
        <f t="shared" si="761"/>
        <v>鉄筋コンクリート造</v>
      </c>
      <c r="L2215" s="7" t="str">
        <f>"S60.04.26"</f>
        <v>S60.04.26</v>
      </c>
      <c r="M2215" s="7">
        <v>2013.75</v>
      </c>
      <c r="N2215" s="7">
        <v>222248180</v>
      </c>
      <c r="O2215" s="7">
        <v>178591595</v>
      </c>
      <c r="P2215" s="7">
        <v>0</v>
      </c>
      <c r="Q2215" s="7" t="str">
        <f t="shared" si="764"/>
        <v>都市整備部</v>
      </c>
      <c r="R2215" s="7" t="str">
        <f t="shared" si="760"/>
        <v>住宅建築局住宅経営室</v>
      </c>
    </row>
    <row r="2216" spans="1:18" s="1" customFormat="1" x14ac:dyDescent="0.45">
      <c r="A2216" s="7" t="str">
        <f t="shared" si="769"/>
        <v>09940003199</v>
      </c>
      <c r="B2216" s="7" t="str">
        <f t="shared" si="770"/>
        <v>守口藤田</v>
      </c>
      <c r="C2216" s="7" t="str">
        <f t="shared" si="762"/>
        <v>行政財産</v>
      </c>
      <c r="D2216" s="7" t="str">
        <f t="shared" si="763"/>
        <v>公営住宅</v>
      </c>
      <c r="E2216" s="7" t="str">
        <f t="shared" si="771"/>
        <v>大阪府守口市藤田町５丁目</v>
      </c>
      <c r="F2216" s="7"/>
      <c r="G2216" s="7" t="str">
        <f t="shared" si="759"/>
        <v>事業用資産</v>
      </c>
      <c r="H2216" s="7" t="str">
        <f t="shared" si="755"/>
        <v>棚卸以外</v>
      </c>
      <c r="I2216" s="7">
        <v>3</v>
      </c>
      <c r="J2216" s="7" t="str">
        <f>"３号棟"</f>
        <v>３号棟</v>
      </c>
      <c r="K2216" s="7" t="str">
        <f t="shared" si="761"/>
        <v>鉄筋コンクリート造</v>
      </c>
      <c r="L2216" s="7" t="str">
        <f>"S60.04.26"</f>
        <v>S60.04.26</v>
      </c>
      <c r="M2216" s="7">
        <v>2013.75</v>
      </c>
      <c r="N2216" s="7">
        <v>221375000</v>
      </c>
      <c r="O2216" s="7">
        <v>178591595</v>
      </c>
      <c r="P2216" s="7">
        <v>0</v>
      </c>
      <c r="Q2216" s="7" t="str">
        <f t="shared" si="764"/>
        <v>都市整備部</v>
      </c>
      <c r="R2216" s="7" t="str">
        <f t="shared" si="760"/>
        <v>住宅建築局住宅経営室</v>
      </c>
    </row>
    <row r="2217" spans="1:18" s="1" customFormat="1" x14ac:dyDescent="0.45">
      <c r="A2217" s="7" t="str">
        <f t="shared" si="769"/>
        <v>09940003199</v>
      </c>
      <c r="B2217" s="7" t="str">
        <f t="shared" si="770"/>
        <v>守口藤田</v>
      </c>
      <c r="C2217" s="7" t="str">
        <f t="shared" si="762"/>
        <v>行政財産</v>
      </c>
      <c r="D2217" s="7" t="str">
        <f t="shared" si="763"/>
        <v>公営住宅</v>
      </c>
      <c r="E2217" s="7" t="str">
        <f t="shared" si="771"/>
        <v>大阪府守口市藤田町５丁目</v>
      </c>
      <c r="F2217" s="7"/>
      <c r="G2217" s="7" t="str">
        <f t="shared" si="759"/>
        <v>事業用資産</v>
      </c>
      <c r="H2217" s="7" t="str">
        <f t="shared" si="755"/>
        <v>棚卸以外</v>
      </c>
      <c r="I2217" s="7">
        <v>4</v>
      </c>
      <c r="J2217" s="7" t="str">
        <f>"集会所"</f>
        <v>集会所</v>
      </c>
      <c r="K2217" s="7" t="str">
        <f t="shared" si="761"/>
        <v>鉄筋コンクリート造</v>
      </c>
      <c r="L2217" s="7" t="str">
        <f>"S60.04.26"</f>
        <v>S60.04.26</v>
      </c>
      <c r="M2217" s="7">
        <v>99.75</v>
      </c>
      <c r="N2217" s="7">
        <v>22202000</v>
      </c>
      <c r="O2217" s="7">
        <v>17911530</v>
      </c>
      <c r="P2217" s="7">
        <v>0</v>
      </c>
      <c r="Q2217" s="7" t="str">
        <f t="shared" si="764"/>
        <v>都市整備部</v>
      </c>
      <c r="R2217" s="7" t="str">
        <f t="shared" si="760"/>
        <v>住宅建築局住宅経営室</v>
      </c>
    </row>
    <row r="2218" spans="1:18" s="1" customFormat="1" x14ac:dyDescent="0.45">
      <c r="A2218" s="7" t="str">
        <f t="shared" si="769"/>
        <v>09940003199</v>
      </c>
      <c r="B2218" s="7" t="str">
        <f t="shared" si="770"/>
        <v>守口藤田</v>
      </c>
      <c r="C2218" s="7" t="str">
        <f t="shared" si="762"/>
        <v>行政財産</v>
      </c>
      <c r="D2218" s="7" t="str">
        <f t="shared" si="763"/>
        <v>公営住宅</v>
      </c>
      <c r="E2218" s="7" t="str">
        <f t="shared" si="771"/>
        <v>大阪府守口市藤田町５丁目</v>
      </c>
      <c r="F2218" s="7"/>
      <c r="G2218" s="7" t="str">
        <f t="shared" si="759"/>
        <v>事業用資産</v>
      </c>
      <c r="H2218" s="7" t="str">
        <f t="shared" si="755"/>
        <v>棚卸以外</v>
      </c>
      <c r="I2218" s="7">
        <v>5</v>
      </c>
      <c r="J2218" s="7" t="str">
        <f>"受水槽"</f>
        <v>受水槽</v>
      </c>
      <c r="K2218" s="7" t="str">
        <f t="shared" si="761"/>
        <v>鉄筋コンクリート造</v>
      </c>
      <c r="L2218" s="7" t="str">
        <f>"S60.04.26"</f>
        <v>S60.04.26</v>
      </c>
      <c r="M2218" s="7">
        <v>78</v>
      </c>
      <c r="N2218" s="7">
        <v>21507000</v>
      </c>
      <c r="O2218" s="7">
        <v>17350515</v>
      </c>
      <c r="P2218" s="7">
        <v>0</v>
      </c>
      <c r="Q2218" s="7" t="str">
        <f t="shared" si="764"/>
        <v>都市整備部</v>
      </c>
      <c r="R2218" s="7" t="str">
        <f t="shared" si="760"/>
        <v>住宅建築局住宅経営室</v>
      </c>
    </row>
    <row r="2219" spans="1:18" s="1" customFormat="1" x14ac:dyDescent="0.45">
      <c r="A2219" s="7" t="str">
        <f t="shared" si="769"/>
        <v>09940003199</v>
      </c>
      <c r="B2219" s="7" t="str">
        <f t="shared" si="770"/>
        <v>守口藤田</v>
      </c>
      <c r="C2219" s="7" t="str">
        <f t="shared" si="762"/>
        <v>行政財産</v>
      </c>
      <c r="D2219" s="7" t="str">
        <f t="shared" si="763"/>
        <v>公営住宅</v>
      </c>
      <c r="E2219" s="7" t="str">
        <f t="shared" si="771"/>
        <v>大阪府守口市藤田町５丁目</v>
      </c>
      <c r="F2219" s="7"/>
      <c r="G2219" s="7" t="str">
        <f t="shared" si="759"/>
        <v>事業用資産</v>
      </c>
      <c r="H2219" s="7" t="str">
        <f t="shared" si="755"/>
        <v>棚卸以外</v>
      </c>
      <c r="I2219" s="7">
        <v>6</v>
      </c>
      <c r="J2219" s="7" t="str">
        <f>"４号棟"</f>
        <v>４号棟</v>
      </c>
      <c r="K2219" s="7" t="str">
        <f t="shared" si="761"/>
        <v>鉄筋コンクリート造</v>
      </c>
      <c r="L2219" s="7" t="str">
        <f>"S61.11.27"</f>
        <v>S61.11.27</v>
      </c>
      <c r="M2219" s="7">
        <v>1424.82</v>
      </c>
      <c r="N2219" s="7">
        <v>145775000</v>
      </c>
      <c r="O2219" s="7">
        <v>112691612</v>
      </c>
      <c r="P2219" s="7">
        <v>0</v>
      </c>
      <c r="Q2219" s="7" t="str">
        <f t="shared" si="764"/>
        <v>都市整備部</v>
      </c>
      <c r="R2219" s="7" t="str">
        <f t="shared" si="760"/>
        <v>住宅建築局住宅経営室</v>
      </c>
    </row>
    <row r="2220" spans="1:18" s="1" customFormat="1" x14ac:dyDescent="0.45">
      <c r="A2220" s="7" t="str">
        <f t="shared" si="769"/>
        <v>09940003199</v>
      </c>
      <c r="B2220" s="7" t="str">
        <f t="shared" si="770"/>
        <v>守口藤田</v>
      </c>
      <c r="C2220" s="7" t="str">
        <f t="shared" si="762"/>
        <v>行政財産</v>
      </c>
      <c r="D2220" s="7" t="str">
        <f t="shared" si="763"/>
        <v>公営住宅</v>
      </c>
      <c r="E2220" s="7" t="str">
        <f t="shared" si="771"/>
        <v>大阪府守口市藤田町５丁目</v>
      </c>
      <c r="F2220" s="7"/>
      <c r="G2220" s="7" t="str">
        <f t="shared" si="759"/>
        <v>事業用資産</v>
      </c>
      <c r="H2220" s="7" t="str">
        <f t="shared" si="755"/>
        <v>棚卸以外</v>
      </c>
      <c r="I2220" s="7">
        <v>7</v>
      </c>
      <c r="J2220" s="7" t="str">
        <f>"５号棟"</f>
        <v>５号棟</v>
      </c>
      <c r="K2220" s="7" t="str">
        <f t="shared" si="761"/>
        <v>鉄筋コンクリート造</v>
      </c>
      <c r="L2220" s="7" t="str">
        <f>"S61.11.27"</f>
        <v>S61.11.27</v>
      </c>
      <c r="M2220" s="7">
        <v>1347.68</v>
      </c>
      <c r="N2220" s="7">
        <v>137758000</v>
      </c>
      <c r="O2220" s="7">
        <v>106493872</v>
      </c>
      <c r="P2220" s="7">
        <v>0</v>
      </c>
      <c r="Q2220" s="7" t="str">
        <f t="shared" si="764"/>
        <v>都市整備部</v>
      </c>
      <c r="R2220" s="7" t="str">
        <f t="shared" si="760"/>
        <v>住宅建築局住宅経営室</v>
      </c>
    </row>
    <row r="2221" spans="1:18" s="1" customFormat="1" x14ac:dyDescent="0.45">
      <c r="A2221" s="7" t="str">
        <f t="shared" si="769"/>
        <v>09940003199</v>
      </c>
      <c r="B2221" s="7" t="str">
        <f t="shared" si="770"/>
        <v>守口藤田</v>
      </c>
      <c r="C2221" s="7" t="str">
        <f t="shared" si="762"/>
        <v>行政財産</v>
      </c>
      <c r="D2221" s="7" t="str">
        <f t="shared" si="763"/>
        <v>公営住宅</v>
      </c>
      <c r="E2221" s="7" t="str">
        <f t="shared" si="771"/>
        <v>大阪府守口市藤田町５丁目</v>
      </c>
      <c r="F2221" s="7"/>
      <c r="G2221" s="7" t="str">
        <f t="shared" si="759"/>
        <v>事業用資産</v>
      </c>
      <c r="H2221" s="7" t="str">
        <f t="shared" si="755"/>
        <v>棚卸以外</v>
      </c>
      <c r="I2221" s="7">
        <v>8</v>
      </c>
      <c r="J2221" s="7" t="str">
        <f>"６号棟"</f>
        <v>６号棟</v>
      </c>
      <c r="K2221" s="7" t="str">
        <f t="shared" si="761"/>
        <v>鉄筋コンクリート造</v>
      </c>
      <c r="L2221" s="7" t="str">
        <f>"S61.11.27"</f>
        <v>S61.11.27</v>
      </c>
      <c r="M2221" s="7">
        <v>1352.86</v>
      </c>
      <c r="N2221" s="7">
        <v>154760000</v>
      </c>
      <c r="O2221" s="7">
        <v>119637528</v>
      </c>
      <c r="P2221" s="7">
        <v>0</v>
      </c>
      <c r="Q2221" s="7" t="str">
        <f t="shared" si="764"/>
        <v>都市整備部</v>
      </c>
      <c r="R2221" s="7" t="str">
        <f t="shared" si="760"/>
        <v>住宅建築局住宅経営室</v>
      </c>
    </row>
    <row r="2222" spans="1:18" s="1" customFormat="1" x14ac:dyDescent="0.45">
      <c r="A2222" s="7" t="str">
        <f t="shared" si="769"/>
        <v>09940003199</v>
      </c>
      <c r="B2222" s="7" t="str">
        <f t="shared" si="770"/>
        <v>守口藤田</v>
      </c>
      <c r="C2222" s="7" t="str">
        <f t="shared" si="762"/>
        <v>行政財産</v>
      </c>
      <c r="D2222" s="7" t="str">
        <f t="shared" si="763"/>
        <v>公営住宅</v>
      </c>
      <c r="E2222" s="7" t="str">
        <f t="shared" si="771"/>
        <v>大阪府守口市藤田町５丁目</v>
      </c>
      <c r="F2222" s="7"/>
      <c r="G2222" s="7" t="str">
        <f t="shared" si="759"/>
        <v>事業用資産</v>
      </c>
      <c r="H2222" s="7" t="str">
        <f t="shared" si="755"/>
        <v>棚卸以外</v>
      </c>
      <c r="I2222" s="7">
        <v>9</v>
      </c>
      <c r="J2222" s="7" t="str">
        <f>"７号棟"</f>
        <v>７号棟</v>
      </c>
      <c r="K2222" s="7" t="str">
        <f t="shared" si="761"/>
        <v>鉄筋コンクリート造</v>
      </c>
      <c r="L2222" s="7" t="str">
        <f>"S61.11.27"</f>
        <v>S61.11.27</v>
      </c>
      <c r="M2222" s="7">
        <v>1424.82</v>
      </c>
      <c r="N2222" s="7">
        <v>155721000</v>
      </c>
      <c r="O2222" s="7">
        <v>120380472</v>
      </c>
      <c r="P2222" s="7">
        <v>0</v>
      </c>
      <c r="Q2222" s="7" t="str">
        <f t="shared" si="764"/>
        <v>都市整備部</v>
      </c>
      <c r="R2222" s="7" t="str">
        <f t="shared" si="760"/>
        <v>住宅建築局住宅経営室</v>
      </c>
    </row>
    <row r="2223" spans="1:18" s="1" customFormat="1" x14ac:dyDescent="0.45">
      <c r="A2223" s="7" t="str">
        <f t="shared" ref="A2223:A2243" si="772">"09940003200"</f>
        <v>09940003200</v>
      </c>
      <c r="B2223" s="7" t="str">
        <f t="shared" ref="B2223:B2243" si="773">"鴻池第２・東大阪中鴻池"</f>
        <v>鴻池第２・東大阪中鴻池</v>
      </c>
      <c r="C2223" s="7" t="str">
        <f t="shared" si="762"/>
        <v>行政財産</v>
      </c>
      <c r="D2223" s="7" t="str">
        <f t="shared" si="763"/>
        <v>公営住宅</v>
      </c>
      <c r="E2223" s="7" t="str">
        <f t="shared" ref="E2223:E2243" si="774">"大阪府東大阪市中鴻池町３丁目"</f>
        <v>大阪府東大阪市中鴻池町３丁目</v>
      </c>
      <c r="F2223" s="7"/>
      <c r="G2223" s="7" t="str">
        <f t="shared" si="759"/>
        <v>事業用資産</v>
      </c>
      <c r="H2223" s="7" t="str">
        <f t="shared" si="755"/>
        <v>棚卸以外</v>
      </c>
      <c r="I2223" s="7">
        <v>2</v>
      </c>
      <c r="J2223" s="7" t="str">
        <f>"集会所"</f>
        <v>集会所</v>
      </c>
      <c r="K2223" s="7" t="str">
        <f t="shared" si="761"/>
        <v>鉄筋コンクリート造</v>
      </c>
      <c r="L2223" s="7" t="str">
        <f>"S55.03.31"</f>
        <v>S55.03.31</v>
      </c>
      <c r="M2223" s="7">
        <v>76.63</v>
      </c>
      <c r="N2223" s="7">
        <v>9850000</v>
      </c>
      <c r="O2223" s="7">
        <v>9011940</v>
      </c>
      <c r="P2223" s="7">
        <v>0</v>
      </c>
      <c r="Q2223" s="7" t="str">
        <f t="shared" si="764"/>
        <v>都市整備部</v>
      </c>
      <c r="R2223" s="7" t="str">
        <f t="shared" si="760"/>
        <v>住宅建築局住宅経営室</v>
      </c>
    </row>
    <row r="2224" spans="1:18" s="1" customFormat="1" x14ac:dyDescent="0.45">
      <c r="A2224" s="7" t="str">
        <f t="shared" si="772"/>
        <v>09940003200</v>
      </c>
      <c r="B2224" s="7" t="str">
        <f t="shared" si="773"/>
        <v>鴻池第２・東大阪中鴻池</v>
      </c>
      <c r="C2224" s="7" t="str">
        <f t="shared" si="762"/>
        <v>行政財産</v>
      </c>
      <c r="D2224" s="7" t="str">
        <f t="shared" si="763"/>
        <v>公営住宅</v>
      </c>
      <c r="E2224" s="7" t="str">
        <f t="shared" si="774"/>
        <v>大阪府東大阪市中鴻池町３丁目</v>
      </c>
      <c r="F2224" s="7"/>
      <c r="G2224" s="7" t="str">
        <f t="shared" si="759"/>
        <v>事業用資産</v>
      </c>
      <c r="H2224" s="7" t="str">
        <f t="shared" si="755"/>
        <v>棚卸以外</v>
      </c>
      <c r="I2224" s="7">
        <v>12</v>
      </c>
      <c r="J2224" s="7" t="str">
        <f>"１号棟（新）"</f>
        <v>１号棟（新）</v>
      </c>
      <c r="K2224" s="7" t="str">
        <f t="shared" si="761"/>
        <v>鉄筋コンクリート造</v>
      </c>
      <c r="L2224" s="7" t="str">
        <f>"H16.11.29"</f>
        <v>H16.11.29</v>
      </c>
      <c r="M2224" s="7">
        <v>7448.16</v>
      </c>
      <c r="N2224" s="7">
        <v>1211437896</v>
      </c>
      <c r="O2224" s="7">
        <v>471402020</v>
      </c>
      <c r="P2224" s="7">
        <v>0</v>
      </c>
      <c r="Q2224" s="7" t="str">
        <f t="shared" si="764"/>
        <v>都市整備部</v>
      </c>
      <c r="R2224" s="7" t="str">
        <f t="shared" si="760"/>
        <v>住宅建築局住宅経営室</v>
      </c>
    </row>
    <row r="2225" spans="1:18" s="1" customFormat="1" x14ac:dyDescent="0.45">
      <c r="A2225" s="7" t="str">
        <f t="shared" si="772"/>
        <v>09940003200</v>
      </c>
      <c r="B2225" s="7" t="str">
        <f t="shared" si="773"/>
        <v>鴻池第２・東大阪中鴻池</v>
      </c>
      <c r="C2225" s="7" t="str">
        <f t="shared" si="762"/>
        <v>行政財産</v>
      </c>
      <c r="D2225" s="7" t="str">
        <f t="shared" si="763"/>
        <v>公営住宅</v>
      </c>
      <c r="E2225" s="7" t="str">
        <f t="shared" si="774"/>
        <v>大阪府東大阪市中鴻池町３丁目</v>
      </c>
      <c r="F2225" s="7"/>
      <c r="G2225" s="7" t="str">
        <f t="shared" si="759"/>
        <v>事業用資産</v>
      </c>
      <c r="H2225" s="7" t="str">
        <f t="shared" si="755"/>
        <v>棚卸以外</v>
      </c>
      <c r="I2225" s="7">
        <v>13</v>
      </c>
      <c r="J2225" s="7" t="str">
        <f>"ポンプ室・電気室"</f>
        <v>ポンプ室・電気室</v>
      </c>
      <c r="K2225" s="7" t="str">
        <f t="shared" si="761"/>
        <v>鉄筋コンクリート造</v>
      </c>
      <c r="L2225" s="7" t="str">
        <f>"H16.11.22"</f>
        <v>H16.11.22</v>
      </c>
      <c r="M2225" s="7">
        <v>72</v>
      </c>
      <c r="N2225" s="7">
        <v>21285000</v>
      </c>
      <c r="O2225" s="7">
        <v>8302800</v>
      </c>
      <c r="P2225" s="7">
        <v>0</v>
      </c>
      <c r="Q2225" s="7" t="str">
        <f t="shared" si="764"/>
        <v>都市整備部</v>
      </c>
      <c r="R2225" s="7" t="str">
        <f t="shared" si="760"/>
        <v>住宅建築局住宅経営室</v>
      </c>
    </row>
    <row r="2226" spans="1:18" s="1" customFormat="1" x14ac:dyDescent="0.45">
      <c r="A2226" s="7" t="str">
        <f t="shared" si="772"/>
        <v>09940003200</v>
      </c>
      <c r="B2226" s="7" t="str">
        <f t="shared" si="773"/>
        <v>鴻池第２・東大阪中鴻池</v>
      </c>
      <c r="C2226" s="7" t="str">
        <f t="shared" si="762"/>
        <v>行政財産</v>
      </c>
      <c r="D2226" s="7" t="str">
        <f t="shared" si="763"/>
        <v>公営住宅</v>
      </c>
      <c r="E2226" s="7" t="str">
        <f t="shared" si="774"/>
        <v>大阪府東大阪市中鴻池町３丁目</v>
      </c>
      <c r="F2226" s="7"/>
      <c r="G2226" s="7" t="str">
        <f t="shared" si="759"/>
        <v>事業用資産</v>
      </c>
      <c r="H2226" s="7" t="str">
        <f t="shared" si="755"/>
        <v>棚卸以外</v>
      </c>
      <c r="I2226" s="7">
        <v>14</v>
      </c>
      <c r="J2226" s="7" t="str">
        <f>"２号棟（新）"</f>
        <v>２号棟（新）</v>
      </c>
      <c r="K2226" s="7" t="str">
        <f t="shared" si="761"/>
        <v>鉄筋コンクリート造</v>
      </c>
      <c r="L2226" s="7" t="str">
        <f>"H18.11.28"</f>
        <v>H18.11.28</v>
      </c>
      <c r="M2226" s="7">
        <v>5901.84</v>
      </c>
      <c r="N2226" s="7">
        <v>912442713</v>
      </c>
      <c r="O2226" s="7">
        <v>317226756</v>
      </c>
      <c r="P2226" s="7">
        <v>0</v>
      </c>
      <c r="Q2226" s="7" t="str">
        <f t="shared" si="764"/>
        <v>都市整備部</v>
      </c>
      <c r="R2226" s="7" t="str">
        <f t="shared" si="760"/>
        <v>住宅建築局住宅経営室</v>
      </c>
    </row>
    <row r="2227" spans="1:18" s="1" customFormat="1" x14ac:dyDescent="0.45">
      <c r="A2227" s="7" t="str">
        <f t="shared" si="772"/>
        <v>09940003200</v>
      </c>
      <c r="B2227" s="7" t="str">
        <f t="shared" si="773"/>
        <v>鴻池第２・東大阪中鴻池</v>
      </c>
      <c r="C2227" s="7" t="str">
        <f t="shared" si="762"/>
        <v>行政財産</v>
      </c>
      <c r="D2227" s="7" t="str">
        <f t="shared" si="763"/>
        <v>公営住宅</v>
      </c>
      <c r="E2227" s="7" t="str">
        <f t="shared" si="774"/>
        <v>大阪府東大阪市中鴻池町３丁目</v>
      </c>
      <c r="F2227" s="7"/>
      <c r="G2227" s="7" t="str">
        <f t="shared" si="759"/>
        <v>事業用資産</v>
      </c>
      <c r="H2227" s="7" t="str">
        <f t="shared" si="755"/>
        <v>棚卸以外</v>
      </c>
      <c r="I2227" s="7">
        <v>15</v>
      </c>
      <c r="J2227" s="7" t="str">
        <f>"ポンプ室・電気室"</f>
        <v>ポンプ室・電気室</v>
      </c>
      <c r="K2227" s="7" t="str">
        <f t="shared" si="761"/>
        <v>鉄筋コンクリート造</v>
      </c>
      <c r="L2227" s="7" t="str">
        <f>"H18.11.28"</f>
        <v>H18.11.28</v>
      </c>
      <c r="M2227" s="7">
        <v>67.2</v>
      </c>
      <c r="N2227" s="7">
        <v>19316000</v>
      </c>
      <c r="O2227" s="7">
        <v>6712804</v>
      </c>
      <c r="P2227" s="7">
        <v>0</v>
      </c>
      <c r="Q2227" s="7" t="str">
        <f t="shared" si="764"/>
        <v>都市整備部</v>
      </c>
      <c r="R2227" s="7" t="str">
        <f t="shared" si="760"/>
        <v>住宅建築局住宅経営室</v>
      </c>
    </row>
    <row r="2228" spans="1:18" s="1" customFormat="1" x14ac:dyDescent="0.45">
      <c r="A2228" s="7" t="str">
        <f t="shared" si="772"/>
        <v>09940003200</v>
      </c>
      <c r="B2228" s="7" t="str">
        <f t="shared" si="773"/>
        <v>鴻池第２・東大阪中鴻池</v>
      </c>
      <c r="C2228" s="7" t="str">
        <f t="shared" si="762"/>
        <v>行政財産</v>
      </c>
      <c r="D2228" s="7" t="str">
        <f t="shared" si="763"/>
        <v>公営住宅</v>
      </c>
      <c r="E2228" s="7" t="str">
        <f t="shared" si="774"/>
        <v>大阪府東大阪市中鴻池町３丁目</v>
      </c>
      <c r="F2228" s="7"/>
      <c r="G2228" s="7" t="str">
        <f t="shared" si="759"/>
        <v>事業用資産</v>
      </c>
      <c r="H2228" s="7" t="str">
        <f t="shared" si="755"/>
        <v>棚卸以外</v>
      </c>
      <c r="I2228" s="7">
        <v>16</v>
      </c>
      <c r="J2228" s="7" t="str">
        <f>"電気室・受水槽・ポンプ室"</f>
        <v>電気室・受水槽・ポンプ室</v>
      </c>
      <c r="K2228" s="7" t="str">
        <f t="shared" si="761"/>
        <v>鉄筋コンクリート造</v>
      </c>
      <c r="L2228" s="7" t="str">
        <f>"H21.10.01"</f>
        <v>H21.10.01</v>
      </c>
      <c r="M2228" s="7">
        <v>238.86</v>
      </c>
      <c r="N2228" s="7">
        <v>91925000</v>
      </c>
      <c r="O2228" s="7">
        <v>26241068</v>
      </c>
      <c r="P2228" s="7">
        <v>0</v>
      </c>
      <c r="Q2228" s="7" t="str">
        <f t="shared" si="764"/>
        <v>都市整備部</v>
      </c>
      <c r="R2228" s="7" t="str">
        <f t="shared" si="760"/>
        <v>住宅建築局住宅経営室</v>
      </c>
    </row>
    <row r="2229" spans="1:18" s="1" customFormat="1" x14ac:dyDescent="0.45">
      <c r="A2229" s="7" t="str">
        <f t="shared" si="772"/>
        <v>09940003200</v>
      </c>
      <c r="B2229" s="7" t="str">
        <f t="shared" si="773"/>
        <v>鴻池第２・東大阪中鴻池</v>
      </c>
      <c r="C2229" s="7" t="str">
        <f t="shared" si="762"/>
        <v>行政財産</v>
      </c>
      <c r="D2229" s="7" t="str">
        <f t="shared" si="763"/>
        <v>公営住宅</v>
      </c>
      <c r="E2229" s="7" t="str">
        <f t="shared" si="774"/>
        <v>大阪府東大阪市中鴻池町３丁目</v>
      </c>
      <c r="F2229" s="7"/>
      <c r="G2229" s="7" t="str">
        <f t="shared" si="759"/>
        <v>事業用資産</v>
      </c>
      <c r="H2229" s="7" t="str">
        <f t="shared" si="755"/>
        <v>棚卸以外</v>
      </c>
      <c r="I2229" s="7">
        <v>17</v>
      </c>
      <c r="J2229" s="7" t="str">
        <f>"５号棟（新）"</f>
        <v>５号棟（新）</v>
      </c>
      <c r="K2229" s="7" t="str">
        <f t="shared" si="761"/>
        <v>鉄筋コンクリート造</v>
      </c>
      <c r="L2229" s="7" t="str">
        <f>"H22.09.28"</f>
        <v>H22.09.28</v>
      </c>
      <c r="M2229" s="7">
        <v>13321.6</v>
      </c>
      <c r="N2229" s="7">
        <v>2121734878</v>
      </c>
      <c r="O2229" s="7">
        <v>564561630</v>
      </c>
      <c r="P2229" s="7">
        <v>0</v>
      </c>
      <c r="Q2229" s="7" t="str">
        <f t="shared" si="764"/>
        <v>都市整備部</v>
      </c>
      <c r="R2229" s="7" t="str">
        <f t="shared" si="760"/>
        <v>住宅建築局住宅経営室</v>
      </c>
    </row>
    <row r="2230" spans="1:18" s="1" customFormat="1" x14ac:dyDescent="0.45">
      <c r="A2230" s="7" t="str">
        <f t="shared" si="772"/>
        <v>09940003200</v>
      </c>
      <c r="B2230" s="7" t="str">
        <f t="shared" si="773"/>
        <v>鴻池第２・東大阪中鴻池</v>
      </c>
      <c r="C2230" s="7" t="str">
        <f t="shared" si="762"/>
        <v>行政財産</v>
      </c>
      <c r="D2230" s="7" t="str">
        <f t="shared" si="763"/>
        <v>公営住宅</v>
      </c>
      <c r="E2230" s="7" t="str">
        <f t="shared" si="774"/>
        <v>大阪府東大阪市中鴻池町３丁目</v>
      </c>
      <c r="F2230" s="7"/>
      <c r="G2230" s="7" t="str">
        <f t="shared" si="759"/>
        <v>事業用資産</v>
      </c>
      <c r="H2230" s="7" t="str">
        <f t="shared" si="755"/>
        <v>棚卸以外</v>
      </c>
      <c r="I2230" s="7">
        <v>18</v>
      </c>
      <c r="J2230" s="7" t="str">
        <f>"６号棟（新）"</f>
        <v>６号棟（新）</v>
      </c>
      <c r="K2230" s="7" t="str">
        <f t="shared" si="761"/>
        <v>鉄筋コンクリート造</v>
      </c>
      <c r="L2230" s="7" t="str">
        <f>"H22.09.28"</f>
        <v>H22.09.28</v>
      </c>
      <c r="M2230" s="7">
        <v>9406.99</v>
      </c>
      <c r="N2230" s="7">
        <v>1563608918</v>
      </c>
      <c r="O2230" s="7">
        <v>416033910</v>
      </c>
      <c r="P2230" s="7">
        <v>0</v>
      </c>
      <c r="Q2230" s="7" t="str">
        <f t="shared" si="764"/>
        <v>都市整備部</v>
      </c>
      <c r="R2230" s="7" t="str">
        <f t="shared" si="760"/>
        <v>住宅建築局住宅経営室</v>
      </c>
    </row>
    <row r="2231" spans="1:18" s="1" customFormat="1" x14ac:dyDescent="0.45">
      <c r="A2231" s="7" t="str">
        <f t="shared" si="772"/>
        <v>09940003200</v>
      </c>
      <c r="B2231" s="7" t="str">
        <f t="shared" si="773"/>
        <v>鴻池第２・東大阪中鴻池</v>
      </c>
      <c r="C2231" s="7" t="str">
        <f t="shared" si="762"/>
        <v>行政財産</v>
      </c>
      <c r="D2231" s="7" t="str">
        <f t="shared" si="763"/>
        <v>公営住宅</v>
      </c>
      <c r="E2231" s="7" t="str">
        <f t="shared" si="774"/>
        <v>大阪府東大阪市中鴻池町３丁目</v>
      </c>
      <c r="F2231" s="7"/>
      <c r="G2231" s="7" t="str">
        <f t="shared" si="759"/>
        <v>事業用資産</v>
      </c>
      <c r="H2231" s="7" t="str">
        <f t="shared" si="755"/>
        <v>棚卸以外</v>
      </c>
      <c r="I2231" s="7">
        <v>19</v>
      </c>
      <c r="J2231" s="7" t="str">
        <f>"受水槽・ポンプ室（新）"</f>
        <v>受水槽・ポンプ室（新）</v>
      </c>
      <c r="K2231" s="7" t="str">
        <f t="shared" si="761"/>
        <v>鉄筋コンクリート造</v>
      </c>
      <c r="L2231" s="7" t="str">
        <f>"H22.09.28"</f>
        <v>H22.09.28</v>
      </c>
      <c r="M2231" s="7">
        <v>95.4</v>
      </c>
      <c r="N2231" s="7">
        <v>87630000</v>
      </c>
      <c r="O2231" s="7">
        <v>23305950</v>
      </c>
      <c r="P2231" s="7">
        <v>0</v>
      </c>
      <c r="Q2231" s="7" t="str">
        <f t="shared" si="764"/>
        <v>都市整備部</v>
      </c>
      <c r="R2231" s="7" t="str">
        <f t="shared" si="760"/>
        <v>住宅建築局住宅経営室</v>
      </c>
    </row>
    <row r="2232" spans="1:18" s="1" customFormat="1" x14ac:dyDescent="0.45">
      <c r="A2232" s="7" t="str">
        <f t="shared" si="772"/>
        <v>09940003200</v>
      </c>
      <c r="B2232" s="7" t="str">
        <f t="shared" si="773"/>
        <v>鴻池第２・東大阪中鴻池</v>
      </c>
      <c r="C2232" s="7" t="str">
        <f t="shared" si="762"/>
        <v>行政財産</v>
      </c>
      <c r="D2232" s="7" t="str">
        <f t="shared" si="763"/>
        <v>公営住宅</v>
      </c>
      <c r="E2232" s="7" t="str">
        <f t="shared" si="774"/>
        <v>大阪府東大阪市中鴻池町３丁目</v>
      </c>
      <c r="F2232" s="7"/>
      <c r="G2232" s="7" t="str">
        <f t="shared" si="759"/>
        <v>事業用資産</v>
      </c>
      <c r="H2232" s="7" t="str">
        <f t="shared" si="755"/>
        <v>棚卸以外</v>
      </c>
      <c r="I2232" s="7">
        <v>20</v>
      </c>
      <c r="J2232" s="7" t="str">
        <f>"電気室"</f>
        <v>電気室</v>
      </c>
      <c r="K2232" s="7" t="str">
        <f t="shared" si="761"/>
        <v>鉄筋コンクリート造</v>
      </c>
      <c r="L2232" s="7" t="str">
        <f>"H22.09.28"</f>
        <v>H22.09.28</v>
      </c>
      <c r="M2232" s="7">
        <v>47.56</v>
      </c>
      <c r="N2232" s="7">
        <v>17506000</v>
      </c>
      <c r="O2232" s="7">
        <v>4656000</v>
      </c>
      <c r="P2232" s="7">
        <v>0</v>
      </c>
      <c r="Q2232" s="7" t="str">
        <f t="shared" si="764"/>
        <v>都市整備部</v>
      </c>
      <c r="R2232" s="7" t="str">
        <f t="shared" si="760"/>
        <v>住宅建築局住宅経営室</v>
      </c>
    </row>
    <row r="2233" spans="1:18" s="1" customFormat="1" x14ac:dyDescent="0.45">
      <c r="A2233" s="7" t="str">
        <f t="shared" si="772"/>
        <v>09940003200</v>
      </c>
      <c r="B2233" s="7" t="str">
        <f t="shared" si="773"/>
        <v>鴻池第２・東大阪中鴻池</v>
      </c>
      <c r="C2233" s="7" t="str">
        <f t="shared" si="762"/>
        <v>行政財産</v>
      </c>
      <c r="D2233" s="7" t="str">
        <f t="shared" si="763"/>
        <v>公営住宅</v>
      </c>
      <c r="E2233" s="7" t="str">
        <f t="shared" si="774"/>
        <v>大阪府東大阪市中鴻池町３丁目</v>
      </c>
      <c r="F2233" s="7"/>
      <c r="G2233" s="7" t="str">
        <f t="shared" si="759"/>
        <v>事業用資産</v>
      </c>
      <c r="H2233" s="7" t="str">
        <f t="shared" si="755"/>
        <v>棚卸以外</v>
      </c>
      <c r="I2233" s="7">
        <v>21</v>
      </c>
      <c r="J2233" s="7" t="str">
        <f>"電気室"</f>
        <v>電気室</v>
      </c>
      <c r="K2233" s="7" t="str">
        <f t="shared" ref="K2233:K2252" si="775">"鉄筋コンクリート造"</f>
        <v>鉄筋コンクリート造</v>
      </c>
      <c r="L2233" s="7" t="str">
        <f>"H22.09.28"</f>
        <v>H22.09.28</v>
      </c>
      <c r="M2233" s="7">
        <v>34.56</v>
      </c>
      <c r="N2233" s="7">
        <v>11732000</v>
      </c>
      <c r="O2233" s="7">
        <v>3120300</v>
      </c>
      <c r="P2233" s="7">
        <v>0</v>
      </c>
      <c r="Q2233" s="7" t="str">
        <f t="shared" si="764"/>
        <v>都市整備部</v>
      </c>
      <c r="R2233" s="7" t="str">
        <f t="shared" si="760"/>
        <v>住宅建築局住宅経営室</v>
      </c>
    </row>
    <row r="2234" spans="1:18" s="1" customFormat="1" x14ac:dyDescent="0.45">
      <c r="A2234" s="7" t="str">
        <f t="shared" si="772"/>
        <v>09940003200</v>
      </c>
      <c r="B2234" s="7" t="str">
        <f t="shared" si="773"/>
        <v>鴻池第２・東大阪中鴻池</v>
      </c>
      <c r="C2234" s="7" t="str">
        <f t="shared" si="762"/>
        <v>行政財産</v>
      </c>
      <c r="D2234" s="7" t="str">
        <f t="shared" si="763"/>
        <v>公営住宅</v>
      </c>
      <c r="E2234" s="7" t="str">
        <f t="shared" si="774"/>
        <v>大阪府東大阪市中鴻池町３丁目</v>
      </c>
      <c r="F2234" s="7"/>
      <c r="G2234" s="7" t="str">
        <f t="shared" si="759"/>
        <v>事業用資産</v>
      </c>
      <c r="H2234" s="7" t="str">
        <f t="shared" si="755"/>
        <v>棚卸以外</v>
      </c>
      <c r="I2234" s="7">
        <v>22</v>
      </c>
      <c r="J2234" s="7" t="str">
        <f>"７号棟（新）"</f>
        <v>７号棟（新）</v>
      </c>
      <c r="K2234" s="7" t="str">
        <f t="shared" si="775"/>
        <v>鉄筋コンクリート造</v>
      </c>
      <c r="L2234" s="7" t="str">
        <f>"H24.08.01"</f>
        <v>H24.08.01</v>
      </c>
      <c r="M2234" s="7">
        <v>4477.55</v>
      </c>
      <c r="N2234" s="7">
        <v>570685013</v>
      </c>
      <c r="O2234" s="7">
        <v>128535944</v>
      </c>
      <c r="P2234" s="7">
        <v>0</v>
      </c>
      <c r="Q2234" s="7" t="str">
        <f t="shared" si="764"/>
        <v>都市整備部</v>
      </c>
      <c r="R2234" s="7" t="str">
        <f t="shared" si="760"/>
        <v>住宅建築局住宅経営室</v>
      </c>
    </row>
    <row r="2235" spans="1:18" s="1" customFormat="1" x14ac:dyDescent="0.45">
      <c r="A2235" s="7" t="str">
        <f t="shared" si="772"/>
        <v>09940003200</v>
      </c>
      <c r="B2235" s="7" t="str">
        <f t="shared" si="773"/>
        <v>鴻池第２・東大阪中鴻池</v>
      </c>
      <c r="C2235" s="7" t="str">
        <f t="shared" si="762"/>
        <v>行政財産</v>
      </c>
      <c r="D2235" s="7" t="str">
        <f t="shared" si="763"/>
        <v>公営住宅</v>
      </c>
      <c r="E2235" s="7" t="str">
        <f t="shared" si="774"/>
        <v>大阪府東大阪市中鴻池町３丁目</v>
      </c>
      <c r="F2235" s="7"/>
      <c r="G2235" s="7" t="str">
        <f t="shared" si="759"/>
        <v>事業用資産</v>
      </c>
      <c r="H2235" s="7" t="str">
        <f t="shared" si="755"/>
        <v>棚卸以外</v>
      </c>
      <c r="I2235" s="7">
        <v>23</v>
      </c>
      <c r="J2235" s="7" t="str">
        <f>"８号棟（新）"</f>
        <v>８号棟（新）</v>
      </c>
      <c r="K2235" s="7" t="str">
        <f t="shared" si="775"/>
        <v>鉄筋コンクリート造</v>
      </c>
      <c r="L2235" s="7" t="str">
        <f>"H24.08.01"</f>
        <v>H24.08.01</v>
      </c>
      <c r="M2235" s="7">
        <v>4479.3</v>
      </c>
      <c r="N2235" s="7">
        <v>573656496</v>
      </c>
      <c r="O2235" s="7">
        <v>129205107</v>
      </c>
      <c r="P2235" s="7">
        <v>0</v>
      </c>
      <c r="Q2235" s="7" t="str">
        <f t="shared" si="764"/>
        <v>都市整備部</v>
      </c>
      <c r="R2235" s="7" t="str">
        <f t="shared" si="760"/>
        <v>住宅建築局住宅経営室</v>
      </c>
    </row>
    <row r="2236" spans="1:18" s="1" customFormat="1" x14ac:dyDescent="0.45">
      <c r="A2236" s="7" t="str">
        <f t="shared" si="772"/>
        <v>09940003200</v>
      </c>
      <c r="B2236" s="7" t="str">
        <f t="shared" si="773"/>
        <v>鴻池第２・東大阪中鴻池</v>
      </c>
      <c r="C2236" s="7" t="str">
        <f t="shared" si="762"/>
        <v>行政財産</v>
      </c>
      <c r="D2236" s="7" t="str">
        <f t="shared" si="763"/>
        <v>公営住宅</v>
      </c>
      <c r="E2236" s="7" t="str">
        <f t="shared" si="774"/>
        <v>大阪府東大阪市中鴻池町３丁目</v>
      </c>
      <c r="F2236" s="7"/>
      <c r="G2236" s="7" t="str">
        <f t="shared" si="759"/>
        <v>事業用資産</v>
      </c>
      <c r="H2236" s="7" t="str">
        <f t="shared" si="755"/>
        <v>棚卸以外</v>
      </c>
      <c r="I2236" s="7">
        <v>24</v>
      </c>
      <c r="J2236" s="7" t="str">
        <f>"集会所"</f>
        <v>集会所</v>
      </c>
      <c r="K2236" s="7" t="str">
        <f t="shared" si="775"/>
        <v>鉄筋コンクリート造</v>
      </c>
      <c r="L2236" s="7" t="str">
        <f>"H24.08.01"</f>
        <v>H24.08.01</v>
      </c>
      <c r="M2236" s="7">
        <v>314.49</v>
      </c>
      <c r="N2236" s="7">
        <v>63911935</v>
      </c>
      <c r="O2236" s="7">
        <v>14391640</v>
      </c>
      <c r="P2236" s="7">
        <v>0</v>
      </c>
      <c r="Q2236" s="7" t="str">
        <f t="shared" si="764"/>
        <v>都市整備部</v>
      </c>
      <c r="R2236" s="7" t="str">
        <f t="shared" si="760"/>
        <v>住宅建築局住宅経営室</v>
      </c>
    </row>
    <row r="2237" spans="1:18" s="1" customFormat="1" x14ac:dyDescent="0.45">
      <c r="A2237" s="7" t="str">
        <f t="shared" si="772"/>
        <v>09940003200</v>
      </c>
      <c r="B2237" s="7" t="str">
        <f t="shared" si="773"/>
        <v>鴻池第２・東大阪中鴻池</v>
      </c>
      <c r="C2237" s="7" t="str">
        <f t="shared" si="762"/>
        <v>行政財産</v>
      </c>
      <c r="D2237" s="7" t="str">
        <f t="shared" si="763"/>
        <v>公営住宅</v>
      </c>
      <c r="E2237" s="7" t="str">
        <f t="shared" si="774"/>
        <v>大阪府東大阪市中鴻池町３丁目</v>
      </c>
      <c r="F2237" s="7"/>
      <c r="G2237" s="7" t="str">
        <f t="shared" si="759"/>
        <v>事業用資産</v>
      </c>
      <c r="H2237" s="7" t="str">
        <f t="shared" si="755"/>
        <v>棚卸以外</v>
      </c>
      <c r="I2237" s="7">
        <v>25</v>
      </c>
      <c r="J2237" s="7" t="str">
        <f>"受水槽・ポンプ室"</f>
        <v>受水槽・ポンプ室</v>
      </c>
      <c r="K2237" s="7" t="str">
        <f t="shared" si="775"/>
        <v>鉄筋コンクリート造</v>
      </c>
      <c r="L2237" s="7" t="str">
        <f>"H24.08.01"</f>
        <v>H24.08.01</v>
      </c>
      <c r="M2237" s="7">
        <v>35</v>
      </c>
      <c r="N2237" s="7">
        <v>16565765</v>
      </c>
      <c r="O2237" s="7">
        <v>3730244</v>
      </c>
      <c r="P2237" s="7">
        <v>0</v>
      </c>
      <c r="Q2237" s="7" t="str">
        <f t="shared" si="764"/>
        <v>都市整備部</v>
      </c>
      <c r="R2237" s="7" t="str">
        <f t="shared" si="760"/>
        <v>住宅建築局住宅経営室</v>
      </c>
    </row>
    <row r="2238" spans="1:18" s="1" customFormat="1" x14ac:dyDescent="0.45">
      <c r="A2238" s="7" t="str">
        <f t="shared" si="772"/>
        <v>09940003200</v>
      </c>
      <c r="B2238" s="7" t="str">
        <f t="shared" si="773"/>
        <v>鴻池第２・東大阪中鴻池</v>
      </c>
      <c r="C2238" s="7" t="str">
        <f t="shared" si="762"/>
        <v>行政財産</v>
      </c>
      <c r="D2238" s="7" t="str">
        <f t="shared" si="763"/>
        <v>公営住宅</v>
      </c>
      <c r="E2238" s="7" t="str">
        <f t="shared" si="774"/>
        <v>大阪府東大阪市中鴻池町３丁目</v>
      </c>
      <c r="F2238" s="7"/>
      <c r="G2238" s="7" t="str">
        <f t="shared" si="759"/>
        <v>事業用資産</v>
      </c>
      <c r="H2238" s="7" t="str">
        <f t="shared" si="755"/>
        <v>棚卸以外</v>
      </c>
      <c r="I2238" s="7">
        <v>26</v>
      </c>
      <c r="J2238" s="7" t="str">
        <f>"電気室"</f>
        <v>電気室</v>
      </c>
      <c r="K2238" s="7" t="str">
        <f t="shared" si="775"/>
        <v>鉄筋コンクリート造</v>
      </c>
      <c r="L2238" s="7" t="str">
        <f>"H24.08.01"</f>
        <v>H24.08.01</v>
      </c>
      <c r="M2238" s="7">
        <v>29.76</v>
      </c>
      <c r="N2238" s="7">
        <v>11885073</v>
      </c>
      <c r="O2238" s="7">
        <v>2676271</v>
      </c>
      <c r="P2238" s="7">
        <v>0</v>
      </c>
      <c r="Q2238" s="7" t="str">
        <f t="shared" si="764"/>
        <v>都市整備部</v>
      </c>
      <c r="R2238" s="7" t="str">
        <f t="shared" si="760"/>
        <v>住宅建築局住宅経営室</v>
      </c>
    </row>
    <row r="2239" spans="1:18" s="1" customFormat="1" x14ac:dyDescent="0.45">
      <c r="A2239" s="7" t="str">
        <f t="shared" si="772"/>
        <v>09940003200</v>
      </c>
      <c r="B2239" s="7" t="str">
        <f t="shared" si="773"/>
        <v>鴻池第２・東大阪中鴻池</v>
      </c>
      <c r="C2239" s="7" t="str">
        <f t="shared" si="762"/>
        <v>行政財産</v>
      </c>
      <c r="D2239" s="7" t="str">
        <f t="shared" si="763"/>
        <v>公営住宅</v>
      </c>
      <c r="E2239" s="7" t="str">
        <f t="shared" si="774"/>
        <v>大阪府東大阪市中鴻池町３丁目</v>
      </c>
      <c r="F2239" s="7"/>
      <c r="G2239" s="7" t="str">
        <f t="shared" si="759"/>
        <v>事業用資産</v>
      </c>
      <c r="H2239" s="7" t="str">
        <f t="shared" si="755"/>
        <v>棚卸以外</v>
      </c>
      <c r="I2239" s="7">
        <v>28</v>
      </c>
      <c r="J2239" s="7" t="str">
        <f>"電気室"</f>
        <v>電気室</v>
      </c>
      <c r="K2239" s="7" t="str">
        <f t="shared" si="775"/>
        <v>鉄筋コンクリート造</v>
      </c>
      <c r="L2239" s="7" t="str">
        <f>"H27.11.01"</f>
        <v>H27.11.01</v>
      </c>
      <c r="M2239" s="7">
        <v>34.56</v>
      </c>
      <c r="N2239" s="7">
        <v>15421998</v>
      </c>
      <c r="O2239" s="7">
        <v>2406272</v>
      </c>
      <c r="P2239" s="7">
        <v>0</v>
      </c>
      <c r="Q2239" s="7" t="str">
        <f t="shared" si="764"/>
        <v>都市整備部</v>
      </c>
      <c r="R2239" s="7" t="str">
        <f t="shared" si="760"/>
        <v>住宅建築局住宅経営室</v>
      </c>
    </row>
    <row r="2240" spans="1:18" s="1" customFormat="1" x14ac:dyDescent="0.45">
      <c r="A2240" s="7" t="str">
        <f t="shared" si="772"/>
        <v>09940003200</v>
      </c>
      <c r="B2240" s="7" t="str">
        <f t="shared" si="773"/>
        <v>鴻池第２・東大阪中鴻池</v>
      </c>
      <c r="C2240" s="7" t="str">
        <f t="shared" si="762"/>
        <v>行政財産</v>
      </c>
      <c r="D2240" s="7" t="str">
        <f t="shared" si="763"/>
        <v>公営住宅</v>
      </c>
      <c r="E2240" s="7" t="str">
        <f t="shared" si="774"/>
        <v>大阪府東大阪市中鴻池町３丁目</v>
      </c>
      <c r="F2240" s="7"/>
      <c r="G2240" s="7" t="str">
        <f t="shared" si="759"/>
        <v>事業用資産</v>
      </c>
      <c r="H2240" s="7" t="str">
        <f t="shared" si="755"/>
        <v>棚卸以外</v>
      </c>
      <c r="I2240" s="7">
        <v>29</v>
      </c>
      <c r="J2240" s="7" t="str">
        <f>"東大阪中鴻池住宅　１０号棟"</f>
        <v>東大阪中鴻池住宅　１０号棟</v>
      </c>
      <c r="K2240" s="7" t="str">
        <f t="shared" si="775"/>
        <v>鉄筋コンクリート造</v>
      </c>
      <c r="L2240" s="7" t="str">
        <f>"H27.11.01"</f>
        <v>H27.11.01</v>
      </c>
      <c r="M2240" s="7">
        <v>7687.63</v>
      </c>
      <c r="N2240" s="7">
        <v>1426269808</v>
      </c>
      <c r="O2240" s="7">
        <v>222680180</v>
      </c>
      <c r="P2240" s="7">
        <v>0</v>
      </c>
      <c r="Q2240" s="7" t="str">
        <f t="shared" si="764"/>
        <v>都市整備部</v>
      </c>
      <c r="R2240" s="7" t="str">
        <f t="shared" si="760"/>
        <v>住宅建築局住宅経営室</v>
      </c>
    </row>
    <row r="2241" spans="1:18" s="1" customFormat="1" x14ac:dyDescent="0.45">
      <c r="A2241" s="7" t="str">
        <f t="shared" si="772"/>
        <v>09940003200</v>
      </c>
      <c r="B2241" s="7" t="str">
        <f t="shared" si="773"/>
        <v>鴻池第２・東大阪中鴻池</v>
      </c>
      <c r="C2241" s="7" t="str">
        <f t="shared" si="762"/>
        <v>行政財産</v>
      </c>
      <c r="D2241" s="7" t="str">
        <f t="shared" si="763"/>
        <v>公営住宅</v>
      </c>
      <c r="E2241" s="7" t="str">
        <f t="shared" si="774"/>
        <v>大阪府東大阪市中鴻池町３丁目</v>
      </c>
      <c r="F2241" s="7"/>
      <c r="G2241" s="7" t="str">
        <f t="shared" si="759"/>
        <v>事業用資産</v>
      </c>
      <c r="H2241" s="7" t="str">
        <f t="shared" si="755"/>
        <v>棚卸以外</v>
      </c>
      <c r="I2241" s="7">
        <v>30</v>
      </c>
      <c r="J2241" s="7" t="str">
        <f>"東大阪中鴻池　９号棟"</f>
        <v>東大阪中鴻池　９号棟</v>
      </c>
      <c r="K2241" s="7" t="str">
        <f t="shared" si="775"/>
        <v>鉄筋コンクリート造</v>
      </c>
      <c r="L2241" s="7" t="str">
        <f>"H28.05.01"</f>
        <v>H28.05.01</v>
      </c>
      <c r="M2241" s="7">
        <v>7258.75</v>
      </c>
      <c r="N2241" s="7">
        <v>1284814029</v>
      </c>
      <c r="O2241" s="7">
        <v>186953214</v>
      </c>
      <c r="P2241" s="7">
        <v>0</v>
      </c>
      <c r="Q2241" s="7" t="str">
        <f t="shared" si="764"/>
        <v>都市整備部</v>
      </c>
      <c r="R2241" s="7" t="str">
        <f t="shared" si="760"/>
        <v>住宅建築局住宅経営室</v>
      </c>
    </row>
    <row r="2242" spans="1:18" s="1" customFormat="1" x14ac:dyDescent="0.45">
      <c r="A2242" s="7" t="str">
        <f t="shared" si="772"/>
        <v>09940003200</v>
      </c>
      <c r="B2242" s="7" t="str">
        <f t="shared" si="773"/>
        <v>鴻池第２・東大阪中鴻池</v>
      </c>
      <c r="C2242" s="7" t="str">
        <f t="shared" si="762"/>
        <v>行政財産</v>
      </c>
      <c r="D2242" s="7" t="str">
        <f t="shared" si="763"/>
        <v>公営住宅</v>
      </c>
      <c r="E2242" s="7" t="str">
        <f t="shared" si="774"/>
        <v>大阪府東大阪市中鴻池町３丁目</v>
      </c>
      <c r="F2242" s="7"/>
      <c r="G2242" s="7" t="str">
        <f t="shared" si="759"/>
        <v>事業用資産</v>
      </c>
      <c r="H2242" s="7" t="str">
        <f t="shared" si="755"/>
        <v>棚卸以外</v>
      </c>
      <c r="I2242" s="7">
        <v>31</v>
      </c>
      <c r="J2242" s="7" t="str">
        <f>"ゴミ置場"</f>
        <v>ゴミ置場</v>
      </c>
      <c r="K2242" s="7" t="str">
        <f t="shared" si="775"/>
        <v>鉄筋コンクリート造</v>
      </c>
      <c r="L2242" s="7" t="str">
        <f>"H28.05.01"</f>
        <v>H28.05.01</v>
      </c>
      <c r="M2242" s="7">
        <v>41.52</v>
      </c>
      <c r="N2242" s="7">
        <v>11117767</v>
      </c>
      <c r="O2242" s="7">
        <v>1616466</v>
      </c>
      <c r="P2242" s="7">
        <v>0</v>
      </c>
      <c r="Q2242" s="7" t="str">
        <f t="shared" si="764"/>
        <v>都市整備部</v>
      </c>
      <c r="R2242" s="7" t="str">
        <f t="shared" si="760"/>
        <v>住宅建築局住宅経営室</v>
      </c>
    </row>
    <row r="2243" spans="1:18" s="1" customFormat="1" x14ac:dyDescent="0.45">
      <c r="A2243" s="7" t="str">
        <f t="shared" si="772"/>
        <v>09940003200</v>
      </c>
      <c r="B2243" s="7" t="str">
        <f t="shared" si="773"/>
        <v>鴻池第２・東大阪中鴻池</v>
      </c>
      <c r="C2243" s="7" t="str">
        <f t="shared" si="762"/>
        <v>行政財産</v>
      </c>
      <c r="D2243" s="7" t="str">
        <f t="shared" si="763"/>
        <v>公営住宅</v>
      </c>
      <c r="E2243" s="7" t="str">
        <f t="shared" si="774"/>
        <v>大阪府東大阪市中鴻池町３丁目</v>
      </c>
      <c r="F2243" s="7"/>
      <c r="G2243" s="7" t="str">
        <f t="shared" si="759"/>
        <v>事業用資産</v>
      </c>
      <c r="H2243" s="7" t="str">
        <f t="shared" si="755"/>
        <v>棚卸以外</v>
      </c>
      <c r="I2243" s="7">
        <v>32</v>
      </c>
      <c r="J2243" s="7" t="str">
        <f>"電気室"</f>
        <v>電気室</v>
      </c>
      <c r="K2243" s="7" t="str">
        <f t="shared" si="775"/>
        <v>鉄筋コンクリート造</v>
      </c>
      <c r="L2243" s="7" t="str">
        <f>"H28.05.01"</f>
        <v>H28.05.01</v>
      </c>
      <c r="M2243" s="7">
        <v>34.56</v>
      </c>
      <c r="N2243" s="7">
        <v>15874954</v>
      </c>
      <c r="O2243" s="7">
        <v>2308136</v>
      </c>
      <c r="P2243" s="7">
        <v>0</v>
      </c>
      <c r="Q2243" s="7" t="str">
        <f t="shared" si="764"/>
        <v>都市整備部</v>
      </c>
      <c r="R2243" s="7" t="str">
        <f t="shared" si="760"/>
        <v>住宅建築局住宅経営室</v>
      </c>
    </row>
    <row r="2244" spans="1:18" s="1" customFormat="1" x14ac:dyDescent="0.45">
      <c r="A2244" s="7" t="str">
        <f t="shared" ref="A2244:A2252" si="776">"09940003201"</f>
        <v>09940003201</v>
      </c>
      <c r="B2244" s="7" t="str">
        <f t="shared" ref="B2244:B2252" si="777">"寝屋川成田東"</f>
        <v>寝屋川成田東</v>
      </c>
      <c r="C2244" s="7" t="str">
        <f t="shared" si="762"/>
        <v>行政財産</v>
      </c>
      <c r="D2244" s="7" t="str">
        <f t="shared" si="763"/>
        <v>公営住宅</v>
      </c>
      <c r="E2244" s="7" t="str">
        <f t="shared" ref="E2244:E2252" si="778">"大阪府寝屋川市成田東町"</f>
        <v>大阪府寝屋川市成田東町</v>
      </c>
      <c r="F2244" s="7"/>
      <c r="G2244" s="7" t="str">
        <f t="shared" si="759"/>
        <v>事業用資産</v>
      </c>
      <c r="H2244" s="7" t="str">
        <f t="shared" ref="H2244:H2307" si="779">"棚卸以外"</f>
        <v>棚卸以外</v>
      </c>
      <c r="I2244" s="7">
        <v>1</v>
      </c>
      <c r="J2244" s="7" t="str">
        <f>"１号棟"</f>
        <v>１号棟</v>
      </c>
      <c r="K2244" s="7" t="str">
        <f t="shared" si="775"/>
        <v>鉄筋コンクリート造</v>
      </c>
      <c r="L2244" s="7" t="str">
        <f t="shared" ref="L2244:L2250" si="780">"S60.08.24"</f>
        <v>S60.08.24</v>
      </c>
      <c r="M2244" s="7">
        <v>2495.36</v>
      </c>
      <c r="N2244" s="7">
        <v>283003000</v>
      </c>
      <c r="O2244" s="7">
        <v>226302329</v>
      </c>
      <c r="P2244" s="7">
        <v>0</v>
      </c>
      <c r="Q2244" s="7" t="str">
        <f t="shared" si="764"/>
        <v>都市整備部</v>
      </c>
      <c r="R2244" s="7" t="str">
        <f t="shared" si="760"/>
        <v>住宅建築局住宅経営室</v>
      </c>
    </row>
    <row r="2245" spans="1:18" s="1" customFormat="1" x14ac:dyDescent="0.45">
      <c r="A2245" s="7" t="str">
        <f t="shared" si="776"/>
        <v>09940003201</v>
      </c>
      <c r="B2245" s="7" t="str">
        <f t="shared" si="777"/>
        <v>寝屋川成田東</v>
      </c>
      <c r="C2245" s="7" t="str">
        <f t="shared" si="762"/>
        <v>行政財産</v>
      </c>
      <c r="D2245" s="7" t="str">
        <f t="shared" si="763"/>
        <v>公営住宅</v>
      </c>
      <c r="E2245" s="7" t="str">
        <f t="shared" si="778"/>
        <v>大阪府寝屋川市成田東町</v>
      </c>
      <c r="F2245" s="7"/>
      <c r="G2245" s="7" t="str">
        <f t="shared" si="759"/>
        <v>事業用資産</v>
      </c>
      <c r="H2245" s="7" t="str">
        <f t="shared" si="779"/>
        <v>棚卸以外</v>
      </c>
      <c r="I2245" s="7">
        <v>2</v>
      </c>
      <c r="J2245" s="7" t="str">
        <f>"２号棟"</f>
        <v>２号棟</v>
      </c>
      <c r="K2245" s="7" t="str">
        <f t="shared" si="775"/>
        <v>鉄筋コンクリート造</v>
      </c>
      <c r="L2245" s="7" t="str">
        <f t="shared" si="780"/>
        <v>S60.08.24</v>
      </c>
      <c r="M2245" s="7">
        <v>884.65</v>
      </c>
      <c r="N2245" s="7">
        <v>103908060</v>
      </c>
      <c r="O2245" s="7">
        <v>82857269</v>
      </c>
      <c r="P2245" s="7">
        <v>0</v>
      </c>
      <c r="Q2245" s="7" t="str">
        <f t="shared" si="764"/>
        <v>都市整備部</v>
      </c>
      <c r="R2245" s="7" t="str">
        <f t="shared" si="760"/>
        <v>住宅建築局住宅経営室</v>
      </c>
    </row>
    <row r="2246" spans="1:18" s="1" customFormat="1" x14ac:dyDescent="0.45">
      <c r="A2246" s="7" t="str">
        <f t="shared" si="776"/>
        <v>09940003201</v>
      </c>
      <c r="B2246" s="7" t="str">
        <f t="shared" si="777"/>
        <v>寝屋川成田東</v>
      </c>
      <c r="C2246" s="7" t="str">
        <f t="shared" si="762"/>
        <v>行政財産</v>
      </c>
      <c r="D2246" s="7" t="str">
        <f t="shared" si="763"/>
        <v>公営住宅</v>
      </c>
      <c r="E2246" s="7" t="str">
        <f t="shared" si="778"/>
        <v>大阪府寝屋川市成田東町</v>
      </c>
      <c r="F2246" s="7"/>
      <c r="G2246" s="7" t="str">
        <f t="shared" si="759"/>
        <v>事業用資産</v>
      </c>
      <c r="H2246" s="7" t="str">
        <f t="shared" si="779"/>
        <v>棚卸以外</v>
      </c>
      <c r="I2246" s="7">
        <v>3</v>
      </c>
      <c r="J2246" s="7" t="str">
        <f>"３号棟"</f>
        <v>３号棟</v>
      </c>
      <c r="K2246" s="7" t="str">
        <f t="shared" si="775"/>
        <v>鉄筋コンクリート造</v>
      </c>
      <c r="L2246" s="7" t="str">
        <f t="shared" si="780"/>
        <v>S60.08.24</v>
      </c>
      <c r="M2246" s="7">
        <v>884.65</v>
      </c>
      <c r="N2246" s="7">
        <v>103421000</v>
      </c>
      <c r="O2246" s="7">
        <v>82700321</v>
      </c>
      <c r="P2246" s="7">
        <v>0</v>
      </c>
      <c r="Q2246" s="7" t="str">
        <f t="shared" si="764"/>
        <v>都市整備部</v>
      </c>
      <c r="R2246" s="7" t="str">
        <f t="shared" si="760"/>
        <v>住宅建築局住宅経営室</v>
      </c>
    </row>
    <row r="2247" spans="1:18" s="1" customFormat="1" x14ac:dyDescent="0.45">
      <c r="A2247" s="7" t="str">
        <f t="shared" si="776"/>
        <v>09940003201</v>
      </c>
      <c r="B2247" s="7" t="str">
        <f t="shared" si="777"/>
        <v>寝屋川成田東</v>
      </c>
      <c r="C2247" s="7" t="str">
        <f t="shared" si="762"/>
        <v>行政財産</v>
      </c>
      <c r="D2247" s="7" t="str">
        <f t="shared" si="763"/>
        <v>公営住宅</v>
      </c>
      <c r="E2247" s="7" t="str">
        <f t="shared" si="778"/>
        <v>大阪府寝屋川市成田東町</v>
      </c>
      <c r="F2247" s="7"/>
      <c r="G2247" s="7" t="str">
        <f t="shared" si="759"/>
        <v>事業用資産</v>
      </c>
      <c r="H2247" s="7" t="str">
        <f t="shared" si="779"/>
        <v>棚卸以外</v>
      </c>
      <c r="I2247" s="7">
        <v>4</v>
      </c>
      <c r="J2247" s="7" t="str">
        <f>"４号棟"</f>
        <v>４号棟</v>
      </c>
      <c r="K2247" s="7" t="str">
        <f t="shared" si="775"/>
        <v>鉄筋コンクリート造</v>
      </c>
      <c r="L2247" s="7" t="str">
        <f t="shared" si="780"/>
        <v>S60.08.24</v>
      </c>
      <c r="M2247" s="7">
        <v>884.65</v>
      </c>
      <c r="N2247" s="7">
        <v>97893000</v>
      </c>
      <c r="O2247" s="7">
        <v>78280070</v>
      </c>
      <c r="P2247" s="7">
        <v>0</v>
      </c>
      <c r="Q2247" s="7" t="str">
        <f t="shared" si="764"/>
        <v>都市整備部</v>
      </c>
      <c r="R2247" s="7" t="str">
        <f t="shared" si="760"/>
        <v>住宅建築局住宅経営室</v>
      </c>
    </row>
    <row r="2248" spans="1:18" s="1" customFormat="1" x14ac:dyDescent="0.45">
      <c r="A2248" s="7" t="str">
        <f t="shared" si="776"/>
        <v>09940003201</v>
      </c>
      <c r="B2248" s="7" t="str">
        <f t="shared" si="777"/>
        <v>寝屋川成田東</v>
      </c>
      <c r="C2248" s="7" t="str">
        <f t="shared" si="762"/>
        <v>行政財産</v>
      </c>
      <c r="D2248" s="7" t="str">
        <f t="shared" si="763"/>
        <v>公営住宅</v>
      </c>
      <c r="E2248" s="7" t="str">
        <f t="shared" si="778"/>
        <v>大阪府寝屋川市成田東町</v>
      </c>
      <c r="F2248" s="7"/>
      <c r="G2248" s="7" t="str">
        <f t="shared" si="759"/>
        <v>事業用資産</v>
      </c>
      <c r="H2248" s="7" t="str">
        <f t="shared" si="779"/>
        <v>棚卸以外</v>
      </c>
      <c r="I2248" s="7">
        <v>5</v>
      </c>
      <c r="J2248" s="7" t="str">
        <f>"５号棟"</f>
        <v>５号棟</v>
      </c>
      <c r="K2248" s="7" t="str">
        <f t="shared" si="775"/>
        <v>鉄筋コンクリート造</v>
      </c>
      <c r="L2248" s="7" t="str">
        <f t="shared" si="780"/>
        <v>S60.08.24</v>
      </c>
      <c r="M2248" s="7">
        <v>884.65</v>
      </c>
      <c r="N2248" s="7">
        <v>102018060</v>
      </c>
      <c r="O2248" s="7">
        <v>81345968</v>
      </c>
      <c r="P2248" s="7">
        <v>0</v>
      </c>
      <c r="Q2248" s="7" t="str">
        <f t="shared" si="764"/>
        <v>都市整備部</v>
      </c>
      <c r="R2248" s="7" t="str">
        <f t="shared" si="760"/>
        <v>住宅建築局住宅経営室</v>
      </c>
    </row>
    <row r="2249" spans="1:18" s="1" customFormat="1" x14ac:dyDescent="0.45">
      <c r="A2249" s="7" t="str">
        <f t="shared" si="776"/>
        <v>09940003201</v>
      </c>
      <c r="B2249" s="7" t="str">
        <f t="shared" si="777"/>
        <v>寝屋川成田東</v>
      </c>
      <c r="C2249" s="7" t="str">
        <f t="shared" si="762"/>
        <v>行政財産</v>
      </c>
      <c r="D2249" s="7" t="str">
        <f t="shared" si="763"/>
        <v>公営住宅</v>
      </c>
      <c r="E2249" s="7" t="str">
        <f t="shared" si="778"/>
        <v>大阪府寝屋川市成田東町</v>
      </c>
      <c r="F2249" s="7"/>
      <c r="G2249" s="7" t="str">
        <f t="shared" si="759"/>
        <v>事業用資産</v>
      </c>
      <c r="H2249" s="7" t="str">
        <f t="shared" si="779"/>
        <v>棚卸以外</v>
      </c>
      <c r="I2249" s="7">
        <v>6</v>
      </c>
      <c r="J2249" s="7" t="str">
        <f>"集会所"</f>
        <v>集会所</v>
      </c>
      <c r="K2249" s="7" t="str">
        <f t="shared" si="775"/>
        <v>鉄筋コンクリート造</v>
      </c>
      <c r="L2249" s="7" t="str">
        <f t="shared" si="780"/>
        <v>S60.08.24</v>
      </c>
      <c r="M2249" s="7">
        <v>148.41999999999999</v>
      </c>
      <c r="N2249" s="7">
        <v>30775093</v>
      </c>
      <c r="O2249" s="7">
        <v>24310780</v>
      </c>
      <c r="P2249" s="7">
        <v>0</v>
      </c>
      <c r="Q2249" s="7" t="str">
        <f t="shared" si="764"/>
        <v>都市整備部</v>
      </c>
      <c r="R2249" s="7" t="str">
        <f t="shared" si="760"/>
        <v>住宅建築局住宅経営室</v>
      </c>
    </row>
    <row r="2250" spans="1:18" s="1" customFormat="1" x14ac:dyDescent="0.45">
      <c r="A2250" s="7" t="str">
        <f t="shared" si="776"/>
        <v>09940003201</v>
      </c>
      <c r="B2250" s="7" t="str">
        <f t="shared" si="777"/>
        <v>寝屋川成田東</v>
      </c>
      <c r="C2250" s="7" t="str">
        <f t="shared" si="762"/>
        <v>行政財産</v>
      </c>
      <c r="D2250" s="7" t="str">
        <f t="shared" si="763"/>
        <v>公営住宅</v>
      </c>
      <c r="E2250" s="7" t="str">
        <f t="shared" si="778"/>
        <v>大阪府寝屋川市成田東町</v>
      </c>
      <c r="F2250" s="7"/>
      <c r="G2250" s="7" t="str">
        <f t="shared" si="759"/>
        <v>事業用資産</v>
      </c>
      <c r="H2250" s="7" t="str">
        <f t="shared" si="779"/>
        <v>棚卸以外</v>
      </c>
      <c r="I2250" s="7">
        <v>7</v>
      </c>
      <c r="J2250" s="7" t="str">
        <f>"受水槽"</f>
        <v>受水槽</v>
      </c>
      <c r="K2250" s="7" t="str">
        <f t="shared" si="775"/>
        <v>鉄筋コンクリート造</v>
      </c>
      <c r="L2250" s="7" t="str">
        <f t="shared" si="780"/>
        <v>S60.08.24</v>
      </c>
      <c r="M2250" s="7">
        <v>82.88</v>
      </c>
      <c r="N2250" s="7">
        <v>25438000</v>
      </c>
      <c r="O2250" s="7">
        <v>20341453</v>
      </c>
      <c r="P2250" s="7">
        <v>0</v>
      </c>
      <c r="Q2250" s="7" t="str">
        <f t="shared" si="764"/>
        <v>都市整備部</v>
      </c>
      <c r="R2250" s="7" t="str">
        <f t="shared" si="760"/>
        <v>住宅建築局住宅経営室</v>
      </c>
    </row>
    <row r="2251" spans="1:18" s="1" customFormat="1" x14ac:dyDescent="0.45">
      <c r="A2251" s="7" t="str">
        <f t="shared" si="776"/>
        <v>09940003201</v>
      </c>
      <c r="B2251" s="7" t="str">
        <f t="shared" si="777"/>
        <v>寝屋川成田東</v>
      </c>
      <c r="C2251" s="7" t="str">
        <f t="shared" si="762"/>
        <v>行政財産</v>
      </c>
      <c r="D2251" s="7" t="str">
        <f t="shared" si="763"/>
        <v>公営住宅</v>
      </c>
      <c r="E2251" s="7" t="str">
        <f t="shared" si="778"/>
        <v>大阪府寝屋川市成田東町</v>
      </c>
      <c r="F2251" s="7"/>
      <c r="G2251" s="7" t="str">
        <f t="shared" si="759"/>
        <v>事業用資産</v>
      </c>
      <c r="H2251" s="7" t="str">
        <f t="shared" si="779"/>
        <v>棚卸以外</v>
      </c>
      <c r="I2251" s="7">
        <v>8</v>
      </c>
      <c r="J2251" s="7" t="str">
        <f>"６号棟"</f>
        <v>６号棟</v>
      </c>
      <c r="K2251" s="7" t="str">
        <f t="shared" si="775"/>
        <v>鉄筋コンクリート造</v>
      </c>
      <c r="L2251" s="7" t="str">
        <f>"S62.08.07"</f>
        <v>S62.08.07</v>
      </c>
      <c r="M2251" s="7">
        <v>756.98</v>
      </c>
      <c r="N2251" s="7">
        <v>102737000</v>
      </c>
      <c r="O2251" s="7">
        <v>77781466</v>
      </c>
      <c r="P2251" s="7">
        <v>0</v>
      </c>
      <c r="Q2251" s="7" t="str">
        <f t="shared" si="764"/>
        <v>都市整備部</v>
      </c>
      <c r="R2251" s="7" t="str">
        <f t="shared" si="760"/>
        <v>住宅建築局住宅経営室</v>
      </c>
    </row>
    <row r="2252" spans="1:18" s="1" customFormat="1" x14ac:dyDescent="0.45">
      <c r="A2252" s="7" t="str">
        <f t="shared" si="776"/>
        <v>09940003201</v>
      </c>
      <c r="B2252" s="7" t="str">
        <f t="shared" si="777"/>
        <v>寝屋川成田東</v>
      </c>
      <c r="C2252" s="7" t="str">
        <f t="shared" si="762"/>
        <v>行政財産</v>
      </c>
      <c r="D2252" s="7" t="str">
        <f t="shared" si="763"/>
        <v>公営住宅</v>
      </c>
      <c r="E2252" s="7" t="str">
        <f t="shared" si="778"/>
        <v>大阪府寝屋川市成田東町</v>
      </c>
      <c r="F2252" s="7"/>
      <c r="G2252" s="7" t="str">
        <f t="shared" si="759"/>
        <v>事業用資産</v>
      </c>
      <c r="H2252" s="7" t="str">
        <f t="shared" si="779"/>
        <v>棚卸以外</v>
      </c>
      <c r="I2252" s="7">
        <v>9</v>
      </c>
      <c r="J2252" s="7" t="str">
        <f>"７号棟"</f>
        <v>７号棟</v>
      </c>
      <c r="K2252" s="7" t="str">
        <f t="shared" si="775"/>
        <v>鉄筋コンクリート造</v>
      </c>
      <c r="L2252" s="7" t="str">
        <f>"S62.08.07"</f>
        <v>S62.08.07</v>
      </c>
      <c r="M2252" s="7">
        <v>559.11</v>
      </c>
      <c r="N2252" s="7">
        <v>86448000</v>
      </c>
      <c r="O2252" s="7">
        <v>65449279</v>
      </c>
      <c r="P2252" s="7">
        <v>0</v>
      </c>
      <c r="Q2252" s="7" t="str">
        <f t="shared" si="764"/>
        <v>都市整備部</v>
      </c>
      <c r="R2252" s="7" t="str">
        <f t="shared" si="760"/>
        <v>住宅建築局住宅経営室</v>
      </c>
    </row>
    <row r="2253" spans="1:18" s="1" customFormat="1" x14ac:dyDescent="0.45">
      <c r="A2253" s="7" t="str">
        <f>"09940003203"</f>
        <v>09940003203</v>
      </c>
      <c r="B2253" s="7" t="str">
        <f>"守口寺方（旧　寺方）"</f>
        <v>守口寺方（旧　寺方）</v>
      </c>
      <c r="C2253" s="7" t="str">
        <f t="shared" si="762"/>
        <v>行政財産</v>
      </c>
      <c r="D2253" s="7" t="str">
        <f t="shared" si="763"/>
        <v>公営住宅</v>
      </c>
      <c r="E2253" s="7" t="str">
        <f>"大阪府守口市寺方本通２丁目"</f>
        <v>大阪府守口市寺方本通２丁目</v>
      </c>
      <c r="F2253" s="7"/>
      <c r="G2253" s="7" t="str">
        <f t="shared" si="759"/>
        <v>事業用資産</v>
      </c>
      <c r="H2253" s="7" t="str">
        <f t="shared" si="779"/>
        <v>棚卸以外</v>
      </c>
      <c r="I2253" s="7">
        <v>2</v>
      </c>
      <c r="J2253" s="7" t="str">
        <f>"1号棟"</f>
        <v>1号棟</v>
      </c>
      <c r="K2253" s="7" t="str">
        <f>"鉄骨コンクリート造"</f>
        <v>鉄骨コンクリート造</v>
      </c>
      <c r="L2253" s="7" t="str">
        <f>"H24.08.10"</f>
        <v>H24.08.10</v>
      </c>
      <c r="M2253" s="7">
        <v>3311.23</v>
      </c>
      <c r="N2253" s="7">
        <v>517948032</v>
      </c>
      <c r="O2253" s="7">
        <v>116584975</v>
      </c>
      <c r="P2253" s="7">
        <v>0</v>
      </c>
      <c r="Q2253" s="7" t="str">
        <f t="shared" si="764"/>
        <v>都市整備部</v>
      </c>
      <c r="R2253" s="7" t="str">
        <f t="shared" si="760"/>
        <v>住宅建築局住宅経営室</v>
      </c>
    </row>
    <row r="2254" spans="1:18" s="1" customFormat="1" x14ac:dyDescent="0.45">
      <c r="A2254" s="7" t="str">
        <f>"09940003203"</f>
        <v>09940003203</v>
      </c>
      <c r="B2254" s="7" t="str">
        <f>"守口寺方（旧　寺方）"</f>
        <v>守口寺方（旧　寺方）</v>
      </c>
      <c r="C2254" s="7" t="str">
        <f t="shared" si="762"/>
        <v>行政財産</v>
      </c>
      <c r="D2254" s="7" t="str">
        <f t="shared" si="763"/>
        <v>公営住宅</v>
      </c>
      <c r="E2254" s="7" t="str">
        <f>"大阪府守口市寺方本通２丁目"</f>
        <v>大阪府守口市寺方本通２丁目</v>
      </c>
      <c r="F2254" s="7"/>
      <c r="G2254" s="7" t="str">
        <f t="shared" si="759"/>
        <v>事業用資産</v>
      </c>
      <c r="H2254" s="7" t="str">
        <f t="shared" si="779"/>
        <v>棚卸以外</v>
      </c>
      <c r="I2254" s="7">
        <v>3</v>
      </c>
      <c r="J2254" s="7" t="str">
        <f>"集会所"</f>
        <v>集会所</v>
      </c>
      <c r="K2254" s="7" t="str">
        <f t="shared" ref="K2254:K2292" si="781">"鉄筋コンクリート造"</f>
        <v>鉄筋コンクリート造</v>
      </c>
      <c r="L2254" s="7" t="str">
        <f>"H24.08.10"</f>
        <v>H24.08.10</v>
      </c>
      <c r="M2254" s="7">
        <v>112.57</v>
      </c>
      <c r="N2254" s="7">
        <v>27073238</v>
      </c>
      <c r="O2254" s="7">
        <v>6096381</v>
      </c>
      <c r="P2254" s="7">
        <v>0</v>
      </c>
      <c r="Q2254" s="7" t="str">
        <f t="shared" si="764"/>
        <v>都市整備部</v>
      </c>
      <c r="R2254" s="7" t="str">
        <f t="shared" si="760"/>
        <v>住宅建築局住宅経営室</v>
      </c>
    </row>
    <row r="2255" spans="1:18" s="1" customFormat="1" x14ac:dyDescent="0.45">
      <c r="A2255" s="7" t="str">
        <f>"09940003203"</f>
        <v>09940003203</v>
      </c>
      <c r="B2255" s="7" t="str">
        <f>"守口寺方（旧　寺方）"</f>
        <v>守口寺方（旧　寺方）</v>
      </c>
      <c r="C2255" s="7" t="str">
        <f t="shared" si="762"/>
        <v>行政財産</v>
      </c>
      <c r="D2255" s="7" t="str">
        <f t="shared" si="763"/>
        <v>公営住宅</v>
      </c>
      <c r="E2255" s="7" t="str">
        <f>"大阪府守口市寺方本通２丁目"</f>
        <v>大阪府守口市寺方本通２丁目</v>
      </c>
      <c r="F2255" s="7"/>
      <c r="G2255" s="7" t="str">
        <f t="shared" si="759"/>
        <v>事業用資産</v>
      </c>
      <c r="H2255" s="7" t="str">
        <f t="shared" si="779"/>
        <v>棚卸以外</v>
      </c>
      <c r="I2255" s="7">
        <v>4</v>
      </c>
      <c r="J2255" s="7" t="str">
        <f>"電気室・ブースターポンプ室"</f>
        <v>電気室・ブースターポンプ室</v>
      </c>
      <c r="K2255" s="7" t="str">
        <f t="shared" si="781"/>
        <v>鉄筋コンクリート造</v>
      </c>
      <c r="L2255" s="7" t="str">
        <f>"H24.08.10"</f>
        <v>H24.08.10</v>
      </c>
      <c r="M2255" s="7">
        <v>38.880000000000003</v>
      </c>
      <c r="N2255" s="7">
        <v>14796959</v>
      </c>
      <c r="O2255" s="7">
        <v>3331972</v>
      </c>
      <c r="P2255" s="7">
        <v>0</v>
      </c>
      <c r="Q2255" s="7" t="str">
        <f t="shared" si="764"/>
        <v>都市整備部</v>
      </c>
      <c r="R2255" s="7" t="str">
        <f t="shared" si="760"/>
        <v>住宅建築局住宅経営室</v>
      </c>
    </row>
    <row r="2256" spans="1:18" s="1" customFormat="1" x14ac:dyDescent="0.45">
      <c r="A2256" s="7" t="str">
        <f>"09940003203"</f>
        <v>09940003203</v>
      </c>
      <c r="B2256" s="7" t="str">
        <f>"守口寺方（旧　寺方）"</f>
        <v>守口寺方（旧　寺方）</v>
      </c>
      <c r="C2256" s="7" t="str">
        <f t="shared" si="762"/>
        <v>行政財産</v>
      </c>
      <c r="D2256" s="7" t="str">
        <f t="shared" si="763"/>
        <v>公営住宅</v>
      </c>
      <c r="E2256" s="7" t="str">
        <f>"大阪府守口市寺方本通２丁目"</f>
        <v>大阪府守口市寺方本通２丁目</v>
      </c>
      <c r="F2256" s="7"/>
      <c r="G2256" s="7" t="str">
        <f t="shared" si="759"/>
        <v>事業用資産</v>
      </c>
      <c r="H2256" s="7" t="str">
        <f t="shared" si="779"/>
        <v>棚卸以外</v>
      </c>
      <c r="I2256" s="7">
        <v>5</v>
      </c>
      <c r="J2256" s="7" t="str">
        <f>"ゴミ置場"</f>
        <v>ゴミ置場</v>
      </c>
      <c r="K2256" s="7" t="str">
        <f t="shared" si="781"/>
        <v>鉄筋コンクリート造</v>
      </c>
      <c r="L2256" s="7" t="str">
        <f>"H24.08.10"</f>
        <v>H24.08.10</v>
      </c>
      <c r="M2256" s="7">
        <v>10.99</v>
      </c>
      <c r="N2256" s="7">
        <v>1978019</v>
      </c>
      <c r="O2256" s="7">
        <v>445516</v>
      </c>
      <c r="P2256" s="7">
        <v>0</v>
      </c>
      <c r="Q2256" s="7" t="str">
        <f t="shared" si="764"/>
        <v>都市整備部</v>
      </c>
      <c r="R2256" s="7" t="str">
        <f t="shared" si="760"/>
        <v>住宅建築局住宅経営室</v>
      </c>
    </row>
    <row r="2257" spans="1:18" s="1" customFormat="1" x14ac:dyDescent="0.45">
      <c r="A2257" s="7" t="str">
        <f t="shared" ref="A2257:A2269" si="782">"09940003205"</f>
        <v>09940003205</v>
      </c>
      <c r="B2257" s="7" t="str">
        <f t="shared" ref="B2257:B2269" si="783">"枚方東牧野"</f>
        <v>枚方東牧野</v>
      </c>
      <c r="C2257" s="7" t="str">
        <f t="shared" si="762"/>
        <v>行政財産</v>
      </c>
      <c r="D2257" s="7" t="str">
        <f t="shared" si="763"/>
        <v>公営住宅</v>
      </c>
      <c r="E2257" s="7" t="str">
        <f t="shared" ref="E2257:E2269" si="784">"大阪府枚方市東牧野町"</f>
        <v>大阪府枚方市東牧野町</v>
      </c>
      <c r="F2257" s="7"/>
      <c r="G2257" s="7" t="str">
        <f t="shared" si="759"/>
        <v>事業用資産</v>
      </c>
      <c r="H2257" s="7" t="str">
        <f t="shared" si="779"/>
        <v>棚卸以外</v>
      </c>
      <c r="I2257" s="7">
        <v>1</v>
      </c>
      <c r="J2257" s="7" t="str">
        <f>"１号棟"</f>
        <v>１号棟</v>
      </c>
      <c r="K2257" s="7" t="str">
        <f t="shared" si="781"/>
        <v>鉄筋コンクリート造</v>
      </c>
      <c r="L2257" s="7" t="str">
        <f>"H13.10.29"</f>
        <v>H13.10.29</v>
      </c>
      <c r="M2257" s="7">
        <v>6398</v>
      </c>
      <c r="N2257" s="7">
        <v>903476303</v>
      </c>
      <c r="O2257" s="7">
        <v>410865495</v>
      </c>
      <c r="P2257" s="7">
        <v>0</v>
      </c>
      <c r="Q2257" s="7" t="str">
        <f t="shared" si="764"/>
        <v>都市整備部</v>
      </c>
      <c r="R2257" s="7" t="str">
        <f t="shared" si="760"/>
        <v>住宅建築局住宅経営室</v>
      </c>
    </row>
    <row r="2258" spans="1:18" s="1" customFormat="1" x14ac:dyDescent="0.45">
      <c r="A2258" s="7" t="str">
        <f t="shared" si="782"/>
        <v>09940003205</v>
      </c>
      <c r="B2258" s="7" t="str">
        <f t="shared" si="783"/>
        <v>枚方東牧野</v>
      </c>
      <c r="C2258" s="7" t="str">
        <f t="shared" si="762"/>
        <v>行政財産</v>
      </c>
      <c r="D2258" s="7" t="str">
        <f t="shared" si="763"/>
        <v>公営住宅</v>
      </c>
      <c r="E2258" s="7" t="str">
        <f t="shared" si="784"/>
        <v>大阪府枚方市東牧野町</v>
      </c>
      <c r="F2258" s="7"/>
      <c r="G2258" s="7" t="str">
        <f t="shared" si="759"/>
        <v>事業用資産</v>
      </c>
      <c r="H2258" s="7" t="str">
        <f t="shared" si="779"/>
        <v>棚卸以外</v>
      </c>
      <c r="I2258" s="7">
        <v>2</v>
      </c>
      <c r="J2258" s="7" t="str">
        <f>"２号棟"</f>
        <v>２号棟</v>
      </c>
      <c r="K2258" s="7" t="str">
        <f t="shared" si="781"/>
        <v>鉄筋コンクリート造</v>
      </c>
      <c r="L2258" s="7" t="str">
        <f>"H13.10.29"</f>
        <v>H13.10.29</v>
      </c>
      <c r="M2258" s="7">
        <v>2986</v>
      </c>
      <c r="N2258" s="7">
        <v>499471309</v>
      </c>
      <c r="O2258" s="7">
        <v>227178369</v>
      </c>
      <c r="P2258" s="7">
        <v>0</v>
      </c>
      <c r="Q2258" s="7" t="str">
        <f t="shared" si="764"/>
        <v>都市整備部</v>
      </c>
      <c r="R2258" s="7" t="str">
        <f t="shared" si="760"/>
        <v>住宅建築局住宅経営室</v>
      </c>
    </row>
    <row r="2259" spans="1:18" s="1" customFormat="1" x14ac:dyDescent="0.45">
      <c r="A2259" s="7" t="str">
        <f t="shared" si="782"/>
        <v>09940003205</v>
      </c>
      <c r="B2259" s="7" t="str">
        <f t="shared" si="783"/>
        <v>枚方東牧野</v>
      </c>
      <c r="C2259" s="7" t="str">
        <f t="shared" si="762"/>
        <v>行政財産</v>
      </c>
      <c r="D2259" s="7" t="str">
        <f t="shared" si="763"/>
        <v>公営住宅</v>
      </c>
      <c r="E2259" s="7" t="str">
        <f t="shared" si="784"/>
        <v>大阪府枚方市東牧野町</v>
      </c>
      <c r="F2259" s="7"/>
      <c r="G2259" s="7" t="str">
        <f t="shared" si="759"/>
        <v>事業用資産</v>
      </c>
      <c r="H2259" s="7" t="str">
        <f t="shared" si="779"/>
        <v>棚卸以外</v>
      </c>
      <c r="I2259" s="7">
        <v>3</v>
      </c>
      <c r="J2259" s="7" t="str">
        <f>"３号棟"</f>
        <v>３号棟</v>
      </c>
      <c r="K2259" s="7" t="str">
        <f t="shared" si="781"/>
        <v>鉄筋コンクリート造</v>
      </c>
      <c r="L2259" s="7" t="str">
        <f>"H13.10.29"</f>
        <v>H13.10.29</v>
      </c>
      <c r="M2259" s="7">
        <v>4633</v>
      </c>
      <c r="N2259" s="7">
        <v>757532309</v>
      </c>
      <c r="O2259" s="7">
        <v>344770004</v>
      </c>
      <c r="P2259" s="7">
        <v>0</v>
      </c>
      <c r="Q2259" s="7" t="str">
        <f t="shared" si="764"/>
        <v>都市整備部</v>
      </c>
      <c r="R2259" s="7" t="str">
        <f t="shared" si="760"/>
        <v>住宅建築局住宅経営室</v>
      </c>
    </row>
    <row r="2260" spans="1:18" s="1" customFormat="1" x14ac:dyDescent="0.45">
      <c r="A2260" s="7" t="str">
        <f t="shared" si="782"/>
        <v>09940003205</v>
      </c>
      <c r="B2260" s="7" t="str">
        <f t="shared" si="783"/>
        <v>枚方東牧野</v>
      </c>
      <c r="C2260" s="7" t="str">
        <f t="shared" si="762"/>
        <v>行政財産</v>
      </c>
      <c r="D2260" s="7" t="str">
        <f t="shared" si="763"/>
        <v>公営住宅</v>
      </c>
      <c r="E2260" s="7" t="str">
        <f t="shared" si="784"/>
        <v>大阪府枚方市東牧野町</v>
      </c>
      <c r="F2260" s="7"/>
      <c r="G2260" s="7" t="str">
        <f t="shared" si="759"/>
        <v>事業用資産</v>
      </c>
      <c r="H2260" s="7" t="str">
        <f t="shared" si="779"/>
        <v>棚卸以外</v>
      </c>
      <c r="I2260" s="7">
        <v>4</v>
      </c>
      <c r="J2260" s="7" t="str">
        <f>"受水槽ポンプ室・電気室"</f>
        <v>受水槽ポンプ室・電気室</v>
      </c>
      <c r="K2260" s="7" t="str">
        <f t="shared" si="781"/>
        <v>鉄筋コンクリート造</v>
      </c>
      <c r="L2260" s="7" t="str">
        <f>"H13.10.29"</f>
        <v>H13.10.29</v>
      </c>
      <c r="M2260" s="7">
        <v>217</v>
      </c>
      <c r="N2260" s="7">
        <v>48421000</v>
      </c>
      <c r="O2260" s="7">
        <v>22064221</v>
      </c>
      <c r="P2260" s="7">
        <v>0</v>
      </c>
      <c r="Q2260" s="7" t="str">
        <f t="shared" si="764"/>
        <v>都市整備部</v>
      </c>
      <c r="R2260" s="7" t="str">
        <f t="shared" si="760"/>
        <v>住宅建築局住宅経営室</v>
      </c>
    </row>
    <row r="2261" spans="1:18" s="1" customFormat="1" x14ac:dyDescent="0.45">
      <c r="A2261" s="7" t="str">
        <f t="shared" si="782"/>
        <v>09940003205</v>
      </c>
      <c r="B2261" s="7" t="str">
        <f t="shared" si="783"/>
        <v>枚方東牧野</v>
      </c>
      <c r="C2261" s="7" t="str">
        <f t="shared" si="762"/>
        <v>行政財産</v>
      </c>
      <c r="D2261" s="7" t="str">
        <f t="shared" si="763"/>
        <v>公営住宅</v>
      </c>
      <c r="E2261" s="7" t="str">
        <f t="shared" si="784"/>
        <v>大阪府枚方市東牧野町</v>
      </c>
      <c r="F2261" s="7"/>
      <c r="G2261" s="7" t="str">
        <f t="shared" si="759"/>
        <v>事業用資産</v>
      </c>
      <c r="H2261" s="7" t="str">
        <f t="shared" si="779"/>
        <v>棚卸以外</v>
      </c>
      <c r="I2261" s="7">
        <v>5</v>
      </c>
      <c r="J2261" s="7" t="str">
        <f>"集会所"</f>
        <v>集会所</v>
      </c>
      <c r="K2261" s="7" t="str">
        <f t="shared" si="781"/>
        <v>鉄筋コンクリート造</v>
      </c>
      <c r="L2261" s="7" t="str">
        <f>"H13.10.29"</f>
        <v>H13.10.29</v>
      </c>
      <c r="M2261" s="7">
        <v>200</v>
      </c>
      <c r="N2261" s="7">
        <v>50545000</v>
      </c>
      <c r="O2261" s="7">
        <v>23032083</v>
      </c>
      <c r="P2261" s="7">
        <v>0</v>
      </c>
      <c r="Q2261" s="7" t="str">
        <f t="shared" si="764"/>
        <v>都市整備部</v>
      </c>
      <c r="R2261" s="7" t="str">
        <f t="shared" si="760"/>
        <v>住宅建築局住宅経営室</v>
      </c>
    </row>
    <row r="2262" spans="1:18" s="1" customFormat="1" x14ac:dyDescent="0.45">
      <c r="A2262" s="7" t="str">
        <f t="shared" si="782"/>
        <v>09940003205</v>
      </c>
      <c r="B2262" s="7" t="str">
        <f t="shared" si="783"/>
        <v>枚方東牧野</v>
      </c>
      <c r="C2262" s="7" t="str">
        <f t="shared" si="762"/>
        <v>行政財産</v>
      </c>
      <c r="D2262" s="7" t="str">
        <f t="shared" si="763"/>
        <v>公営住宅</v>
      </c>
      <c r="E2262" s="7" t="str">
        <f t="shared" si="784"/>
        <v>大阪府枚方市東牧野町</v>
      </c>
      <c r="F2262" s="7"/>
      <c r="G2262" s="7" t="str">
        <f t="shared" si="759"/>
        <v>事業用資産</v>
      </c>
      <c r="H2262" s="7" t="str">
        <f t="shared" si="779"/>
        <v>棚卸以外</v>
      </c>
      <c r="I2262" s="7">
        <v>6</v>
      </c>
      <c r="J2262" s="7" t="str">
        <f>"４号棟"</f>
        <v>４号棟</v>
      </c>
      <c r="K2262" s="7" t="str">
        <f t="shared" si="781"/>
        <v>鉄筋コンクリート造</v>
      </c>
      <c r="L2262" s="7" t="str">
        <f>"H17.01.31"</f>
        <v>H17.01.31</v>
      </c>
      <c r="M2262" s="7">
        <v>4836.62</v>
      </c>
      <c r="N2262" s="7">
        <v>722280308</v>
      </c>
      <c r="O2262" s="7">
        <v>278829064</v>
      </c>
      <c r="P2262" s="7">
        <v>0</v>
      </c>
      <c r="Q2262" s="7" t="str">
        <f t="shared" si="764"/>
        <v>都市整備部</v>
      </c>
      <c r="R2262" s="7" t="str">
        <f t="shared" si="760"/>
        <v>住宅建築局住宅経営室</v>
      </c>
    </row>
    <row r="2263" spans="1:18" s="1" customFormat="1" x14ac:dyDescent="0.45">
      <c r="A2263" s="7" t="str">
        <f t="shared" si="782"/>
        <v>09940003205</v>
      </c>
      <c r="B2263" s="7" t="str">
        <f t="shared" si="783"/>
        <v>枚方東牧野</v>
      </c>
      <c r="C2263" s="7" t="str">
        <f t="shared" si="762"/>
        <v>行政財産</v>
      </c>
      <c r="D2263" s="7" t="str">
        <f t="shared" si="763"/>
        <v>公営住宅</v>
      </c>
      <c r="E2263" s="7" t="str">
        <f t="shared" si="784"/>
        <v>大阪府枚方市東牧野町</v>
      </c>
      <c r="F2263" s="7"/>
      <c r="G2263" s="7" t="str">
        <f t="shared" ref="G2263:G2326" si="785">"事業用資産"</f>
        <v>事業用資産</v>
      </c>
      <c r="H2263" s="7" t="str">
        <f t="shared" si="779"/>
        <v>棚卸以外</v>
      </c>
      <c r="I2263" s="7">
        <v>7</v>
      </c>
      <c r="J2263" s="7" t="str">
        <f>"５号棟"</f>
        <v>５号棟</v>
      </c>
      <c r="K2263" s="7" t="str">
        <f t="shared" si="781"/>
        <v>鉄筋コンクリート造</v>
      </c>
      <c r="L2263" s="7" t="str">
        <f>"H17.01.31"</f>
        <v>H17.01.31</v>
      </c>
      <c r="M2263" s="7">
        <v>3610.65</v>
      </c>
      <c r="N2263" s="7">
        <v>515329308</v>
      </c>
      <c r="O2263" s="7">
        <v>198837452</v>
      </c>
      <c r="P2263" s="7">
        <v>0</v>
      </c>
      <c r="Q2263" s="7" t="str">
        <f t="shared" si="764"/>
        <v>都市整備部</v>
      </c>
      <c r="R2263" s="7" t="str">
        <f t="shared" si="760"/>
        <v>住宅建築局住宅経営室</v>
      </c>
    </row>
    <row r="2264" spans="1:18" s="1" customFormat="1" x14ac:dyDescent="0.45">
      <c r="A2264" s="7" t="str">
        <f t="shared" si="782"/>
        <v>09940003205</v>
      </c>
      <c r="B2264" s="7" t="str">
        <f t="shared" si="783"/>
        <v>枚方東牧野</v>
      </c>
      <c r="C2264" s="7" t="str">
        <f t="shared" si="762"/>
        <v>行政財産</v>
      </c>
      <c r="D2264" s="7" t="str">
        <f t="shared" si="763"/>
        <v>公営住宅</v>
      </c>
      <c r="E2264" s="7" t="str">
        <f t="shared" si="784"/>
        <v>大阪府枚方市東牧野町</v>
      </c>
      <c r="F2264" s="7"/>
      <c r="G2264" s="7" t="str">
        <f t="shared" si="785"/>
        <v>事業用資産</v>
      </c>
      <c r="H2264" s="7" t="str">
        <f t="shared" si="779"/>
        <v>棚卸以外</v>
      </c>
      <c r="I2264" s="7">
        <v>8</v>
      </c>
      <c r="J2264" s="7" t="str">
        <f>"６号棟"</f>
        <v>６号棟</v>
      </c>
      <c r="K2264" s="7" t="str">
        <f t="shared" si="781"/>
        <v>鉄筋コンクリート造</v>
      </c>
      <c r="L2264" s="7" t="str">
        <f>"H17.01.31"</f>
        <v>H17.01.31</v>
      </c>
      <c r="M2264" s="7">
        <v>3969.58</v>
      </c>
      <c r="N2264" s="7">
        <v>579446308</v>
      </c>
      <c r="O2264" s="7">
        <v>223620346</v>
      </c>
      <c r="P2264" s="7">
        <v>0</v>
      </c>
      <c r="Q2264" s="7" t="str">
        <f t="shared" si="764"/>
        <v>都市整備部</v>
      </c>
      <c r="R2264" s="7" t="str">
        <f t="shared" ref="R2264:R2327" si="786">"住宅建築局住宅経営室"</f>
        <v>住宅建築局住宅経営室</v>
      </c>
    </row>
    <row r="2265" spans="1:18" s="1" customFormat="1" x14ac:dyDescent="0.45">
      <c r="A2265" s="7" t="str">
        <f t="shared" si="782"/>
        <v>09940003205</v>
      </c>
      <c r="B2265" s="7" t="str">
        <f t="shared" si="783"/>
        <v>枚方東牧野</v>
      </c>
      <c r="C2265" s="7" t="str">
        <f t="shared" si="762"/>
        <v>行政財産</v>
      </c>
      <c r="D2265" s="7" t="str">
        <f t="shared" si="763"/>
        <v>公営住宅</v>
      </c>
      <c r="E2265" s="7" t="str">
        <f t="shared" si="784"/>
        <v>大阪府枚方市東牧野町</v>
      </c>
      <c r="F2265" s="7"/>
      <c r="G2265" s="7" t="str">
        <f t="shared" si="785"/>
        <v>事業用資産</v>
      </c>
      <c r="H2265" s="7" t="str">
        <f t="shared" si="779"/>
        <v>棚卸以外</v>
      </c>
      <c r="I2265" s="7">
        <v>9</v>
      </c>
      <c r="J2265" s="7" t="str">
        <f>"８号棟"</f>
        <v>８号棟</v>
      </c>
      <c r="K2265" s="7" t="str">
        <f t="shared" si="781"/>
        <v>鉄筋コンクリート造</v>
      </c>
      <c r="L2265" s="7" t="str">
        <f>"H20.06.10"</f>
        <v>H20.06.10</v>
      </c>
      <c r="M2265" s="7">
        <v>3649.86</v>
      </c>
      <c r="N2265" s="7">
        <v>488918331</v>
      </c>
      <c r="O2265" s="7">
        <v>154423170</v>
      </c>
      <c r="P2265" s="7">
        <v>0</v>
      </c>
      <c r="Q2265" s="7" t="str">
        <f t="shared" si="764"/>
        <v>都市整備部</v>
      </c>
      <c r="R2265" s="7" t="str">
        <f t="shared" si="786"/>
        <v>住宅建築局住宅経営室</v>
      </c>
    </row>
    <row r="2266" spans="1:18" s="1" customFormat="1" x14ac:dyDescent="0.45">
      <c r="A2266" s="7" t="str">
        <f t="shared" si="782"/>
        <v>09940003205</v>
      </c>
      <c r="B2266" s="7" t="str">
        <f t="shared" si="783"/>
        <v>枚方東牧野</v>
      </c>
      <c r="C2266" s="7" t="str">
        <f t="shared" ref="C2266:C2329" si="787">"行政財産"</f>
        <v>行政財産</v>
      </c>
      <c r="D2266" s="7" t="str">
        <f t="shared" ref="D2266:D2329" si="788">"公営住宅"</f>
        <v>公営住宅</v>
      </c>
      <c r="E2266" s="7" t="str">
        <f t="shared" si="784"/>
        <v>大阪府枚方市東牧野町</v>
      </c>
      <c r="F2266" s="7"/>
      <c r="G2266" s="7" t="str">
        <f t="shared" si="785"/>
        <v>事業用資産</v>
      </c>
      <c r="H2266" s="7" t="str">
        <f t="shared" si="779"/>
        <v>棚卸以外</v>
      </c>
      <c r="I2266" s="7">
        <v>10</v>
      </c>
      <c r="J2266" s="7" t="str">
        <f>"ポンプ室・電気室"</f>
        <v>ポンプ室・電気室</v>
      </c>
      <c r="K2266" s="7" t="str">
        <f t="shared" si="781"/>
        <v>鉄筋コンクリート造</v>
      </c>
      <c r="L2266" s="7" t="str">
        <f>"H20.06.10"</f>
        <v>H20.06.10</v>
      </c>
      <c r="M2266" s="7">
        <v>77.91</v>
      </c>
      <c r="N2266" s="7">
        <v>25551000</v>
      </c>
      <c r="O2266" s="7">
        <v>8018808</v>
      </c>
      <c r="P2266" s="7">
        <v>0</v>
      </c>
      <c r="Q2266" s="7" t="str">
        <f t="shared" si="764"/>
        <v>都市整備部</v>
      </c>
      <c r="R2266" s="7" t="str">
        <f t="shared" si="786"/>
        <v>住宅建築局住宅経営室</v>
      </c>
    </row>
    <row r="2267" spans="1:18" s="1" customFormat="1" x14ac:dyDescent="0.45">
      <c r="A2267" s="7" t="str">
        <f t="shared" si="782"/>
        <v>09940003205</v>
      </c>
      <c r="B2267" s="7" t="str">
        <f t="shared" si="783"/>
        <v>枚方東牧野</v>
      </c>
      <c r="C2267" s="7" t="str">
        <f t="shared" si="787"/>
        <v>行政財産</v>
      </c>
      <c r="D2267" s="7" t="str">
        <f t="shared" si="788"/>
        <v>公営住宅</v>
      </c>
      <c r="E2267" s="7" t="str">
        <f t="shared" si="784"/>
        <v>大阪府枚方市東牧野町</v>
      </c>
      <c r="F2267" s="7"/>
      <c r="G2267" s="7" t="str">
        <f t="shared" si="785"/>
        <v>事業用資産</v>
      </c>
      <c r="H2267" s="7" t="str">
        <f t="shared" si="779"/>
        <v>棚卸以外</v>
      </c>
      <c r="I2267" s="7">
        <v>11</v>
      </c>
      <c r="J2267" s="7" t="str">
        <f>"7号棟"</f>
        <v>7号棟</v>
      </c>
      <c r="K2267" s="7" t="str">
        <f t="shared" si="781"/>
        <v>鉄筋コンクリート造</v>
      </c>
      <c r="L2267" s="7" t="str">
        <f>"H21.06.29"</f>
        <v>H21.06.29</v>
      </c>
      <c r="M2267" s="7">
        <v>2384.04</v>
      </c>
      <c r="N2267" s="7">
        <v>327094751</v>
      </c>
      <c r="O2267" s="7">
        <v>96371580</v>
      </c>
      <c r="P2267" s="7">
        <v>0</v>
      </c>
      <c r="Q2267" s="7" t="str">
        <f t="shared" ref="Q2267:Q2330" si="789">"都市整備部"</f>
        <v>都市整備部</v>
      </c>
      <c r="R2267" s="7" t="str">
        <f t="shared" si="786"/>
        <v>住宅建築局住宅経営室</v>
      </c>
    </row>
    <row r="2268" spans="1:18" s="1" customFormat="1" x14ac:dyDescent="0.45">
      <c r="A2268" s="7" t="str">
        <f t="shared" si="782"/>
        <v>09940003205</v>
      </c>
      <c r="B2268" s="7" t="str">
        <f t="shared" si="783"/>
        <v>枚方東牧野</v>
      </c>
      <c r="C2268" s="7" t="str">
        <f t="shared" si="787"/>
        <v>行政財産</v>
      </c>
      <c r="D2268" s="7" t="str">
        <f t="shared" si="788"/>
        <v>公営住宅</v>
      </c>
      <c r="E2268" s="7" t="str">
        <f t="shared" si="784"/>
        <v>大阪府枚方市東牧野町</v>
      </c>
      <c r="F2268" s="7"/>
      <c r="G2268" s="7" t="str">
        <f t="shared" si="785"/>
        <v>事業用資産</v>
      </c>
      <c r="H2268" s="7" t="str">
        <f t="shared" si="779"/>
        <v>棚卸以外</v>
      </c>
      <c r="I2268" s="7">
        <v>12</v>
      </c>
      <c r="J2268" s="7" t="str">
        <f>"９号棟"</f>
        <v>９号棟</v>
      </c>
      <c r="K2268" s="7" t="str">
        <f t="shared" si="781"/>
        <v>鉄筋コンクリート造</v>
      </c>
      <c r="L2268" s="7" t="str">
        <f>"H24.06.01"</f>
        <v>H24.06.01</v>
      </c>
      <c r="M2268" s="7">
        <v>3263</v>
      </c>
      <c r="N2268" s="7">
        <v>486223929</v>
      </c>
      <c r="O2268" s="7">
        <v>110975269</v>
      </c>
      <c r="P2268" s="7">
        <v>0</v>
      </c>
      <c r="Q2268" s="7" t="str">
        <f t="shared" si="789"/>
        <v>都市整備部</v>
      </c>
      <c r="R2268" s="7" t="str">
        <f t="shared" si="786"/>
        <v>住宅建築局住宅経営室</v>
      </c>
    </row>
    <row r="2269" spans="1:18" s="1" customFormat="1" x14ac:dyDescent="0.45">
      <c r="A2269" s="7" t="str">
        <f t="shared" si="782"/>
        <v>09940003205</v>
      </c>
      <c r="B2269" s="7" t="str">
        <f t="shared" si="783"/>
        <v>枚方東牧野</v>
      </c>
      <c r="C2269" s="7" t="str">
        <f t="shared" si="787"/>
        <v>行政財産</v>
      </c>
      <c r="D2269" s="7" t="str">
        <f t="shared" si="788"/>
        <v>公営住宅</v>
      </c>
      <c r="E2269" s="7" t="str">
        <f t="shared" si="784"/>
        <v>大阪府枚方市東牧野町</v>
      </c>
      <c r="F2269" s="7"/>
      <c r="G2269" s="7" t="str">
        <f t="shared" si="785"/>
        <v>事業用資産</v>
      </c>
      <c r="H2269" s="7" t="str">
        <f t="shared" si="779"/>
        <v>棚卸以外</v>
      </c>
      <c r="I2269" s="7">
        <v>13</v>
      </c>
      <c r="J2269" s="7" t="str">
        <f>"受水槽ポンプ室・電気室"</f>
        <v>受水槽ポンプ室・電気室</v>
      </c>
      <c r="K2269" s="7" t="str">
        <f t="shared" si="781"/>
        <v>鉄筋コンクリート造</v>
      </c>
      <c r="L2269" s="7" t="str">
        <f>"H24.06.01"</f>
        <v>H24.06.01</v>
      </c>
      <c r="M2269" s="7">
        <v>52.01</v>
      </c>
      <c r="N2269" s="7">
        <v>19483623</v>
      </c>
      <c r="O2269" s="7">
        <v>4456434</v>
      </c>
      <c r="P2269" s="7">
        <v>0</v>
      </c>
      <c r="Q2269" s="7" t="str">
        <f t="shared" si="789"/>
        <v>都市整備部</v>
      </c>
      <c r="R2269" s="7" t="str">
        <f t="shared" si="786"/>
        <v>住宅建築局住宅経営室</v>
      </c>
    </row>
    <row r="2270" spans="1:18" s="1" customFormat="1" x14ac:dyDescent="0.45">
      <c r="A2270" s="7" t="str">
        <f t="shared" ref="A2270:A2292" si="790">"09940003206"</f>
        <v>09940003206</v>
      </c>
      <c r="B2270" s="7" t="str">
        <f t="shared" ref="B2270:B2292" si="791">"岸和田吉井"</f>
        <v>岸和田吉井</v>
      </c>
      <c r="C2270" s="7" t="str">
        <f t="shared" si="787"/>
        <v>行政財産</v>
      </c>
      <c r="D2270" s="7" t="str">
        <f t="shared" si="788"/>
        <v>公営住宅</v>
      </c>
      <c r="E2270" s="7" t="str">
        <f t="shared" ref="E2270:E2292" si="792">"大阪府岸和田市吉井町４丁目"</f>
        <v>大阪府岸和田市吉井町４丁目</v>
      </c>
      <c r="F2270" s="7"/>
      <c r="G2270" s="7" t="str">
        <f t="shared" si="785"/>
        <v>事業用資産</v>
      </c>
      <c r="H2270" s="7" t="str">
        <f t="shared" si="779"/>
        <v>棚卸以外</v>
      </c>
      <c r="I2270" s="7">
        <v>1</v>
      </c>
      <c r="J2270" s="7" t="str">
        <f>"１号棟"</f>
        <v>１号棟</v>
      </c>
      <c r="K2270" s="7" t="str">
        <f t="shared" si="781"/>
        <v>鉄筋コンクリート造</v>
      </c>
      <c r="L2270" s="7" t="str">
        <f t="shared" ref="L2270:L2275" si="793">"H08.03.26"</f>
        <v>H08.03.26</v>
      </c>
      <c r="M2270" s="7">
        <v>5486.27</v>
      </c>
      <c r="N2270" s="7">
        <v>1081818293</v>
      </c>
      <c r="O2270" s="7">
        <v>621438480</v>
      </c>
      <c r="P2270" s="7">
        <v>0</v>
      </c>
      <c r="Q2270" s="7" t="str">
        <f t="shared" si="789"/>
        <v>都市整備部</v>
      </c>
      <c r="R2270" s="7" t="str">
        <f t="shared" si="786"/>
        <v>住宅建築局住宅経営室</v>
      </c>
    </row>
    <row r="2271" spans="1:18" s="1" customFormat="1" x14ac:dyDescent="0.45">
      <c r="A2271" s="7" t="str">
        <f t="shared" si="790"/>
        <v>09940003206</v>
      </c>
      <c r="B2271" s="7" t="str">
        <f t="shared" si="791"/>
        <v>岸和田吉井</v>
      </c>
      <c r="C2271" s="7" t="str">
        <f t="shared" si="787"/>
        <v>行政財産</v>
      </c>
      <c r="D2271" s="7" t="str">
        <f t="shared" si="788"/>
        <v>公営住宅</v>
      </c>
      <c r="E2271" s="7" t="str">
        <f t="shared" si="792"/>
        <v>大阪府岸和田市吉井町４丁目</v>
      </c>
      <c r="F2271" s="7"/>
      <c r="G2271" s="7" t="str">
        <f t="shared" si="785"/>
        <v>事業用資産</v>
      </c>
      <c r="H2271" s="7" t="str">
        <f t="shared" si="779"/>
        <v>棚卸以外</v>
      </c>
      <c r="I2271" s="7">
        <v>2</v>
      </c>
      <c r="J2271" s="7" t="str">
        <f>"８号棟"</f>
        <v>８号棟</v>
      </c>
      <c r="K2271" s="7" t="str">
        <f t="shared" si="781"/>
        <v>鉄筋コンクリート造</v>
      </c>
      <c r="L2271" s="7" t="str">
        <f t="shared" si="793"/>
        <v>H08.03.26</v>
      </c>
      <c r="M2271" s="7">
        <v>4603.07</v>
      </c>
      <c r="N2271" s="7">
        <v>913369136</v>
      </c>
      <c r="O2271" s="7">
        <v>524517120</v>
      </c>
      <c r="P2271" s="7">
        <v>0</v>
      </c>
      <c r="Q2271" s="7" t="str">
        <f t="shared" si="789"/>
        <v>都市整備部</v>
      </c>
      <c r="R2271" s="7" t="str">
        <f t="shared" si="786"/>
        <v>住宅建築局住宅経営室</v>
      </c>
    </row>
    <row r="2272" spans="1:18" s="1" customFormat="1" x14ac:dyDescent="0.45">
      <c r="A2272" s="7" t="str">
        <f t="shared" si="790"/>
        <v>09940003206</v>
      </c>
      <c r="B2272" s="7" t="str">
        <f t="shared" si="791"/>
        <v>岸和田吉井</v>
      </c>
      <c r="C2272" s="7" t="str">
        <f t="shared" si="787"/>
        <v>行政財産</v>
      </c>
      <c r="D2272" s="7" t="str">
        <f t="shared" si="788"/>
        <v>公営住宅</v>
      </c>
      <c r="E2272" s="7" t="str">
        <f t="shared" si="792"/>
        <v>大阪府岸和田市吉井町４丁目</v>
      </c>
      <c r="F2272" s="7"/>
      <c r="G2272" s="7" t="str">
        <f t="shared" si="785"/>
        <v>事業用資産</v>
      </c>
      <c r="H2272" s="7" t="str">
        <f t="shared" si="779"/>
        <v>棚卸以外</v>
      </c>
      <c r="I2272" s="7">
        <v>3</v>
      </c>
      <c r="J2272" s="7" t="str">
        <f>"７号棟"</f>
        <v>７号棟</v>
      </c>
      <c r="K2272" s="7" t="str">
        <f t="shared" si="781"/>
        <v>鉄筋コンクリート造</v>
      </c>
      <c r="L2272" s="7" t="str">
        <f t="shared" si="793"/>
        <v>H08.03.26</v>
      </c>
      <c r="M2272" s="7">
        <v>3960.63</v>
      </c>
      <c r="N2272" s="7">
        <v>693784450</v>
      </c>
      <c r="O2272" s="7">
        <v>398678112</v>
      </c>
      <c r="P2272" s="7">
        <v>0</v>
      </c>
      <c r="Q2272" s="7" t="str">
        <f t="shared" si="789"/>
        <v>都市整備部</v>
      </c>
      <c r="R2272" s="7" t="str">
        <f t="shared" si="786"/>
        <v>住宅建築局住宅経営室</v>
      </c>
    </row>
    <row r="2273" spans="1:18" s="1" customFormat="1" x14ac:dyDescent="0.45">
      <c r="A2273" s="7" t="str">
        <f t="shared" si="790"/>
        <v>09940003206</v>
      </c>
      <c r="B2273" s="7" t="str">
        <f t="shared" si="791"/>
        <v>岸和田吉井</v>
      </c>
      <c r="C2273" s="7" t="str">
        <f t="shared" si="787"/>
        <v>行政財産</v>
      </c>
      <c r="D2273" s="7" t="str">
        <f t="shared" si="788"/>
        <v>公営住宅</v>
      </c>
      <c r="E2273" s="7" t="str">
        <f t="shared" si="792"/>
        <v>大阪府岸和田市吉井町４丁目</v>
      </c>
      <c r="F2273" s="7"/>
      <c r="G2273" s="7" t="str">
        <f t="shared" si="785"/>
        <v>事業用資産</v>
      </c>
      <c r="H2273" s="7" t="str">
        <f t="shared" si="779"/>
        <v>棚卸以外</v>
      </c>
      <c r="I2273" s="7">
        <v>4</v>
      </c>
      <c r="J2273" s="7" t="str">
        <f>"２号棟"</f>
        <v>２号棟</v>
      </c>
      <c r="K2273" s="7" t="str">
        <f t="shared" si="781"/>
        <v>鉄筋コンクリート造</v>
      </c>
      <c r="L2273" s="7" t="str">
        <f t="shared" si="793"/>
        <v>H08.03.26</v>
      </c>
      <c r="M2273" s="7">
        <v>9049.91</v>
      </c>
      <c r="N2273" s="7">
        <v>1615332055</v>
      </c>
      <c r="O2273" s="7">
        <v>928351584</v>
      </c>
      <c r="P2273" s="7">
        <v>0</v>
      </c>
      <c r="Q2273" s="7" t="str">
        <f t="shared" si="789"/>
        <v>都市整備部</v>
      </c>
      <c r="R2273" s="7" t="str">
        <f t="shared" si="786"/>
        <v>住宅建築局住宅経営室</v>
      </c>
    </row>
    <row r="2274" spans="1:18" s="1" customFormat="1" x14ac:dyDescent="0.45">
      <c r="A2274" s="7" t="str">
        <f t="shared" si="790"/>
        <v>09940003206</v>
      </c>
      <c r="B2274" s="7" t="str">
        <f t="shared" si="791"/>
        <v>岸和田吉井</v>
      </c>
      <c r="C2274" s="7" t="str">
        <f t="shared" si="787"/>
        <v>行政財産</v>
      </c>
      <c r="D2274" s="7" t="str">
        <f t="shared" si="788"/>
        <v>公営住宅</v>
      </c>
      <c r="E2274" s="7" t="str">
        <f t="shared" si="792"/>
        <v>大阪府岸和田市吉井町４丁目</v>
      </c>
      <c r="F2274" s="7"/>
      <c r="G2274" s="7" t="str">
        <f t="shared" si="785"/>
        <v>事業用資産</v>
      </c>
      <c r="H2274" s="7" t="str">
        <f t="shared" si="779"/>
        <v>棚卸以外</v>
      </c>
      <c r="I2274" s="7">
        <v>5</v>
      </c>
      <c r="J2274" s="7" t="str">
        <f>"集会所"</f>
        <v>集会所</v>
      </c>
      <c r="K2274" s="7" t="str">
        <f t="shared" si="781"/>
        <v>鉄筋コンクリート造</v>
      </c>
      <c r="L2274" s="7" t="str">
        <f t="shared" si="793"/>
        <v>H08.03.26</v>
      </c>
      <c r="M2274" s="7">
        <v>298.85000000000002</v>
      </c>
      <c r="N2274" s="7">
        <v>42047000</v>
      </c>
      <c r="O2274" s="7">
        <v>24155172</v>
      </c>
      <c r="P2274" s="7">
        <v>0</v>
      </c>
      <c r="Q2274" s="7" t="str">
        <f t="shared" si="789"/>
        <v>都市整備部</v>
      </c>
      <c r="R2274" s="7" t="str">
        <f t="shared" si="786"/>
        <v>住宅建築局住宅経営室</v>
      </c>
    </row>
    <row r="2275" spans="1:18" s="1" customFormat="1" x14ac:dyDescent="0.45">
      <c r="A2275" s="7" t="str">
        <f t="shared" si="790"/>
        <v>09940003206</v>
      </c>
      <c r="B2275" s="7" t="str">
        <f t="shared" si="791"/>
        <v>岸和田吉井</v>
      </c>
      <c r="C2275" s="7" t="str">
        <f t="shared" si="787"/>
        <v>行政財産</v>
      </c>
      <c r="D2275" s="7" t="str">
        <f t="shared" si="788"/>
        <v>公営住宅</v>
      </c>
      <c r="E2275" s="7" t="str">
        <f t="shared" si="792"/>
        <v>大阪府岸和田市吉井町４丁目</v>
      </c>
      <c r="F2275" s="7"/>
      <c r="G2275" s="7" t="str">
        <f t="shared" si="785"/>
        <v>事業用資産</v>
      </c>
      <c r="H2275" s="7" t="str">
        <f t="shared" si="779"/>
        <v>棚卸以外</v>
      </c>
      <c r="I2275" s="7">
        <v>6</v>
      </c>
      <c r="J2275" s="7" t="str">
        <f>"受水槽"</f>
        <v>受水槽</v>
      </c>
      <c r="K2275" s="7" t="str">
        <f t="shared" si="781"/>
        <v>鉄筋コンクリート造</v>
      </c>
      <c r="L2275" s="7" t="str">
        <f t="shared" si="793"/>
        <v>H08.03.26</v>
      </c>
      <c r="M2275" s="7">
        <v>121.71</v>
      </c>
      <c r="N2275" s="7">
        <v>42929000</v>
      </c>
      <c r="O2275" s="7">
        <v>24661584</v>
      </c>
      <c r="P2275" s="7">
        <v>0</v>
      </c>
      <c r="Q2275" s="7" t="str">
        <f t="shared" si="789"/>
        <v>都市整備部</v>
      </c>
      <c r="R2275" s="7" t="str">
        <f t="shared" si="786"/>
        <v>住宅建築局住宅経営室</v>
      </c>
    </row>
    <row r="2276" spans="1:18" s="1" customFormat="1" x14ac:dyDescent="0.45">
      <c r="A2276" s="7" t="str">
        <f t="shared" si="790"/>
        <v>09940003206</v>
      </c>
      <c r="B2276" s="7" t="str">
        <f t="shared" si="791"/>
        <v>岸和田吉井</v>
      </c>
      <c r="C2276" s="7" t="str">
        <f t="shared" si="787"/>
        <v>行政財産</v>
      </c>
      <c r="D2276" s="7" t="str">
        <f t="shared" si="788"/>
        <v>公営住宅</v>
      </c>
      <c r="E2276" s="7" t="str">
        <f t="shared" si="792"/>
        <v>大阪府岸和田市吉井町４丁目</v>
      </c>
      <c r="F2276" s="7"/>
      <c r="G2276" s="7" t="str">
        <f t="shared" si="785"/>
        <v>事業用資産</v>
      </c>
      <c r="H2276" s="7" t="str">
        <f t="shared" si="779"/>
        <v>棚卸以外</v>
      </c>
      <c r="I2276" s="7">
        <v>7</v>
      </c>
      <c r="J2276" s="7" t="str">
        <f>"３号棟"</f>
        <v>３号棟</v>
      </c>
      <c r="K2276" s="7" t="str">
        <f t="shared" si="781"/>
        <v>鉄筋コンクリート造</v>
      </c>
      <c r="L2276" s="7" t="str">
        <f>"H10.05.29"</f>
        <v>H10.05.29</v>
      </c>
      <c r="M2276" s="7">
        <v>7734.04</v>
      </c>
      <c r="N2276" s="7">
        <v>1355537363</v>
      </c>
      <c r="O2276" s="7">
        <v>715776520</v>
      </c>
      <c r="P2276" s="7">
        <v>0</v>
      </c>
      <c r="Q2276" s="7" t="str">
        <f t="shared" si="789"/>
        <v>都市整備部</v>
      </c>
      <c r="R2276" s="7" t="str">
        <f t="shared" si="786"/>
        <v>住宅建築局住宅経営室</v>
      </c>
    </row>
    <row r="2277" spans="1:18" s="1" customFormat="1" x14ac:dyDescent="0.45">
      <c r="A2277" s="7" t="str">
        <f t="shared" si="790"/>
        <v>09940003206</v>
      </c>
      <c r="B2277" s="7" t="str">
        <f t="shared" si="791"/>
        <v>岸和田吉井</v>
      </c>
      <c r="C2277" s="7" t="str">
        <f t="shared" si="787"/>
        <v>行政財産</v>
      </c>
      <c r="D2277" s="7" t="str">
        <f t="shared" si="788"/>
        <v>公営住宅</v>
      </c>
      <c r="E2277" s="7" t="str">
        <f t="shared" si="792"/>
        <v>大阪府岸和田市吉井町４丁目</v>
      </c>
      <c r="F2277" s="7"/>
      <c r="G2277" s="7" t="str">
        <f t="shared" si="785"/>
        <v>事業用資産</v>
      </c>
      <c r="H2277" s="7" t="str">
        <f t="shared" si="779"/>
        <v>棚卸以外</v>
      </c>
      <c r="I2277" s="7">
        <v>8</v>
      </c>
      <c r="J2277" s="7" t="str">
        <f>"５号棟"</f>
        <v>５号棟</v>
      </c>
      <c r="K2277" s="7" t="str">
        <f t="shared" si="781"/>
        <v>鉄筋コンクリート造</v>
      </c>
      <c r="L2277" s="7" t="str">
        <f>"H10.05.29"</f>
        <v>H10.05.29</v>
      </c>
      <c r="M2277" s="7">
        <v>4361.5600000000004</v>
      </c>
      <c r="N2277" s="7">
        <v>859728678</v>
      </c>
      <c r="O2277" s="7">
        <v>454087522</v>
      </c>
      <c r="P2277" s="7">
        <v>0</v>
      </c>
      <c r="Q2277" s="7" t="str">
        <f t="shared" si="789"/>
        <v>都市整備部</v>
      </c>
      <c r="R2277" s="7" t="str">
        <f t="shared" si="786"/>
        <v>住宅建築局住宅経営室</v>
      </c>
    </row>
    <row r="2278" spans="1:18" s="1" customFormat="1" x14ac:dyDescent="0.45">
      <c r="A2278" s="7" t="str">
        <f t="shared" si="790"/>
        <v>09940003206</v>
      </c>
      <c r="B2278" s="7" t="str">
        <f t="shared" si="791"/>
        <v>岸和田吉井</v>
      </c>
      <c r="C2278" s="7" t="str">
        <f t="shared" si="787"/>
        <v>行政財産</v>
      </c>
      <c r="D2278" s="7" t="str">
        <f t="shared" si="788"/>
        <v>公営住宅</v>
      </c>
      <c r="E2278" s="7" t="str">
        <f t="shared" si="792"/>
        <v>大阪府岸和田市吉井町４丁目</v>
      </c>
      <c r="F2278" s="7"/>
      <c r="G2278" s="7" t="str">
        <f t="shared" si="785"/>
        <v>事業用資産</v>
      </c>
      <c r="H2278" s="7" t="str">
        <f t="shared" si="779"/>
        <v>棚卸以外</v>
      </c>
      <c r="I2278" s="7">
        <v>9</v>
      </c>
      <c r="J2278" s="7" t="str">
        <f>"６号棟"</f>
        <v>６号棟</v>
      </c>
      <c r="K2278" s="7" t="str">
        <f t="shared" si="781"/>
        <v>鉄筋コンクリート造</v>
      </c>
      <c r="L2278" s="7" t="str">
        <f>"H10.05.29"</f>
        <v>H10.05.29</v>
      </c>
      <c r="M2278" s="7">
        <v>7520.82</v>
      </c>
      <c r="N2278" s="7">
        <v>1298957050</v>
      </c>
      <c r="O2278" s="7">
        <v>685600146</v>
      </c>
      <c r="P2278" s="7">
        <v>0</v>
      </c>
      <c r="Q2278" s="7" t="str">
        <f t="shared" si="789"/>
        <v>都市整備部</v>
      </c>
      <c r="R2278" s="7" t="str">
        <f t="shared" si="786"/>
        <v>住宅建築局住宅経営室</v>
      </c>
    </row>
    <row r="2279" spans="1:18" s="1" customFormat="1" x14ac:dyDescent="0.45">
      <c r="A2279" s="7" t="str">
        <f t="shared" si="790"/>
        <v>09940003206</v>
      </c>
      <c r="B2279" s="7" t="str">
        <f t="shared" si="791"/>
        <v>岸和田吉井</v>
      </c>
      <c r="C2279" s="7" t="str">
        <f t="shared" si="787"/>
        <v>行政財産</v>
      </c>
      <c r="D2279" s="7" t="str">
        <f t="shared" si="788"/>
        <v>公営住宅</v>
      </c>
      <c r="E2279" s="7" t="str">
        <f t="shared" si="792"/>
        <v>大阪府岸和田市吉井町４丁目</v>
      </c>
      <c r="F2279" s="7"/>
      <c r="G2279" s="7" t="str">
        <f t="shared" si="785"/>
        <v>事業用資産</v>
      </c>
      <c r="H2279" s="7" t="str">
        <f t="shared" si="779"/>
        <v>棚卸以外</v>
      </c>
      <c r="I2279" s="7">
        <v>10</v>
      </c>
      <c r="J2279" s="7" t="str">
        <f>"受水槽ポンプ室"</f>
        <v>受水槽ポンプ室</v>
      </c>
      <c r="K2279" s="7" t="str">
        <f t="shared" si="781"/>
        <v>鉄筋コンクリート造</v>
      </c>
      <c r="L2279" s="7" t="str">
        <f>"H10.05.29"</f>
        <v>H10.05.29</v>
      </c>
      <c r="M2279" s="7">
        <v>115.3</v>
      </c>
      <c r="N2279" s="7">
        <v>39644000</v>
      </c>
      <c r="O2279" s="7">
        <v>20946718</v>
      </c>
      <c r="P2279" s="7">
        <v>0</v>
      </c>
      <c r="Q2279" s="7" t="str">
        <f t="shared" si="789"/>
        <v>都市整備部</v>
      </c>
      <c r="R2279" s="7" t="str">
        <f t="shared" si="786"/>
        <v>住宅建築局住宅経営室</v>
      </c>
    </row>
    <row r="2280" spans="1:18" s="1" customFormat="1" x14ac:dyDescent="0.45">
      <c r="A2280" s="7" t="str">
        <f t="shared" si="790"/>
        <v>09940003206</v>
      </c>
      <c r="B2280" s="7" t="str">
        <f t="shared" si="791"/>
        <v>岸和田吉井</v>
      </c>
      <c r="C2280" s="7" t="str">
        <f t="shared" si="787"/>
        <v>行政財産</v>
      </c>
      <c r="D2280" s="7" t="str">
        <f t="shared" si="788"/>
        <v>公営住宅</v>
      </c>
      <c r="E2280" s="7" t="str">
        <f t="shared" si="792"/>
        <v>大阪府岸和田市吉井町４丁目</v>
      </c>
      <c r="F2280" s="7"/>
      <c r="G2280" s="7" t="str">
        <f t="shared" si="785"/>
        <v>事業用資産</v>
      </c>
      <c r="H2280" s="7" t="str">
        <f t="shared" si="779"/>
        <v>棚卸以外</v>
      </c>
      <c r="I2280" s="7">
        <v>11</v>
      </c>
      <c r="J2280" s="7" t="str">
        <f>"４号棟"</f>
        <v>４号棟</v>
      </c>
      <c r="K2280" s="7" t="str">
        <f t="shared" si="781"/>
        <v>鉄筋コンクリート造</v>
      </c>
      <c r="L2280" s="7" t="str">
        <f>"H12.06.30"</f>
        <v>H12.06.30</v>
      </c>
      <c r="M2280" s="7">
        <v>4991.82</v>
      </c>
      <c r="N2280" s="7">
        <v>867011306</v>
      </c>
      <c r="O2280" s="7">
        <v>420192651</v>
      </c>
      <c r="P2280" s="7">
        <v>0</v>
      </c>
      <c r="Q2280" s="7" t="str">
        <f t="shared" si="789"/>
        <v>都市整備部</v>
      </c>
      <c r="R2280" s="7" t="str">
        <f t="shared" si="786"/>
        <v>住宅建築局住宅経営室</v>
      </c>
    </row>
    <row r="2281" spans="1:18" s="1" customFormat="1" x14ac:dyDescent="0.45">
      <c r="A2281" s="7" t="str">
        <f t="shared" si="790"/>
        <v>09940003206</v>
      </c>
      <c r="B2281" s="7" t="str">
        <f t="shared" si="791"/>
        <v>岸和田吉井</v>
      </c>
      <c r="C2281" s="7" t="str">
        <f t="shared" si="787"/>
        <v>行政財産</v>
      </c>
      <c r="D2281" s="7" t="str">
        <f t="shared" si="788"/>
        <v>公営住宅</v>
      </c>
      <c r="E2281" s="7" t="str">
        <f t="shared" si="792"/>
        <v>大阪府岸和田市吉井町４丁目</v>
      </c>
      <c r="F2281" s="7"/>
      <c r="G2281" s="7" t="str">
        <f t="shared" si="785"/>
        <v>事業用資産</v>
      </c>
      <c r="H2281" s="7" t="str">
        <f t="shared" si="779"/>
        <v>棚卸以外</v>
      </c>
      <c r="I2281" s="7">
        <v>12</v>
      </c>
      <c r="J2281" s="7" t="str">
        <f>"９号棟"</f>
        <v>９号棟</v>
      </c>
      <c r="K2281" s="7" t="str">
        <f t="shared" si="781"/>
        <v>鉄筋コンクリート造</v>
      </c>
      <c r="L2281" s="7" t="str">
        <f>"H12.06.30"</f>
        <v>H12.06.30</v>
      </c>
      <c r="M2281" s="7">
        <v>2199.9499999999998</v>
      </c>
      <c r="N2281" s="7">
        <v>395293306</v>
      </c>
      <c r="O2281" s="7">
        <v>191860911</v>
      </c>
      <c r="P2281" s="7">
        <v>0</v>
      </c>
      <c r="Q2281" s="7" t="str">
        <f t="shared" si="789"/>
        <v>都市整備部</v>
      </c>
      <c r="R2281" s="7" t="str">
        <f t="shared" si="786"/>
        <v>住宅建築局住宅経営室</v>
      </c>
    </row>
    <row r="2282" spans="1:18" s="1" customFormat="1" x14ac:dyDescent="0.45">
      <c r="A2282" s="7" t="str">
        <f t="shared" si="790"/>
        <v>09940003206</v>
      </c>
      <c r="B2282" s="7" t="str">
        <f t="shared" si="791"/>
        <v>岸和田吉井</v>
      </c>
      <c r="C2282" s="7" t="str">
        <f t="shared" si="787"/>
        <v>行政財産</v>
      </c>
      <c r="D2282" s="7" t="str">
        <f t="shared" si="788"/>
        <v>公営住宅</v>
      </c>
      <c r="E2282" s="7" t="str">
        <f t="shared" si="792"/>
        <v>大阪府岸和田市吉井町４丁目</v>
      </c>
      <c r="F2282" s="7"/>
      <c r="G2282" s="7" t="str">
        <f t="shared" si="785"/>
        <v>事業用資産</v>
      </c>
      <c r="H2282" s="7" t="str">
        <f t="shared" si="779"/>
        <v>棚卸以外</v>
      </c>
      <c r="I2282" s="7">
        <v>13</v>
      </c>
      <c r="J2282" s="7" t="str">
        <f>"１１号棟"</f>
        <v>１１号棟</v>
      </c>
      <c r="K2282" s="7" t="str">
        <f t="shared" si="781"/>
        <v>鉄筋コンクリート造</v>
      </c>
      <c r="L2282" s="7" t="str">
        <f>"H13.07.31"</f>
        <v>H13.07.31</v>
      </c>
      <c r="M2282" s="7">
        <v>5329.02</v>
      </c>
      <c r="N2282" s="7">
        <v>775732306</v>
      </c>
      <c r="O2282" s="7">
        <v>358195040</v>
      </c>
      <c r="P2282" s="7">
        <v>0</v>
      </c>
      <c r="Q2282" s="7" t="str">
        <f t="shared" si="789"/>
        <v>都市整備部</v>
      </c>
      <c r="R2282" s="7" t="str">
        <f t="shared" si="786"/>
        <v>住宅建築局住宅経営室</v>
      </c>
    </row>
    <row r="2283" spans="1:18" s="1" customFormat="1" x14ac:dyDescent="0.45">
      <c r="A2283" s="7" t="str">
        <f t="shared" si="790"/>
        <v>09940003206</v>
      </c>
      <c r="B2283" s="7" t="str">
        <f t="shared" si="791"/>
        <v>岸和田吉井</v>
      </c>
      <c r="C2283" s="7" t="str">
        <f t="shared" si="787"/>
        <v>行政財産</v>
      </c>
      <c r="D2283" s="7" t="str">
        <f t="shared" si="788"/>
        <v>公営住宅</v>
      </c>
      <c r="E2283" s="7" t="str">
        <f t="shared" si="792"/>
        <v>大阪府岸和田市吉井町４丁目</v>
      </c>
      <c r="F2283" s="7"/>
      <c r="G2283" s="7" t="str">
        <f t="shared" si="785"/>
        <v>事業用資産</v>
      </c>
      <c r="H2283" s="7" t="str">
        <f t="shared" si="779"/>
        <v>棚卸以外</v>
      </c>
      <c r="I2283" s="7">
        <v>14</v>
      </c>
      <c r="J2283" s="7" t="str">
        <f>"受水槽ポンプ室・電気室"</f>
        <v>受水槽ポンプ室・電気室</v>
      </c>
      <c r="K2283" s="7" t="str">
        <f t="shared" si="781"/>
        <v>鉄筋コンクリート造</v>
      </c>
      <c r="L2283" s="7" t="str">
        <f>"H13.07.31"</f>
        <v>H13.07.31</v>
      </c>
      <c r="M2283" s="7">
        <v>236</v>
      </c>
      <c r="N2283" s="7">
        <v>36934000</v>
      </c>
      <c r="O2283" s="7">
        <v>17026360</v>
      </c>
      <c r="P2283" s="7">
        <v>0</v>
      </c>
      <c r="Q2283" s="7" t="str">
        <f t="shared" si="789"/>
        <v>都市整備部</v>
      </c>
      <c r="R2283" s="7" t="str">
        <f t="shared" si="786"/>
        <v>住宅建築局住宅経営室</v>
      </c>
    </row>
    <row r="2284" spans="1:18" s="1" customFormat="1" x14ac:dyDescent="0.45">
      <c r="A2284" s="7" t="str">
        <f t="shared" si="790"/>
        <v>09940003206</v>
      </c>
      <c r="B2284" s="7" t="str">
        <f t="shared" si="791"/>
        <v>岸和田吉井</v>
      </c>
      <c r="C2284" s="7" t="str">
        <f t="shared" si="787"/>
        <v>行政財産</v>
      </c>
      <c r="D2284" s="7" t="str">
        <f t="shared" si="788"/>
        <v>公営住宅</v>
      </c>
      <c r="E2284" s="7" t="str">
        <f t="shared" si="792"/>
        <v>大阪府岸和田市吉井町４丁目</v>
      </c>
      <c r="F2284" s="7"/>
      <c r="G2284" s="7" t="str">
        <f t="shared" si="785"/>
        <v>事業用資産</v>
      </c>
      <c r="H2284" s="7" t="str">
        <f t="shared" si="779"/>
        <v>棚卸以外</v>
      </c>
      <c r="I2284" s="7">
        <v>15</v>
      </c>
      <c r="J2284" s="7" t="str">
        <f>"１０号棟"</f>
        <v>１０号棟</v>
      </c>
      <c r="K2284" s="7" t="str">
        <f t="shared" si="781"/>
        <v>鉄筋コンクリート造</v>
      </c>
      <c r="L2284" s="7" t="str">
        <f>"H14.10.31"</f>
        <v>H14.10.31</v>
      </c>
      <c r="M2284" s="7">
        <v>5254.08</v>
      </c>
      <c r="N2284" s="7">
        <v>811558306</v>
      </c>
      <c r="O2284" s="7">
        <v>353202770</v>
      </c>
      <c r="P2284" s="7">
        <v>0</v>
      </c>
      <c r="Q2284" s="7" t="str">
        <f t="shared" si="789"/>
        <v>都市整備部</v>
      </c>
      <c r="R2284" s="7" t="str">
        <f t="shared" si="786"/>
        <v>住宅建築局住宅経営室</v>
      </c>
    </row>
    <row r="2285" spans="1:18" s="1" customFormat="1" x14ac:dyDescent="0.45">
      <c r="A2285" s="7" t="str">
        <f t="shared" si="790"/>
        <v>09940003206</v>
      </c>
      <c r="B2285" s="7" t="str">
        <f t="shared" si="791"/>
        <v>岸和田吉井</v>
      </c>
      <c r="C2285" s="7" t="str">
        <f t="shared" si="787"/>
        <v>行政財産</v>
      </c>
      <c r="D2285" s="7" t="str">
        <f t="shared" si="788"/>
        <v>公営住宅</v>
      </c>
      <c r="E2285" s="7" t="str">
        <f t="shared" si="792"/>
        <v>大阪府岸和田市吉井町４丁目</v>
      </c>
      <c r="F2285" s="7"/>
      <c r="G2285" s="7" t="str">
        <f t="shared" si="785"/>
        <v>事業用資産</v>
      </c>
      <c r="H2285" s="7" t="str">
        <f t="shared" si="779"/>
        <v>棚卸以外</v>
      </c>
      <c r="I2285" s="7">
        <v>16</v>
      </c>
      <c r="J2285" s="7" t="str">
        <f>"１２号棟"</f>
        <v>１２号棟</v>
      </c>
      <c r="K2285" s="7" t="str">
        <f t="shared" si="781"/>
        <v>鉄筋コンクリート造</v>
      </c>
      <c r="L2285" s="7" t="str">
        <f>"H16.02.26"</f>
        <v>H16.02.26</v>
      </c>
      <c r="M2285" s="7">
        <v>2631</v>
      </c>
      <c r="N2285" s="7">
        <v>377618306</v>
      </c>
      <c r="O2285" s="7">
        <v>154069001</v>
      </c>
      <c r="P2285" s="7">
        <v>0</v>
      </c>
      <c r="Q2285" s="7" t="str">
        <f t="shared" si="789"/>
        <v>都市整備部</v>
      </c>
      <c r="R2285" s="7" t="str">
        <f t="shared" si="786"/>
        <v>住宅建築局住宅経営室</v>
      </c>
    </row>
    <row r="2286" spans="1:18" s="1" customFormat="1" x14ac:dyDescent="0.45">
      <c r="A2286" s="7" t="str">
        <f t="shared" si="790"/>
        <v>09940003206</v>
      </c>
      <c r="B2286" s="7" t="str">
        <f t="shared" si="791"/>
        <v>岸和田吉井</v>
      </c>
      <c r="C2286" s="7" t="str">
        <f t="shared" si="787"/>
        <v>行政財産</v>
      </c>
      <c r="D2286" s="7" t="str">
        <f t="shared" si="788"/>
        <v>公営住宅</v>
      </c>
      <c r="E2286" s="7" t="str">
        <f t="shared" si="792"/>
        <v>大阪府岸和田市吉井町４丁目</v>
      </c>
      <c r="F2286" s="7"/>
      <c r="G2286" s="7" t="str">
        <f t="shared" si="785"/>
        <v>事業用資産</v>
      </c>
      <c r="H2286" s="7" t="str">
        <f t="shared" si="779"/>
        <v>棚卸以外</v>
      </c>
      <c r="I2286" s="7">
        <v>17</v>
      </c>
      <c r="J2286" s="7" t="str">
        <f>"集会所"</f>
        <v>集会所</v>
      </c>
      <c r="K2286" s="7" t="str">
        <f t="shared" si="781"/>
        <v>鉄筋コンクリート造</v>
      </c>
      <c r="L2286" s="7" t="str">
        <f>"H16.02.26"</f>
        <v>H16.02.26</v>
      </c>
      <c r="M2286" s="7">
        <v>100</v>
      </c>
      <c r="N2286" s="7">
        <v>16370000</v>
      </c>
      <c r="O2286" s="7">
        <v>6646725</v>
      </c>
      <c r="P2286" s="7">
        <v>0</v>
      </c>
      <c r="Q2286" s="7" t="str">
        <f t="shared" si="789"/>
        <v>都市整備部</v>
      </c>
      <c r="R2286" s="7" t="str">
        <f t="shared" si="786"/>
        <v>住宅建築局住宅経営室</v>
      </c>
    </row>
    <row r="2287" spans="1:18" s="1" customFormat="1" x14ac:dyDescent="0.45">
      <c r="A2287" s="7" t="str">
        <f t="shared" si="790"/>
        <v>09940003206</v>
      </c>
      <c r="B2287" s="7" t="str">
        <f t="shared" si="791"/>
        <v>岸和田吉井</v>
      </c>
      <c r="C2287" s="7" t="str">
        <f t="shared" si="787"/>
        <v>行政財産</v>
      </c>
      <c r="D2287" s="7" t="str">
        <f t="shared" si="788"/>
        <v>公営住宅</v>
      </c>
      <c r="E2287" s="7" t="str">
        <f t="shared" si="792"/>
        <v>大阪府岸和田市吉井町４丁目</v>
      </c>
      <c r="F2287" s="7"/>
      <c r="G2287" s="7" t="str">
        <f t="shared" si="785"/>
        <v>事業用資産</v>
      </c>
      <c r="H2287" s="7" t="str">
        <f t="shared" si="779"/>
        <v>棚卸以外</v>
      </c>
      <c r="I2287" s="7">
        <v>18</v>
      </c>
      <c r="J2287" s="7" t="str">
        <f>"受水槽ポンプ室・電気室"</f>
        <v>受水槽ポンプ室・電気室</v>
      </c>
      <c r="K2287" s="7" t="str">
        <f t="shared" si="781"/>
        <v>鉄筋コンクリート造</v>
      </c>
      <c r="L2287" s="7" t="str">
        <f>"H16.02.26"</f>
        <v>H16.02.26</v>
      </c>
      <c r="M2287" s="7">
        <v>60</v>
      </c>
      <c r="N2287" s="7">
        <v>22274000</v>
      </c>
      <c r="O2287" s="7">
        <v>9043897</v>
      </c>
      <c r="P2287" s="7">
        <v>0</v>
      </c>
      <c r="Q2287" s="7" t="str">
        <f t="shared" si="789"/>
        <v>都市整備部</v>
      </c>
      <c r="R2287" s="7" t="str">
        <f t="shared" si="786"/>
        <v>住宅建築局住宅経営室</v>
      </c>
    </row>
    <row r="2288" spans="1:18" s="1" customFormat="1" x14ac:dyDescent="0.45">
      <c r="A2288" s="7" t="str">
        <f t="shared" si="790"/>
        <v>09940003206</v>
      </c>
      <c r="B2288" s="7" t="str">
        <f t="shared" si="791"/>
        <v>岸和田吉井</v>
      </c>
      <c r="C2288" s="7" t="str">
        <f t="shared" si="787"/>
        <v>行政財産</v>
      </c>
      <c r="D2288" s="7" t="str">
        <f t="shared" si="788"/>
        <v>公営住宅</v>
      </c>
      <c r="E2288" s="7" t="str">
        <f t="shared" si="792"/>
        <v>大阪府岸和田市吉井町４丁目</v>
      </c>
      <c r="F2288" s="7"/>
      <c r="G2288" s="7" t="str">
        <f t="shared" si="785"/>
        <v>事業用資産</v>
      </c>
      <c r="H2288" s="7" t="str">
        <f t="shared" si="779"/>
        <v>棚卸以外</v>
      </c>
      <c r="I2288" s="7">
        <v>19</v>
      </c>
      <c r="J2288" s="7" t="str">
        <f>"１３号棟"</f>
        <v>１３号棟</v>
      </c>
      <c r="K2288" s="7" t="str">
        <f t="shared" si="781"/>
        <v>鉄筋コンクリート造</v>
      </c>
      <c r="L2288" s="7" t="str">
        <f>"H18.08.29"</f>
        <v>H18.08.29</v>
      </c>
      <c r="M2288" s="7">
        <v>3731.68</v>
      </c>
      <c r="N2288" s="7">
        <v>503052815</v>
      </c>
      <c r="O2288" s="7">
        <v>177289422</v>
      </c>
      <c r="P2288" s="7">
        <v>0</v>
      </c>
      <c r="Q2288" s="7" t="str">
        <f t="shared" si="789"/>
        <v>都市整備部</v>
      </c>
      <c r="R2288" s="7" t="str">
        <f t="shared" si="786"/>
        <v>住宅建築局住宅経営室</v>
      </c>
    </row>
    <row r="2289" spans="1:18" s="1" customFormat="1" x14ac:dyDescent="0.45">
      <c r="A2289" s="7" t="str">
        <f t="shared" si="790"/>
        <v>09940003206</v>
      </c>
      <c r="B2289" s="7" t="str">
        <f t="shared" si="791"/>
        <v>岸和田吉井</v>
      </c>
      <c r="C2289" s="7" t="str">
        <f t="shared" si="787"/>
        <v>行政財産</v>
      </c>
      <c r="D2289" s="7" t="str">
        <f t="shared" si="788"/>
        <v>公営住宅</v>
      </c>
      <c r="E2289" s="7" t="str">
        <f t="shared" si="792"/>
        <v>大阪府岸和田市吉井町４丁目</v>
      </c>
      <c r="F2289" s="7"/>
      <c r="G2289" s="7" t="str">
        <f t="shared" si="785"/>
        <v>事業用資産</v>
      </c>
      <c r="H2289" s="7" t="str">
        <f t="shared" si="779"/>
        <v>棚卸以外</v>
      </c>
      <c r="I2289" s="7">
        <v>20</v>
      </c>
      <c r="J2289" s="7" t="str">
        <f>"１４号棟"</f>
        <v>１４号棟</v>
      </c>
      <c r="K2289" s="7" t="str">
        <f t="shared" si="781"/>
        <v>鉄筋コンクリート造</v>
      </c>
      <c r="L2289" s="7" t="str">
        <f>"H18.08.29"</f>
        <v>H18.08.29</v>
      </c>
      <c r="M2289" s="7">
        <v>3501.09</v>
      </c>
      <c r="N2289" s="7">
        <v>395331815</v>
      </c>
      <c r="O2289" s="7">
        <v>139281417</v>
      </c>
      <c r="P2289" s="7">
        <v>0</v>
      </c>
      <c r="Q2289" s="7" t="str">
        <f t="shared" si="789"/>
        <v>都市整備部</v>
      </c>
      <c r="R2289" s="7" t="str">
        <f t="shared" si="786"/>
        <v>住宅建築局住宅経営室</v>
      </c>
    </row>
    <row r="2290" spans="1:18" s="1" customFormat="1" x14ac:dyDescent="0.45">
      <c r="A2290" s="7" t="str">
        <f t="shared" si="790"/>
        <v>09940003206</v>
      </c>
      <c r="B2290" s="7" t="str">
        <f t="shared" si="791"/>
        <v>岸和田吉井</v>
      </c>
      <c r="C2290" s="7" t="str">
        <f t="shared" si="787"/>
        <v>行政財産</v>
      </c>
      <c r="D2290" s="7" t="str">
        <f t="shared" si="788"/>
        <v>公営住宅</v>
      </c>
      <c r="E2290" s="7" t="str">
        <f t="shared" si="792"/>
        <v>大阪府岸和田市吉井町４丁目</v>
      </c>
      <c r="F2290" s="7"/>
      <c r="G2290" s="7" t="str">
        <f t="shared" si="785"/>
        <v>事業用資産</v>
      </c>
      <c r="H2290" s="7" t="str">
        <f t="shared" si="779"/>
        <v>棚卸以外</v>
      </c>
      <c r="I2290" s="7">
        <v>21</v>
      </c>
      <c r="J2290" s="7" t="str">
        <f>"集会所"</f>
        <v>集会所</v>
      </c>
      <c r="K2290" s="7" t="str">
        <f t="shared" si="781"/>
        <v>鉄筋コンクリート造</v>
      </c>
      <c r="L2290" s="7" t="str">
        <f>"H18.08.29"</f>
        <v>H18.08.29</v>
      </c>
      <c r="M2290" s="7">
        <v>118.44</v>
      </c>
      <c r="N2290" s="7">
        <v>23173000</v>
      </c>
      <c r="O2290" s="7">
        <v>8176313</v>
      </c>
      <c r="P2290" s="7">
        <v>0</v>
      </c>
      <c r="Q2290" s="7" t="str">
        <f t="shared" si="789"/>
        <v>都市整備部</v>
      </c>
      <c r="R2290" s="7" t="str">
        <f t="shared" si="786"/>
        <v>住宅建築局住宅経営室</v>
      </c>
    </row>
    <row r="2291" spans="1:18" s="1" customFormat="1" x14ac:dyDescent="0.45">
      <c r="A2291" s="7" t="str">
        <f t="shared" si="790"/>
        <v>09940003206</v>
      </c>
      <c r="B2291" s="7" t="str">
        <f t="shared" si="791"/>
        <v>岸和田吉井</v>
      </c>
      <c r="C2291" s="7" t="str">
        <f t="shared" si="787"/>
        <v>行政財産</v>
      </c>
      <c r="D2291" s="7" t="str">
        <f t="shared" si="788"/>
        <v>公営住宅</v>
      </c>
      <c r="E2291" s="7" t="str">
        <f t="shared" si="792"/>
        <v>大阪府岸和田市吉井町４丁目</v>
      </c>
      <c r="F2291" s="7"/>
      <c r="G2291" s="7" t="str">
        <f t="shared" si="785"/>
        <v>事業用資産</v>
      </c>
      <c r="H2291" s="7" t="str">
        <f t="shared" si="779"/>
        <v>棚卸以外</v>
      </c>
      <c r="I2291" s="7">
        <v>22</v>
      </c>
      <c r="J2291" s="7" t="str">
        <f>"１５号棟"</f>
        <v>１５号棟</v>
      </c>
      <c r="K2291" s="7" t="str">
        <f t="shared" si="781"/>
        <v>鉄筋コンクリート造</v>
      </c>
      <c r="L2291" s="7" t="str">
        <f>"H18.10.26"</f>
        <v>H18.10.26</v>
      </c>
      <c r="M2291" s="7">
        <v>3959.71</v>
      </c>
      <c r="N2291" s="7">
        <v>455102814</v>
      </c>
      <c r="O2291" s="7">
        <v>158759250</v>
      </c>
      <c r="P2291" s="7">
        <v>0</v>
      </c>
      <c r="Q2291" s="7" t="str">
        <f t="shared" si="789"/>
        <v>都市整備部</v>
      </c>
      <c r="R2291" s="7" t="str">
        <f t="shared" si="786"/>
        <v>住宅建築局住宅経営室</v>
      </c>
    </row>
    <row r="2292" spans="1:18" s="1" customFormat="1" x14ac:dyDescent="0.45">
      <c r="A2292" s="7" t="str">
        <f t="shared" si="790"/>
        <v>09940003206</v>
      </c>
      <c r="B2292" s="7" t="str">
        <f t="shared" si="791"/>
        <v>岸和田吉井</v>
      </c>
      <c r="C2292" s="7" t="str">
        <f t="shared" si="787"/>
        <v>行政財産</v>
      </c>
      <c r="D2292" s="7" t="str">
        <f t="shared" si="788"/>
        <v>公営住宅</v>
      </c>
      <c r="E2292" s="7" t="str">
        <f t="shared" si="792"/>
        <v>大阪府岸和田市吉井町４丁目</v>
      </c>
      <c r="F2292" s="7"/>
      <c r="G2292" s="7" t="str">
        <f t="shared" si="785"/>
        <v>事業用資産</v>
      </c>
      <c r="H2292" s="7" t="str">
        <f t="shared" si="779"/>
        <v>棚卸以外</v>
      </c>
      <c r="I2292" s="7">
        <v>23</v>
      </c>
      <c r="J2292" s="7" t="str">
        <f>"ポンプ室・電気室"</f>
        <v>ポンプ室・電気室</v>
      </c>
      <c r="K2292" s="7" t="str">
        <f t="shared" si="781"/>
        <v>鉄筋コンクリート造</v>
      </c>
      <c r="L2292" s="7" t="str">
        <f>"H18.08.29"</f>
        <v>H18.08.29</v>
      </c>
      <c r="M2292" s="7">
        <v>102</v>
      </c>
      <c r="N2292" s="7">
        <v>14892000</v>
      </c>
      <c r="O2292" s="7">
        <v>5254595</v>
      </c>
      <c r="P2292" s="7">
        <v>0</v>
      </c>
      <c r="Q2292" s="7" t="str">
        <f t="shared" si="789"/>
        <v>都市整備部</v>
      </c>
      <c r="R2292" s="7" t="str">
        <f t="shared" si="786"/>
        <v>住宅建築局住宅経営室</v>
      </c>
    </row>
    <row r="2293" spans="1:18" s="1" customFormat="1" ht="26.4" x14ac:dyDescent="0.45">
      <c r="A2293" s="7" t="str">
        <f>"09940003207"</f>
        <v>09940003207</v>
      </c>
      <c r="B2293" s="7" t="str">
        <f>"豊中服部本町"</f>
        <v>豊中服部本町</v>
      </c>
      <c r="C2293" s="7" t="str">
        <f t="shared" si="787"/>
        <v>行政財産</v>
      </c>
      <c r="D2293" s="7" t="str">
        <f t="shared" si="788"/>
        <v>公営住宅</v>
      </c>
      <c r="E2293" s="7" t="str">
        <f>"大阪府豊中市服部本町５丁目"</f>
        <v>大阪府豊中市服部本町５丁目</v>
      </c>
      <c r="F2293" s="7"/>
      <c r="G2293" s="7" t="str">
        <f t="shared" si="785"/>
        <v>事業用資産</v>
      </c>
      <c r="H2293" s="7" t="str">
        <f t="shared" si="779"/>
        <v>棚卸以外</v>
      </c>
      <c r="I2293" s="7">
        <v>1</v>
      </c>
      <c r="J2293" s="7" t="str">
        <f>"３号棟"</f>
        <v>３号棟</v>
      </c>
      <c r="K2293" s="7" t="str">
        <f>"鉄骨鉄筋コンクリート造"</f>
        <v>鉄骨鉄筋コンクリート造</v>
      </c>
      <c r="L2293" s="7" t="str">
        <f>"H08.07.25"</f>
        <v>H08.07.25</v>
      </c>
      <c r="M2293" s="7">
        <v>5538.91</v>
      </c>
      <c r="N2293" s="7">
        <v>1355250884</v>
      </c>
      <c r="O2293" s="7">
        <v>756311280</v>
      </c>
      <c r="P2293" s="7">
        <v>0</v>
      </c>
      <c r="Q2293" s="7" t="str">
        <f t="shared" si="789"/>
        <v>都市整備部</v>
      </c>
      <c r="R2293" s="7" t="str">
        <f t="shared" si="786"/>
        <v>住宅建築局住宅経営室</v>
      </c>
    </row>
    <row r="2294" spans="1:18" s="1" customFormat="1" x14ac:dyDescent="0.45">
      <c r="A2294" s="7" t="str">
        <f>"09940003207"</f>
        <v>09940003207</v>
      </c>
      <c r="B2294" s="7" t="str">
        <f>"豊中服部本町"</f>
        <v>豊中服部本町</v>
      </c>
      <c r="C2294" s="7" t="str">
        <f t="shared" si="787"/>
        <v>行政財産</v>
      </c>
      <c r="D2294" s="7" t="str">
        <f t="shared" si="788"/>
        <v>公営住宅</v>
      </c>
      <c r="E2294" s="7" t="str">
        <f>"大阪府豊中市服部本町５丁目"</f>
        <v>大阪府豊中市服部本町５丁目</v>
      </c>
      <c r="F2294" s="7"/>
      <c r="G2294" s="7" t="str">
        <f t="shared" si="785"/>
        <v>事業用資産</v>
      </c>
      <c r="H2294" s="7" t="str">
        <f t="shared" si="779"/>
        <v>棚卸以外</v>
      </c>
      <c r="I2294" s="7">
        <v>2</v>
      </c>
      <c r="J2294" s="7" t="str">
        <f>"ポンプ室棟"</f>
        <v>ポンプ室棟</v>
      </c>
      <c r="K2294" s="7" t="str">
        <f t="shared" ref="K2294:K2314" si="794">"鉄筋コンクリート造"</f>
        <v>鉄筋コンクリート造</v>
      </c>
      <c r="L2294" s="7" t="str">
        <f>"H08.07.25"</f>
        <v>H08.07.25</v>
      </c>
      <c r="M2294" s="7">
        <v>48.6</v>
      </c>
      <c r="N2294" s="7">
        <v>2387000</v>
      </c>
      <c r="O2294" s="7">
        <v>1354560</v>
      </c>
      <c r="P2294" s="7">
        <v>0</v>
      </c>
      <c r="Q2294" s="7" t="str">
        <f t="shared" si="789"/>
        <v>都市整備部</v>
      </c>
      <c r="R2294" s="7" t="str">
        <f t="shared" si="786"/>
        <v>住宅建築局住宅経営室</v>
      </c>
    </row>
    <row r="2295" spans="1:18" s="1" customFormat="1" x14ac:dyDescent="0.45">
      <c r="A2295" s="7" t="str">
        <f>"09940003208"</f>
        <v>09940003208</v>
      </c>
      <c r="B2295" s="7" t="str">
        <f>"貝塚王子"</f>
        <v>貝塚王子</v>
      </c>
      <c r="C2295" s="7" t="str">
        <f t="shared" si="787"/>
        <v>行政財産</v>
      </c>
      <c r="D2295" s="7" t="str">
        <f t="shared" si="788"/>
        <v>公営住宅</v>
      </c>
      <c r="E2295" s="7" t="str">
        <f>"大阪府貝塚市王子"</f>
        <v>大阪府貝塚市王子</v>
      </c>
      <c r="F2295" s="7"/>
      <c r="G2295" s="7" t="str">
        <f t="shared" si="785"/>
        <v>事業用資産</v>
      </c>
      <c r="H2295" s="7" t="str">
        <f t="shared" si="779"/>
        <v>棚卸以外</v>
      </c>
      <c r="I2295" s="7">
        <v>1</v>
      </c>
      <c r="J2295" s="7" t="str">
        <f>"１号棟"</f>
        <v>１号棟</v>
      </c>
      <c r="K2295" s="7" t="str">
        <f t="shared" si="794"/>
        <v>鉄筋コンクリート造</v>
      </c>
      <c r="L2295" s="7" t="str">
        <f>"H08.08.26"</f>
        <v>H08.08.26</v>
      </c>
      <c r="M2295" s="7">
        <v>3559.67</v>
      </c>
      <c r="N2295" s="7">
        <v>682024567</v>
      </c>
      <c r="O2295" s="7">
        <v>384711027</v>
      </c>
      <c r="P2295" s="7">
        <v>0</v>
      </c>
      <c r="Q2295" s="7" t="str">
        <f t="shared" si="789"/>
        <v>都市整備部</v>
      </c>
      <c r="R2295" s="7" t="str">
        <f t="shared" si="786"/>
        <v>住宅建築局住宅経営室</v>
      </c>
    </row>
    <row r="2296" spans="1:18" s="1" customFormat="1" x14ac:dyDescent="0.45">
      <c r="A2296" s="7" t="str">
        <f>"09940003208"</f>
        <v>09940003208</v>
      </c>
      <c r="B2296" s="7" t="str">
        <f>"貝塚王子"</f>
        <v>貝塚王子</v>
      </c>
      <c r="C2296" s="7" t="str">
        <f t="shared" si="787"/>
        <v>行政財産</v>
      </c>
      <c r="D2296" s="7" t="str">
        <f t="shared" si="788"/>
        <v>公営住宅</v>
      </c>
      <c r="E2296" s="7" t="str">
        <f>"大阪府貝塚市王子"</f>
        <v>大阪府貝塚市王子</v>
      </c>
      <c r="F2296" s="7"/>
      <c r="G2296" s="7" t="str">
        <f t="shared" si="785"/>
        <v>事業用資産</v>
      </c>
      <c r="H2296" s="7" t="str">
        <f t="shared" si="779"/>
        <v>棚卸以外</v>
      </c>
      <c r="I2296" s="7">
        <v>2</v>
      </c>
      <c r="J2296" s="7" t="str">
        <f>"受水槽"</f>
        <v>受水槽</v>
      </c>
      <c r="K2296" s="7" t="str">
        <f t="shared" si="794"/>
        <v>鉄筋コンクリート造</v>
      </c>
      <c r="L2296" s="7" t="str">
        <f>"H08.08.26"</f>
        <v>H08.08.26</v>
      </c>
      <c r="M2296" s="7">
        <v>94.93</v>
      </c>
      <c r="N2296" s="7">
        <v>28926000</v>
      </c>
      <c r="O2296" s="7">
        <v>16360872</v>
      </c>
      <c r="P2296" s="7">
        <v>0</v>
      </c>
      <c r="Q2296" s="7" t="str">
        <f t="shared" si="789"/>
        <v>都市整備部</v>
      </c>
      <c r="R2296" s="7" t="str">
        <f t="shared" si="786"/>
        <v>住宅建築局住宅経営室</v>
      </c>
    </row>
    <row r="2297" spans="1:18" s="1" customFormat="1" x14ac:dyDescent="0.45">
      <c r="A2297" s="7" t="str">
        <f>"09940003208"</f>
        <v>09940003208</v>
      </c>
      <c r="B2297" s="7" t="str">
        <f>"貝塚王子"</f>
        <v>貝塚王子</v>
      </c>
      <c r="C2297" s="7" t="str">
        <f t="shared" si="787"/>
        <v>行政財産</v>
      </c>
      <c r="D2297" s="7" t="str">
        <f t="shared" si="788"/>
        <v>公営住宅</v>
      </c>
      <c r="E2297" s="7" t="str">
        <f>"大阪府貝塚市王子"</f>
        <v>大阪府貝塚市王子</v>
      </c>
      <c r="F2297" s="7"/>
      <c r="G2297" s="7" t="str">
        <f t="shared" si="785"/>
        <v>事業用資産</v>
      </c>
      <c r="H2297" s="7" t="str">
        <f t="shared" si="779"/>
        <v>棚卸以外</v>
      </c>
      <c r="I2297" s="7">
        <v>3</v>
      </c>
      <c r="J2297" s="7" t="str">
        <f>"２号棟"</f>
        <v>２号棟</v>
      </c>
      <c r="K2297" s="7" t="str">
        <f t="shared" si="794"/>
        <v>鉄筋コンクリート造</v>
      </c>
      <c r="L2297" s="7" t="str">
        <f>"H10.09.25"</f>
        <v>H10.09.25</v>
      </c>
      <c r="M2297" s="7">
        <v>3997.49</v>
      </c>
      <c r="N2297" s="7">
        <v>724021567</v>
      </c>
      <c r="O2297" s="7">
        <v>376570824</v>
      </c>
      <c r="P2297" s="7">
        <v>0</v>
      </c>
      <c r="Q2297" s="7" t="str">
        <f t="shared" si="789"/>
        <v>都市整備部</v>
      </c>
      <c r="R2297" s="7" t="str">
        <f t="shared" si="786"/>
        <v>住宅建築局住宅経営室</v>
      </c>
    </row>
    <row r="2298" spans="1:18" s="1" customFormat="1" x14ac:dyDescent="0.45">
      <c r="A2298" s="7" t="str">
        <f>"09940003209"</f>
        <v>09940003209</v>
      </c>
      <c r="B2298" s="7" t="str">
        <f>"富田林緑ヶ丘"</f>
        <v>富田林緑ヶ丘</v>
      </c>
      <c r="C2298" s="7" t="str">
        <f t="shared" si="787"/>
        <v>行政財産</v>
      </c>
      <c r="D2298" s="7" t="str">
        <f t="shared" si="788"/>
        <v>公営住宅</v>
      </c>
      <c r="E2298" s="7" t="str">
        <f>"大阪府富田林市緑ケ丘町"</f>
        <v>大阪府富田林市緑ケ丘町</v>
      </c>
      <c r="F2298" s="7"/>
      <c r="G2298" s="7" t="str">
        <f t="shared" si="785"/>
        <v>事業用資産</v>
      </c>
      <c r="H2298" s="7" t="str">
        <f t="shared" si="779"/>
        <v>棚卸以外</v>
      </c>
      <c r="I2298" s="7">
        <v>1</v>
      </c>
      <c r="J2298" s="7" t="str">
        <f>"１号棟"</f>
        <v>１号棟</v>
      </c>
      <c r="K2298" s="7" t="str">
        <f t="shared" si="794"/>
        <v>鉄筋コンクリート造</v>
      </c>
      <c r="L2298" s="7" t="str">
        <f>"H09.12.09"</f>
        <v>H09.12.09</v>
      </c>
      <c r="M2298" s="7">
        <v>5938.06</v>
      </c>
      <c r="N2298" s="7">
        <v>1395355154</v>
      </c>
      <c r="O2298" s="7">
        <v>737293176</v>
      </c>
      <c r="P2298" s="7">
        <v>0</v>
      </c>
      <c r="Q2298" s="7" t="str">
        <f t="shared" si="789"/>
        <v>都市整備部</v>
      </c>
      <c r="R2298" s="7" t="str">
        <f t="shared" si="786"/>
        <v>住宅建築局住宅経営室</v>
      </c>
    </row>
    <row r="2299" spans="1:18" s="1" customFormat="1" x14ac:dyDescent="0.45">
      <c r="A2299" s="7" t="str">
        <f>"09940003209"</f>
        <v>09940003209</v>
      </c>
      <c r="B2299" s="7" t="str">
        <f>"富田林緑ヶ丘"</f>
        <v>富田林緑ヶ丘</v>
      </c>
      <c r="C2299" s="7" t="str">
        <f t="shared" si="787"/>
        <v>行政財産</v>
      </c>
      <c r="D2299" s="7" t="str">
        <f t="shared" si="788"/>
        <v>公営住宅</v>
      </c>
      <c r="E2299" s="7" t="str">
        <f>"大阪府富田林市緑ケ丘町"</f>
        <v>大阪府富田林市緑ケ丘町</v>
      </c>
      <c r="F2299" s="7"/>
      <c r="G2299" s="7" t="str">
        <f t="shared" si="785"/>
        <v>事業用資産</v>
      </c>
      <c r="H2299" s="7" t="str">
        <f t="shared" si="779"/>
        <v>棚卸以外</v>
      </c>
      <c r="I2299" s="7">
        <v>2</v>
      </c>
      <c r="J2299" s="7" t="str">
        <f>"受水槽"</f>
        <v>受水槽</v>
      </c>
      <c r="K2299" s="7" t="str">
        <f t="shared" si="794"/>
        <v>鉄筋コンクリート造</v>
      </c>
      <c r="L2299" s="7" t="str">
        <f>"H09.12.09"</f>
        <v>H09.12.09</v>
      </c>
      <c r="M2299" s="7">
        <v>86.46</v>
      </c>
      <c r="N2299" s="7">
        <v>31595000</v>
      </c>
      <c r="O2299" s="7">
        <v>16974060</v>
      </c>
      <c r="P2299" s="7">
        <v>0</v>
      </c>
      <c r="Q2299" s="7" t="str">
        <f t="shared" si="789"/>
        <v>都市整備部</v>
      </c>
      <c r="R2299" s="7" t="str">
        <f t="shared" si="786"/>
        <v>住宅建築局住宅経営室</v>
      </c>
    </row>
    <row r="2300" spans="1:18" s="1" customFormat="1" x14ac:dyDescent="0.45">
      <c r="A2300" s="7" t="str">
        <f>"09940003209"</f>
        <v>09940003209</v>
      </c>
      <c r="B2300" s="7" t="str">
        <f>"富田林緑ヶ丘"</f>
        <v>富田林緑ヶ丘</v>
      </c>
      <c r="C2300" s="7" t="str">
        <f t="shared" si="787"/>
        <v>行政財産</v>
      </c>
      <c r="D2300" s="7" t="str">
        <f t="shared" si="788"/>
        <v>公営住宅</v>
      </c>
      <c r="E2300" s="7" t="str">
        <f>"大阪府富田林市緑ケ丘町"</f>
        <v>大阪府富田林市緑ケ丘町</v>
      </c>
      <c r="F2300" s="7"/>
      <c r="G2300" s="7" t="str">
        <f t="shared" si="785"/>
        <v>事業用資産</v>
      </c>
      <c r="H2300" s="7" t="str">
        <f t="shared" si="779"/>
        <v>棚卸以外</v>
      </c>
      <c r="I2300" s="7">
        <v>3</v>
      </c>
      <c r="J2300" s="7" t="str">
        <f>"２号棟"</f>
        <v>２号棟</v>
      </c>
      <c r="K2300" s="7" t="str">
        <f t="shared" si="794"/>
        <v>鉄筋コンクリート造</v>
      </c>
      <c r="L2300" s="7" t="str">
        <f>"H13.06.28"</f>
        <v>H13.06.28</v>
      </c>
      <c r="M2300" s="7">
        <v>4983.25</v>
      </c>
      <c r="N2300" s="7">
        <v>841038942</v>
      </c>
      <c r="O2300" s="7">
        <v>384814221</v>
      </c>
      <c r="P2300" s="7">
        <v>0</v>
      </c>
      <c r="Q2300" s="7" t="str">
        <f t="shared" si="789"/>
        <v>都市整備部</v>
      </c>
      <c r="R2300" s="7" t="str">
        <f t="shared" si="786"/>
        <v>住宅建築局住宅経営室</v>
      </c>
    </row>
    <row r="2301" spans="1:18" s="1" customFormat="1" x14ac:dyDescent="0.45">
      <c r="A2301" s="7" t="str">
        <f>"09940003209"</f>
        <v>09940003209</v>
      </c>
      <c r="B2301" s="7" t="str">
        <f>"富田林緑ヶ丘"</f>
        <v>富田林緑ヶ丘</v>
      </c>
      <c r="C2301" s="7" t="str">
        <f t="shared" si="787"/>
        <v>行政財産</v>
      </c>
      <c r="D2301" s="7" t="str">
        <f t="shared" si="788"/>
        <v>公営住宅</v>
      </c>
      <c r="E2301" s="7" t="str">
        <f>"大阪府富田林市緑ケ丘町"</f>
        <v>大阪府富田林市緑ケ丘町</v>
      </c>
      <c r="F2301" s="7"/>
      <c r="G2301" s="7" t="str">
        <f t="shared" si="785"/>
        <v>事業用資産</v>
      </c>
      <c r="H2301" s="7" t="str">
        <f t="shared" si="779"/>
        <v>棚卸以外</v>
      </c>
      <c r="I2301" s="7">
        <v>4</v>
      </c>
      <c r="J2301" s="7" t="str">
        <f>"受水槽ポンプ室・電気室"</f>
        <v>受水槽ポンプ室・電気室</v>
      </c>
      <c r="K2301" s="7" t="str">
        <f t="shared" si="794"/>
        <v>鉄筋コンクリート造</v>
      </c>
      <c r="L2301" s="7" t="str">
        <f>"H13.06.28"</f>
        <v>H13.06.28</v>
      </c>
      <c r="M2301" s="7">
        <v>80.66</v>
      </c>
      <c r="N2301" s="7">
        <v>29417000</v>
      </c>
      <c r="O2301" s="7">
        <v>13613238</v>
      </c>
      <c r="P2301" s="7">
        <v>0</v>
      </c>
      <c r="Q2301" s="7" t="str">
        <f t="shared" si="789"/>
        <v>都市整備部</v>
      </c>
      <c r="R2301" s="7" t="str">
        <f t="shared" si="786"/>
        <v>住宅建築局住宅経営室</v>
      </c>
    </row>
    <row r="2302" spans="1:18" s="1" customFormat="1" x14ac:dyDescent="0.45">
      <c r="A2302" s="7" t="str">
        <f>"09940003209"</f>
        <v>09940003209</v>
      </c>
      <c r="B2302" s="7" t="str">
        <f>"富田林緑ヶ丘"</f>
        <v>富田林緑ヶ丘</v>
      </c>
      <c r="C2302" s="7" t="str">
        <f t="shared" si="787"/>
        <v>行政財産</v>
      </c>
      <c r="D2302" s="7" t="str">
        <f t="shared" si="788"/>
        <v>公営住宅</v>
      </c>
      <c r="E2302" s="7" t="str">
        <f>"大阪府富田林市緑ケ丘町"</f>
        <v>大阪府富田林市緑ケ丘町</v>
      </c>
      <c r="F2302" s="7"/>
      <c r="G2302" s="7" t="str">
        <f t="shared" si="785"/>
        <v>事業用資産</v>
      </c>
      <c r="H2302" s="7" t="str">
        <f t="shared" si="779"/>
        <v>棚卸以外</v>
      </c>
      <c r="I2302" s="7">
        <v>5</v>
      </c>
      <c r="J2302" s="7" t="str">
        <f>"集会所"</f>
        <v>集会所</v>
      </c>
      <c r="K2302" s="7" t="str">
        <f t="shared" si="794"/>
        <v>鉄筋コンクリート造</v>
      </c>
      <c r="L2302" s="7" t="str">
        <f>"H13.06.28"</f>
        <v>H13.06.28</v>
      </c>
      <c r="M2302" s="7">
        <v>170.48</v>
      </c>
      <c r="N2302" s="7">
        <v>54879000</v>
      </c>
      <c r="O2302" s="7">
        <v>25396344</v>
      </c>
      <c r="P2302" s="7">
        <v>0</v>
      </c>
      <c r="Q2302" s="7" t="str">
        <f t="shared" si="789"/>
        <v>都市整備部</v>
      </c>
      <c r="R2302" s="7" t="str">
        <f t="shared" si="786"/>
        <v>住宅建築局住宅経営室</v>
      </c>
    </row>
    <row r="2303" spans="1:18" s="1" customFormat="1" x14ac:dyDescent="0.45">
      <c r="A2303" s="7" t="str">
        <f t="shared" ref="A2303:A2309" si="795">"09940003210"</f>
        <v>09940003210</v>
      </c>
      <c r="B2303" s="7" t="str">
        <f t="shared" ref="B2303:B2309" si="796">"高石綾園"</f>
        <v>高石綾園</v>
      </c>
      <c r="C2303" s="7" t="str">
        <f t="shared" si="787"/>
        <v>行政財産</v>
      </c>
      <c r="D2303" s="7" t="str">
        <f t="shared" si="788"/>
        <v>公営住宅</v>
      </c>
      <c r="E2303" s="7" t="str">
        <f t="shared" ref="E2303:E2309" si="797">"大阪府高石市綾園３丁目"</f>
        <v>大阪府高石市綾園３丁目</v>
      </c>
      <c r="F2303" s="7"/>
      <c r="G2303" s="7" t="str">
        <f t="shared" si="785"/>
        <v>事業用資産</v>
      </c>
      <c r="H2303" s="7" t="str">
        <f t="shared" si="779"/>
        <v>棚卸以外</v>
      </c>
      <c r="I2303" s="7">
        <v>1</v>
      </c>
      <c r="J2303" s="7" t="str">
        <f>"１号棟"</f>
        <v>１号棟</v>
      </c>
      <c r="K2303" s="7" t="str">
        <f t="shared" si="794"/>
        <v>鉄筋コンクリート造</v>
      </c>
      <c r="L2303" s="7" t="str">
        <f>"H12.02.29"</f>
        <v>H12.02.29</v>
      </c>
      <c r="M2303" s="7">
        <v>10547.47</v>
      </c>
      <c r="N2303" s="7">
        <v>1940511670</v>
      </c>
      <c r="O2303" s="7">
        <v>954281442</v>
      </c>
      <c r="P2303" s="7">
        <v>0</v>
      </c>
      <c r="Q2303" s="7" t="str">
        <f t="shared" si="789"/>
        <v>都市整備部</v>
      </c>
      <c r="R2303" s="7" t="str">
        <f t="shared" si="786"/>
        <v>住宅建築局住宅経営室</v>
      </c>
    </row>
    <row r="2304" spans="1:18" s="1" customFormat="1" x14ac:dyDescent="0.45">
      <c r="A2304" s="7" t="str">
        <f t="shared" si="795"/>
        <v>09940003210</v>
      </c>
      <c r="B2304" s="7" t="str">
        <f t="shared" si="796"/>
        <v>高石綾園</v>
      </c>
      <c r="C2304" s="7" t="str">
        <f t="shared" si="787"/>
        <v>行政財産</v>
      </c>
      <c r="D2304" s="7" t="str">
        <f t="shared" si="788"/>
        <v>公営住宅</v>
      </c>
      <c r="E2304" s="7" t="str">
        <f t="shared" si="797"/>
        <v>大阪府高石市綾園３丁目</v>
      </c>
      <c r="F2304" s="7"/>
      <c r="G2304" s="7" t="str">
        <f t="shared" si="785"/>
        <v>事業用資産</v>
      </c>
      <c r="H2304" s="7" t="str">
        <f t="shared" si="779"/>
        <v>棚卸以外</v>
      </c>
      <c r="I2304" s="7">
        <v>2</v>
      </c>
      <c r="J2304" s="7" t="str">
        <f>"受水槽ポンプ室"</f>
        <v>受水槽ポンプ室</v>
      </c>
      <c r="K2304" s="7" t="str">
        <f t="shared" si="794"/>
        <v>鉄筋コンクリート造</v>
      </c>
      <c r="L2304" s="7" t="str">
        <f>"H12.02.29"</f>
        <v>H12.02.29</v>
      </c>
      <c r="M2304" s="7">
        <v>65.040000000000006</v>
      </c>
      <c r="N2304" s="7">
        <v>40601000</v>
      </c>
      <c r="O2304" s="7">
        <v>19940676</v>
      </c>
      <c r="P2304" s="7">
        <v>0</v>
      </c>
      <c r="Q2304" s="7" t="str">
        <f t="shared" si="789"/>
        <v>都市整備部</v>
      </c>
      <c r="R2304" s="7" t="str">
        <f t="shared" si="786"/>
        <v>住宅建築局住宅経営室</v>
      </c>
    </row>
    <row r="2305" spans="1:18" s="1" customFormat="1" x14ac:dyDescent="0.45">
      <c r="A2305" s="7" t="str">
        <f t="shared" si="795"/>
        <v>09940003210</v>
      </c>
      <c r="B2305" s="7" t="str">
        <f t="shared" si="796"/>
        <v>高石綾園</v>
      </c>
      <c r="C2305" s="7" t="str">
        <f t="shared" si="787"/>
        <v>行政財産</v>
      </c>
      <c r="D2305" s="7" t="str">
        <f t="shared" si="788"/>
        <v>公営住宅</v>
      </c>
      <c r="E2305" s="7" t="str">
        <f t="shared" si="797"/>
        <v>大阪府高石市綾園３丁目</v>
      </c>
      <c r="F2305" s="7"/>
      <c r="G2305" s="7" t="str">
        <f t="shared" si="785"/>
        <v>事業用資産</v>
      </c>
      <c r="H2305" s="7" t="str">
        <f t="shared" si="779"/>
        <v>棚卸以外</v>
      </c>
      <c r="I2305" s="7">
        <v>3</v>
      </c>
      <c r="J2305" s="7" t="str">
        <f>"２号棟（電気室含む）"</f>
        <v>２号棟（電気室含む）</v>
      </c>
      <c r="K2305" s="7" t="str">
        <f t="shared" si="794"/>
        <v>鉄筋コンクリート造</v>
      </c>
      <c r="L2305" s="7" t="str">
        <f>"H14.06.28"</f>
        <v>H14.06.28</v>
      </c>
      <c r="M2305" s="7">
        <v>5852.65</v>
      </c>
      <c r="N2305" s="7">
        <v>907046670</v>
      </c>
      <c r="O2305" s="7">
        <v>402487569</v>
      </c>
      <c r="P2305" s="7">
        <v>0</v>
      </c>
      <c r="Q2305" s="7" t="str">
        <f t="shared" si="789"/>
        <v>都市整備部</v>
      </c>
      <c r="R2305" s="7" t="str">
        <f t="shared" si="786"/>
        <v>住宅建築局住宅経営室</v>
      </c>
    </row>
    <row r="2306" spans="1:18" s="1" customFormat="1" x14ac:dyDescent="0.45">
      <c r="A2306" s="7" t="str">
        <f t="shared" si="795"/>
        <v>09940003210</v>
      </c>
      <c r="B2306" s="7" t="str">
        <f t="shared" si="796"/>
        <v>高石綾園</v>
      </c>
      <c r="C2306" s="7" t="str">
        <f t="shared" si="787"/>
        <v>行政財産</v>
      </c>
      <c r="D2306" s="7" t="str">
        <f t="shared" si="788"/>
        <v>公営住宅</v>
      </c>
      <c r="E2306" s="7" t="str">
        <f t="shared" si="797"/>
        <v>大阪府高石市綾園３丁目</v>
      </c>
      <c r="F2306" s="7"/>
      <c r="G2306" s="7" t="str">
        <f t="shared" si="785"/>
        <v>事業用資産</v>
      </c>
      <c r="H2306" s="7" t="str">
        <f t="shared" si="779"/>
        <v>棚卸以外</v>
      </c>
      <c r="I2306" s="7">
        <v>4</v>
      </c>
      <c r="J2306" s="7" t="str">
        <f>"受水槽ポンプ室"</f>
        <v>受水槽ポンプ室</v>
      </c>
      <c r="K2306" s="7" t="str">
        <f t="shared" si="794"/>
        <v>鉄筋コンクリート造</v>
      </c>
      <c r="L2306" s="7" t="str">
        <f>"H14.06.28"</f>
        <v>H14.06.28</v>
      </c>
      <c r="M2306" s="7">
        <v>55.23</v>
      </c>
      <c r="N2306" s="7">
        <v>20499000</v>
      </c>
      <c r="O2306" s="7">
        <v>9050154</v>
      </c>
      <c r="P2306" s="7">
        <v>0</v>
      </c>
      <c r="Q2306" s="7" t="str">
        <f t="shared" si="789"/>
        <v>都市整備部</v>
      </c>
      <c r="R2306" s="7" t="str">
        <f t="shared" si="786"/>
        <v>住宅建築局住宅経営室</v>
      </c>
    </row>
    <row r="2307" spans="1:18" s="1" customFormat="1" x14ac:dyDescent="0.45">
      <c r="A2307" s="7" t="str">
        <f t="shared" si="795"/>
        <v>09940003210</v>
      </c>
      <c r="B2307" s="7" t="str">
        <f t="shared" si="796"/>
        <v>高石綾園</v>
      </c>
      <c r="C2307" s="7" t="str">
        <f t="shared" si="787"/>
        <v>行政財産</v>
      </c>
      <c r="D2307" s="7" t="str">
        <f t="shared" si="788"/>
        <v>公営住宅</v>
      </c>
      <c r="E2307" s="7" t="str">
        <f t="shared" si="797"/>
        <v>大阪府高石市綾園３丁目</v>
      </c>
      <c r="F2307" s="7"/>
      <c r="G2307" s="7" t="str">
        <f t="shared" si="785"/>
        <v>事業用資産</v>
      </c>
      <c r="H2307" s="7" t="str">
        <f t="shared" si="779"/>
        <v>棚卸以外</v>
      </c>
      <c r="I2307" s="7">
        <v>5</v>
      </c>
      <c r="J2307" s="7" t="str">
        <f>"３号棟"</f>
        <v>３号棟</v>
      </c>
      <c r="K2307" s="7" t="str">
        <f t="shared" si="794"/>
        <v>鉄筋コンクリート造</v>
      </c>
      <c r="L2307" s="7" t="str">
        <f>"H16.10.27"</f>
        <v>H16.10.27</v>
      </c>
      <c r="M2307" s="7">
        <v>3406.14</v>
      </c>
      <c r="N2307" s="7">
        <v>448584336</v>
      </c>
      <c r="O2307" s="7">
        <v>177196984</v>
      </c>
      <c r="P2307" s="7">
        <v>0</v>
      </c>
      <c r="Q2307" s="7" t="str">
        <f t="shared" si="789"/>
        <v>都市整備部</v>
      </c>
      <c r="R2307" s="7" t="str">
        <f t="shared" si="786"/>
        <v>住宅建築局住宅経営室</v>
      </c>
    </row>
    <row r="2308" spans="1:18" s="1" customFormat="1" x14ac:dyDescent="0.45">
      <c r="A2308" s="7" t="str">
        <f t="shared" si="795"/>
        <v>09940003210</v>
      </c>
      <c r="B2308" s="7" t="str">
        <f t="shared" si="796"/>
        <v>高石綾園</v>
      </c>
      <c r="C2308" s="7" t="str">
        <f t="shared" si="787"/>
        <v>行政財産</v>
      </c>
      <c r="D2308" s="7" t="str">
        <f t="shared" si="788"/>
        <v>公営住宅</v>
      </c>
      <c r="E2308" s="7" t="str">
        <f t="shared" si="797"/>
        <v>大阪府高石市綾園３丁目</v>
      </c>
      <c r="F2308" s="7"/>
      <c r="G2308" s="7" t="str">
        <f t="shared" si="785"/>
        <v>事業用資産</v>
      </c>
      <c r="H2308" s="7" t="str">
        <f t="shared" ref="H2308:H2371" si="798">"棚卸以外"</f>
        <v>棚卸以外</v>
      </c>
      <c r="I2308" s="7">
        <v>6</v>
      </c>
      <c r="J2308" s="7" t="str">
        <f>"集会所"</f>
        <v>集会所</v>
      </c>
      <c r="K2308" s="7" t="str">
        <f t="shared" si="794"/>
        <v>鉄筋コンクリート造</v>
      </c>
      <c r="L2308" s="7" t="str">
        <f>"H16.10.27"</f>
        <v>H16.10.27</v>
      </c>
      <c r="M2308" s="7">
        <v>99.97</v>
      </c>
      <c r="N2308" s="7">
        <v>20742000</v>
      </c>
      <c r="O2308" s="7">
        <v>8127717</v>
      </c>
      <c r="P2308" s="7">
        <v>0</v>
      </c>
      <c r="Q2308" s="7" t="str">
        <f t="shared" si="789"/>
        <v>都市整備部</v>
      </c>
      <c r="R2308" s="7" t="str">
        <f t="shared" si="786"/>
        <v>住宅建築局住宅経営室</v>
      </c>
    </row>
    <row r="2309" spans="1:18" s="1" customFormat="1" x14ac:dyDescent="0.45">
      <c r="A2309" s="7" t="str">
        <f t="shared" si="795"/>
        <v>09940003210</v>
      </c>
      <c r="B2309" s="7" t="str">
        <f t="shared" si="796"/>
        <v>高石綾園</v>
      </c>
      <c r="C2309" s="7" t="str">
        <f t="shared" si="787"/>
        <v>行政財産</v>
      </c>
      <c r="D2309" s="7" t="str">
        <f t="shared" si="788"/>
        <v>公営住宅</v>
      </c>
      <c r="E2309" s="7" t="str">
        <f t="shared" si="797"/>
        <v>大阪府高石市綾園３丁目</v>
      </c>
      <c r="F2309" s="7"/>
      <c r="G2309" s="7" t="str">
        <f t="shared" si="785"/>
        <v>事業用資産</v>
      </c>
      <c r="H2309" s="7" t="str">
        <f t="shared" si="798"/>
        <v>棚卸以外</v>
      </c>
      <c r="I2309" s="7">
        <v>7</v>
      </c>
      <c r="J2309" s="7" t="str">
        <f>"ポンプ室・電気室"</f>
        <v>ポンプ室・電気室</v>
      </c>
      <c r="K2309" s="7" t="str">
        <f t="shared" si="794"/>
        <v>鉄筋コンクリート造</v>
      </c>
      <c r="L2309" s="7" t="str">
        <f>"H16.10.27"</f>
        <v>H16.10.27</v>
      </c>
      <c r="M2309" s="7">
        <v>60</v>
      </c>
      <c r="N2309" s="7">
        <v>12257000</v>
      </c>
      <c r="O2309" s="7">
        <v>4802993</v>
      </c>
      <c r="P2309" s="7">
        <v>0</v>
      </c>
      <c r="Q2309" s="7" t="str">
        <f t="shared" si="789"/>
        <v>都市整備部</v>
      </c>
      <c r="R2309" s="7" t="str">
        <f t="shared" si="786"/>
        <v>住宅建築局住宅経営室</v>
      </c>
    </row>
    <row r="2310" spans="1:18" s="1" customFormat="1" x14ac:dyDescent="0.45">
      <c r="A2310" s="7" t="str">
        <f>"09940003213"</f>
        <v>09940003213</v>
      </c>
      <c r="B2310" s="7" t="str">
        <f>"八尾山本"</f>
        <v>八尾山本</v>
      </c>
      <c r="C2310" s="7" t="str">
        <f t="shared" si="787"/>
        <v>行政財産</v>
      </c>
      <c r="D2310" s="7" t="str">
        <f t="shared" si="788"/>
        <v>公営住宅</v>
      </c>
      <c r="E2310" s="7" t="str">
        <f>"大阪府八尾市山本町北６丁目"</f>
        <v>大阪府八尾市山本町北６丁目</v>
      </c>
      <c r="F2310" s="7"/>
      <c r="G2310" s="7" t="str">
        <f t="shared" si="785"/>
        <v>事業用資産</v>
      </c>
      <c r="H2310" s="7" t="str">
        <f t="shared" si="798"/>
        <v>棚卸以外</v>
      </c>
      <c r="I2310" s="7">
        <v>1</v>
      </c>
      <c r="J2310" s="7" t="str">
        <f>"１号棟"</f>
        <v>１号棟</v>
      </c>
      <c r="K2310" s="7" t="str">
        <f t="shared" si="794"/>
        <v>鉄筋コンクリート造</v>
      </c>
      <c r="L2310" s="7" t="str">
        <f>"H10.04.08"</f>
        <v>H10.04.08</v>
      </c>
      <c r="M2310" s="7">
        <v>4011.44</v>
      </c>
      <c r="N2310" s="7">
        <v>767037000</v>
      </c>
      <c r="O2310" s="7">
        <v>406638505</v>
      </c>
      <c r="P2310" s="7">
        <v>0</v>
      </c>
      <c r="Q2310" s="7" t="str">
        <f t="shared" si="789"/>
        <v>都市整備部</v>
      </c>
      <c r="R2310" s="7" t="str">
        <f t="shared" si="786"/>
        <v>住宅建築局住宅経営室</v>
      </c>
    </row>
    <row r="2311" spans="1:18" s="1" customFormat="1" x14ac:dyDescent="0.45">
      <c r="A2311" s="7" t="str">
        <f>"09940003213"</f>
        <v>09940003213</v>
      </c>
      <c r="B2311" s="7" t="str">
        <f>"八尾山本"</f>
        <v>八尾山本</v>
      </c>
      <c r="C2311" s="7" t="str">
        <f t="shared" si="787"/>
        <v>行政財産</v>
      </c>
      <c r="D2311" s="7" t="str">
        <f t="shared" si="788"/>
        <v>公営住宅</v>
      </c>
      <c r="E2311" s="7" t="str">
        <f>"大阪府八尾市山本町北６丁目"</f>
        <v>大阪府八尾市山本町北６丁目</v>
      </c>
      <c r="F2311" s="7"/>
      <c r="G2311" s="7" t="str">
        <f t="shared" si="785"/>
        <v>事業用資産</v>
      </c>
      <c r="H2311" s="7" t="str">
        <f t="shared" si="798"/>
        <v>棚卸以外</v>
      </c>
      <c r="I2311" s="7">
        <v>2</v>
      </c>
      <c r="J2311" s="7" t="str">
        <f>"２号棟"</f>
        <v>２号棟</v>
      </c>
      <c r="K2311" s="7" t="str">
        <f t="shared" si="794"/>
        <v>鉄筋コンクリート造</v>
      </c>
      <c r="L2311" s="7" t="str">
        <f>"H10.04.08"</f>
        <v>H10.04.08</v>
      </c>
      <c r="M2311" s="7">
        <v>3831.75</v>
      </c>
      <c r="N2311" s="7">
        <v>854040000</v>
      </c>
      <c r="O2311" s="7">
        <v>452762544</v>
      </c>
      <c r="P2311" s="7">
        <v>0</v>
      </c>
      <c r="Q2311" s="7" t="str">
        <f t="shared" si="789"/>
        <v>都市整備部</v>
      </c>
      <c r="R2311" s="7" t="str">
        <f t="shared" si="786"/>
        <v>住宅建築局住宅経営室</v>
      </c>
    </row>
    <row r="2312" spans="1:18" s="1" customFormat="1" x14ac:dyDescent="0.45">
      <c r="A2312" s="7" t="str">
        <f>"09940003213"</f>
        <v>09940003213</v>
      </c>
      <c r="B2312" s="7" t="str">
        <f>"八尾山本"</f>
        <v>八尾山本</v>
      </c>
      <c r="C2312" s="7" t="str">
        <f t="shared" si="787"/>
        <v>行政財産</v>
      </c>
      <c r="D2312" s="7" t="str">
        <f t="shared" si="788"/>
        <v>公営住宅</v>
      </c>
      <c r="E2312" s="7" t="str">
        <f>"大阪府八尾市山本町北６丁目"</f>
        <v>大阪府八尾市山本町北６丁目</v>
      </c>
      <c r="F2312" s="7"/>
      <c r="G2312" s="7" t="str">
        <f t="shared" si="785"/>
        <v>事業用資産</v>
      </c>
      <c r="H2312" s="7" t="str">
        <f t="shared" si="798"/>
        <v>棚卸以外</v>
      </c>
      <c r="I2312" s="7">
        <v>3</v>
      </c>
      <c r="J2312" s="7" t="str">
        <f>"受水槽ポンプ室・電気室"</f>
        <v>受水槽ポンプ室・電気室</v>
      </c>
      <c r="K2312" s="7" t="str">
        <f t="shared" si="794"/>
        <v>鉄筋コンクリート造</v>
      </c>
      <c r="L2312" s="7" t="str">
        <f>"H10.04.08"</f>
        <v>H10.04.08</v>
      </c>
      <c r="M2312" s="7">
        <v>113.47</v>
      </c>
      <c r="N2312" s="7">
        <v>85566000</v>
      </c>
      <c r="O2312" s="7">
        <v>45362187</v>
      </c>
      <c r="P2312" s="7">
        <v>0</v>
      </c>
      <c r="Q2312" s="7" t="str">
        <f t="shared" si="789"/>
        <v>都市整備部</v>
      </c>
      <c r="R2312" s="7" t="str">
        <f t="shared" si="786"/>
        <v>住宅建築局住宅経営室</v>
      </c>
    </row>
    <row r="2313" spans="1:18" s="1" customFormat="1" x14ac:dyDescent="0.45">
      <c r="A2313" s="7" t="str">
        <f>"09940003213"</f>
        <v>09940003213</v>
      </c>
      <c r="B2313" s="7" t="str">
        <f>"八尾山本"</f>
        <v>八尾山本</v>
      </c>
      <c r="C2313" s="7" t="str">
        <f t="shared" si="787"/>
        <v>行政財産</v>
      </c>
      <c r="D2313" s="7" t="str">
        <f t="shared" si="788"/>
        <v>公営住宅</v>
      </c>
      <c r="E2313" s="7" t="str">
        <f>"大阪府八尾市山本町北６丁目"</f>
        <v>大阪府八尾市山本町北６丁目</v>
      </c>
      <c r="F2313" s="7"/>
      <c r="G2313" s="7" t="str">
        <f t="shared" si="785"/>
        <v>事業用資産</v>
      </c>
      <c r="H2313" s="7" t="str">
        <f t="shared" si="798"/>
        <v>棚卸以外</v>
      </c>
      <c r="I2313" s="7">
        <v>4</v>
      </c>
      <c r="J2313" s="7" t="str">
        <f>"浄化槽"</f>
        <v>浄化槽</v>
      </c>
      <c r="K2313" s="7" t="str">
        <f t="shared" si="794"/>
        <v>鉄筋コンクリート造</v>
      </c>
      <c r="L2313" s="7" t="str">
        <f>"H10.04.08"</f>
        <v>H10.04.08</v>
      </c>
      <c r="M2313" s="7">
        <v>232.29</v>
      </c>
      <c r="N2313" s="7">
        <v>67984000</v>
      </c>
      <c r="O2313" s="7">
        <v>36041460</v>
      </c>
      <c r="P2313" s="7">
        <v>0</v>
      </c>
      <c r="Q2313" s="7" t="str">
        <f t="shared" si="789"/>
        <v>都市整備部</v>
      </c>
      <c r="R2313" s="7" t="str">
        <f t="shared" si="786"/>
        <v>住宅建築局住宅経営室</v>
      </c>
    </row>
    <row r="2314" spans="1:18" s="1" customFormat="1" x14ac:dyDescent="0.45">
      <c r="A2314" s="7" t="str">
        <f>"09940003213"</f>
        <v>09940003213</v>
      </c>
      <c r="B2314" s="7" t="str">
        <f>"八尾山本"</f>
        <v>八尾山本</v>
      </c>
      <c r="C2314" s="7" t="str">
        <f t="shared" si="787"/>
        <v>行政財産</v>
      </c>
      <c r="D2314" s="7" t="str">
        <f t="shared" si="788"/>
        <v>公営住宅</v>
      </c>
      <c r="E2314" s="7" t="str">
        <f>"大阪府八尾市山本町北６丁目"</f>
        <v>大阪府八尾市山本町北６丁目</v>
      </c>
      <c r="F2314" s="7"/>
      <c r="G2314" s="7" t="str">
        <f t="shared" si="785"/>
        <v>事業用資産</v>
      </c>
      <c r="H2314" s="7" t="str">
        <f t="shared" si="798"/>
        <v>棚卸以外</v>
      </c>
      <c r="I2314" s="7">
        <v>5</v>
      </c>
      <c r="J2314" s="7" t="str">
        <f>"集会所"</f>
        <v>集会所</v>
      </c>
      <c r="K2314" s="7" t="str">
        <f t="shared" si="794"/>
        <v>鉄筋コンクリート造</v>
      </c>
      <c r="L2314" s="7" t="str">
        <f>"H10.04.08"</f>
        <v>H10.04.08</v>
      </c>
      <c r="M2314" s="7">
        <v>69.86</v>
      </c>
      <c r="N2314" s="7">
        <v>26709000</v>
      </c>
      <c r="O2314" s="7">
        <v>14159743</v>
      </c>
      <c r="P2314" s="7">
        <v>0</v>
      </c>
      <c r="Q2314" s="7" t="str">
        <f t="shared" si="789"/>
        <v>都市整備部</v>
      </c>
      <c r="R2314" s="7" t="str">
        <f t="shared" si="786"/>
        <v>住宅建築局住宅経営室</v>
      </c>
    </row>
    <row r="2315" spans="1:18" s="1" customFormat="1" ht="26.4" x14ac:dyDescent="0.45">
      <c r="A2315" s="7" t="str">
        <f t="shared" ref="A2315:A2322" si="799">"09940003215"</f>
        <v>09940003215</v>
      </c>
      <c r="B2315" s="7" t="str">
        <f t="shared" ref="B2315:B2322" si="800">"美原南余部"</f>
        <v>美原南余部</v>
      </c>
      <c r="C2315" s="7" t="str">
        <f t="shared" si="787"/>
        <v>行政財産</v>
      </c>
      <c r="D2315" s="7" t="str">
        <f t="shared" si="788"/>
        <v>公営住宅</v>
      </c>
      <c r="E2315" s="7" t="str">
        <f t="shared" ref="E2315:E2322" si="801">"大阪府堺市　美原区南余部"</f>
        <v>大阪府堺市　美原区南余部</v>
      </c>
      <c r="F2315" s="7"/>
      <c r="G2315" s="7" t="str">
        <f t="shared" si="785"/>
        <v>事業用資産</v>
      </c>
      <c r="H2315" s="7" t="str">
        <f t="shared" si="798"/>
        <v>棚卸以外</v>
      </c>
      <c r="I2315" s="7">
        <v>1</v>
      </c>
      <c r="J2315" s="7" t="str">
        <f>"５号棟"</f>
        <v>５号棟</v>
      </c>
      <c r="K2315" s="7" t="str">
        <f>"鉄骨鉄筋コンクリート造"</f>
        <v>鉄骨鉄筋コンクリート造</v>
      </c>
      <c r="L2315" s="7" t="str">
        <f>"H08.12.11"</f>
        <v>H08.12.11</v>
      </c>
      <c r="M2315" s="7">
        <v>6472.65</v>
      </c>
      <c r="N2315" s="7">
        <v>1165812220</v>
      </c>
      <c r="O2315" s="7">
        <v>650977245</v>
      </c>
      <c r="P2315" s="7">
        <v>0</v>
      </c>
      <c r="Q2315" s="7" t="str">
        <f t="shared" si="789"/>
        <v>都市整備部</v>
      </c>
      <c r="R2315" s="7" t="str">
        <f t="shared" si="786"/>
        <v>住宅建築局住宅経営室</v>
      </c>
    </row>
    <row r="2316" spans="1:18" s="1" customFormat="1" ht="26.4" x14ac:dyDescent="0.45">
      <c r="A2316" s="7" t="str">
        <f t="shared" si="799"/>
        <v>09940003215</v>
      </c>
      <c r="B2316" s="7" t="str">
        <f t="shared" si="800"/>
        <v>美原南余部</v>
      </c>
      <c r="C2316" s="7" t="str">
        <f t="shared" si="787"/>
        <v>行政財産</v>
      </c>
      <c r="D2316" s="7" t="str">
        <f t="shared" si="788"/>
        <v>公営住宅</v>
      </c>
      <c r="E2316" s="7" t="str">
        <f t="shared" si="801"/>
        <v>大阪府堺市　美原区南余部</v>
      </c>
      <c r="F2316" s="7"/>
      <c r="G2316" s="7" t="str">
        <f t="shared" si="785"/>
        <v>事業用資産</v>
      </c>
      <c r="H2316" s="7" t="str">
        <f t="shared" si="798"/>
        <v>棚卸以外</v>
      </c>
      <c r="I2316" s="7">
        <v>2</v>
      </c>
      <c r="J2316" s="7" t="str">
        <f>"６号棟"</f>
        <v>６号棟</v>
      </c>
      <c r="K2316" s="7" t="str">
        <f>"鉄骨鉄筋コンクリート造"</f>
        <v>鉄骨鉄筋コンクリート造</v>
      </c>
      <c r="L2316" s="7" t="str">
        <f>"H08.12.11"</f>
        <v>H08.12.11</v>
      </c>
      <c r="M2316" s="7">
        <v>10612.72</v>
      </c>
      <c r="N2316" s="7">
        <v>1947528889</v>
      </c>
      <c r="O2316" s="7">
        <v>1087327248</v>
      </c>
      <c r="P2316" s="7">
        <v>0</v>
      </c>
      <c r="Q2316" s="7" t="str">
        <f t="shared" si="789"/>
        <v>都市整備部</v>
      </c>
      <c r="R2316" s="7" t="str">
        <f t="shared" si="786"/>
        <v>住宅建築局住宅経営室</v>
      </c>
    </row>
    <row r="2317" spans="1:18" s="1" customFormat="1" x14ac:dyDescent="0.45">
      <c r="A2317" s="7" t="str">
        <f t="shared" si="799"/>
        <v>09940003215</v>
      </c>
      <c r="B2317" s="7" t="str">
        <f t="shared" si="800"/>
        <v>美原南余部</v>
      </c>
      <c r="C2317" s="7" t="str">
        <f t="shared" si="787"/>
        <v>行政財産</v>
      </c>
      <c r="D2317" s="7" t="str">
        <f t="shared" si="788"/>
        <v>公営住宅</v>
      </c>
      <c r="E2317" s="7" t="str">
        <f t="shared" si="801"/>
        <v>大阪府堺市　美原区南余部</v>
      </c>
      <c r="F2317" s="7"/>
      <c r="G2317" s="7" t="str">
        <f t="shared" si="785"/>
        <v>事業用資産</v>
      </c>
      <c r="H2317" s="7" t="str">
        <f t="shared" si="798"/>
        <v>棚卸以外</v>
      </c>
      <c r="I2317" s="7">
        <v>3</v>
      </c>
      <c r="J2317" s="7" t="str">
        <f>"設備棟"</f>
        <v>設備棟</v>
      </c>
      <c r="K2317" s="7" t="str">
        <f t="shared" ref="K2317:K2348" si="802">"鉄筋コンクリート造"</f>
        <v>鉄筋コンクリート造</v>
      </c>
      <c r="L2317" s="7" t="str">
        <f>"H08.12.11"</f>
        <v>H08.12.11</v>
      </c>
      <c r="M2317" s="7">
        <v>148.12</v>
      </c>
      <c r="N2317" s="7">
        <v>53237000</v>
      </c>
      <c r="O2317" s="7">
        <v>29733480</v>
      </c>
      <c r="P2317" s="7">
        <v>0</v>
      </c>
      <c r="Q2317" s="7" t="str">
        <f t="shared" si="789"/>
        <v>都市整備部</v>
      </c>
      <c r="R2317" s="7" t="str">
        <f t="shared" si="786"/>
        <v>住宅建築局住宅経営室</v>
      </c>
    </row>
    <row r="2318" spans="1:18" s="1" customFormat="1" x14ac:dyDescent="0.45">
      <c r="A2318" s="7" t="str">
        <f t="shared" si="799"/>
        <v>09940003215</v>
      </c>
      <c r="B2318" s="7" t="str">
        <f t="shared" si="800"/>
        <v>美原南余部</v>
      </c>
      <c r="C2318" s="7" t="str">
        <f t="shared" si="787"/>
        <v>行政財産</v>
      </c>
      <c r="D2318" s="7" t="str">
        <f t="shared" si="788"/>
        <v>公営住宅</v>
      </c>
      <c r="E2318" s="7" t="str">
        <f t="shared" si="801"/>
        <v>大阪府堺市　美原区南余部</v>
      </c>
      <c r="F2318" s="7"/>
      <c r="G2318" s="7" t="str">
        <f t="shared" si="785"/>
        <v>事業用資産</v>
      </c>
      <c r="H2318" s="7" t="str">
        <f t="shared" si="798"/>
        <v>棚卸以外</v>
      </c>
      <c r="I2318" s="7">
        <v>4</v>
      </c>
      <c r="J2318" s="7" t="str">
        <f>"２号棟"</f>
        <v>２号棟</v>
      </c>
      <c r="K2318" s="7" t="str">
        <f t="shared" si="802"/>
        <v>鉄筋コンクリート造</v>
      </c>
      <c r="L2318" s="7" t="str">
        <f>"H12.09.29"</f>
        <v>H12.09.29</v>
      </c>
      <c r="M2318" s="7">
        <v>7059.04</v>
      </c>
      <c r="N2318" s="7">
        <v>1089143242</v>
      </c>
      <c r="O2318" s="7">
        <v>522721840</v>
      </c>
      <c r="P2318" s="7">
        <v>0</v>
      </c>
      <c r="Q2318" s="7" t="str">
        <f t="shared" si="789"/>
        <v>都市整備部</v>
      </c>
      <c r="R2318" s="7" t="str">
        <f t="shared" si="786"/>
        <v>住宅建築局住宅経営室</v>
      </c>
    </row>
    <row r="2319" spans="1:18" s="1" customFormat="1" x14ac:dyDescent="0.45">
      <c r="A2319" s="7" t="str">
        <f t="shared" si="799"/>
        <v>09940003215</v>
      </c>
      <c r="B2319" s="7" t="str">
        <f t="shared" si="800"/>
        <v>美原南余部</v>
      </c>
      <c r="C2319" s="7" t="str">
        <f t="shared" si="787"/>
        <v>行政財産</v>
      </c>
      <c r="D2319" s="7" t="str">
        <f t="shared" si="788"/>
        <v>公営住宅</v>
      </c>
      <c r="E2319" s="7" t="str">
        <f t="shared" si="801"/>
        <v>大阪府堺市　美原区南余部</v>
      </c>
      <c r="F2319" s="7"/>
      <c r="G2319" s="7" t="str">
        <f t="shared" si="785"/>
        <v>事業用資産</v>
      </c>
      <c r="H2319" s="7" t="str">
        <f t="shared" si="798"/>
        <v>棚卸以外</v>
      </c>
      <c r="I2319" s="7">
        <v>5</v>
      </c>
      <c r="J2319" s="7" t="str">
        <f>"３号棟"</f>
        <v>３号棟</v>
      </c>
      <c r="K2319" s="7" t="str">
        <f t="shared" si="802"/>
        <v>鉄筋コンクリート造</v>
      </c>
      <c r="L2319" s="7" t="str">
        <f>"H12.09.29"</f>
        <v>H12.09.29</v>
      </c>
      <c r="M2319" s="7">
        <v>7054.11</v>
      </c>
      <c r="N2319" s="7">
        <v>1179225242</v>
      </c>
      <c r="O2319" s="7">
        <v>565846240</v>
      </c>
      <c r="P2319" s="7">
        <v>0</v>
      </c>
      <c r="Q2319" s="7" t="str">
        <f t="shared" si="789"/>
        <v>都市整備部</v>
      </c>
      <c r="R2319" s="7" t="str">
        <f t="shared" si="786"/>
        <v>住宅建築局住宅経営室</v>
      </c>
    </row>
    <row r="2320" spans="1:18" s="1" customFormat="1" x14ac:dyDescent="0.45">
      <c r="A2320" s="7" t="str">
        <f t="shared" si="799"/>
        <v>09940003215</v>
      </c>
      <c r="B2320" s="7" t="str">
        <f t="shared" si="800"/>
        <v>美原南余部</v>
      </c>
      <c r="C2320" s="7" t="str">
        <f t="shared" si="787"/>
        <v>行政財産</v>
      </c>
      <c r="D2320" s="7" t="str">
        <f t="shared" si="788"/>
        <v>公営住宅</v>
      </c>
      <c r="E2320" s="7" t="str">
        <f t="shared" si="801"/>
        <v>大阪府堺市　美原区南余部</v>
      </c>
      <c r="F2320" s="7"/>
      <c r="G2320" s="7" t="str">
        <f t="shared" si="785"/>
        <v>事業用資産</v>
      </c>
      <c r="H2320" s="7" t="str">
        <f t="shared" si="798"/>
        <v>棚卸以外</v>
      </c>
      <c r="I2320" s="7">
        <v>6</v>
      </c>
      <c r="J2320" s="7" t="str">
        <f>"４号棟"</f>
        <v>４号棟</v>
      </c>
      <c r="K2320" s="7" t="str">
        <f t="shared" si="802"/>
        <v>鉄筋コンクリート造</v>
      </c>
      <c r="L2320" s="7" t="str">
        <f>"H12.09.29"</f>
        <v>H12.09.29</v>
      </c>
      <c r="M2320" s="7">
        <v>4841.12</v>
      </c>
      <c r="N2320" s="7">
        <v>782784778</v>
      </c>
      <c r="O2320" s="7">
        <v>375322646</v>
      </c>
      <c r="P2320" s="7">
        <v>0</v>
      </c>
      <c r="Q2320" s="7" t="str">
        <f t="shared" si="789"/>
        <v>都市整備部</v>
      </c>
      <c r="R2320" s="7" t="str">
        <f t="shared" si="786"/>
        <v>住宅建築局住宅経営室</v>
      </c>
    </row>
    <row r="2321" spans="1:18" s="1" customFormat="1" x14ac:dyDescent="0.45">
      <c r="A2321" s="7" t="str">
        <f t="shared" si="799"/>
        <v>09940003215</v>
      </c>
      <c r="B2321" s="7" t="str">
        <f t="shared" si="800"/>
        <v>美原南余部</v>
      </c>
      <c r="C2321" s="7" t="str">
        <f t="shared" si="787"/>
        <v>行政財産</v>
      </c>
      <c r="D2321" s="7" t="str">
        <f t="shared" si="788"/>
        <v>公営住宅</v>
      </c>
      <c r="E2321" s="7" t="str">
        <f t="shared" si="801"/>
        <v>大阪府堺市　美原区南余部</v>
      </c>
      <c r="F2321" s="7"/>
      <c r="G2321" s="7" t="str">
        <f t="shared" si="785"/>
        <v>事業用資産</v>
      </c>
      <c r="H2321" s="7" t="str">
        <f t="shared" si="798"/>
        <v>棚卸以外</v>
      </c>
      <c r="I2321" s="7">
        <v>7</v>
      </c>
      <c r="J2321" s="7" t="str">
        <f>"受水槽ポンプ室"</f>
        <v>受水槽ポンプ室</v>
      </c>
      <c r="K2321" s="7" t="str">
        <f t="shared" si="802"/>
        <v>鉄筋コンクリート造</v>
      </c>
      <c r="L2321" s="7" t="str">
        <f>"H12.09.29"</f>
        <v>H12.09.29</v>
      </c>
      <c r="M2321" s="7">
        <v>92.66</v>
      </c>
      <c r="N2321" s="7">
        <v>28373000</v>
      </c>
      <c r="O2321" s="7">
        <v>13582890</v>
      </c>
      <c r="P2321" s="7">
        <v>0</v>
      </c>
      <c r="Q2321" s="7" t="str">
        <f t="shared" si="789"/>
        <v>都市整備部</v>
      </c>
      <c r="R2321" s="7" t="str">
        <f t="shared" si="786"/>
        <v>住宅建築局住宅経営室</v>
      </c>
    </row>
    <row r="2322" spans="1:18" s="1" customFormat="1" x14ac:dyDescent="0.45">
      <c r="A2322" s="7" t="str">
        <f t="shared" si="799"/>
        <v>09940003215</v>
      </c>
      <c r="B2322" s="7" t="str">
        <f t="shared" si="800"/>
        <v>美原南余部</v>
      </c>
      <c r="C2322" s="7" t="str">
        <f t="shared" si="787"/>
        <v>行政財産</v>
      </c>
      <c r="D2322" s="7" t="str">
        <f t="shared" si="788"/>
        <v>公営住宅</v>
      </c>
      <c r="E2322" s="7" t="str">
        <f t="shared" si="801"/>
        <v>大阪府堺市　美原区南余部</v>
      </c>
      <c r="F2322" s="7"/>
      <c r="G2322" s="7" t="str">
        <f t="shared" si="785"/>
        <v>事業用資産</v>
      </c>
      <c r="H2322" s="7" t="str">
        <f t="shared" si="798"/>
        <v>棚卸以外</v>
      </c>
      <c r="I2322" s="7">
        <v>8</v>
      </c>
      <c r="J2322" s="7" t="str">
        <f>"受水槽ポンプ室"</f>
        <v>受水槽ポンプ室</v>
      </c>
      <c r="K2322" s="7" t="str">
        <f t="shared" si="802"/>
        <v>鉄筋コンクリート造</v>
      </c>
      <c r="L2322" s="7" t="str">
        <f>"H12.09.29"</f>
        <v>H12.09.29</v>
      </c>
      <c r="M2322" s="7">
        <v>43.98</v>
      </c>
      <c r="N2322" s="7">
        <v>24296000</v>
      </c>
      <c r="O2322" s="7">
        <v>11631330</v>
      </c>
      <c r="P2322" s="7">
        <v>0</v>
      </c>
      <c r="Q2322" s="7" t="str">
        <f t="shared" si="789"/>
        <v>都市整備部</v>
      </c>
      <c r="R2322" s="7" t="str">
        <f t="shared" si="786"/>
        <v>住宅建築局住宅経営室</v>
      </c>
    </row>
    <row r="2323" spans="1:18" s="1" customFormat="1" x14ac:dyDescent="0.45">
      <c r="A2323" s="7" t="str">
        <f t="shared" ref="A2323:A2340" si="803">"09940003217"</f>
        <v>09940003217</v>
      </c>
      <c r="B2323" s="7" t="str">
        <f t="shared" ref="B2323:B2340" si="804">"寝屋川御幸西"</f>
        <v>寝屋川御幸西</v>
      </c>
      <c r="C2323" s="7" t="str">
        <f t="shared" si="787"/>
        <v>行政財産</v>
      </c>
      <c r="D2323" s="7" t="str">
        <f t="shared" si="788"/>
        <v>公営住宅</v>
      </c>
      <c r="E2323" s="7" t="str">
        <f t="shared" ref="E2323:E2340" si="805">"大阪府寝屋川市御幸西町"</f>
        <v>大阪府寝屋川市御幸西町</v>
      </c>
      <c r="F2323" s="7"/>
      <c r="G2323" s="7" t="str">
        <f t="shared" si="785"/>
        <v>事業用資産</v>
      </c>
      <c r="H2323" s="7" t="str">
        <f t="shared" si="798"/>
        <v>棚卸以外</v>
      </c>
      <c r="I2323" s="7">
        <v>1</v>
      </c>
      <c r="J2323" s="7" t="str">
        <f>"３号棟"</f>
        <v>３号棟</v>
      </c>
      <c r="K2323" s="7" t="str">
        <f t="shared" si="802"/>
        <v>鉄筋コンクリート造</v>
      </c>
      <c r="L2323" s="7" t="str">
        <f>"H06.08.11"</f>
        <v>H06.08.11</v>
      </c>
      <c r="M2323" s="7">
        <v>1157.92</v>
      </c>
      <c r="N2323" s="7">
        <v>212714000</v>
      </c>
      <c r="O2323" s="7">
        <v>129363479</v>
      </c>
      <c r="P2323" s="7">
        <v>0</v>
      </c>
      <c r="Q2323" s="7" t="str">
        <f t="shared" si="789"/>
        <v>都市整備部</v>
      </c>
      <c r="R2323" s="7" t="str">
        <f t="shared" si="786"/>
        <v>住宅建築局住宅経営室</v>
      </c>
    </row>
    <row r="2324" spans="1:18" s="1" customFormat="1" x14ac:dyDescent="0.45">
      <c r="A2324" s="7" t="str">
        <f t="shared" si="803"/>
        <v>09940003217</v>
      </c>
      <c r="B2324" s="7" t="str">
        <f t="shared" si="804"/>
        <v>寝屋川御幸西</v>
      </c>
      <c r="C2324" s="7" t="str">
        <f t="shared" si="787"/>
        <v>行政財産</v>
      </c>
      <c r="D2324" s="7" t="str">
        <f t="shared" si="788"/>
        <v>公営住宅</v>
      </c>
      <c r="E2324" s="7" t="str">
        <f t="shared" si="805"/>
        <v>大阪府寝屋川市御幸西町</v>
      </c>
      <c r="F2324" s="7"/>
      <c r="G2324" s="7" t="str">
        <f t="shared" si="785"/>
        <v>事業用資産</v>
      </c>
      <c r="H2324" s="7" t="str">
        <f t="shared" si="798"/>
        <v>棚卸以外</v>
      </c>
      <c r="I2324" s="7">
        <v>2</v>
      </c>
      <c r="J2324" s="7" t="str">
        <f>"４号棟"</f>
        <v>４号棟</v>
      </c>
      <c r="K2324" s="7" t="str">
        <f t="shared" si="802"/>
        <v>鉄筋コンクリート造</v>
      </c>
      <c r="L2324" s="7" t="str">
        <f>"H06.08.11"</f>
        <v>H06.08.11</v>
      </c>
      <c r="M2324" s="7">
        <v>4683.04</v>
      </c>
      <c r="N2324" s="7">
        <v>977877150</v>
      </c>
      <c r="O2324" s="7">
        <v>594517098</v>
      </c>
      <c r="P2324" s="7">
        <v>0</v>
      </c>
      <c r="Q2324" s="7" t="str">
        <f t="shared" si="789"/>
        <v>都市整備部</v>
      </c>
      <c r="R2324" s="7" t="str">
        <f t="shared" si="786"/>
        <v>住宅建築局住宅経営室</v>
      </c>
    </row>
    <row r="2325" spans="1:18" s="1" customFormat="1" x14ac:dyDescent="0.45">
      <c r="A2325" s="7" t="str">
        <f t="shared" si="803"/>
        <v>09940003217</v>
      </c>
      <c r="B2325" s="7" t="str">
        <f t="shared" si="804"/>
        <v>寝屋川御幸西</v>
      </c>
      <c r="C2325" s="7" t="str">
        <f t="shared" si="787"/>
        <v>行政財産</v>
      </c>
      <c r="D2325" s="7" t="str">
        <f t="shared" si="788"/>
        <v>公営住宅</v>
      </c>
      <c r="E2325" s="7" t="str">
        <f t="shared" si="805"/>
        <v>大阪府寝屋川市御幸西町</v>
      </c>
      <c r="F2325" s="7"/>
      <c r="G2325" s="7" t="str">
        <f t="shared" si="785"/>
        <v>事業用資産</v>
      </c>
      <c r="H2325" s="7" t="str">
        <f t="shared" si="798"/>
        <v>棚卸以外</v>
      </c>
      <c r="I2325" s="7">
        <v>3</v>
      </c>
      <c r="J2325" s="7" t="str">
        <f>"受水槽"</f>
        <v>受水槽</v>
      </c>
      <c r="K2325" s="7" t="str">
        <f t="shared" si="802"/>
        <v>鉄筋コンクリート造</v>
      </c>
      <c r="L2325" s="7" t="str">
        <f>"H06.08.11"</f>
        <v>H06.08.11</v>
      </c>
      <c r="M2325" s="7">
        <v>76.31</v>
      </c>
      <c r="N2325" s="7">
        <v>43073000</v>
      </c>
      <c r="O2325" s="7">
        <v>26195253</v>
      </c>
      <c r="P2325" s="7">
        <v>0</v>
      </c>
      <c r="Q2325" s="7" t="str">
        <f t="shared" si="789"/>
        <v>都市整備部</v>
      </c>
      <c r="R2325" s="7" t="str">
        <f t="shared" si="786"/>
        <v>住宅建築局住宅経営室</v>
      </c>
    </row>
    <row r="2326" spans="1:18" s="1" customFormat="1" x14ac:dyDescent="0.45">
      <c r="A2326" s="7" t="str">
        <f t="shared" si="803"/>
        <v>09940003217</v>
      </c>
      <c r="B2326" s="7" t="str">
        <f t="shared" si="804"/>
        <v>寝屋川御幸西</v>
      </c>
      <c r="C2326" s="7" t="str">
        <f t="shared" si="787"/>
        <v>行政財産</v>
      </c>
      <c r="D2326" s="7" t="str">
        <f t="shared" si="788"/>
        <v>公営住宅</v>
      </c>
      <c r="E2326" s="7" t="str">
        <f t="shared" si="805"/>
        <v>大阪府寝屋川市御幸西町</v>
      </c>
      <c r="F2326" s="7"/>
      <c r="G2326" s="7" t="str">
        <f t="shared" si="785"/>
        <v>事業用資産</v>
      </c>
      <c r="H2326" s="7" t="str">
        <f t="shared" si="798"/>
        <v>棚卸以外</v>
      </c>
      <c r="I2326" s="7">
        <v>4</v>
      </c>
      <c r="J2326" s="7" t="str">
        <f>"電気室"</f>
        <v>電気室</v>
      </c>
      <c r="K2326" s="7" t="str">
        <f t="shared" si="802"/>
        <v>鉄筋コンクリート造</v>
      </c>
      <c r="L2326" s="7" t="str">
        <f>"H06.08.11"</f>
        <v>H06.08.11</v>
      </c>
      <c r="M2326" s="7">
        <v>30.6</v>
      </c>
      <c r="N2326" s="7">
        <v>5397000</v>
      </c>
      <c r="O2326" s="7">
        <v>3282510</v>
      </c>
      <c r="P2326" s="7">
        <v>0</v>
      </c>
      <c r="Q2326" s="7" t="str">
        <f t="shared" si="789"/>
        <v>都市整備部</v>
      </c>
      <c r="R2326" s="7" t="str">
        <f t="shared" si="786"/>
        <v>住宅建築局住宅経営室</v>
      </c>
    </row>
    <row r="2327" spans="1:18" s="1" customFormat="1" x14ac:dyDescent="0.45">
      <c r="A2327" s="7" t="str">
        <f t="shared" si="803"/>
        <v>09940003217</v>
      </c>
      <c r="B2327" s="7" t="str">
        <f t="shared" si="804"/>
        <v>寝屋川御幸西</v>
      </c>
      <c r="C2327" s="7" t="str">
        <f t="shared" si="787"/>
        <v>行政財産</v>
      </c>
      <c r="D2327" s="7" t="str">
        <f t="shared" si="788"/>
        <v>公営住宅</v>
      </c>
      <c r="E2327" s="7" t="str">
        <f t="shared" si="805"/>
        <v>大阪府寝屋川市御幸西町</v>
      </c>
      <c r="F2327" s="7"/>
      <c r="G2327" s="7" t="str">
        <f t="shared" ref="G2327:G2390" si="806">"事業用資産"</f>
        <v>事業用資産</v>
      </c>
      <c r="H2327" s="7" t="str">
        <f t="shared" si="798"/>
        <v>棚卸以外</v>
      </c>
      <c r="I2327" s="7">
        <v>5</v>
      </c>
      <c r="J2327" s="7" t="str">
        <f>"２号棟"</f>
        <v>２号棟</v>
      </c>
      <c r="K2327" s="7" t="str">
        <f t="shared" si="802"/>
        <v>鉄筋コンクリート造</v>
      </c>
      <c r="L2327" s="7" t="str">
        <f>"H07.03.28"</f>
        <v>H07.03.28</v>
      </c>
      <c r="M2327" s="7">
        <v>1788.66</v>
      </c>
      <c r="N2327" s="7">
        <v>319731000</v>
      </c>
      <c r="O2327" s="7">
        <v>190478064</v>
      </c>
      <c r="P2327" s="7">
        <v>0</v>
      </c>
      <c r="Q2327" s="7" t="str">
        <f t="shared" si="789"/>
        <v>都市整備部</v>
      </c>
      <c r="R2327" s="7" t="str">
        <f t="shared" si="786"/>
        <v>住宅建築局住宅経営室</v>
      </c>
    </row>
    <row r="2328" spans="1:18" s="1" customFormat="1" x14ac:dyDescent="0.45">
      <c r="A2328" s="7" t="str">
        <f t="shared" si="803"/>
        <v>09940003217</v>
      </c>
      <c r="B2328" s="7" t="str">
        <f t="shared" si="804"/>
        <v>寝屋川御幸西</v>
      </c>
      <c r="C2328" s="7" t="str">
        <f t="shared" si="787"/>
        <v>行政財産</v>
      </c>
      <c r="D2328" s="7" t="str">
        <f t="shared" si="788"/>
        <v>公営住宅</v>
      </c>
      <c r="E2328" s="7" t="str">
        <f t="shared" si="805"/>
        <v>大阪府寝屋川市御幸西町</v>
      </c>
      <c r="F2328" s="7"/>
      <c r="G2328" s="7" t="str">
        <f t="shared" si="806"/>
        <v>事業用資産</v>
      </c>
      <c r="H2328" s="7" t="str">
        <f t="shared" si="798"/>
        <v>棚卸以外</v>
      </c>
      <c r="I2328" s="7">
        <v>6</v>
      </c>
      <c r="J2328" s="7" t="str">
        <f>"５号棟"</f>
        <v>５号棟</v>
      </c>
      <c r="K2328" s="7" t="str">
        <f t="shared" si="802"/>
        <v>鉄筋コンクリート造</v>
      </c>
      <c r="L2328" s="7" t="str">
        <f>"H07.08.29"</f>
        <v>H07.08.29</v>
      </c>
      <c r="M2328" s="7">
        <v>3080.04</v>
      </c>
      <c r="N2328" s="7">
        <v>606829150</v>
      </c>
      <c r="O2328" s="7">
        <v>355957069</v>
      </c>
      <c r="P2328" s="7">
        <v>0</v>
      </c>
      <c r="Q2328" s="7" t="str">
        <f t="shared" si="789"/>
        <v>都市整備部</v>
      </c>
      <c r="R2328" s="7" t="str">
        <f t="shared" ref="R2328:R2391" si="807">"住宅建築局住宅経営室"</f>
        <v>住宅建築局住宅経営室</v>
      </c>
    </row>
    <row r="2329" spans="1:18" s="1" customFormat="1" x14ac:dyDescent="0.45">
      <c r="A2329" s="7" t="str">
        <f t="shared" si="803"/>
        <v>09940003217</v>
      </c>
      <c r="B2329" s="7" t="str">
        <f t="shared" si="804"/>
        <v>寝屋川御幸西</v>
      </c>
      <c r="C2329" s="7" t="str">
        <f t="shared" si="787"/>
        <v>行政財産</v>
      </c>
      <c r="D2329" s="7" t="str">
        <f t="shared" si="788"/>
        <v>公営住宅</v>
      </c>
      <c r="E2329" s="7" t="str">
        <f t="shared" si="805"/>
        <v>大阪府寝屋川市御幸西町</v>
      </c>
      <c r="F2329" s="7"/>
      <c r="G2329" s="7" t="str">
        <f t="shared" si="806"/>
        <v>事業用資産</v>
      </c>
      <c r="H2329" s="7" t="str">
        <f t="shared" si="798"/>
        <v>棚卸以外</v>
      </c>
      <c r="I2329" s="7">
        <v>7</v>
      </c>
      <c r="J2329" s="7" t="str">
        <f>"１号棟"</f>
        <v>１号棟</v>
      </c>
      <c r="K2329" s="7" t="str">
        <f t="shared" si="802"/>
        <v>鉄筋コンクリート造</v>
      </c>
      <c r="L2329" s="7" t="str">
        <f>"H07.08.29"</f>
        <v>H07.08.29</v>
      </c>
      <c r="M2329" s="7">
        <v>1552.06</v>
      </c>
      <c r="N2329" s="7">
        <v>260674440</v>
      </c>
      <c r="O2329" s="7">
        <v>152810122</v>
      </c>
      <c r="P2329" s="7">
        <v>0</v>
      </c>
      <c r="Q2329" s="7" t="str">
        <f t="shared" si="789"/>
        <v>都市整備部</v>
      </c>
      <c r="R2329" s="7" t="str">
        <f t="shared" si="807"/>
        <v>住宅建築局住宅経営室</v>
      </c>
    </row>
    <row r="2330" spans="1:18" s="1" customFormat="1" x14ac:dyDescent="0.45">
      <c r="A2330" s="7" t="str">
        <f t="shared" si="803"/>
        <v>09940003217</v>
      </c>
      <c r="B2330" s="7" t="str">
        <f t="shared" si="804"/>
        <v>寝屋川御幸西</v>
      </c>
      <c r="C2330" s="7" t="str">
        <f t="shared" ref="C2330:C2393" si="808">"行政財産"</f>
        <v>行政財産</v>
      </c>
      <c r="D2330" s="7" t="str">
        <f t="shared" ref="D2330:D2393" si="809">"公営住宅"</f>
        <v>公営住宅</v>
      </c>
      <c r="E2330" s="7" t="str">
        <f t="shared" si="805"/>
        <v>大阪府寝屋川市御幸西町</v>
      </c>
      <c r="F2330" s="7"/>
      <c r="G2330" s="7" t="str">
        <f t="shared" si="806"/>
        <v>事業用資産</v>
      </c>
      <c r="H2330" s="7" t="str">
        <f t="shared" si="798"/>
        <v>棚卸以外</v>
      </c>
      <c r="I2330" s="7">
        <v>8</v>
      </c>
      <c r="J2330" s="7" t="str">
        <f>"６号棟"</f>
        <v>６号棟</v>
      </c>
      <c r="K2330" s="7" t="str">
        <f t="shared" si="802"/>
        <v>鉄筋コンクリート造</v>
      </c>
      <c r="L2330" s="7" t="str">
        <f>"H11.03.26"</f>
        <v>H11.03.26</v>
      </c>
      <c r="M2330" s="7">
        <v>3905.63</v>
      </c>
      <c r="N2330" s="7">
        <v>881493150</v>
      </c>
      <c r="O2330" s="7">
        <v>449968896</v>
      </c>
      <c r="P2330" s="7">
        <v>0</v>
      </c>
      <c r="Q2330" s="7" t="str">
        <f t="shared" si="789"/>
        <v>都市整備部</v>
      </c>
      <c r="R2330" s="7" t="str">
        <f t="shared" si="807"/>
        <v>住宅建築局住宅経営室</v>
      </c>
    </row>
    <row r="2331" spans="1:18" s="1" customFormat="1" x14ac:dyDescent="0.45">
      <c r="A2331" s="7" t="str">
        <f t="shared" si="803"/>
        <v>09940003217</v>
      </c>
      <c r="B2331" s="7" t="str">
        <f t="shared" si="804"/>
        <v>寝屋川御幸西</v>
      </c>
      <c r="C2331" s="7" t="str">
        <f t="shared" si="808"/>
        <v>行政財産</v>
      </c>
      <c r="D2331" s="7" t="str">
        <f t="shared" si="809"/>
        <v>公営住宅</v>
      </c>
      <c r="E2331" s="7" t="str">
        <f t="shared" si="805"/>
        <v>大阪府寝屋川市御幸西町</v>
      </c>
      <c r="F2331" s="7"/>
      <c r="G2331" s="7" t="str">
        <f t="shared" si="806"/>
        <v>事業用資産</v>
      </c>
      <c r="H2331" s="7" t="str">
        <f t="shared" si="798"/>
        <v>棚卸以外</v>
      </c>
      <c r="I2331" s="7">
        <v>9</v>
      </c>
      <c r="J2331" s="7" t="str">
        <f>"７号棟"</f>
        <v>７号棟</v>
      </c>
      <c r="K2331" s="7" t="str">
        <f t="shared" si="802"/>
        <v>鉄筋コンクリート造</v>
      </c>
      <c r="L2331" s="7" t="str">
        <f>"H11.03.26"</f>
        <v>H11.03.26</v>
      </c>
      <c r="M2331" s="7">
        <v>3321.44</v>
      </c>
      <c r="N2331" s="7">
        <v>763251150</v>
      </c>
      <c r="O2331" s="7">
        <v>389589984</v>
      </c>
      <c r="P2331" s="7">
        <v>0</v>
      </c>
      <c r="Q2331" s="7" t="str">
        <f t="shared" ref="Q2331:Q2394" si="810">"都市整備部"</f>
        <v>都市整備部</v>
      </c>
      <c r="R2331" s="7" t="str">
        <f t="shared" si="807"/>
        <v>住宅建築局住宅経営室</v>
      </c>
    </row>
    <row r="2332" spans="1:18" s="1" customFormat="1" x14ac:dyDescent="0.45">
      <c r="A2332" s="7" t="str">
        <f t="shared" si="803"/>
        <v>09940003217</v>
      </c>
      <c r="B2332" s="7" t="str">
        <f t="shared" si="804"/>
        <v>寝屋川御幸西</v>
      </c>
      <c r="C2332" s="7" t="str">
        <f t="shared" si="808"/>
        <v>行政財産</v>
      </c>
      <c r="D2332" s="7" t="str">
        <f t="shared" si="809"/>
        <v>公営住宅</v>
      </c>
      <c r="E2332" s="7" t="str">
        <f t="shared" si="805"/>
        <v>大阪府寝屋川市御幸西町</v>
      </c>
      <c r="F2332" s="7"/>
      <c r="G2332" s="7" t="str">
        <f t="shared" si="806"/>
        <v>事業用資産</v>
      </c>
      <c r="H2332" s="7" t="str">
        <f t="shared" si="798"/>
        <v>棚卸以外</v>
      </c>
      <c r="I2332" s="7">
        <v>10</v>
      </c>
      <c r="J2332" s="7" t="str">
        <f>"受水槽ポンプ室・電気室"</f>
        <v>受水槽ポンプ室・電気室</v>
      </c>
      <c r="K2332" s="7" t="str">
        <f t="shared" si="802"/>
        <v>鉄筋コンクリート造</v>
      </c>
      <c r="L2332" s="7" t="str">
        <f>"H11.03.26"</f>
        <v>H11.03.26</v>
      </c>
      <c r="M2332" s="7">
        <v>108.7</v>
      </c>
      <c r="N2332" s="7">
        <v>41862000</v>
      </c>
      <c r="O2332" s="7">
        <v>21376512</v>
      </c>
      <c r="P2332" s="7">
        <v>0</v>
      </c>
      <c r="Q2332" s="7" t="str">
        <f t="shared" si="810"/>
        <v>都市整備部</v>
      </c>
      <c r="R2332" s="7" t="str">
        <f t="shared" si="807"/>
        <v>住宅建築局住宅経営室</v>
      </c>
    </row>
    <row r="2333" spans="1:18" s="1" customFormat="1" x14ac:dyDescent="0.45">
      <c r="A2333" s="7" t="str">
        <f t="shared" si="803"/>
        <v>09940003217</v>
      </c>
      <c r="B2333" s="7" t="str">
        <f t="shared" si="804"/>
        <v>寝屋川御幸西</v>
      </c>
      <c r="C2333" s="7" t="str">
        <f t="shared" si="808"/>
        <v>行政財産</v>
      </c>
      <c r="D2333" s="7" t="str">
        <f t="shared" si="809"/>
        <v>公営住宅</v>
      </c>
      <c r="E2333" s="7" t="str">
        <f t="shared" si="805"/>
        <v>大阪府寝屋川市御幸西町</v>
      </c>
      <c r="F2333" s="7"/>
      <c r="G2333" s="7" t="str">
        <f t="shared" si="806"/>
        <v>事業用資産</v>
      </c>
      <c r="H2333" s="7" t="str">
        <f t="shared" si="798"/>
        <v>棚卸以外</v>
      </c>
      <c r="I2333" s="7">
        <v>11</v>
      </c>
      <c r="J2333" s="7" t="str">
        <f>"集会所"</f>
        <v>集会所</v>
      </c>
      <c r="K2333" s="7" t="str">
        <f t="shared" si="802"/>
        <v>鉄筋コンクリート造</v>
      </c>
      <c r="L2333" s="7" t="str">
        <f>"H11.03.26"</f>
        <v>H11.03.26</v>
      </c>
      <c r="M2333" s="7">
        <v>168.1</v>
      </c>
      <c r="N2333" s="7">
        <v>45792000</v>
      </c>
      <c r="O2333" s="7">
        <v>22691277</v>
      </c>
      <c r="P2333" s="7">
        <v>0</v>
      </c>
      <c r="Q2333" s="7" t="str">
        <f t="shared" si="810"/>
        <v>都市整備部</v>
      </c>
      <c r="R2333" s="7" t="str">
        <f t="shared" si="807"/>
        <v>住宅建築局住宅経営室</v>
      </c>
    </row>
    <row r="2334" spans="1:18" s="1" customFormat="1" x14ac:dyDescent="0.45">
      <c r="A2334" s="7" t="str">
        <f t="shared" si="803"/>
        <v>09940003217</v>
      </c>
      <c r="B2334" s="7" t="str">
        <f t="shared" si="804"/>
        <v>寝屋川御幸西</v>
      </c>
      <c r="C2334" s="7" t="str">
        <f t="shared" si="808"/>
        <v>行政財産</v>
      </c>
      <c r="D2334" s="7" t="str">
        <f t="shared" si="809"/>
        <v>公営住宅</v>
      </c>
      <c r="E2334" s="7" t="str">
        <f t="shared" si="805"/>
        <v>大阪府寝屋川市御幸西町</v>
      </c>
      <c r="F2334" s="7"/>
      <c r="G2334" s="7" t="str">
        <f t="shared" si="806"/>
        <v>事業用資産</v>
      </c>
      <c r="H2334" s="7" t="str">
        <f t="shared" si="798"/>
        <v>棚卸以外</v>
      </c>
      <c r="I2334" s="7">
        <v>12</v>
      </c>
      <c r="J2334" s="7" t="str">
        <f>"８号棟"</f>
        <v>８号棟</v>
      </c>
      <c r="K2334" s="7" t="str">
        <f t="shared" si="802"/>
        <v>鉄筋コンクリート造</v>
      </c>
      <c r="L2334" s="7" t="str">
        <f>"H14.07.30"</f>
        <v>H14.07.30</v>
      </c>
      <c r="M2334" s="7">
        <v>2130.6799999999998</v>
      </c>
      <c r="N2334" s="7">
        <v>303051114</v>
      </c>
      <c r="O2334" s="7">
        <v>132998244</v>
      </c>
      <c r="P2334" s="7">
        <v>0</v>
      </c>
      <c r="Q2334" s="7" t="str">
        <f t="shared" si="810"/>
        <v>都市整備部</v>
      </c>
      <c r="R2334" s="7" t="str">
        <f t="shared" si="807"/>
        <v>住宅建築局住宅経営室</v>
      </c>
    </row>
    <row r="2335" spans="1:18" s="1" customFormat="1" x14ac:dyDescent="0.45">
      <c r="A2335" s="7" t="str">
        <f t="shared" si="803"/>
        <v>09940003217</v>
      </c>
      <c r="B2335" s="7" t="str">
        <f t="shared" si="804"/>
        <v>寝屋川御幸西</v>
      </c>
      <c r="C2335" s="7" t="str">
        <f t="shared" si="808"/>
        <v>行政財産</v>
      </c>
      <c r="D2335" s="7" t="str">
        <f t="shared" si="809"/>
        <v>公営住宅</v>
      </c>
      <c r="E2335" s="7" t="str">
        <f t="shared" si="805"/>
        <v>大阪府寝屋川市御幸西町</v>
      </c>
      <c r="F2335" s="7"/>
      <c r="G2335" s="7" t="str">
        <f t="shared" si="806"/>
        <v>事業用資産</v>
      </c>
      <c r="H2335" s="7" t="str">
        <f t="shared" si="798"/>
        <v>棚卸以外</v>
      </c>
      <c r="I2335" s="7">
        <v>13</v>
      </c>
      <c r="J2335" s="7" t="str">
        <f>"９号棟"</f>
        <v>９号棟</v>
      </c>
      <c r="K2335" s="7" t="str">
        <f t="shared" si="802"/>
        <v>鉄筋コンクリート造</v>
      </c>
      <c r="L2335" s="7" t="str">
        <f>"H14.07.30"</f>
        <v>H14.07.30</v>
      </c>
      <c r="M2335" s="7">
        <v>2535.36</v>
      </c>
      <c r="N2335" s="7">
        <v>333104114</v>
      </c>
      <c r="O2335" s="7">
        <v>146213172</v>
      </c>
      <c r="P2335" s="7">
        <v>0</v>
      </c>
      <c r="Q2335" s="7" t="str">
        <f t="shared" si="810"/>
        <v>都市整備部</v>
      </c>
      <c r="R2335" s="7" t="str">
        <f t="shared" si="807"/>
        <v>住宅建築局住宅経営室</v>
      </c>
    </row>
    <row r="2336" spans="1:18" s="1" customFormat="1" x14ac:dyDescent="0.45">
      <c r="A2336" s="7" t="str">
        <f t="shared" si="803"/>
        <v>09940003217</v>
      </c>
      <c r="B2336" s="7" t="str">
        <f t="shared" si="804"/>
        <v>寝屋川御幸西</v>
      </c>
      <c r="C2336" s="7" t="str">
        <f t="shared" si="808"/>
        <v>行政財産</v>
      </c>
      <c r="D2336" s="7" t="str">
        <f t="shared" si="809"/>
        <v>公営住宅</v>
      </c>
      <c r="E2336" s="7" t="str">
        <f t="shared" si="805"/>
        <v>大阪府寝屋川市御幸西町</v>
      </c>
      <c r="F2336" s="7"/>
      <c r="G2336" s="7" t="str">
        <f t="shared" si="806"/>
        <v>事業用資産</v>
      </c>
      <c r="H2336" s="7" t="str">
        <f t="shared" si="798"/>
        <v>棚卸以外</v>
      </c>
      <c r="I2336" s="7">
        <v>14</v>
      </c>
      <c r="J2336" s="7" t="str">
        <f>"１０号棟"</f>
        <v>１０号棟</v>
      </c>
      <c r="K2336" s="7" t="str">
        <f t="shared" si="802"/>
        <v>鉄筋コンクリート造</v>
      </c>
      <c r="L2336" s="7" t="str">
        <f>"H14.07.30"</f>
        <v>H14.07.30</v>
      </c>
      <c r="M2336" s="7">
        <v>1930.16</v>
      </c>
      <c r="N2336" s="7">
        <v>275533115</v>
      </c>
      <c r="O2336" s="7">
        <v>120898076</v>
      </c>
      <c r="P2336" s="7">
        <v>0</v>
      </c>
      <c r="Q2336" s="7" t="str">
        <f t="shared" si="810"/>
        <v>都市整備部</v>
      </c>
      <c r="R2336" s="7" t="str">
        <f t="shared" si="807"/>
        <v>住宅建築局住宅経営室</v>
      </c>
    </row>
    <row r="2337" spans="1:18" s="1" customFormat="1" x14ac:dyDescent="0.45">
      <c r="A2337" s="7" t="str">
        <f t="shared" si="803"/>
        <v>09940003217</v>
      </c>
      <c r="B2337" s="7" t="str">
        <f t="shared" si="804"/>
        <v>寝屋川御幸西</v>
      </c>
      <c r="C2337" s="7" t="str">
        <f t="shared" si="808"/>
        <v>行政財産</v>
      </c>
      <c r="D2337" s="7" t="str">
        <f t="shared" si="809"/>
        <v>公営住宅</v>
      </c>
      <c r="E2337" s="7" t="str">
        <f t="shared" si="805"/>
        <v>大阪府寝屋川市御幸西町</v>
      </c>
      <c r="F2337" s="7"/>
      <c r="G2337" s="7" t="str">
        <f t="shared" si="806"/>
        <v>事業用資産</v>
      </c>
      <c r="H2337" s="7" t="str">
        <f t="shared" si="798"/>
        <v>棚卸以外</v>
      </c>
      <c r="I2337" s="7">
        <v>15</v>
      </c>
      <c r="J2337" s="7" t="str">
        <f>"１１号棟"</f>
        <v>１１号棟</v>
      </c>
      <c r="K2337" s="7" t="str">
        <f t="shared" si="802"/>
        <v>鉄筋コンクリート造</v>
      </c>
      <c r="L2337" s="7" t="str">
        <f>"H16.06.29"</f>
        <v>H16.06.29</v>
      </c>
      <c r="M2337" s="7">
        <v>3137.25</v>
      </c>
      <c r="N2337" s="7">
        <v>473669115</v>
      </c>
      <c r="O2337" s="7">
        <v>188730995</v>
      </c>
      <c r="P2337" s="7">
        <v>0</v>
      </c>
      <c r="Q2337" s="7" t="str">
        <f t="shared" si="810"/>
        <v>都市整備部</v>
      </c>
      <c r="R2337" s="7" t="str">
        <f t="shared" si="807"/>
        <v>住宅建築局住宅経営室</v>
      </c>
    </row>
    <row r="2338" spans="1:18" s="1" customFormat="1" x14ac:dyDescent="0.45">
      <c r="A2338" s="7" t="str">
        <f t="shared" si="803"/>
        <v>09940003217</v>
      </c>
      <c r="B2338" s="7" t="str">
        <f t="shared" si="804"/>
        <v>寝屋川御幸西</v>
      </c>
      <c r="C2338" s="7" t="str">
        <f t="shared" si="808"/>
        <v>行政財産</v>
      </c>
      <c r="D2338" s="7" t="str">
        <f t="shared" si="809"/>
        <v>公営住宅</v>
      </c>
      <c r="E2338" s="7" t="str">
        <f t="shared" si="805"/>
        <v>大阪府寝屋川市御幸西町</v>
      </c>
      <c r="F2338" s="7"/>
      <c r="G2338" s="7" t="str">
        <f t="shared" si="806"/>
        <v>事業用資産</v>
      </c>
      <c r="H2338" s="7" t="str">
        <f t="shared" si="798"/>
        <v>棚卸以外</v>
      </c>
      <c r="I2338" s="7">
        <v>16</v>
      </c>
      <c r="J2338" s="7" t="str">
        <f>"１２号棟"</f>
        <v>１２号棟</v>
      </c>
      <c r="K2338" s="7" t="str">
        <f t="shared" si="802"/>
        <v>鉄筋コンクリート造</v>
      </c>
      <c r="L2338" s="7" t="str">
        <f>"H16.06.29"</f>
        <v>H16.06.29</v>
      </c>
      <c r="M2338" s="7">
        <v>3137.25</v>
      </c>
      <c r="N2338" s="7">
        <v>527978115</v>
      </c>
      <c r="O2338" s="7">
        <v>210396920</v>
      </c>
      <c r="P2338" s="7">
        <v>0</v>
      </c>
      <c r="Q2338" s="7" t="str">
        <f t="shared" si="810"/>
        <v>都市整備部</v>
      </c>
      <c r="R2338" s="7" t="str">
        <f t="shared" si="807"/>
        <v>住宅建築局住宅経営室</v>
      </c>
    </row>
    <row r="2339" spans="1:18" s="1" customFormat="1" x14ac:dyDescent="0.45">
      <c r="A2339" s="7" t="str">
        <f t="shared" si="803"/>
        <v>09940003217</v>
      </c>
      <c r="B2339" s="7" t="str">
        <f t="shared" si="804"/>
        <v>寝屋川御幸西</v>
      </c>
      <c r="C2339" s="7" t="str">
        <f t="shared" si="808"/>
        <v>行政財産</v>
      </c>
      <c r="D2339" s="7" t="str">
        <f t="shared" si="809"/>
        <v>公営住宅</v>
      </c>
      <c r="E2339" s="7" t="str">
        <f t="shared" si="805"/>
        <v>大阪府寝屋川市御幸西町</v>
      </c>
      <c r="F2339" s="7"/>
      <c r="G2339" s="7" t="str">
        <f t="shared" si="806"/>
        <v>事業用資産</v>
      </c>
      <c r="H2339" s="7" t="str">
        <f t="shared" si="798"/>
        <v>棚卸以外</v>
      </c>
      <c r="I2339" s="7">
        <v>17</v>
      </c>
      <c r="J2339" s="7" t="str">
        <f>"１３号棟"</f>
        <v>１３号棟</v>
      </c>
      <c r="K2339" s="7" t="str">
        <f t="shared" si="802"/>
        <v>鉄筋コンクリート造</v>
      </c>
      <c r="L2339" s="7" t="str">
        <f>"H16.06.29"</f>
        <v>H16.06.29</v>
      </c>
      <c r="M2339" s="7">
        <v>1176.54</v>
      </c>
      <c r="N2339" s="7">
        <v>222576115</v>
      </c>
      <c r="O2339" s="7">
        <v>88560995</v>
      </c>
      <c r="P2339" s="7">
        <v>0</v>
      </c>
      <c r="Q2339" s="7" t="str">
        <f t="shared" si="810"/>
        <v>都市整備部</v>
      </c>
      <c r="R2339" s="7" t="str">
        <f t="shared" si="807"/>
        <v>住宅建築局住宅経営室</v>
      </c>
    </row>
    <row r="2340" spans="1:18" s="1" customFormat="1" x14ac:dyDescent="0.45">
      <c r="A2340" s="7" t="str">
        <f t="shared" si="803"/>
        <v>09940003217</v>
      </c>
      <c r="B2340" s="7" t="str">
        <f t="shared" si="804"/>
        <v>寝屋川御幸西</v>
      </c>
      <c r="C2340" s="7" t="str">
        <f t="shared" si="808"/>
        <v>行政財産</v>
      </c>
      <c r="D2340" s="7" t="str">
        <f t="shared" si="809"/>
        <v>公営住宅</v>
      </c>
      <c r="E2340" s="7" t="str">
        <f t="shared" si="805"/>
        <v>大阪府寝屋川市御幸西町</v>
      </c>
      <c r="F2340" s="7"/>
      <c r="G2340" s="7" t="str">
        <f t="shared" si="806"/>
        <v>事業用資産</v>
      </c>
      <c r="H2340" s="7" t="str">
        <f t="shared" si="798"/>
        <v>棚卸以外</v>
      </c>
      <c r="I2340" s="7">
        <v>18</v>
      </c>
      <c r="J2340" s="7" t="str">
        <f>"ポンプ室・電気室"</f>
        <v>ポンプ室・電気室</v>
      </c>
      <c r="K2340" s="7" t="str">
        <f t="shared" si="802"/>
        <v>鉄筋コンクリート造</v>
      </c>
      <c r="L2340" s="7" t="str">
        <f>"H16.06.29"</f>
        <v>H16.06.29</v>
      </c>
      <c r="M2340" s="7">
        <v>60.2</v>
      </c>
      <c r="N2340" s="7">
        <v>20056000</v>
      </c>
      <c r="O2340" s="7">
        <v>8001225</v>
      </c>
      <c r="P2340" s="7">
        <v>0</v>
      </c>
      <c r="Q2340" s="7" t="str">
        <f t="shared" si="810"/>
        <v>都市整備部</v>
      </c>
      <c r="R2340" s="7" t="str">
        <f t="shared" si="807"/>
        <v>住宅建築局住宅経営室</v>
      </c>
    </row>
    <row r="2341" spans="1:18" s="1" customFormat="1" x14ac:dyDescent="0.45">
      <c r="A2341" s="7" t="str">
        <f t="shared" ref="A2341:A2354" si="811">"09940003219"</f>
        <v>09940003219</v>
      </c>
      <c r="B2341" s="7" t="str">
        <f t="shared" ref="B2341:B2354" si="812">"東大阪島之内"</f>
        <v>東大阪島之内</v>
      </c>
      <c r="C2341" s="7" t="str">
        <f t="shared" si="808"/>
        <v>行政財産</v>
      </c>
      <c r="D2341" s="7" t="str">
        <f t="shared" si="809"/>
        <v>公営住宅</v>
      </c>
      <c r="E2341" s="7" t="str">
        <f t="shared" ref="E2341:E2354" si="813">"大阪府東大阪市島之内２丁目"</f>
        <v>大阪府東大阪市島之内２丁目</v>
      </c>
      <c r="F2341" s="7"/>
      <c r="G2341" s="7" t="str">
        <f t="shared" si="806"/>
        <v>事業用資産</v>
      </c>
      <c r="H2341" s="7" t="str">
        <f t="shared" si="798"/>
        <v>棚卸以外</v>
      </c>
      <c r="I2341" s="7">
        <v>1</v>
      </c>
      <c r="J2341" s="7" t="str">
        <f>"２号棟"</f>
        <v>２号棟</v>
      </c>
      <c r="K2341" s="7" t="str">
        <f t="shared" si="802"/>
        <v>鉄筋コンクリート造</v>
      </c>
      <c r="L2341" s="7" t="str">
        <f>"H11.11.30"</f>
        <v>H11.11.30</v>
      </c>
      <c r="M2341" s="7">
        <v>4945.8599999999997</v>
      </c>
      <c r="N2341" s="7">
        <v>869784947</v>
      </c>
      <c r="O2341" s="7">
        <v>431376250</v>
      </c>
      <c r="P2341" s="7">
        <v>0</v>
      </c>
      <c r="Q2341" s="7" t="str">
        <f t="shared" si="810"/>
        <v>都市整備部</v>
      </c>
      <c r="R2341" s="7" t="str">
        <f t="shared" si="807"/>
        <v>住宅建築局住宅経営室</v>
      </c>
    </row>
    <row r="2342" spans="1:18" s="1" customFormat="1" x14ac:dyDescent="0.45">
      <c r="A2342" s="7" t="str">
        <f t="shared" si="811"/>
        <v>09940003219</v>
      </c>
      <c r="B2342" s="7" t="str">
        <f t="shared" si="812"/>
        <v>東大阪島之内</v>
      </c>
      <c r="C2342" s="7" t="str">
        <f t="shared" si="808"/>
        <v>行政財産</v>
      </c>
      <c r="D2342" s="7" t="str">
        <f t="shared" si="809"/>
        <v>公営住宅</v>
      </c>
      <c r="E2342" s="7" t="str">
        <f t="shared" si="813"/>
        <v>大阪府東大阪市島之内２丁目</v>
      </c>
      <c r="F2342" s="7"/>
      <c r="G2342" s="7" t="str">
        <f t="shared" si="806"/>
        <v>事業用資産</v>
      </c>
      <c r="H2342" s="7" t="str">
        <f t="shared" si="798"/>
        <v>棚卸以外</v>
      </c>
      <c r="I2342" s="7">
        <v>2</v>
      </c>
      <c r="J2342" s="7" t="str">
        <f>"３号棟"</f>
        <v>３号棟</v>
      </c>
      <c r="K2342" s="7" t="str">
        <f t="shared" si="802"/>
        <v>鉄筋コンクリート造</v>
      </c>
      <c r="L2342" s="7" t="str">
        <f>"H11.11.30"</f>
        <v>H11.11.30</v>
      </c>
      <c r="M2342" s="7">
        <v>3740.13</v>
      </c>
      <c r="N2342" s="7">
        <v>669895946</v>
      </c>
      <c r="O2342" s="7">
        <v>332140610</v>
      </c>
      <c r="P2342" s="7">
        <v>0</v>
      </c>
      <c r="Q2342" s="7" t="str">
        <f t="shared" si="810"/>
        <v>都市整備部</v>
      </c>
      <c r="R2342" s="7" t="str">
        <f t="shared" si="807"/>
        <v>住宅建築局住宅経営室</v>
      </c>
    </row>
    <row r="2343" spans="1:18" s="1" customFormat="1" x14ac:dyDescent="0.45">
      <c r="A2343" s="7" t="str">
        <f t="shared" si="811"/>
        <v>09940003219</v>
      </c>
      <c r="B2343" s="7" t="str">
        <f t="shared" si="812"/>
        <v>東大阪島之内</v>
      </c>
      <c r="C2343" s="7" t="str">
        <f t="shared" si="808"/>
        <v>行政財産</v>
      </c>
      <c r="D2343" s="7" t="str">
        <f t="shared" si="809"/>
        <v>公営住宅</v>
      </c>
      <c r="E2343" s="7" t="str">
        <f t="shared" si="813"/>
        <v>大阪府東大阪市島之内２丁目</v>
      </c>
      <c r="F2343" s="7"/>
      <c r="G2343" s="7" t="str">
        <f t="shared" si="806"/>
        <v>事業用資産</v>
      </c>
      <c r="H2343" s="7" t="str">
        <f t="shared" si="798"/>
        <v>棚卸以外</v>
      </c>
      <c r="I2343" s="7">
        <v>3</v>
      </c>
      <c r="J2343" s="7" t="str">
        <f>"１号棟"</f>
        <v>１号棟</v>
      </c>
      <c r="K2343" s="7" t="str">
        <f t="shared" si="802"/>
        <v>鉄筋コンクリート造</v>
      </c>
      <c r="L2343" s="7" t="str">
        <f>"H12.04.21"</f>
        <v>H12.04.21</v>
      </c>
      <c r="M2343" s="7">
        <v>5068.46</v>
      </c>
      <c r="N2343" s="7">
        <v>881168890</v>
      </c>
      <c r="O2343" s="7">
        <v>428800145</v>
      </c>
      <c r="P2343" s="7">
        <v>0</v>
      </c>
      <c r="Q2343" s="7" t="str">
        <f t="shared" si="810"/>
        <v>都市整備部</v>
      </c>
      <c r="R2343" s="7" t="str">
        <f t="shared" si="807"/>
        <v>住宅建築局住宅経営室</v>
      </c>
    </row>
    <row r="2344" spans="1:18" s="1" customFormat="1" x14ac:dyDescent="0.45">
      <c r="A2344" s="7" t="str">
        <f t="shared" si="811"/>
        <v>09940003219</v>
      </c>
      <c r="B2344" s="7" t="str">
        <f t="shared" si="812"/>
        <v>東大阪島之内</v>
      </c>
      <c r="C2344" s="7" t="str">
        <f t="shared" si="808"/>
        <v>行政財産</v>
      </c>
      <c r="D2344" s="7" t="str">
        <f t="shared" si="809"/>
        <v>公営住宅</v>
      </c>
      <c r="E2344" s="7" t="str">
        <f t="shared" si="813"/>
        <v>大阪府東大阪市島之内２丁目</v>
      </c>
      <c r="F2344" s="7"/>
      <c r="G2344" s="7" t="str">
        <f t="shared" si="806"/>
        <v>事業用資産</v>
      </c>
      <c r="H2344" s="7" t="str">
        <f t="shared" si="798"/>
        <v>棚卸以外</v>
      </c>
      <c r="I2344" s="7">
        <v>4</v>
      </c>
      <c r="J2344" s="7" t="str">
        <f>"４号棟"</f>
        <v>４号棟</v>
      </c>
      <c r="K2344" s="7" t="str">
        <f t="shared" si="802"/>
        <v>鉄筋コンクリート造</v>
      </c>
      <c r="L2344" s="7" t="str">
        <f>"H12.04.21"</f>
        <v>H12.04.21</v>
      </c>
      <c r="M2344" s="7">
        <v>5692.2</v>
      </c>
      <c r="N2344" s="7">
        <v>1086183946</v>
      </c>
      <c r="O2344" s="7">
        <v>529187210</v>
      </c>
      <c r="P2344" s="7">
        <v>0</v>
      </c>
      <c r="Q2344" s="7" t="str">
        <f t="shared" si="810"/>
        <v>都市整備部</v>
      </c>
      <c r="R2344" s="7" t="str">
        <f t="shared" si="807"/>
        <v>住宅建築局住宅経営室</v>
      </c>
    </row>
    <row r="2345" spans="1:18" s="1" customFormat="1" x14ac:dyDescent="0.45">
      <c r="A2345" s="7" t="str">
        <f t="shared" si="811"/>
        <v>09940003219</v>
      </c>
      <c r="B2345" s="7" t="str">
        <f t="shared" si="812"/>
        <v>東大阪島之内</v>
      </c>
      <c r="C2345" s="7" t="str">
        <f t="shared" si="808"/>
        <v>行政財産</v>
      </c>
      <c r="D2345" s="7" t="str">
        <f t="shared" si="809"/>
        <v>公営住宅</v>
      </c>
      <c r="E2345" s="7" t="str">
        <f t="shared" si="813"/>
        <v>大阪府東大阪市島之内２丁目</v>
      </c>
      <c r="F2345" s="7"/>
      <c r="G2345" s="7" t="str">
        <f t="shared" si="806"/>
        <v>事業用資産</v>
      </c>
      <c r="H2345" s="7" t="str">
        <f t="shared" si="798"/>
        <v>棚卸以外</v>
      </c>
      <c r="I2345" s="7">
        <v>5</v>
      </c>
      <c r="J2345" s="7" t="str">
        <f>"５号棟"</f>
        <v>５号棟</v>
      </c>
      <c r="K2345" s="7" t="str">
        <f t="shared" si="802"/>
        <v>鉄筋コンクリート造</v>
      </c>
      <c r="L2345" s="7" t="str">
        <f>"H14.05.31"</f>
        <v>H14.05.31</v>
      </c>
      <c r="M2345" s="7">
        <v>2866.71</v>
      </c>
      <c r="N2345" s="7">
        <v>488067946</v>
      </c>
      <c r="O2345" s="7">
        <v>215959360</v>
      </c>
      <c r="P2345" s="7">
        <v>0</v>
      </c>
      <c r="Q2345" s="7" t="str">
        <f t="shared" si="810"/>
        <v>都市整備部</v>
      </c>
      <c r="R2345" s="7" t="str">
        <f t="shared" si="807"/>
        <v>住宅建築局住宅経営室</v>
      </c>
    </row>
    <row r="2346" spans="1:18" s="1" customFormat="1" x14ac:dyDescent="0.45">
      <c r="A2346" s="7" t="str">
        <f t="shared" si="811"/>
        <v>09940003219</v>
      </c>
      <c r="B2346" s="7" t="str">
        <f t="shared" si="812"/>
        <v>東大阪島之内</v>
      </c>
      <c r="C2346" s="7" t="str">
        <f t="shared" si="808"/>
        <v>行政財産</v>
      </c>
      <c r="D2346" s="7" t="str">
        <f t="shared" si="809"/>
        <v>公営住宅</v>
      </c>
      <c r="E2346" s="7" t="str">
        <f t="shared" si="813"/>
        <v>大阪府東大阪市島之内２丁目</v>
      </c>
      <c r="F2346" s="7"/>
      <c r="G2346" s="7" t="str">
        <f t="shared" si="806"/>
        <v>事業用資産</v>
      </c>
      <c r="H2346" s="7" t="str">
        <f t="shared" si="798"/>
        <v>棚卸以外</v>
      </c>
      <c r="I2346" s="7">
        <v>6</v>
      </c>
      <c r="J2346" s="7" t="str">
        <f>"６号棟（受水槽ポンプ室・電気"</f>
        <v>６号棟（受水槽ポンプ室・電気</v>
      </c>
      <c r="K2346" s="7" t="str">
        <f t="shared" si="802"/>
        <v>鉄筋コンクリート造</v>
      </c>
      <c r="L2346" s="7" t="str">
        <f>"H14.05.31"</f>
        <v>H14.05.31</v>
      </c>
      <c r="M2346" s="7">
        <v>2063.09</v>
      </c>
      <c r="N2346" s="7">
        <v>352377946</v>
      </c>
      <c r="O2346" s="7">
        <v>155812860</v>
      </c>
      <c r="P2346" s="7">
        <v>0</v>
      </c>
      <c r="Q2346" s="7" t="str">
        <f t="shared" si="810"/>
        <v>都市整備部</v>
      </c>
      <c r="R2346" s="7" t="str">
        <f t="shared" si="807"/>
        <v>住宅建築局住宅経営室</v>
      </c>
    </row>
    <row r="2347" spans="1:18" s="1" customFormat="1" x14ac:dyDescent="0.45">
      <c r="A2347" s="7" t="str">
        <f t="shared" si="811"/>
        <v>09940003219</v>
      </c>
      <c r="B2347" s="7" t="str">
        <f t="shared" si="812"/>
        <v>東大阪島之内</v>
      </c>
      <c r="C2347" s="7" t="str">
        <f t="shared" si="808"/>
        <v>行政財産</v>
      </c>
      <c r="D2347" s="7" t="str">
        <f t="shared" si="809"/>
        <v>公営住宅</v>
      </c>
      <c r="E2347" s="7" t="str">
        <f t="shared" si="813"/>
        <v>大阪府東大阪市島之内２丁目</v>
      </c>
      <c r="F2347" s="7"/>
      <c r="G2347" s="7" t="str">
        <f t="shared" si="806"/>
        <v>事業用資産</v>
      </c>
      <c r="H2347" s="7" t="str">
        <f t="shared" si="798"/>
        <v>棚卸以外</v>
      </c>
      <c r="I2347" s="7">
        <v>7</v>
      </c>
      <c r="J2347" s="7" t="str">
        <f>"７号棟"</f>
        <v>７号棟</v>
      </c>
      <c r="K2347" s="7" t="str">
        <f t="shared" si="802"/>
        <v>鉄筋コンクリート造</v>
      </c>
      <c r="L2347" s="7" t="str">
        <f>"H14.08.30"</f>
        <v>H14.08.30</v>
      </c>
      <c r="M2347" s="7">
        <v>4666.68</v>
      </c>
      <c r="N2347" s="7">
        <v>534801946</v>
      </c>
      <c r="O2347" s="7">
        <v>233834822</v>
      </c>
      <c r="P2347" s="7">
        <v>0</v>
      </c>
      <c r="Q2347" s="7" t="str">
        <f t="shared" si="810"/>
        <v>都市整備部</v>
      </c>
      <c r="R2347" s="7" t="str">
        <f t="shared" si="807"/>
        <v>住宅建築局住宅経営室</v>
      </c>
    </row>
    <row r="2348" spans="1:18" s="1" customFormat="1" x14ac:dyDescent="0.45">
      <c r="A2348" s="7" t="str">
        <f t="shared" si="811"/>
        <v>09940003219</v>
      </c>
      <c r="B2348" s="7" t="str">
        <f t="shared" si="812"/>
        <v>東大阪島之内</v>
      </c>
      <c r="C2348" s="7" t="str">
        <f t="shared" si="808"/>
        <v>行政財産</v>
      </c>
      <c r="D2348" s="7" t="str">
        <f t="shared" si="809"/>
        <v>公営住宅</v>
      </c>
      <c r="E2348" s="7" t="str">
        <f t="shared" si="813"/>
        <v>大阪府東大阪市島之内２丁目</v>
      </c>
      <c r="F2348" s="7"/>
      <c r="G2348" s="7" t="str">
        <f t="shared" si="806"/>
        <v>事業用資産</v>
      </c>
      <c r="H2348" s="7" t="str">
        <f t="shared" si="798"/>
        <v>棚卸以外</v>
      </c>
      <c r="I2348" s="7">
        <v>8</v>
      </c>
      <c r="J2348" s="7" t="str">
        <f>"９号棟"</f>
        <v>９号棟</v>
      </c>
      <c r="K2348" s="7" t="str">
        <f t="shared" si="802"/>
        <v>鉄筋コンクリート造</v>
      </c>
      <c r="L2348" s="7" t="str">
        <f>"H16.07.28"</f>
        <v>H16.07.28</v>
      </c>
      <c r="M2348" s="7">
        <v>4082.41</v>
      </c>
      <c r="N2348" s="7">
        <v>584929946</v>
      </c>
      <c r="O2348" s="7">
        <v>231972234</v>
      </c>
      <c r="P2348" s="7">
        <v>0</v>
      </c>
      <c r="Q2348" s="7" t="str">
        <f t="shared" si="810"/>
        <v>都市整備部</v>
      </c>
      <c r="R2348" s="7" t="str">
        <f t="shared" si="807"/>
        <v>住宅建築局住宅経営室</v>
      </c>
    </row>
    <row r="2349" spans="1:18" s="1" customFormat="1" x14ac:dyDescent="0.45">
      <c r="A2349" s="7" t="str">
        <f t="shared" si="811"/>
        <v>09940003219</v>
      </c>
      <c r="B2349" s="7" t="str">
        <f t="shared" si="812"/>
        <v>東大阪島之内</v>
      </c>
      <c r="C2349" s="7" t="str">
        <f t="shared" si="808"/>
        <v>行政財産</v>
      </c>
      <c r="D2349" s="7" t="str">
        <f t="shared" si="809"/>
        <v>公営住宅</v>
      </c>
      <c r="E2349" s="7" t="str">
        <f t="shared" si="813"/>
        <v>大阪府東大阪市島之内２丁目</v>
      </c>
      <c r="F2349" s="7"/>
      <c r="G2349" s="7" t="str">
        <f t="shared" si="806"/>
        <v>事業用資産</v>
      </c>
      <c r="H2349" s="7" t="str">
        <f t="shared" si="798"/>
        <v>棚卸以外</v>
      </c>
      <c r="I2349" s="7">
        <v>9</v>
      </c>
      <c r="J2349" s="7" t="str">
        <f>"ポンプ室・電気室"</f>
        <v>ポンプ室・電気室</v>
      </c>
      <c r="K2349" s="7" t="str">
        <f t="shared" ref="K2349:K2380" si="814">"鉄筋コンクリート造"</f>
        <v>鉄筋コンクリート造</v>
      </c>
      <c r="L2349" s="7" t="str">
        <f>"H16.07.28"</f>
        <v>H16.07.28</v>
      </c>
      <c r="M2349" s="7">
        <v>81</v>
      </c>
      <c r="N2349" s="7">
        <v>17113000</v>
      </c>
      <c r="O2349" s="7">
        <v>6796832</v>
      </c>
      <c r="P2349" s="7">
        <v>0</v>
      </c>
      <c r="Q2349" s="7" t="str">
        <f t="shared" si="810"/>
        <v>都市整備部</v>
      </c>
      <c r="R2349" s="7" t="str">
        <f t="shared" si="807"/>
        <v>住宅建築局住宅経営室</v>
      </c>
    </row>
    <row r="2350" spans="1:18" s="1" customFormat="1" x14ac:dyDescent="0.45">
      <c r="A2350" s="7" t="str">
        <f t="shared" si="811"/>
        <v>09940003219</v>
      </c>
      <c r="B2350" s="7" t="str">
        <f t="shared" si="812"/>
        <v>東大阪島之内</v>
      </c>
      <c r="C2350" s="7" t="str">
        <f t="shared" si="808"/>
        <v>行政財産</v>
      </c>
      <c r="D2350" s="7" t="str">
        <f t="shared" si="809"/>
        <v>公営住宅</v>
      </c>
      <c r="E2350" s="7" t="str">
        <f t="shared" si="813"/>
        <v>大阪府東大阪市島之内２丁目</v>
      </c>
      <c r="F2350" s="7"/>
      <c r="G2350" s="7" t="str">
        <f t="shared" si="806"/>
        <v>事業用資産</v>
      </c>
      <c r="H2350" s="7" t="str">
        <f t="shared" si="798"/>
        <v>棚卸以外</v>
      </c>
      <c r="I2350" s="7">
        <v>10</v>
      </c>
      <c r="J2350" s="7" t="str">
        <f>"８号棟"</f>
        <v>８号棟</v>
      </c>
      <c r="K2350" s="7" t="str">
        <f t="shared" si="814"/>
        <v>鉄筋コンクリート造</v>
      </c>
      <c r="L2350" s="7" t="str">
        <f>"H16.09.28"</f>
        <v>H16.09.28</v>
      </c>
      <c r="M2350" s="7">
        <v>4845.84</v>
      </c>
      <c r="N2350" s="7">
        <v>811868946</v>
      </c>
      <c r="O2350" s="7">
        <v>319228310</v>
      </c>
      <c r="P2350" s="7">
        <v>0</v>
      </c>
      <c r="Q2350" s="7" t="str">
        <f t="shared" si="810"/>
        <v>都市整備部</v>
      </c>
      <c r="R2350" s="7" t="str">
        <f t="shared" si="807"/>
        <v>住宅建築局住宅経営室</v>
      </c>
    </row>
    <row r="2351" spans="1:18" s="1" customFormat="1" x14ac:dyDescent="0.45">
      <c r="A2351" s="7" t="str">
        <f t="shared" si="811"/>
        <v>09940003219</v>
      </c>
      <c r="B2351" s="7" t="str">
        <f t="shared" si="812"/>
        <v>東大阪島之内</v>
      </c>
      <c r="C2351" s="7" t="str">
        <f t="shared" si="808"/>
        <v>行政財産</v>
      </c>
      <c r="D2351" s="7" t="str">
        <f t="shared" si="809"/>
        <v>公営住宅</v>
      </c>
      <c r="E2351" s="7" t="str">
        <f t="shared" si="813"/>
        <v>大阪府東大阪市島之内２丁目</v>
      </c>
      <c r="F2351" s="7"/>
      <c r="G2351" s="7" t="str">
        <f t="shared" si="806"/>
        <v>事業用資産</v>
      </c>
      <c r="H2351" s="7" t="str">
        <f t="shared" si="798"/>
        <v>棚卸以外</v>
      </c>
      <c r="I2351" s="7">
        <v>11</v>
      </c>
      <c r="J2351" s="7" t="str">
        <f>"１０号棟"</f>
        <v>１０号棟</v>
      </c>
      <c r="K2351" s="7" t="str">
        <f t="shared" si="814"/>
        <v>鉄筋コンクリート造</v>
      </c>
      <c r="L2351" s="7" t="str">
        <f>"H18.08.25"</f>
        <v>H18.08.25</v>
      </c>
      <c r="M2351" s="7">
        <v>4247.54</v>
      </c>
      <c r="N2351" s="7">
        <v>600291840</v>
      </c>
      <c r="O2351" s="7">
        <v>211961319</v>
      </c>
      <c r="P2351" s="7">
        <v>0</v>
      </c>
      <c r="Q2351" s="7" t="str">
        <f t="shared" si="810"/>
        <v>都市整備部</v>
      </c>
      <c r="R2351" s="7" t="str">
        <f t="shared" si="807"/>
        <v>住宅建築局住宅経営室</v>
      </c>
    </row>
    <row r="2352" spans="1:18" s="1" customFormat="1" x14ac:dyDescent="0.45">
      <c r="A2352" s="7" t="str">
        <f t="shared" si="811"/>
        <v>09940003219</v>
      </c>
      <c r="B2352" s="7" t="str">
        <f t="shared" si="812"/>
        <v>東大阪島之内</v>
      </c>
      <c r="C2352" s="7" t="str">
        <f t="shared" si="808"/>
        <v>行政財産</v>
      </c>
      <c r="D2352" s="7" t="str">
        <f t="shared" si="809"/>
        <v>公営住宅</v>
      </c>
      <c r="E2352" s="7" t="str">
        <f t="shared" si="813"/>
        <v>大阪府東大阪市島之内２丁目</v>
      </c>
      <c r="F2352" s="7"/>
      <c r="G2352" s="7" t="str">
        <f t="shared" si="806"/>
        <v>事業用資産</v>
      </c>
      <c r="H2352" s="7" t="str">
        <f t="shared" si="798"/>
        <v>棚卸以外</v>
      </c>
      <c r="I2352" s="7">
        <v>12</v>
      </c>
      <c r="J2352" s="7" t="str">
        <f>"集会所・電気室・受水槽"</f>
        <v>集会所・電気室・受水槽</v>
      </c>
      <c r="K2352" s="7" t="str">
        <f t="shared" si="814"/>
        <v>鉄筋コンクリート造</v>
      </c>
      <c r="L2352" s="7" t="str">
        <f>"H18.08.25"</f>
        <v>H18.08.25</v>
      </c>
      <c r="M2352" s="7">
        <v>139.97999999999999</v>
      </c>
      <c r="N2352" s="7">
        <v>35810000</v>
      </c>
      <c r="O2352" s="7">
        <v>12635107</v>
      </c>
      <c r="P2352" s="7">
        <v>0</v>
      </c>
      <c r="Q2352" s="7" t="str">
        <f t="shared" si="810"/>
        <v>都市整備部</v>
      </c>
      <c r="R2352" s="7" t="str">
        <f t="shared" si="807"/>
        <v>住宅建築局住宅経営室</v>
      </c>
    </row>
    <row r="2353" spans="1:18" s="1" customFormat="1" x14ac:dyDescent="0.45">
      <c r="A2353" s="7" t="str">
        <f t="shared" si="811"/>
        <v>09940003219</v>
      </c>
      <c r="B2353" s="7" t="str">
        <f t="shared" si="812"/>
        <v>東大阪島之内</v>
      </c>
      <c r="C2353" s="7" t="str">
        <f t="shared" si="808"/>
        <v>行政財産</v>
      </c>
      <c r="D2353" s="7" t="str">
        <f t="shared" si="809"/>
        <v>公営住宅</v>
      </c>
      <c r="E2353" s="7" t="str">
        <f t="shared" si="813"/>
        <v>大阪府東大阪市島之内２丁目</v>
      </c>
      <c r="F2353" s="7"/>
      <c r="G2353" s="7" t="str">
        <f t="shared" si="806"/>
        <v>事業用資産</v>
      </c>
      <c r="H2353" s="7" t="str">
        <f t="shared" si="798"/>
        <v>棚卸以外</v>
      </c>
      <c r="I2353" s="7">
        <v>13</v>
      </c>
      <c r="J2353" s="7" t="str">
        <f>"１１号棟"</f>
        <v>１１号棟</v>
      </c>
      <c r="K2353" s="7" t="str">
        <f t="shared" si="814"/>
        <v>鉄筋コンクリート造</v>
      </c>
      <c r="L2353" s="7" t="str">
        <f>"H20.08.29"</f>
        <v>H20.08.29</v>
      </c>
      <c r="M2353" s="7">
        <v>5703.97</v>
      </c>
      <c r="N2353" s="7">
        <v>804677951</v>
      </c>
      <c r="O2353" s="7">
        <v>249482312</v>
      </c>
      <c r="P2353" s="7">
        <v>0</v>
      </c>
      <c r="Q2353" s="7" t="str">
        <f t="shared" si="810"/>
        <v>都市整備部</v>
      </c>
      <c r="R2353" s="7" t="str">
        <f t="shared" si="807"/>
        <v>住宅建築局住宅経営室</v>
      </c>
    </row>
    <row r="2354" spans="1:18" s="1" customFormat="1" x14ac:dyDescent="0.45">
      <c r="A2354" s="7" t="str">
        <f t="shared" si="811"/>
        <v>09940003219</v>
      </c>
      <c r="B2354" s="7" t="str">
        <f t="shared" si="812"/>
        <v>東大阪島之内</v>
      </c>
      <c r="C2354" s="7" t="str">
        <f t="shared" si="808"/>
        <v>行政財産</v>
      </c>
      <c r="D2354" s="7" t="str">
        <f t="shared" si="809"/>
        <v>公営住宅</v>
      </c>
      <c r="E2354" s="7" t="str">
        <f t="shared" si="813"/>
        <v>大阪府東大阪市島之内２丁目</v>
      </c>
      <c r="F2354" s="7"/>
      <c r="G2354" s="7" t="str">
        <f t="shared" si="806"/>
        <v>事業用資産</v>
      </c>
      <c r="H2354" s="7" t="str">
        <f t="shared" si="798"/>
        <v>棚卸以外</v>
      </c>
      <c r="I2354" s="7">
        <v>14</v>
      </c>
      <c r="J2354" s="7" t="str">
        <f>"ポンプ室・電気室"</f>
        <v>ポンプ室・電気室</v>
      </c>
      <c r="K2354" s="7" t="str">
        <f t="shared" si="814"/>
        <v>鉄筋コンクリート造</v>
      </c>
      <c r="L2354" s="7" t="str">
        <f>"H20.08.29"</f>
        <v>H20.08.29</v>
      </c>
      <c r="M2354" s="7">
        <v>84</v>
      </c>
      <c r="N2354" s="7">
        <v>30687000</v>
      </c>
      <c r="O2354" s="7">
        <v>9521750</v>
      </c>
      <c r="P2354" s="7">
        <v>0</v>
      </c>
      <c r="Q2354" s="7" t="str">
        <f t="shared" si="810"/>
        <v>都市整備部</v>
      </c>
      <c r="R2354" s="7" t="str">
        <f t="shared" si="807"/>
        <v>住宅建築局住宅経営室</v>
      </c>
    </row>
    <row r="2355" spans="1:18" s="1" customFormat="1" x14ac:dyDescent="0.45">
      <c r="A2355" s="7" t="str">
        <f t="shared" ref="A2355:A2362" si="815">"09940003220"</f>
        <v>09940003220</v>
      </c>
      <c r="B2355" s="7" t="str">
        <f t="shared" ref="B2355:B2362" si="816">"羽曳野碓井"</f>
        <v>羽曳野碓井</v>
      </c>
      <c r="C2355" s="7" t="str">
        <f t="shared" si="808"/>
        <v>行政財産</v>
      </c>
      <c r="D2355" s="7" t="str">
        <f t="shared" si="809"/>
        <v>公営住宅</v>
      </c>
      <c r="E2355" s="7" t="str">
        <f t="shared" ref="E2355:E2362" si="817">"大阪府羽曳野市碓井４丁目"</f>
        <v>大阪府羽曳野市碓井４丁目</v>
      </c>
      <c r="F2355" s="7"/>
      <c r="G2355" s="7" t="str">
        <f t="shared" si="806"/>
        <v>事業用資産</v>
      </c>
      <c r="H2355" s="7" t="str">
        <f t="shared" si="798"/>
        <v>棚卸以外</v>
      </c>
      <c r="I2355" s="7">
        <v>1</v>
      </c>
      <c r="J2355" s="7" t="str">
        <f>"１号棟"</f>
        <v>１号棟</v>
      </c>
      <c r="K2355" s="7" t="str">
        <f t="shared" si="814"/>
        <v>鉄筋コンクリート造</v>
      </c>
      <c r="L2355" s="7" t="str">
        <f>"H07.10.17"</f>
        <v>H07.10.17</v>
      </c>
      <c r="M2355" s="7">
        <v>6527.75</v>
      </c>
      <c r="N2355" s="7">
        <v>1181332433</v>
      </c>
      <c r="O2355" s="7">
        <v>688128834</v>
      </c>
      <c r="P2355" s="7">
        <v>0</v>
      </c>
      <c r="Q2355" s="7" t="str">
        <f t="shared" si="810"/>
        <v>都市整備部</v>
      </c>
      <c r="R2355" s="7" t="str">
        <f t="shared" si="807"/>
        <v>住宅建築局住宅経営室</v>
      </c>
    </row>
    <row r="2356" spans="1:18" s="1" customFormat="1" x14ac:dyDescent="0.45">
      <c r="A2356" s="7" t="str">
        <f t="shared" si="815"/>
        <v>09940003220</v>
      </c>
      <c r="B2356" s="7" t="str">
        <f t="shared" si="816"/>
        <v>羽曳野碓井</v>
      </c>
      <c r="C2356" s="7" t="str">
        <f t="shared" si="808"/>
        <v>行政財産</v>
      </c>
      <c r="D2356" s="7" t="str">
        <f t="shared" si="809"/>
        <v>公営住宅</v>
      </c>
      <c r="E2356" s="7" t="str">
        <f t="shared" si="817"/>
        <v>大阪府羽曳野市碓井４丁目</v>
      </c>
      <c r="F2356" s="7"/>
      <c r="G2356" s="7" t="str">
        <f t="shared" si="806"/>
        <v>事業用資産</v>
      </c>
      <c r="H2356" s="7" t="str">
        <f t="shared" si="798"/>
        <v>棚卸以外</v>
      </c>
      <c r="I2356" s="7">
        <v>2</v>
      </c>
      <c r="J2356" s="7" t="str">
        <f>"２号棟"</f>
        <v>２号棟</v>
      </c>
      <c r="K2356" s="7" t="str">
        <f t="shared" si="814"/>
        <v>鉄筋コンクリート造</v>
      </c>
      <c r="L2356" s="7" t="str">
        <f>"H07.10.17"</f>
        <v>H07.10.17</v>
      </c>
      <c r="M2356" s="7">
        <v>3573.98</v>
      </c>
      <c r="N2356" s="7">
        <v>553183433</v>
      </c>
      <c r="O2356" s="7">
        <v>321708374</v>
      </c>
      <c r="P2356" s="7">
        <v>0</v>
      </c>
      <c r="Q2356" s="7" t="str">
        <f t="shared" si="810"/>
        <v>都市整備部</v>
      </c>
      <c r="R2356" s="7" t="str">
        <f t="shared" si="807"/>
        <v>住宅建築局住宅経営室</v>
      </c>
    </row>
    <row r="2357" spans="1:18" s="1" customFormat="1" x14ac:dyDescent="0.45">
      <c r="A2357" s="7" t="str">
        <f t="shared" si="815"/>
        <v>09940003220</v>
      </c>
      <c r="B2357" s="7" t="str">
        <f t="shared" si="816"/>
        <v>羽曳野碓井</v>
      </c>
      <c r="C2357" s="7" t="str">
        <f t="shared" si="808"/>
        <v>行政財産</v>
      </c>
      <c r="D2357" s="7" t="str">
        <f t="shared" si="809"/>
        <v>公営住宅</v>
      </c>
      <c r="E2357" s="7" t="str">
        <f t="shared" si="817"/>
        <v>大阪府羽曳野市碓井４丁目</v>
      </c>
      <c r="F2357" s="7"/>
      <c r="G2357" s="7" t="str">
        <f t="shared" si="806"/>
        <v>事業用資産</v>
      </c>
      <c r="H2357" s="7" t="str">
        <f t="shared" si="798"/>
        <v>棚卸以外</v>
      </c>
      <c r="I2357" s="7">
        <v>3</v>
      </c>
      <c r="J2357" s="7" t="str">
        <f>"３号棟"</f>
        <v>３号棟</v>
      </c>
      <c r="K2357" s="7" t="str">
        <f t="shared" si="814"/>
        <v>鉄筋コンクリート造</v>
      </c>
      <c r="L2357" s="7" t="str">
        <f>"H07.10.17"</f>
        <v>H07.10.17</v>
      </c>
      <c r="M2357" s="7">
        <v>3588.64</v>
      </c>
      <c r="N2357" s="7">
        <v>558576023</v>
      </c>
      <c r="O2357" s="7">
        <v>325003309</v>
      </c>
      <c r="P2357" s="7">
        <v>0</v>
      </c>
      <c r="Q2357" s="7" t="str">
        <f t="shared" si="810"/>
        <v>都市整備部</v>
      </c>
      <c r="R2357" s="7" t="str">
        <f t="shared" si="807"/>
        <v>住宅建築局住宅経営室</v>
      </c>
    </row>
    <row r="2358" spans="1:18" s="1" customFormat="1" x14ac:dyDescent="0.45">
      <c r="A2358" s="7" t="str">
        <f t="shared" si="815"/>
        <v>09940003220</v>
      </c>
      <c r="B2358" s="7" t="str">
        <f t="shared" si="816"/>
        <v>羽曳野碓井</v>
      </c>
      <c r="C2358" s="7" t="str">
        <f t="shared" si="808"/>
        <v>行政財産</v>
      </c>
      <c r="D2358" s="7" t="str">
        <f t="shared" si="809"/>
        <v>公営住宅</v>
      </c>
      <c r="E2358" s="7" t="str">
        <f t="shared" si="817"/>
        <v>大阪府羽曳野市碓井４丁目</v>
      </c>
      <c r="F2358" s="7"/>
      <c r="G2358" s="7" t="str">
        <f t="shared" si="806"/>
        <v>事業用資産</v>
      </c>
      <c r="H2358" s="7" t="str">
        <f t="shared" si="798"/>
        <v>棚卸以外</v>
      </c>
      <c r="I2358" s="7">
        <v>4</v>
      </c>
      <c r="J2358" s="7" t="str">
        <f>"受水槽・電気室"</f>
        <v>受水槽・電気室</v>
      </c>
      <c r="K2358" s="7" t="str">
        <f t="shared" si="814"/>
        <v>鉄筋コンクリート造</v>
      </c>
      <c r="L2358" s="7" t="str">
        <f>"H07.10.17"</f>
        <v>H07.10.17</v>
      </c>
      <c r="M2358" s="7">
        <v>118</v>
      </c>
      <c r="N2358" s="7">
        <v>48616000</v>
      </c>
      <c r="O2358" s="7">
        <v>28359471</v>
      </c>
      <c r="P2358" s="7">
        <v>0</v>
      </c>
      <c r="Q2358" s="7" t="str">
        <f t="shared" si="810"/>
        <v>都市整備部</v>
      </c>
      <c r="R2358" s="7" t="str">
        <f t="shared" si="807"/>
        <v>住宅建築局住宅経営室</v>
      </c>
    </row>
    <row r="2359" spans="1:18" s="1" customFormat="1" x14ac:dyDescent="0.45">
      <c r="A2359" s="7" t="str">
        <f t="shared" si="815"/>
        <v>09940003220</v>
      </c>
      <c r="B2359" s="7" t="str">
        <f t="shared" si="816"/>
        <v>羽曳野碓井</v>
      </c>
      <c r="C2359" s="7" t="str">
        <f t="shared" si="808"/>
        <v>行政財産</v>
      </c>
      <c r="D2359" s="7" t="str">
        <f t="shared" si="809"/>
        <v>公営住宅</v>
      </c>
      <c r="E2359" s="7" t="str">
        <f t="shared" si="817"/>
        <v>大阪府羽曳野市碓井４丁目</v>
      </c>
      <c r="F2359" s="7"/>
      <c r="G2359" s="7" t="str">
        <f t="shared" si="806"/>
        <v>事業用資産</v>
      </c>
      <c r="H2359" s="7" t="str">
        <f t="shared" si="798"/>
        <v>棚卸以外</v>
      </c>
      <c r="I2359" s="7">
        <v>5</v>
      </c>
      <c r="J2359" s="7" t="str">
        <f>"集会所"</f>
        <v>集会所</v>
      </c>
      <c r="K2359" s="7" t="str">
        <f t="shared" si="814"/>
        <v>鉄筋コンクリート造</v>
      </c>
      <c r="L2359" s="7" t="str">
        <f>"H07.10.17"</f>
        <v>H07.10.17</v>
      </c>
      <c r="M2359" s="7">
        <v>150</v>
      </c>
      <c r="N2359" s="7">
        <v>40080000</v>
      </c>
      <c r="O2359" s="7">
        <v>23380056</v>
      </c>
      <c r="P2359" s="7">
        <v>0</v>
      </c>
      <c r="Q2359" s="7" t="str">
        <f t="shared" si="810"/>
        <v>都市整備部</v>
      </c>
      <c r="R2359" s="7" t="str">
        <f t="shared" si="807"/>
        <v>住宅建築局住宅経営室</v>
      </c>
    </row>
    <row r="2360" spans="1:18" s="1" customFormat="1" x14ac:dyDescent="0.45">
      <c r="A2360" s="7" t="str">
        <f t="shared" si="815"/>
        <v>09940003220</v>
      </c>
      <c r="B2360" s="7" t="str">
        <f t="shared" si="816"/>
        <v>羽曳野碓井</v>
      </c>
      <c r="C2360" s="7" t="str">
        <f t="shared" si="808"/>
        <v>行政財産</v>
      </c>
      <c r="D2360" s="7" t="str">
        <f t="shared" si="809"/>
        <v>公営住宅</v>
      </c>
      <c r="E2360" s="7" t="str">
        <f t="shared" si="817"/>
        <v>大阪府羽曳野市碓井４丁目</v>
      </c>
      <c r="F2360" s="7"/>
      <c r="G2360" s="7" t="str">
        <f t="shared" si="806"/>
        <v>事業用資産</v>
      </c>
      <c r="H2360" s="7" t="str">
        <f t="shared" si="798"/>
        <v>棚卸以外</v>
      </c>
      <c r="I2360" s="7">
        <v>6</v>
      </c>
      <c r="J2360" s="7" t="str">
        <f>"４号棟"</f>
        <v>４号棟</v>
      </c>
      <c r="K2360" s="7" t="str">
        <f t="shared" si="814"/>
        <v>鉄筋コンクリート造</v>
      </c>
      <c r="L2360" s="7" t="str">
        <f>"H09.11.25"</f>
        <v>H09.11.25</v>
      </c>
      <c r="M2360" s="7">
        <v>4436.79</v>
      </c>
      <c r="N2360" s="7">
        <v>782367432</v>
      </c>
      <c r="O2360" s="7">
        <v>421039663</v>
      </c>
      <c r="P2360" s="7">
        <v>0</v>
      </c>
      <c r="Q2360" s="7" t="str">
        <f t="shared" si="810"/>
        <v>都市整備部</v>
      </c>
      <c r="R2360" s="7" t="str">
        <f t="shared" si="807"/>
        <v>住宅建築局住宅経営室</v>
      </c>
    </row>
    <row r="2361" spans="1:18" s="1" customFormat="1" x14ac:dyDescent="0.45">
      <c r="A2361" s="7" t="str">
        <f t="shared" si="815"/>
        <v>09940003220</v>
      </c>
      <c r="B2361" s="7" t="str">
        <f t="shared" si="816"/>
        <v>羽曳野碓井</v>
      </c>
      <c r="C2361" s="7" t="str">
        <f t="shared" si="808"/>
        <v>行政財産</v>
      </c>
      <c r="D2361" s="7" t="str">
        <f t="shared" si="809"/>
        <v>公営住宅</v>
      </c>
      <c r="E2361" s="7" t="str">
        <f t="shared" si="817"/>
        <v>大阪府羽曳野市碓井４丁目</v>
      </c>
      <c r="F2361" s="7"/>
      <c r="G2361" s="7" t="str">
        <f t="shared" si="806"/>
        <v>事業用資産</v>
      </c>
      <c r="H2361" s="7" t="str">
        <f t="shared" si="798"/>
        <v>棚卸以外</v>
      </c>
      <c r="I2361" s="7">
        <v>7</v>
      </c>
      <c r="J2361" s="7" t="str">
        <f>"５号棟"</f>
        <v>５号棟</v>
      </c>
      <c r="K2361" s="7" t="str">
        <f t="shared" si="814"/>
        <v>鉄筋コンクリート造</v>
      </c>
      <c r="L2361" s="7" t="str">
        <f>"H09.11.25"</f>
        <v>H09.11.25</v>
      </c>
      <c r="M2361" s="7">
        <v>6307.09</v>
      </c>
      <c r="N2361" s="7">
        <v>1163005023</v>
      </c>
      <c r="O2361" s="7">
        <v>626384862</v>
      </c>
      <c r="P2361" s="7">
        <v>0</v>
      </c>
      <c r="Q2361" s="7" t="str">
        <f t="shared" si="810"/>
        <v>都市整備部</v>
      </c>
      <c r="R2361" s="7" t="str">
        <f t="shared" si="807"/>
        <v>住宅建築局住宅経営室</v>
      </c>
    </row>
    <row r="2362" spans="1:18" s="1" customFormat="1" x14ac:dyDescent="0.45">
      <c r="A2362" s="7" t="str">
        <f t="shared" si="815"/>
        <v>09940003220</v>
      </c>
      <c r="B2362" s="7" t="str">
        <f t="shared" si="816"/>
        <v>羽曳野碓井</v>
      </c>
      <c r="C2362" s="7" t="str">
        <f t="shared" si="808"/>
        <v>行政財産</v>
      </c>
      <c r="D2362" s="7" t="str">
        <f t="shared" si="809"/>
        <v>公営住宅</v>
      </c>
      <c r="E2362" s="7" t="str">
        <f t="shared" si="817"/>
        <v>大阪府羽曳野市碓井４丁目</v>
      </c>
      <c r="F2362" s="7"/>
      <c r="G2362" s="7" t="str">
        <f t="shared" si="806"/>
        <v>事業用資産</v>
      </c>
      <c r="H2362" s="7" t="str">
        <f t="shared" si="798"/>
        <v>棚卸以外</v>
      </c>
      <c r="I2362" s="7">
        <v>8</v>
      </c>
      <c r="J2362" s="7" t="str">
        <f>"受水槽・ポンプ室・電気室"</f>
        <v>受水槽・ポンプ室・電気室</v>
      </c>
      <c r="K2362" s="7" t="str">
        <f t="shared" si="814"/>
        <v>鉄筋コンクリート造</v>
      </c>
      <c r="L2362" s="7" t="str">
        <f>"H09.11.25"</f>
        <v>H09.11.25</v>
      </c>
      <c r="M2362" s="7">
        <v>44</v>
      </c>
      <c r="N2362" s="7">
        <v>34485000</v>
      </c>
      <c r="O2362" s="7">
        <v>18587776</v>
      </c>
      <c r="P2362" s="7">
        <v>0</v>
      </c>
      <c r="Q2362" s="7" t="str">
        <f t="shared" si="810"/>
        <v>都市整備部</v>
      </c>
      <c r="R2362" s="7" t="str">
        <f t="shared" si="807"/>
        <v>住宅建築局住宅経営室</v>
      </c>
    </row>
    <row r="2363" spans="1:18" s="1" customFormat="1" x14ac:dyDescent="0.45">
      <c r="A2363" s="7" t="str">
        <f t="shared" ref="A2363:A2401" si="818">"09940003221"</f>
        <v>09940003221</v>
      </c>
      <c r="B2363" s="7" t="str">
        <f t="shared" ref="B2363:B2401" si="819">"高槻芝生"</f>
        <v>高槻芝生</v>
      </c>
      <c r="C2363" s="7" t="str">
        <f t="shared" si="808"/>
        <v>行政財産</v>
      </c>
      <c r="D2363" s="7" t="str">
        <f t="shared" si="809"/>
        <v>公営住宅</v>
      </c>
      <c r="E2363" s="7" t="str">
        <f t="shared" ref="E2363:E2401" si="820">"大阪府高槻市芝生町２丁目"</f>
        <v>大阪府高槻市芝生町２丁目</v>
      </c>
      <c r="F2363" s="7"/>
      <c r="G2363" s="7" t="str">
        <f t="shared" si="806"/>
        <v>事業用資産</v>
      </c>
      <c r="H2363" s="7" t="str">
        <f t="shared" si="798"/>
        <v>棚卸以外</v>
      </c>
      <c r="I2363" s="7">
        <v>1</v>
      </c>
      <c r="J2363" s="7" t="str">
        <f>"１号棟"</f>
        <v>１号棟</v>
      </c>
      <c r="K2363" s="7" t="str">
        <f t="shared" si="814"/>
        <v>鉄筋コンクリート造</v>
      </c>
      <c r="L2363" s="7" t="str">
        <f t="shared" ref="L2363:L2371" si="821">"H02.08.09"</f>
        <v>H02.08.09</v>
      </c>
      <c r="M2363" s="7">
        <v>2829.82</v>
      </c>
      <c r="N2363" s="7">
        <v>376135883</v>
      </c>
      <c r="O2363" s="7">
        <v>259401402</v>
      </c>
      <c r="P2363" s="7">
        <v>0</v>
      </c>
      <c r="Q2363" s="7" t="str">
        <f t="shared" si="810"/>
        <v>都市整備部</v>
      </c>
      <c r="R2363" s="7" t="str">
        <f t="shared" si="807"/>
        <v>住宅建築局住宅経営室</v>
      </c>
    </row>
    <row r="2364" spans="1:18" s="1" customFormat="1" x14ac:dyDescent="0.45">
      <c r="A2364" s="7" t="str">
        <f t="shared" si="818"/>
        <v>09940003221</v>
      </c>
      <c r="B2364" s="7" t="str">
        <f t="shared" si="819"/>
        <v>高槻芝生</v>
      </c>
      <c r="C2364" s="7" t="str">
        <f t="shared" si="808"/>
        <v>行政財産</v>
      </c>
      <c r="D2364" s="7" t="str">
        <f t="shared" si="809"/>
        <v>公営住宅</v>
      </c>
      <c r="E2364" s="7" t="str">
        <f t="shared" si="820"/>
        <v>大阪府高槻市芝生町２丁目</v>
      </c>
      <c r="F2364" s="7"/>
      <c r="G2364" s="7" t="str">
        <f t="shared" si="806"/>
        <v>事業用資産</v>
      </c>
      <c r="H2364" s="7" t="str">
        <f t="shared" si="798"/>
        <v>棚卸以外</v>
      </c>
      <c r="I2364" s="7">
        <v>2</v>
      </c>
      <c r="J2364" s="7" t="str">
        <f>"２号棟"</f>
        <v>２号棟</v>
      </c>
      <c r="K2364" s="7" t="str">
        <f t="shared" si="814"/>
        <v>鉄筋コンクリート造</v>
      </c>
      <c r="L2364" s="7" t="str">
        <f t="shared" si="821"/>
        <v>H02.08.09</v>
      </c>
      <c r="M2364" s="7">
        <v>2119.42</v>
      </c>
      <c r="N2364" s="7">
        <v>285052662</v>
      </c>
      <c r="O2364" s="7">
        <v>197310330</v>
      </c>
      <c r="P2364" s="7">
        <v>0</v>
      </c>
      <c r="Q2364" s="7" t="str">
        <f t="shared" si="810"/>
        <v>都市整備部</v>
      </c>
      <c r="R2364" s="7" t="str">
        <f t="shared" si="807"/>
        <v>住宅建築局住宅経営室</v>
      </c>
    </row>
    <row r="2365" spans="1:18" s="1" customFormat="1" x14ac:dyDescent="0.45">
      <c r="A2365" s="7" t="str">
        <f t="shared" si="818"/>
        <v>09940003221</v>
      </c>
      <c r="B2365" s="7" t="str">
        <f t="shared" si="819"/>
        <v>高槻芝生</v>
      </c>
      <c r="C2365" s="7" t="str">
        <f t="shared" si="808"/>
        <v>行政財産</v>
      </c>
      <c r="D2365" s="7" t="str">
        <f t="shared" si="809"/>
        <v>公営住宅</v>
      </c>
      <c r="E2365" s="7" t="str">
        <f t="shared" si="820"/>
        <v>大阪府高槻市芝生町２丁目</v>
      </c>
      <c r="F2365" s="7"/>
      <c r="G2365" s="7" t="str">
        <f t="shared" si="806"/>
        <v>事業用資産</v>
      </c>
      <c r="H2365" s="7" t="str">
        <f t="shared" si="798"/>
        <v>棚卸以外</v>
      </c>
      <c r="I2365" s="7">
        <v>3</v>
      </c>
      <c r="J2365" s="7" t="str">
        <f>"３号棟"</f>
        <v>３号棟</v>
      </c>
      <c r="K2365" s="7" t="str">
        <f t="shared" si="814"/>
        <v>鉄筋コンクリート造</v>
      </c>
      <c r="L2365" s="7" t="str">
        <f t="shared" si="821"/>
        <v>H02.08.09</v>
      </c>
      <c r="M2365" s="7">
        <v>2081.19</v>
      </c>
      <c r="N2365" s="7">
        <v>277370000</v>
      </c>
      <c r="O2365" s="7">
        <v>192290281</v>
      </c>
      <c r="P2365" s="7">
        <v>0</v>
      </c>
      <c r="Q2365" s="7" t="str">
        <f t="shared" si="810"/>
        <v>都市整備部</v>
      </c>
      <c r="R2365" s="7" t="str">
        <f t="shared" si="807"/>
        <v>住宅建築局住宅経営室</v>
      </c>
    </row>
    <row r="2366" spans="1:18" s="1" customFormat="1" x14ac:dyDescent="0.45">
      <c r="A2366" s="7" t="str">
        <f t="shared" si="818"/>
        <v>09940003221</v>
      </c>
      <c r="B2366" s="7" t="str">
        <f t="shared" si="819"/>
        <v>高槻芝生</v>
      </c>
      <c r="C2366" s="7" t="str">
        <f t="shared" si="808"/>
        <v>行政財産</v>
      </c>
      <c r="D2366" s="7" t="str">
        <f t="shared" si="809"/>
        <v>公営住宅</v>
      </c>
      <c r="E2366" s="7" t="str">
        <f t="shared" si="820"/>
        <v>大阪府高槻市芝生町２丁目</v>
      </c>
      <c r="F2366" s="7"/>
      <c r="G2366" s="7" t="str">
        <f t="shared" si="806"/>
        <v>事業用資産</v>
      </c>
      <c r="H2366" s="7" t="str">
        <f t="shared" si="798"/>
        <v>棚卸以外</v>
      </c>
      <c r="I2366" s="7">
        <v>4</v>
      </c>
      <c r="J2366" s="7" t="str">
        <f>"４号棟"</f>
        <v>４号棟</v>
      </c>
      <c r="K2366" s="7" t="str">
        <f t="shared" si="814"/>
        <v>鉄筋コンクリート造</v>
      </c>
      <c r="L2366" s="7" t="str">
        <f t="shared" si="821"/>
        <v>H02.08.09</v>
      </c>
      <c r="M2366" s="7">
        <v>2046.84</v>
      </c>
      <c r="N2366" s="7">
        <v>277376939</v>
      </c>
      <c r="O2366" s="7">
        <v>192105338</v>
      </c>
      <c r="P2366" s="7">
        <v>0</v>
      </c>
      <c r="Q2366" s="7" t="str">
        <f t="shared" si="810"/>
        <v>都市整備部</v>
      </c>
      <c r="R2366" s="7" t="str">
        <f t="shared" si="807"/>
        <v>住宅建築局住宅経営室</v>
      </c>
    </row>
    <row r="2367" spans="1:18" s="1" customFormat="1" x14ac:dyDescent="0.45">
      <c r="A2367" s="7" t="str">
        <f t="shared" si="818"/>
        <v>09940003221</v>
      </c>
      <c r="B2367" s="7" t="str">
        <f t="shared" si="819"/>
        <v>高槻芝生</v>
      </c>
      <c r="C2367" s="7" t="str">
        <f t="shared" si="808"/>
        <v>行政財産</v>
      </c>
      <c r="D2367" s="7" t="str">
        <f t="shared" si="809"/>
        <v>公営住宅</v>
      </c>
      <c r="E2367" s="7" t="str">
        <f t="shared" si="820"/>
        <v>大阪府高槻市芝生町２丁目</v>
      </c>
      <c r="F2367" s="7"/>
      <c r="G2367" s="7" t="str">
        <f t="shared" si="806"/>
        <v>事業用資産</v>
      </c>
      <c r="H2367" s="7" t="str">
        <f t="shared" si="798"/>
        <v>棚卸以外</v>
      </c>
      <c r="I2367" s="7">
        <v>5</v>
      </c>
      <c r="J2367" s="7" t="str">
        <f>"５号棟"</f>
        <v>５号棟</v>
      </c>
      <c r="K2367" s="7" t="str">
        <f t="shared" si="814"/>
        <v>鉄筋コンクリート造</v>
      </c>
      <c r="L2367" s="7" t="str">
        <f t="shared" si="821"/>
        <v>H02.08.09</v>
      </c>
      <c r="M2367" s="7">
        <v>2114.79</v>
      </c>
      <c r="N2367" s="7">
        <v>270372939</v>
      </c>
      <c r="O2367" s="7">
        <v>187249509</v>
      </c>
      <c r="P2367" s="7">
        <v>0</v>
      </c>
      <c r="Q2367" s="7" t="str">
        <f t="shared" si="810"/>
        <v>都市整備部</v>
      </c>
      <c r="R2367" s="7" t="str">
        <f t="shared" si="807"/>
        <v>住宅建築局住宅経営室</v>
      </c>
    </row>
    <row r="2368" spans="1:18" s="1" customFormat="1" x14ac:dyDescent="0.45">
      <c r="A2368" s="7" t="str">
        <f t="shared" si="818"/>
        <v>09940003221</v>
      </c>
      <c r="B2368" s="7" t="str">
        <f t="shared" si="819"/>
        <v>高槻芝生</v>
      </c>
      <c r="C2368" s="7" t="str">
        <f t="shared" si="808"/>
        <v>行政財産</v>
      </c>
      <c r="D2368" s="7" t="str">
        <f t="shared" si="809"/>
        <v>公営住宅</v>
      </c>
      <c r="E2368" s="7" t="str">
        <f t="shared" si="820"/>
        <v>大阪府高槻市芝生町２丁目</v>
      </c>
      <c r="F2368" s="7"/>
      <c r="G2368" s="7" t="str">
        <f t="shared" si="806"/>
        <v>事業用資産</v>
      </c>
      <c r="H2368" s="7" t="str">
        <f t="shared" si="798"/>
        <v>棚卸以外</v>
      </c>
      <c r="I2368" s="7">
        <v>6</v>
      </c>
      <c r="J2368" s="7" t="str">
        <f>"６号棟"</f>
        <v>６号棟</v>
      </c>
      <c r="K2368" s="7" t="str">
        <f t="shared" si="814"/>
        <v>鉄筋コンクリート造</v>
      </c>
      <c r="L2368" s="7" t="str">
        <f t="shared" si="821"/>
        <v>H02.08.09</v>
      </c>
      <c r="M2368" s="7">
        <v>2739.22</v>
      </c>
      <c r="N2368" s="7">
        <v>348601000</v>
      </c>
      <c r="O2368" s="7">
        <v>241672017</v>
      </c>
      <c r="P2368" s="7">
        <v>0</v>
      </c>
      <c r="Q2368" s="7" t="str">
        <f t="shared" si="810"/>
        <v>都市整備部</v>
      </c>
      <c r="R2368" s="7" t="str">
        <f t="shared" si="807"/>
        <v>住宅建築局住宅経営室</v>
      </c>
    </row>
    <row r="2369" spans="1:18" s="1" customFormat="1" x14ac:dyDescent="0.45">
      <c r="A2369" s="7" t="str">
        <f t="shared" si="818"/>
        <v>09940003221</v>
      </c>
      <c r="B2369" s="7" t="str">
        <f t="shared" si="819"/>
        <v>高槻芝生</v>
      </c>
      <c r="C2369" s="7" t="str">
        <f t="shared" si="808"/>
        <v>行政財産</v>
      </c>
      <c r="D2369" s="7" t="str">
        <f t="shared" si="809"/>
        <v>公営住宅</v>
      </c>
      <c r="E2369" s="7" t="str">
        <f t="shared" si="820"/>
        <v>大阪府高槻市芝生町２丁目</v>
      </c>
      <c r="F2369" s="7"/>
      <c r="G2369" s="7" t="str">
        <f t="shared" si="806"/>
        <v>事業用資産</v>
      </c>
      <c r="H2369" s="7" t="str">
        <f t="shared" si="798"/>
        <v>棚卸以外</v>
      </c>
      <c r="I2369" s="7">
        <v>7</v>
      </c>
      <c r="J2369" s="7" t="str">
        <f>"７号棟"</f>
        <v>７号棟</v>
      </c>
      <c r="K2369" s="7" t="str">
        <f t="shared" si="814"/>
        <v>鉄筋コンクリート造</v>
      </c>
      <c r="L2369" s="7" t="str">
        <f t="shared" si="821"/>
        <v>H02.08.09</v>
      </c>
      <c r="M2369" s="7">
        <v>2168.94</v>
      </c>
      <c r="N2369" s="7">
        <v>322694369</v>
      </c>
      <c r="O2369" s="7">
        <v>229662037</v>
      </c>
      <c r="P2369" s="7">
        <v>0</v>
      </c>
      <c r="Q2369" s="7" t="str">
        <f t="shared" si="810"/>
        <v>都市整備部</v>
      </c>
      <c r="R2369" s="7" t="str">
        <f t="shared" si="807"/>
        <v>住宅建築局住宅経営室</v>
      </c>
    </row>
    <row r="2370" spans="1:18" s="1" customFormat="1" x14ac:dyDescent="0.45">
      <c r="A2370" s="7" t="str">
        <f t="shared" si="818"/>
        <v>09940003221</v>
      </c>
      <c r="B2370" s="7" t="str">
        <f t="shared" si="819"/>
        <v>高槻芝生</v>
      </c>
      <c r="C2370" s="7" t="str">
        <f t="shared" si="808"/>
        <v>行政財産</v>
      </c>
      <c r="D2370" s="7" t="str">
        <f t="shared" si="809"/>
        <v>公営住宅</v>
      </c>
      <c r="E2370" s="7" t="str">
        <f t="shared" si="820"/>
        <v>大阪府高槻市芝生町２丁目</v>
      </c>
      <c r="F2370" s="7"/>
      <c r="G2370" s="7" t="str">
        <f t="shared" si="806"/>
        <v>事業用資産</v>
      </c>
      <c r="H2370" s="7" t="str">
        <f t="shared" si="798"/>
        <v>棚卸以外</v>
      </c>
      <c r="I2370" s="7">
        <v>8</v>
      </c>
      <c r="J2370" s="7" t="str">
        <f>"８号棟"</f>
        <v>８号棟</v>
      </c>
      <c r="K2370" s="7" t="str">
        <f t="shared" si="814"/>
        <v>鉄筋コンクリート造</v>
      </c>
      <c r="L2370" s="7" t="str">
        <f t="shared" si="821"/>
        <v>H02.08.09</v>
      </c>
      <c r="M2370" s="7">
        <v>1435.86</v>
      </c>
      <c r="N2370" s="7">
        <v>217288286</v>
      </c>
      <c r="O2370" s="7">
        <v>154731471</v>
      </c>
      <c r="P2370" s="7">
        <v>0</v>
      </c>
      <c r="Q2370" s="7" t="str">
        <f t="shared" si="810"/>
        <v>都市整備部</v>
      </c>
      <c r="R2370" s="7" t="str">
        <f t="shared" si="807"/>
        <v>住宅建築局住宅経営室</v>
      </c>
    </row>
    <row r="2371" spans="1:18" s="1" customFormat="1" x14ac:dyDescent="0.45">
      <c r="A2371" s="7" t="str">
        <f t="shared" si="818"/>
        <v>09940003221</v>
      </c>
      <c r="B2371" s="7" t="str">
        <f t="shared" si="819"/>
        <v>高槻芝生</v>
      </c>
      <c r="C2371" s="7" t="str">
        <f t="shared" si="808"/>
        <v>行政財産</v>
      </c>
      <c r="D2371" s="7" t="str">
        <f t="shared" si="809"/>
        <v>公営住宅</v>
      </c>
      <c r="E2371" s="7" t="str">
        <f t="shared" si="820"/>
        <v>大阪府高槻市芝生町２丁目</v>
      </c>
      <c r="F2371" s="7"/>
      <c r="G2371" s="7" t="str">
        <f t="shared" si="806"/>
        <v>事業用資産</v>
      </c>
      <c r="H2371" s="7" t="str">
        <f t="shared" si="798"/>
        <v>棚卸以外</v>
      </c>
      <c r="I2371" s="7">
        <v>9</v>
      </c>
      <c r="J2371" s="7" t="str">
        <f>"受水槽"</f>
        <v>受水槽</v>
      </c>
      <c r="K2371" s="7" t="str">
        <f t="shared" si="814"/>
        <v>鉄筋コンクリート造</v>
      </c>
      <c r="L2371" s="7" t="str">
        <f t="shared" si="821"/>
        <v>H02.08.09</v>
      </c>
      <c r="M2371" s="7">
        <v>81.25</v>
      </c>
      <c r="N2371" s="7">
        <v>34247000</v>
      </c>
      <c r="O2371" s="7">
        <v>23742302</v>
      </c>
      <c r="P2371" s="7">
        <v>0</v>
      </c>
      <c r="Q2371" s="7" t="str">
        <f t="shared" si="810"/>
        <v>都市整備部</v>
      </c>
      <c r="R2371" s="7" t="str">
        <f t="shared" si="807"/>
        <v>住宅建築局住宅経営室</v>
      </c>
    </row>
    <row r="2372" spans="1:18" s="1" customFormat="1" x14ac:dyDescent="0.45">
      <c r="A2372" s="7" t="str">
        <f t="shared" si="818"/>
        <v>09940003221</v>
      </c>
      <c r="B2372" s="7" t="str">
        <f t="shared" si="819"/>
        <v>高槻芝生</v>
      </c>
      <c r="C2372" s="7" t="str">
        <f t="shared" si="808"/>
        <v>行政財産</v>
      </c>
      <c r="D2372" s="7" t="str">
        <f t="shared" si="809"/>
        <v>公営住宅</v>
      </c>
      <c r="E2372" s="7" t="str">
        <f t="shared" si="820"/>
        <v>大阪府高槻市芝生町２丁目</v>
      </c>
      <c r="F2372" s="7"/>
      <c r="G2372" s="7" t="str">
        <f t="shared" si="806"/>
        <v>事業用資産</v>
      </c>
      <c r="H2372" s="7" t="str">
        <f t="shared" ref="H2372:H2435" si="822">"棚卸以外"</f>
        <v>棚卸以外</v>
      </c>
      <c r="I2372" s="7">
        <v>10</v>
      </c>
      <c r="J2372" s="7" t="str">
        <f>"９号棟"</f>
        <v>９号棟</v>
      </c>
      <c r="K2372" s="7" t="str">
        <f t="shared" si="814"/>
        <v>鉄筋コンクリート造</v>
      </c>
      <c r="L2372" s="7" t="str">
        <f t="shared" ref="L2372:L2377" si="823">"H04.04.01"</f>
        <v>H04.04.01</v>
      </c>
      <c r="M2372" s="7">
        <v>3425.43</v>
      </c>
      <c r="N2372" s="7">
        <v>543947000</v>
      </c>
      <c r="O2372" s="7">
        <v>357809466</v>
      </c>
      <c r="P2372" s="7">
        <v>0</v>
      </c>
      <c r="Q2372" s="7" t="str">
        <f t="shared" si="810"/>
        <v>都市整備部</v>
      </c>
      <c r="R2372" s="7" t="str">
        <f t="shared" si="807"/>
        <v>住宅建築局住宅経営室</v>
      </c>
    </row>
    <row r="2373" spans="1:18" s="1" customFormat="1" x14ac:dyDescent="0.45">
      <c r="A2373" s="7" t="str">
        <f t="shared" si="818"/>
        <v>09940003221</v>
      </c>
      <c r="B2373" s="7" t="str">
        <f t="shared" si="819"/>
        <v>高槻芝生</v>
      </c>
      <c r="C2373" s="7" t="str">
        <f t="shared" si="808"/>
        <v>行政財産</v>
      </c>
      <c r="D2373" s="7" t="str">
        <f t="shared" si="809"/>
        <v>公営住宅</v>
      </c>
      <c r="E2373" s="7" t="str">
        <f t="shared" si="820"/>
        <v>大阪府高槻市芝生町２丁目</v>
      </c>
      <c r="F2373" s="7"/>
      <c r="G2373" s="7" t="str">
        <f t="shared" si="806"/>
        <v>事業用資産</v>
      </c>
      <c r="H2373" s="7" t="str">
        <f t="shared" si="822"/>
        <v>棚卸以外</v>
      </c>
      <c r="I2373" s="7">
        <v>11</v>
      </c>
      <c r="J2373" s="7" t="str">
        <f>"１０号棟"</f>
        <v>１０号棟</v>
      </c>
      <c r="K2373" s="7" t="str">
        <f t="shared" si="814"/>
        <v>鉄筋コンクリート造</v>
      </c>
      <c r="L2373" s="7" t="str">
        <f t="shared" si="823"/>
        <v>H04.04.01</v>
      </c>
      <c r="M2373" s="7">
        <v>2633.01</v>
      </c>
      <c r="N2373" s="7">
        <v>420635000</v>
      </c>
      <c r="O2373" s="7">
        <v>276694397</v>
      </c>
      <c r="P2373" s="7">
        <v>0</v>
      </c>
      <c r="Q2373" s="7" t="str">
        <f t="shared" si="810"/>
        <v>都市整備部</v>
      </c>
      <c r="R2373" s="7" t="str">
        <f t="shared" si="807"/>
        <v>住宅建築局住宅経営室</v>
      </c>
    </row>
    <row r="2374" spans="1:18" s="1" customFormat="1" x14ac:dyDescent="0.45">
      <c r="A2374" s="7" t="str">
        <f t="shared" si="818"/>
        <v>09940003221</v>
      </c>
      <c r="B2374" s="7" t="str">
        <f t="shared" si="819"/>
        <v>高槻芝生</v>
      </c>
      <c r="C2374" s="7" t="str">
        <f t="shared" si="808"/>
        <v>行政財産</v>
      </c>
      <c r="D2374" s="7" t="str">
        <f t="shared" si="809"/>
        <v>公営住宅</v>
      </c>
      <c r="E2374" s="7" t="str">
        <f t="shared" si="820"/>
        <v>大阪府高槻市芝生町２丁目</v>
      </c>
      <c r="F2374" s="7"/>
      <c r="G2374" s="7" t="str">
        <f t="shared" si="806"/>
        <v>事業用資産</v>
      </c>
      <c r="H2374" s="7" t="str">
        <f t="shared" si="822"/>
        <v>棚卸以外</v>
      </c>
      <c r="I2374" s="7">
        <v>12</v>
      </c>
      <c r="J2374" s="7" t="str">
        <f>"１１号棟"</f>
        <v>１１号棟</v>
      </c>
      <c r="K2374" s="7" t="str">
        <f t="shared" si="814"/>
        <v>鉄筋コンクリート造</v>
      </c>
      <c r="L2374" s="7" t="str">
        <f t="shared" si="823"/>
        <v>H04.04.01</v>
      </c>
      <c r="M2374" s="7">
        <v>2783.11</v>
      </c>
      <c r="N2374" s="7">
        <v>450571000</v>
      </c>
      <c r="O2374" s="7">
        <v>296386335</v>
      </c>
      <c r="P2374" s="7">
        <v>0</v>
      </c>
      <c r="Q2374" s="7" t="str">
        <f t="shared" si="810"/>
        <v>都市整備部</v>
      </c>
      <c r="R2374" s="7" t="str">
        <f t="shared" si="807"/>
        <v>住宅建築局住宅経営室</v>
      </c>
    </row>
    <row r="2375" spans="1:18" s="1" customFormat="1" x14ac:dyDescent="0.45">
      <c r="A2375" s="7" t="str">
        <f t="shared" si="818"/>
        <v>09940003221</v>
      </c>
      <c r="B2375" s="7" t="str">
        <f t="shared" si="819"/>
        <v>高槻芝生</v>
      </c>
      <c r="C2375" s="7" t="str">
        <f t="shared" si="808"/>
        <v>行政財産</v>
      </c>
      <c r="D2375" s="7" t="str">
        <f t="shared" si="809"/>
        <v>公営住宅</v>
      </c>
      <c r="E2375" s="7" t="str">
        <f t="shared" si="820"/>
        <v>大阪府高槻市芝生町２丁目</v>
      </c>
      <c r="F2375" s="7"/>
      <c r="G2375" s="7" t="str">
        <f t="shared" si="806"/>
        <v>事業用資産</v>
      </c>
      <c r="H2375" s="7" t="str">
        <f t="shared" si="822"/>
        <v>棚卸以外</v>
      </c>
      <c r="I2375" s="7">
        <v>13</v>
      </c>
      <c r="J2375" s="7" t="str">
        <f>"１２号棟"</f>
        <v>１２号棟</v>
      </c>
      <c r="K2375" s="7" t="str">
        <f t="shared" si="814"/>
        <v>鉄筋コンクリート造</v>
      </c>
      <c r="L2375" s="7" t="str">
        <f t="shared" si="823"/>
        <v>H04.04.01</v>
      </c>
      <c r="M2375" s="7">
        <v>1859.56</v>
      </c>
      <c r="N2375" s="7">
        <v>328934000</v>
      </c>
      <c r="O2375" s="7">
        <v>216373507</v>
      </c>
      <c r="P2375" s="7">
        <v>0</v>
      </c>
      <c r="Q2375" s="7" t="str">
        <f t="shared" si="810"/>
        <v>都市整備部</v>
      </c>
      <c r="R2375" s="7" t="str">
        <f t="shared" si="807"/>
        <v>住宅建築局住宅経営室</v>
      </c>
    </row>
    <row r="2376" spans="1:18" s="1" customFormat="1" x14ac:dyDescent="0.45">
      <c r="A2376" s="7" t="str">
        <f t="shared" si="818"/>
        <v>09940003221</v>
      </c>
      <c r="B2376" s="7" t="str">
        <f t="shared" si="819"/>
        <v>高槻芝生</v>
      </c>
      <c r="C2376" s="7" t="str">
        <f t="shared" si="808"/>
        <v>行政財産</v>
      </c>
      <c r="D2376" s="7" t="str">
        <f t="shared" si="809"/>
        <v>公営住宅</v>
      </c>
      <c r="E2376" s="7" t="str">
        <f t="shared" si="820"/>
        <v>大阪府高槻市芝生町２丁目</v>
      </c>
      <c r="F2376" s="7"/>
      <c r="G2376" s="7" t="str">
        <f t="shared" si="806"/>
        <v>事業用資産</v>
      </c>
      <c r="H2376" s="7" t="str">
        <f t="shared" si="822"/>
        <v>棚卸以外</v>
      </c>
      <c r="I2376" s="7">
        <v>14</v>
      </c>
      <c r="J2376" s="7" t="str">
        <f>"１３号棟"</f>
        <v>１３号棟</v>
      </c>
      <c r="K2376" s="7" t="str">
        <f t="shared" si="814"/>
        <v>鉄筋コンクリート造</v>
      </c>
      <c r="L2376" s="7" t="str">
        <f t="shared" si="823"/>
        <v>H04.04.01</v>
      </c>
      <c r="M2376" s="7">
        <v>2705.49</v>
      </c>
      <c r="N2376" s="7">
        <v>429131723</v>
      </c>
      <c r="O2376" s="7">
        <v>282173325</v>
      </c>
      <c r="P2376" s="7">
        <v>0</v>
      </c>
      <c r="Q2376" s="7" t="str">
        <f t="shared" si="810"/>
        <v>都市整備部</v>
      </c>
      <c r="R2376" s="7" t="str">
        <f t="shared" si="807"/>
        <v>住宅建築局住宅経営室</v>
      </c>
    </row>
    <row r="2377" spans="1:18" s="1" customFormat="1" x14ac:dyDescent="0.45">
      <c r="A2377" s="7" t="str">
        <f t="shared" si="818"/>
        <v>09940003221</v>
      </c>
      <c r="B2377" s="7" t="str">
        <f t="shared" si="819"/>
        <v>高槻芝生</v>
      </c>
      <c r="C2377" s="7" t="str">
        <f t="shared" si="808"/>
        <v>行政財産</v>
      </c>
      <c r="D2377" s="7" t="str">
        <f t="shared" si="809"/>
        <v>公営住宅</v>
      </c>
      <c r="E2377" s="7" t="str">
        <f t="shared" si="820"/>
        <v>大阪府高槻市芝生町２丁目</v>
      </c>
      <c r="F2377" s="7"/>
      <c r="G2377" s="7" t="str">
        <f t="shared" si="806"/>
        <v>事業用資産</v>
      </c>
      <c r="H2377" s="7" t="str">
        <f t="shared" si="822"/>
        <v>棚卸以外</v>
      </c>
      <c r="I2377" s="7">
        <v>15</v>
      </c>
      <c r="J2377" s="7" t="str">
        <f>"受水槽"</f>
        <v>受水槽</v>
      </c>
      <c r="K2377" s="7" t="str">
        <f t="shared" si="814"/>
        <v>鉄筋コンクリート造</v>
      </c>
      <c r="L2377" s="7" t="str">
        <f t="shared" si="823"/>
        <v>H04.04.01</v>
      </c>
      <c r="M2377" s="7">
        <v>81.25</v>
      </c>
      <c r="N2377" s="7">
        <v>39501000</v>
      </c>
      <c r="O2377" s="7">
        <v>25984098</v>
      </c>
      <c r="P2377" s="7">
        <v>0</v>
      </c>
      <c r="Q2377" s="7" t="str">
        <f t="shared" si="810"/>
        <v>都市整備部</v>
      </c>
      <c r="R2377" s="7" t="str">
        <f t="shared" si="807"/>
        <v>住宅建築局住宅経営室</v>
      </c>
    </row>
    <row r="2378" spans="1:18" s="1" customFormat="1" x14ac:dyDescent="0.45">
      <c r="A2378" s="7" t="str">
        <f t="shared" si="818"/>
        <v>09940003221</v>
      </c>
      <c r="B2378" s="7" t="str">
        <f t="shared" si="819"/>
        <v>高槻芝生</v>
      </c>
      <c r="C2378" s="7" t="str">
        <f t="shared" si="808"/>
        <v>行政財産</v>
      </c>
      <c r="D2378" s="7" t="str">
        <f t="shared" si="809"/>
        <v>公営住宅</v>
      </c>
      <c r="E2378" s="7" t="str">
        <f t="shared" si="820"/>
        <v>大阪府高槻市芝生町２丁目</v>
      </c>
      <c r="F2378" s="7"/>
      <c r="G2378" s="7" t="str">
        <f t="shared" si="806"/>
        <v>事業用資産</v>
      </c>
      <c r="H2378" s="7" t="str">
        <f t="shared" si="822"/>
        <v>棚卸以外</v>
      </c>
      <c r="I2378" s="7">
        <v>16</v>
      </c>
      <c r="J2378" s="7" t="str">
        <f>"１４号棟"</f>
        <v>１４号棟</v>
      </c>
      <c r="K2378" s="7" t="str">
        <f t="shared" si="814"/>
        <v>鉄筋コンクリート造</v>
      </c>
      <c r="L2378" s="7" t="str">
        <f t="shared" ref="L2378:L2384" si="824">"H05.09.28"</f>
        <v>H05.09.28</v>
      </c>
      <c r="M2378" s="7">
        <v>2614.89</v>
      </c>
      <c r="N2378" s="7">
        <v>498495000</v>
      </c>
      <c r="O2378" s="7">
        <v>312885378</v>
      </c>
      <c r="P2378" s="7">
        <v>0</v>
      </c>
      <c r="Q2378" s="7" t="str">
        <f t="shared" si="810"/>
        <v>都市整備部</v>
      </c>
      <c r="R2378" s="7" t="str">
        <f t="shared" si="807"/>
        <v>住宅建築局住宅経営室</v>
      </c>
    </row>
    <row r="2379" spans="1:18" s="1" customFormat="1" x14ac:dyDescent="0.45">
      <c r="A2379" s="7" t="str">
        <f t="shared" si="818"/>
        <v>09940003221</v>
      </c>
      <c r="B2379" s="7" t="str">
        <f t="shared" si="819"/>
        <v>高槻芝生</v>
      </c>
      <c r="C2379" s="7" t="str">
        <f t="shared" si="808"/>
        <v>行政財産</v>
      </c>
      <c r="D2379" s="7" t="str">
        <f t="shared" si="809"/>
        <v>公営住宅</v>
      </c>
      <c r="E2379" s="7" t="str">
        <f t="shared" si="820"/>
        <v>大阪府高槻市芝生町２丁目</v>
      </c>
      <c r="F2379" s="7"/>
      <c r="G2379" s="7" t="str">
        <f t="shared" si="806"/>
        <v>事業用資産</v>
      </c>
      <c r="H2379" s="7" t="str">
        <f t="shared" si="822"/>
        <v>棚卸以外</v>
      </c>
      <c r="I2379" s="7">
        <v>17</v>
      </c>
      <c r="J2379" s="7" t="str">
        <f>"１５号棟"</f>
        <v>１５号棟</v>
      </c>
      <c r="K2379" s="7" t="str">
        <f t="shared" si="814"/>
        <v>鉄筋コンクリート造</v>
      </c>
      <c r="L2379" s="7" t="str">
        <f t="shared" si="824"/>
        <v>H05.09.28</v>
      </c>
      <c r="M2379" s="7">
        <v>1041.1400000000001</v>
      </c>
      <c r="N2379" s="7">
        <v>191213723</v>
      </c>
      <c r="O2379" s="7">
        <v>119912190</v>
      </c>
      <c r="P2379" s="7">
        <v>0</v>
      </c>
      <c r="Q2379" s="7" t="str">
        <f t="shared" si="810"/>
        <v>都市整備部</v>
      </c>
      <c r="R2379" s="7" t="str">
        <f t="shared" si="807"/>
        <v>住宅建築局住宅経営室</v>
      </c>
    </row>
    <row r="2380" spans="1:18" s="1" customFormat="1" x14ac:dyDescent="0.45">
      <c r="A2380" s="7" t="str">
        <f t="shared" si="818"/>
        <v>09940003221</v>
      </c>
      <c r="B2380" s="7" t="str">
        <f t="shared" si="819"/>
        <v>高槻芝生</v>
      </c>
      <c r="C2380" s="7" t="str">
        <f t="shared" si="808"/>
        <v>行政財産</v>
      </c>
      <c r="D2380" s="7" t="str">
        <f t="shared" si="809"/>
        <v>公営住宅</v>
      </c>
      <c r="E2380" s="7" t="str">
        <f t="shared" si="820"/>
        <v>大阪府高槻市芝生町２丁目</v>
      </c>
      <c r="F2380" s="7"/>
      <c r="G2380" s="7" t="str">
        <f t="shared" si="806"/>
        <v>事業用資産</v>
      </c>
      <c r="H2380" s="7" t="str">
        <f t="shared" si="822"/>
        <v>棚卸以外</v>
      </c>
      <c r="I2380" s="7">
        <v>18</v>
      </c>
      <c r="J2380" s="7" t="str">
        <f>"１６号棟"</f>
        <v>１６号棟</v>
      </c>
      <c r="K2380" s="7" t="str">
        <f t="shared" si="814"/>
        <v>鉄筋コンクリート造</v>
      </c>
      <c r="L2380" s="7" t="str">
        <f t="shared" si="824"/>
        <v>H05.09.28</v>
      </c>
      <c r="M2380" s="7">
        <v>1414.21</v>
      </c>
      <c r="N2380" s="7">
        <v>254103000</v>
      </c>
      <c r="O2380" s="7">
        <v>159490452</v>
      </c>
      <c r="P2380" s="7">
        <v>0</v>
      </c>
      <c r="Q2380" s="7" t="str">
        <f t="shared" si="810"/>
        <v>都市整備部</v>
      </c>
      <c r="R2380" s="7" t="str">
        <f t="shared" si="807"/>
        <v>住宅建築局住宅経営室</v>
      </c>
    </row>
    <row r="2381" spans="1:18" s="1" customFormat="1" x14ac:dyDescent="0.45">
      <c r="A2381" s="7" t="str">
        <f t="shared" si="818"/>
        <v>09940003221</v>
      </c>
      <c r="B2381" s="7" t="str">
        <f t="shared" si="819"/>
        <v>高槻芝生</v>
      </c>
      <c r="C2381" s="7" t="str">
        <f t="shared" si="808"/>
        <v>行政財産</v>
      </c>
      <c r="D2381" s="7" t="str">
        <f t="shared" si="809"/>
        <v>公営住宅</v>
      </c>
      <c r="E2381" s="7" t="str">
        <f t="shared" si="820"/>
        <v>大阪府高槻市芝生町２丁目</v>
      </c>
      <c r="F2381" s="7"/>
      <c r="G2381" s="7" t="str">
        <f t="shared" si="806"/>
        <v>事業用資産</v>
      </c>
      <c r="H2381" s="7" t="str">
        <f t="shared" si="822"/>
        <v>棚卸以外</v>
      </c>
      <c r="I2381" s="7">
        <v>19</v>
      </c>
      <c r="J2381" s="7" t="str">
        <f>"１７号棟"</f>
        <v>１７号棟</v>
      </c>
      <c r="K2381" s="7" t="str">
        <f t="shared" ref="K2381:K2412" si="825">"鉄筋コンクリート造"</f>
        <v>鉄筋コンクリート造</v>
      </c>
      <c r="L2381" s="7" t="str">
        <f t="shared" si="824"/>
        <v>H05.09.28</v>
      </c>
      <c r="M2381" s="7">
        <v>2783.11</v>
      </c>
      <c r="N2381" s="7">
        <v>497160939</v>
      </c>
      <c r="O2381" s="7">
        <v>311876124</v>
      </c>
      <c r="P2381" s="7">
        <v>0</v>
      </c>
      <c r="Q2381" s="7" t="str">
        <f t="shared" si="810"/>
        <v>都市整備部</v>
      </c>
      <c r="R2381" s="7" t="str">
        <f t="shared" si="807"/>
        <v>住宅建築局住宅経営室</v>
      </c>
    </row>
    <row r="2382" spans="1:18" s="1" customFormat="1" x14ac:dyDescent="0.45">
      <c r="A2382" s="7" t="str">
        <f t="shared" si="818"/>
        <v>09940003221</v>
      </c>
      <c r="B2382" s="7" t="str">
        <f t="shared" si="819"/>
        <v>高槻芝生</v>
      </c>
      <c r="C2382" s="7" t="str">
        <f t="shared" si="808"/>
        <v>行政財産</v>
      </c>
      <c r="D2382" s="7" t="str">
        <f t="shared" si="809"/>
        <v>公営住宅</v>
      </c>
      <c r="E2382" s="7" t="str">
        <f t="shared" si="820"/>
        <v>大阪府高槻市芝生町２丁目</v>
      </c>
      <c r="F2382" s="7"/>
      <c r="G2382" s="7" t="str">
        <f t="shared" si="806"/>
        <v>事業用資産</v>
      </c>
      <c r="H2382" s="7" t="str">
        <f t="shared" si="822"/>
        <v>棚卸以外</v>
      </c>
      <c r="I2382" s="7">
        <v>20</v>
      </c>
      <c r="J2382" s="7" t="str">
        <f>"１８号棟"</f>
        <v>１８号棟</v>
      </c>
      <c r="K2382" s="7" t="str">
        <f t="shared" si="825"/>
        <v>鉄筋コンクリート造</v>
      </c>
      <c r="L2382" s="7" t="str">
        <f t="shared" si="824"/>
        <v>H05.09.28</v>
      </c>
      <c r="M2382" s="7">
        <v>2129.52</v>
      </c>
      <c r="N2382" s="7">
        <v>336562000</v>
      </c>
      <c r="O2382" s="7">
        <v>211246668</v>
      </c>
      <c r="P2382" s="7">
        <v>0</v>
      </c>
      <c r="Q2382" s="7" t="str">
        <f t="shared" si="810"/>
        <v>都市整備部</v>
      </c>
      <c r="R2382" s="7" t="str">
        <f t="shared" si="807"/>
        <v>住宅建築局住宅経営室</v>
      </c>
    </row>
    <row r="2383" spans="1:18" s="1" customFormat="1" x14ac:dyDescent="0.45">
      <c r="A2383" s="7" t="str">
        <f t="shared" si="818"/>
        <v>09940003221</v>
      </c>
      <c r="B2383" s="7" t="str">
        <f t="shared" si="819"/>
        <v>高槻芝生</v>
      </c>
      <c r="C2383" s="7" t="str">
        <f t="shared" si="808"/>
        <v>行政財産</v>
      </c>
      <c r="D2383" s="7" t="str">
        <f t="shared" si="809"/>
        <v>公営住宅</v>
      </c>
      <c r="E2383" s="7" t="str">
        <f t="shared" si="820"/>
        <v>大阪府高槻市芝生町２丁目</v>
      </c>
      <c r="F2383" s="7"/>
      <c r="G2383" s="7" t="str">
        <f t="shared" si="806"/>
        <v>事業用資産</v>
      </c>
      <c r="H2383" s="7" t="str">
        <f t="shared" si="822"/>
        <v>棚卸以外</v>
      </c>
      <c r="I2383" s="7">
        <v>21</v>
      </c>
      <c r="J2383" s="7" t="str">
        <f>"１９号棟"</f>
        <v>１９号棟</v>
      </c>
      <c r="K2383" s="7" t="str">
        <f t="shared" si="825"/>
        <v>鉄筋コンクリート造</v>
      </c>
      <c r="L2383" s="7" t="str">
        <f t="shared" si="824"/>
        <v>H05.09.28</v>
      </c>
      <c r="M2383" s="7">
        <v>2129.52</v>
      </c>
      <c r="N2383" s="7">
        <v>372441000</v>
      </c>
      <c r="O2383" s="7">
        <v>233766378</v>
      </c>
      <c r="P2383" s="7">
        <v>0</v>
      </c>
      <c r="Q2383" s="7" t="str">
        <f t="shared" si="810"/>
        <v>都市整備部</v>
      </c>
      <c r="R2383" s="7" t="str">
        <f t="shared" si="807"/>
        <v>住宅建築局住宅経営室</v>
      </c>
    </row>
    <row r="2384" spans="1:18" s="1" customFormat="1" x14ac:dyDescent="0.45">
      <c r="A2384" s="7" t="str">
        <f t="shared" si="818"/>
        <v>09940003221</v>
      </c>
      <c r="B2384" s="7" t="str">
        <f t="shared" si="819"/>
        <v>高槻芝生</v>
      </c>
      <c r="C2384" s="7" t="str">
        <f t="shared" si="808"/>
        <v>行政財産</v>
      </c>
      <c r="D2384" s="7" t="str">
        <f t="shared" si="809"/>
        <v>公営住宅</v>
      </c>
      <c r="E2384" s="7" t="str">
        <f t="shared" si="820"/>
        <v>大阪府高槻市芝生町２丁目</v>
      </c>
      <c r="F2384" s="7"/>
      <c r="G2384" s="7" t="str">
        <f t="shared" si="806"/>
        <v>事業用資産</v>
      </c>
      <c r="H2384" s="7" t="str">
        <f t="shared" si="822"/>
        <v>棚卸以外</v>
      </c>
      <c r="I2384" s="7">
        <v>22</v>
      </c>
      <c r="J2384" s="7" t="str">
        <f>"２０号棟"</f>
        <v>２０号棟</v>
      </c>
      <c r="K2384" s="7" t="str">
        <f t="shared" si="825"/>
        <v>鉄筋コンクリート造</v>
      </c>
      <c r="L2384" s="7" t="str">
        <f t="shared" si="824"/>
        <v>H05.09.28</v>
      </c>
      <c r="M2384" s="7">
        <v>2783.11</v>
      </c>
      <c r="N2384" s="7">
        <v>486428000</v>
      </c>
      <c r="O2384" s="7">
        <v>305311194</v>
      </c>
      <c r="P2384" s="7">
        <v>0</v>
      </c>
      <c r="Q2384" s="7" t="str">
        <f t="shared" si="810"/>
        <v>都市整備部</v>
      </c>
      <c r="R2384" s="7" t="str">
        <f t="shared" si="807"/>
        <v>住宅建築局住宅経営室</v>
      </c>
    </row>
    <row r="2385" spans="1:18" s="1" customFormat="1" x14ac:dyDescent="0.45">
      <c r="A2385" s="7" t="str">
        <f t="shared" si="818"/>
        <v>09940003221</v>
      </c>
      <c r="B2385" s="7" t="str">
        <f t="shared" si="819"/>
        <v>高槻芝生</v>
      </c>
      <c r="C2385" s="7" t="str">
        <f t="shared" si="808"/>
        <v>行政財産</v>
      </c>
      <c r="D2385" s="7" t="str">
        <f t="shared" si="809"/>
        <v>公営住宅</v>
      </c>
      <c r="E2385" s="7" t="str">
        <f t="shared" si="820"/>
        <v>大阪府高槻市芝生町２丁目</v>
      </c>
      <c r="F2385" s="7"/>
      <c r="G2385" s="7" t="str">
        <f t="shared" si="806"/>
        <v>事業用資産</v>
      </c>
      <c r="H2385" s="7" t="str">
        <f t="shared" si="822"/>
        <v>棚卸以外</v>
      </c>
      <c r="I2385" s="7">
        <v>23</v>
      </c>
      <c r="J2385" s="7" t="str">
        <f>"集会所"</f>
        <v>集会所</v>
      </c>
      <c r="K2385" s="7" t="str">
        <f t="shared" si="825"/>
        <v>鉄筋コンクリート造</v>
      </c>
      <c r="L2385" s="7" t="str">
        <f>"H06.02.24"</f>
        <v>H06.02.24</v>
      </c>
      <c r="M2385" s="7">
        <v>306.45</v>
      </c>
      <c r="N2385" s="7">
        <v>85087000</v>
      </c>
      <c r="O2385" s="7">
        <v>50580155</v>
      </c>
      <c r="P2385" s="7">
        <v>0</v>
      </c>
      <c r="Q2385" s="7" t="str">
        <f t="shared" si="810"/>
        <v>都市整備部</v>
      </c>
      <c r="R2385" s="7" t="str">
        <f t="shared" si="807"/>
        <v>住宅建築局住宅経営室</v>
      </c>
    </row>
    <row r="2386" spans="1:18" s="1" customFormat="1" x14ac:dyDescent="0.45">
      <c r="A2386" s="7" t="str">
        <f t="shared" si="818"/>
        <v>09940003221</v>
      </c>
      <c r="B2386" s="7" t="str">
        <f t="shared" si="819"/>
        <v>高槻芝生</v>
      </c>
      <c r="C2386" s="7" t="str">
        <f t="shared" si="808"/>
        <v>行政財産</v>
      </c>
      <c r="D2386" s="7" t="str">
        <f t="shared" si="809"/>
        <v>公営住宅</v>
      </c>
      <c r="E2386" s="7" t="str">
        <f t="shared" si="820"/>
        <v>大阪府高槻市芝生町２丁目</v>
      </c>
      <c r="F2386" s="7"/>
      <c r="G2386" s="7" t="str">
        <f t="shared" si="806"/>
        <v>事業用資産</v>
      </c>
      <c r="H2386" s="7" t="str">
        <f t="shared" si="822"/>
        <v>棚卸以外</v>
      </c>
      <c r="I2386" s="7">
        <v>26</v>
      </c>
      <c r="J2386" s="7" t="str">
        <f>"２１号棟"</f>
        <v>２１号棟</v>
      </c>
      <c r="K2386" s="7" t="str">
        <f t="shared" si="825"/>
        <v>鉄筋コンクリート造</v>
      </c>
      <c r="L2386" s="7" t="str">
        <f t="shared" ref="L2386:L2392" si="826">"H07.07.31"</f>
        <v>H07.07.31</v>
      </c>
      <c r="M2386" s="7">
        <v>2993.45</v>
      </c>
      <c r="N2386" s="7">
        <v>472611723</v>
      </c>
      <c r="O2386" s="7">
        <v>278105444</v>
      </c>
      <c r="P2386" s="7">
        <v>0</v>
      </c>
      <c r="Q2386" s="7" t="str">
        <f t="shared" si="810"/>
        <v>都市整備部</v>
      </c>
      <c r="R2386" s="7" t="str">
        <f t="shared" si="807"/>
        <v>住宅建築局住宅経営室</v>
      </c>
    </row>
    <row r="2387" spans="1:18" s="1" customFormat="1" x14ac:dyDescent="0.45">
      <c r="A2387" s="7" t="str">
        <f t="shared" si="818"/>
        <v>09940003221</v>
      </c>
      <c r="B2387" s="7" t="str">
        <f t="shared" si="819"/>
        <v>高槻芝生</v>
      </c>
      <c r="C2387" s="7" t="str">
        <f t="shared" si="808"/>
        <v>行政財産</v>
      </c>
      <c r="D2387" s="7" t="str">
        <f t="shared" si="809"/>
        <v>公営住宅</v>
      </c>
      <c r="E2387" s="7" t="str">
        <f t="shared" si="820"/>
        <v>大阪府高槻市芝生町２丁目</v>
      </c>
      <c r="F2387" s="7"/>
      <c r="G2387" s="7" t="str">
        <f t="shared" si="806"/>
        <v>事業用資産</v>
      </c>
      <c r="H2387" s="7" t="str">
        <f t="shared" si="822"/>
        <v>棚卸以外</v>
      </c>
      <c r="I2387" s="7">
        <v>27</v>
      </c>
      <c r="J2387" s="7" t="str">
        <f>"２２号棟"</f>
        <v>２２号棟</v>
      </c>
      <c r="K2387" s="7" t="str">
        <f t="shared" si="825"/>
        <v>鉄筋コンクリート造</v>
      </c>
      <c r="L2387" s="7" t="str">
        <f t="shared" si="826"/>
        <v>H07.07.31</v>
      </c>
      <c r="M2387" s="7">
        <v>2966.84</v>
      </c>
      <c r="N2387" s="7">
        <v>468375817</v>
      </c>
      <c r="O2387" s="7">
        <v>275227004</v>
      </c>
      <c r="P2387" s="7">
        <v>0</v>
      </c>
      <c r="Q2387" s="7" t="str">
        <f t="shared" si="810"/>
        <v>都市整備部</v>
      </c>
      <c r="R2387" s="7" t="str">
        <f t="shared" si="807"/>
        <v>住宅建築局住宅経営室</v>
      </c>
    </row>
    <row r="2388" spans="1:18" s="1" customFormat="1" x14ac:dyDescent="0.45">
      <c r="A2388" s="7" t="str">
        <f t="shared" si="818"/>
        <v>09940003221</v>
      </c>
      <c r="B2388" s="7" t="str">
        <f t="shared" si="819"/>
        <v>高槻芝生</v>
      </c>
      <c r="C2388" s="7" t="str">
        <f t="shared" si="808"/>
        <v>行政財産</v>
      </c>
      <c r="D2388" s="7" t="str">
        <f t="shared" si="809"/>
        <v>公営住宅</v>
      </c>
      <c r="E2388" s="7" t="str">
        <f t="shared" si="820"/>
        <v>大阪府高槻市芝生町２丁目</v>
      </c>
      <c r="F2388" s="7"/>
      <c r="G2388" s="7" t="str">
        <f t="shared" si="806"/>
        <v>事業用資産</v>
      </c>
      <c r="H2388" s="7" t="str">
        <f t="shared" si="822"/>
        <v>棚卸以外</v>
      </c>
      <c r="I2388" s="7">
        <v>28</v>
      </c>
      <c r="J2388" s="7" t="str">
        <f>"２３号棟"</f>
        <v>２３号棟</v>
      </c>
      <c r="K2388" s="7" t="str">
        <f t="shared" si="825"/>
        <v>鉄筋コンクリート造</v>
      </c>
      <c r="L2388" s="7" t="str">
        <f t="shared" si="826"/>
        <v>H07.07.31</v>
      </c>
      <c r="M2388" s="7">
        <v>2939.8</v>
      </c>
      <c r="N2388" s="7">
        <v>402942000</v>
      </c>
      <c r="O2388" s="7">
        <v>237193084</v>
      </c>
      <c r="P2388" s="7">
        <v>0</v>
      </c>
      <c r="Q2388" s="7" t="str">
        <f t="shared" si="810"/>
        <v>都市整備部</v>
      </c>
      <c r="R2388" s="7" t="str">
        <f t="shared" si="807"/>
        <v>住宅建築局住宅経営室</v>
      </c>
    </row>
    <row r="2389" spans="1:18" s="1" customFormat="1" x14ac:dyDescent="0.45">
      <c r="A2389" s="7" t="str">
        <f t="shared" si="818"/>
        <v>09940003221</v>
      </c>
      <c r="B2389" s="7" t="str">
        <f t="shared" si="819"/>
        <v>高槻芝生</v>
      </c>
      <c r="C2389" s="7" t="str">
        <f t="shared" si="808"/>
        <v>行政財産</v>
      </c>
      <c r="D2389" s="7" t="str">
        <f t="shared" si="809"/>
        <v>公営住宅</v>
      </c>
      <c r="E2389" s="7" t="str">
        <f t="shared" si="820"/>
        <v>大阪府高槻市芝生町２丁目</v>
      </c>
      <c r="F2389" s="7"/>
      <c r="G2389" s="7" t="str">
        <f t="shared" si="806"/>
        <v>事業用資産</v>
      </c>
      <c r="H2389" s="7" t="str">
        <f t="shared" si="822"/>
        <v>棚卸以外</v>
      </c>
      <c r="I2389" s="7">
        <v>29</v>
      </c>
      <c r="J2389" s="7" t="str">
        <f>"２４号棟"</f>
        <v>２４号棟</v>
      </c>
      <c r="K2389" s="7" t="str">
        <f t="shared" si="825"/>
        <v>鉄筋コンクリート造</v>
      </c>
      <c r="L2389" s="7" t="str">
        <f t="shared" si="826"/>
        <v>H07.07.31</v>
      </c>
      <c r="M2389" s="7">
        <v>2939.8</v>
      </c>
      <c r="N2389" s="7">
        <v>455556939</v>
      </c>
      <c r="O2389" s="7">
        <v>268003680</v>
      </c>
      <c r="P2389" s="7">
        <v>0</v>
      </c>
      <c r="Q2389" s="7" t="str">
        <f t="shared" si="810"/>
        <v>都市整備部</v>
      </c>
      <c r="R2389" s="7" t="str">
        <f t="shared" si="807"/>
        <v>住宅建築局住宅経営室</v>
      </c>
    </row>
    <row r="2390" spans="1:18" s="1" customFormat="1" x14ac:dyDescent="0.45">
      <c r="A2390" s="7" t="str">
        <f t="shared" si="818"/>
        <v>09940003221</v>
      </c>
      <c r="B2390" s="7" t="str">
        <f t="shared" si="819"/>
        <v>高槻芝生</v>
      </c>
      <c r="C2390" s="7" t="str">
        <f t="shared" si="808"/>
        <v>行政財産</v>
      </c>
      <c r="D2390" s="7" t="str">
        <f t="shared" si="809"/>
        <v>公営住宅</v>
      </c>
      <c r="E2390" s="7" t="str">
        <f t="shared" si="820"/>
        <v>大阪府高槻市芝生町２丁目</v>
      </c>
      <c r="F2390" s="7"/>
      <c r="G2390" s="7" t="str">
        <f t="shared" si="806"/>
        <v>事業用資産</v>
      </c>
      <c r="H2390" s="7" t="str">
        <f t="shared" si="822"/>
        <v>棚卸以外</v>
      </c>
      <c r="I2390" s="7">
        <v>30</v>
      </c>
      <c r="J2390" s="7" t="str">
        <f>"２５号棟"</f>
        <v>２５号棟</v>
      </c>
      <c r="K2390" s="7" t="str">
        <f t="shared" si="825"/>
        <v>鉄筋コンクリート造</v>
      </c>
      <c r="L2390" s="7" t="str">
        <f t="shared" si="826"/>
        <v>H07.07.31</v>
      </c>
      <c r="M2390" s="7">
        <v>2966.84</v>
      </c>
      <c r="N2390" s="7">
        <v>461785000</v>
      </c>
      <c r="O2390" s="7">
        <v>271830976</v>
      </c>
      <c r="P2390" s="7">
        <v>0</v>
      </c>
      <c r="Q2390" s="7" t="str">
        <f t="shared" si="810"/>
        <v>都市整備部</v>
      </c>
      <c r="R2390" s="7" t="str">
        <f t="shared" si="807"/>
        <v>住宅建築局住宅経営室</v>
      </c>
    </row>
    <row r="2391" spans="1:18" s="1" customFormat="1" x14ac:dyDescent="0.45">
      <c r="A2391" s="7" t="str">
        <f t="shared" si="818"/>
        <v>09940003221</v>
      </c>
      <c r="B2391" s="7" t="str">
        <f t="shared" si="819"/>
        <v>高槻芝生</v>
      </c>
      <c r="C2391" s="7" t="str">
        <f t="shared" si="808"/>
        <v>行政財産</v>
      </c>
      <c r="D2391" s="7" t="str">
        <f t="shared" si="809"/>
        <v>公営住宅</v>
      </c>
      <c r="E2391" s="7" t="str">
        <f t="shared" si="820"/>
        <v>大阪府高槻市芝生町２丁目</v>
      </c>
      <c r="F2391" s="7"/>
      <c r="G2391" s="7" t="str">
        <f t="shared" ref="G2391:G2454" si="827">"事業用資産"</f>
        <v>事業用資産</v>
      </c>
      <c r="H2391" s="7" t="str">
        <f t="shared" si="822"/>
        <v>棚卸以外</v>
      </c>
      <c r="I2391" s="7">
        <v>31</v>
      </c>
      <c r="J2391" s="7" t="str">
        <f>"２６号棟"</f>
        <v>２６号棟</v>
      </c>
      <c r="K2391" s="7" t="str">
        <f t="shared" si="825"/>
        <v>鉄筋コンクリート造</v>
      </c>
      <c r="L2391" s="7" t="str">
        <f t="shared" si="826"/>
        <v>H07.07.31</v>
      </c>
      <c r="M2391" s="7">
        <v>1484.71</v>
      </c>
      <c r="N2391" s="7">
        <v>231040000</v>
      </c>
      <c r="O2391" s="7">
        <v>136002472</v>
      </c>
      <c r="P2391" s="7">
        <v>0</v>
      </c>
      <c r="Q2391" s="7" t="str">
        <f t="shared" si="810"/>
        <v>都市整備部</v>
      </c>
      <c r="R2391" s="7" t="str">
        <f t="shared" si="807"/>
        <v>住宅建築局住宅経営室</v>
      </c>
    </row>
    <row r="2392" spans="1:18" s="1" customFormat="1" x14ac:dyDescent="0.45">
      <c r="A2392" s="7" t="str">
        <f t="shared" si="818"/>
        <v>09940003221</v>
      </c>
      <c r="B2392" s="7" t="str">
        <f t="shared" si="819"/>
        <v>高槻芝生</v>
      </c>
      <c r="C2392" s="7" t="str">
        <f t="shared" si="808"/>
        <v>行政財産</v>
      </c>
      <c r="D2392" s="7" t="str">
        <f t="shared" si="809"/>
        <v>公営住宅</v>
      </c>
      <c r="E2392" s="7" t="str">
        <f t="shared" si="820"/>
        <v>大阪府高槻市芝生町２丁目</v>
      </c>
      <c r="F2392" s="7"/>
      <c r="G2392" s="7" t="str">
        <f t="shared" si="827"/>
        <v>事業用資産</v>
      </c>
      <c r="H2392" s="7" t="str">
        <f t="shared" si="822"/>
        <v>棚卸以外</v>
      </c>
      <c r="I2392" s="7">
        <v>32</v>
      </c>
      <c r="J2392" s="7" t="str">
        <f>"受水槽"</f>
        <v>受水槽</v>
      </c>
      <c r="K2392" s="7" t="str">
        <f t="shared" si="825"/>
        <v>鉄筋コンクリート造</v>
      </c>
      <c r="L2392" s="7" t="str">
        <f t="shared" si="826"/>
        <v>H07.07.31</v>
      </c>
      <c r="M2392" s="7">
        <v>65.040000000000006</v>
      </c>
      <c r="N2392" s="7">
        <v>32912000</v>
      </c>
      <c r="O2392" s="7">
        <v>19373860</v>
      </c>
      <c r="P2392" s="7">
        <v>0</v>
      </c>
      <c r="Q2392" s="7" t="str">
        <f t="shared" si="810"/>
        <v>都市整備部</v>
      </c>
      <c r="R2392" s="7" t="str">
        <f t="shared" ref="R2392:R2455" si="828">"住宅建築局住宅経営室"</f>
        <v>住宅建築局住宅経営室</v>
      </c>
    </row>
    <row r="2393" spans="1:18" s="1" customFormat="1" x14ac:dyDescent="0.45">
      <c r="A2393" s="7" t="str">
        <f t="shared" si="818"/>
        <v>09940003221</v>
      </c>
      <c r="B2393" s="7" t="str">
        <f t="shared" si="819"/>
        <v>高槻芝生</v>
      </c>
      <c r="C2393" s="7" t="str">
        <f t="shared" si="808"/>
        <v>行政財産</v>
      </c>
      <c r="D2393" s="7" t="str">
        <f t="shared" si="809"/>
        <v>公営住宅</v>
      </c>
      <c r="E2393" s="7" t="str">
        <f t="shared" si="820"/>
        <v>大阪府高槻市芝生町２丁目</v>
      </c>
      <c r="F2393" s="7"/>
      <c r="G2393" s="7" t="str">
        <f t="shared" si="827"/>
        <v>事業用資産</v>
      </c>
      <c r="H2393" s="7" t="str">
        <f t="shared" si="822"/>
        <v>棚卸以外</v>
      </c>
      <c r="I2393" s="7">
        <v>33</v>
      </c>
      <c r="J2393" s="7" t="str">
        <f>"２７号棟"</f>
        <v>２７号棟</v>
      </c>
      <c r="K2393" s="7" t="str">
        <f t="shared" si="825"/>
        <v>鉄筋コンクリート造</v>
      </c>
      <c r="L2393" s="7" t="str">
        <f>"H09.10.31"</f>
        <v>H09.10.31</v>
      </c>
      <c r="M2393" s="7">
        <v>6515.26</v>
      </c>
      <c r="N2393" s="7">
        <v>1098874262</v>
      </c>
      <c r="O2393" s="7">
        <v>594152505</v>
      </c>
      <c r="P2393" s="7">
        <v>0</v>
      </c>
      <c r="Q2393" s="7" t="str">
        <f t="shared" si="810"/>
        <v>都市整備部</v>
      </c>
      <c r="R2393" s="7" t="str">
        <f t="shared" si="828"/>
        <v>住宅建築局住宅経営室</v>
      </c>
    </row>
    <row r="2394" spans="1:18" s="1" customFormat="1" x14ac:dyDescent="0.45">
      <c r="A2394" s="7" t="str">
        <f t="shared" si="818"/>
        <v>09940003221</v>
      </c>
      <c r="B2394" s="7" t="str">
        <f t="shared" si="819"/>
        <v>高槻芝生</v>
      </c>
      <c r="C2394" s="7" t="str">
        <f t="shared" ref="C2394:C2457" si="829">"行政財産"</f>
        <v>行政財産</v>
      </c>
      <c r="D2394" s="7" t="str">
        <f t="shared" ref="D2394:D2457" si="830">"公営住宅"</f>
        <v>公営住宅</v>
      </c>
      <c r="E2394" s="7" t="str">
        <f t="shared" si="820"/>
        <v>大阪府高槻市芝生町２丁目</v>
      </c>
      <c r="F2394" s="7"/>
      <c r="G2394" s="7" t="str">
        <f t="shared" si="827"/>
        <v>事業用資産</v>
      </c>
      <c r="H2394" s="7" t="str">
        <f t="shared" si="822"/>
        <v>棚卸以外</v>
      </c>
      <c r="I2394" s="7">
        <v>34</v>
      </c>
      <c r="J2394" s="7" t="str">
        <f>"２８号棟"</f>
        <v>２８号棟</v>
      </c>
      <c r="K2394" s="7" t="str">
        <f t="shared" si="825"/>
        <v>鉄筋コンクリート造</v>
      </c>
      <c r="L2394" s="7" t="str">
        <f>"H09.10.31"</f>
        <v>H09.10.31</v>
      </c>
      <c r="M2394" s="7">
        <v>7070.63</v>
      </c>
      <c r="N2394" s="7">
        <v>1215785000</v>
      </c>
      <c r="O2394" s="7">
        <v>657472640</v>
      </c>
      <c r="P2394" s="7">
        <v>0</v>
      </c>
      <c r="Q2394" s="7" t="str">
        <f t="shared" si="810"/>
        <v>都市整備部</v>
      </c>
      <c r="R2394" s="7" t="str">
        <f t="shared" si="828"/>
        <v>住宅建築局住宅経営室</v>
      </c>
    </row>
    <row r="2395" spans="1:18" s="1" customFormat="1" x14ac:dyDescent="0.45">
      <c r="A2395" s="7" t="str">
        <f t="shared" si="818"/>
        <v>09940003221</v>
      </c>
      <c r="B2395" s="7" t="str">
        <f t="shared" si="819"/>
        <v>高槻芝生</v>
      </c>
      <c r="C2395" s="7" t="str">
        <f t="shared" si="829"/>
        <v>行政財産</v>
      </c>
      <c r="D2395" s="7" t="str">
        <f t="shared" si="830"/>
        <v>公営住宅</v>
      </c>
      <c r="E2395" s="7" t="str">
        <f t="shared" si="820"/>
        <v>大阪府高槻市芝生町２丁目</v>
      </c>
      <c r="F2395" s="7"/>
      <c r="G2395" s="7" t="str">
        <f t="shared" si="827"/>
        <v>事業用資産</v>
      </c>
      <c r="H2395" s="7" t="str">
        <f t="shared" si="822"/>
        <v>棚卸以外</v>
      </c>
      <c r="I2395" s="7">
        <v>35</v>
      </c>
      <c r="J2395" s="7" t="str">
        <f>"２９号棟"</f>
        <v>２９号棟</v>
      </c>
      <c r="K2395" s="7" t="str">
        <f t="shared" si="825"/>
        <v>鉄筋コンクリート造</v>
      </c>
      <c r="L2395" s="7" t="str">
        <f>"H09.10.31"</f>
        <v>H09.10.31</v>
      </c>
      <c r="M2395" s="7">
        <v>6146.06</v>
      </c>
      <c r="N2395" s="7">
        <v>1175669169</v>
      </c>
      <c r="O2395" s="7">
        <v>635506540</v>
      </c>
      <c r="P2395" s="7">
        <v>0</v>
      </c>
      <c r="Q2395" s="7" t="str">
        <f t="shared" ref="Q2395:Q2458" si="831">"都市整備部"</f>
        <v>都市整備部</v>
      </c>
      <c r="R2395" s="7" t="str">
        <f t="shared" si="828"/>
        <v>住宅建築局住宅経営室</v>
      </c>
    </row>
    <row r="2396" spans="1:18" s="1" customFormat="1" x14ac:dyDescent="0.45">
      <c r="A2396" s="7" t="str">
        <f t="shared" si="818"/>
        <v>09940003221</v>
      </c>
      <c r="B2396" s="7" t="str">
        <f t="shared" si="819"/>
        <v>高槻芝生</v>
      </c>
      <c r="C2396" s="7" t="str">
        <f t="shared" si="829"/>
        <v>行政財産</v>
      </c>
      <c r="D2396" s="7" t="str">
        <f t="shared" si="830"/>
        <v>公営住宅</v>
      </c>
      <c r="E2396" s="7" t="str">
        <f t="shared" si="820"/>
        <v>大阪府高槻市芝生町２丁目</v>
      </c>
      <c r="F2396" s="7"/>
      <c r="G2396" s="7" t="str">
        <f t="shared" si="827"/>
        <v>事業用資産</v>
      </c>
      <c r="H2396" s="7" t="str">
        <f t="shared" si="822"/>
        <v>棚卸以外</v>
      </c>
      <c r="I2396" s="7">
        <v>36</v>
      </c>
      <c r="J2396" s="7" t="str">
        <f>"受水槽ポンプ室"</f>
        <v>受水槽ポンプ室</v>
      </c>
      <c r="K2396" s="7" t="str">
        <f t="shared" si="825"/>
        <v>鉄筋コンクリート造</v>
      </c>
      <c r="L2396" s="7" t="str">
        <f>"H09.10.31"</f>
        <v>H09.10.31</v>
      </c>
      <c r="M2396" s="7">
        <v>72.239999999999995</v>
      </c>
      <c r="N2396" s="7">
        <v>31199000</v>
      </c>
      <c r="O2396" s="7">
        <v>16871990</v>
      </c>
      <c r="P2396" s="7">
        <v>0</v>
      </c>
      <c r="Q2396" s="7" t="str">
        <f t="shared" si="831"/>
        <v>都市整備部</v>
      </c>
      <c r="R2396" s="7" t="str">
        <f t="shared" si="828"/>
        <v>住宅建築局住宅経営室</v>
      </c>
    </row>
    <row r="2397" spans="1:18" s="1" customFormat="1" x14ac:dyDescent="0.45">
      <c r="A2397" s="7" t="str">
        <f t="shared" si="818"/>
        <v>09940003221</v>
      </c>
      <c r="B2397" s="7" t="str">
        <f t="shared" si="819"/>
        <v>高槻芝生</v>
      </c>
      <c r="C2397" s="7" t="str">
        <f t="shared" si="829"/>
        <v>行政財産</v>
      </c>
      <c r="D2397" s="7" t="str">
        <f t="shared" si="830"/>
        <v>公営住宅</v>
      </c>
      <c r="E2397" s="7" t="str">
        <f t="shared" si="820"/>
        <v>大阪府高槻市芝生町２丁目</v>
      </c>
      <c r="F2397" s="7"/>
      <c r="G2397" s="7" t="str">
        <f t="shared" si="827"/>
        <v>事業用資産</v>
      </c>
      <c r="H2397" s="7" t="str">
        <f t="shared" si="822"/>
        <v>棚卸以外</v>
      </c>
      <c r="I2397" s="7">
        <v>37</v>
      </c>
      <c r="J2397" s="7" t="str">
        <f>"電気室"</f>
        <v>電気室</v>
      </c>
      <c r="K2397" s="7" t="str">
        <f t="shared" si="825"/>
        <v>鉄筋コンクリート造</v>
      </c>
      <c r="L2397" s="7" t="str">
        <f>"H09.10.31"</f>
        <v>H09.10.31</v>
      </c>
      <c r="M2397" s="7">
        <v>122.19</v>
      </c>
      <c r="N2397" s="7">
        <v>15199000</v>
      </c>
      <c r="O2397" s="7">
        <v>8219445</v>
      </c>
      <c r="P2397" s="7">
        <v>0</v>
      </c>
      <c r="Q2397" s="7" t="str">
        <f t="shared" si="831"/>
        <v>都市整備部</v>
      </c>
      <c r="R2397" s="7" t="str">
        <f t="shared" si="828"/>
        <v>住宅建築局住宅経営室</v>
      </c>
    </row>
    <row r="2398" spans="1:18" s="1" customFormat="1" x14ac:dyDescent="0.45">
      <c r="A2398" s="7" t="str">
        <f t="shared" si="818"/>
        <v>09940003221</v>
      </c>
      <c r="B2398" s="7" t="str">
        <f t="shared" si="819"/>
        <v>高槻芝生</v>
      </c>
      <c r="C2398" s="7" t="str">
        <f t="shared" si="829"/>
        <v>行政財産</v>
      </c>
      <c r="D2398" s="7" t="str">
        <f t="shared" si="830"/>
        <v>公営住宅</v>
      </c>
      <c r="E2398" s="7" t="str">
        <f t="shared" si="820"/>
        <v>大阪府高槻市芝生町２丁目</v>
      </c>
      <c r="F2398" s="7"/>
      <c r="G2398" s="7" t="str">
        <f t="shared" si="827"/>
        <v>事業用資産</v>
      </c>
      <c r="H2398" s="7" t="str">
        <f t="shared" si="822"/>
        <v>棚卸以外</v>
      </c>
      <c r="I2398" s="7">
        <v>38</v>
      </c>
      <c r="J2398" s="7" t="str">
        <f>"３０号棟"</f>
        <v>３０号棟</v>
      </c>
      <c r="K2398" s="7" t="str">
        <f t="shared" si="825"/>
        <v>鉄筋コンクリート造</v>
      </c>
      <c r="L2398" s="7" t="str">
        <f>"H19.09.28"</f>
        <v>H19.09.28</v>
      </c>
      <c r="M2398" s="7">
        <v>6366.03</v>
      </c>
      <c r="N2398" s="7">
        <v>857550000</v>
      </c>
      <c r="O2398" s="7">
        <v>282809094</v>
      </c>
      <c r="P2398" s="7">
        <v>0</v>
      </c>
      <c r="Q2398" s="7" t="str">
        <f t="shared" si="831"/>
        <v>都市整備部</v>
      </c>
      <c r="R2398" s="7" t="str">
        <f t="shared" si="828"/>
        <v>住宅建築局住宅経営室</v>
      </c>
    </row>
    <row r="2399" spans="1:18" s="1" customFormat="1" x14ac:dyDescent="0.45">
      <c r="A2399" s="7" t="str">
        <f t="shared" si="818"/>
        <v>09940003221</v>
      </c>
      <c r="B2399" s="7" t="str">
        <f t="shared" si="819"/>
        <v>高槻芝生</v>
      </c>
      <c r="C2399" s="7" t="str">
        <f t="shared" si="829"/>
        <v>行政財産</v>
      </c>
      <c r="D2399" s="7" t="str">
        <f t="shared" si="830"/>
        <v>公営住宅</v>
      </c>
      <c r="E2399" s="7" t="str">
        <f t="shared" si="820"/>
        <v>大阪府高槻市芝生町２丁目</v>
      </c>
      <c r="F2399" s="7"/>
      <c r="G2399" s="7" t="str">
        <f t="shared" si="827"/>
        <v>事業用資産</v>
      </c>
      <c r="H2399" s="7" t="str">
        <f t="shared" si="822"/>
        <v>棚卸以外</v>
      </c>
      <c r="I2399" s="7">
        <v>39</v>
      </c>
      <c r="J2399" s="7" t="str">
        <f>"ポンプ室・電気室"</f>
        <v>ポンプ室・電気室</v>
      </c>
      <c r="K2399" s="7" t="str">
        <f t="shared" si="825"/>
        <v>鉄筋コンクリート造</v>
      </c>
      <c r="L2399" s="7" t="str">
        <f>"H19.09.28"</f>
        <v>H19.09.28</v>
      </c>
      <c r="M2399" s="7">
        <v>35.39</v>
      </c>
      <c r="N2399" s="7">
        <v>7885000</v>
      </c>
      <c r="O2399" s="7">
        <v>2600466</v>
      </c>
      <c r="P2399" s="7">
        <v>0</v>
      </c>
      <c r="Q2399" s="7" t="str">
        <f t="shared" si="831"/>
        <v>都市整備部</v>
      </c>
      <c r="R2399" s="7" t="str">
        <f t="shared" si="828"/>
        <v>住宅建築局住宅経営室</v>
      </c>
    </row>
    <row r="2400" spans="1:18" s="1" customFormat="1" x14ac:dyDescent="0.45">
      <c r="A2400" s="7" t="str">
        <f t="shared" si="818"/>
        <v>09940003221</v>
      </c>
      <c r="B2400" s="7" t="str">
        <f t="shared" si="819"/>
        <v>高槻芝生</v>
      </c>
      <c r="C2400" s="7" t="str">
        <f t="shared" si="829"/>
        <v>行政財産</v>
      </c>
      <c r="D2400" s="7" t="str">
        <f t="shared" si="830"/>
        <v>公営住宅</v>
      </c>
      <c r="E2400" s="7" t="str">
        <f t="shared" si="820"/>
        <v>大阪府高槻市芝生町２丁目</v>
      </c>
      <c r="F2400" s="7"/>
      <c r="G2400" s="7" t="str">
        <f t="shared" si="827"/>
        <v>事業用資産</v>
      </c>
      <c r="H2400" s="7" t="str">
        <f t="shared" si="822"/>
        <v>棚卸以外</v>
      </c>
      <c r="I2400" s="7">
        <v>40</v>
      </c>
      <c r="J2400" s="7" t="str">
        <f>"３１号棟"</f>
        <v>３１号棟</v>
      </c>
      <c r="K2400" s="7" t="str">
        <f t="shared" si="825"/>
        <v>鉄筋コンクリート造</v>
      </c>
      <c r="L2400" s="7" t="str">
        <f>"H21.11.30"</f>
        <v>H21.11.30</v>
      </c>
      <c r="M2400" s="7">
        <v>3344.58</v>
      </c>
      <c r="N2400" s="7">
        <v>465306000</v>
      </c>
      <c r="O2400" s="7">
        <v>132001760</v>
      </c>
      <c r="P2400" s="7">
        <v>0</v>
      </c>
      <c r="Q2400" s="7" t="str">
        <f t="shared" si="831"/>
        <v>都市整備部</v>
      </c>
      <c r="R2400" s="7" t="str">
        <f t="shared" si="828"/>
        <v>住宅建築局住宅経営室</v>
      </c>
    </row>
    <row r="2401" spans="1:18" s="1" customFormat="1" x14ac:dyDescent="0.45">
      <c r="A2401" s="7" t="str">
        <f t="shared" si="818"/>
        <v>09940003221</v>
      </c>
      <c r="B2401" s="7" t="str">
        <f t="shared" si="819"/>
        <v>高槻芝生</v>
      </c>
      <c r="C2401" s="7" t="str">
        <f t="shared" si="829"/>
        <v>行政財産</v>
      </c>
      <c r="D2401" s="7" t="str">
        <f t="shared" si="830"/>
        <v>公営住宅</v>
      </c>
      <c r="E2401" s="7" t="str">
        <f t="shared" si="820"/>
        <v>大阪府高槻市芝生町２丁目</v>
      </c>
      <c r="F2401" s="7"/>
      <c r="G2401" s="7" t="str">
        <f t="shared" si="827"/>
        <v>事業用資産</v>
      </c>
      <c r="H2401" s="7" t="str">
        <f t="shared" si="822"/>
        <v>棚卸以外</v>
      </c>
      <c r="I2401" s="7">
        <v>41</v>
      </c>
      <c r="J2401" s="7" t="str">
        <f>"ポンプ室・電気室"</f>
        <v>ポンプ室・電気室</v>
      </c>
      <c r="K2401" s="7" t="str">
        <f t="shared" si="825"/>
        <v>鉄筋コンクリート造</v>
      </c>
      <c r="L2401" s="7" t="str">
        <f>"H21.11.30"</f>
        <v>H21.11.30</v>
      </c>
      <c r="M2401" s="7">
        <v>37.799999999999997</v>
      </c>
      <c r="N2401" s="7">
        <v>10474000</v>
      </c>
      <c r="O2401" s="7">
        <v>2971360</v>
      </c>
      <c r="P2401" s="7">
        <v>0</v>
      </c>
      <c r="Q2401" s="7" t="str">
        <f t="shared" si="831"/>
        <v>都市整備部</v>
      </c>
      <c r="R2401" s="7" t="str">
        <f t="shared" si="828"/>
        <v>住宅建築局住宅経営室</v>
      </c>
    </row>
    <row r="2402" spans="1:18" s="1" customFormat="1" x14ac:dyDescent="0.45">
      <c r="A2402" s="7" t="str">
        <f t="shared" ref="A2402:A2440" si="832">"09940003225"</f>
        <v>09940003225</v>
      </c>
      <c r="B2402" s="7" t="str">
        <f t="shared" ref="B2402:B2440" si="833">"浅香山"</f>
        <v>浅香山</v>
      </c>
      <c r="C2402" s="7" t="str">
        <f t="shared" si="829"/>
        <v>行政財産</v>
      </c>
      <c r="D2402" s="7" t="str">
        <f t="shared" si="830"/>
        <v>公営住宅</v>
      </c>
      <c r="E2402" s="7" t="str">
        <f t="shared" ref="E2402:E2440" si="834">"大阪府堺市　北区東浅香山町３丁"</f>
        <v>大阪府堺市　北区東浅香山町３丁</v>
      </c>
      <c r="F2402" s="7"/>
      <c r="G2402" s="7" t="str">
        <f t="shared" si="827"/>
        <v>事業用資産</v>
      </c>
      <c r="H2402" s="7" t="str">
        <f t="shared" si="822"/>
        <v>棚卸以外</v>
      </c>
      <c r="I2402" s="7">
        <v>1</v>
      </c>
      <c r="J2402" s="7" t="str">
        <f>"１号棟"</f>
        <v>１号棟</v>
      </c>
      <c r="K2402" s="7" t="str">
        <f t="shared" si="825"/>
        <v>鉄筋コンクリート造</v>
      </c>
      <c r="L2402" s="7" t="str">
        <f t="shared" ref="L2402:L2409" si="835">"S53.12.15"</f>
        <v>S53.12.15</v>
      </c>
      <c r="M2402" s="7">
        <v>2614.6799999999998</v>
      </c>
      <c r="N2402" s="7">
        <v>235417172</v>
      </c>
      <c r="O2402" s="7">
        <v>178145252</v>
      </c>
      <c r="P2402" s="7">
        <v>0</v>
      </c>
      <c r="Q2402" s="7" t="str">
        <f t="shared" si="831"/>
        <v>都市整備部</v>
      </c>
      <c r="R2402" s="7" t="str">
        <f t="shared" si="828"/>
        <v>住宅建築局住宅経営室</v>
      </c>
    </row>
    <row r="2403" spans="1:18" s="1" customFormat="1" x14ac:dyDescent="0.45">
      <c r="A2403" s="7" t="str">
        <f t="shared" si="832"/>
        <v>09940003225</v>
      </c>
      <c r="B2403" s="7" t="str">
        <f t="shared" si="833"/>
        <v>浅香山</v>
      </c>
      <c r="C2403" s="7" t="str">
        <f t="shared" si="829"/>
        <v>行政財産</v>
      </c>
      <c r="D2403" s="7" t="str">
        <f t="shared" si="830"/>
        <v>公営住宅</v>
      </c>
      <c r="E2403" s="7" t="str">
        <f t="shared" si="834"/>
        <v>大阪府堺市　北区東浅香山町３丁</v>
      </c>
      <c r="F2403" s="7"/>
      <c r="G2403" s="7" t="str">
        <f t="shared" si="827"/>
        <v>事業用資産</v>
      </c>
      <c r="H2403" s="7" t="str">
        <f t="shared" si="822"/>
        <v>棚卸以外</v>
      </c>
      <c r="I2403" s="7">
        <v>2</v>
      </c>
      <c r="J2403" s="7" t="str">
        <f>"４号棟"</f>
        <v>４号棟</v>
      </c>
      <c r="K2403" s="7" t="str">
        <f t="shared" si="825"/>
        <v>鉄筋コンクリート造</v>
      </c>
      <c r="L2403" s="7" t="str">
        <f t="shared" si="835"/>
        <v>S53.12.15</v>
      </c>
      <c r="M2403" s="7">
        <v>2003.27</v>
      </c>
      <c r="N2403" s="7">
        <v>200974030</v>
      </c>
      <c r="O2403" s="7">
        <v>161326043</v>
      </c>
      <c r="P2403" s="7">
        <v>0</v>
      </c>
      <c r="Q2403" s="7" t="str">
        <f t="shared" si="831"/>
        <v>都市整備部</v>
      </c>
      <c r="R2403" s="7" t="str">
        <f t="shared" si="828"/>
        <v>住宅建築局住宅経営室</v>
      </c>
    </row>
    <row r="2404" spans="1:18" s="1" customFormat="1" x14ac:dyDescent="0.45">
      <c r="A2404" s="7" t="str">
        <f t="shared" si="832"/>
        <v>09940003225</v>
      </c>
      <c r="B2404" s="7" t="str">
        <f t="shared" si="833"/>
        <v>浅香山</v>
      </c>
      <c r="C2404" s="7" t="str">
        <f t="shared" si="829"/>
        <v>行政財産</v>
      </c>
      <c r="D2404" s="7" t="str">
        <f t="shared" si="830"/>
        <v>公営住宅</v>
      </c>
      <c r="E2404" s="7" t="str">
        <f t="shared" si="834"/>
        <v>大阪府堺市　北区東浅香山町３丁</v>
      </c>
      <c r="F2404" s="7"/>
      <c r="G2404" s="7" t="str">
        <f t="shared" si="827"/>
        <v>事業用資産</v>
      </c>
      <c r="H2404" s="7" t="str">
        <f t="shared" si="822"/>
        <v>棚卸以外</v>
      </c>
      <c r="I2404" s="7">
        <v>3</v>
      </c>
      <c r="J2404" s="7" t="str">
        <f>"２号棟"</f>
        <v>２号棟</v>
      </c>
      <c r="K2404" s="7" t="str">
        <f t="shared" si="825"/>
        <v>鉄筋コンクリート造</v>
      </c>
      <c r="L2404" s="7" t="str">
        <f t="shared" si="835"/>
        <v>S53.12.15</v>
      </c>
      <c r="M2404" s="7">
        <v>2638.07</v>
      </c>
      <c r="N2404" s="7">
        <v>264817182</v>
      </c>
      <c r="O2404" s="7">
        <v>184707887</v>
      </c>
      <c r="P2404" s="7">
        <v>0</v>
      </c>
      <c r="Q2404" s="7" t="str">
        <f t="shared" si="831"/>
        <v>都市整備部</v>
      </c>
      <c r="R2404" s="7" t="str">
        <f t="shared" si="828"/>
        <v>住宅建築局住宅経営室</v>
      </c>
    </row>
    <row r="2405" spans="1:18" s="1" customFormat="1" x14ac:dyDescent="0.45">
      <c r="A2405" s="7" t="str">
        <f t="shared" si="832"/>
        <v>09940003225</v>
      </c>
      <c r="B2405" s="7" t="str">
        <f t="shared" si="833"/>
        <v>浅香山</v>
      </c>
      <c r="C2405" s="7" t="str">
        <f t="shared" si="829"/>
        <v>行政財産</v>
      </c>
      <c r="D2405" s="7" t="str">
        <f t="shared" si="830"/>
        <v>公営住宅</v>
      </c>
      <c r="E2405" s="7" t="str">
        <f t="shared" si="834"/>
        <v>大阪府堺市　北区東浅香山町３丁</v>
      </c>
      <c r="F2405" s="7"/>
      <c r="G2405" s="7" t="str">
        <f t="shared" si="827"/>
        <v>事業用資産</v>
      </c>
      <c r="H2405" s="7" t="str">
        <f t="shared" si="822"/>
        <v>棚卸以外</v>
      </c>
      <c r="I2405" s="7">
        <v>4</v>
      </c>
      <c r="J2405" s="7" t="str">
        <f>"３号棟"</f>
        <v>３号棟</v>
      </c>
      <c r="K2405" s="7" t="str">
        <f t="shared" si="825"/>
        <v>鉄筋コンクリート造</v>
      </c>
      <c r="L2405" s="7" t="str">
        <f t="shared" si="835"/>
        <v>S53.12.15</v>
      </c>
      <c r="M2405" s="7">
        <v>2591.29</v>
      </c>
      <c r="N2405" s="7">
        <v>206972522</v>
      </c>
      <c r="O2405" s="7">
        <v>172734887</v>
      </c>
      <c r="P2405" s="7">
        <v>0</v>
      </c>
      <c r="Q2405" s="7" t="str">
        <f t="shared" si="831"/>
        <v>都市整備部</v>
      </c>
      <c r="R2405" s="7" t="str">
        <f t="shared" si="828"/>
        <v>住宅建築局住宅経営室</v>
      </c>
    </row>
    <row r="2406" spans="1:18" s="1" customFormat="1" x14ac:dyDescent="0.45">
      <c r="A2406" s="7" t="str">
        <f t="shared" si="832"/>
        <v>09940003225</v>
      </c>
      <c r="B2406" s="7" t="str">
        <f t="shared" si="833"/>
        <v>浅香山</v>
      </c>
      <c r="C2406" s="7" t="str">
        <f t="shared" si="829"/>
        <v>行政財産</v>
      </c>
      <c r="D2406" s="7" t="str">
        <f t="shared" si="830"/>
        <v>公営住宅</v>
      </c>
      <c r="E2406" s="7" t="str">
        <f t="shared" si="834"/>
        <v>大阪府堺市　北区東浅香山町３丁</v>
      </c>
      <c r="F2406" s="7"/>
      <c r="G2406" s="7" t="str">
        <f t="shared" si="827"/>
        <v>事業用資産</v>
      </c>
      <c r="H2406" s="7" t="str">
        <f t="shared" si="822"/>
        <v>棚卸以外</v>
      </c>
      <c r="I2406" s="7">
        <v>5</v>
      </c>
      <c r="J2406" s="7" t="str">
        <f>"汚水処理場"</f>
        <v>汚水処理場</v>
      </c>
      <c r="K2406" s="7" t="str">
        <f t="shared" si="825"/>
        <v>鉄筋コンクリート造</v>
      </c>
      <c r="L2406" s="7" t="str">
        <f t="shared" si="835"/>
        <v>S53.12.15</v>
      </c>
      <c r="M2406" s="7">
        <v>255.62</v>
      </c>
      <c r="N2406" s="7">
        <v>117062000</v>
      </c>
      <c r="O2406" s="7">
        <v>110212767</v>
      </c>
      <c r="P2406" s="7">
        <v>0</v>
      </c>
      <c r="Q2406" s="7" t="str">
        <f t="shared" si="831"/>
        <v>都市整備部</v>
      </c>
      <c r="R2406" s="7" t="str">
        <f t="shared" si="828"/>
        <v>住宅建築局住宅経営室</v>
      </c>
    </row>
    <row r="2407" spans="1:18" s="1" customFormat="1" x14ac:dyDescent="0.45">
      <c r="A2407" s="7" t="str">
        <f t="shared" si="832"/>
        <v>09940003225</v>
      </c>
      <c r="B2407" s="7" t="str">
        <f t="shared" si="833"/>
        <v>浅香山</v>
      </c>
      <c r="C2407" s="7" t="str">
        <f t="shared" si="829"/>
        <v>行政財産</v>
      </c>
      <c r="D2407" s="7" t="str">
        <f t="shared" si="830"/>
        <v>公営住宅</v>
      </c>
      <c r="E2407" s="7" t="str">
        <f t="shared" si="834"/>
        <v>大阪府堺市　北区東浅香山町３丁</v>
      </c>
      <c r="F2407" s="7"/>
      <c r="G2407" s="7" t="str">
        <f t="shared" si="827"/>
        <v>事業用資産</v>
      </c>
      <c r="H2407" s="7" t="str">
        <f t="shared" si="822"/>
        <v>棚卸以外</v>
      </c>
      <c r="I2407" s="7">
        <v>6</v>
      </c>
      <c r="J2407" s="7" t="str">
        <f>"汚水処理場"</f>
        <v>汚水処理場</v>
      </c>
      <c r="K2407" s="7" t="str">
        <f t="shared" si="825"/>
        <v>鉄筋コンクリート造</v>
      </c>
      <c r="L2407" s="7" t="str">
        <f t="shared" si="835"/>
        <v>S53.12.15</v>
      </c>
      <c r="M2407" s="7">
        <v>24.14</v>
      </c>
      <c r="N2407" s="7">
        <v>29308000</v>
      </c>
      <c r="O2407" s="7">
        <v>27593415</v>
      </c>
      <c r="P2407" s="7">
        <v>0</v>
      </c>
      <c r="Q2407" s="7" t="str">
        <f t="shared" si="831"/>
        <v>都市整備部</v>
      </c>
      <c r="R2407" s="7" t="str">
        <f t="shared" si="828"/>
        <v>住宅建築局住宅経営室</v>
      </c>
    </row>
    <row r="2408" spans="1:18" s="1" customFormat="1" x14ac:dyDescent="0.45">
      <c r="A2408" s="7" t="str">
        <f t="shared" si="832"/>
        <v>09940003225</v>
      </c>
      <c r="B2408" s="7" t="str">
        <f t="shared" si="833"/>
        <v>浅香山</v>
      </c>
      <c r="C2408" s="7" t="str">
        <f t="shared" si="829"/>
        <v>行政財産</v>
      </c>
      <c r="D2408" s="7" t="str">
        <f t="shared" si="830"/>
        <v>公営住宅</v>
      </c>
      <c r="E2408" s="7" t="str">
        <f t="shared" si="834"/>
        <v>大阪府堺市　北区東浅香山町３丁</v>
      </c>
      <c r="F2408" s="7"/>
      <c r="G2408" s="7" t="str">
        <f t="shared" si="827"/>
        <v>事業用資産</v>
      </c>
      <c r="H2408" s="7" t="str">
        <f t="shared" si="822"/>
        <v>棚卸以外</v>
      </c>
      <c r="I2408" s="7">
        <v>7</v>
      </c>
      <c r="J2408" s="7" t="str">
        <f>"汚水処理場焼却器室"</f>
        <v>汚水処理場焼却器室</v>
      </c>
      <c r="K2408" s="7" t="str">
        <f t="shared" si="825"/>
        <v>鉄筋コンクリート造</v>
      </c>
      <c r="L2408" s="7" t="str">
        <f t="shared" si="835"/>
        <v>S53.12.15</v>
      </c>
      <c r="M2408" s="7">
        <v>10.81</v>
      </c>
      <c r="N2408" s="7">
        <v>1005000</v>
      </c>
      <c r="O2408" s="7">
        <v>946242</v>
      </c>
      <c r="P2408" s="7">
        <v>0</v>
      </c>
      <c r="Q2408" s="7" t="str">
        <f t="shared" si="831"/>
        <v>都市整備部</v>
      </c>
      <c r="R2408" s="7" t="str">
        <f t="shared" si="828"/>
        <v>住宅建築局住宅経営室</v>
      </c>
    </row>
    <row r="2409" spans="1:18" s="1" customFormat="1" x14ac:dyDescent="0.45">
      <c r="A2409" s="7" t="str">
        <f t="shared" si="832"/>
        <v>09940003225</v>
      </c>
      <c r="B2409" s="7" t="str">
        <f t="shared" si="833"/>
        <v>浅香山</v>
      </c>
      <c r="C2409" s="7" t="str">
        <f t="shared" si="829"/>
        <v>行政財産</v>
      </c>
      <c r="D2409" s="7" t="str">
        <f t="shared" si="830"/>
        <v>公営住宅</v>
      </c>
      <c r="E2409" s="7" t="str">
        <f t="shared" si="834"/>
        <v>大阪府堺市　北区東浅香山町３丁</v>
      </c>
      <c r="F2409" s="7"/>
      <c r="G2409" s="7" t="str">
        <f t="shared" si="827"/>
        <v>事業用資産</v>
      </c>
      <c r="H2409" s="7" t="str">
        <f t="shared" si="822"/>
        <v>棚卸以外</v>
      </c>
      <c r="I2409" s="7">
        <v>8</v>
      </c>
      <c r="J2409" s="7" t="str">
        <f>"ポンプ室"</f>
        <v>ポンプ室</v>
      </c>
      <c r="K2409" s="7" t="str">
        <f t="shared" si="825"/>
        <v>鉄筋コンクリート造</v>
      </c>
      <c r="L2409" s="7" t="str">
        <f t="shared" si="835"/>
        <v>S53.12.15</v>
      </c>
      <c r="M2409" s="7">
        <v>97.6</v>
      </c>
      <c r="N2409" s="7">
        <v>25017000</v>
      </c>
      <c r="O2409" s="7">
        <v>23553567</v>
      </c>
      <c r="P2409" s="7">
        <v>0</v>
      </c>
      <c r="Q2409" s="7" t="str">
        <f t="shared" si="831"/>
        <v>都市整備部</v>
      </c>
      <c r="R2409" s="7" t="str">
        <f t="shared" si="828"/>
        <v>住宅建築局住宅経営室</v>
      </c>
    </row>
    <row r="2410" spans="1:18" s="1" customFormat="1" x14ac:dyDescent="0.45">
      <c r="A2410" s="7" t="str">
        <f t="shared" si="832"/>
        <v>09940003225</v>
      </c>
      <c r="B2410" s="7" t="str">
        <f t="shared" si="833"/>
        <v>浅香山</v>
      </c>
      <c r="C2410" s="7" t="str">
        <f t="shared" si="829"/>
        <v>行政財産</v>
      </c>
      <c r="D2410" s="7" t="str">
        <f t="shared" si="830"/>
        <v>公営住宅</v>
      </c>
      <c r="E2410" s="7" t="str">
        <f t="shared" si="834"/>
        <v>大阪府堺市　北区東浅香山町３丁</v>
      </c>
      <c r="F2410" s="7"/>
      <c r="G2410" s="7" t="str">
        <f t="shared" si="827"/>
        <v>事業用資産</v>
      </c>
      <c r="H2410" s="7" t="str">
        <f t="shared" si="822"/>
        <v>棚卸以外</v>
      </c>
      <c r="I2410" s="7">
        <v>9</v>
      </c>
      <c r="J2410" s="7" t="str">
        <f>"５号棟"</f>
        <v>５号棟</v>
      </c>
      <c r="K2410" s="7" t="str">
        <f t="shared" si="825"/>
        <v>鉄筋コンクリート造</v>
      </c>
      <c r="L2410" s="7" t="str">
        <f>"S54.12.10"</f>
        <v>S54.12.10</v>
      </c>
      <c r="M2410" s="7">
        <v>1926.2</v>
      </c>
      <c r="N2410" s="7">
        <v>142438000</v>
      </c>
      <c r="O2410" s="7">
        <v>131073450</v>
      </c>
      <c r="P2410" s="7">
        <v>0</v>
      </c>
      <c r="Q2410" s="7" t="str">
        <f t="shared" si="831"/>
        <v>都市整備部</v>
      </c>
      <c r="R2410" s="7" t="str">
        <f t="shared" si="828"/>
        <v>住宅建築局住宅経営室</v>
      </c>
    </row>
    <row r="2411" spans="1:18" s="1" customFormat="1" x14ac:dyDescent="0.45">
      <c r="A2411" s="7" t="str">
        <f t="shared" si="832"/>
        <v>09940003225</v>
      </c>
      <c r="B2411" s="7" t="str">
        <f t="shared" si="833"/>
        <v>浅香山</v>
      </c>
      <c r="C2411" s="7" t="str">
        <f t="shared" si="829"/>
        <v>行政財産</v>
      </c>
      <c r="D2411" s="7" t="str">
        <f t="shared" si="830"/>
        <v>公営住宅</v>
      </c>
      <c r="E2411" s="7" t="str">
        <f t="shared" si="834"/>
        <v>大阪府堺市　北区東浅香山町３丁</v>
      </c>
      <c r="F2411" s="7"/>
      <c r="G2411" s="7" t="str">
        <f t="shared" si="827"/>
        <v>事業用資産</v>
      </c>
      <c r="H2411" s="7" t="str">
        <f t="shared" si="822"/>
        <v>棚卸以外</v>
      </c>
      <c r="I2411" s="7">
        <v>10</v>
      </c>
      <c r="J2411" s="7" t="str">
        <f>"６号棟"</f>
        <v>６号棟</v>
      </c>
      <c r="K2411" s="7" t="str">
        <f t="shared" si="825"/>
        <v>鉄筋コンクリート造</v>
      </c>
      <c r="L2411" s="7" t="str">
        <f>"S54.12.10"</f>
        <v>S54.12.10</v>
      </c>
      <c r="M2411" s="7">
        <v>2006.72</v>
      </c>
      <c r="N2411" s="7">
        <v>196176272</v>
      </c>
      <c r="O2411" s="7">
        <v>172646601</v>
      </c>
      <c r="P2411" s="7">
        <v>0</v>
      </c>
      <c r="Q2411" s="7" t="str">
        <f t="shared" si="831"/>
        <v>都市整備部</v>
      </c>
      <c r="R2411" s="7" t="str">
        <f t="shared" si="828"/>
        <v>住宅建築局住宅経営室</v>
      </c>
    </row>
    <row r="2412" spans="1:18" s="1" customFormat="1" x14ac:dyDescent="0.45">
      <c r="A2412" s="7" t="str">
        <f t="shared" si="832"/>
        <v>09940003225</v>
      </c>
      <c r="B2412" s="7" t="str">
        <f t="shared" si="833"/>
        <v>浅香山</v>
      </c>
      <c r="C2412" s="7" t="str">
        <f t="shared" si="829"/>
        <v>行政財産</v>
      </c>
      <c r="D2412" s="7" t="str">
        <f t="shared" si="830"/>
        <v>公営住宅</v>
      </c>
      <c r="E2412" s="7" t="str">
        <f t="shared" si="834"/>
        <v>大阪府堺市　北区東浅香山町３丁</v>
      </c>
      <c r="F2412" s="7"/>
      <c r="G2412" s="7" t="str">
        <f t="shared" si="827"/>
        <v>事業用資産</v>
      </c>
      <c r="H2412" s="7" t="str">
        <f t="shared" si="822"/>
        <v>棚卸以外</v>
      </c>
      <c r="I2412" s="7">
        <v>11</v>
      </c>
      <c r="J2412" s="7" t="str">
        <f>"７号棟"</f>
        <v>７号棟</v>
      </c>
      <c r="K2412" s="7" t="str">
        <f t="shared" si="825"/>
        <v>鉄筋コンクリート造</v>
      </c>
      <c r="L2412" s="7" t="str">
        <f>"S55.08.08"</f>
        <v>S55.08.08</v>
      </c>
      <c r="M2412" s="7">
        <v>3334.35</v>
      </c>
      <c r="N2412" s="7">
        <v>351061875</v>
      </c>
      <c r="O2412" s="7">
        <v>271898281</v>
      </c>
      <c r="P2412" s="7">
        <v>0</v>
      </c>
      <c r="Q2412" s="7" t="str">
        <f t="shared" si="831"/>
        <v>都市整備部</v>
      </c>
      <c r="R2412" s="7" t="str">
        <f t="shared" si="828"/>
        <v>住宅建築局住宅経営室</v>
      </c>
    </row>
    <row r="2413" spans="1:18" s="1" customFormat="1" ht="26.4" x14ac:dyDescent="0.45">
      <c r="A2413" s="7" t="str">
        <f t="shared" si="832"/>
        <v>09940003225</v>
      </c>
      <c r="B2413" s="7" t="str">
        <f t="shared" si="833"/>
        <v>浅香山</v>
      </c>
      <c r="C2413" s="7" t="str">
        <f t="shared" si="829"/>
        <v>行政財産</v>
      </c>
      <c r="D2413" s="7" t="str">
        <f t="shared" si="830"/>
        <v>公営住宅</v>
      </c>
      <c r="E2413" s="7" t="str">
        <f t="shared" si="834"/>
        <v>大阪府堺市　北区東浅香山町３丁</v>
      </c>
      <c r="F2413" s="7"/>
      <c r="G2413" s="7" t="str">
        <f t="shared" si="827"/>
        <v>事業用資産</v>
      </c>
      <c r="H2413" s="7" t="str">
        <f t="shared" si="822"/>
        <v>棚卸以外</v>
      </c>
      <c r="I2413" s="7">
        <v>12</v>
      </c>
      <c r="J2413" s="7" t="str">
        <f>"８号棟"</f>
        <v>８号棟</v>
      </c>
      <c r="K2413" s="7" t="str">
        <f>"鉄骨鉄筋コンクリート造"</f>
        <v>鉄骨鉄筋コンクリート造</v>
      </c>
      <c r="L2413" s="7" t="str">
        <f>"S55.08.08"</f>
        <v>S55.08.08</v>
      </c>
      <c r="M2413" s="7">
        <v>5129.09</v>
      </c>
      <c r="N2413" s="7">
        <v>737077366</v>
      </c>
      <c r="O2413" s="7">
        <v>519018718</v>
      </c>
      <c r="P2413" s="7">
        <v>0</v>
      </c>
      <c r="Q2413" s="7" t="str">
        <f t="shared" si="831"/>
        <v>都市整備部</v>
      </c>
      <c r="R2413" s="7" t="str">
        <f t="shared" si="828"/>
        <v>住宅建築局住宅経営室</v>
      </c>
    </row>
    <row r="2414" spans="1:18" s="1" customFormat="1" x14ac:dyDescent="0.45">
      <c r="A2414" s="7" t="str">
        <f t="shared" si="832"/>
        <v>09940003225</v>
      </c>
      <c r="B2414" s="7" t="str">
        <f t="shared" si="833"/>
        <v>浅香山</v>
      </c>
      <c r="C2414" s="7" t="str">
        <f t="shared" si="829"/>
        <v>行政財産</v>
      </c>
      <c r="D2414" s="7" t="str">
        <f t="shared" si="830"/>
        <v>公営住宅</v>
      </c>
      <c r="E2414" s="7" t="str">
        <f t="shared" si="834"/>
        <v>大阪府堺市　北区東浅香山町３丁</v>
      </c>
      <c r="F2414" s="7"/>
      <c r="G2414" s="7" t="str">
        <f t="shared" si="827"/>
        <v>事業用資産</v>
      </c>
      <c r="H2414" s="7" t="str">
        <f t="shared" si="822"/>
        <v>棚卸以外</v>
      </c>
      <c r="I2414" s="7">
        <v>13</v>
      </c>
      <c r="J2414" s="7" t="str">
        <f>"９号棟"</f>
        <v>９号棟</v>
      </c>
      <c r="K2414" s="7" t="str">
        <f t="shared" ref="K2414:K2440" si="836">"鉄筋コンクリート造"</f>
        <v>鉄筋コンクリート造</v>
      </c>
      <c r="L2414" s="7" t="str">
        <f t="shared" ref="L2414:L2419" si="837">"S57.08.20"</f>
        <v>S57.08.20</v>
      </c>
      <c r="M2414" s="7">
        <v>2454.4</v>
      </c>
      <c r="N2414" s="7">
        <v>230043340</v>
      </c>
      <c r="O2414" s="7">
        <v>198405261</v>
      </c>
      <c r="P2414" s="7">
        <v>0</v>
      </c>
      <c r="Q2414" s="7" t="str">
        <f t="shared" si="831"/>
        <v>都市整備部</v>
      </c>
      <c r="R2414" s="7" t="str">
        <f t="shared" si="828"/>
        <v>住宅建築局住宅経営室</v>
      </c>
    </row>
    <row r="2415" spans="1:18" s="1" customFormat="1" x14ac:dyDescent="0.45">
      <c r="A2415" s="7" t="str">
        <f t="shared" si="832"/>
        <v>09940003225</v>
      </c>
      <c r="B2415" s="7" t="str">
        <f t="shared" si="833"/>
        <v>浅香山</v>
      </c>
      <c r="C2415" s="7" t="str">
        <f t="shared" si="829"/>
        <v>行政財産</v>
      </c>
      <c r="D2415" s="7" t="str">
        <f t="shared" si="830"/>
        <v>公営住宅</v>
      </c>
      <c r="E2415" s="7" t="str">
        <f t="shared" si="834"/>
        <v>大阪府堺市　北区東浅香山町３丁</v>
      </c>
      <c r="F2415" s="7"/>
      <c r="G2415" s="7" t="str">
        <f t="shared" si="827"/>
        <v>事業用資産</v>
      </c>
      <c r="H2415" s="7" t="str">
        <f t="shared" si="822"/>
        <v>棚卸以外</v>
      </c>
      <c r="I2415" s="7">
        <v>14</v>
      </c>
      <c r="J2415" s="7" t="str">
        <f>"１０号棟"</f>
        <v>１０号棟</v>
      </c>
      <c r="K2415" s="7" t="str">
        <f t="shared" si="836"/>
        <v>鉄筋コンクリート造</v>
      </c>
      <c r="L2415" s="7" t="str">
        <f t="shared" si="837"/>
        <v>S57.08.20</v>
      </c>
      <c r="M2415" s="7">
        <v>2454.4</v>
      </c>
      <c r="N2415" s="7">
        <v>223311340</v>
      </c>
      <c r="O2415" s="7">
        <v>192592429</v>
      </c>
      <c r="P2415" s="7">
        <v>0</v>
      </c>
      <c r="Q2415" s="7" t="str">
        <f t="shared" si="831"/>
        <v>都市整備部</v>
      </c>
      <c r="R2415" s="7" t="str">
        <f t="shared" si="828"/>
        <v>住宅建築局住宅経営室</v>
      </c>
    </row>
    <row r="2416" spans="1:18" s="1" customFormat="1" x14ac:dyDescent="0.45">
      <c r="A2416" s="7" t="str">
        <f t="shared" si="832"/>
        <v>09940003225</v>
      </c>
      <c r="B2416" s="7" t="str">
        <f t="shared" si="833"/>
        <v>浅香山</v>
      </c>
      <c r="C2416" s="7" t="str">
        <f t="shared" si="829"/>
        <v>行政財産</v>
      </c>
      <c r="D2416" s="7" t="str">
        <f t="shared" si="830"/>
        <v>公営住宅</v>
      </c>
      <c r="E2416" s="7" t="str">
        <f t="shared" si="834"/>
        <v>大阪府堺市　北区東浅香山町３丁</v>
      </c>
      <c r="F2416" s="7"/>
      <c r="G2416" s="7" t="str">
        <f t="shared" si="827"/>
        <v>事業用資産</v>
      </c>
      <c r="H2416" s="7" t="str">
        <f t="shared" si="822"/>
        <v>棚卸以外</v>
      </c>
      <c r="I2416" s="7">
        <v>15</v>
      </c>
      <c r="J2416" s="7" t="str">
        <f>"１１号棟"</f>
        <v>１１号棟</v>
      </c>
      <c r="K2416" s="7" t="str">
        <f t="shared" si="836"/>
        <v>鉄筋コンクリート造</v>
      </c>
      <c r="L2416" s="7" t="str">
        <f t="shared" si="837"/>
        <v>S57.08.20</v>
      </c>
      <c r="M2416" s="7">
        <v>1227.8</v>
      </c>
      <c r="N2416" s="7">
        <v>111387000</v>
      </c>
      <c r="O2416" s="7">
        <v>96180065</v>
      </c>
      <c r="P2416" s="7">
        <v>0</v>
      </c>
      <c r="Q2416" s="7" t="str">
        <f t="shared" si="831"/>
        <v>都市整備部</v>
      </c>
      <c r="R2416" s="7" t="str">
        <f t="shared" si="828"/>
        <v>住宅建築局住宅経営室</v>
      </c>
    </row>
    <row r="2417" spans="1:18" s="1" customFormat="1" x14ac:dyDescent="0.45">
      <c r="A2417" s="7" t="str">
        <f t="shared" si="832"/>
        <v>09940003225</v>
      </c>
      <c r="B2417" s="7" t="str">
        <f t="shared" si="833"/>
        <v>浅香山</v>
      </c>
      <c r="C2417" s="7" t="str">
        <f t="shared" si="829"/>
        <v>行政財産</v>
      </c>
      <c r="D2417" s="7" t="str">
        <f t="shared" si="830"/>
        <v>公営住宅</v>
      </c>
      <c r="E2417" s="7" t="str">
        <f t="shared" si="834"/>
        <v>大阪府堺市　北区東浅香山町３丁</v>
      </c>
      <c r="F2417" s="7"/>
      <c r="G2417" s="7" t="str">
        <f t="shared" si="827"/>
        <v>事業用資産</v>
      </c>
      <c r="H2417" s="7" t="str">
        <f t="shared" si="822"/>
        <v>棚卸以外</v>
      </c>
      <c r="I2417" s="7">
        <v>16</v>
      </c>
      <c r="J2417" s="7" t="str">
        <f>"１２号棟"</f>
        <v>１２号棟</v>
      </c>
      <c r="K2417" s="7" t="str">
        <f t="shared" si="836"/>
        <v>鉄筋コンクリート造</v>
      </c>
      <c r="L2417" s="7" t="str">
        <f t="shared" si="837"/>
        <v>S57.08.20</v>
      </c>
      <c r="M2417" s="7">
        <v>1025.0999999999999</v>
      </c>
      <c r="N2417" s="7">
        <v>94743000</v>
      </c>
      <c r="O2417" s="7">
        <v>81808695</v>
      </c>
      <c r="P2417" s="7">
        <v>0</v>
      </c>
      <c r="Q2417" s="7" t="str">
        <f t="shared" si="831"/>
        <v>都市整備部</v>
      </c>
      <c r="R2417" s="7" t="str">
        <f t="shared" si="828"/>
        <v>住宅建築局住宅経営室</v>
      </c>
    </row>
    <row r="2418" spans="1:18" s="1" customFormat="1" x14ac:dyDescent="0.45">
      <c r="A2418" s="7" t="str">
        <f t="shared" si="832"/>
        <v>09940003225</v>
      </c>
      <c r="B2418" s="7" t="str">
        <f t="shared" si="833"/>
        <v>浅香山</v>
      </c>
      <c r="C2418" s="7" t="str">
        <f t="shared" si="829"/>
        <v>行政財産</v>
      </c>
      <c r="D2418" s="7" t="str">
        <f t="shared" si="830"/>
        <v>公営住宅</v>
      </c>
      <c r="E2418" s="7" t="str">
        <f t="shared" si="834"/>
        <v>大阪府堺市　北区東浅香山町３丁</v>
      </c>
      <c r="F2418" s="7"/>
      <c r="G2418" s="7" t="str">
        <f t="shared" si="827"/>
        <v>事業用資産</v>
      </c>
      <c r="H2418" s="7" t="str">
        <f t="shared" si="822"/>
        <v>棚卸以外</v>
      </c>
      <c r="I2418" s="7">
        <v>17</v>
      </c>
      <c r="J2418" s="7" t="str">
        <f>"処理場"</f>
        <v>処理場</v>
      </c>
      <c r="K2418" s="7" t="str">
        <f t="shared" si="836"/>
        <v>鉄筋コンクリート造</v>
      </c>
      <c r="L2418" s="7" t="str">
        <f t="shared" si="837"/>
        <v>S57.08.20</v>
      </c>
      <c r="M2418" s="7">
        <v>10.86</v>
      </c>
      <c r="N2418" s="7">
        <v>500000000</v>
      </c>
      <c r="O2418" s="7">
        <v>431737675</v>
      </c>
      <c r="P2418" s="7">
        <v>0</v>
      </c>
      <c r="Q2418" s="7" t="str">
        <f t="shared" si="831"/>
        <v>都市整備部</v>
      </c>
      <c r="R2418" s="7" t="str">
        <f t="shared" si="828"/>
        <v>住宅建築局住宅経営室</v>
      </c>
    </row>
    <row r="2419" spans="1:18" s="1" customFormat="1" x14ac:dyDescent="0.45">
      <c r="A2419" s="7" t="str">
        <f t="shared" si="832"/>
        <v>09940003225</v>
      </c>
      <c r="B2419" s="7" t="str">
        <f t="shared" si="833"/>
        <v>浅香山</v>
      </c>
      <c r="C2419" s="7" t="str">
        <f t="shared" si="829"/>
        <v>行政財産</v>
      </c>
      <c r="D2419" s="7" t="str">
        <f t="shared" si="830"/>
        <v>公営住宅</v>
      </c>
      <c r="E2419" s="7" t="str">
        <f t="shared" si="834"/>
        <v>大阪府堺市　北区東浅香山町３丁</v>
      </c>
      <c r="F2419" s="7"/>
      <c r="G2419" s="7" t="str">
        <f t="shared" si="827"/>
        <v>事業用資産</v>
      </c>
      <c r="H2419" s="7" t="str">
        <f t="shared" si="822"/>
        <v>棚卸以外</v>
      </c>
      <c r="I2419" s="7">
        <v>18</v>
      </c>
      <c r="J2419" s="7" t="str">
        <f>"ポンプ室"</f>
        <v>ポンプ室</v>
      </c>
      <c r="K2419" s="7" t="str">
        <f t="shared" si="836"/>
        <v>鉄筋コンクリート造</v>
      </c>
      <c r="L2419" s="7" t="str">
        <f t="shared" si="837"/>
        <v>S57.08.20</v>
      </c>
      <c r="M2419" s="7">
        <v>88.8</v>
      </c>
      <c r="N2419" s="7">
        <v>25111000</v>
      </c>
      <c r="O2419" s="7">
        <v>21683188</v>
      </c>
      <c r="P2419" s="7">
        <v>0</v>
      </c>
      <c r="Q2419" s="7" t="str">
        <f t="shared" si="831"/>
        <v>都市整備部</v>
      </c>
      <c r="R2419" s="7" t="str">
        <f t="shared" si="828"/>
        <v>住宅建築局住宅経営室</v>
      </c>
    </row>
    <row r="2420" spans="1:18" s="1" customFormat="1" x14ac:dyDescent="0.45">
      <c r="A2420" s="7" t="str">
        <f t="shared" si="832"/>
        <v>09940003225</v>
      </c>
      <c r="B2420" s="7" t="str">
        <f t="shared" si="833"/>
        <v>浅香山</v>
      </c>
      <c r="C2420" s="7" t="str">
        <f t="shared" si="829"/>
        <v>行政財産</v>
      </c>
      <c r="D2420" s="7" t="str">
        <f t="shared" si="830"/>
        <v>公営住宅</v>
      </c>
      <c r="E2420" s="7" t="str">
        <f t="shared" si="834"/>
        <v>大阪府堺市　北区東浅香山町３丁</v>
      </c>
      <c r="F2420" s="7"/>
      <c r="G2420" s="7" t="str">
        <f t="shared" si="827"/>
        <v>事業用資産</v>
      </c>
      <c r="H2420" s="7" t="str">
        <f t="shared" si="822"/>
        <v>棚卸以外</v>
      </c>
      <c r="I2420" s="7">
        <v>19</v>
      </c>
      <c r="J2420" s="7" t="str">
        <f>"集会所"</f>
        <v>集会所</v>
      </c>
      <c r="K2420" s="7" t="str">
        <f t="shared" si="836"/>
        <v>鉄筋コンクリート造</v>
      </c>
      <c r="L2420" s="7" t="str">
        <f>"S58.07.11"</f>
        <v>S58.07.11</v>
      </c>
      <c r="M2420" s="7">
        <v>149.49</v>
      </c>
      <c r="N2420" s="7">
        <v>29993000</v>
      </c>
      <c r="O2420" s="7">
        <v>25313680</v>
      </c>
      <c r="P2420" s="7">
        <v>0</v>
      </c>
      <c r="Q2420" s="7" t="str">
        <f t="shared" si="831"/>
        <v>都市整備部</v>
      </c>
      <c r="R2420" s="7" t="str">
        <f t="shared" si="828"/>
        <v>住宅建築局住宅経営室</v>
      </c>
    </row>
    <row r="2421" spans="1:18" s="1" customFormat="1" x14ac:dyDescent="0.45">
      <c r="A2421" s="7" t="str">
        <f t="shared" si="832"/>
        <v>09940003225</v>
      </c>
      <c r="B2421" s="7" t="str">
        <f t="shared" si="833"/>
        <v>浅香山</v>
      </c>
      <c r="C2421" s="7" t="str">
        <f t="shared" si="829"/>
        <v>行政財産</v>
      </c>
      <c r="D2421" s="7" t="str">
        <f t="shared" si="830"/>
        <v>公営住宅</v>
      </c>
      <c r="E2421" s="7" t="str">
        <f t="shared" si="834"/>
        <v>大阪府堺市　北区東浅香山町３丁</v>
      </c>
      <c r="F2421" s="7"/>
      <c r="G2421" s="7" t="str">
        <f t="shared" si="827"/>
        <v>事業用資産</v>
      </c>
      <c r="H2421" s="7" t="str">
        <f t="shared" si="822"/>
        <v>棚卸以外</v>
      </c>
      <c r="I2421" s="7">
        <v>20</v>
      </c>
      <c r="J2421" s="7" t="str">
        <f>"１３号棟"</f>
        <v>１３号棟</v>
      </c>
      <c r="K2421" s="7" t="str">
        <f t="shared" si="836"/>
        <v>鉄筋コンクリート造</v>
      </c>
      <c r="L2421" s="7" t="str">
        <f t="shared" ref="L2421:L2426" si="838">"S59.03.16"</f>
        <v>S59.03.16</v>
      </c>
      <c r="M2421" s="7">
        <v>2454.4</v>
      </c>
      <c r="N2421" s="7">
        <v>238365000</v>
      </c>
      <c r="O2421" s="7">
        <v>197792244</v>
      </c>
      <c r="P2421" s="7">
        <v>0</v>
      </c>
      <c r="Q2421" s="7" t="str">
        <f t="shared" si="831"/>
        <v>都市整備部</v>
      </c>
      <c r="R2421" s="7" t="str">
        <f t="shared" si="828"/>
        <v>住宅建築局住宅経営室</v>
      </c>
    </row>
    <row r="2422" spans="1:18" s="1" customFormat="1" x14ac:dyDescent="0.45">
      <c r="A2422" s="7" t="str">
        <f t="shared" si="832"/>
        <v>09940003225</v>
      </c>
      <c r="B2422" s="7" t="str">
        <f t="shared" si="833"/>
        <v>浅香山</v>
      </c>
      <c r="C2422" s="7" t="str">
        <f t="shared" si="829"/>
        <v>行政財産</v>
      </c>
      <c r="D2422" s="7" t="str">
        <f t="shared" si="830"/>
        <v>公営住宅</v>
      </c>
      <c r="E2422" s="7" t="str">
        <f t="shared" si="834"/>
        <v>大阪府堺市　北区東浅香山町３丁</v>
      </c>
      <c r="F2422" s="7"/>
      <c r="G2422" s="7" t="str">
        <f t="shared" si="827"/>
        <v>事業用資産</v>
      </c>
      <c r="H2422" s="7" t="str">
        <f t="shared" si="822"/>
        <v>棚卸以外</v>
      </c>
      <c r="I2422" s="7">
        <v>21</v>
      </c>
      <c r="J2422" s="7" t="str">
        <f>"１４号棟"</f>
        <v>１４号棟</v>
      </c>
      <c r="K2422" s="7" t="str">
        <f t="shared" si="836"/>
        <v>鉄筋コンクリート造</v>
      </c>
      <c r="L2422" s="7" t="str">
        <f t="shared" si="838"/>
        <v>S59.03.16</v>
      </c>
      <c r="M2422" s="7">
        <v>2454.4</v>
      </c>
      <c r="N2422" s="7">
        <v>230866740</v>
      </c>
      <c r="O2422" s="7">
        <v>189121140</v>
      </c>
      <c r="P2422" s="7">
        <v>0</v>
      </c>
      <c r="Q2422" s="7" t="str">
        <f t="shared" si="831"/>
        <v>都市整備部</v>
      </c>
      <c r="R2422" s="7" t="str">
        <f t="shared" si="828"/>
        <v>住宅建築局住宅経営室</v>
      </c>
    </row>
    <row r="2423" spans="1:18" s="1" customFormat="1" x14ac:dyDescent="0.45">
      <c r="A2423" s="7" t="str">
        <f t="shared" si="832"/>
        <v>09940003225</v>
      </c>
      <c r="B2423" s="7" t="str">
        <f t="shared" si="833"/>
        <v>浅香山</v>
      </c>
      <c r="C2423" s="7" t="str">
        <f t="shared" si="829"/>
        <v>行政財産</v>
      </c>
      <c r="D2423" s="7" t="str">
        <f t="shared" si="830"/>
        <v>公営住宅</v>
      </c>
      <c r="E2423" s="7" t="str">
        <f t="shared" si="834"/>
        <v>大阪府堺市　北区東浅香山町３丁</v>
      </c>
      <c r="F2423" s="7"/>
      <c r="G2423" s="7" t="str">
        <f t="shared" si="827"/>
        <v>事業用資産</v>
      </c>
      <c r="H2423" s="7" t="str">
        <f t="shared" si="822"/>
        <v>棚卸以外</v>
      </c>
      <c r="I2423" s="7">
        <v>22</v>
      </c>
      <c r="J2423" s="7" t="str">
        <f>"１５号棟"</f>
        <v>１５号棟</v>
      </c>
      <c r="K2423" s="7" t="str">
        <f t="shared" si="836"/>
        <v>鉄筋コンクリート造</v>
      </c>
      <c r="L2423" s="7" t="str">
        <f t="shared" si="838"/>
        <v>S59.03.16</v>
      </c>
      <c r="M2423" s="7">
        <v>1025.0999999999999</v>
      </c>
      <c r="N2423" s="7">
        <v>101241000</v>
      </c>
      <c r="O2423" s="7">
        <v>84008808</v>
      </c>
      <c r="P2423" s="7">
        <v>0</v>
      </c>
      <c r="Q2423" s="7" t="str">
        <f t="shared" si="831"/>
        <v>都市整備部</v>
      </c>
      <c r="R2423" s="7" t="str">
        <f t="shared" si="828"/>
        <v>住宅建築局住宅経営室</v>
      </c>
    </row>
    <row r="2424" spans="1:18" s="1" customFormat="1" x14ac:dyDescent="0.45">
      <c r="A2424" s="7" t="str">
        <f t="shared" si="832"/>
        <v>09940003225</v>
      </c>
      <c r="B2424" s="7" t="str">
        <f t="shared" si="833"/>
        <v>浅香山</v>
      </c>
      <c r="C2424" s="7" t="str">
        <f t="shared" si="829"/>
        <v>行政財産</v>
      </c>
      <c r="D2424" s="7" t="str">
        <f t="shared" si="830"/>
        <v>公営住宅</v>
      </c>
      <c r="E2424" s="7" t="str">
        <f t="shared" si="834"/>
        <v>大阪府堺市　北区東浅香山町３丁</v>
      </c>
      <c r="F2424" s="7"/>
      <c r="G2424" s="7" t="str">
        <f t="shared" si="827"/>
        <v>事業用資産</v>
      </c>
      <c r="H2424" s="7" t="str">
        <f t="shared" si="822"/>
        <v>棚卸以外</v>
      </c>
      <c r="I2424" s="7">
        <v>23</v>
      </c>
      <c r="J2424" s="7" t="str">
        <f>"１６号棟"</f>
        <v>１６号棟</v>
      </c>
      <c r="K2424" s="7" t="str">
        <f t="shared" si="836"/>
        <v>鉄筋コンクリート造</v>
      </c>
      <c r="L2424" s="7" t="str">
        <f t="shared" si="838"/>
        <v>S59.03.16</v>
      </c>
      <c r="M2424" s="7">
        <v>1841.1</v>
      </c>
      <c r="N2424" s="7">
        <v>167037000</v>
      </c>
      <c r="O2424" s="7">
        <v>138605220</v>
      </c>
      <c r="P2424" s="7">
        <v>0</v>
      </c>
      <c r="Q2424" s="7" t="str">
        <f t="shared" si="831"/>
        <v>都市整備部</v>
      </c>
      <c r="R2424" s="7" t="str">
        <f t="shared" si="828"/>
        <v>住宅建築局住宅経営室</v>
      </c>
    </row>
    <row r="2425" spans="1:18" s="1" customFormat="1" x14ac:dyDescent="0.45">
      <c r="A2425" s="7" t="str">
        <f t="shared" si="832"/>
        <v>09940003225</v>
      </c>
      <c r="B2425" s="7" t="str">
        <f t="shared" si="833"/>
        <v>浅香山</v>
      </c>
      <c r="C2425" s="7" t="str">
        <f t="shared" si="829"/>
        <v>行政財産</v>
      </c>
      <c r="D2425" s="7" t="str">
        <f t="shared" si="830"/>
        <v>公営住宅</v>
      </c>
      <c r="E2425" s="7" t="str">
        <f t="shared" si="834"/>
        <v>大阪府堺市　北区東浅香山町３丁</v>
      </c>
      <c r="F2425" s="7"/>
      <c r="G2425" s="7" t="str">
        <f t="shared" si="827"/>
        <v>事業用資産</v>
      </c>
      <c r="H2425" s="7" t="str">
        <f t="shared" si="822"/>
        <v>棚卸以外</v>
      </c>
      <c r="I2425" s="7">
        <v>24</v>
      </c>
      <c r="J2425" s="7" t="str">
        <f>"１７号棟"</f>
        <v>１７号棟</v>
      </c>
      <c r="K2425" s="7" t="str">
        <f t="shared" si="836"/>
        <v>鉄筋コンクリート造</v>
      </c>
      <c r="L2425" s="7" t="str">
        <f t="shared" si="838"/>
        <v>S59.03.16</v>
      </c>
      <c r="M2425" s="7">
        <v>2454.4</v>
      </c>
      <c r="N2425" s="7">
        <v>232163100</v>
      </c>
      <c r="O2425" s="7">
        <v>189306000</v>
      </c>
      <c r="P2425" s="7">
        <v>0</v>
      </c>
      <c r="Q2425" s="7" t="str">
        <f t="shared" si="831"/>
        <v>都市整備部</v>
      </c>
      <c r="R2425" s="7" t="str">
        <f t="shared" si="828"/>
        <v>住宅建築局住宅経営室</v>
      </c>
    </row>
    <row r="2426" spans="1:18" s="1" customFormat="1" x14ac:dyDescent="0.45">
      <c r="A2426" s="7" t="str">
        <f t="shared" si="832"/>
        <v>09940003225</v>
      </c>
      <c r="B2426" s="7" t="str">
        <f t="shared" si="833"/>
        <v>浅香山</v>
      </c>
      <c r="C2426" s="7" t="str">
        <f t="shared" si="829"/>
        <v>行政財産</v>
      </c>
      <c r="D2426" s="7" t="str">
        <f t="shared" si="830"/>
        <v>公営住宅</v>
      </c>
      <c r="E2426" s="7" t="str">
        <f t="shared" si="834"/>
        <v>大阪府堺市　北区東浅香山町３丁</v>
      </c>
      <c r="F2426" s="7"/>
      <c r="G2426" s="7" t="str">
        <f t="shared" si="827"/>
        <v>事業用資産</v>
      </c>
      <c r="H2426" s="7" t="str">
        <f t="shared" si="822"/>
        <v>棚卸以外</v>
      </c>
      <c r="I2426" s="7">
        <v>25</v>
      </c>
      <c r="J2426" s="7" t="str">
        <f>"１８号棟"</f>
        <v>１８号棟</v>
      </c>
      <c r="K2426" s="7" t="str">
        <f t="shared" si="836"/>
        <v>鉄筋コンクリート造</v>
      </c>
      <c r="L2426" s="7" t="str">
        <f t="shared" si="838"/>
        <v>S59.03.16</v>
      </c>
      <c r="M2426" s="7">
        <v>1253.49</v>
      </c>
      <c r="N2426" s="7">
        <v>139201724</v>
      </c>
      <c r="O2426" s="7">
        <v>114625368</v>
      </c>
      <c r="P2426" s="7">
        <v>0</v>
      </c>
      <c r="Q2426" s="7" t="str">
        <f t="shared" si="831"/>
        <v>都市整備部</v>
      </c>
      <c r="R2426" s="7" t="str">
        <f t="shared" si="828"/>
        <v>住宅建築局住宅経営室</v>
      </c>
    </row>
    <row r="2427" spans="1:18" s="1" customFormat="1" x14ac:dyDescent="0.45">
      <c r="A2427" s="7" t="str">
        <f t="shared" si="832"/>
        <v>09940003225</v>
      </c>
      <c r="B2427" s="7" t="str">
        <f t="shared" si="833"/>
        <v>浅香山</v>
      </c>
      <c r="C2427" s="7" t="str">
        <f t="shared" si="829"/>
        <v>行政財産</v>
      </c>
      <c r="D2427" s="7" t="str">
        <f t="shared" si="830"/>
        <v>公営住宅</v>
      </c>
      <c r="E2427" s="7" t="str">
        <f t="shared" si="834"/>
        <v>大阪府堺市　北区東浅香山町３丁</v>
      </c>
      <c r="F2427" s="7"/>
      <c r="G2427" s="7" t="str">
        <f t="shared" si="827"/>
        <v>事業用資産</v>
      </c>
      <c r="H2427" s="7" t="str">
        <f t="shared" si="822"/>
        <v>棚卸以外</v>
      </c>
      <c r="I2427" s="7">
        <v>26</v>
      </c>
      <c r="J2427" s="7" t="str">
        <f>"１９号棟"</f>
        <v>１９号棟</v>
      </c>
      <c r="K2427" s="7" t="str">
        <f t="shared" si="836"/>
        <v>鉄筋コンクリート造</v>
      </c>
      <c r="L2427" s="7" t="str">
        <f>"S62.03.26"</f>
        <v>S62.03.26</v>
      </c>
      <c r="M2427" s="7">
        <v>2228.19</v>
      </c>
      <c r="N2427" s="7">
        <v>247287502</v>
      </c>
      <c r="O2427" s="7">
        <v>173031194</v>
      </c>
      <c r="P2427" s="7">
        <v>0</v>
      </c>
      <c r="Q2427" s="7" t="str">
        <f t="shared" si="831"/>
        <v>都市整備部</v>
      </c>
      <c r="R2427" s="7" t="str">
        <f t="shared" si="828"/>
        <v>住宅建築局住宅経営室</v>
      </c>
    </row>
    <row r="2428" spans="1:18" s="1" customFormat="1" x14ac:dyDescent="0.45">
      <c r="A2428" s="7" t="str">
        <f t="shared" si="832"/>
        <v>09940003225</v>
      </c>
      <c r="B2428" s="7" t="str">
        <f t="shared" si="833"/>
        <v>浅香山</v>
      </c>
      <c r="C2428" s="7" t="str">
        <f t="shared" si="829"/>
        <v>行政財産</v>
      </c>
      <c r="D2428" s="7" t="str">
        <f t="shared" si="830"/>
        <v>公営住宅</v>
      </c>
      <c r="E2428" s="7" t="str">
        <f t="shared" si="834"/>
        <v>大阪府堺市　北区東浅香山町３丁</v>
      </c>
      <c r="F2428" s="7"/>
      <c r="G2428" s="7" t="str">
        <f t="shared" si="827"/>
        <v>事業用資産</v>
      </c>
      <c r="H2428" s="7" t="str">
        <f t="shared" si="822"/>
        <v>棚卸以外</v>
      </c>
      <c r="I2428" s="7">
        <v>27</v>
      </c>
      <c r="J2428" s="7" t="str">
        <f>"２０号棟"</f>
        <v>２０号棟</v>
      </c>
      <c r="K2428" s="7" t="str">
        <f t="shared" si="836"/>
        <v>鉄筋コンクリート造</v>
      </c>
      <c r="L2428" s="7" t="str">
        <f>"S62.03.26"</f>
        <v>S62.03.26</v>
      </c>
      <c r="M2428" s="7">
        <v>1438.56</v>
      </c>
      <c r="N2428" s="7">
        <v>147654000</v>
      </c>
      <c r="O2428" s="7">
        <v>113096736</v>
      </c>
      <c r="P2428" s="7">
        <v>0</v>
      </c>
      <c r="Q2428" s="7" t="str">
        <f t="shared" si="831"/>
        <v>都市整備部</v>
      </c>
      <c r="R2428" s="7" t="str">
        <f t="shared" si="828"/>
        <v>住宅建築局住宅経営室</v>
      </c>
    </row>
    <row r="2429" spans="1:18" s="1" customFormat="1" x14ac:dyDescent="0.45">
      <c r="A2429" s="7" t="str">
        <f t="shared" si="832"/>
        <v>09940003225</v>
      </c>
      <c r="B2429" s="7" t="str">
        <f t="shared" si="833"/>
        <v>浅香山</v>
      </c>
      <c r="C2429" s="7" t="str">
        <f t="shared" si="829"/>
        <v>行政財産</v>
      </c>
      <c r="D2429" s="7" t="str">
        <f t="shared" si="830"/>
        <v>公営住宅</v>
      </c>
      <c r="E2429" s="7" t="str">
        <f t="shared" si="834"/>
        <v>大阪府堺市　北区東浅香山町３丁</v>
      </c>
      <c r="F2429" s="7"/>
      <c r="G2429" s="7" t="str">
        <f t="shared" si="827"/>
        <v>事業用資産</v>
      </c>
      <c r="H2429" s="7" t="str">
        <f t="shared" si="822"/>
        <v>棚卸以外</v>
      </c>
      <c r="I2429" s="7">
        <v>28</v>
      </c>
      <c r="J2429" s="7" t="str">
        <f>"集会所"</f>
        <v>集会所</v>
      </c>
      <c r="K2429" s="7" t="str">
        <f t="shared" si="836"/>
        <v>鉄筋コンクリート造</v>
      </c>
      <c r="L2429" s="7" t="str">
        <f>"S62.03.26"</f>
        <v>S62.03.26</v>
      </c>
      <c r="M2429" s="7">
        <v>148.22</v>
      </c>
      <c r="N2429" s="7">
        <v>20710000</v>
      </c>
      <c r="O2429" s="7">
        <v>15863040</v>
      </c>
      <c r="P2429" s="7">
        <v>0</v>
      </c>
      <c r="Q2429" s="7" t="str">
        <f t="shared" si="831"/>
        <v>都市整備部</v>
      </c>
      <c r="R2429" s="7" t="str">
        <f t="shared" si="828"/>
        <v>住宅建築局住宅経営室</v>
      </c>
    </row>
    <row r="2430" spans="1:18" s="1" customFormat="1" x14ac:dyDescent="0.45">
      <c r="A2430" s="7" t="str">
        <f t="shared" si="832"/>
        <v>09940003225</v>
      </c>
      <c r="B2430" s="7" t="str">
        <f t="shared" si="833"/>
        <v>浅香山</v>
      </c>
      <c r="C2430" s="7" t="str">
        <f t="shared" si="829"/>
        <v>行政財産</v>
      </c>
      <c r="D2430" s="7" t="str">
        <f t="shared" si="830"/>
        <v>公営住宅</v>
      </c>
      <c r="E2430" s="7" t="str">
        <f t="shared" si="834"/>
        <v>大阪府堺市　北区東浅香山町３丁</v>
      </c>
      <c r="F2430" s="7"/>
      <c r="G2430" s="7" t="str">
        <f t="shared" si="827"/>
        <v>事業用資産</v>
      </c>
      <c r="H2430" s="7" t="str">
        <f t="shared" si="822"/>
        <v>棚卸以外</v>
      </c>
      <c r="I2430" s="7">
        <v>29</v>
      </c>
      <c r="J2430" s="7" t="str">
        <f>"受水槽"</f>
        <v>受水槽</v>
      </c>
      <c r="K2430" s="7" t="str">
        <f t="shared" si="836"/>
        <v>鉄筋コンクリート造</v>
      </c>
      <c r="L2430" s="7" t="str">
        <f>"S62.03.26"</f>
        <v>S62.03.26</v>
      </c>
      <c r="M2430" s="7">
        <v>36.4</v>
      </c>
      <c r="N2430" s="7">
        <v>24029000</v>
      </c>
      <c r="O2430" s="7">
        <v>18405360</v>
      </c>
      <c r="P2430" s="7">
        <v>0</v>
      </c>
      <c r="Q2430" s="7" t="str">
        <f t="shared" si="831"/>
        <v>都市整備部</v>
      </c>
      <c r="R2430" s="7" t="str">
        <f t="shared" si="828"/>
        <v>住宅建築局住宅経営室</v>
      </c>
    </row>
    <row r="2431" spans="1:18" s="1" customFormat="1" x14ac:dyDescent="0.45">
      <c r="A2431" s="7" t="str">
        <f t="shared" si="832"/>
        <v>09940003225</v>
      </c>
      <c r="B2431" s="7" t="str">
        <f t="shared" si="833"/>
        <v>浅香山</v>
      </c>
      <c r="C2431" s="7" t="str">
        <f t="shared" si="829"/>
        <v>行政財産</v>
      </c>
      <c r="D2431" s="7" t="str">
        <f t="shared" si="830"/>
        <v>公営住宅</v>
      </c>
      <c r="E2431" s="7" t="str">
        <f t="shared" si="834"/>
        <v>大阪府堺市　北区東浅香山町３丁</v>
      </c>
      <c r="F2431" s="7"/>
      <c r="G2431" s="7" t="str">
        <f t="shared" si="827"/>
        <v>事業用資産</v>
      </c>
      <c r="H2431" s="7" t="str">
        <f t="shared" si="822"/>
        <v>棚卸以外</v>
      </c>
      <c r="I2431" s="7">
        <v>30</v>
      </c>
      <c r="J2431" s="7" t="str">
        <f>"２１号棟"</f>
        <v>２１号棟</v>
      </c>
      <c r="K2431" s="7" t="str">
        <f t="shared" si="836"/>
        <v>鉄筋コンクリート造</v>
      </c>
      <c r="L2431" s="7" t="str">
        <f t="shared" ref="L2431:L2437" si="839">"S63.04.01"</f>
        <v>S63.04.01</v>
      </c>
      <c r="M2431" s="7">
        <v>1417.6</v>
      </c>
      <c r="N2431" s="7">
        <v>151024000</v>
      </c>
      <c r="O2431" s="7">
        <v>112197306</v>
      </c>
      <c r="P2431" s="7">
        <v>0</v>
      </c>
      <c r="Q2431" s="7" t="str">
        <f t="shared" si="831"/>
        <v>都市整備部</v>
      </c>
      <c r="R2431" s="7" t="str">
        <f t="shared" si="828"/>
        <v>住宅建築局住宅経営室</v>
      </c>
    </row>
    <row r="2432" spans="1:18" s="1" customFormat="1" x14ac:dyDescent="0.45">
      <c r="A2432" s="7" t="str">
        <f t="shared" si="832"/>
        <v>09940003225</v>
      </c>
      <c r="B2432" s="7" t="str">
        <f t="shared" si="833"/>
        <v>浅香山</v>
      </c>
      <c r="C2432" s="7" t="str">
        <f t="shared" si="829"/>
        <v>行政財産</v>
      </c>
      <c r="D2432" s="7" t="str">
        <f t="shared" si="830"/>
        <v>公営住宅</v>
      </c>
      <c r="E2432" s="7" t="str">
        <f t="shared" si="834"/>
        <v>大阪府堺市　北区東浅香山町３丁</v>
      </c>
      <c r="F2432" s="7"/>
      <c r="G2432" s="7" t="str">
        <f t="shared" si="827"/>
        <v>事業用資産</v>
      </c>
      <c r="H2432" s="7" t="str">
        <f t="shared" si="822"/>
        <v>棚卸以外</v>
      </c>
      <c r="I2432" s="7">
        <v>31</v>
      </c>
      <c r="J2432" s="7" t="str">
        <f>"２２号棟"</f>
        <v>２２号棟</v>
      </c>
      <c r="K2432" s="7" t="str">
        <f t="shared" si="836"/>
        <v>鉄筋コンクリート造</v>
      </c>
      <c r="L2432" s="7" t="str">
        <f t="shared" si="839"/>
        <v>S63.04.01</v>
      </c>
      <c r="M2432" s="7">
        <v>2168.91</v>
      </c>
      <c r="N2432" s="7">
        <v>198268251</v>
      </c>
      <c r="O2432" s="7">
        <v>147088693</v>
      </c>
      <c r="P2432" s="7">
        <v>0</v>
      </c>
      <c r="Q2432" s="7" t="str">
        <f t="shared" si="831"/>
        <v>都市整備部</v>
      </c>
      <c r="R2432" s="7" t="str">
        <f t="shared" si="828"/>
        <v>住宅建築局住宅経営室</v>
      </c>
    </row>
    <row r="2433" spans="1:18" s="1" customFormat="1" x14ac:dyDescent="0.45">
      <c r="A2433" s="7" t="str">
        <f t="shared" si="832"/>
        <v>09940003225</v>
      </c>
      <c r="B2433" s="7" t="str">
        <f t="shared" si="833"/>
        <v>浅香山</v>
      </c>
      <c r="C2433" s="7" t="str">
        <f t="shared" si="829"/>
        <v>行政財産</v>
      </c>
      <c r="D2433" s="7" t="str">
        <f t="shared" si="830"/>
        <v>公営住宅</v>
      </c>
      <c r="E2433" s="7" t="str">
        <f t="shared" si="834"/>
        <v>大阪府堺市　北区東浅香山町３丁</v>
      </c>
      <c r="F2433" s="7"/>
      <c r="G2433" s="7" t="str">
        <f t="shared" si="827"/>
        <v>事業用資産</v>
      </c>
      <c r="H2433" s="7" t="str">
        <f t="shared" si="822"/>
        <v>棚卸以外</v>
      </c>
      <c r="I2433" s="7">
        <v>32</v>
      </c>
      <c r="J2433" s="7" t="str">
        <f>"２２号棟（高層）"</f>
        <v>２２号棟（高層）</v>
      </c>
      <c r="K2433" s="7" t="str">
        <f t="shared" si="836"/>
        <v>鉄筋コンクリート造</v>
      </c>
      <c r="L2433" s="7" t="str">
        <f t="shared" si="839"/>
        <v>S63.04.01</v>
      </c>
      <c r="M2433" s="7">
        <v>4854.3999999999996</v>
      </c>
      <c r="N2433" s="7">
        <v>533487372</v>
      </c>
      <c r="O2433" s="7">
        <v>392867056</v>
      </c>
      <c r="P2433" s="7">
        <v>0</v>
      </c>
      <c r="Q2433" s="7" t="str">
        <f t="shared" si="831"/>
        <v>都市整備部</v>
      </c>
      <c r="R2433" s="7" t="str">
        <f t="shared" si="828"/>
        <v>住宅建築局住宅経営室</v>
      </c>
    </row>
    <row r="2434" spans="1:18" s="1" customFormat="1" x14ac:dyDescent="0.45">
      <c r="A2434" s="7" t="str">
        <f t="shared" si="832"/>
        <v>09940003225</v>
      </c>
      <c r="B2434" s="7" t="str">
        <f t="shared" si="833"/>
        <v>浅香山</v>
      </c>
      <c r="C2434" s="7" t="str">
        <f t="shared" si="829"/>
        <v>行政財産</v>
      </c>
      <c r="D2434" s="7" t="str">
        <f t="shared" si="830"/>
        <v>公営住宅</v>
      </c>
      <c r="E2434" s="7" t="str">
        <f t="shared" si="834"/>
        <v>大阪府堺市　北区東浅香山町３丁</v>
      </c>
      <c r="F2434" s="7"/>
      <c r="G2434" s="7" t="str">
        <f t="shared" si="827"/>
        <v>事業用資産</v>
      </c>
      <c r="H2434" s="7" t="str">
        <f t="shared" si="822"/>
        <v>棚卸以外</v>
      </c>
      <c r="I2434" s="7">
        <v>33</v>
      </c>
      <c r="J2434" s="7" t="str">
        <f>"２３号棟"</f>
        <v>２３号棟</v>
      </c>
      <c r="K2434" s="7" t="str">
        <f t="shared" si="836"/>
        <v>鉄筋コンクリート造</v>
      </c>
      <c r="L2434" s="7" t="str">
        <f t="shared" si="839"/>
        <v>S63.04.01</v>
      </c>
      <c r="M2434" s="7">
        <v>2150.3000000000002</v>
      </c>
      <c r="N2434" s="7">
        <v>62182000</v>
      </c>
      <c r="O2434" s="7">
        <v>46195588</v>
      </c>
      <c r="P2434" s="7">
        <v>0</v>
      </c>
      <c r="Q2434" s="7" t="str">
        <f t="shared" si="831"/>
        <v>都市整備部</v>
      </c>
      <c r="R2434" s="7" t="str">
        <f t="shared" si="828"/>
        <v>住宅建築局住宅経営室</v>
      </c>
    </row>
    <row r="2435" spans="1:18" s="1" customFormat="1" x14ac:dyDescent="0.45">
      <c r="A2435" s="7" t="str">
        <f t="shared" si="832"/>
        <v>09940003225</v>
      </c>
      <c r="B2435" s="7" t="str">
        <f t="shared" si="833"/>
        <v>浅香山</v>
      </c>
      <c r="C2435" s="7" t="str">
        <f t="shared" si="829"/>
        <v>行政財産</v>
      </c>
      <c r="D2435" s="7" t="str">
        <f t="shared" si="830"/>
        <v>公営住宅</v>
      </c>
      <c r="E2435" s="7" t="str">
        <f t="shared" si="834"/>
        <v>大阪府堺市　北区東浅香山町３丁</v>
      </c>
      <c r="F2435" s="7"/>
      <c r="G2435" s="7" t="str">
        <f t="shared" si="827"/>
        <v>事業用資産</v>
      </c>
      <c r="H2435" s="7" t="str">
        <f t="shared" si="822"/>
        <v>棚卸以外</v>
      </c>
      <c r="I2435" s="7">
        <v>34</v>
      </c>
      <c r="J2435" s="7" t="str">
        <f>"２４号棟"</f>
        <v>２４号棟</v>
      </c>
      <c r="K2435" s="7" t="str">
        <f t="shared" si="836"/>
        <v>鉄筋コンクリート造</v>
      </c>
      <c r="L2435" s="7" t="str">
        <f t="shared" si="839"/>
        <v>S63.04.01</v>
      </c>
      <c r="M2435" s="7">
        <v>1408.6</v>
      </c>
      <c r="N2435" s="7">
        <v>62363000</v>
      </c>
      <c r="O2435" s="7">
        <v>46330087</v>
      </c>
      <c r="P2435" s="7">
        <v>0</v>
      </c>
      <c r="Q2435" s="7" t="str">
        <f t="shared" si="831"/>
        <v>都市整備部</v>
      </c>
      <c r="R2435" s="7" t="str">
        <f t="shared" si="828"/>
        <v>住宅建築局住宅経営室</v>
      </c>
    </row>
    <row r="2436" spans="1:18" s="1" customFormat="1" x14ac:dyDescent="0.45">
      <c r="A2436" s="7" t="str">
        <f t="shared" si="832"/>
        <v>09940003225</v>
      </c>
      <c r="B2436" s="7" t="str">
        <f t="shared" si="833"/>
        <v>浅香山</v>
      </c>
      <c r="C2436" s="7" t="str">
        <f t="shared" si="829"/>
        <v>行政財産</v>
      </c>
      <c r="D2436" s="7" t="str">
        <f t="shared" si="830"/>
        <v>公営住宅</v>
      </c>
      <c r="E2436" s="7" t="str">
        <f t="shared" si="834"/>
        <v>大阪府堺市　北区東浅香山町３丁</v>
      </c>
      <c r="F2436" s="7"/>
      <c r="G2436" s="7" t="str">
        <f t="shared" si="827"/>
        <v>事業用資産</v>
      </c>
      <c r="H2436" s="7" t="str">
        <f t="shared" ref="H2436:H2499" si="840">"棚卸以外"</f>
        <v>棚卸以外</v>
      </c>
      <c r="I2436" s="7">
        <v>35</v>
      </c>
      <c r="J2436" s="7" t="str">
        <f>"２５号棟"</f>
        <v>２５号棟</v>
      </c>
      <c r="K2436" s="7" t="str">
        <f t="shared" si="836"/>
        <v>鉄筋コンクリート造</v>
      </c>
      <c r="L2436" s="7" t="str">
        <f t="shared" si="839"/>
        <v>S63.04.01</v>
      </c>
      <c r="M2436" s="7">
        <v>1378.1</v>
      </c>
      <c r="N2436" s="7">
        <v>62344000</v>
      </c>
      <c r="O2436" s="7">
        <v>46316260</v>
      </c>
      <c r="P2436" s="7">
        <v>0</v>
      </c>
      <c r="Q2436" s="7" t="str">
        <f t="shared" si="831"/>
        <v>都市整備部</v>
      </c>
      <c r="R2436" s="7" t="str">
        <f t="shared" si="828"/>
        <v>住宅建築局住宅経営室</v>
      </c>
    </row>
    <row r="2437" spans="1:18" s="1" customFormat="1" x14ac:dyDescent="0.45">
      <c r="A2437" s="7" t="str">
        <f t="shared" si="832"/>
        <v>09940003225</v>
      </c>
      <c r="B2437" s="7" t="str">
        <f t="shared" si="833"/>
        <v>浅香山</v>
      </c>
      <c r="C2437" s="7" t="str">
        <f t="shared" si="829"/>
        <v>行政財産</v>
      </c>
      <c r="D2437" s="7" t="str">
        <f t="shared" si="830"/>
        <v>公営住宅</v>
      </c>
      <c r="E2437" s="7" t="str">
        <f t="shared" si="834"/>
        <v>大阪府堺市　北区東浅香山町３丁</v>
      </c>
      <c r="F2437" s="7"/>
      <c r="G2437" s="7" t="str">
        <f t="shared" si="827"/>
        <v>事業用資産</v>
      </c>
      <c r="H2437" s="7" t="str">
        <f t="shared" si="840"/>
        <v>棚卸以外</v>
      </c>
      <c r="I2437" s="7">
        <v>36</v>
      </c>
      <c r="J2437" s="7" t="str">
        <f>"２６号棟"</f>
        <v>２６号棟</v>
      </c>
      <c r="K2437" s="7" t="str">
        <f t="shared" si="836"/>
        <v>鉄筋コンクリート造</v>
      </c>
      <c r="L2437" s="7" t="str">
        <f t="shared" si="839"/>
        <v>S63.04.01</v>
      </c>
      <c r="M2437" s="7">
        <v>2045</v>
      </c>
      <c r="N2437" s="7">
        <v>124515251</v>
      </c>
      <c r="O2437" s="7">
        <v>92296901</v>
      </c>
      <c r="P2437" s="7">
        <v>0</v>
      </c>
      <c r="Q2437" s="7" t="str">
        <f t="shared" si="831"/>
        <v>都市整備部</v>
      </c>
      <c r="R2437" s="7" t="str">
        <f t="shared" si="828"/>
        <v>住宅建築局住宅経営室</v>
      </c>
    </row>
    <row r="2438" spans="1:18" s="1" customFormat="1" x14ac:dyDescent="0.45">
      <c r="A2438" s="7" t="str">
        <f t="shared" si="832"/>
        <v>09940003225</v>
      </c>
      <c r="B2438" s="7" t="str">
        <f t="shared" si="833"/>
        <v>浅香山</v>
      </c>
      <c r="C2438" s="7" t="str">
        <f t="shared" si="829"/>
        <v>行政財産</v>
      </c>
      <c r="D2438" s="7" t="str">
        <f t="shared" si="830"/>
        <v>公営住宅</v>
      </c>
      <c r="E2438" s="7" t="str">
        <f t="shared" si="834"/>
        <v>大阪府堺市　北区東浅香山町３丁</v>
      </c>
      <c r="F2438" s="7"/>
      <c r="G2438" s="7" t="str">
        <f t="shared" si="827"/>
        <v>事業用資産</v>
      </c>
      <c r="H2438" s="7" t="str">
        <f t="shared" si="840"/>
        <v>棚卸以外</v>
      </c>
      <c r="I2438" s="7">
        <v>37</v>
      </c>
      <c r="J2438" s="7" t="str">
        <f>"２７号棟（高層）"</f>
        <v>２７号棟（高層）</v>
      </c>
      <c r="K2438" s="7" t="str">
        <f t="shared" si="836"/>
        <v>鉄筋コンクリート造</v>
      </c>
      <c r="L2438" s="7" t="str">
        <f>"S63.12.02"</f>
        <v>S63.12.02</v>
      </c>
      <c r="M2438" s="7">
        <v>4676.87</v>
      </c>
      <c r="N2438" s="7">
        <v>529955373</v>
      </c>
      <c r="O2438" s="7">
        <v>383053086</v>
      </c>
      <c r="P2438" s="7">
        <v>0</v>
      </c>
      <c r="Q2438" s="7" t="str">
        <f t="shared" si="831"/>
        <v>都市整備部</v>
      </c>
      <c r="R2438" s="7" t="str">
        <f t="shared" si="828"/>
        <v>住宅建築局住宅経営室</v>
      </c>
    </row>
    <row r="2439" spans="1:18" s="1" customFormat="1" x14ac:dyDescent="0.45">
      <c r="A2439" s="7" t="str">
        <f t="shared" si="832"/>
        <v>09940003225</v>
      </c>
      <c r="B2439" s="7" t="str">
        <f t="shared" si="833"/>
        <v>浅香山</v>
      </c>
      <c r="C2439" s="7" t="str">
        <f t="shared" si="829"/>
        <v>行政財産</v>
      </c>
      <c r="D2439" s="7" t="str">
        <f t="shared" si="830"/>
        <v>公営住宅</v>
      </c>
      <c r="E2439" s="7" t="str">
        <f t="shared" si="834"/>
        <v>大阪府堺市　北区東浅香山町３丁</v>
      </c>
      <c r="F2439" s="7"/>
      <c r="G2439" s="7" t="str">
        <f t="shared" si="827"/>
        <v>事業用資産</v>
      </c>
      <c r="H2439" s="7" t="str">
        <f t="shared" si="840"/>
        <v>棚卸以外</v>
      </c>
      <c r="I2439" s="7">
        <v>38</v>
      </c>
      <c r="J2439" s="7" t="str">
        <f>"２７号棟"</f>
        <v>２７号棟</v>
      </c>
      <c r="K2439" s="7" t="str">
        <f t="shared" si="836"/>
        <v>鉄筋コンクリート造</v>
      </c>
      <c r="L2439" s="7" t="str">
        <f>"S63.12.02"</f>
        <v>S63.12.02</v>
      </c>
      <c r="M2439" s="7">
        <v>1399.85</v>
      </c>
      <c r="N2439" s="7">
        <v>133787000</v>
      </c>
      <c r="O2439" s="7">
        <v>97493721</v>
      </c>
      <c r="P2439" s="7">
        <v>0</v>
      </c>
      <c r="Q2439" s="7" t="str">
        <f t="shared" si="831"/>
        <v>都市整備部</v>
      </c>
      <c r="R2439" s="7" t="str">
        <f t="shared" si="828"/>
        <v>住宅建築局住宅経営室</v>
      </c>
    </row>
    <row r="2440" spans="1:18" s="1" customFormat="1" x14ac:dyDescent="0.45">
      <c r="A2440" s="7" t="str">
        <f t="shared" si="832"/>
        <v>09940003225</v>
      </c>
      <c r="B2440" s="7" t="str">
        <f t="shared" si="833"/>
        <v>浅香山</v>
      </c>
      <c r="C2440" s="7" t="str">
        <f t="shared" si="829"/>
        <v>行政財産</v>
      </c>
      <c r="D2440" s="7" t="str">
        <f t="shared" si="830"/>
        <v>公営住宅</v>
      </c>
      <c r="E2440" s="7" t="str">
        <f t="shared" si="834"/>
        <v>大阪府堺市　北区東浅香山町３丁</v>
      </c>
      <c r="F2440" s="7"/>
      <c r="G2440" s="7" t="str">
        <f t="shared" si="827"/>
        <v>事業用資産</v>
      </c>
      <c r="H2440" s="7" t="str">
        <f t="shared" si="840"/>
        <v>棚卸以外</v>
      </c>
      <c r="I2440" s="7">
        <v>39</v>
      </c>
      <c r="J2440" s="7" t="str">
        <f>"電気室"</f>
        <v>電気室</v>
      </c>
      <c r="K2440" s="7" t="str">
        <f t="shared" si="836"/>
        <v>鉄筋コンクリート造</v>
      </c>
      <c r="L2440" s="7" t="str">
        <f>"S63.12.02"</f>
        <v>S63.12.02</v>
      </c>
      <c r="M2440" s="7">
        <v>29.85</v>
      </c>
      <c r="N2440" s="7">
        <v>3015000</v>
      </c>
      <c r="O2440" s="7">
        <v>2197206</v>
      </c>
      <c r="P2440" s="7">
        <v>0</v>
      </c>
      <c r="Q2440" s="7" t="str">
        <f t="shared" si="831"/>
        <v>都市整備部</v>
      </c>
      <c r="R2440" s="7" t="str">
        <f t="shared" si="828"/>
        <v>住宅建築局住宅経営室</v>
      </c>
    </row>
    <row r="2441" spans="1:18" s="1" customFormat="1" ht="26.4" x14ac:dyDescent="0.45">
      <c r="A2441" s="7" t="str">
        <f>"09940003226"</f>
        <v>09940003226</v>
      </c>
      <c r="B2441" s="7" t="str">
        <f>"茨木松ケ本"</f>
        <v>茨木松ケ本</v>
      </c>
      <c r="C2441" s="7" t="str">
        <f t="shared" si="829"/>
        <v>行政財産</v>
      </c>
      <c r="D2441" s="7" t="str">
        <f t="shared" si="830"/>
        <v>公営住宅</v>
      </c>
      <c r="E2441" s="7" t="str">
        <f>"大阪府茨木市松ケ本町"</f>
        <v>大阪府茨木市松ケ本町</v>
      </c>
      <c r="F2441" s="7"/>
      <c r="G2441" s="7" t="str">
        <f t="shared" si="827"/>
        <v>事業用資産</v>
      </c>
      <c r="H2441" s="7" t="str">
        <f t="shared" si="840"/>
        <v>棚卸以外</v>
      </c>
      <c r="I2441" s="7">
        <v>1</v>
      </c>
      <c r="J2441" s="7" t="str">
        <f>"１号棟（南側）"</f>
        <v>１号棟（南側）</v>
      </c>
      <c r="K2441" s="7" t="str">
        <f>"鉄骨鉄筋コンクリート造"</f>
        <v>鉄骨鉄筋コンクリート造</v>
      </c>
      <c r="L2441" s="7" t="str">
        <f>"S57.03.15"</f>
        <v>S57.03.15</v>
      </c>
      <c r="M2441" s="7">
        <v>8886.01</v>
      </c>
      <c r="N2441" s="7">
        <v>1557421893</v>
      </c>
      <c r="O2441" s="7">
        <v>1095228462</v>
      </c>
      <c r="P2441" s="7">
        <v>0</v>
      </c>
      <c r="Q2441" s="7" t="str">
        <f t="shared" si="831"/>
        <v>都市整備部</v>
      </c>
      <c r="R2441" s="7" t="str">
        <f t="shared" si="828"/>
        <v>住宅建築局住宅経営室</v>
      </c>
    </row>
    <row r="2442" spans="1:18" s="1" customFormat="1" ht="26.4" x14ac:dyDescent="0.45">
      <c r="A2442" s="7" t="str">
        <f>"09940003226"</f>
        <v>09940003226</v>
      </c>
      <c r="B2442" s="7" t="str">
        <f>"茨木松ケ本"</f>
        <v>茨木松ケ本</v>
      </c>
      <c r="C2442" s="7" t="str">
        <f t="shared" si="829"/>
        <v>行政財産</v>
      </c>
      <c r="D2442" s="7" t="str">
        <f t="shared" si="830"/>
        <v>公営住宅</v>
      </c>
      <c r="E2442" s="7" t="str">
        <f>"大阪府茨木市松ケ本町"</f>
        <v>大阪府茨木市松ケ本町</v>
      </c>
      <c r="F2442" s="7"/>
      <c r="G2442" s="7" t="str">
        <f t="shared" si="827"/>
        <v>事業用資産</v>
      </c>
      <c r="H2442" s="7" t="str">
        <f t="shared" si="840"/>
        <v>棚卸以外</v>
      </c>
      <c r="I2442" s="7">
        <v>2</v>
      </c>
      <c r="J2442" s="7" t="str">
        <f>"１号棟（東側）"</f>
        <v>１号棟（東側）</v>
      </c>
      <c r="K2442" s="7" t="str">
        <f>"鉄骨鉄筋コンクリート造"</f>
        <v>鉄骨鉄筋コンクリート造</v>
      </c>
      <c r="L2442" s="7" t="str">
        <f>"S57.03.15"</f>
        <v>S57.03.15</v>
      </c>
      <c r="M2442" s="7">
        <v>5557.58</v>
      </c>
      <c r="N2442" s="7">
        <v>1050722000</v>
      </c>
      <c r="O2442" s="7">
        <v>696123753</v>
      </c>
      <c r="P2442" s="7">
        <v>0</v>
      </c>
      <c r="Q2442" s="7" t="str">
        <f t="shared" si="831"/>
        <v>都市整備部</v>
      </c>
      <c r="R2442" s="7" t="str">
        <f t="shared" si="828"/>
        <v>住宅建築局住宅経営室</v>
      </c>
    </row>
    <row r="2443" spans="1:18" s="1" customFormat="1" x14ac:dyDescent="0.45">
      <c r="A2443" s="7" t="str">
        <f>"09940003226"</f>
        <v>09940003226</v>
      </c>
      <c r="B2443" s="7" t="str">
        <f>"茨木松ケ本"</f>
        <v>茨木松ケ本</v>
      </c>
      <c r="C2443" s="7" t="str">
        <f t="shared" si="829"/>
        <v>行政財産</v>
      </c>
      <c r="D2443" s="7" t="str">
        <f t="shared" si="830"/>
        <v>公営住宅</v>
      </c>
      <c r="E2443" s="7" t="str">
        <f>"大阪府茨木市松ケ本町"</f>
        <v>大阪府茨木市松ケ本町</v>
      </c>
      <c r="F2443" s="7"/>
      <c r="G2443" s="7" t="str">
        <f t="shared" si="827"/>
        <v>事業用資産</v>
      </c>
      <c r="H2443" s="7" t="str">
        <f t="shared" si="840"/>
        <v>棚卸以外</v>
      </c>
      <c r="I2443" s="7">
        <v>3</v>
      </c>
      <c r="J2443" s="7" t="str">
        <f>"集会所"</f>
        <v>集会所</v>
      </c>
      <c r="K2443" s="7" t="str">
        <f t="shared" ref="K2443:K2490" si="841">"鉄筋コンクリート造"</f>
        <v>鉄筋コンクリート造</v>
      </c>
      <c r="L2443" s="7" t="str">
        <f>"S57.03.15"</f>
        <v>S57.03.15</v>
      </c>
      <c r="M2443" s="7">
        <v>69.67</v>
      </c>
      <c r="N2443" s="7">
        <v>18599000</v>
      </c>
      <c r="O2443" s="7">
        <v>16224684</v>
      </c>
      <c r="P2443" s="7">
        <v>0</v>
      </c>
      <c r="Q2443" s="7" t="str">
        <f t="shared" si="831"/>
        <v>都市整備部</v>
      </c>
      <c r="R2443" s="7" t="str">
        <f t="shared" si="828"/>
        <v>住宅建築局住宅経営室</v>
      </c>
    </row>
    <row r="2444" spans="1:18" s="1" customFormat="1" x14ac:dyDescent="0.45">
      <c r="A2444" s="7" t="str">
        <f>"09940003226"</f>
        <v>09940003226</v>
      </c>
      <c r="B2444" s="7" t="str">
        <f>"茨木松ケ本"</f>
        <v>茨木松ケ本</v>
      </c>
      <c r="C2444" s="7" t="str">
        <f t="shared" si="829"/>
        <v>行政財産</v>
      </c>
      <c r="D2444" s="7" t="str">
        <f t="shared" si="830"/>
        <v>公営住宅</v>
      </c>
      <c r="E2444" s="7" t="str">
        <f>"大阪府茨木市松ケ本町"</f>
        <v>大阪府茨木市松ケ本町</v>
      </c>
      <c r="F2444" s="7"/>
      <c r="G2444" s="7" t="str">
        <f t="shared" si="827"/>
        <v>事業用資産</v>
      </c>
      <c r="H2444" s="7" t="str">
        <f t="shared" si="840"/>
        <v>棚卸以外</v>
      </c>
      <c r="I2444" s="7">
        <v>4</v>
      </c>
      <c r="J2444" s="7" t="str">
        <f>"受水槽"</f>
        <v>受水槽</v>
      </c>
      <c r="K2444" s="7" t="str">
        <f t="shared" si="841"/>
        <v>鉄筋コンクリート造</v>
      </c>
      <c r="L2444" s="7" t="str">
        <f>"S57.03.15"</f>
        <v>S57.03.15</v>
      </c>
      <c r="M2444" s="7">
        <v>173.85</v>
      </c>
      <c r="N2444" s="7">
        <v>43872000</v>
      </c>
      <c r="O2444" s="7">
        <v>38271696</v>
      </c>
      <c r="P2444" s="7">
        <v>0</v>
      </c>
      <c r="Q2444" s="7" t="str">
        <f t="shared" si="831"/>
        <v>都市整備部</v>
      </c>
      <c r="R2444" s="7" t="str">
        <f t="shared" si="828"/>
        <v>住宅建築局住宅経営室</v>
      </c>
    </row>
    <row r="2445" spans="1:18" s="1" customFormat="1" x14ac:dyDescent="0.45">
      <c r="A2445" s="7" t="str">
        <f>"09940003227"</f>
        <v>09940003227</v>
      </c>
      <c r="B2445" s="7" t="str">
        <f>"高槻柱本"</f>
        <v>高槻柱本</v>
      </c>
      <c r="C2445" s="7" t="str">
        <f t="shared" si="829"/>
        <v>行政財産</v>
      </c>
      <c r="D2445" s="7" t="str">
        <f t="shared" si="830"/>
        <v>公営住宅</v>
      </c>
      <c r="E2445" s="7" t="str">
        <f>"大阪府高槻市柱本５丁目"</f>
        <v>大阪府高槻市柱本５丁目</v>
      </c>
      <c r="F2445" s="7"/>
      <c r="G2445" s="7" t="str">
        <f t="shared" si="827"/>
        <v>事業用資産</v>
      </c>
      <c r="H2445" s="7" t="str">
        <f t="shared" si="840"/>
        <v>棚卸以外</v>
      </c>
      <c r="I2445" s="7">
        <v>1</v>
      </c>
      <c r="J2445" s="7" t="str">
        <f>"２～１２・２３・２４他７棟"</f>
        <v>２～１２・２３・２４他７棟</v>
      </c>
      <c r="K2445" s="7" t="str">
        <f t="shared" si="841"/>
        <v>鉄筋コンクリート造</v>
      </c>
      <c r="L2445" s="7" t="str">
        <f>"S48.03.10"</f>
        <v>S48.03.10</v>
      </c>
      <c r="M2445" s="7">
        <v>50721.93</v>
      </c>
      <c r="N2445" s="7">
        <v>4143227387</v>
      </c>
      <c r="O2445" s="7">
        <v>3167267326</v>
      </c>
      <c r="P2445" s="7">
        <v>0</v>
      </c>
      <c r="Q2445" s="7" t="str">
        <f t="shared" si="831"/>
        <v>都市整備部</v>
      </c>
      <c r="R2445" s="7" t="str">
        <f t="shared" si="828"/>
        <v>住宅建築局住宅経営室</v>
      </c>
    </row>
    <row r="2446" spans="1:18" s="1" customFormat="1" x14ac:dyDescent="0.45">
      <c r="A2446" s="7" t="str">
        <f>"09940003227"</f>
        <v>09940003227</v>
      </c>
      <c r="B2446" s="7" t="str">
        <f>"高槻柱本"</f>
        <v>高槻柱本</v>
      </c>
      <c r="C2446" s="7" t="str">
        <f t="shared" si="829"/>
        <v>行政財産</v>
      </c>
      <c r="D2446" s="7" t="str">
        <f t="shared" si="830"/>
        <v>公営住宅</v>
      </c>
      <c r="E2446" s="7" t="str">
        <f>"大阪府高槻市柱本５丁目"</f>
        <v>大阪府高槻市柱本５丁目</v>
      </c>
      <c r="F2446" s="7"/>
      <c r="G2446" s="7" t="str">
        <f t="shared" si="827"/>
        <v>事業用資産</v>
      </c>
      <c r="H2446" s="7" t="str">
        <f t="shared" si="840"/>
        <v>棚卸以外</v>
      </c>
      <c r="I2446" s="7">
        <v>2</v>
      </c>
      <c r="J2446" s="7" t="str">
        <f>"１３～２２号棟"</f>
        <v>１３～２２号棟</v>
      </c>
      <c r="K2446" s="7" t="str">
        <f t="shared" si="841"/>
        <v>鉄筋コンクリート造</v>
      </c>
      <c r="L2446" s="7" t="str">
        <f>"S48.03.10"</f>
        <v>S48.03.10</v>
      </c>
      <c r="M2446" s="7">
        <v>20523.88</v>
      </c>
      <c r="N2446" s="7">
        <v>1554794171</v>
      </c>
      <c r="O2446" s="7">
        <v>1021560093</v>
      </c>
      <c r="P2446" s="7">
        <v>0</v>
      </c>
      <c r="Q2446" s="7" t="str">
        <f t="shared" si="831"/>
        <v>都市整備部</v>
      </c>
      <c r="R2446" s="7" t="str">
        <f t="shared" si="828"/>
        <v>住宅建築局住宅経営室</v>
      </c>
    </row>
    <row r="2447" spans="1:18" s="1" customFormat="1" x14ac:dyDescent="0.45">
      <c r="A2447" s="7" t="str">
        <f>"09940003227"</f>
        <v>09940003227</v>
      </c>
      <c r="B2447" s="7" t="str">
        <f>"高槻柱本"</f>
        <v>高槻柱本</v>
      </c>
      <c r="C2447" s="7" t="str">
        <f t="shared" si="829"/>
        <v>行政財産</v>
      </c>
      <c r="D2447" s="7" t="str">
        <f t="shared" si="830"/>
        <v>公営住宅</v>
      </c>
      <c r="E2447" s="7" t="str">
        <f>"大阪府高槻市柱本５丁目"</f>
        <v>大阪府高槻市柱本５丁目</v>
      </c>
      <c r="F2447" s="7"/>
      <c r="G2447" s="7" t="str">
        <f t="shared" si="827"/>
        <v>事業用資産</v>
      </c>
      <c r="H2447" s="7" t="str">
        <f t="shared" si="840"/>
        <v>棚卸以外</v>
      </c>
      <c r="I2447" s="7">
        <v>3</v>
      </c>
      <c r="J2447" s="7" t="str">
        <f>"集会所"</f>
        <v>集会所</v>
      </c>
      <c r="K2447" s="7" t="str">
        <f t="shared" si="841"/>
        <v>鉄筋コンクリート造</v>
      </c>
      <c r="L2447" s="7" t="str">
        <f>"S48.03.10"</f>
        <v>S48.03.10</v>
      </c>
      <c r="M2447" s="7">
        <v>316.68</v>
      </c>
      <c r="N2447" s="7">
        <v>15500261</v>
      </c>
      <c r="O2447" s="7">
        <v>15500260</v>
      </c>
      <c r="P2447" s="7">
        <v>0</v>
      </c>
      <c r="Q2447" s="7" t="str">
        <f t="shared" si="831"/>
        <v>都市整備部</v>
      </c>
      <c r="R2447" s="7" t="str">
        <f t="shared" si="828"/>
        <v>住宅建築局住宅経営室</v>
      </c>
    </row>
    <row r="2448" spans="1:18" s="1" customFormat="1" x14ac:dyDescent="0.45">
      <c r="A2448" s="7" t="str">
        <f>"09940003228"</f>
        <v>09940003228</v>
      </c>
      <c r="B2448" s="7" t="str">
        <f>"守口佐太中"</f>
        <v>守口佐太中</v>
      </c>
      <c r="C2448" s="7" t="str">
        <f t="shared" si="829"/>
        <v>行政財産</v>
      </c>
      <c r="D2448" s="7" t="str">
        <f t="shared" si="830"/>
        <v>公営住宅</v>
      </c>
      <c r="E2448" s="7" t="str">
        <f>"大阪府守口市佐太中町４丁目"</f>
        <v>大阪府守口市佐太中町４丁目</v>
      </c>
      <c r="F2448" s="7"/>
      <c r="G2448" s="7" t="str">
        <f t="shared" si="827"/>
        <v>事業用資産</v>
      </c>
      <c r="H2448" s="7" t="str">
        <f t="shared" si="840"/>
        <v>棚卸以外</v>
      </c>
      <c r="I2448" s="7">
        <v>1</v>
      </c>
      <c r="J2448" s="7" t="str">
        <f>"１～５号棟"</f>
        <v>１～５号棟</v>
      </c>
      <c r="K2448" s="7" t="str">
        <f t="shared" si="841"/>
        <v>鉄筋コンクリート造</v>
      </c>
      <c r="L2448" s="7" t="str">
        <f>"S48.05.15"</f>
        <v>S48.05.15</v>
      </c>
      <c r="M2448" s="7">
        <v>18689.82</v>
      </c>
      <c r="N2448" s="7">
        <v>1893642775</v>
      </c>
      <c r="O2448" s="7">
        <v>1159233018</v>
      </c>
      <c r="P2448" s="7">
        <v>0</v>
      </c>
      <c r="Q2448" s="7" t="str">
        <f t="shared" si="831"/>
        <v>都市整備部</v>
      </c>
      <c r="R2448" s="7" t="str">
        <f t="shared" si="828"/>
        <v>住宅建築局住宅経営室</v>
      </c>
    </row>
    <row r="2449" spans="1:18" s="1" customFormat="1" x14ac:dyDescent="0.45">
      <c r="A2449" s="7" t="str">
        <f>"09940003228"</f>
        <v>09940003228</v>
      </c>
      <c r="B2449" s="7" t="str">
        <f>"守口佐太中"</f>
        <v>守口佐太中</v>
      </c>
      <c r="C2449" s="7" t="str">
        <f t="shared" si="829"/>
        <v>行政財産</v>
      </c>
      <c r="D2449" s="7" t="str">
        <f t="shared" si="830"/>
        <v>公営住宅</v>
      </c>
      <c r="E2449" s="7" t="str">
        <f>"大阪府守口市佐太中町４丁目"</f>
        <v>大阪府守口市佐太中町４丁目</v>
      </c>
      <c r="F2449" s="7"/>
      <c r="G2449" s="7" t="str">
        <f t="shared" si="827"/>
        <v>事業用資産</v>
      </c>
      <c r="H2449" s="7" t="str">
        <f t="shared" si="840"/>
        <v>棚卸以外</v>
      </c>
      <c r="I2449" s="7">
        <v>2</v>
      </c>
      <c r="J2449" s="7" t="str">
        <f>"集会所改築"</f>
        <v>集会所改築</v>
      </c>
      <c r="K2449" s="7" t="str">
        <f t="shared" si="841"/>
        <v>鉄筋コンクリート造</v>
      </c>
      <c r="L2449" s="7" t="str">
        <f>"S62.12.28"</f>
        <v>S62.12.28</v>
      </c>
      <c r="M2449" s="7">
        <v>39.6</v>
      </c>
      <c r="N2449" s="7">
        <v>1450000</v>
      </c>
      <c r="O2449" s="7">
        <v>1087533</v>
      </c>
      <c r="P2449" s="7">
        <v>0</v>
      </c>
      <c r="Q2449" s="7" t="str">
        <f t="shared" si="831"/>
        <v>都市整備部</v>
      </c>
      <c r="R2449" s="7" t="str">
        <f t="shared" si="828"/>
        <v>住宅建築局住宅経営室</v>
      </c>
    </row>
    <row r="2450" spans="1:18" s="1" customFormat="1" x14ac:dyDescent="0.45">
      <c r="A2450" s="7" t="str">
        <f>"09940003228"</f>
        <v>09940003228</v>
      </c>
      <c r="B2450" s="7" t="str">
        <f>"守口佐太中"</f>
        <v>守口佐太中</v>
      </c>
      <c r="C2450" s="7" t="str">
        <f t="shared" si="829"/>
        <v>行政財産</v>
      </c>
      <c r="D2450" s="7" t="str">
        <f t="shared" si="830"/>
        <v>公営住宅</v>
      </c>
      <c r="E2450" s="7" t="str">
        <f>"大阪府守口市佐太中町４丁目"</f>
        <v>大阪府守口市佐太中町４丁目</v>
      </c>
      <c r="F2450" s="7"/>
      <c r="G2450" s="7" t="str">
        <f t="shared" si="827"/>
        <v>事業用資産</v>
      </c>
      <c r="H2450" s="7" t="str">
        <f t="shared" si="840"/>
        <v>棚卸以外</v>
      </c>
      <c r="I2450" s="7">
        <v>3</v>
      </c>
      <c r="J2450" s="7" t="str">
        <f>"ポンプ室"</f>
        <v>ポンプ室</v>
      </c>
      <c r="K2450" s="7" t="str">
        <f t="shared" si="841"/>
        <v>鉄筋コンクリート造</v>
      </c>
      <c r="L2450" s="7" t="str">
        <f>"S48.05.14"</f>
        <v>S48.05.14</v>
      </c>
      <c r="M2450" s="7">
        <v>58.44</v>
      </c>
      <c r="N2450" s="7">
        <v>6718000</v>
      </c>
      <c r="O2450" s="7">
        <v>6717999</v>
      </c>
      <c r="P2450" s="7">
        <v>0</v>
      </c>
      <c r="Q2450" s="7" t="str">
        <f t="shared" si="831"/>
        <v>都市整備部</v>
      </c>
      <c r="R2450" s="7" t="str">
        <f t="shared" si="828"/>
        <v>住宅建築局住宅経営室</v>
      </c>
    </row>
    <row r="2451" spans="1:18" s="1" customFormat="1" x14ac:dyDescent="0.45">
      <c r="A2451" s="7" t="str">
        <f>"09940003233"</f>
        <v>09940003233</v>
      </c>
      <c r="B2451" s="7" t="str">
        <f>"堺大浜南町（旧大浜）"</f>
        <v>堺大浜南町（旧大浜）</v>
      </c>
      <c r="C2451" s="7" t="str">
        <f t="shared" si="829"/>
        <v>行政財産</v>
      </c>
      <c r="D2451" s="7" t="str">
        <f t="shared" si="830"/>
        <v>公営住宅</v>
      </c>
      <c r="E2451" s="7" t="str">
        <f>"大阪府堺市　堺区大浜南町２丁"</f>
        <v>大阪府堺市　堺区大浜南町２丁</v>
      </c>
      <c r="F2451" s="7"/>
      <c r="G2451" s="7" t="str">
        <f t="shared" si="827"/>
        <v>事業用資産</v>
      </c>
      <c r="H2451" s="7" t="str">
        <f t="shared" si="840"/>
        <v>棚卸以外</v>
      </c>
      <c r="I2451" s="7">
        <v>1</v>
      </c>
      <c r="J2451" s="7" t="str">
        <f>"１号棟（新）"</f>
        <v>１号棟（新）</v>
      </c>
      <c r="K2451" s="7" t="str">
        <f t="shared" si="841"/>
        <v>鉄筋コンクリート造</v>
      </c>
      <c r="L2451" s="7" t="str">
        <f>"H20.09.30"</f>
        <v>H20.09.30</v>
      </c>
      <c r="M2451" s="7">
        <v>10152.9</v>
      </c>
      <c r="N2451" s="7">
        <v>1128003313</v>
      </c>
      <c r="O2451" s="7">
        <v>347727561</v>
      </c>
      <c r="P2451" s="7">
        <v>0</v>
      </c>
      <c r="Q2451" s="7" t="str">
        <f t="shared" si="831"/>
        <v>都市整備部</v>
      </c>
      <c r="R2451" s="7" t="str">
        <f t="shared" si="828"/>
        <v>住宅建築局住宅経営室</v>
      </c>
    </row>
    <row r="2452" spans="1:18" s="1" customFormat="1" x14ac:dyDescent="0.45">
      <c r="A2452" s="7" t="str">
        <f>"09940003233"</f>
        <v>09940003233</v>
      </c>
      <c r="B2452" s="7" t="str">
        <f>"堺大浜南町（旧大浜）"</f>
        <v>堺大浜南町（旧大浜）</v>
      </c>
      <c r="C2452" s="7" t="str">
        <f t="shared" si="829"/>
        <v>行政財産</v>
      </c>
      <c r="D2452" s="7" t="str">
        <f t="shared" si="830"/>
        <v>公営住宅</v>
      </c>
      <c r="E2452" s="7" t="str">
        <f>"大阪府堺市　堺区大浜南町２丁"</f>
        <v>大阪府堺市　堺区大浜南町２丁</v>
      </c>
      <c r="F2452" s="7"/>
      <c r="G2452" s="7" t="str">
        <f t="shared" si="827"/>
        <v>事業用資産</v>
      </c>
      <c r="H2452" s="7" t="str">
        <f t="shared" si="840"/>
        <v>棚卸以外</v>
      </c>
      <c r="I2452" s="7">
        <v>2</v>
      </c>
      <c r="J2452" s="7" t="str">
        <f>"集会所（新）"</f>
        <v>集会所（新）</v>
      </c>
      <c r="K2452" s="7" t="str">
        <f t="shared" si="841"/>
        <v>鉄筋コンクリート造</v>
      </c>
      <c r="L2452" s="7" t="str">
        <f>"H20.09.30"</f>
        <v>H20.09.30</v>
      </c>
      <c r="M2452" s="7">
        <v>112</v>
      </c>
      <c r="N2452" s="7">
        <v>21746000</v>
      </c>
      <c r="O2452" s="7">
        <v>6708918</v>
      </c>
      <c r="P2452" s="7">
        <v>0</v>
      </c>
      <c r="Q2452" s="7" t="str">
        <f t="shared" si="831"/>
        <v>都市整備部</v>
      </c>
      <c r="R2452" s="7" t="str">
        <f t="shared" si="828"/>
        <v>住宅建築局住宅経営室</v>
      </c>
    </row>
    <row r="2453" spans="1:18" s="1" customFormat="1" x14ac:dyDescent="0.45">
      <c r="A2453" s="7" t="str">
        <f>"09940003233"</f>
        <v>09940003233</v>
      </c>
      <c r="B2453" s="7" t="str">
        <f>"堺大浜南町（旧大浜）"</f>
        <v>堺大浜南町（旧大浜）</v>
      </c>
      <c r="C2453" s="7" t="str">
        <f t="shared" si="829"/>
        <v>行政財産</v>
      </c>
      <c r="D2453" s="7" t="str">
        <f t="shared" si="830"/>
        <v>公営住宅</v>
      </c>
      <c r="E2453" s="7" t="str">
        <f>"大阪府堺市　堺区大浜南町２丁"</f>
        <v>大阪府堺市　堺区大浜南町２丁</v>
      </c>
      <c r="F2453" s="7"/>
      <c r="G2453" s="7" t="str">
        <f t="shared" si="827"/>
        <v>事業用資産</v>
      </c>
      <c r="H2453" s="7" t="str">
        <f t="shared" si="840"/>
        <v>棚卸以外</v>
      </c>
      <c r="I2453" s="7">
        <v>3</v>
      </c>
      <c r="J2453" s="7" t="str">
        <f>"ポンプ室・電気室（新）"</f>
        <v>ポンプ室・電気室（新）</v>
      </c>
      <c r="K2453" s="7" t="str">
        <f t="shared" si="841"/>
        <v>鉄筋コンクリート造</v>
      </c>
      <c r="L2453" s="7" t="str">
        <f>"H20.09.30"</f>
        <v>H20.09.30</v>
      </c>
      <c r="M2453" s="7">
        <v>96.75</v>
      </c>
      <c r="N2453" s="7">
        <v>23475000</v>
      </c>
      <c r="O2453" s="7">
        <v>7242402</v>
      </c>
      <c r="P2453" s="7">
        <v>0</v>
      </c>
      <c r="Q2453" s="7" t="str">
        <f t="shared" si="831"/>
        <v>都市整備部</v>
      </c>
      <c r="R2453" s="7" t="str">
        <f t="shared" si="828"/>
        <v>住宅建築局住宅経営室</v>
      </c>
    </row>
    <row r="2454" spans="1:18" s="1" customFormat="1" x14ac:dyDescent="0.45">
      <c r="A2454" s="7" t="str">
        <f>"09940003235"</f>
        <v>09940003235</v>
      </c>
      <c r="B2454" s="7" t="str">
        <f>"堺寺地"</f>
        <v>堺寺地</v>
      </c>
      <c r="C2454" s="7" t="str">
        <f t="shared" si="829"/>
        <v>行政財産</v>
      </c>
      <c r="D2454" s="7" t="str">
        <f t="shared" si="830"/>
        <v>公営住宅</v>
      </c>
      <c r="E2454" s="7" t="str">
        <f>"大阪府堺市　堺区寺地町西２丁"</f>
        <v>大阪府堺市　堺区寺地町西２丁</v>
      </c>
      <c r="F2454" s="7"/>
      <c r="G2454" s="7" t="str">
        <f t="shared" si="827"/>
        <v>事業用資産</v>
      </c>
      <c r="H2454" s="7" t="str">
        <f t="shared" si="840"/>
        <v>棚卸以外</v>
      </c>
      <c r="I2454" s="7">
        <v>1</v>
      </c>
      <c r="J2454" s="7" t="str">
        <f>"１号棟（新）"</f>
        <v>１号棟（新）</v>
      </c>
      <c r="K2454" s="7" t="str">
        <f t="shared" si="841"/>
        <v>鉄筋コンクリート造</v>
      </c>
      <c r="L2454" s="7" t="str">
        <f>"H11.07.16"</f>
        <v>H11.07.16</v>
      </c>
      <c r="M2454" s="7">
        <v>4022.58</v>
      </c>
      <c r="N2454" s="7">
        <v>681838880</v>
      </c>
      <c r="O2454" s="7">
        <v>342512807</v>
      </c>
      <c r="P2454" s="7">
        <v>0</v>
      </c>
      <c r="Q2454" s="7" t="str">
        <f t="shared" si="831"/>
        <v>都市整備部</v>
      </c>
      <c r="R2454" s="7" t="str">
        <f t="shared" si="828"/>
        <v>住宅建築局住宅経営室</v>
      </c>
    </row>
    <row r="2455" spans="1:18" s="1" customFormat="1" x14ac:dyDescent="0.45">
      <c r="A2455" s="7" t="str">
        <f>"09940003235"</f>
        <v>09940003235</v>
      </c>
      <c r="B2455" s="7" t="str">
        <f>"堺寺地"</f>
        <v>堺寺地</v>
      </c>
      <c r="C2455" s="7" t="str">
        <f t="shared" si="829"/>
        <v>行政財産</v>
      </c>
      <c r="D2455" s="7" t="str">
        <f t="shared" si="830"/>
        <v>公営住宅</v>
      </c>
      <c r="E2455" s="7" t="str">
        <f>"大阪府堺市　堺区寺地町西２丁"</f>
        <v>大阪府堺市　堺区寺地町西２丁</v>
      </c>
      <c r="F2455" s="7"/>
      <c r="G2455" s="7" t="str">
        <f t="shared" ref="G2455:G2518" si="842">"事業用資産"</f>
        <v>事業用資産</v>
      </c>
      <c r="H2455" s="7" t="str">
        <f t="shared" si="840"/>
        <v>棚卸以外</v>
      </c>
      <c r="I2455" s="7">
        <v>2</v>
      </c>
      <c r="J2455" s="7" t="str">
        <f>"受水槽ポンプ室（新）"</f>
        <v>受水槽ポンプ室（新）</v>
      </c>
      <c r="K2455" s="7" t="str">
        <f t="shared" si="841"/>
        <v>鉄筋コンクリート造</v>
      </c>
      <c r="L2455" s="7" t="str">
        <f>"H11.07.16"</f>
        <v>H11.07.16</v>
      </c>
      <c r="M2455" s="7">
        <v>39.380000000000003</v>
      </c>
      <c r="N2455" s="7">
        <v>24455000</v>
      </c>
      <c r="O2455" s="7">
        <v>12314240</v>
      </c>
      <c r="P2455" s="7">
        <v>0</v>
      </c>
      <c r="Q2455" s="7" t="str">
        <f t="shared" si="831"/>
        <v>都市整備部</v>
      </c>
      <c r="R2455" s="7" t="str">
        <f t="shared" si="828"/>
        <v>住宅建築局住宅経営室</v>
      </c>
    </row>
    <row r="2456" spans="1:18" s="1" customFormat="1" x14ac:dyDescent="0.45">
      <c r="A2456" s="7" t="str">
        <f t="shared" ref="A2456:A2471" si="843">"09940003239"</f>
        <v>09940003239</v>
      </c>
      <c r="B2456" s="7" t="str">
        <f t="shared" ref="B2456:B2471" si="844">"金岡東第６"</f>
        <v>金岡東第６</v>
      </c>
      <c r="C2456" s="7" t="str">
        <f t="shared" si="829"/>
        <v>行政財産</v>
      </c>
      <c r="D2456" s="7" t="str">
        <f t="shared" si="830"/>
        <v>公営住宅</v>
      </c>
      <c r="E2456" s="7" t="str">
        <f t="shared" ref="E2456:E2471" si="845">"大阪府堺市　北区新金岡町２丁"</f>
        <v>大阪府堺市　北区新金岡町２丁</v>
      </c>
      <c r="F2456" s="7"/>
      <c r="G2456" s="7" t="str">
        <f t="shared" si="842"/>
        <v>事業用資産</v>
      </c>
      <c r="H2456" s="7" t="str">
        <f t="shared" si="840"/>
        <v>棚卸以外</v>
      </c>
      <c r="I2456" s="7">
        <v>1</v>
      </c>
      <c r="J2456" s="7" t="str">
        <f>"１～１８号棟"</f>
        <v>１～１８号棟</v>
      </c>
      <c r="K2456" s="7" t="str">
        <f t="shared" si="841"/>
        <v>鉄筋コンクリート造</v>
      </c>
      <c r="L2456" s="7" t="str">
        <f>"S44.05.28"</f>
        <v>S44.05.28</v>
      </c>
      <c r="M2456" s="7">
        <v>28518.52</v>
      </c>
      <c r="N2456" s="7">
        <v>1366102327</v>
      </c>
      <c r="O2456" s="7">
        <v>1061576977</v>
      </c>
      <c r="P2456" s="7">
        <v>0</v>
      </c>
      <c r="Q2456" s="7" t="str">
        <f t="shared" si="831"/>
        <v>都市整備部</v>
      </c>
      <c r="R2456" s="7" t="str">
        <f t="shared" ref="R2456:R2519" si="846">"住宅建築局住宅経営室"</f>
        <v>住宅建築局住宅経営室</v>
      </c>
    </row>
    <row r="2457" spans="1:18" s="1" customFormat="1" x14ac:dyDescent="0.45">
      <c r="A2457" s="7" t="str">
        <f t="shared" si="843"/>
        <v>09940003239</v>
      </c>
      <c r="B2457" s="7" t="str">
        <f t="shared" si="844"/>
        <v>金岡東第６</v>
      </c>
      <c r="C2457" s="7" t="str">
        <f t="shared" si="829"/>
        <v>行政財産</v>
      </c>
      <c r="D2457" s="7" t="str">
        <f t="shared" si="830"/>
        <v>公営住宅</v>
      </c>
      <c r="E2457" s="7" t="str">
        <f t="shared" si="845"/>
        <v>大阪府堺市　北区新金岡町２丁</v>
      </c>
      <c r="F2457" s="7"/>
      <c r="G2457" s="7" t="str">
        <f t="shared" si="842"/>
        <v>事業用資産</v>
      </c>
      <c r="H2457" s="7" t="str">
        <f t="shared" si="840"/>
        <v>棚卸以外</v>
      </c>
      <c r="I2457" s="7">
        <v>2</v>
      </c>
      <c r="J2457" s="7" t="str">
        <f>"集会所"</f>
        <v>集会所</v>
      </c>
      <c r="K2457" s="7" t="str">
        <f t="shared" si="841"/>
        <v>鉄筋コンクリート造</v>
      </c>
      <c r="L2457" s="7" t="str">
        <f>"S44.05.28"</f>
        <v>S44.05.28</v>
      </c>
      <c r="M2457" s="7">
        <v>149.51</v>
      </c>
      <c r="N2457" s="7">
        <v>9594261</v>
      </c>
      <c r="O2457" s="7">
        <v>7554110</v>
      </c>
      <c r="P2457" s="7">
        <v>0</v>
      </c>
      <c r="Q2457" s="7" t="str">
        <f t="shared" si="831"/>
        <v>都市整備部</v>
      </c>
      <c r="R2457" s="7" t="str">
        <f t="shared" si="846"/>
        <v>住宅建築局住宅経営室</v>
      </c>
    </row>
    <row r="2458" spans="1:18" s="1" customFormat="1" x14ac:dyDescent="0.45">
      <c r="A2458" s="7" t="str">
        <f t="shared" si="843"/>
        <v>09940003239</v>
      </c>
      <c r="B2458" s="7" t="str">
        <f t="shared" si="844"/>
        <v>金岡東第６</v>
      </c>
      <c r="C2458" s="7" t="str">
        <f t="shared" ref="C2458:C2521" si="847">"行政財産"</f>
        <v>行政財産</v>
      </c>
      <c r="D2458" s="7" t="str">
        <f t="shared" ref="D2458:D2521" si="848">"公営住宅"</f>
        <v>公営住宅</v>
      </c>
      <c r="E2458" s="7" t="str">
        <f t="shared" si="845"/>
        <v>大阪府堺市　北区新金岡町２丁</v>
      </c>
      <c r="F2458" s="7"/>
      <c r="G2458" s="7" t="str">
        <f t="shared" si="842"/>
        <v>事業用資産</v>
      </c>
      <c r="H2458" s="7" t="str">
        <f t="shared" si="840"/>
        <v>棚卸以外</v>
      </c>
      <c r="I2458" s="7">
        <v>3</v>
      </c>
      <c r="J2458" s="7" t="str">
        <f>"１１号棟増築分"</f>
        <v>１１号棟増築分</v>
      </c>
      <c r="K2458" s="7" t="str">
        <f t="shared" si="841"/>
        <v>鉄筋コンクリート造</v>
      </c>
      <c r="L2458" s="7" t="str">
        <f>"H04.11.01"</f>
        <v>H04.11.01</v>
      </c>
      <c r="M2458" s="7">
        <v>605.07000000000005</v>
      </c>
      <c r="N2458" s="7">
        <v>112692000</v>
      </c>
      <c r="O2458" s="7">
        <v>72730476</v>
      </c>
      <c r="P2458" s="7">
        <v>0</v>
      </c>
      <c r="Q2458" s="7" t="str">
        <f t="shared" si="831"/>
        <v>都市整備部</v>
      </c>
      <c r="R2458" s="7" t="str">
        <f t="shared" si="846"/>
        <v>住宅建築局住宅経営室</v>
      </c>
    </row>
    <row r="2459" spans="1:18" s="1" customFormat="1" x14ac:dyDescent="0.45">
      <c r="A2459" s="7" t="str">
        <f t="shared" si="843"/>
        <v>09940003239</v>
      </c>
      <c r="B2459" s="7" t="str">
        <f t="shared" si="844"/>
        <v>金岡東第６</v>
      </c>
      <c r="C2459" s="7" t="str">
        <f t="shared" si="847"/>
        <v>行政財産</v>
      </c>
      <c r="D2459" s="7" t="str">
        <f t="shared" si="848"/>
        <v>公営住宅</v>
      </c>
      <c r="E2459" s="7" t="str">
        <f t="shared" si="845"/>
        <v>大阪府堺市　北区新金岡町２丁</v>
      </c>
      <c r="F2459" s="7"/>
      <c r="G2459" s="7" t="str">
        <f t="shared" si="842"/>
        <v>事業用資産</v>
      </c>
      <c r="H2459" s="7" t="str">
        <f t="shared" si="840"/>
        <v>棚卸以外</v>
      </c>
      <c r="I2459" s="7">
        <v>4</v>
      </c>
      <c r="J2459" s="7" t="str">
        <f>"１７号棟増築分"</f>
        <v>１７号棟増築分</v>
      </c>
      <c r="K2459" s="7" t="str">
        <f t="shared" si="841"/>
        <v>鉄筋コンクリート造</v>
      </c>
      <c r="L2459" s="7" t="str">
        <f>"H04.11.01"</f>
        <v>H04.11.01</v>
      </c>
      <c r="M2459" s="7">
        <v>915.2</v>
      </c>
      <c r="N2459" s="7">
        <v>151985000</v>
      </c>
      <c r="O2459" s="7">
        <v>98089628</v>
      </c>
      <c r="P2459" s="7">
        <v>0</v>
      </c>
      <c r="Q2459" s="7" t="str">
        <f t="shared" ref="Q2459:Q2522" si="849">"都市整備部"</f>
        <v>都市整備部</v>
      </c>
      <c r="R2459" s="7" t="str">
        <f t="shared" si="846"/>
        <v>住宅建築局住宅経営室</v>
      </c>
    </row>
    <row r="2460" spans="1:18" s="1" customFormat="1" x14ac:dyDescent="0.45">
      <c r="A2460" s="7" t="str">
        <f t="shared" si="843"/>
        <v>09940003239</v>
      </c>
      <c r="B2460" s="7" t="str">
        <f t="shared" si="844"/>
        <v>金岡東第６</v>
      </c>
      <c r="C2460" s="7" t="str">
        <f t="shared" si="847"/>
        <v>行政財産</v>
      </c>
      <c r="D2460" s="7" t="str">
        <f t="shared" si="848"/>
        <v>公営住宅</v>
      </c>
      <c r="E2460" s="7" t="str">
        <f t="shared" si="845"/>
        <v>大阪府堺市　北区新金岡町２丁</v>
      </c>
      <c r="F2460" s="7"/>
      <c r="G2460" s="7" t="str">
        <f t="shared" si="842"/>
        <v>事業用資産</v>
      </c>
      <c r="H2460" s="7" t="str">
        <f t="shared" si="840"/>
        <v>棚卸以外</v>
      </c>
      <c r="I2460" s="7">
        <v>5</v>
      </c>
      <c r="J2460" s="7" t="str">
        <f>"１８号棟増築分"</f>
        <v>１８号棟増築分</v>
      </c>
      <c r="K2460" s="7" t="str">
        <f t="shared" si="841"/>
        <v>鉄筋コンクリート造</v>
      </c>
      <c r="L2460" s="7" t="str">
        <f>"H04.11.01"</f>
        <v>H04.11.01</v>
      </c>
      <c r="M2460" s="7">
        <v>833.85</v>
      </c>
      <c r="N2460" s="7">
        <v>144843000</v>
      </c>
      <c r="O2460" s="7">
        <v>93480296</v>
      </c>
      <c r="P2460" s="7">
        <v>0</v>
      </c>
      <c r="Q2460" s="7" t="str">
        <f t="shared" si="849"/>
        <v>都市整備部</v>
      </c>
      <c r="R2460" s="7" t="str">
        <f t="shared" si="846"/>
        <v>住宅建築局住宅経営室</v>
      </c>
    </row>
    <row r="2461" spans="1:18" s="1" customFormat="1" x14ac:dyDescent="0.45">
      <c r="A2461" s="7" t="str">
        <f t="shared" si="843"/>
        <v>09940003239</v>
      </c>
      <c r="B2461" s="7" t="str">
        <f t="shared" si="844"/>
        <v>金岡東第６</v>
      </c>
      <c r="C2461" s="7" t="str">
        <f t="shared" si="847"/>
        <v>行政財産</v>
      </c>
      <c r="D2461" s="7" t="str">
        <f t="shared" si="848"/>
        <v>公営住宅</v>
      </c>
      <c r="E2461" s="7" t="str">
        <f t="shared" si="845"/>
        <v>大阪府堺市　北区新金岡町２丁</v>
      </c>
      <c r="F2461" s="7"/>
      <c r="G2461" s="7" t="str">
        <f t="shared" si="842"/>
        <v>事業用資産</v>
      </c>
      <c r="H2461" s="7" t="str">
        <f t="shared" si="840"/>
        <v>棚卸以外</v>
      </c>
      <c r="I2461" s="7">
        <v>6</v>
      </c>
      <c r="J2461" s="7" t="str">
        <f>"１２号棟増築分"</f>
        <v>１２号棟増築分</v>
      </c>
      <c r="K2461" s="7" t="str">
        <f t="shared" si="841"/>
        <v>鉄筋コンクリート造</v>
      </c>
      <c r="L2461" s="7" t="str">
        <f>"H05.12.21"</f>
        <v>H05.12.21</v>
      </c>
      <c r="M2461" s="7">
        <v>740.08</v>
      </c>
      <c r="N2461" s="7">
        <v>131238000</v>
      </c>
      <c r="O2461" s="7">
        <v>89816916</v>
      </c>
      <c r="P2461" s="7">
        <v>0</v>
      </c>
      <c r="Q2461" s="7" t="str">
        <f t="shared" si="849"/>
        <v>都市整備部</v>
      </c>
      <c r="R2461" s="7" t="str">
        <f t="shared" si="846"/>
        <v>住宅建築局住宅経営室</v>
      </c>
    </row>
    <row r="2462" spans="1:18" s="1" customFormat="1" x14ac:dyDescent="0.45">
      <c r="A2462" s="7" t="str">
        <f t="shared" si="843"/>
        <v>09940003239</v>
      </c>
      <c r="B2462" s="7" t="str">
        <f t="shared" si="844"/>
        <v>金岡東第６</v>
      </c>
      <c r="C2462" s="7" t="str">
        <f t="shared" si="847"/>
        <v>行政財産</v>
      </c>
      <c r="D2462" s="7" t="str">
        <f t="shared" si="848"/>
        <v>公営住宅</v>
      </c>
      <c r="E2462" s="7" t="str">
        <f t="shared" si="845"/>
        <v>大阪府堺市　北区新金岡町２丁</v>
      </c>
      <c r="F2462" s="7"/>
      <c r="G2462" s="7" t="str">
        <f t="shared" si="842"/>
        <v>事業用資産</v>
      </c>
      <c r="H2462" s="7" t="str">
        <f t="shared" si="840"/>
        <v>棚卸以外</v>
      </c>
      <c r="I2462" s="7">
        <v>7</v>
      </c>
      <c r="J2462" s="7" t="str">
        <f>"１３号棟増築分"</f>
        <v>１３号棟増築分</v>
      </c>
      <c r="K2462" s="7" t="str">
        <f t="shared" si="841"/>
        <v>鉄筋コンクリート造</v>
      </c>
      <c r="L2462" s="7" t="str">
        <f>"H05.12.21"</f>
        <v>H05.12.21</v>
      </c>
      <c r="M2462" s="7">
        <v>605.1</v>
      </c>
      <c r="N2462" s="7">
        <v>104605000</v>
      </c>
      <c r="O2462" s="7">
        <v>65099970</v>
      </c>
      <c r="P2462" s="7">
        <v>0</v>
      </c>
      <c r="Q2462" s="7" t="str">
        <f t="shared" si="849"/>
        <v>都市整備部</v>
      </c>
      <c r="R2462" s="7" t="str">
        <f t="shared" si="846"/>
        <v>住宅建築局住宅経営室</v>
      </c>
    </row>
    <row r="2463" spans="1:18" s="1" customFormat="1" x14ac:dyDescent="0.45">
      <c r="A2463" s="7" t="str">
        <f t="shared" si="843"/>
        <v>09940003239</v>
      </c>
      <c r="B2463" s="7" t="str">
        <f t="shared" si="844"/>
        <v>金岡東第６</v>
      </c>
      <c r="C2463" s="7" t="str">
        <f t="shared" si="847"/>
        <v>行政財産</v>
      </c>
      <c r="D2463" s="7" t="str">
        <f t="shared" si="848"/>
        <v>公営住宅</v>
      </c>
      <c r="E2463" s="7" t="str">
        <f t="shared" si="845"/>
        <v>大阪府堺市　北区新金岡町２丁</v>
      </c>
      <c r="F2463" s="7"/>
      <c r="G2463" s="7" t="str">
        <f t="shared" si="842"/>
        <v>事業用資産</v>
      </c>
      <c r="H2463" s="7" t="str">
        <f t="shared" si="840"/>
        <v>棚卸以外</v>
      </c>
      <c r="I2463" s="7">
        <v>8</v>
      </c>
      <c r="J2463" s="7" t="str">
        <f>"５号棟増築分"</f>
        <v>５号棟増築分</v>
      </c>
      <c r="K2463" s="7" t="str">
        <f t="shared" si="841"/>
        <v>鉄筋コンクリート造</v>
      </c>
      <c r="L2463" s="7" t="str">
        <f>"H05.10.28"</f>
        <v>H05.10.28</v>
      </c>
      <c r="M2463" s="7">
        <v>442.8</v>
      </c>
      <c r="N2463" s="7">
        <v>95180000</v>
      </c>
      <c r="O2463" s="7">
        <v>59571927</v>
      </c>
      <c r="P2463" s="7">
        <v>0</v>
      </c>
      <c r="Q2463" s="7" t="str">
        <f t="shared" si="849"/>
        <v>都市整備部</v>
      </c>
      <c r="R2463" s="7" t="str">
        <f t="shared" si="846"/>
        <v>住宅建築局住宅経営室</v>
      </c>
    </row>
    <row r="2464" spans="1:18" s="1" customFormat="1" x14ac:dyDescent="0.45">
      <c r="A2464" s="7" t="str">
        <f t="shared" si="843"/>
        <v>09940003239</v>
      </c>
      <c r="B2464" s="7" t="str">
        <f t="shared" si="844"/>
        <v>金岡東第６</v>
      </c>
      <c r="C2464" s="7" t="str">
        <f t="shared" si="847"/>
        <v>行政財産</v>
      </c>
      <c r="D2464" s="7" t="str">
        <f t="shared" si="848"/>
        <v>公営住宅</v>
      </c>
      <c r="E2464" s="7" t="str">
        <f t="shared" si="845"/>
        <v>大阪府堺市　北区新金岡町２丁</v>
      </c>
      <c r="F2464" s="7"/>
      <c r="G2464" s="7" t="str">
        <f t="shared" si="842"/>
        <v>事業用資産</v>
      </c>
      <c r="H2464" s="7" t="str">
        <f t="shared" si="840"/>
        <v>棚卸以外</v>
      </c>
      <c r="I2464" s="7">
        <v>9</v>
      </c>
      <c r="J2464" s="7" t="str">
        <f>"６号棟増築分"</f>
        <v>６号棟増築分</v>
      </c>
      <c r="K2464" s="7" t="str">
        <f t="shared" si="841"/>
        <v>鉄筋コンクリート造</v>
      </c>
      <c r="L2464" s="7" t="str">
        <f>"H05.10.28"</f>
        <v>H05.10.28</v>
      </c>
      <c r="M2464" s="7">
        <v>442.8</v>
      </c>
      <c r="N2464" s="7">
        <v>95229000</v>
      </c>
      <c r="O2464" s="7">
        <v>59602638</v>
      </c>
      <c r="P2464" s="7">
        <v>0</v>
      </c>
      <c r="Q2464" s="7" t="str">
        <f t="shared" si="849"/>
        <v>都市整備部</v>
      </c>
      <c r="R2464" s="7" t="str">
        <f t="shared" si="846"/>
        <v>住宅建築局住宅経営室</v>
      </c>
    </row>
    <row r="2465" spans="1:18" s="1" customFormat="1" x14ac:dyDescent="0.45">
      <c r="A2465" s="7" t="str">
        <f t="shared" si="843"/>
        <v>09940003239</v>
      </c>
      <c r="B2465" s="7" t="str">
        <f t="shared" si="844"/>
        <v>金岡東第６</v>
      </c>
      <c r="C2465" s="7" t="str">
        <f t="shared" si="847"/>
        <v>行政財産</v>
      </c>
      <c r="D2465" s="7" t="str">
        <f t="shared" si="848"/>
        <v>公営住宅</v>
      </c>
      <c r="E2465" s="7" t="str">
        <f t="shared" si="845"/>
        <v>大阪府堺市　北区新金岡町２丁</v>
      </c>
      <c r="F2465" s="7"/>
      <c r="G2465" s="7" t="str">
        <f t="shared" si="842"/>
        <v>事業用資産</v>
      </c>
      <c r="H2465" s="7" t="str">
        <f t="shared" si="840"/>
        <v>棚卸以外</v>
      </c>
      <c r="I2465" s="7">
        <v>10</v>
      </c>
      <c r="J2465" s="7" t="str">
        <f>"７号棟増築分"</f>
        <v>７号棟増築分</v>
      </c>
      <c r="K2465" s="7" t="str">
        <f t="shared" si="841"/>
        <v>鉄筋コンクリート造</v>
      </c>
      <c r="L2465" s="7" t="str">
        <f>"H05.06.22"</f>
        <v>H05.06.22</v>
      </c>
      <c r="M2465" s="7">
        <v>523.04999999999995</v>
      </c>
      <c r="N2465" s="7">
        <v>128037000</v>
      </c>
      <c r="O2465" s="7">
        <v>92913759</v>
      </c>
      <c r="P2465" s="7">
        <v>0</v>
      </c>
      <c r="Q2465" s="7" t="str">
        <f t="shared" si="849"/>
        <v>都市整備部</v>
      </c>
      <c r="R2465" s="7" t="str">
        <f t="shared" si="846"/>
        <v>住宅建築局住宅経営室</v>
      </c>
    </row>
    <row r="2466" spans="1:18" s="1" customFormat="1" x14ac:dyDescent="0.45">
      <c r="A2466" s="7" t="str">
        <f t="shared" si="843"/>
        <v>09940003239</v>
      </c>
      <c r="B2466" s="7" t="str">
        <f t="shared" si="844"/>
        <v>金岡東第６</v>
      </c>
      <c r="C2466" s="7" t="str">
        <f t="shared" si="847"/>
        <v>行政財産</v>
      </c>
      <c r="D2466" s="7" t="str">
        <f t="shared" si="848"/>
        <v>公営住宅</v>
      </c>
      <c r="E2466" s="7" t="str">
        <f t="shared" si="845"/>
        <v>大阪府堺市　北区新金岡町２丁</v>
      </c>
      <c r="F2466" s="7"/>
      <c r="G2466" s="7" t="str">
        <f t="shared" si="842"/>
        <v>事業用資産</v>
      </c>
      <c r="H2466" s="7" t="str">
        <f t="shared" si="840"/>
        <v>棚卸以外</v>
      </c>
      <c r="I2466" s="7">
        <v>11</v>
      </c>
      <c r="J2466" s="7" t="str">
        <f>"８号棟増築分"</f>
        <v>８号棟増築分</v>
      </c>
      <c r="K2466" s="7" t="str">
        <f t="shared" si="841"/>
        <v>鉄筋コンクリート造</v>
      </c>
      <c r="L2466" s="7" t="str">
        <f>"H05.06.22"</f>
        <v>H05.06.22</v>
      </c>
      <c r="M2466" s="7">
        <v>295.02</v>
      </c>
      <c r="N2466" s="7">
        <v>64265000</v>
      </c>
      <c r="O2466" s="7">
        <v>40678722</v>
      </c>
      <c r="P2466" s="7">
        <v>0</v>
      </c>
      <c r="Q2466" s="7" t="str">
        <f t="shared" si="849"/>
        <v>都市整備部</v>
      </c>
      <c r="R2466" s="7" t="str">
        <f t="shared" si="846"/>
        <v>住宅建築局住宅経営室</v>
      </c>
    </row>
    <row r="2467" spans="1:18" s="1" customFormat="1" x14ac:dyDescent="0.45">
      <c r="A2467" s="7" t="str">
        <f t="shared" si="843"/>
        <v>09940003239</v>
      </c>
      <c r="B2467" s="7" t="str">
        <f t="shared" si="844"/>
        <v>金岡東第６</v>
      </c>
      <c r="C2467" s="7" t="str">
        <f t="shared" si="847"/>
        <v>行政財産</v>
      </c>
      <c r="D2467" s="7" t="str">
        <f t="shared" si="848"/>
        <v>公営住宅</v>
      </c>
      <c r="E2467" s="7" t="str">
        <f t="shared" si="845"/>
        <v>大阪府堺市　北区新金岡町２丁</v>
      </c>
      <c r="F2467" s="7"/>
      <c r="G2467" s="7" t="str">
        <f t="shared" si="842"/>
        <v>事業用資産</v>
      </c>
      <c r="H2467" s="7" t="str">
        <f t="shared" si="840"/>
        <v>棚卸以外</v>
      </c>
      <c r="I2467" s="7">
        <v>12</v>
      </c>
      <c r="J2467" s="7" t="str">
        <f>"９号棟増築分"</f>
        <v>９号棟増築分</v>
      </c>
      <c r="K2467" s="7" t="str">
        <f t="shared" si="841"/>
        <v>鉄筋コンクリート造</v>
      </c>
      <c r="L2467" s="7" t="str">
        <f>"H05.08.27"</f>
        <v>H05.08.27</v>
      </c>
      <c r="M2467" s="7">
        <v>442.53</v>
      </c>
      <c r="N2467" s="7">
        <v>93206000</v>
      </c>
      <c r="O2467" s="7">
        <v>58666945</v>
      </c>
      <c r="P2467" s="7">
        <v>0</v>
      </c>
      <c r="Q2467" s="7" t="str">
        <f t="shared" si="849"/>
        <v>都市整備部</v>
      </c>
      <c r="R2467" s="7" t="str">
        <f t="shared" si="846"/>
        <v>住宅建築局住宅経営室</v>
      </c>
    </row>
    <row r="2468" spans="1:18" s="1" customFormat="1" x14ac:dyDescent="0.45">
      <c r="A2468" s="7" t="str">
        <f t="shared" si="843"/>
        <v>09940003239</v>
      </c>
      <c r="B2468" s="7" t="str">
        <f t="shared" si="844"/>
        <v>金岡東第６</v>
      </c>
      <c r="C2468" s="7" t="str">
        <f t="shared" si="847"/>
        <v>行政財産</v>
      </c>
      <c r="D2468" s="7" t="str">
        <f t="shared" si="848"/>
        <v>公営住宅</v>
      </c>
      <c r="E2468" s="7" t="str">
        <f t="shared" si="845"/>
        <v>大阪府堺市　北区新金岡町２丁</v>
      </c>
      <c r="F2468" s="7"/>
      <c r="G2468" s="7" t="str">
        <f t="shared" si="842"/>
        <v>事業用資産</v>
      </c>
      <c r="H2468" s="7" t="str">
        <f t="shared" si="840"/>
        <v>棚卸以外</v>
      </c>
      <c r="I2468" s="7">
        <v>13</v>
      </c>
      <c r="J2468" s="7" t="str">
        <f>"１０号棟増築分"</f>
        <v>１０号棟増築分</v>
      </c>
      <c r="K2468" s="7" t="str">
        <f t="shared" si="841"/>
        <v>鉄筋コンクリート造</v>
      </c>
      <c r="L2468" s="7" t="str">
        <f>"H05.08.27"</f>
        <v>H05.08.27</v>
      </c>
      <c r="M2468" s="7">
        <v>442.53</v>
      </c>
      <c r="N2468" s="7">
        <v>93175000</v>
      </c>
      <c r="O2468" s="7">
        <v>58647420</v>
      </c>
      <c r="P2468" s="7">
        <v>0</v>
      </c>
      <c r="Q2468" s="7" t="str">
        <f t="shared" si="849"/>
        <v>都市整備部</v>
      </c>
      <c r="R2468" s="7" t="str">
        <f t="shared" si="846"/>
        <v>住宅建築局住宅経営室</v>
      </c>
    </row>
    <row r="2469" spans="1:18" s="1" customFormat="1" x14ac:dyDescent="0.45">
      <c r="A2469" s="7" t="str">
        <f t="shared" si="843"/>
        <v>09940003239</v>
      </c>
      <c r="B2469" s="7" t="str">
        <f t="shared" si="844"/>
        <v>金岡東第６</v>
      </c>
      <c r="C2469" s="7" t="str">
        <f t="shared" si="847"/>
        <v>行政財産</v>
      </c>
      <c r="D2469" s="7" t="str">
        <f t="shared" si="848"/>
        <v>公営住宅</v>
      </c>
      <c r="E2469" s="7" t="str">
        <f t="shared" si="845"/>
        <v>大阪府堺市　北区新金岡町２丁</v>
      </c>
      <c r="F2469" s="7"/>
      <c r="G2469" s="7" t="str">
        <f t="shared" si="842"/>
        <v>事業用資産</v>
      </c>
      <c r="H2469" s="7" t="str">
        <f t="shared" si="840"/>
        <v>棚卸以外</v>
      </c>
      <c r="I2469" s="7">
        <v>14</v>
      </c>
      <c r="J2469" s="7" t="str">
        <f>"１４号棟増築分"</f>
        <v>１４号棟増築分</v>
      </c>
      <c r="K2469" s="7" t="str">
        <f t="shared" si="841"/>
        <v>鉄筋コンクリート造</v>
      </c>
      <c r="L2469" s="7" t="str">
        <f>"H06.02.24"</f>
        <v>H06.02.24</v>
      </c>
      <c r="M2469" s="7">
        <v>698.4</v>
      </c>
      <c r="N2469" s="7">
        <v>112935000</v>
      </c>
      <c r="O2469" s="7">
        <v>69883760</v>
      </c>
      <c r="P2469" s="7">
        <v>0</v>
      </c>
      <c r="Q2469" s="7" t="str">
        <f t="shared" si="849"/>
        <v>都市整備部</v>
      </c>
      <c r="R2469" s="7" t="str">
        <f t="shared" si="846"/>
        <v>住宅建築局住宅経営室</v>
      </c>
    </row>
    <row r="2470" spans="1:18" s="1" customFormat="1" x14ac:dyDescent="0.45">
      <c r="A2470" s="7" t="str">
        <f t="shared" si="843"/>
        <v>09940003239</v>
      </c>
      <c r="B2470" s="7" t="str">
        <f t="shared" si="844"/>
        <v>金岡東第６</v>
      </c>
      <c r="C2470" s="7" t="str">
        <f t="shared" si="847"/>
        <v>行政財産</v>
      </c>
      <c r="D2470" s="7" t="str">
        <f t="shared" si="848"/>
        <v>公営住宅</v>
      </c>
      <c r="E2470" s="7" t="str">
        <f t="shared" si="845"/>
        <v>大阪府堺市　北区新金岡町２丁</v>
      </c>
      <c r="F2470" s="7"/>
      <c r="G2470" s="7" t="str">
        <f t="shared" si="842"/>
        <v>事業用資産</v>
      </c>
      <c r="H2470" s="7" t="str">
        <f t="shared" si="840"/>
        <v>棚卸以外</v>
      </c>
      <c r="I2470" s="7">
        <v>15</v>
      </c>
      <c r="J2470" s="7" t="str">
        <f>"１５号棟増築分"</f>
        <v>１５号棟増築分</v>
      </c>
      <c r="K2470" s="7" t="str">
        <f t="shared" si="841"/>
        <v>鉄筋コンクリート造</v>
      </c>
      <c r="L2470" s="7" t="str">
        <f>"H06.02.24"</f>
        <v>H06.02.24</v>
      </c>
      <c r="M2470" s="7">
        <v>534.20000000000005</v>
      </c>
      <c r="N2470" s="7">
        <v>102645000</v>
      </c>
      <c r="O2470" s="7">
        <v>63516255</v>
      </c>
      <c r="P2470" s="7">
        <v>0</v>
      </c>
      <c r="Q2470" s="7" t="str">
        <f t="shared" si="849"/>
        <v>都市整備部</v>
      </c>
      <c r="R2470" s="7" t="str">
        <f t="shared" si="846"/>
        <v>住宅建築局住宅経営室</v>
      </c>
    </row>
    <row r="2471" spans="1:18" s="1" customFormat="1" x14ac:dyDescent="0.45">
      <c r="A2471" s="7" t="str">
        <f t="shared" si="843"/>
        <v>09940003239</v>
      </c>
      <c r="B2471" s="7" t="str">
        <f t="shared" si="844"/>
        <v>金岡東第６</v>
      </c>
      <c r="C2471" s="7" t="str">
        <f t="shared" si="847"/>
        <v>行政財産</v>
      </c>
      <c r="D2471" s="7" t="str">
        <f t="shared" si="848"/>
        <v>公営住宅</v>
      </c>
      <c r="E2471" s="7" t="str">
        <f t="shared" si="845"/>
        <v>大阪府堺市　北区新金岡町２丁</v>
      </c>
      <c r="F2471" s="7"/>
      <c r="G2471" s="7" t="str">
        <f t="shared" si="842"/>
        <v>事業用資産</v>
      </c>
      <c r="H2471" s="7" t="str">
        <f t="shared" si="840"/>
        <v>棚卸以外</v>
      </c>
      <c r="I2471" s="7">
        <v>16</v>
      </c>
      <c r="J2471" s="7" t="str">
        <f>"１６号棟増築分"</f>
        <v>１６号棟増築分</v>
      </c>
      <c r="K2471" s="7" t="str">
        <f t="shared" si="841"/>
        <v>鉄筋コンクリート造</v>
      </c>
      <c r="L2471" s="7" t="str">
        <f>"H06.02.24"</f>
        <v>H06.02.24</v>
      </c>
      <c r="M2471" s="7">
        <v>698.4</v>
      </c>
      <c r="N2471" s="7">
        <v>112951000</v>
      </c>
      <c r="O2471" s="7">
        <v>69893532</v>
      </c>
      <c r="P2471" s="7">
        <v>0</v>
      </c>
      <c r="Q2471" s="7" t="str">
        <f t="shared" si="849"/>
        <v>都市整備部</v>
      </c>
      <c r="R2471" s="7" t="str">
        <f t="shared" si="846"/>
        <v>住宅建築局住宅経営室</v>
      </c>
    </row>
    <row r="2472" spans="1:18" s="1" customFormat="1" x14ac:dyDescent="0.45">
      <c r="A2472" s="7" t="str">
        <f>"09940003240"</f>
        <v>09940003240</v>
      </c>
      <c r="B2472" s="7" t="str">
        <f>"深井沢町"</f>
        <v>深井沢町</v>
      </c>
      <c r="C2472" s="7" t="str">
        <f t="shared" si="847"/>
        <v>行政財産</v>
      </c>
      <c r="D2472" s="7" t="str">
        <f t="shared" si="848"/>
        <v>公営住宅</v>
      </c>
      <c r="E2472" s="7" t="str">
        <f>"大阪府堺市　中区深井沢町"</f>
        <v>大阪府堺市　中区深井沢町</v>
      </c>
      <c r="F2472" s="7"/>
      <c r="G2472" s="7" t="str">
        <f t="shared" si="842"/>
        <v>事業用資産</v>
      </c>
      <c r="H2472" s="7" t="str">
        <f t="shared" si="840"/>
        <v>棚卸以外</v>
      </c>
      <c r="I2472" s="7">
        <v>1</v>
      </c>
      <c r="J2472" s="7" t="str">
        <f>"２・５・６・号棟"</f>
        <v>２・５・６・号棟</v>
      </c>
      <c r="K2472" s="7" t="str">
        <f t="shared" si="841"/>
        <v>鉄筋コンクリート造</v>
      </c>
      <c r="L2472" s="7" t="str">
        <f>"S46.07.06"</f>
        <v>S46.07.06</v>
      </c>
      <c r="M2472" s="7">
        <v>5866.15</v>
      </c>
      <c r="N2472" s="7">
        <v>421763218</v>
      </c>
      <c r="O2472" s="7">
        <v>308230481</v>
      </c>
      <c r="P2472" s="7">
        <v>0</v>
      </c>
      <c r="Q2472" s="7" t="str">
        <f t="shared" si="849"/>
        <v>都市整備部</v>
      </c>
      <c r="R2472" s="7" t="str">
        <f t="shared" si="846"/>
        <v>住宅建築局住宅経営室</v>
      </c>
    </row>
    <row r="2473" spans="1:18" s="1" customFormat="1" x14ac:dyDescent="0.45">
      <c r="A2473" s="7" t="str">
        <f>"09940003240"</f>
        <v>09940003240</v>
      </c>
      <c r="B2473" s="7" t="str">
        <f>"深井沢町"</f>
        <v>深井沢町</v>
      </c>
      <c r="C2473" s="7" t="str">
        <f t="shared" si="847"/>
        <v>行政財産</v>
      </c>
      <c r="D2473" s="7" t="str">
        <f t="shared" si="848"/>
        <v>公営住宅</v>
      </c>
      <c r="E2473" s="7" t="str">
        <f>"大阪府堺市　中区深井沢町"</f>
        <v>大阪府堺市　中区深井沢町</v>
      </c>
      <c r="F2473" s="7"/>
      <c r="G2473" s="7" t="str">
        <f t="shared" si="842"/>
        <v>事業用資産</v>
      </c>
      <c r="H2473" s="7" t="str">
        <f t="shared" si="840"/>
        <v>棚卸以外</v>
      </c>
      <c r="I2473" s="7">
        <v>2</v>
      </c>
      <c r="J2473" s="7" t="str">
        <f>"３・４号棟"</f>
        <v>３・４号棟</v>
      </c>
      <c r="K2473" s="7" t="str">
        <f t="shared" si="841"/>
        <v>鉄筋コンクリート造</v>
      </c>
      <c r="L2473" s="7" t="str">
        <f>"S46.07.06"</f>
        <v>S46.07.06</v>
      </c>
      <c r="M2473" s="7">
        <v>3038</v>
      </c>
      <c r="N2473" s="7">
        <v>120703310</v>
      </c>
      <c r="O2473" s="7">
        <v>120703309</v>
      </c>
      <c r="P2473" s="7">
        <v>0</v>
      </c>
      <c r="Q2473" s="7" t="str">
        <f t="shared" si="849"/>
        <v>都市整備部</v>
      </c>
      <c r="R2473" s="7" t="str">
        <f t="shared" si="846"/>
        <v>住宅建築局住宅経営室</v>
      </c>
    </row>
    <row r="2474" spans="1:18" s="1" customFormat="1" x14ac:dyDescent="0.45">
      <c r="A2474" s="7" t="str">
        <f>"09940003240"</f>
        <v>09940003240</v>
      </c>
      <c r="B2474" s="7" t="str">
        <f>"深井沢町"</f>
        <v>深井沢町</v>
      </c>
      <c r="C2474" s="7" t="str">
        <f t="shared" si="847"/>
        <v>行政財産</v>
      </c>
      <c r="D2474" s="7" t="str">
        <f t="shared" si="848"/>
        <v>公営住宅</v>
      </c>
      <c r="E2474" s="7" t="str">
        <f>"大阪府堺市　中区深井沢町"</f>
        <v>大阪府堺市　中区深井沢町</v>
      </c>
      <c r="F2474" s="7"/>
      <c r="G2474" s="7" t="str">
        <f t="shared" si="842"/>
        <v>事業用資産</v>
      </c>
      <c r="H2474" s="7" t="str">
        <f t="shared" si="840"/>
        <v>棚卸以外</v>
      </c>
      <c r="I2474" s="7">
        <v>3</v>
      </c>
      <c r="J2474" s="7" t="str">
        <f>"集会所"</f>
        <v>集会所</v>
      </c>
      <c r="K2474" s="7" t="str">
        <f t="shared" si="841"/>
        <v>鉄筋コンクリート造</v>
      </c>
      <c r="L2474" s="7" t="str">
        <f>"S46.07.06"</f>
        <v>S46.07.06</v>
      </c>
      <c r="M2474" s="7">
        <v>66.77</v>
      </c>
      <c r="N2474" s="7">
        <v>3276832</v>
      </c>
      <c r="O2474" s="7">
        <v>3276831</v>
      </c>
      <c r="P2474" s="7">
        <v>0</v>
      </c>
      <c r="Q2474" s="7" t="str">
        <f t="shared" si="849"/>
        <v>都市整備部</v>
      </c>
      <c r="R2474" s="7" t="str">
        <f t="shared" si="846"/>
        <v>住宅建築局住宅経営室</v>
      </c>
    </row>
    <row r="2475" spans="1:18" s="1" customFormat="1" x14ac:dyDescent="0.45">
      <c r="A2475" s="7" t="str">
        <f>"09940003240"</f>
        <v>09940003240</v>
      </c>
      <c r="B2475" s="7" t="str">
        <f>"深井沢町"</f>
        <v>深井沢町</v>
      </c>
      <c r="C2475" s="7" t="str">
        <f t="shared" si="847"/>
        <v>行政財産</v>
      </c>
      <c r="D2475" s="7" t="str">
        <f t="shared" si="848"/>
        <v>公営住宅</v>
      </c>
      <c r="E2475" s="7" t="str">
        <f>"大阪府堺市　中区深井沢町"</f>
        <v>大阪府堺市　中区深井沢町</v>
      </c>
      <c r="F2475" s="7"/>
      <c r="G2475" s="7" t="str">
        <f t="shared" si="842"/>
        <v>事業用資産</v>
      </c>
      <c r="H2475" s="7" t="str">
        <f t="shared" si="840"/>
        <v>棚卸以外</v>
      </c>
      <c r="I2475" s="7">
        <v>4</v>
      </c>
      <c r="J2475" s="7" t="str">
        <f>"汚水処理場"</f>
        <v>汚水処理場</v>
      </c>
      <c r="K2475" s="7" t="str">
        <f t="shared" si="841"/>
        <v>鉄筋コンクリート造</v>
      </c>
      <c r="L2475" s="7" t="str">
        <f>"S46.07.06"</f>
        <v>S46.07.06</v>
      </c>
      <c r="M2475" s="7">
        <v>70</v>
      </c>
      <c r="N2475" s="7">
        <v>37583000</v>
      </c>
      <c r="O2475" s="7">
        <v>37582999</v>
      </c>
      <c r="P2475" s="7">
        <v>0</v>
      </c>
      <c r="Q2475" s="7" t="str">
        <f t="shared" si="849"/>
        <v>都市整備部</v>
      </c>
      <c r="R2475" s="7" t="str">
        <f t="shared" si="846"/>
        <v>住宅建築局住宅経営室</v>
      </c>
    </row>
    <row r="2476" spans="1:18" s="1" customFormat="1" x14ac:dyDescent="0.45">
      <c r="A2476" s="7" t="str">
        <f>"09940003241"</f>
        <v>09940003241</v>
      </c>
      <c r="B2476" s="7" t="str">
        <f>"百舌鳥梅町"</f>
        <v>百舌鳥梅町</v>
      </c>
      <c r="C2476" s="7" t="str">
        <f t="shared" si="847"/>
        <v>行政財産</v>
      </c>
      <c r="D2476" s="7" t="str">
        <f t="shared" si="848"/>
        <v>公営住宅</v>
      </c>
      <c r="E2476" s="7" t="str">
        <f>"大阪府堺市　北区百舌鳥梅町３丁"</f>
        <v>大阪府堺市　北区百舌鳥梅町３丁</v>
      </c>
      <c r="F2476" s="7"/>
      <c r="G2476" s="7" t="str">
        <f t="shared" si="842"/>
        <v>事業用資産</v>
      </c>
      <c r="H2476" s="7" t="str">
        <f t="shared" si="840"/>
        <v>棚卸以外</v>
      </c>
      <c r="I2476" s="7">
        <v>1</v>
      </c>
      <c r="J2476" s="7" t="str">
        <f>"１～４号棟"</f>
        <v>１～４号棟</v>
      </c>
      <c r="K2476" s="7" t="str">
        <f t="shared" si="841"/>
        <v>鉄筋コンクリート造</v>
      </c>
      <c r="L2476" s="7" t="str">
        <f>"S47.09.30"</f>
        <v>S47.09.30</v>
      </c>
      <c r="M2476" s="7">
        <v>34774.720000000001</v>
      </c>
      <c r="N2476" s="7">
        <v>3706965190</v>
      </c>
      <c r="O2476" s="7">
        <v>2072592957</v>
      </c>
      <c r="P2476" s="7">
        <v>0</v>
      </c>
      <c r="Q2476" s="7" t="str">
        <f t="shared" si="849"/>
        <v>都市整備部</v>
      </c>
      <c r="R2476" s="7" t="str">
        <f t="shared" si="846"/>
        <v>住宅建築局住宅経営室</v>
      </c>
    </row>
    <row r="2477" spans="1:18" s="1" customFormat="1" x14ac:dyDescent="0.45">
      <c r="A2477" s="7" t="str">
        <f>"09940003241"</f>
        <v>09940003241</v>
      </c>
      <c r="B2477" s="7" t="str">
        <f>"百舌鳥梅町"</f>
        <v>百舌鳥梅町</v>
      </c>
      <c r="C2477" s="7" t="str">
        <f t="shared" si="847"/>
        <v>行政財産</v>
      </c>
      <c r="D2477" s="7" t="str">
        <f t="shared" si="848"/>
        <v>公営住宅</v>
      </c>
      <c r="E2477" s="7" t="str">
        <f>"大阪府堺市　北区百舌鳥梅町３丁"</f>
        <v>大阪府堺市　北区百舌鳥梅町３丁</v>
      </c>
      <c r="F2477" s="7"/>
      <c r="G2477" s="7" t="str">
        <f t="shared" si="842"/>
        <v>事業用資産</v>
      </c>
      <c r="H2477" s="7" t="str">
        <f t="shared" si="840"/>
        <v>棚卸以外</v>
      </c>
      <c r="I2477" s="7">
        <v>2</v>
      </c>
      <c r="J2477" s="7" t="str">
        <f>"集会所"</f>
        <v>集会所</v>
      </c>
      <c r="K2477" s="7" t="str">
        <f t="shared" si="841"/>
        <v>鉄筋コンクリート造</v>
      </c>
      <c r="L2477" s="7" t="str">
        <f>"H02.03.09"</f>
        <v>H02.03.09</v>
      </c>
      <c r="M2477" s="7">
        <v>63.94</v>
      </c>
      <c r="N2477" s="7">
        <v>17171150</v>
      </c>
      <c r="O2477" s="7">
        <v>12006956</v>
      </c>
      <c r="P2477" s="7">
        <v>0</v>
      </c>
      <c r="Q2477" s="7" t="str">
        <f t="shared" si="849"/>
        <v>都市整備部</v>
      </c>
      <c r="R2477" s="7" t="str">
        <f t="shared" si="846"/>
        <v>住宅建築局住宅経営室</v>
      </c>
    </row>
    <row r="2478" spans="1:18" s="1" customFormat="1" x14ac:dyDescent="0.45">
      <c r="A2478" s="7" t="str">
        <f>"09940003241"</f>
        <v>09940003241</v>
      </c>
      <c r="B2478" s="7" t="str">
        <f>"百舌鳥梅町"</f>
        <v>百舌鳥梅町</v>
      </c>
      <c r="C2478" s="7" t="str">
        <f t="shared" si="847"/>
        <v>行政財産</v>
      </c>
      <c r="D2478" s="7" t="str">
        <f t="shared" si="848"/>
        <v>公営住宅</v>
      </c>
      <c r="E2478" s="7" t="str">
        <f>"大阪府堺市　北区百舌鳥梅町３丁"</f>
        <v>大阪府堺市　北区百舌鳥梅町３丁</v>
      </c>
      <c r="F2478" s="7"/>
      <c r="G2478" s="7" t="str">
        <f t="shared" si="842"/>
        <v>事業用資産</v>
      </c>
      <c r="H2478" s="7" t="str">
        <f t="shared" si="840"/>
        <v>棚卸以外</v>
      </c>
      <c r="I2478" s="7">
        <v>3</v>
      </c>
      <c r="J2478" s="7" t="str">
        <f>"受水槽"</f>
        <v>受水槽</v>
      </c>
      <c r="K2478" s="7" t="str">
        <f t="shared" si="841"/>
        <v>鉄筋コンクリート造</v>
      </c>
      <c r="L2478" s="7" t="str">
        <f>"S47.09.30"</f>
        <v>S47.09.30</v>
      </c>
      <c r="M2478" s="7">
        <v>155.04</v>
      </c>
      <c r="N2478" s="7">
        <v>268520000</v>
      </c>
      <c r="O2478" s="7">
        <v>268519999</v>
      </c>
      <c r="P2478" s="7">
        <v>0</v>
      </c>
      <c r="Q2478" s="7" t="str">
        <f t="shared" si="849"/>
        <v>都市整備部</v>
      </c>
      <c r="R2478" s="7" t="str">
        <f t="shared" si="846"/>
        <v>住宅建築局住宅経営室</v>
      </c>
    </row>
    <row r="2479" spans="1:18" s="1" customFormat="1" x14ac:dyDescent="0.45">
      <c r="A2479" s="7" t="str">
        <f>"09940003242"</f>
        <v>09940003242</v>
      </c>
      <c r="B2479" s="7" t="str">
        <f>"堺戎島"</f>
        <v>堺戎島</v>
      </c>
      <c r="C2479" s="7" t="str">
        <f t="shared" si="847"/>
        <v>行政財産</v>
      </c>
      <c r="D2479" s="7" t="str">
        <f t="shared" si="848"/>
        <v>公営住宅</v>
      </c>
      <c r="E2479" s="7" t="str">
        <f>"大阪府堺市　堺区戎島町１丁"</f>
        <v>大阪府堺市　堺区戎島町１丁</v>
      </c>
      <c r="F2479" s="7"/>
      <c r="G2479" s="7" t="str">
        <f t="shared" si="842"/>
        <v>事業用資産</v>
      </c>
      <c r="H2479" s="7" t="str">
        <f t="shared" si="840"/>
        <v>棚卸以外</v>
      </c>
      <c r="I2479" s="7">
        <v>1</v>
      </c>
      <c r="J2479" s="7" t="str">
        <f>"全体"</f>
        <v>全体</v>
      </c>
      <c r="K2479" s="7" t="str">
        <f t="shared" si="841"/>
        <v>鉄筋コンクリート造</v>
      </c>
      <c r="L2479" s="7" t="str">
        <f>"S47.06.07"</f>
        <v>S47.06.07</v>
      </c>
      <c r="M2479" s="7">
        <v>40941.480000000003</v>
      </c>
      <c r="N2479" s="7">
        <v>3551915721</v>
      </c>
      <c r="O2479" s="7">
        <v>1502840500</v>
      </c>
      <c r="P2479" s="7">
        <v>0</v>
      </c>
      <c r="Q2479" s="7" t="str">
        <f t="shared" si="849"/>
        <v>都市整備部</v>
      </c>
      <c r="R2479" s="7" t="str">
        <f t="shared" si="846"/>
        <v>住宅建築局住宅経営室</v>
      </c>
    </row>
    <row r="2480" spans="1:18" s="1" customFormat="1" x14ac:dyDescent="0.45">
      <c r="A2480" s="7" t="str">
        <f>"09940003243"</f>
        <v>09940003243</v>
      </c>
      <c r="B2480" s="7" t="str">
        <f>"堺高松"</f>
        <v>堺高松</v>
      </c>
      <c r="C2480" s="7" t="str">
        <f t="shared" si="847"/>
        <v>行政財産</v>
      </c>
      <c r="D2480" s="7" t="str">
        <f t="shared" si="848"/>
        <v>公営住宅</v>
      </c>
      <c r="E2480" s="7" t="str">
        <f>"大阪府堺市　東区高松"</f>
        <v>大阪府堺市　東区高松</v>
      </c>
      <c r="F2480" s="7"/>
      <c r="G2480" s="7" t="str">
        <f t="shared" si="842"/>
        <v>事業用資産</v>
      </c>
      <c r="H2480" s="7" t="str">
        <f t="shared" si="840"/>
        <v>棚卸以外</v>
      </c>
      <c r="I2480" s="7">
        <v>1</v>
      </c>
      <c r="J2480" s="7" t="str">
        <f>"１～８・１０～１４号棟"</f>
        <v>１～８・１０～１４号棟</v>
      </c>
      <c r="K2480" s="7" t="str">
        <f t="shared" si="841"/>
        <v>鉄筋コンクリート造</v>
      </c>
      <c r="L2480" s="7" t="str">
        <f>"S46.10.26"</f>
        <v>S46.10.26</v>
      </c>
      <c r="M2480" s="7">
        <v>27411.67</v>
      </c>
      <c r="N2480" s="7">
        <v>2049182803</v>
      </c>
      <c r="O2480" s="7">
        <v>1198946475</v>
      </c>
      <c r="P2480" s="7">
        <v>0</v>
      </c>
      <c r="Q2480" s="7" t="str">
        <f t="shared" si="849"/>
        <v>都市整備部</v>
      </c>
      <c r="R2480" s="7" t="str">
        <f t="shared" si="846"/>
        <v>住宅建築局住宅経営室</v>
      </c>
    </row>
    <row r="2481" spans="1:18" s="1" customFormat="1" x14ac:dyDescent="0.45">
      <c r="A2481" s="7" t="str">
        <f>"09940003243"</f>
        <v>09940003243</v>
      </c>
      <c r="B2481" s="7" t="str">
        <f>"堺高松"</f>
        <v>堺高松</v>
      </c>
      <c r="C2481" s="7" t="str">
        <f t="shared" si="847"/>
        <v>行政財産</v>
      </c>
      <c r="D2481" s="7" t="str">
        <f t="shared" si="848"/>
        <v>公営住宅</v>
      </c>
      <c r="E2481" s="7" t="str">
        <f>"大阪府堺市　東区高松"</f>
        <v>大阪府堺市　東区高松</v>
      </c>
      <c r="F2481" s="7"/>
      <c r="G2481" s="7" t="str">
        <f t="shared" si="842"/>
        <v>事業用資産</v>
      </c>
      <c r="H2481" s="7" t="str">
        <f t="shared" si="840"/>
        <v>棚卸以外</v>
      </c>
      <c r="I2481" s="7">
        <v>2</v>
      </c>
      <c r="J2481" s="7" t="str">
        <f>"集会所"</f>
        <v>集会所</v>
      </c>
      <c r="K2481" s="7" t="str">
        <f t="shared" si="841"/>
        <v>鉄筋コンクリート造</v>
      </c>
      <c r="L2481" s="7" t="str">
        <f>"S46.10.26"</f>
        <v>S46.10.26</v>
      </c>
      <c r="M2481" s="7">
        <v>170.36</v>
      </c>
      <c r="N2481" s="7">
        <v>21294909</v>
      </c>
      <c r="O2481" s="7">
        <v>9222467</v>
      </c>
      <c r="P2481" s="7">
        <v>0</v>
      </c>
      <c r="Q2481" s="7" t="str">
        <f t="shared" si="849"/>
        <v>都市整備部</v>
      </c>
      <c r="R2481" s="7" t="str">
        <f t="shared" si="846"/>
        <v>住宅建築局住宅経営室</v>
      </c>
    </row>
    <row r="2482" spans="1:18" s="1" customFormat="1" x14ac:dyDescent="0.45">
      <c r="A2482" s="7" t="str">
        <f>"09940003244"</f>
        <v>09940003244</v>
      </c>
      <c r="B2482" s="7" t="str">
        <f>"深井中町"</f>
        <v>深井中町</v>
      </c>
      <c r="C2482" s="7" t="str">
        <f t="shared" si="847"/>
        <v>行政財産</v>
      </c>
      <c r="D2482" s="7" t="str">
        <f t="shared" si="848"/>
        <v>公営住宅</v>
      </c>
      <c r="E2482" s="7" t="str">
        <f>"大阪府堺市　中区深井中町"</f>
        <v>大阪府堺市　中区深井中町</v>
      </c>
      <c r="F2482" s="7"/>
      <c r="G2482" s="7" t="str">
        <f t="shared" si="842"/>
        <v>事業用資産</v>
      </c>
      <c r="H2482" s="7" t="str">
        <f t="shared" si="840"/>
        <v>棚卸以外</v>
      </c>
      <c r="I2482" s="7">
        <v>1</v>
      </c>
      <c r="J2482" s="7" t="str">
        <f>"１～３号棟"</f>
        <v>１～３号棟</v>
      </c>
      <c r="K2482" s="7" t="str">
        <f t="shared" si="841"/>
        <v>鉄筋コンクリート造</v>
      </c>
      <c r="L2482" s="7" t="str">
        <f>"S47.07.10"</f>
        <v>S47.07.10</v>
      </c>
      <c r="M2482" s="7">
        <v>10841.04</v>
      </c>
      <c r="N2482" s="7">
        <v>1098018446</v>
      </c>
      <c r="O2482" s="7">
        <v>631005401</v>
      </c>
      <c r="P2482" s="7">
        <v>0</v>
      </c>
      <c r="Q2482" s="7" t="str">
        <f t="shared" si="849"/>
        <v>都市整備部</v>
      </c>
      <c r="R2482" s="7" t="str">
        <f t="shared" si="846"/>
        <v>住宅建築局住宅経営室</v>
      </c>
    </row>
    <row r="2483" spans="1:18" s="1" customFormat="1" x14ac:dyDescent="0.45">
      <c r="A2483" s="7" t="str">
        <f>"09940003244"</f>
        <v>09940003244</v>
      </c>
      <c r="B2483" s="7" t="str">
        <f>"深井中町"</f>
        <v>深井中町</v>
      </c>
      <c r="C2483" s="7" t="str">
        <f t="shared" si="847"/>
        <v>行政財産</v>
      </c>
      <c r="D2483" s="7" t="str">
        <f t="shared" si="848"/>
        <v>公営住宅</v>
      </c>
      <c r="E2483" s="7" t="str">
        <f>"大阪府堺市　中区深井中町"</f>
        <v>大阪府堺市　中区深井中町</v>
      </c>
      <c r="F2483" s="7"/>
      <c r="G2483" s="7" t="str">
        <f t="shared" si="842"/>
        <v>事業用資産</v>
      </c>
      <c r="H2483" s="7" t="str">
        <f t="shared" si="840"/>
        <v>棚卸以外</v>
      </c>
      <c r="I2483" s="7">
        <v>2</v>
      </c>
      <c r="J2483" s="7" t="str">
        <f>"受水槽"</f>
        <v>受水槽</v>
      </c>
      <c r="K2483" s="7" t="str">
        <f t="shared" si="841"/>
        <v>鉄筋コンクリート造</v>
      </c>
      <c r="L2483" s="7" t="str">
        <f>"S47.07.10"</f>
        <v>S47.07.10</v>
      </c>
      <c r="M2483" s="7">
        <v>25.59</v>
      </c>
      <c r="N2483" s="7">
        <v>8612000</v>
      </c>
      <c r="O2483" s="7">
        <v>8611999</v>
      </c>
      <c r="P2483" s="7">
        <v>0</v>
      </c>
      <c r="Q2483" s="7" t="str">
        <f t="shared" si="849"/>
        <v>都市整備部</v>
      </c>
      <c r="R2483" s="7" t="str">
        <f t="shared" si="846"/>
        <v>住宅建築局住宅経営室</v>
      </c>
    </row>
    <row r="2484" spans="1:18" s="1" customFormat="1" x14ac:dyDescent="0.45">
      <c r="A2484" s="7" t="str">
        <f>"09940003245"</f>
        <v>09940003245</v>
      </c>
      <c r="B2484" s="7" t="str">
        <f>"金岡南"</f>
        <v>金岡南</v>
      </c>
      <c r="C2484" s="7" t="str">
        <f t="shared" si="847"/>
        <v>行政財産</v>
      </c>
      <c r="D2484" s="7" t="str">
        <f t="shared" si="848"/>
        <v>公営住宅</v>
      </c>
      <c r="E2484" s="7" t="str">
        <f>"大阪府堺市　北区金岡町"</f>
        <v>大阪府堺市　北区金岡町</v>
      </c>
      <c r="F2484" s="7"/>
      <c r="G2484" s="7" t="str">
        <f t="shared" si="842"/>
        <v>事業用資産</v>
      </c>
      <c r="H2484" s="7" t="str">
        <f t="shared" si="840"/>
        <v>棚卸以外</v>
      </c>
      <c r="I2484" s="7">
        <v>1</v>
      </c>
      <c r="J2484" s="7" t="str">
        <f>"１・２号棟"</f>
        <v>１・２号棟</v>
      </c>
      <c r="K2484" s="7" t="str">
        <f t="shared" si="841"/>
        <v>鉄筋コンクリート造</v>
      </c>
      <c r="L2484" s="7" t="str">
        <f>"S48.02.05"</f>
        <v>S48.02.05</v>
      </c>
      <c r="M2484" s="7">
        <v>12872.22</v>
      </c>
      <c r="N2484" s="7">
        <v>1635747230</v>
      </c>
      <c r="O2484" s="7">
        <v>929054515</v>
      </c>
      <c r="P2484" s="7">
        <v>0</v>
      </c>
      <c r="Q2484" s="7" t="str">
        <f t="shared" si="849"/>
        <v>都市整備部</v>
      </c>
      <c r="R2484" s="7" t="str">
        <f t="shared" si="846"/>
        <v>住宅建築局住宅経営室</v>
      </c>
    </row>
    <row r="2485" spans="1:18" s="1" customFormat="1" x14ac:dyDescent="0.45">
      <c r="A2485" s="7" t="str">
        <f>"09940003245"</f>
        <v>09940003245</v>
      </c>
      <c r="B2485" s="7" t="str">
        <f>"金岡南"</f>
        <v>金岡南</v>
      </c>
      <c r="C2485" s="7" t="str">
        <f t="shared" si="847"/>
        <v>行政財産</v>
      </c>
      <c r="D2485" s="7" t="str">
        <f t="shared" si="848"/>
        <v>公営住宅</v>
      </c>
      <c r="E2485" s="7" t="str">
        <f>"大阪府堺市　北区金岡町"</f>
        <v>大阪府堺市　北区金岡町</v>
      </c>
      <c r="F2485" s="7"/>
      <c r="G2485" s="7" t="str">
        <f t="shared" si="842"/>
        <v>事業用資産</v>
      </c>
      <c r="H2485" s="7" t="str">
        <f t="shared" si="840"/>
        <v>棚卸以外</v>
      </c>
      <c r="I2485" s="7">
        <v>2</v>
      </c>
      <c r="J2485" s="7" t="str">
        <f>"受水槽"</f>
        <v>受水槽</v>
      </c>
      <c r="K2485" s="7" t="str">
        <f t="shared" si="841"/>
        <v>鉄筋コンクリート造</v>
      </c>
      <c r="L2485" s="7" t="str">
        <f>"S48.02.05"</f>
        <v>S48.02.05</v>
      </c>
      <c r="M2485" s="7">
        <v>25.59</v>
      </c>
      <c r="N2485" s="7">
        <v>9519000</v>
      </c>
      <c r="O2485" s="7">
        <v>9518999</v>
      </c>
      <c r="P2485" s="7">
        <v>0</v>
      </c>
      <c r="Q2485" s="7" t="str">
        <f t="shared" si="849"/>
        <v>都市整備部</v>
      </c>
      <c r="R2485" s="7" t="str">
        <f t="shared" si="846"/>
        <v>住宅建築局住宅経営室</v>
      </c>
    </row>
    <row r="2486" spans="1:18" s="1" customFormat="1" x14ac:dyDescent="0.45">
      <c r="A2486" s="7" t="str">
        <f>"09940003246"</f>
        <v>09940003246</v>
      </c>
      <c r="B2486" s="7" t="str">
        <f>"堺草部"</f>
        <v>堺草部</v>
      </c>
      <c r="C2486" s="7" t="str">
        <f t="shared" si="847"/>
        <v>行政財産</v>
      </c>
      <c r="D2486" s="7" t="str">
        <f t="shared" si="848"/>
        <v>公営住宅</v>
      </c>
      <c r="E2486" s="7" t="str">
        <f>"大阪府堺市　西区草部"</f>
        <v>大阪府堺市　西区草部</v>
      </c>
      <c r="F2486" s="7"/>
      <c r="G2486" s="7" t="str">
        <f t="shared" si="842"/>
        <v>事業用資産</v>
      </c>
      <c r="H2486" s="7" t="str">
        <f t="shared" si="840"/>
        <v>棚卸以外</v>
      </c>
      <c r="I2486" s="7">
        <v>1</v>
      </c>
      <c r="J2486" s="7" t="str">
        <f>"１～５・７・８・１０～１２号棟"</f>
        <v>１～５・７・８・１０～１２号棟</v>
      </c>
      <c r="K2486" s="7" t="str">
        <f t="shared" si="841"/>
        <v>鉄筋コンクリート造</v>
      </c>
      <c r="L2486" s="7" t="str">
        <f>"S51.03.24"</f>
        <v>S51.03.24</v>
      </c>
      <c r="M2486" s="7">
        <v>14277.2</v>
      </c>
      <c r="N2486" s="7">
        <v>1220782605</v>
      </c>
      <c r="O2486" s="7">
        <v>1166274023</v>
      </c>
      <c r="P2486" s="7">
        <v>0</v>
      </c>
      <c r="Q2486" s="7" t="str">
        <f t="shared" si="849"/>
        <v>都市整備部</v>
      </c>
      <c r="R2486" s="7" t="str">
        <f t="shared" si="846"/>
        <v>住宅建築局住宅経営室</v>
      </c>
    </row>
    <row r="2487" spans="1:18" s="1" customFormat="1" x14ac:dyDescent="0.45">
      <c r="A2487" s="7" t="str">
        <f>"09940003246"</f>
        <v>09940003246</v>
      </c>
      <c r="B2487" s="7" t="str">
        <f>"堺草部"</f>
        <v>堺草部</v>
      </c>
      <c r="C2487" s="7" t="str">
        <f t="shared" si="847"/>
        <v>行政財産</v>
      </c>
      <c r="D2487" s="7" t="str">
        <f t="shared" si="848"/>
        <v>公営住宅</v>
      </c>
      <c r="E2487" s="7" t="str">
        <f>"大阪府堺市　西区草部"</f>
        <v>大阪府堺市　西区草部</v>
      </c>
      <c r="F2487" s="7"/>
      <c r="G2487" s="7" t="str">
        <f t="shared" si="842"/>
        <v>事業用資産</v>
      </c>
      <c r="H2487" s="7" t="str">
        <f t="shared" si="840"/>
        <v>棚卸以外</v>
      </c>
      <c r="I2487" s="7">
        <v>2</v>
      </c>
      <c r="J2487" s="7" t="str">
        <f>"９号棟"</f>
        <v>９号棟</v>
      </c>
      <c r="K2487" s="7" t="str">
        <f t="shared" si="841"/>
        <v>鉄筋コンクリート造</v>
      </c>
      <c r="L2487" s="7" t="str">
        <f>"S51.03.24"</f>
        <v>S51.03.24</v>
      </c>
      <c r="M2487" s="7">
        <v>1061.8</v>
      </c>
      <c r="N2487" s="7">
        <v>96742000</v>
      </c>
      <c r="O2487" s="7">
        <v>96741999</v>
      </c>
      <c r="P2487" s="7">
        <v>0</v>
      </c>
      <c r="Q2487" s="7" t="str">
        <f t="shared" si="849"/>
        <v>都市整備部</v>
      </c>
      <c r="R2487" s="7" t="str">
        <f t="shared" si="846"/>
        <v>住宅建築局住宅経営室</v>
      </c>
    </row>
    <row r="2488" spans="1:18" s="1" customFormat="1" x14ac:dyDescent="0.45">
      <c r="A2488" s="7" t="str">
        <f>"09940003246"</f>
        <v>09940003246</v>
      </c>
      <c r="B2488" s="7" t="str">
        <f>"堺草部"</f>
        <v>堺草部</v>
      </c>
      <c r="C2488" s="7" t="str">
        <f t="shared" si="847"/>
        <v>行政財産</v>
      </c>
      <c r="D2488" s="7" t="str">
        <f t="shared" si="848"/>
        <v>公営住宅</v>
      </c>
      <c r="E2488" s="7" t="str">
        <f>"大阪府堺市　西区草部"</f>
        <v>大阪府堺市　西区草部</v>
      </c>
      <c r="F2488" s="7"/>
      <c r="G2488" s="7" t="str">
        <f t="shared" si="842"/>
        <v>事業用資産</v>
      </c>
      <c r="H2488" s="7" t="str">
        <f t="shared" si="840"/>
        <v>棚卸以外</v>
      </c>
      <c r="I2488" s="7">
        <v>3</v>
      </c>
      <c r="J2488" s="7" t="str">
        <f>"集会所"</f>
        <v>集会所</v>
      </c>
      <c r="K2488" s="7" t="str">
        <f t="shared" si="841"/>
        <v>鉄筋コンクリート造</v>
      </c>
      <c r="L2488" s="7" t="str">
        <f>"S51.03.24"</f>
        <v>S51.03.24</v>
      </c>
      <c r="M2488" s="7">
        <v>97.34</v>
      </c>
      <c r="N2488" s="7">
        <v>8800000</v>
      </c>
      <c r="O2488" s="7">
        <v>8799999</v>
      </c>
      <c r="P2488" s="7">
        <v>0</v>
      </c>
      <c r="Q2488" s="7" t="str">
        <f t="shared" si="849"/>
        <v>都市整備部</v>
      </c>
      <c r="R2488" s="7" t="str">
        <f t="shared" si="846"/>
        <v>住宅建築局住宅経営室</v>
      </c>
    </row>
    <row r="2489" spans="1:18" s="1" customFormat="1" x14ac:dyDescent="0.45">
      <c r="A2489" s="7" t="str">
        <f>"09940003246"</f>
        <v>09940003246</v>
      </c>
      <c r="B2489" s="7" t="str">
        <f>"堺草部"</f>
        <v>堺草部</v>
      </c>
      <c r="C2489" s="7" t="str">
        <f t="shared" si="847"/>
        <v>行政財産</v>
      </c>
      <c r="D2489" s="7" t="str">
        <f t="shared" si="848"/>
        <v>公営住宅</v>
      </c>
      <c r="E2489" s="7" t="str">
        <f>"大阪府堺市　西区草部"</f>
        <v>大阪府堺市　西区草部</v>
      </c>
      <c r="F2489" s="7"/>
      <c r="G2489" s="7" t="str">
        <f t="shared" si="842"/>
        <v>事業用資産</v>
      </c>
      <c r="H2489" s="7" t="str">
        <f t="shared" si="840"/>
        <v>棚卸以外</v>
      </c>
      <c r="I2489" s="7">
        <v>4</v>
      </c>
      <c r="J2489" s="7" t="str">
        <f>"管理棟"</f>
        <v>管理棟</v>
      </c>
      <c r="K2489" s="7" t="str">
        <f t="shared" si="841"/>
        <v>鉄筋コンクリート造</v>
      </c>
      <c r="L2489" s="7" t="str">
        <f>"S51.03.24"</f>
        <v>S51.03.24</v>
      </c>
      <c r="M2489" s="7">
        <v>55</v>
      </c>
      <c r="N2489" s="7">
        <v>5432000</v>
      </c>
      <c r="O2489" s="7">
        <v>5431999</v>
      </c>
      <c r="P2489" s="7">
        <v>0</v>
      </c>
      <c r="Q2489" s="7" t="str">
        <f t="shared" si="849"/>
        <v>都市整備部</v>
      </c>
      <c r="R2489" s="7" t="str">
        <f t="shared" si="846"/>
        <v>住宅建築局住宅経営室</v>
      </c>
    </row>
    <row r="2490" spans="1:18" s="1" customFormat="1" x14ac:dyDescent="0.45">
      <c r="A2490" s="7" t="str">
        <f>"09940003246"</f>
        <v>09940003246</v>
      </c>
      <c r="B2490" s="7" t="str">
        <f>"堺草部"</f>
        <v>堺草部</v>
      </c>
      <c r="C2490" s="7" t="str">
        <f t="shared" si="847"/>
        <v>行政財産</v>
      </c>
      <c r="D2490" s="7" t="str">
        <f t="shared" si="848"/>
        <v>公営住宅</v>
      </c>
      <c r="E2490" s="7" t="str">
        <f>"大阪府堺市　西区草部"</f>
        <v>大阪府堺市　西区草部</v>
      </c>
      <c r="F2490" s="7"/>
      <c r="G2490" s="7" t="str">
        <f t="shared" si="842"/>
        <v>事業用資産</v>
      </c>
      <c r="H2490" s="7" t="str">
        <f t="shared" si="840"/>
        <v>棚卸以外</v>
      </c>
      <c r="I2490" s="7">
        <v>5</v>
      </c>
      <c r="J2490" s="7" t="str">
        <f>"受水槽（６５ｔ×２基）"</f>
        <v>受水槽（６５ｔ×２基）</v>
      </c>
      <c r="K2490" s="7" t="str">
        <f t="shared" si="841"/>
        <v>鉄筋コンクリート造</v>
      </c>
      <c r="L2490" s="7" t="str">
        <f>"S51.03.24"</f>
        <v>S51.03.24</v>
      </c>
      <c r="M2490" s="7">
        <v>94.5</v>
      </c>
      <c r="N2490" s="7">
        <v>6483000</v>
      </c>
      <c r="O2490" s="7">
        <v>6482999</v>
      </c>
      <c r="P2490" s="7">
        <v>0</v>
      </c>
      <c r="Q2490" s="7" t="str">
        <f t="shared" si="849"/>
        <v>都市整備部</v>
      </c>
      <c r="R2490" s="7" t="str">
        <f t="shared" si="846"/>
        <v>住宅建築局住宅経営室</v>
      </c>
    </row>
    <row r="2491" spans="1:18" s="1" customFormat="1" ht="26.4" x14ac:dyDescent="0.45">
      <c r="A2491" s="7" t="str">
        <f t="shared" ref="A2491:A2501" si="850">"09940003247"</f>
        <v>09940003247</v>
      </c>
      <c r="B2491" s="7" t="str">
        <f t="shared" ref="B2491:B2501" si="851">"堺白鷺東"</f>
        <v>堺白鷺東</v>
      </c>
      <c r="C2491" s="7" t="str">
        <f t="shared" si="847"/>
        <v>行政財産</v>
      </c>
      <c r="D2491" s="7" t="str">
        <f t="shared" si="848"/>
        <v>公営住宅</v>
      </c>
      <c r="E2491" s="7" t="str">
        <f t="shared" ref="E2491:E2501" si="852">"大阪府堺市　北区金岡町"</f>
        <v>大阪府堺市　北区金岡町</v>
      </c>
      <c r="F2491" s="7"/>
      <c r="G2491" s="7" t="str">
        <f t="shared" si="842"/>
        <v>事業用資産</v>
      </c>
      <c r="H2491" s="7" t="str">
        <f t="shared" si="840"/>
        <v>棚卸以外</v>
      </c>
      <c r="I2491" s="7">
        <v>1</v>
      </c>
      <c r="J2491" s="7" t="str">
        <f>"１号棟"</f>
        <v>１号棟</v>
      </c>
      <c r="K2491" s="7" t="str">
        <f t="shared" ref="K2491:K2497" si="853">"鉄骨鉄筋コンクリート造"</f>
        <v>鉄骨鉄筋コンクリート造</v>
      </c>
      <c r="L2491" s="7" t="str">
        <f t="shared" ref="L2491:L2501" si="854">"S55.03.17"</f>
        <v>S55.03.17</v>
      </c>
      <c r="M2491" s="7">
        <v>6570.24</v>
      </c>
      <c r="N2491" s="7">
        <v>716049589</v>
      </c>
      <c r="O2491" s="7">
        <v>483076815</v>
      </c>
      <c r="P2491" s="7">
        <v>0</v>
      </c>
      <c r="Q2491" s="7" t="str">
        <f t="shared" si="849"/>
        <v>都市整備部</v>
      </c>
      <c r="R2491" s="7" t="str">
        <f t="shared" si="846"/>
        <v>住宅建築局住宅経営室</v>
      </c>
    </row>
    <row r="2492" spans="1:18" s="1" customFormat="1" ht="26.4" x14ac:dyDescent="0.45">
      <c r="A2492" s="7" t="str">
        <f t="shared" si="850"/>
        <v>09940003247</v>
      </c>
      <c r="B2492" s="7" t="str">
        <f t="shared" si="851"/>
        <v>堺白鷺東</v>
      </c>
      <c r="C2492" s="7" t="str">
        <f t="shared" si="847"/>
        <v>行政財産</v>
      </c>
      <c r="D2492" s="7" t="str">
        <f t="shared" si="848"/>
        <v>公営住宅</v>
      </c>
      <c r="E2492" s="7" t="str">
        <f t="shared" si="852"/>
        <v>大阪府堺市　北区金岡町</v>
      </c>
      <c r="F2492" s="7"/>
      <c r="G2492" s="7" t="str">
        <f t="shared" si="842"/>
        <v>事業用資産</v>
      </c>
      <c r="H2492" s="7" t="str">
        <f t="shared" si="840"/>
        <v>棚卸以外</v>
      </c>
      <c r="I2492" s="7">
        <v>2</v>
      </c>
      <c r="J2492" s="7" t="str">
        <f>"２号棟"</f>
        <v>２号棟</v>
      </c>
      <c r="K2492" s="7" t="str">
        <f t="shared" si="853"/>
        <v>鉄骨鉄筋コンクリート造</v>
      </c>
      <c r="L2492" s="7" t="str">
        <f t="shared" si="854"/>
        <v>S55.03.17</v>
      </c>
      <c r="M2492" s="7">
        <v>4398.53</v>
      </c>
      <c r="N2492" s="7">
        <v>622866544</v>
      </c>
      <c r="O2492" s="7">
        <v>344304111</v>
      </c>
      <c r="P2492" s="7">
        <v>0</v>
      </c>
      <c r="Q2492" s="7" t="str">
        <f t="shared" si="849"/>
        <v>都市整備部</v>
      </c>
      <c r="R2492" s="7" t="str">
        <f t="shared" si="846"/>
        <v>住宅建築局住宅経営室</v>
      </c>
    </row>
    <row r="2493" spans="1:18" s="1" customFormat="1" ht="26.4" x14ac:dyDescent="0.45">
      <c r="A2493" s="7" t="str">
        <f t="shared" si="850"/>
        <v>09940003247</v>
      </c>
      <c r="B2493" s="7" t="str">
        <f t="shared" si="851"/>
        <v>堺白鷺東</v>
      </c>
      <c r="C2493" s="7" t="str">
        <f t="shared" si="847"/>
        <v>行政財産</v>
      </c>
      <c r="D2493" s="7" t="str">
        <f t="shared" si="848"/>
        <v>公営住宅</v>
      </c>
      <c r="E2493" s="7" t="str">
        <f t="shared" si="852"/>
        <v>大阪府堺市　北区金岡町</v>
      </c>
      <c r="F2493" s="7"/>
      <c r="G2493" s="7" t="str">
        <f t="shared" si="842"/>
        <v>事業用資産</v>
      </c>
      <c r="H2493" s="7" t="str">
        <f t="shared" si="840"/>
        <v>棚卸以外</v>
      </c>
      <c r="I2493" s="7">
        <v>3</v>
      </c>
      <c r="J2493" s="7" t="str">
        <f>"３号棟"</f>
        <v>３号棟</v>
      </c>
      <c r="K2493" s="7" t="str">
        <f t="shared" si="853"/>
        <v>鉄骨鉄筋コンクリート造</v>
      </c>
      <c r="L2493" s="7" t="str">
        <f t="shared" si="854"/>
        <v>S55.03.17</v>
      </c>
      <c r="M2493" s="7">
        <v>3277.22</v>
      </c>
      <c r="N2493" s="7">
        <v>372790283</v>
      </c>
      <c r="O2493" s="7">
        <v>253276467</v>
      </c>
      <c r="P2493" s="7">
        <v>0</v>
      </c>
      <c r="Q2493" s="7" t="str">
        <f t="shared" si="849"/>
        <v>都市整備部</v>
      </c>
      <c r="R2493" s="7" t="str">
        <f t="shared" si="846"/>
        <v>住宅建築局住宅経営室</v>
      </c>
    </row>
    <row r="2494" spans="1:18" s="1" customFormat="1" ht="26.4" x14ac:dyDescent="0.45">
      <c r="A2494" s="7" t="str">
        <f t="shared" si="850"/>
        <v>09940003247</v>
      </c>
      <c r="B2494" s="7" t="str">
        <f t="shared" si="851"/>
        <v>堺白鷺東</v>
      </c>
      <c r="C2494" s="7" t="str">
        <f t="shared" si="847"/>
        <v>行政財産</v>
      </c>
      <c r="D2494" s="7" t="str">
        <f t="shared" si="848"/>
        <v>公営住宅</v>
      </c>
      <c r="E2494" s="7" t="str">
        <f t="shared" si="852"/>
        <v>大阪府堺市　北区金岡町</v>
      </c>
      <c r="F2494" s="7"/>
      <c r="G2494" s="7" t="str">
        <f t="shared" si="842"/>
        <v>事業用資産</v>
      </c>
      <c r="H2494" s="7" t="str">
        <f t="shared" si="840"/>
        <v>棚卸以外</v>
      </c>
      <c r="I2494" s="7">
        <v>4</v>
      </c>
      <c r="J2494" s="7" t="str">
        <f>"４号棟"</f>
        <v>４号棟</v>
      </c>
      <c r="K2494" s="7" t="str">
        <f t="shared" si="853"/>
        <v>鉄骨鉄筋コンクリート造</v>
      </c>
      <c r="L2494" s="7" t="str">
        <f t="shared" si="854"/>
        <v>S55.03.17</v>
      </c>
      <c r="M2494" s="7">
        <v>3277.22</v>
      </c>
      <c r="N2494" s="7">
        <v>370291675</v>
      </c>
      <c r="O2494" s="7">
        <v>252922659</v>
      </c>
      <c r="P2494" s="7">
        <v>0</v>
      </c>
      <c r="Q2494" s="7" t="str">
        <f t="shared" si="849"/>
        <v>都市整備部</v>
      </c>
      <c r="R2494" s="7" t="str">
        <f t="shared" si="846"/>
        <v>住宅建築局住宅経営室</v>
      </c>
    </row>
    <row r="2495" spans="1:18" s="1" customFormat="1" ht="26.4" x14ac:dyDescent="0.45">
      <c r="A2495" s="7" t="str">
        <f t="shared" si="850"/>
        <v>09940003247</v>
      </c>
      <c r="B2495" s="7" t="str">
        <f t="shared" si="851"/>
        <v>堺白鷺東</v>
      </c>
      <c r="C2495" s="7" t="str">
        <f t="shared" si="847"/>
        <v>行政財産</v>
      </c>
      <c r="D2495" s="7" t="str">
        <f t="shared" si="848"/>
        <v>公営住宅</v>
      </c>
      <c r="E2495" s="7" t="str">
        <f t="shared" si="852"/>
        <v>大阪府堺市　北区金岡町</v>
      </c>
      <c r="F2495" s="7"/>
      <c r="G2495" s="7" t="str">
        <f t="shared" si="842"/>
        <v>事業用資産</v>
      </c>
      <c r="H2495" s="7" t="str">
        <f t="shared" si="840"/>
        <v>棚卸以外</v>
      </c>
      <c r="I2495" s="7">
        <v>5</v>
      </c>
      <c r="J2495" s="7" t="str">
        <f>"５号棟"</f>
        <v>５号棟</v>
      </c>
      <c r="K2495" s="7" t="str">
        <f t="shared" si="853"/>
        <v>鉄骨鉄筋コンクリート造</v>
      </c>
      <c r="L2495" s="7" t="str">
        <f t="shared" si="854"/>
        <v>S55.03.17</v>
      </c>
      <c r="M2495" s="7">
        <v>3277.22</v>
      </c>
      <c r="N2495" s="7">
        <v>348858830</v>
      </c>
      <c r="O2495" s="7">
        <v>253499493</v>
      </c>
      <c r="P2495" s="7">
        <v>0</v>
      </c>
      <c r="Q2495" s="7" t="str">
        <f t="shared" si="849"/>
        <v>都市整備部</v>
      </c>
      <c r="R2495" s="7" t="str">
        <f t="shared" si="846"/>
        <v>住宅建築局住宅経営室</v>
      </c>
    </row>
    <row r="2496" spans="1:18" s="1" customFormat="1" ht="26.4" x14ac:dyDescent="0.45">
      <c r="A2496" s="7" t="str">
        <f t="shared" si="850"/>
        <v>09940003247</v>
      </c>
      <c r="B2496" s="7" t="str">
        <f t="shared" si="851"/>
        <v>堺白鷺東</v>
      </c>
      <c r="C2496" s="7" t="str">
        <f t="shared" si="847"/>
        <v>行政財産</v>
      </c>
      <c r="D2496" s="7" t="str">
        <f t="shared" si="848"/>
        <v>公営住宅</v>
      </c>
      <c r="E2496" s="7" t="str">
        <f t="shared" si="852"/>
        <v>大阪府堺市　北区金岡町</v>
      </c>
      <c r="F2496" s="7"/>
      <c r="G2496" s="7" t="str">
        <f t="shared" si="842"/>
        <v>事業用資産</v>
      </c>
      <c r="H2496" s="7" t="str">
        <f t="shared" si="840"/>
        <v>棚卸以外</v>
      </c>
      <c r="I2496" s="7">
        <v>6</v>
      </c>
      <c r="J2496" s="7" t="str">
        <f>"６号棟"</f>
        <v>６号棟</v>
      </c>
      <c r="K2496" s="7" t="str">
        <f t="shared" si="853"/>
        <v>鉄骨鉄筋コンクリート造</v>
      </c>
      <c r="L2496" s="7" t="str">
        <f t="shared" si="854"/>
        <v>S55.03.17</v>
      </c>
      <c r="M2496" s="7">
        <v>2191.36</v>
      </c>
      <c r="N2496" s="7">
        <v>287941995</v>
      </c>
      <c r="O2496" s="7">
        <v>179097066</v>
      </c>
      <c r="P2496" s="7">
        <v>0</v>
      </c>
      <c r="Q2496" s="7" t="str">
        <f t="shared" si="849"/>
        <v>都市整備部</v>
      </c>
      <c r="R2496" s="7" t="str">
        <f t="shared" si="846"/>
        <v>住宅建築局住宅経営室</v>
      </c>
    </row>
    <row r="2497" spans="1:18" s="1" customFormat="1" ht="26.4" x14ac:dyDescent="0.45">
      <c r="A2497" s="7" t="str">
        <f t="shared" si="850"/>
        <v>09940003247</v>
      </c>
      <c r="B2497" s="7" t="str">
        <f t="shared" si="851"/>
        <v>堺白鷺東</v>
      </c>
      <c r="C2497" s="7" t="str">
        <f t="shared" si="847"/>
        <v>行政財産</v>
      </c>
      <c r="D2497" s="7" t="str">
        <f t="shared" si="848"/>
        <v>公営住宅</v>
      </c>
      <c r="E2497" s="7" t="str">
        <f t="shared" si="852"/>
        <v>大阪府堺市　北区金岡町</v>
      </c>
      <c r="F2497" s="7"/>
      <c r="G2497" s="7" t="str">
        <f t="shared" si="842"/>
        <v>事業用資産</v>
      </c>
      <c r="H2497" s="7" t="str">
        <f t="shared" si="840"/>
        <v>棚卸以外</v>
      </c>
      <c r="I2497" s="7">
        <v>7</v>
      </c>
      <c r="J2497" s="7" t="str">
        <f>"７号棟"</f>
        <v>７号棟</v>
      </c>
      <c r="K2497" s="7" t="str">
        <f t="shared" si="853"/>
        <v>鉄骨鉄筋コンクリート造</v>
      </c>
      <c r="L2497" s="7" t="str">
        <f t="shared" si="854"/>
        <v>S55.03.17</v>
      </c>
      <c r="M2497" s="7">
        <v>3277.22</v>
      </c>
      <c r="N2497" s="7">
        <v>356747866</v>
      </c>
      <c r="O2497" s="7">
        <v>254755365</v>
      </c>
      <c r="P2497" s="7">
        <v>0</v>
      </c>
      <c r="Q2497" s="7" t="str">
        <f t="shared" si="849"/>
        <v>都市整備部</v>
      </c>
      <c r="R2497" s="7" t="str">
        <f t="shared" si="846"/>
        <v>住宅建築局住宅経営室</v>
      </c>
    </row>
    <row r="2498" spans="1:18" s="1" customFormat="1" x14ac:dyDescent="0.45">
      <c r="A2498" s="7" t="str">
        <f t="shared" si="850"/>
        <v>09940003247</v>
      </c>
      <c r="B2498" s="7" t="str">
        <f t="shared" si="851"/>
        <v>堺白鷺東</v>
      </c>
      <c r="C2498" s="7" t="str">
        <f t="shared" si="847"/>
        <v>行政財産</v>
      </c>
      <c r="D2498" s="7" t="str">
        <f t="shared" si="848"/>
        <v>公営住宅</v>
      </c>
      <c r="E2498" s="7" t="str">
        <f t="shared" si="852"/>
        <v>大阪府堺市　北区金岡町</v>
      </c>
      <c r="F2498" s="7"/>
      <c r="G2498" s="7" t="str">
        <f t="shared" si="842"/>
        <v>事業用資産</v>
      </c>
      <c r="H2498" s="7" t="str">
        <f t="shared" si="840"/>
        <v>棚卸以外</v>
      </c>
      <c r="I2498" s="7">
        <v>8</v>
      </c>
      <c r="J2498" s="7" t="str">
        <f>"集会所"</f>
        <v>集会所</v>
      </c>
      <c r="K2498" s="7" t="str">
        <f t="shared" ref="K2498:K2529" si="855">"鉄筋コンクリート造"</f>
        <v>鉄筋コンクリート造</v>
      </c>
      <c r="L2498" s="7" t="str">
        <f t="shared" si="854"/>
        <v>S55.03.17</v>
      </c>
      <c r="M2498" s="7">
        <v>174.6</v>
      </c>
      <c r="N2498" s="7">
        <v>29163000</v>
      </c>
      <c r="O2498" s="7">
        <v>26681328</v>
      </c>
      <c r="P2498" s="7">
        <v>0</v>
      </c>
      <c r="Q2498" s="7" t="str">
        <f t="shared" si="849"/>
        <v>都市整備部</v>
      </c>
      <c r="R2498" s="7" t="str">
        <f t="shared" si="846"/>
        <v>住宅建築局住宅経営室</v>
      </c>
    </row>
    <row r="2499" spans="1:18" s="1" customFormat="1" x14ac:dyDescent="0.45">
      <c r="A2499" s="7" t="str">
        <f t="shared" si="850"/>
        <v>09940003247</v>
      </c>
      <c r="B2499" s="7" t="str">
        <f t="shared" si="851"/>
        <v>堺白鷺東</v>
      </c>
      <c r="C2499" s="7" t="str">
        <f t="shared" si="847"/>
        <v>行政財産</v>
      </c>
      <c r="D2499" s="7" t="str">
        <f t="shared" si="848"/>
        <v>公営住宅</v>
      </c>
      <c r="E2499" s="7" t="str">
        <f t="shared" si="852"/>
        <v>大阪府堺市　北区金岡町</v>
      </c>
      <c r="F2499" s="7"/>
      <c r="G2499" s="7" t="str">
        <f t="shared" si="842"/>
        <v>事業用資産</v>
      </c>
      <c r="H2499" s="7" t="str">
        <f t="shared" si="840"/>
        <v>棚卸以外</v>
      </c>
      <c r="I2499" s="7">
        <v>9</v>
      </c>
      <c r="J2499" s="7" t="str">
        <f>"ポンプ室"</f>
        <v>ポンプ室</v>
      </c>
      <c r="K2499" s="7" t="str">
        <f t="shared" si="855"/>
        <v>鉄筋コンクリート造</v>
      </c>
      <c r="L2499" s="7" t="str">
        <f t="shared" si="854"/>
        <v>S55.03.17</v>
      </c>
      <c r="M2499" s="7">
        <v>97.6</v>
      </c>
      <c r="N2499" s="7">
        <v>25579000</v>
      </c>
      <c r="O2499" s="7">
        <v>23402148</v>
      </c>
      <c r="P2499" s="7">
        <v>0</v>
      </c>
      <c r="Q2499" s="7" t="str">
        <f t="shared" si="849"/>
        <v>都市整備部</v>
      </c>
      <c r="R2499" s="7" t="str">
        <f t="shared" si="846"/>
        <v>住宅建築局住宅経営室</v>
      </c>
    </row>
    <row r="2500" spans="1:18" s="1" customFormat="1" x14ac:dyDescent="0.45">
      <c r="A2500" s="7" t="str">
        <f t="shared" si="850"/>
        <v>09940003247</v>
      </c>
      <c r="B2500" s="7" t="str">
        <f t="shared" si="851"/>
        <v>堺白鷺東</v>
      </c>
      <c r="C2500" s="7" t="str">
        <f t="shared" si="847"/>
        <v>行政財産</v>
      </c>
      <c r="D2500" s="7" t="str">
        <f t="shared" si="848"/>
        <v>公営住宅</v>
      </c>
      <c r="E2500" s="7" t="str">
        <f t="shared" si="852"/>
        <v>大阪府堺市　北区金岡町</v>
      </c>
      <c r="F2500" s="7"/>
      <c r="G2500" s="7" t="str">
        <f t="shared" si="842"/>
        <v>事業用資産</v>
      </c>
      <c r="H2500" s="7" t="str">
        <f t="shared" ref="H2500:H2563" si="856">"棚卸以外"</f>
        <v>棚卸以外</v>
      </c>
      <c r="I2500" s="7">
        <v>10</v>
      </c>
      <c r="J2500" s="7" t="str">
        <f>"電機室１"</f>
        <v>電機室１</v>
      </c>
      <c r="K2500" s="7" t="str">
        <f t="shared" si="855"/>
        <v>鉄筋コンクリート造</v>
      </c>
      <c r="L2500" s="7" t="str">
        <f t="shared" si="854"/>
        <v>S55.03.17</v>
      </c>
      <c r="M2500" s="7">
        <v>73.930000000000007</v>
      </c>
      <c r="N2500" s="7">
        <v>16930000</v>
      </c>
      <c r="O2500" s="7">
        <v>15489288</v>
      </c>
      <c r="P2500" s="7">
        <v>0</v>
      </c>
      <c r="Q2500" s="7" t="str">
        <f t="shared" si="849"/>
        <v>都市整備部</v>
      </c>
      <c r="R2500" s="7" t="str">
        <f t="shared" si="846"/>
        <v>住宅建築局住宅経営室</v>
      </c>
    </row>
    <row r="2501" spans="1:18" s="1" customFormat="1" x14ac:dyDescent="0.45">
      <c r="A2501" s="7" t="str">
        <f t="shared" si="850"/>
        <v>09940003247</v>
      </c>
      <c r="B2501" s="7" t="str">
        <f t="shared" si="851"/>
        <v>堺白鷺東</v>
      </c>
      <c r="C2501" s="7" t="str">
        <f t="shared" si="847"/>
        <v>行政財産</v>
      </c>
      <c r="D2501" s="7" t="str">
        <f t="shared" si="848"/>
        <v>公営住宅</v>
      </c>
      <c r="E2501" s="7" t="str">
        <f t="shared" si="852"/>
        <v>大阪府堺市　北区金岡町</v>
      </c>
      <c r="F2501" s="7"/>
      <c r="G2501" s="7" t="str">
        <f t="shared" si="842"/>
        <v>事業用資産</v>
      </c>
      <c r="H2501" s="7" t="str">
        <f t="shared" si="856"/>
        <v>棚卸以外</v>
      </c>
      <c r="I2501" s="7">
        <v>11</v>
      </c>
      <c r="J2501" s="7" t="str">
        <f>"電機室２"</f>
        <v>電機室２</v>
      </c>
      <c r="K2501" s="7" t="str">
        <f t="shared" si="855"/>
        <v>鉄筋コンクリート造</v>
      </c>
      <c r="L2501" s="7" t="str">
        <f t="shared" si="854"/>
        <v>S55.03.17</v>
      </c>
      <c r="M2501" s="7">
        <v>73.930000000000007</v>
      </c>
      <c r="N2501" s="7">
        <v>17063000</v>
      </c>
      <c r="O2501" s="7">
        <v>15611064</v>
      </c>
      <c r="P2501" s="7">
        <v>0</v>
      </c>
      <c r="Q2501" s="7" t="str">
        <f t="shared" si="849"/>
        <v>都市整備部</v>
      </c>
      <c r="R2501" s="7" t="str">
        <f t="shared" si="846"/>
        <v>住宅建築局住宅経営室</v>
      </c>
    </row>
    <row r="2502" spans="1:18" s="1" customFormat="1" x14ac:dyDescent="0.45">
      <c r="A2502" s="7" t="str">
        <f t="shared" ref="A2502:A2507" si="857">"09940003253"</f>
        <v>09940003253</v>
      </c>
      <c r="B2502" s="7" t="str">
        <f t="shared" ref="B2502:B2507" si="858">"岸和田額原第２（旧久米田第３）"</f>
        <v>岸和田額原第２（旧久米田第３）</v>
      </c>
      <c r="C2502" s="7" t="str">
        <f t="shared" si="847"/>
        <v>行政財産</v>
      </c>
      <c r="D2502" s="7" t="str">
        <f t="shared" si="848"/>
        <v>公営住宅</v>
      </c>
      <c r="E2502" s="7" t="str">
        <f t="shared" ref="E2502:E2507" si="859">"大阪府岸和田市額原町"</f>
        <v>大阪府岸和田市額原町</v>
      </c>
      <c r="F2502" s="7"/>
      <c r="G2502" s="7" t="str">
        <f t="shared" si="842"/>
        <v>事業用資産</v>
      </c>
      <c r="H2502" s="7" t="str">
        <f t="shared" si="856"/>
        <v>棚卸以外</v>
      </c>
      <c r="I2502" s="7">
        <v>1</v>
      </c>
      <c r="J2502" s="7" t="str">
        <f>"１号棟"</f>
        <v>１号棟</v>
      </c>
      <c r="K2502" s="7" t="str">
        <f t="shared" si="855"/>
        <v>鉄筋コンクリート造</v>
      </c>
      <c r="L2502" s="7" t="str">
        <f>"H16.04.30"</f>
        <v>H16.04.30</v>
      </c>
      <c r="M2502" s="7">
        <v>3988.57</v>
      </c>
      <c r="N2502" s="7">
        <v>650391998</v>
      </c>
      <c r="O2502" s="7">
        <v>261438975</v>
      </c>
      <c r="P2502" s="7">
        <v>0</v>
      </c>
      <c r="Q2502" s="7" t="str">
        <f t="shared" si="849"/>
        <v>都市整備部</v>
      </c>
      <c r="R2502" s="7" t="str">
        <f t="shared" si="846"/>
        <v>住宅建築局住宅経営室</v>
      </c>
    </row>
    <row r="2503" spans="1:18" s="1" customFormat="1" x14ac:dyDescent="0.45">
      <c r="A2503" s="7" t="str">
        <f t="shared" si="857"/>
        <v>09940003253</v>
      </c>
      <c r="B2503" s="7" t="str">
        <f t="shared" si="858"/>
        <v>岸和田額原第２（旧久米田第３）</v>
      </c>
      <c r="C2503" s="7" t="str">
        <f t="shared" si="847"/>
        <v>行政財産</v>
      </c>
      <c r="D2503" s="7" t="str">
        <f t="shared" si="848"/>
        <v>公営住宅</v>
      </c>
      <c r="E2503" s="7" t="str">
        <f t="shared" si="859"/>
        <v>大阪府岸和田市額原町</v>
      </c>
      <c r="F2503" s="7"/>
      <c r="G2503" s="7" t="str">
        <f t="shared" si="842"/>
        <v>事業用資産</v>
      </c>
      <c r="H2503" s="7" t="str">
        <f t="shared" si="856"/>
        <v>棚卸以外</v>
      </c>
      <c r="I2503" s="7">
        <v>2</v>
      </c>
      <c r="J2503" s="7" t="str">
        <f>"集会所"</f>
        <v>集会所</v>
      </c>
      <c r="K2503" s="7" t="str">
        <f t="shared" si="855"/>
        <v>鉄筋コンクリート造</v>
      </c>
      <c r="L2503" s="7" t="str">
        <f>"H16.04.30"</f>
        <v>H16.04.30</v>
      </c>
      <c r="M2503" s="7">
        <v>133.46</v>
      </c>
      <c r="N2503" s="7">
        <v>25249000</v>
      </c>
      <c r="O2503" s="7">
        <v>9512898</v>
      </c>
      <c r="P2503" s="7">
        <v>0</v>
      </c>
      <c r="Q2503" s="7" t="str">
        <f t="shared" si="849"/>
        <v>都市整備部</v>
      </c>
      <c r="R2503" s="7" t="str">
        <f t="shared" si="846"/>
        <v>住宅建築局住宅経営室</v>
      </c>
    </row>
    <row r="2504" spans="1:18" s="1" customFormat="1" x14ac:dyDescent="0.45">
      <c r="A2504" s="7" t="str">
        <f t="shared" si="857"/>
        <v>09940003253</v>
      </c>
      <c r="B2504" s="7" t="str">
        <f t="shared" si="858"/>
        <v>岸和田額原第２（旧久米田第３）</v>
      </c>
      <c r="C2504" s="7" t="str">
        <f t="shared" si="847"/>
        <v>行政財産</v>
      </c>
      <c r="D2504" s="7" t="str">
        <f t="shared" si="848"/>
        <v>公営住宅</v>
      </c>
      <c r="E2504" s="7" t="str">
        <f t="shared" si="859"/>
        <v>大阪府岸和田市額原町</v>
      </c>
      <c r="F2504" s="7"/>
      <c r="G2504" s="7" t="str">
        <f t="shared" si="842"/>
        <v>事業用資産</v>
      </c>
      <c r="H2504" s="7" t="str">
        <f t="shared" si="856"/>
        <v>棚卸以外</v>
      </c>
      <c r="I2504" s="7">
        <v>3</v>
      </c>
      <c r="J2504" s="7" t="str">
        <f>"ポンプ室・電気室"</f>
        <v>ポンプ室・電気室</v>
      </c>
      <c r="K2504" s="7" t="str">
        <f t="shared" si="855"/>
        <v>鉄筋コンクリート造</v>
      </c>
      <c r="L2504" s="7" t="str">
        <f>"H16.04.30"</f>
        <v>H16.04.30</v>
      </c>
      <c r="M2504" s="7">
        <v>73.040000000000006</v>
      </c>
      <c r="N2504" s="7">
        <v>19478000</v>
      </c>
      <c r="O2504" s="7">
        <v>7839672</v>
      </c>
      <c r="P2504" s="7">
        <v>0</v>
      </c>
      <c r="Q2504" s="7" t="str">
        <f t="shared" si="849"/>
        <v>都市整備部</v>
      </c>
      <c r="R2504" s="7" t="str">
        <f t="shared" si="846"/>
        <v>住宅建築局住宅経営室</v>
      </c>
    </row>
    <row r="2505" spans="1:18" s="1" customFormat="1" x14ac:dyDescent="0.45">
      <c r="A2505" s="7" t="str">
        <f t="shared" si="857"/>
        <v>09940003253</v>
      </c>
      <c r="B2505" s="7" t="str">
        <f t="shared" si="858"/>
        <v>岸和田額原第２（旧久米田第３）</v>
      </c>
      <c r="C2505" s="7" t="str">
        <f t="shared" si="847"/>
        <v>行政財産</v>
      </c>
      <c r="D2505" s="7" t="str">
        <f t="shared" si="848"/>
        <v>公営住宅</v>
      </c>
      <c r="E2505" s="7" t="str">
        <f t="shared" si="859"/>
        <v>大阪府岸和田市額原町</v>
      </c>
      <c r="F2505" s="7"/>
      <c r="G2505" s="7" t="str">
        <f t="shared" si="842"/>
        <v>事業用資産</v>
      </c>
      <c r="H2505" s="7" t="str">
        <f t="shared" si="856"/>
        <v>棚卸以外</v>
      </c>
      <c r="I2505" s="7">
        <v>4</v>
      </c>
      <c r="J2505" s="7" t="str">
        <f>"２～４号棟"</f>
        <v>２～４号棟</v>
      </c>
      <c r="K2505" s="7" t="str">
        <f t="shared" si="855"/>
        <v>鉄筋コンクリート造</v>
      </c>
      <c r="L2505" s="7" t="str">
        <f>"H16.06.30"</f>
        <v>H16.06.30</v>
      </c>
      <c r="M2505" s="7">
        <v>6050.37</v>
      </c>
      <c r="N2505" s="7">
        <v>1118135994</v>
      </c>
      <c r="O2505" s="7">
        <v>445077345</v>
      </c>
      <c r="P2505" s="7">
        <v>0</v>
      </c>
      <c r="Q2505" s="7" t="str">
        <f t="shared" si="849"/>
        <v>都市整備部</v>
      </c>
      <c r="R2505" s="7" t="str">
        <f t="shared" si="846"/>
        <v>住宅建築局住宅経営室</v>
      </c>
    </row>
    <row r="2506" spans="1:18" s="1" customFormat="1" x14ac:dyDescent="0.45">
      <c r="A2506" s="7" t="str">
        <f t="shared" si="857"/>
        <v>09940003253</v>
      </c>
      <c r="B2506" s="7" t="str">
        <f t="shared" si="858"/>
        <v>岸和田額原第２（旧久米田第３）</v>
      </c>
      <c r="C2506" s="7" t="str">
        <f t="shared" si="847"/>
        <v>行政財産</v>
      </c>
      <c r="D2506" s="7" t="str">
        <f t="shared" si="848"/>
        <v>公営住宅</v>
      </c>
      <c r="E2506" s="7" t="str">
        <f t="shared" si="859"/>
        <v>大阪府岸和田市額原町</v>
      </c>
      <c r="F2506" s="7"/>
      <c r="G2506" s="7" t="str">
        <f t="shared" si="842"/>
        <v>事業用資産</v>
      </c>
      <c r="H2506" s="7" t="str">
        <f t="shared" si="856"/>
        <v>棚卸以外</v>
      </c>
      <c r="I2506" s="7">
        <v>5</v>
      </c>
      <c r="J2506" s="7" t="str">
        <f>"ポンプ室・電気室"</f>
        <v>ポンプ室・電気室</v>
      </c>
      <c r="K2506" s="7" t="str">
        <f t="shared" si="855"/>
        <v>鉄筋コンクリート造</v>
      </c>
      <c r="L2506" s="7" t="str">
        <f>"H16.06.30"</f>
        <v>H16.06.30</v>
      </c>
      <c r="M2506" s="7">
        <v>70.319999999999993</v>
      </c>
      <c r="N2506" s="7">
        <v>21549000</v>
      </c>
      <c r="O2506" s="7">
        <v>8596800</v>
      </c>
      <c r="P2506" s="7">
        <v>0</v>
      </c>
      <c r="Q2506" s="7" t="str">
        <f t="shared" si="849"/>
        <v>都市整備部</v>
      </c>
      <c r="R2506" s="7" t="str">
        <f t="shared" si="846"/>
        <v>住宅建築局住宅経営室</v>
      </c>
    </row>
    <row r="2507" spans="1:18" s="1" customFormat="1" x14ac:dyDescent="0.45">
      <c r="A2507" s="7" t="str">
        <f t="shared" si="857"/>
        <v>09940003253</v>
      </c>
      <c r="B2507" s="7" t="str">
        <f t="shared" si="858"/>
        <v>岸和田額原第２（旧久米田第３）</v>
      </c>
      <c r="C2507" s="7" t="str">
        <f t="shared" si="847"/>
        <v>行政財産</v>
      </c>
      <c r="D2507" s="7" t="str">
        <f t="shared" si="848"/>
        <v>公営住宅</v>
      </c>
      <c r="E2507" s="7" t="str">
        <f t="shared" si="859"/>
        <v>大阪府岸和田市額原町</v>
      </c>
      <c r="F2507" s="7"/>
      <c r="G2507" s="7" t="str">
        <f t="shared" si="842"/>
        <v>事業用資産</v>
      </c>
      <c r="H2507" s="7" t="str">
        <f t="shared" si="856"/>
        <v>棚卸以外</v>
      </c>
      <c r="I2507" s="7">
        <v>6</v>
      </c>
      <c r="J2507" s="7" t="str">
        <f>"５号棟"</f>
        <v>５号棟</v>
      </c>
      <c r="K2507" s="7" t="str">
        <f t="shared" si="855"/>
        <v>鉄筋コンクリート造</v>
      </c>
      <c r="L2507" s="7" t="str">
        <f>"H20.01.29"</f>
        <v>H20.01.29</v>
      </c>
      <c r="M2507" s="7">
        <v>2625.71</v>
      </c>
      <c r="N2507" s="7">
        <v>376868815</v>
      </c>
      <c r="O2507" s="7">
        <v>121426559</v>
      </c>
      <c r="P2507" s="7">
        <v>0</v>
      </c>
      <c r="Q2507" s="7" t="str">
        <f t="shared" si="849"/>
        <v>都市整備部</v>
      </c>
      <c r="R2507" s="7" t="str">
        <f t="shared" si="846"/>
        <v>住宅建築局住宅経営室</v>
      </c>
    </row>
    <row r="2508" spans="1:18" s="1" customFormat="1" x14ac:dyDescent="0.45">
      <c r="A2508" s="7" t="str">
        <f t="shared" ref="A2508:A2524" si="860">"09940003254"</f>
        <v>09940003254</v>
      </c>
      <c r="B2508" s="7" t="str">
        <f t="shared" ref="B2508:B2524" si="861">"岸和田荒木"</f>
        <v>岸和田荒木</v>
      </c>
      <c r="C2508" s="7" t="str">
        <f t="shared" si="847"/>
        <v>行政財産</v>
      </c>
      <c r="D2508" s="7" t="str">
        <f t="shared" si="848"/>
        <v>公営住宅</v>
      </c>
      <c r="E2508" s="7" t="str">
        <f t="shared" ref="E2508:E2524" si="862">"大阪府岸和田市荒木町２丁目"</f>
        <v>大阪府岸和田市荒木町２丁目</v>
      </c>
      <c r="F2508" s="7"/>
      <c r="G2508" s="7" t="str">
        <f t="shared" si="842"/>
        <v>事業用資産</v>
      </c>
      <c r="H2508" s="7" t="str">
        <f t="shared" si="856"/>
        <v>棚卸以外</v>
      </c>
      <c r="I2508" s="7">
        <v>1</v>
      </c>
      <c r="J2508" s="7" t="str">
        <f>"１号棟"</f>
        <v>１号棟</v>
      </c>
      <c r="K2508" s="7" t="str">
        <f t="shared" si="855"/>
        <v>鉄筋コンクリート造</v>
      </c>
      <c r="L2508" s="7" t="str">
        <f t="shared" ref="L2508:L2515" si="863">"H09.01.30"</f>
        <v>H09.01.30</v>
      </c>
      <c r="M2508" s="7">
        <v>2871.98</v>
      </c>
      <c r="N2508" s="7">
        <v>516408666</v>
      </c>
      <c r="O2508" s="7">
        <v>287369516</v>
      </c>
      <c r="P2508" s="7">
        <v>0</v>
      </c>
      <c r="Q2508" s="7" t="str">
        <f t="shared" si="849"/>
        <v>都市整備部</v>
      </c>
      <c r="R2508" s="7" t="str">
        <f t="shared" si="846"/>
        <v>住宅建築局住宅経営室</v>
      </c>
    </row>
    <row r="2509" spans="1:18" s="1" customFormat="1" x14ac:dyDescent="0.45">
      <c r="A2509" s="7" t="str">
        <f t="shared" si="860"/>
        <v>09940003254</v>
      </c>
      <c r="B2509" s="7" t="str">
        <f t="shared" si="861"/>
        <v>岸和田荒木</v>
      </c>
      <c r="C2509" s="7" t="str">
        <f t="shared" si="847"/>
        <v>行政財産</v>
      </c>
      <c r="D2509" s="7" t="str">
        <f t="shared" si="848"/>
        <v>公営住宅</v>
      </c>
      <c r="E2509" s="7" t="str">
        <f t="shared" si="862"/>
        <v>大阪府岸和田市荒木町２丁目</v>
      </c>
      <c r="F2509" s="7"/>
      <c r="G2509" s="7" t="str">
        <f t="shared" si="842"/>
        <v>事業用資産</v>
      </c>
      <c r="H2509" s="7" t="str">
        <f t="shared" si="856"/>
        <v>棚卸以外</v>
      </c>
      <c r="I2509" s="7">
        <v>2</v>
      </c>
      <c r="J2509" s="7" t="str">
        <f>"２号棟"</f>
        <v>２号棟</v>
      </c>
      <c r="K2509" s="7" t="str">
        <f t="shared" si="855"/>
        <v>鉄筋コンクリート造</v>
      </c>
      <c r="L2509" s="7" t="str">
        <f t="shared" si="863"/>
        <v>H09.01.30</v>
      </c>
      <c r="M2509" s="7">
        <v>3098.47</v>
      </c>
      <c r="N2509" s="7">
        <v>510933400</v>
      </c>
      <c r="O2509" s="7">
        <v>284423254</v>
      </c>
      <c r="P2509" s="7">
        <v>0</v>
      </c>
      <c r="Q2509" s="7" t="str">
        <f t="shared" si="849"/>
        <v>都市整備部</v>
      </c>
      <c r="R2509" s="7" t="str">
        <f t="shared" si="846"/>
        <v>住宅建築局住宅経営室</v>
      </c>
    </row>
    <row r="2510" spans="1:18" s="1" customFormat="1" x14ac:dyDescent="0.45">
      <c r="A2510" s="7" t="str">
        <f t="shared" si="860"/>
        <v>09940003254</v>
      </c>
      <c r="B2510" s="7" t="str">
        <f t="shared" si="861"/>
        <v>岸和田荒木</v>
      </c>
      <c r="C2510" s="7" t="str">
        <f t="shared" si="847"/>
        <v>行政財産</v>
      </c>
      <c r="D2510" s="7" t="str">
        <f t="shared" si="848"/>
        <v>公営住宅</v>
      </c>
      <c r="E2510" s="7" t="str">
        <f t="shared" si="862"/>
        <v>大阪府岸和田市荒木町２丁目</v>
      </c>
      <c r="F2510" s="7"/>
      <c r="G2510" s="7" t="str">
        <f t="shared" si="842"/>
        <v>事業用資産</v>
      </c>
      <c r="H2510" s="7" t="str">
        <f t="shared" si="856"/>
        <v>棚卸以外</v>
      </c>
      <c r="I2510" s="7">
        <v>3</v>
      </c>
      <c r="J2510" s="7" t="str">
        <f>"３号棟"</f>
        <v>３号棟</v>
      </c>
      <c r="K2510" s="7" t="str">
        <f t="shared" si="855"/>
        <v>鉄筋コンクリート造</v>
      </c>
      <c r="L2510" s="7" t="str">
        <f t="shared" si="863"/>
        <v>H09.01.30</v>
      </c>
      <c r="M2510" s="7">
        <v>4000.23</v>
      </c>
      <c r="N2510" s="7">
        <v>762729400</v>
      </c>
      <c r="O2510" s="7">
        <v>424607612</v>
      </c>
      <c r="P2510" s="7">
        <v>0</v>
      </c>
      <c r="Q2510" s="7" t="str">
        <f t="shared" si="849"/>
        <v>都市整備部</v>
      </c>
      <c r="R2510" s="7" t="str">
        <f t="shared" si="846"/>
        <v>住宅建築局住宅経営室</v>
      </c>
    </row>
    <row r="2511" spans="1:18" s="1" customFormat="1" x14ac:dyDescent="0.45">
      <c r="A2511" s="7" t="str">
        <f t="shared" si="860"/>
        <v>09940003254</v>
      </c>
      <c r="B2511" s="7" t="str">
        <f t="shared" si="861"/>
        <v>岸和田荒木</v>
      </c>
      <c r="C2511" s="7" t="str">
        <f t="shared" si="847"/>
        <v>行政財産</v>
      </c>
      <c r="D2511" s="7" t="str">
        <f t="shared" si="848"/>
        <v>公営住宅</v>
      </c>
      <c r="E2511" s="7" t="str">
        <f t="shared" si="862"/>
        <v>大阪府岸和田市荒木町２丁目</v>
      </c>
      <c r="F2511" s="7"/>
      <c r="G2511" s="7" t="str">
        <f t="shared" si="842"/>
        <v>事業用資産</v>
      </c>
      <c r="H2511" s="7" t="str">
        <f t="shared" si="856"/>
        <v>棚卸以外</v>
      </c>
      <c r="I2511" s="7">
        <v>4</v>
      </c>
      <c r="J2511" s="7" t="str">
        <f>"４号棟"</f>
        <v>４号棟</v>
      </c>
      <c r="K2511" s="7" t="str">
        <f t="shared" si="855"/>
        <v>鉄筋コンクリート造</v>
      </c>
      <c r="L2511" s="7" t="str">
        <f t="shared" si="863"/>
        <v>H09.01.30</v>
      </c>
      <c r="M2511" s="7">
        <v>7300.91</v>
      </c>
      <c r="N2511" s="7">
        <v>1420548079</v>
      </c>
      <c r="O2511" s="7">
        <v>790502502</v>
      </c>
      <c r="P2511" s="7">
        <v>0</v>
      </c>
      <c r="Q2511" s="7" t="str">
        <f t="shared" si="849"/>
        <v>都市整備部</v>
      </c>
      <c r="R2511" s="7" t="str">
        <f t="shared" si="846"/>
        <v>住宅建築局住宅経営室</v>
      </c>
    </row>
    <row r="2512" spans="1:18" s="1" customFormat="1" x14ac:dyDescent="0.45">
      <c r="A2512" s="7" t="str">
        <f t="shared" si="860"/>
        <v>09940003254</v>
      </c>
      <c r="B2512" s="7" t="str">
        <f t="shared" si="861"/>
        <v>岸和田荒木</v>
      </c>
      <c r="C2512" s="7" t="str">
        <f t="shared" si="847"/>
        <v>行政財産</v>
      </c>
      <c r="D2512" s="7" t="str">
        <f t="shared" si="848"/>
        <v>公営住宅</v>
      </c>
      <c r="E2512" s="7" t="str">
        <f t="shared" si="862"/>
        <v>大阪府岸和田市荒木町２丁目</v>
      </c>
      <c r="F2512" s="7"/>
      <c r="G2512" s="7" t="str">
        <f t="shared" si="842"/>
        <v>事業用資産</v>
      </c>
      <c r="H2512" s="7" t="str">
        <f t="shared" si="856"/>
        <v>棚卸以外</v>
      </c>
      <c r="I2512" s="7">
        <v>5</v>
      </c>
      <c r="J2512" s="7" t="str">
        <f>"電気室"</f>
        <v>電気室</v>
      </c>
      <c r="K2512" s="7" t="str">
        <f t="shared" si="855"/>
        <v>鉄筋コンクリート造</v>
      </c>
      <c r="L2512" s="7" t="str">
        <f t="shared" si="863"/>
        <v>H09.01.30</v>
      </c>
      <c r="M2512" s="7">
        <v>101.6</v>
      </c>
      <c r="N2512" s="7">
        <v>13805000</v>
      </c>
      <c r="O2512" s="7">
        <v>7685778</v>
      </c>
      <c r="P2512" s="7">
        <v>0</v>
      </c>
      <c r="Q2512" s="7" t="str">
        <f t="shared" si="849"/>
        <v>都市整備部</v>
      </c>
      <c r="R2512" s="7" t="str">
        <f t="shared" si="846"/>
        <v>住宅建築局住宅経営室</v>
      </c>
    </row>
    <row r="2513" spans="1:18" s="1" customFormat="1" x14ac:dyDescent="0.45">
      <c r="A2513" s="7" t="str">
        <f t="shared" si="860"/>
        <v>09940003254</v>
      </c>
      <c r="B2513" s="7" t="str">
        <f t="shared" si="861"/>
        <v>岸和田荒木</v>
      </c>
      <c r="C2513" s="7" t="str">
        <f t="shared" si="847"/>
        <v>行政財産</v>
      </c>
      <c r="D2513" s="7" t="str">
        <f t="shared" si="848"/>
        <v>公営住宅</v>
      </c>
      <c r="E2513" s="7" t="str">
        <f t="shared" si="862"/>
        <v>大阪府岸和田市荒木町２丁目</v>
      </c>
      <c r="F2513" s="7"/>
      <c r="G2513" s="7" t="str">
        <f t="shared" si="842"/>
        <v>事業用資産</v>
      </c>
      <c r="H2513" s="7" t="str">
        <f t="shared" si="856"/>
        <v>棚卸以外</v>
      </c>
      <c r="I2513" s="7">
        <v>6</v>
      </c>
      <c r="J2513" s="7" t="str">
        <f>"受水槽（８０トン）"</f>
        <v>受水槽（８０トン）</v>
      </c>
      <c r="K2513" s="7" t="str">
        <f t="shared" si="855"/>
        <v>鉄筋コンクリート造</v>
      </c>
      <c r="L2513" s="7" t="str">
        <f t="shared" si="863"/>
        <v>H09.01.30</v>
      </c>
      <c r="M2513" s="7">
        <v>65.040000000000006</v>
      </c>
      <c r="N2513" s="7">
        <v>57376000</v>
      </c>
      <c r="O2513" s="7">
        <v>31943534</v>
      </c>
      <c r="P2513" s="7">
        <v>0</v>
      </c>
      <c r="Q2513" s="7" t="str">
        <f t="shared" si="849"/>
        <v>都市整備部</v>
      </c>
      <c r="R2513" s="7" t="str">
        <f t="shared" si="846"/>
        <v>住宅建築局住宅経営室</v>
      </c>
    </row>
    <row r="2514" spans="1:18" s="1" customFormat="1" x14ac:dyDescent="0.45">
      <c r="A2514" s="7" t="str">
        <f t="shared" si="860"/>
        <v>09940003254</v>
      </c>
      <c r="B2514" s="7" t="str">
        <f t="shared" si="861"/>
        <v>岸和田荒木</v>
      </c>
      <c r="C2514" s="7" t="str">
        <f t="shared" si="847"/>
        <v>行政財産</v>
      </c>
      <c r="D2514" s="7" t="str">
        <f t="shared" si="848"/>
        <v>公営住宅</v>
      </c>
      <c r="E2514" s="7" t="str">
        <f t="shared" si="862"/>
        <v>大阪府岸和田市荒木町２丁目</v>
      </c>
      <c r="F2514" s="7"/>
      <c r="G2514" s="7" t="str">
        <f t="shared" si="842"/>
        <v>事業用資産</v>
      </c>
      <c r="H2514" s="7" t="str">
        <f t="shared" si="856"/>
        <v>棚卸以外</v>
      </c>
      <c r="I2514" s="7">
        <v>7</v>
      </c>
      <c r="J2514" s="7" t="str">
        <f>"受水槽（１００トン）"</f>
        <v>受水槽（１００トン）</v>
      </c>
      <c r="K2514" s="7" t="str">
        <f t="shared" si="855"/>
        <v>鉄筋コンクリート造</v>
      </c>
      <c r="L2514" s="7" t="str">
        <f t="shared" si="863"/>
        <v>H09.01.30</v>
      </c>
      <c r="M2514" s="7">
        <v>72.239999999999995</v>
      </c>
      <c r="N2514" s="7">
        <v>71719000</v>
      </c>
      <c r="O2514" s="7">
        <v>39928868</v>
      </c>
      <c r="P2514" s="7">
        <v>0</v>
      </c>
      <c r="Q2514" s="7" t="str">
        <f t="shared" si="849"/>
        <v>都市整備部</v>
      </c>
      <c r="R2514" s="7" t="str">
        <f t="shared" si="846"/>
        <v>住宅建築局住宅経営室</v>
      </c>
    </row>
    <row r="2515" spans="1:18" s="1" customFormat="1" x14ac:dyDescent="0.45">
      <c r="A2515" s="7" t="str">
        <f t="shared" si="860"/>
        <v>09940003254</v>
      </c>
      <c r="B2515" s="7" t="str">
        <f t="shared" si="861"/>
        <v>岸和田荒木</v>
      </c>
      <c r="C2515" s="7" t="str">
        <f t="shared" si="847"/>
        <v>行政財産</v>
      </c>
      <c r="D2515" s="7" t="str">
        <f t="shared" si="848"/>
        <v>公営住宅</v>
      </c>
      <c r="E2515" s="7" t="str">
        <f t="shared" si="862"/>
        <v>大阪府岸和田市荒木町２丁目</v>
      </c>
      <c r="F2515" s="7"/>
      <c r="G2515" s="7" t="str">
        <f t="shared" si="842"/>
        <v>事業用資産</v>
      </c>
      <c r="H2515" s="7" t="str">
        <f t="shared" si="856"/>
        <v>棚卸以外</v>
      </c>
      <c r="I2515" s="7">
        <v>8</v>
      </c>
      <c r="J2515" s="7" t="str">
        <f>"集会所"</f>
        <v>集会所</v>
      </c>
      <c r="K2515" s="7" t="str">
        <f t="shared" si="855"/>
        <v>鉄筋コンクリート造</v>
      </c>
      <c r="L2515" s="7" t="str">
        <f t="shared" si="863"/>
        <v>H09.01.30</v>
      </c>
      <c r="M2515" s="7">
        <v>218.77</v>
      </c>
      <c r="N2515" s="7">
        <v>65795000</v>
      </c>
      <c r="O2515" s="7">
        <v>35248314</v>
      </c>
      <c r="P2515" s="7">
        <v>0</v>
      </c>
      <c r="Q2515" s="7" t="str">
        <f t="shared" si="849"/>
        <v>都市整備部</v>
      </c>
      <c r="R2515" s="7" t="str">
        <f t="shared" si="846"/>
        <v>住宅建築局住宅経営室</v>
      </c>
    </row>
    <row r="2516" spans="1:18" s="1" customFormat="1" x14ac:dyDescent="0.45">
      <c r="A2516" s="7" t="str">
        <f t="shared" si="860"/>
        <v>09940003254</v>
      </c>
      <c r="B2516" s="7" t="str">
        <f t="shared" si="861"/>
        <v>岸和田荒木</v>
      </c>
      <c r="C2516" s="7" t="str">
        <f t="shared" si="847"/>
        <v>行政財産</v>
      </c>
      <c r="D2516" s="7" t="str">
        <f t="shared" si="848"/>
        <v>公営住宅</v>
      </c>
      <c r="E2516" s="7" t="str">
        <f t="shared" si="862"/>
        <v>大阪府岸和田市荒木町２丁目</v>
      </c>
      <c r="F2516" s="7"/>
      <c r="G2516" s="7" t="str">
        <f t="shared" si="842"/>
        <v>事業用資産</v>
      </c>
      <c r="H2516" s="7" t="str">
        <f t="shared" si="856"/>
        <v>棚卸以外</v>
      </c>
      <c r="I2516" s="7">
        <v>9</v>
      </c>
      <c r="J2516" s="7" t="str">
        <f>"５号棟"</f>
        <v>５号棟</v>
      </c>
      <c r="K2516" s="7" t="str">
        <f t="shared" si="855"/>
        <v>鉄筋コンクリート造</v>
      </c>
      <c r="L2516" s="7" t="str">
        <f>"H11.04.30"</f>
        <v>H11.04.30</v>
      </c>
      <c r="M2516" s="7">
        <v>7355.83</v>
      </c>
      <c r="N2516" s="7">
        <v>988090064</v>
      </c>
      <c r="O2516" s="7">
        <v>499984674</v>
      </c>
      <c r="P2516" s="7">
        <v>0</v>
      </c>
      <c r="Q2516" s="7" t="str">
        <f t="shared" si="849"/>
        <v>都市整備部</v>
      </c>
      <c r="R2516" s="7" t="str">
        <f t="shared" si="846"/>
        <v>住宅建築局住宅経営室</v>
      </c>
    </row>
    <row r="2517" spans="1:18" s="1" customFormat="1" x14ac:dyDescent="0.45">
      <c r="A2517" s="7" t="str">
        <f t="shared" si="860"/>
        <v>09940003254</v>
      </c>
      <c r="B2517" s="7" t="str">
        <f t="shared" si="861"/>
        <v>岸和田荒木</v>
      </c>
      <c r="C2517" s="7" t="str">
        <f t="shared" si="847"/>
        <v>行政財産</v>
      </c>
      <c r="D2517" s="7" t="str">
        <f t="shared" si="848"/>
        <v>公営住宅</v>
      </c>
      <c r="E2517" s="7" t="str">
        <f t="shared" si="862"/>
        <v>大阪府岸和田市荒木町２丁目</v>
      </c>
      <c r="F2517" s="7"/>
      <c r="G2517" s="7" t="str">
        <f t="shared" si="842"/>
        <v>事業用資産</v>
      </c>
      <c r="H2517" s="7" t="str">
        <f t="shared" si="856"/>
        <v>棚卸以外</v>
      </c>
      <c r="I2517" s="7">
        <v>10</v>
      </c>
      <c r="J2517" s="7" t="str">
        <f>"６号棟"</f>
        <v>６号棟</v>
      </c>
      <c r="K2517" s="7" t="str">
        <f t="shared" si="855"/>
        <v>鉄筋コンクリート造</v>
      </c>
      <c r="L2517" s="7" t="str">
        <f>"H11.04.30"</f>
        <v>H11.04.30</v>
      </c>
      <c r="M2517" s="7">
        <v>2599.61</v>
      </c>
      <c r="N2517" s="7">
        <v>550618084</v>
      </c>
      <c r="O2517" s="7">
        <v>277653236</v>
      </c>
      <c r="P2517" s="7">
        <v>0</v>
      </c>
      <c r="Q2517" s="7" t="str">
        <f t="shared" si="849"/>
        <v>都市整備部</v>
      </c>
      <c r="R2517" s="7" t="str">
        <f t="shared" si="846"/>
        <v>住宅建築局住宅経営室</v>
      </c>
    </row>
    <row r="2518" spans="1:18" s="1" customFormat="1" x14ac:dyDescent="0.45">
      <c r="A2518" s="7" t="str">
        <f t="shared" si="860"/>
        <v>09940003254</v>
      </c>
      <c r="B2518" s="7" t="str">
        <f t="shared" si="861"/>
        <v>岸和田荒木</v>
      </c>
      <c r="C2518" s="7" t="str">
        <f t="shared" si="847"/>
        <v>行政財産</v>
      </c>
      <c r="D2518" s="7" t="str">
        <f t="shared" si="848"/>
        <v>公営住宅</v>
      </c>
      <c r="E2518" s="7" t="str">
        <f t="shared" si="862"/>
        <v>大阪府岸和田市荒木町２丁目</v>
      </c>
      <c r="F2518" s="7"/>
      <c r="G2518" s="7" t="str">
        <f t="shared" si="842"/>
        <v>事業用資産</v>
      </c>
      <c r="H2518" s="7" t="str">
        <f t="shared" si="856"/>
        <v>棚卸以外</v>
      </c>
      <c r="I2518" s="7">
        <v>11</v>
      </c>
      <c r="J2518" s="7" t="str">
        <f>"７号棟"</f>
        <v>７号棟</v>
      </c>
      <c r="K2518" s="7" t="str">
        <f t="shared" si="855"/>
        <v>鉄筋コンクリート造</v>
      </c>
      <c r="L2518" s="7" t="str">
        <f>"H11.04.30"</f>
        <v>H11.04.30</v>
      </c>
      <c r="M2518" s="7">
        <v>5084.87</v>
      </c>
      <c r="N2518" s="7">
        <v>804287616</v>
      </c>
      <c r="O2518" s="7">
        <v>406550389</v>
      </c>
      <c r="P2518" s="7">
        <v>0</v>
      </c>
      <c r="Q2518" s="7" t="str">
        <f t="shared" si="849"/>
        <v>都市整備部</v>
      </c>
      <c r="R2518" s="7" t="str">
        <f t="shared" si="846"/>
        <v>住宅建築局住宅経営室</v>
      </c>
    </row>
    <row r="2519" spans="1:18" s="1" customFormat="1" x14ac:dyDescent="0.45">
      <c r="A2519" s="7" t="str">
        <f t="shared" si="860"/>
        <v>09940003254</v>
      </c>
      <c r="B2519" s="7" t="str">
        <f t="shared" si="861"/>
        <v>岸和田荒木</v>
      </c>
      <c r="C2519" s="7" t="str">
        <f t="shared" si="847"/>
        <v>行政財産</v>
      </c>
      <c r="D2519" s="7" t="str">
        <f t="shared" si="848"/>
        <v>公営住宅</v>
      </c>
      <c r="E2519" s="7" t="str">
        <f t="shared" si="862"/>
        <v>大阪府岸和田市荒木町２丁目</v>
      </c>
      <c r="F2519" s="7"/>
      <c r="G2519" s="7" t="str">
        <f t="shared" ref="G2519:G2582" si="864">"事業用資産"</f>
        <v>事業用資産</v>
      </c>
      <c r="H2519" s="7" t="str">
        <f t="shared" si="856"/>
        <v>棚卸以外</v>
      </c>
      <c r="I2519" s="7">
        <v>12</v>
      </c>
      <c r="J2519" s="7" t="str">
        <f>"受水槽ポンプ室"</f>
        <v>受水槽ポンプ室</v>
      </c>
      <c r="K2519" s="7" t="str">
        <f t="shared" si="855"/>
        <v>鉄筋コンクリート造</v>
      </c>
      <c r="L2519" s="7" t="str">
        <f>"H11.04.30"</f>
        <v>H11.04.30</v>
      </c>
      <c r="M2519" s="7">
        <v>57.84</v>
      </c>
      <c r="N2519" s="7">
        <v>29281000</v>
      </c>
      <c r="O2519" s="7">
        <v>14900179</v>
      </c>
      <c r="P2519" s="7">
        <v>0</v>
      </c>
      <c r="Q2519" s="7" t="str">
        <f t="shared" si="849"/>
        <v>都市整備部</v>
      </c>
      <c r="R2519" s="7" t="str">
        <f t="shared" si="846"/>
        <v>住宅建築局住宅経営室</v>
      </c>
    </row>
    <row r="2520" spans="1:18" s="1" customFormat="1" x14ac:dyDescent="0.45">
      <c r="A2520" s="7" t="str">
        <f t="shared" si="860"/>
        <v>09940003254</v>
      </c>
      <c r="B2520" s="7" t="str">
        <f t="shared" si="861"/>
        <v>岸和田荒木</v>
      </c>
      <c r="C2520" s="7" t="str">
        <f t="shared" si="847"/>
        <v>行政財産</v>
      </c>
      <c r="D2520" s="7" t="str">
        <f t="shared" si="848"/>
        <v>公営住宅</v>
      </c>
      <c r="E2520" s="7" t="str">
        <f t="shared" si="862"/>
        <v>大阪府岸和田市荒木町２丁目</v>
      </c>
      <c r="F2520" s="7"/>
      <c r="G2520" s="7" t="str">
        <f t="shared" si="864"/>
        <v>事業用資産</v>
      </c>
      <c r="H2520" s="7" t="str">
        <f t="shared" si="856"/>
        <v>棚卸以外</v>
      </c>
      <c r="I2520" s="7">
        <v>13</v>
      </c>
      <c r="J2520" s="7" t="str">
        <f>"９号棟"</f>
        <v>９号棟</v>
      </c>
      <c r="K2520" s="7" t="str">
        <f t="shared" si="855"/>
        <v>鉄筋コンクリート造</v>
      </c>
      <c r="L2520" s="7" t="str">
        <f>"H13.09.03"</f>
        <v>H13.09.03</v>
      </c>
      <c r="M2520" s="7">
        <v>5333.26</v>
      </c>
      <c r="N2520" s="7">
        <v>965879084</v>
      </c>
      <c r="O2520" s="7">
        <v>439723428</v>
      </c>
      <c r="P2520" s="7">
        <v>0</v>
      </c>
      <c r="Q2520" s="7" t="str">
        <f t="shared" si="849"/>
        <v>都市整備部</v>
      </c>
      <c r="R2520" s="7" t="str">
        <f t="shared" ref="R2520:R2583" si="865">"住宅建築局住宅経営室"</f>
        <v>住宅建築局住宅経営室</v>
      </c>
    </row>
    <row r="2521" spans="1:18" s="1" customFormat="1" x14ac:dyDescent="0.45">
      <c r="A2521" s="7" t="str">
        <f t="shared" si="860"/>
        <v>09940003254</v>
      </c>
      <c r="B2521" s="7" t="str">
        <f t="shared" si="861"/>
        <v>岸和田荒木</v>
      </c>
      <c r="C2521" s="7" t="str">
        <f t="shared" si="847"/>
        <v>行政財産</v>
      </c>
      <c r="D2521" s="7" t="str">
        <f t="shared" si="848"/>
        <v>公営住宅</v>
      </c>
      <c r="E2521" s="7" t="str">
        <f t="shared" si="862"/>
        <v>大阪府岸和田市荒木町２丁目</v>
      </c>
      <c r="F2521" s="7"/>
      <c r="G2521" s="7" t="str">
        <f t="shared" si="864"/>
        <v>事業用資産</v>
      </c>
      <c r="H2521" s="7" t="str">
        <f t="shared" si="856"/>
        <v>棚卸以外</v>
      </c>
      <c r="I2521" s="7">
        <v>14</v>
      </c>
      <c r="J2521" s="7" t="str">
        <f>"１０号棟"</f>
        <v>１０号棟</v>
      </c>
      <c r="K2521" s="7" t="str">
        <f t="shared" si="855"/>
        <v>鉄筋コンクリート造</v>
      </c>
      <c r="L2521" s="7" t="str">
        <f>"H13.09.03"</f>
        <v>H13.09.03</v>
      </c>
      <c r="M2521" s="7">
        <v>3235.64</v>
      </c>
      <c r="N2521" s="7">
        <v>642786084</v>
      </c>
      <c r="O2521" s="7">
        <v>291925548</v>
      </c>
      <c r="P2521" s="7">
        <v>0</v>
      </c>
      <c r="Q2521" s="7" t="str">
        <f t="shared" si="849"/>
        <v>都市整備部</v>
      </c>
      <c r="R2521" s="7" t="str">
        <f t="shared" si="865"/>
        <v>住宅建築局住宅経営室</v>
      </c>
    </row>
    <row r="2522" spans="1:18" s="1" customFormat="1" x14ac:dyDescent="0.45">
      <c r="A2522" s="7" t="str">
        <f t="shared" si="860"/>
        <v>09940003254</v>
      </c>
      <c r="B2522" s="7" t="str">
        <f t="shared" si="861"/>
        <v>岸和田荒木</v>
      </c>
      <c r="C2522" s="7" t="str">
        <f t="shared" ref="C2522:C2585" si="866">"行政財産"</f>
        <v>行政財産</v>
      </c>
      <c r="D2522" s="7" t="str">
        <f t="shared" ref="D2522:D2585" si="867">"公営住宅"</f>
        <v>公営住宅</v>
      </c>
      <c r="E2522" s="7" t="str">
        <f t="shared" si="862"/>
        <v>大阪府岸和田市荒木町２丁目</v>
      </c>
      <c r="F2522" s="7"/>
      <c r="G2522" s="7" t="str">
        <f t="shared" si="864"/>
        <v>事業用資産</v>
      </c>
      <c r="H2522" s="7" t="str">
        <f t="shared" si="856"/>
        <v>棚卸以外</v>
      </c>
      <c r="I2522" s="7">
        <v>15</v>
      </c>
      <c r="J2522" s="7" t="str">
        <f>"１１号棟"</f>
        <v>１１号棟</v>
      </c>
      <c r="K2522" s="7" t="str">
        <f t="shared" si="855"/>
        <v>鉄筋コンクリート造</v>
      </c>
      <c r="L2522" s="7" t="str">
        <f>"H13.09.03"</f>
        <v>H13.09.03</v>
      </c>
      <c r="M2522" s="7">
        <v>3541.23</v>
      </c>
      <c r="N2522" s="7">
        <v>560328084</v>
      </c>
      <c r="O2522" s="7">
        <v>254205432</v>
      </c>
      <c r="P2522" s="7">
        <v>0</v>
      </c>
      <c r="Q2522" s="7" t="str">
        <f t="shared" si="849"/>
        <v>都市整備部</v>
      </c>
      <c r="R2522" s="7" t="str">
        <f t="shared" si="865"/>
        <v>住宅建築局住宅経営室</v>
      </c>
    </row>
    <row r="2523" spans="1:18" s="1" customFormat="1" x14ac:dyDescent="0.45">
      <c r="A2523" s="7" t="str">
        <f t="shared" si="860"/>
        <v>09940003254</v>
      </c>
      <c r="B2523" s="7" t="str">
        <f t="shared" si="861"/>
        <v>岸和田荒木</v>
      </c>
      <c r="C2523" s="7" t="str">
        <f t="shared" si="866"/>
        <v>行政財産</v>
      </c>
      <c r="D2523" s="7" t="str">
        <f t="shared" si="867"/>
        <v>公営住宅</v>
      </c>
      <c r="E2523" s="7" t="str">
        <f t="shared" si="862"/>
        <v>大阪府岸和田市荒木町２丁目</v>
      </c>
      <c r="F2523" s="7"/>
      <c r="G2523" s="7" t="str">
        <f t="shared" si="864"/>
        <v>事業用資産</v>
      </c>
      <c r="H2523" s="7" t="str">
        <f t="shared" si="856"/>
        <v>棚卸以外</v>
      </c>
      <c r="I2523" s="7">
        <v>16</v>
      </c>
      <c r="J2523" s="7" t="str">
        <f>"１２号棟"</f>
        <v>１２号棟</v>
      </c>
      <c r="K2523" s="7" t="str">
        <f t="shared" si="855"/>
        <v>鉄筋コンクリート造</v>
      </c>
      <c r="L2523" s="7" t="str">
        <f>"H13.09.03"</f>
        <v>H13.09.03</v>
      </c>
      <c r="M2523" s="7">
        <v>3647.75</v>
      </c>
      <c r="N2523" s="7">
        <v>473793084</v>
      </c>
      <c r="O2523" s="7">
        <v>214620234</v>
      </c>
      <c r="P2523" s="7">
        <v>0</v>
      </c>
      <c r="Q2523" s="7" t="str">
        <f t="shared" ref="Q2523:Q2586" si="868">"都市整備部"</f>
        <v>都市整備部</v>
      </c>
      <c r="R2523" s="7" t="str">
        <f t="shared" si="865"/>
        <v>住宅建築局住宅経営室</v>
      </c>
    </row>
    <row r="2524" spans="1:18" s="1" customFormat="1" x14ac:dyDescent="0.45">
      <c r="A2524" s="7" t="str">
        <f t="shared" si="860"/>
        <v>09940003254</v>
      </c>
      <c r="B2524" s="7" t="str">
        <f t="shared" si="861"/>
        <v>岸和田荒木</v>
      </c>
      <c r="C2524" s="7" t="str">
        <f t="shared" si="866"/>
        <v>行政財産</v>
      </c>
      <c r="D2524" s="7" t="str">
        <f t="shared" si="867"/>
        <v>公営住宅</v>
      </c>
      <c r="E2524" s="7" t="str">
        <f t="shared" si="862"/>
        <v>大阪府岸和田市荒木町２丁目</v>
      </c>
      <c r="F2524" s="7"/>
      <c r="G2524" s="7" t="str">
        <f t="shared" si="864"/>
        <v>事業用資産</v>
      </c>
      <c r="H2524" s="7" t="str">
        <f t="shared" si="856"/>
        <v>棚卸以外</v>
      </c>
      <c r="I2524" s="7">
        <v>17</v>
      </c>
      <c r="J2524" s="7" t="str">
        <f>"受水槽ポンプ室・電気室"</f>
        <v>受水槽ポンプ室・電気室</v>
      </c>
      <c r="K2524" s="7" t="str">
        <f t="shared" si="855"/>
        <v>鉄筋コンクリート造</v>
      </c>
      <c r="L2524" s="7" t="str">
        <f>"H13.09.03"</f>
        <v>H13.09.03</v>
      </c>
      <c r="M2524" s="7">
        <v>123.61</v>
      </c>
      <c r="N2524" s="7">
        <v>37489000</v>
      </c>
      <c r="O2524" s="7">
        <v>17149260</v>
      </c>
      <c r="P2524" s="7">
        <v>0</v>
      </c>
      <c r="Q2524" s="7" t="str">
        <f t="shared" si="868"/>
        <v>都市整備部</v>
      </c>
      <c r="R2524" s="7" t="str">
        <f t="shared" si="865"/>
        <v>住宅建築局住宅経営室</v>
      </c>
    </row>
    <row r="2525" spans="1:18" s="1" customFormat="1" x14ac:dyDescent="0.45">
      <c r="A2525" s="7" t="str">
        <f>"09940003255"</f>
        <v>09940003255</v>
      </c>
      <c r="B2525" s="7" t="str">
        <f>"岸和田田治米"</f>
        <v>岸和田田治米</v>
      </c>
      <c r="C2525" s="7" t="str">
        <f t="shared" si="866"/>
        <v>行政財産</v>
      </c>
      <c r="D2525" s="7" t="str">
        <f t="shared" si="867"/>
        <v>公営住宅</v>
      </c>
      <c r="E2525" s="7" t="str">
        <f>"大阪府岸和田市田治米町"</f>
        <v>大阪府岸和田市田治米町</v>
      </c>
      <c r="F2525" s="7"/>
      <c r="G2525" s="7" t="str">
        <f t="shared" si="864"/>
        <v>事業用資産</v>
      </c>
      <c r="H2525" s="7" t="str">
        <f t="shared" si="856"/>
        <v>棚卸以外</v>
      </c>
      <c r="I2525" s="7">
        <v>1</v>
      </c>
      <c r="J2525" s="7" t="str">
        <f>"１～２３号棟"</f>
        <v>１～２３号棟</v>
      </c>
      <c r="K2525" s="7" t="str">
        <f t="shared" si="855"/>
        <v>鉄筋コンクリート造</v>
      </c>
      <c r="L2525" s="7" t="str">
        <f>"S47.05.26"</f>
        <v>S47.05.26</v>
      </c>
      <c r="M2525" s="7">
        <v>29509.54</v>
      </c>
      <c r="N2525" s="7">
        <v>2413017493</v>
      </c>
      <c r="O2525" s="7">
        <v>1472783643</v>
      </c>
      <c r="P2525" s="7">
        <v>0</v>
      </c>
      <c r="Q2525" s="7" t="str">
        <f t="shared" si="868"/>
        <v>都市整備部</v>
      </c>
      <c r="R2525" s="7" t="str">
        <f t="shared" si="865"/>
        <v>住宅建築局住宅経営室</v>
      </c>
    </row>
    <row r="2526" spans="1:18" s="1" customFormat="1" x14ac:dyDescent="0.45">
      <c r="A2526" s="7" t="str">
        <f>"09940003255"</f>
        <v>09940003255</v>
      </c>
      <c r="B2526" s="7" t="str">
        <f>"岸和田田治米"</f>
        <v>岸和田田治米</v>
      </c>
      <c r="C2526" s="7" t="str">
        <f t="shared" si="866"/>
        <v>行政財産</v>
      </c>
      <c r="D2526" s="7" t="str">
        <f t="shared" si="867"/>
        <v>公営住宅</v>
      </c>
      <c r="E2526" s="7" t="str">
        <f>"大阪府岸和田市田治米町"</f>
        <v>大阪府岸和田市田治米町</v>
      </c>
      <c r="F2526" s="7"/>
      <c r="G2526" s="7" t="str">
        <f t="shared" si="864"/>
        <v>事業用資産</v>
      </c>
      <c r="H2526" s="7" t="str">
        <f t="shared" si="856"/>
        <v>棚卸以外</v>
      </c>
      <c r="I2526" s="7">
        <v>2</v>
      </c>
      <c r="J2526" s="7" t="str">
        <f>"２４～２６号棟"</f>
        <v>２４～２６号棟</v>
      </c>
      <c r="K2526" s="7" t="str">
        <f t="shared" si="855"/>
        <v>鉄筋コンクリート造</v>
      </c>
      <c r="L2526" s="7" t="str">
        <f>"S47.05.26"</f>
        <v>S47.05.26</v>
      </c>
      <c r="M2526" s="7">
        <v>12274.5</v>
      </c>
      <c r="N2526" s="7">
        <v>621633869</v>
      </c>
      <c r="O2526" s="7">
        <v>522649028</v>
      </c>
      <c r="P2526" s="7">
        <v>0</v>
      </c>
      <c r="Q2526" s="7" t="str">
        <f t="shared" si="868"/>
        <v>都市整備部</v>
      </c>
      <c r="R2526" s="7" t="str">
        <f t="shared" si="865"/>
        <v>住宅建築局住宅経営室</v>
      </c>
    </row>
    <row r="2527" spans="1:18" s="1" customFormat="1" x14ac:dyDescent="0.45">
      <c r="A2527" s="7" t="str">
        <f>"09940003255"</f>
        <v>09940003255</v>
      </c>
      <c r="B2527" s="7" t="str">
        <f>"岸和田田治米"</f>
        <v>岸和田田治米</v>
      </c>
      <c r="C2527" s="7" t="str">
        <f t="shared" si="866"/>
        <v>行政財産</v>
      </c>
      <c r="D2527" s="7" t="str">
        <f t="shared" si="867"/>
        <v>公営住宅</v>
      </c>
      <c r="E2527" s="7" t="str">
        <f>"大阪府岸和田市田治米町"</f>
        <v>大阪府岸和田市田治米町</v>
      </c>
      <c r="F2527" s="7"/>
      <c r="G2527" s="7" t="str">
        <f t="shared" si="864"/>
        <v>事業用資産</v>
      </c>
      <c r="H2527" s="7" t="str">
        <f t="shared" si="856"/>
        <v>棚卸以外</v>
      </c>
      <c r="I2527" s="7">
        <v>3</v>
      </c>
      <c r="J2527" s="7" t="str">
        <f>"集会所"</f>
        <v>集会所</v>
      </c>
      <c r="K2527" s="7" t="str">
        <f t="shared" si="855"/>
        <v>鉄筋コンクリート造</v>
      </c>
      <c r="L2527" s="7" t="str">
        <f>"H06.01.27"</f>
        <v>H06.01.27</v>
      </c>
      <c r="M2527" s="7">
        <v>217.27</v>
      </c>
      <c r="N2527" s="7">
        <v>64063021</v>
      </c>
      <c r="O2527" s="7">
        <v>26658212</v>
      </c>
      <c r="P2527" s="7">
        <v>0</v>
      </c>
      <c r="Q2527" s="7" t="str">
        <f t="shared" si="868"/>
        <v>都市整備部</v>
      </c>
      <c r="R2527" s="7" t="str">
        <f t="shared" si="865"/>
        <v>住宅建築局住宅経営室</v>
      </c>
    </row>
    <row r="2528" spans="1:18" s="1" customFormat="1" x14ac:dyDescent="0.45">
      <c r="A2528" s="7" t="str">
        <f>"09940003256"</f>
        <v>09940003256</v>
      </c>
      <c r="B2528" s="7" t="str">
        <f>"春木旭"</f>
        <v>春木旭</v>
      </c>
      <c r="C2528" s="7" t="str">
        <f t="shared" si="866"/>
        <v>行政財産</v>
      </c>
      <c r="D2528" s="7" t="str">
        <f t="shared" si="867"/>
        <v>公営住宅</v>
      </c>
      <c r="E2528" s="7" t="str">
        <f>"大阪府岸和田市春木旭町"</f>
        <v>大阪府岸和田市春木旭町</v>
      </c>
      <c r="F2528" s="7"/>
      <c r="G2528" s="7" t="str">
        <f t="shared" si="864"/>
        <v>事業用資産</v>
      </c>
      <c r="H2528" s="7" t="str">
        <f t="shared" si="856"/>
        <v>棚卸以外</v>
      </c>
      <c r="I2528" s="7">
        <v>1</v>
      </c>
      <c r="J2528" s="7" t="str">
        <f>"１～４号棟"</f>
        <v>１～４号棟</v>
      </c>
      <c r="K2528" s="7" t="str">
        <f t="shared" si="855"/>
        <v>鉄筋コンクリート造</v>
      </c>
      <c r="L2528" s="7" t="str">
        <f>"S47.02.07"</f>
        <v>S47.02.07</v>
      </c>
      <c r="M2528" s="7">
        <v>16995.689999999999</v>
      </c>
      <c r="N2528" s="7">
        <v>1701845557</v>
      </c>
      <c r="O2528" s="7">
        <v>1018162306</v>
      </c>
      <c r="P2528" s="7">
        <v>0</v>
      </c>
      <c r="Q2528" s="7" t="str">
        <f t="shared" si="868"/>
        <v>都市整備部</v>
      </c>
      <c r="R2528" s="7" t="str">
        <f t="shared" si="865"/>
        <v>住宅建築局住宅経営室</v>
      </c>
    </row>
    <row r="2529" spans="1:18" s="1" customFormat="1" x14ac:dyDescent="0.45">
      <c r="A2529" s="7" t="str">
        <f>"09940003256"</f>
        <v>09940003256</v>
      </c>
      <c r="B2529" s="7" t="str">
        <f>"春木旭"</f>
        <v>春木旭</v>
      </c>
      <c r="C2529" s="7" t="str">
        <f t="shared" si="866"/>
        <v>行政財産</v>
      </c>
      <c r="D2529" s="7" t="str">
        <f t="shared" si="867"/>
        <v>公営住宅</v>
      </c>
      <c r="E2529" s="7" t="str">
        <f>"大阪府岸和田市春木旭町"</f>
        <v>大阪府岸和田市春木旭町</v>
      </c>
      <c r="F2529" s="7"/>
      <c r="G2529" s="7" t="str">
        <f t="shared" si="864"/>
        <v>事業用資産</v>
      </c>
      <c r="H2529" s="7" t="str">
        <f t="shared" si="856"/>
        <v>棚卸以外</v>
      </c>
      <c r="I2529" s="7">
        <v>2</v>
      </c>
      <c r="J2529" s="7" t="str">
        <f>"集会所"</f>
        <v>集会所</v>
      </c>
      <c r="K2529" s="7" t="str">
        <f t="shared" si="855"/>
        <v>鉄筋コンクリート造</v>
      </c>
      <c r="L2529" s="7" t="str">
        <f>"S62.03.31"</f>
        <v>S62.03.31</v>
      </c>
      <c r="M2529" s="7">
        <v>16.2</v>
      </c>
      <c r="N2529" s="7">
        <v>6066927</v>
      </c>
      <c r="O2529" s="7">
        <v>4417199</v>
      </c>
      <c r="P2529" s="7">
        <v>0</v>
      </c>
      <c r="Q2529" s="7" t="str">
        <f t="shared" si="868"/>
        <v>都市整備部</v>
      </c>
      <c r="R2529" s="7" t="str">
        <f t="shared" si="865"/>
        <v>住宅建築局住宅経営室</v>
      </c>
    </row>
    <row r="2530" spans="1:18" s="1" customFormat="1" x14ac:dyDescent="0.45">
      <c r="A2530" s="7" t="str">
        <f>"09940003256"</f>
        <v>09940003256</v>
      </c>
      <c r="B2530" s="7" t="str">
        <f>"春木旭"</f>
        <v>春木旭</v>
      </c>
      <c r="C2530" s="7" t="str">
        <f t="shared" si="866"/>
        <v>行政財産</v>
      </c>
      <c r="D2530" s="7" t="str">
        <f t="shared" si="867"/>
        <v>公営住宅</v>
      </c>
      <c r="E2530" s="7" t="str">
        <f>"大阪府岸和田市春木旭町"</f>
        <v>大阪府岸和田市春木旭町</v>
      </c>
      <c r="F2530" s="7"/>
      <c r="G2530" s="7" t="str">
        <f t="shared" si="864"/>
        <v>事業用資産</v>
      </c>
      <c r="H2530" s="7" t="str">
        <f t="shared" si="856"/>
        <v>棚卸以外</v>
      </c>
      <c r="I2530" s="7">
        <v>3</v>
      </c>
      <c r="J2530" s="7" t="str">
        <f>"受水槽・ポンプ室・電気室"</f>
        <v>受水槽・ポンプ室・電気室</v>
      </c>
      <c r="K2530" s="7" t="str">
        <f t="shared" ref="K2530:K2561" si="869">"鉄筋コンクリート造"</f>
        <v>鉄筋コンクリート造</v>
      </c>
      <c r="L2530" s="7" t="str">
        <f>"S47.02.07"</f>
        <v>S47.02.07</v>
      </c>
      <c r="M2530" s="7">
        <v>165</v>
      </c>
      <c r="N2530" s="7">
        <v>17544000</v>
      </c>
      <c r="O2530" s="7">
        <v>17543999</v>
      </c>
      <c r="P2530" s="7">
        <v>0</v>
      </c>
      <c r="Q2530" s="7" t="str">
        <f t="shared" si="868"/>
        <v>都市整備部</v>
      </c>
      <c r="R2530" s="7" t="str">
        <f t="shared" si="865"/>
        <v>住宅建築局住宅経営室</v>
      </c>
    </row>
    <row r="2531" spans="1:18" s="1" customFormat="1" x14ac:dyDescent="0.45">
      <c r="A2531" s="7" t="str">
        <f>"09940003257"</f>
        <v>09940003257</v>
      </c>
      <c r="B2531" s="7" t="str">
        <f>"岸和田土生"</f>
        <v>岸和田土生</v>
      </c>
      <c r="C2531" s="7" t="str">
        <f t="shared" si="866"/>
        <v>行政財産</v>
      </c>
      <c r="D2531" s="7" t="str">
        <f t="shared" si="867"/>
        <v>公営住宅</v>
      </c>
      <c r="E2531" s="7" t="str">
        <f>"大阪府岸和田市土生町５丁目"</f>
        <v>大阪府岸和田市土生町５丁目</v>
      </c>
      <c r="F2531" s="7"/>
      <c r="G2531" s="7" t="str">
        <f t="shared" si="864"/>
        <v>事業用資産</v>
      </c>
      <c r="H2531" s="7" t="str">
        <f t="shared" si="856"/>
        <v>棚卸以外</v>
      </c>
      <c r="I2531" s="7">
        <v>1</v>
      </c>
      <c r="J2531" s="7" t="str">
        <f>"１～１７号棟"</f>
        <v>１～１７号棟</v>
      </c>
      <c r="K2531" s="7" t="str">
        <f t="shared" si="869"/>
        <v>鉄筋コンクリート造</v>
      </c>
      <c r="L2531" s="7" t="str">
        <f>"S49.05.10"</f>
        <v>S49.05.10</v>
      </c>
      <c r="M2531" s="7">
        <v>34212.53</v>
      </c>
      <c r="N2531" s="7">
        <v>3814281509</v>
      </c>
      <c r="O2531" s="7">
        <v>2650106455</v>
      </c>
      <c r="P2531" s="7">
        <v>0</v>
      </c>
      <c r="Q2531" s="7" t="str">
        <f t="shared" si="868"/>
        <v>都市整備部</v>
      </c>
      <c r="R2531" s="7" t="str">
        <f t="shared" si="865"/>
        <v>住宅建築局住宅経営室</v>
      </c>
    </row>
    <row r="2532" spans="1:18" s="1" customFormat="1" x14ac:dyDescent="0.45">
      <c r="A2532" s="7" t="str">
        <f>"09940003257"</f>
        <v>09940003257</v>
      </c>
      <c r="B2532" s="7" t="str">
        <f>"岸和田土生"</f>
        <v>岸和田土生</v>
      </c>
      <c r="C2532" s="7" t="str">
        <f t="shared" si="866"/>
        <v>行政財産</v>
      </c>
      <c r="D2532" s="7" t="str">
        <f t="shared" si="867"/>
        <v>公営住宅</v>
      </c>
      <c r="E2532" s="7" t="str">
        <f>"大阪府岸和田市土生町５丁目"</f>
        <v>大阪府岸和田市土生町５丁目</v>
      </c>
      <c r="F2532" s="7"/>
      <c r="G2532" s="7" t="str">
        <f t="shared" si="864"/>
        <v>事業用資産</v>
      </c>
      <c r="H2532" s="7" t="str">
        <f t="shared" si="856"/>
        <v>棚卸以外</v>
      </c>
      <c r="I2532" s="7">
        <v>2</v>
      </c>
      <c r="J2532" s="7" t="str">
        <f>"集会所"</f>
        <v>集会所</v>
      </c>
      <c r="K2532" s="7" t="str">
        <f t="shared" si="869"/>
        <v>鉄筋コンクリート造</v>
      </c>
      <c r="L2532" s="7" t="str">
        <f>"S49.05.10"</f>
        <v>S49.05.10</v>
      </c>
      <c r="M2532" s="7">
        <v>208.9</v>
      </c>
      <c r="N2532" s="7">
        <v>9842516</v>
      </c>
      <c r="O2532" s="7">
        <v>9603103</v>
      </c>
      <c r="P2532" s="7">
        <v>0</v>
      </c>
      <c r="Q2532" s="7" t="str">
        <f t="shared" si="868"/>
        <v>都市整備部</v>
      </c>
      <c r="R2532" s="7" t="str">
        <f t="shared" si="865"/>
        <v>住宅建築局住宅経営室</v>
      </c>
    </row>
    <row r="2533" spans="1:18" s="1" customFormat="1" x14ac:dyDescent="0.45">
      <c r="A2533" s="7" t="str">
        <f>"09940003257"</f>
        <v>09940003257</v>
      </c>
      <c r="B2533" s="7" t="str">
        <f>"岸和田土生"</f>
        <v>岸和田土生</v>
      </c>
      <c r="C2533" s="7" t="str">
        <f t="shared" si="866"/>
        <v>行政財産</v>
      </c>
      <c r="D2533" s="7" t="str">
        <f t="shared" si="867"/>
        <v>公営住宅</v>
      </c>
      <c r="E2533" s="7" t="str">
        <f>"大阪府岸和田市土生町５丁目"</f>
        <v>大阪府岸和田市土生町５丁目</v>
      </c>
      <c r="F2533" s="7"/>
      <c r="G2533" s="7" t="str">
        <f t="shared" si="864"/>
        <v>事業用資産</v>
      </c>
      <c r="H2533" s="7" t="str">
        <f t="shared" si="856"/>
        <v>棚卸以外</v>
      </c>
      <c r="I2533" s="7">
        <v>3</v>
      </c>
      <c r="J2533" s="7" t="str">
        <f>"電気室"</f>
        <v>電気室</v>
      </c>
      <c r="K2533" s="7" t="str">
        <f t="shared" si="869"/>
        <v>鉄筋コンクリート造</v>
      </c>
      <c r="L2533" s="7" t="str">
        <f>"S49.05.10"</f>
        <v>S49.05.10</v>
      </c>
      <c r="M2533" s="7">
        <v>150</v>
      </c>
      <c r="N2533" s="7">
        <v>7718000</v>
      </c>
      <c r="O2533" s="7">
        <v>7717999</v>
      </c>
      <c r="P2533" s="7">
        <v>0</v>
      </c>
      <c r="Q2533" s="7" t="str">
        <f t="shared" si="868"/>
        <v>都市整備部</v>
      </c>
      <c r="R2533" s="7" t="str">
        <f t="shared" si="865"/>
        <v>住宅建築局住宅経営室</v>
      </c>
    </row>
    <row r="2534" spans="1:18" s="1" customFormat="1" x14ac:dyDescent="0.45">
      <c r="A2534" s="7" t="str">
        <f>"09940003257"</f>
        <v>09940003257</v>
      </c>
      <c r="B2534" s="7" t="str">
        <f>"岸和田土生"</f>
        <v>岸和田土生</v>
      </c>
      <c r="C2534" s="7" t="str">
        <f t="shared" si="866"/>
        <v>行政財産</v>
      </c>
      <c r="D2534" s="7" t="str">
        <f t="shared" si="867"/>
        <v>公営住宅</v>
      </c>
      <c r="E2534" s="7" t="str">
        <f>"大阪府岸和田市土生町５丁目"</f>
        <v>大阪府岸和田市土生町５丁目</v>
      </c>
      <c r="F2534" s="7"/>
      <c r="G2534" s="7" t="str">
        <f t="shared" si="864"/>
        <v>事業用資産</v>
      </c>
      <c r="H2534" s="7" t="str">
        <f t="shared" si="856"/>
        <v>棚卸以外</v>
      </c>
      <c r="I2534" s="7">
        <v>4</v>
      </c>
      <c r="J2534" s="7" t="str">
        <f>"管理棟"</f>
        <v>管理棟</v>
      </c>
      <c r="K2534" s="7" t="str">
        <f t="shared" si="869"/>
        <v>鉄筋コンクリート造</v>
      </c>
      <c r="L2534" s="7" t="str">
        <f>"S49.05.10"</f>
        <v>S49.05.10</v>
      </c>
      <c r="M2534" s="7">
        <v>60</v>
      </c>
      <c r="N2534" s="7">
        <v>7620000</v>
      </c>
      <c r="O2534" s="7">
        <v>7619999</v>
      </c>
      <c r="P2534" s="7">
        <v>0</v>
      </c>
      <c r="Q2534" s="7" t="str">
        <f t="shared" si="868"/>
        <v>都市整備部</v>
      </c>
      <c r="R2534" s="7" t="str">
        <f t="shared" si="865"/>
        <v>住宅建築局住宅経営室</v>
      </c>
    </row>
    <row r="2535" spans="1:18" s="1" customFormat="1" x14ac:dyDescent="0.45">
      <c r="A2535" s="7" t="str">
        <f t="shared" ref="A2535:A2555" si="870">"09940003258"</f>
        <v>09940003258</v>
      </c>
      <c r="B2535" s="7" t="str">
        <f t="shared" ref="B2535:B2555" si="871">"岸和田天神山"</f>
        <v>岸和田天神山</v>
      </c>
      <c r="C2535" s="7" t="str">
        <f t="shared" si="866"/>
        <v>行政財産</v>
      </c>
      <c r="D2535" s="7" t="str">
        <f t="shared" si="867"/>
        <v>公営住宅</v>
      </c>
      <c r="E2535" s="7" t="str">
        <f t="shared" ref="E2535:E2555" si="872">"大阪府岸和田市天神山町１丁目"</f>
        <v>大阪府岸和田市天神山町１丁目</v>
      </c>
      <c r="F2535" s="7"/>
      <c r="G2535" s="7" t="str">
        <f t="shared" si="864"/>
        <v>事業用資産</v>
      </c>
      <c r="H2535" s="7" t="str">
        <f t="shared" si="856"/>
        <v>棚卸以外</v>
      </c>
      <c r="I2535" s="7">
        <v>1</v>
      </c>
      <c r="J2535" s="7" t="str">
        <f>"１号棟"</f>
        <v>１号棟</v>
      </c>
      <c r="K2535" s="7" t="str">
        <f t="shared" si="869"/>
        <v>鉄筋コンクリート造</v>
      </c>
      <c r="L2535" s="7" t="str">
        <f t="shared" ref="L2535:L2546" si="873">"S34.03.29"</f>
        <v>S34.03.29</v>
      </c>
      <c r="M2535" s="7">
        <v>2142.13</v>
      </c>
      <c r="N2535" s="7">
        <v>173095000</v>
      </c>
      <c r="O2535" s="7">
        <v>162046896</v>
      </c>
      <c r="P2535" s="7">
        <v>0</v>
      </c>
      <c r="Q2535" s="7" t="str">
        <f t="shared" si="868"/>
        <v>都市整備部</v>
      </c>
      <c r="R2535" s="7" t="str">
        <f t="shared" si="865"/>
        <v>住宅建築局住宅経営室</v>
      </c>
    </row>
    <row r="2536" spans="1:18" s="1" customFormat="1" x14ac:dyDescent="0.45">
      <c r="A2536" s="7" t="str">
        <f t="shared" si="870"/>
        <v>09940003258</v>
      </c>
      <c r="B2536" s="7" t="str">
        <f t="shared" si="871"/>
        <v>岸和田天神山</v>
      </c>
      <c r="C2536" s="7" t="str">
        <f t="shared" si="866"/>
        <v>行政財産</v>
      </c>
      <c r="D2536" s="7" t="str">
        <f t="shared" si="867"/>
        <v>公営住宅</v>
      </c>
      <c r="E2536" s="7" t="str">
        <f t="shared" si="872"/>
        <v>大阪府岸和田市天神山町１丁目</v>
      </c>
      <c r="F2536" s="7"/>
      <c r="G2536" s="7" t="str">
        <f t="shared" si="864"/>
        <v>事業用資産</v>
      </c>
      <c r="H2536" s="7" t="str">
        <f t="shared" si="856"/>
        <v>棚卸以外</v>
      </c>
      <c r="I2536" s="7">
        <v>2</v>
      </c>
      <c r="J2536" s="7" t="str">
        <f>"５号棟"</f>
        <v>５号棟</v>
      </c>
      <c r="K2536" s="7" t="str">
        <f t="shared" si="869"/>
        <v>鉄筋コンクリート造</v>
      </c>
      <c r="L2536" s="7" t="str">
        <f t="shared" si="873"/>
        <v>S34.03.29</v>
      </c>
      <c r="M2536" s="7">
        <v>1926.2</v>
      </c>
      <c r="N2536" s="7">
        <v>149492000</v>
      </c>
      <c r="O2536" s="7">
        <v>139950096</v>
      </c>
      <c r="P2536" s="7">
        <v>0</v>
      </c>
      <c r="Q2536" s="7" t="str">
        <f t="shared" si="868"/>
        <v>都市整備部</v>
      </c>
      <c r="R2536" s="7" t="str">
        <f t="shared" si="865"/>
        <v>住宅建築局住宅経営室</v>
      </c>
    </row>
    <row r="2537" spans="1:18" s="1" customFormat="1" x14ac:dyDescent="0.45">
      <c r="A2537" s="7" t="str">
        <f t="shared" si="870"/>
        <v>09940003258</v>
      </c>
      <c r="B2537" s="7" t="str">
        <f t="shared" si="871"/>
        <v>岸和田天神山</v>
      </c>
      <c r="C2537" s="7" t="str">
        <f t="shared" si="866"/>
        <v>行政財産</v>
      </c>
      <c r="D2537" s="7" t="str">
        <f t="shared" si="867"/>
        <v>公営住宅</v>
      </c>
      <c r="E2537" s="7" t="str">
        <f t="shared" si="872"/>
        <v>大阪府岸和田市天神山町１丁目</v>
      </c>
      <c r="F2537" s="7"/>
      <c r="G2537" s="7" t="str">
        <f t="shared" si="864"/>
        <v>事業用資産</v>
      </c>
      <c r="H2537" s="7" t="str">
        <f t="shared" si="856"/>
        <v>棚卸以外</v>
      </c>
      <c r="I2537" s="7">
        <v>3</v>
      </c>
      <c r="J2537" s="7" t="str">
        <f>"６号棟"</f>
        <v>６号棟</v>
      </c>
      <c r="K2537" s="7" t="str">
        <f t="shared" si="869"/>
        <v>鉄筋コンクリート造</v>
      </c>
      <c r="L2537" s="7" t="str">
        <f t="shared" si="873"/>
        <v>S34.03.29</v>
      </c>
      <c r="M2537" s="7">
        <v>1926.2</v>
      </c>
      <c r="N2537" s="7">
        <v>149492000</v>
      </c>
      <c r="O2537" s="7">
        <v>139950096</v>
      </c>
      <c r="P2537" s="7">
        <v>0</v>
      </c>
      <c r="Q2537" s="7" t="str">
        <f t="shared" si="868"/>
        <v>都市整備部</v>
      </c>
      <c r="R2537" s="7" t="str">
        <f t="shared" si="865"/>
        <v>住宅建築局住宅経営室</v>
      </c>
    </row>
    <row r="2538" spans="1:18" s="1" customFormat="1" x14ac:dyDescent="0.45">
      <c r="A2538" s="7" t="str">
        <f t="shared" si="870"/>
        <v>09940003258</v>
      </c>
      <c r="B2538" s="7" t="str">
        <f t="shared" si="871"/>
        <v>岸和田天神山</v>
      </c>
      <c r="C2538" s="7" t="str">
        <f t="shared" si="866"/>
        <v>行政財産</v>
      </c>
      <c r="D2538" s="7" t="str">
        <f t="shared" si="867"/>
        <v>公営住宅</v>
      </c>
      <c r="E2538" s="7" t="str">
        <f t="shared" si="872"/>
        <v>大阪府岸和田市天神山町１丁目</v>
      </c>
      <c r="F2538" s="7"/>
      <c r="G2538" s="7" t="str">
        <f t="shared" si="864"/>
        <v>事業用資産</v>
      </c>
      <c r="H2538" s="7" t="str">
        <f t="shared" si="856"/>
        <v>棚卸以外</v>
      </c>
      <c r="I2538" s="7">
        <v>4</v>
      </c>
      <c r="J2538" s="7" t="str">
        <f>"２号棟"</f>
        <v>２号棟</v>
      </c>
      <c r="K2538" s="7" t="str">
        <f t="shared" si="869"/>
        <v>鉄筋コンクリート造</v>
      </c>
      <c r="L2538" s="7" t="str">
        <f t="shared" si="873"/>
        <v>S34.03.29</v>
      </c>
      <c r="M2538" s="7">
        <v>1284.5</v>
      </c>
      <c r="N2538" s="7">
        <v>103544000</v>
      </c>
      <c r="O2538" s="7">
        <v>96934992</v>
      </c>
      <c r="P2538" s="7">
        <v>0</v>
      </c>
      <c r="Q2538" s="7" t="str">
        <f t="shared" si="868"/>
        <v>都市整備部</v>
      </c>
      <c r="R2538" s="7" t="str">
        <f t="shared" si="865"/>
        <v>住宅建築局住宅経営室</v>
      </c>
    </row>
    <row r="2539" spans="1:18" s="1" customFormat="1" x14ac:dyDescent="0.45">
      <c r="A2539" s="7" t="str">
        <f t="shared" si="870"/>
        <v>09940003258</v>
      </c>
      <c r="B2539" s="7" t="str">
        <f t="shared" si="871"/>
        <v>岸和田天神山</v>
      </c>
      <c r="C2539" s="7" t="str">
        <f t="shared" si="866"/>
        <v>行政財産</v>
      </c>
      <c r="D2539" s="7" t="str">
        <f t="shared" si="867"/>
        <v>公営住宅</v>
      </c>
      <c r="E2539" s="7" t="str">
        <f t="shared" si="872"/>
        <v>大阪府岸和田市天神山町１丁目</v>
      </c>
      <c r="F2539" s="7"/>
      <c r="G2539" s="7" t="str">
        <f t="shared" si="864"/>
        <v>事業用資産</v>
      </c>
      <c r="H2539" s="7" t="str">
        <f t="shared" si="856"/>
        <v>棚卸以外</v>
      </c>
      <c r="I2539" s="7">
        <v>5</v>
      </c>
      <c r="J2539" s="7" t="str">
        <f>"７号棟"</f>
        <v>７号棟</v>
      </c>
      <c r="K2539" s="7" t="str">
        <f t="shared" si="869"/>
        <v>鉄筋コンクリート造</v>
      </c>
      <c r="L2539" s="7" t="str">
        <f t="shared" si="873"/>
        <v>S34.03.29</v>
      </c>
      <c r="M2539" s="7">
        <v>2654.35</v>
      </c>
      <c r="N2539" s="7">
        <v>303693132</v>
      </c>
      <c r="O2539" s="7">
        <v>173215296</v>
      </c>
      <c r="P2539" s="7">
        <v>0</v>
      </c>
      <c r="Q2539" s="7" t="str">
        <f t="shared" si="868"/>
        <v>都市整備部</v>
      </c>
      <c r="R2539" s="7" t="str">
        <f t="shared" si="865"/>
        <v>住宅建築局住宅経営室</v>
      </c>
    </row>
    <row r="2540" spans="1:18" s="1" customFormat="1" x14ac:dyDescent="0.45">
      <c r="A2540" s="7" t="str">
        <f t="shared" si="870"/>
        <v>09940003258</v>
      </c>
      <c r="B2540" s="7" t="str">
        <f t="shared" si="871"/>
        <v>岸和田天神山</v>
      </c>
      <c r="C2540" s="7" t="str">
        <f t="shared" si="866"/>
        <v>行政財産</v>
      </c>
      <c r="D2540" s="7" t="str">
        <f t="shared" si="867"/>
        <v>公営住宅</v>
      </c>
      <c r="E2540" s="7" t="str">
        <f t="shared" si="872"/>
        <v>大阪府岸和田市天神山町１丁目</v>
      </c>
      <c r="F2540" s="7"/>
      <c r="G2540" s="7" t="str">
        <f t="shared" si="864"/>
        <v>事業用資産</v>
      </c>
      <c r="H2540" s="7" t="str">
        <f t="shared" si="856"/>
        <v>棚卸以外</v>
      </c>
      <c r="I2540" s="7">
        <v>6</v>
      </c>
      <c r="J2540" s="7" t="str">
        <f>"８号棟"</f>
        <v>８号棟</v>
      </c>
      <c r="K2540" s="7" t="str">
        <f t="shared" si="869"/>
        <v>鉄筋コンクリート造</v>
      </c>
      <c r="L2540" s="7" t="str">
        <f t="shared" si="873"/>
        <v>S34.03.29</v>
      </c>
      <c r="M2540" s="7">
        <v>2586.31</v>
      </c>
      <c r="N2540" s="7">
        <v>179374000</v>
      </c>
      <c r="O2540" s="7">
        <v>167925120</v>
      </c>
      <c r="P2540" s="7">
        <v>0</v>
      </c>
      <c r="Q2540" s="7" t="str">
        <f t="shared" si="868"/>
        <v>都市整備部</v>
      </c>
      <c r="R2540" s="7" t="str">
        <f t="shared" si="865"/>
        <v>住宅建築局住宅経営室</v>
      </c>
    </row>
    <row r="2541" spans="1:18" s="1" customFormat="1" x14ac:dyDescent="0.45">
      <c r="A2541" s="7" t="str">
        <f t="shared" si="870"/>
        <v>09940003258</v>
      </c>
      <c r="B2541" s="7" t="str">
        <f t="shared" si="871"/>
        <v>岸和田天神山</v>
      </c>
      <c r="C2541" s="7" t="str">
        <f t="shared" si="866"/>
        <v>行政財産</v>
      </c>
      <c r="D2541" s="7" t="str">
        <f t="shared" si="867"/>
        <v>公営住宅</v>
      </c>
      <c r="E2541" s="7" t="str">
        <f t="shared" si="872"/>
        <v>大阪府岸和田市天神山町１丁目</v>
      </c>
      <c r="F2541" s="7"/>
      <c r="G2541" s="7" t="str">
        <f t="shared" si="864"/>
        <v>事業用資産</v>
      </c>
      <c r="H2541" s="7" t="str">
        <f t="shared" si="856"/>
        <v>棚卸以外</v>
      </c>
      <c r="I2541" s="7">
        <v>7</v>
      </c>
      <c r="J2541" s="7" t="str">
        <f>"９号棟"</f>
        <v>９号棟</v>
      </c>
      <c r="K2541" s="7" t="str">
        <f t="shared" si="869"/>
        <v>鉄筋コンクリート造</v>
      </c>
      <c r="L2541" s="7" t="str">
        <f t="shared" si="873"/>
        <v>S34.03.29</v>
      </c>
      <c r="M2541" s="7">
        <v>2654.35</v>
      </c>
      <c r="N2541" s="7">
        <v>303693132</v>
      </c>
      <c r="O2541" s="7">
        <v>173215296</v>
      </c>
      <c r="P2541" s="7">
        <v>0</v>
      </c>
      <c r="Q2541" s="7" t="str">
        <f t="shared" si="868"/>
        <v>都市整備部</v>
      </c>
      <c r="R2541" s="7" t="str">
        <f t="shared" si="865"/>
        <v>住宅建築局住宅経営室</v>
      </c>
    </row>
    <row r="2542" spans="1:18" s="1" customFormat="1" x14ac:dyDescent="0.45">
      <c r="A2542" s="7" t="str">
        <f t="shared" si="870"/>
        <v>09940003258</v>
      </c>
      <c r="B2542" s="7" t="str">
        <f t="shared" si="871"/>
        <v>岸和田天神山</v>
      </c>
      <c r="C2542" s="7" t="str">
        <f t="shared" si="866"/>
        <v>行政財産</v>
      </c>
      <c r="D2542" s="7" t="str">
        <f t="shared" si="867"/>
        <v>公営住宅</v>
      </c>
      <c r="E2542" s="7" t="str">
        <f t="shared" si="872"/>
        <v>大阪府岸和田市天神山町１丁目</v>
      </c>
      <c r="F2542" s="7"/>
      <c r="G2542" s="7" t="str">
        <f t="shared" si="864"/>
        <v>事業用資産</v>
      </c>
      <c r="H2542" s="7" t="str">
        <f t="shared" si="856"/>
        <v>棚卸以外</v>
      </c>
      <c r="I2542" s="7">
        <v>8</v>
      </c>
      <c r="J2542" s="7" t="str">
        <f>"１０号棟"</f>
        <v>１０号棟</v>
      </c>
      <c r="K2542" s="7" t="str">
        <f t="shared" si="869"/>
        <v>鉄筋コンクリート造</v>
      </c>
      <c r="L2542" s="7" t="str">
        <f t="shared" si="873"/>
        <v>S34.03.29</v>
      </c>
      <c r="M2542" s="7">
        <v>2586.31</v>
      </c>
      <c r="N2542" s="7">
        <v>179374000</v>
      </c>
      <c r="O2542" s="7">
        <v>167925120</v>
      </c>
      <c r="P2542" s="7">
        <v>0</v>
      </c>
      <c r="Q2542" s="7" t="str">
        <f t="shared" si="868"/>
        <v>都市整備部</v>
      </c>
      <c r="R2542" s="7" t="str">
        <f t="shared" si="865"/>
        <v>住宅建築局住宅経営室</v>
      </c>
    </row>
    <row r="2543" spans="1:18" s="1" customFormat="1" x14ac:dyDescent="0.45">
      <c r="A2543" s="7" t="str">
        <f t="shared" si="870"/>
        <v>09940003258</v>
      </c>
      <c r="B2543" s="7" t="str">
        <f t="shared" si="871"/>
        <v>岸和田天神山</v>
      </c>
      <c r="C2543" s="7" t="str">
        <f t="shared" si="866"/>
        <v>行政財産</v>
      </c>
      <c r="D2543" s="7" t="str">
        <f t="shared" si="867"/>
        <v>公営住宅</v>
      </c>
      <c r="E2543" s="7" t="str">
        <f t="shared" si="872"/>
        <v>大阪府岸和田市天神山町１丁目</v>
      </c>
      <c r="F2543" s="7"/>
      <c r="G2543" s="7" t="str">
        <f t="shared" si="864"/>
        <v>事業用資産</v>
      </c>
      <c r="H2543" s="7" t="str">
        <f t="shared" si="856"/>
        <v>棚卸以外</v>
      </c>
      <c r="I2543" s="7">
        <v>9</v>
      </c>
      <c r="J2543" s="7" t="str">
        <f>"１１号棟"</f>
        <v>１１号棟</v>
      </c>
      <c r="K2543" s="7" t="str">
        <f t="shared" si="869"/>
        <v>鉄筋コンクリート造</v>
      </c>
      <c r="L2543" s="7" t="str">
        <f t="shared" si="873"/>
        <v>S34.03.29</v>
      </c>
      <c r="M2543" s="7">
        <v>1990.76</v>
      </c>
      <c r="N2543" s="7">
        <v>234128348</v>
      </c>
      <c r="O2543" s="7">
        <v>135864144</v>
      </c>
      <c r="P2543" s="7">
        <v>0</v>
      </c>
      <c r="Q2543" s="7" t="str">
        <f t="shared" si="868"/>
        <v>都市整備部</v>
      </c>
      <c r="R2543" s="7" t="str">
        <f t="shared" si="865"/>
        <v>住宅建築局住宅経営室</v>
      </c>
    </row>
    <row r="2544" spans="1:18" s="1" customFormat="1" x14ac:dyDescent="0.45">
      <c r="A2544" s="7" t="str">
        <f t="shared" si="870"/>
        <v>09940003258</v>
      </c>
      <c r="B2544" s="7" t="str">
        <f t="shared" si="871"/>
        <v>岸和田天神山</v>
      </c>
      <c r="C2544" s="7" t="str">
        <f t="shared" si="866"/>
        <v>行政財産</v>
      </c>
      <c r="D2544" s="7" t="str">
        <f t="shared" si="867"/>
        <v>公営住宅</v>
      </c>
      <c r="E2544" s="7" t="str">
        <f t="shared" si="872"/>
        <v>大阪府岸和田市天神山町１丁目</v>
      </c>
      <c r="F2544" s="7"/>
      <c r="G2544" s="7" t="str">
        <f t="shared" si="864"/>
        <v>事業用資産</v>
      </c>
      <c r="H2544" s="7" t="str">
        <f t="shared" si="856"/>
        <v>棚卸以外</v>
      </c>
      <c r="I2544" s="7">
        <v>10</v>
      </c>
      <c r="J2544" s="7" t="str">
        <f>"１２号棟"</f>
        <v>１２号棟</v>
      </c>
      <c r="K2544" s="7" t="str">
        <f t="shared" si="869"/>
        <v>鉄筋コンクリート造</v>
      </c>
      <c r="L2544" s="7" t="str">
        <f t="shared" si="873"/>
        <v>S34.03.29</v>
      </c>
      <c r="M2544" s="7">
        <v>1287.98</v>
      </c>
      <c r="N2544" s="7">
        <v>88133000</v>
      </c>
      <c r="O2544" s="7">
        <v>82507920</v>
      </c>
      <c r="P2544" s="7">
        <v>0</v>
      </c>
      <c r="Q2544" s="7" t="str">
        <f t="shared" si="868"/>
        <v>都市整備部</v>
      </c>
      <c r="R2544" s="7" t="str">
        <f t="shared" si="865"/>
        <v>住宅建築局住宅経営室</v>
      </c>
    </row>
    <row r="2545" spans="1:18" s="1" customFormat="1" x14ac:dyDescent="0.45">
      <c r="A2545" s="7" t="str">
        <f t="shared" si="870"/>
        <v>09940003258</v>
      </c>
      <c r="B2545" s="7" t="str">
        <f t="shared" si="871"/>
        <v>岸和田天神山</v>
      </c>
      <c r="C2545" s="7" t="str">
        <f t="shared" si="866"/>
        <v>行政財産</v>
      </c>
      <c r="D2545" s="7" t="str">
        <f t="shared" si="867"/>
        <v>公営住宅</v>
      </c>
      <c r="E2545" s="7" t="str">
        <f t="shared" si="872"/>
        <v>大阪府岸和田市天神山町１丁目</v>
      </c>
      <c r="F2545" s="7"/>
      <c r="G2545" s="7" t="str">
        <f t="shared" si="864"/>
        <v>事業用資産</v>
      </c>
      <c r="H2545" s="7" t="str">
        <f t="shared" si="856"/>
        <v>棚卸以外</v>
      </c>
      <c r="I2545" s="7">
        <v>11</v>
      </c>
      <c r="J2545" s="7" t="str">
        <f>"４号棟"</f>
        <v>４号棟</v>
      </c>
      <c r="K2545" s="7" t="str">
        <f t="shared" si="869"/>
        <v>鉄筋コンクリート造</v>
      </c>
      <c r="L2545" s="7" t="str">
        <f t="shared" si="873"/>
        <v>S34.03.29</v>
      </c>
      <c r="M2545" s="7">
        <v>1749.69</v>
      </c>
      <c r="N2545" s="7">
        <v>128147000</v>
      </c>
      <c r="O2545" s="7">
        <v>119967408</v>
      </c>
      <c r="P2545" s="7">
        <v>0</v>
      </c>
      <c r="Q2545" s="7" t="str">
        <f t="shared" si="868"/>
        <v>都市整備部</v>
      </c>
      <c r="R2545" s="7" t="str">
        <f t="shared" si="865"/>
        <v>住宅建築局住宅経営室</v>
      </c>
    </row>
    <row r="2546" spans="1:18" s="1" customFormat="1" x14ac:dyDescent="0.45">
      <c r="A2546" s="7" t="str">
        <f t="shared" si="870"/>
        <v>09940003258</v>
      </c>
      <c r="B2546" s="7" t="str">
        <f t="shared" si="871"/>
        <v>岸和田天神山</v>
      </c>
      <c r="C2546" s="7" t="str">
        <f t="shared" si="866"/>
        <v>行政財産</v>
      </c>
      <c r="D2546" s="7" t="str">
        <f t="shared" si="867"/>
        <v>公営住宅</v>
      </c>
      <c r="E2546" s="7" t="str">
        <f t="shared" si="872"/>
        <v>大阪府岸和田市天神山町１丁目</v>
      </c>
      <c r="F2546" s="7"/>
      <c r="G2546" s="7" t="str">
        <f t="shared" si="864"/>
        <v>事業用資産</v>
      </c>
      <c r="H2546" s="7" t="str">
        <f t="shared" si="856"/>
        <v>棚卸以外</v>
      </c>
      <c r="I2546" s="7">
        <v>12</v>
      </c>
      <c r="J2546" s="7" t="str">
        <f>"集会所"</f>
        <v>集会所</v>
      </c>
      <c r="K2546" s="7" t="str">
        <f t="shared" si="869"/>
        <v>鉄筋コンクリート造</v>
      </c>
      <c r="L2546" s="7" t="str">
        <f t="shared" si="873"/>
        <v>S34.03.29</v>
      </c>
      <c r="M2546" s="7">
        <v>120</v>
      </c>
      <c r="N2546" s="7">
        <v>14114000</v>
      </c>
      <c r="O2546" s="7">
        <v>13213200</v>
      </c>
      <c r="P2546" s="7">
        <v>0</v>
      </c>
      <c r="Q2546" s="7" t="str">
        <f t="shared" si="868"/>
        <v>都市整備部</v>
      </c>
      <c r="R2546" s="7" t="str">
        <f t="shared" si="865"/>
        <v>住宅建築局住宅経営室</v>
      </c>
    </row>
    <row r="2547" spans="1:18" s="1" customFormat="1" x14ac:dyDescent="0.45">
      <c r="A2547" s="7" t="str">
        <f t="shared" si="870"/>
        <v>09940003258</v>
      </c>
      <c r="B2547" s="7" t="str">
        <f t="shared" si="871"/>
        <v>岸和田天神山</v>
      </c>
      <c r="C2547" s="7" t="str">
        <f t="shared" si="866"/>
        <v>行政財産</v>
      </c>
      <c r="D2547" s="7" t="str">
        <f t="shared" si="867"/>
        <v>公営住宅</v>
      </c>
      <c r="E2547" s="7" t="str">
        <f t="shared" si="872"/>
        <v>大阪府岸和田市天神山町１丁目</v>
      </c>
      <c r="F2547" s="7"/>
      <c r="G2547" s="7" t="str">
        <f t="shared" si="864"/>
        <v>事業用資産</v>
      </c>
      <c r="H2547" s="7" t="str">
        <f t="shared" si="856"/>
        <v>棚卸以外</v>
      </c>
      <c r="I2547" s="7">
        <v>13</v>
      </c>
      <c r="J2547" s="7" t="str">
        <f>"１９号棟"</f>
        <v>１９号棟</v>
      </c>
      <c r="K2547" s="7" t="str">
        <f t="shared" si="869"/>
        <v>鉄筋コンクリート造</v>
      </c>
      <c r="L2547" s="7" t="str">
        <f>"S55.12.11"</f>
        <v>S55.12.11</v>
      </c>
      <c r="M2547" s="7">
        <v>1259.49</v>
      </c>
      <c r="N2547" s="7">
        <v>118933000</v>
      </c>
      <c r="O2547" s="7">
        <v>106913625</v>
      </c>
      <c r="P2547" s="7">
        <v>0</v>
      </c>
      <c r="Q2547" s="7" t="str">
        <f t="shared" si="868"/>
        <v>都市整備部</v>
      </c>
      <c r="R2547" s="7" t="str">
        <f t="shared" si="865"/>
        <v>住宅建築局住宅経営室</v>
      </c>
    </row>
    <row r="2548" spans="1:18" s="1" customFormat="1" x14ac:dyDescent="0.45">
      <c r="A2548" s="7" t="str">
        <f t="shared" si="870"/>
        <v>09940003258</v>
      </c>
      <c r="B2548" s="7" t="str">
        <f t="shared" si="871"/>
        <v>岸和田天神山</v>
      </c>
      <c r="C2548" s="7" t="str">
        <f t="shared" si="866"/>
        <v>行政財産</v>
      </c>
      <c r="D2548" s="7" t="str">
        <f t="shared" si="867"/>
        <v>公営住宅</v>
      </c>
      <c r="E2548" s="7" t="str">
        <f t="shared" si="872"/>
        <v>大阪府岸和田市天神山町１丁目</v>
      </c>
      <c r="F2548" s="7"/>
      <c r="G2548" s="7" t="str">
        <f t="shared" si="864"/>
        <v>事業用資産</v>
      </c>
      <c r="H2548" s="7" t="str">
        <f t="shared" si="856"/>
        <v>棚卸以外</v>
      </c>
      <c r="I2548" s="7">
        <v>14</v>
      </c>
      <c r="J2548" s="7" t="str">
        <f>"２０号棟"</f>
        <v>２０号棟</v>
      </c>
      <c r="K2548" s="7" t="str">
        <f t="shared" si="869"/>
        <v>鉄筋コンクリート造</v>
      </c>
      <c r="L2548" s="7" t="str">
        <f>"S55.12.11"</f>
        <v>S55.12.11</v>
      </c>
      <c r="M2548" s="7">
        <v>1259.49</v>
      </c>
      <c r="N2548" s="7">
        <v>116437000</v>
      </c>
      <c r="O2548" s="7">
        <v>104669643</v>
      </c>
      <c r="P2548" s="7">
        <v>0</v>
      </c>
      <c r="Q2548" s="7" t="str">
        <f t="shared" si="868"/>
        <v>都市整備部</v>
      </c>
      <c r="R2548" s="7" t="str">
        <f t="shared" si="865"/>
        <v>住宅建築局住宅経営室</v>
      </c>
    </row>
    <row r="2549" spans="1:18" s="1" customFormat="1" x14ac:dyDescent="0.45">
      <c r="A2549" s="7" t="str">
        <f t="shared" si="870"/>
        <v>09940003258</v>
      </c>
      <c r="B2549" s="7" t="str">
        <f t="shared" si="871"/>
        <v>岸和田天神山</v>
      </c>
      <c r="C2549" s="7" t="str">
        <f t="shared" si="866"/>
        <v>行政財産</v>
      </c>
      <c r="D2549" s="7" t="str">
        <f t="shared" si="867"/>
        <v>公営住宅</v>
      </c>
      <c r="E2549" s="7" t="str">
        <f t="shared" si="872"/>
        <v>大阪府岸和田市天神山町１丁目</v>
      </c>
      <c r="F2549" s="7"/>
      <c r="G2549" s="7" t="str">
        <f t="shared" si="864"/>
        <v>事業用資産</v>
      </c>
      <c r="H2549" s="7" t="str">
        <f t="shared" si="856"/>
        <v>棚卸以外</v>
      </c>
      <c r="I2549" s="7">
        <v>15</v>
      </c>
      <c r="J2549" s="7" t="str">
        <f>"１４号棟"</f>
        <v>１４号棟</v>
      </c>
      <c r="K2549" s="7" t="str">
        <f t="shared" si="869"/>
        <v>鉄筋コンクリート造</v>
      </c>
      <c r="L2549" s="7" t="str">
        <f>"S55.12.11"</f>
        <v>S55.12.11</v>
      </c>
      <c r="M2549" s="7">
        <v>1889.24</v>
      </c>
      <c r="N2549" s="7">
        <v>158626000</v>
      </c>
      <c r="O2549" s="7">
        <v>142594764</v>
      </c>
      <c r="P2549" s="7">
        <v>0</v>
      </c>
      <c r="Q2549" s="7" t="str">
        <f t="shared" si="868"/>
        <v>都市整備部</v>
      </c>
      <c r="R2549" s="7" t="str">
        <f t="shared" si="865"/>
        <v>住宅建築局住宅経営室</v>
      </c>
    </row>
    <row r="2550" spans="1:18" s="1" customFormat="1" x14ac:dyDescent="0.45">
      <c r="A2550" s="7" t="str">
        <f t="shared" si="870"/>
        <v>09940003258</v>
      </c>
      <c r="B2550" s="7" t="str">
        <f t="shared" si="871"/>
        <v>岸和田天神山</v>
      </c>
      <c r="C2550" s="7" t="str">
        <f t="shared" si="866"/>
        <v>行政財産</v>
      </c>
      <c r="D2550" s="7" t="str">
        <f t="shared" si="867"/>
        <v>公営住宅</v>
      </c>
      <c r="E2550" s="7" t="str">
        <f t="shared" si="872"/>
        <v>大阪府岸和田市天神山町１丁目</v>
      </c>
      <c r="F2550" s="7"/>
      <c r="G2550" s="7" t="str">
        <f t="shared" si="864"/>
        <v>事業用資産</v>
      </c>
      <c r="H2550" s="7" t="str">
        <f t="shared" si="856"/>
        <v>棚卸以外</v>
      </c>
      <c r="I2550" s="7">
        <v>16</v>
      </c>
      <c r="J2550" s="7" t="str">
        <f>"１７号棟"</f>
        <v>１７号棟</v>
      </c>
      <c r="K2550" s="7" t="str">
        <f t="shared" si="869"/>
        <v>鉄筋コンクリート造</v>
      </c>
      <c r="L2550" s="7" t="str">
        <f>"S55.12.11"</f>
        <v>S55.12.11</v>
      </c>
      <c r="M2550" s="7">
        <v>2467.5</v>
      </c>
      <c r="N2550" s="7">
        <v>236270000</v>
      </c>
      <c r="O2550" s="7">
        <v>212391933</v>
      </c>
      <c r="P2550" s="7">
        <v>0</v>
      </c>
      <c r="Q2550" s="7" t="str">
        <f t="shared" si="868"/>
        <v>都市整備部</v>
      </c>
      <c r="R2550" s="7" t="str">
        <f t="shared" si="865"/>
        <v>住宅建築局住宅経営室</v>
      </c>
    </row>
    <row r="2551" spans="1:18" s="1" customFormat="1" x14ac:dyDescent="0.45">
      <c r="A2551" s="7" t="str">
        <f t="shared" si="870"/>
        <v>09940003258</v>
      </c>
      <c r="B2551" s="7" t="str">
        <f t="shared" si="871"/>
        <v>岸和田天神山</v>
      </c>
      <c r="C2551" s="7" t="str">
        <f t="shared" si="866"/>
        <v>行政財産</v>
      </c>
      <c r="D2551" s="7" t="str">
        <f t="shared" si="867"/>
        <v>公営住宅</v>
      </c>
      <c r="E2551" s="7" t="str">
        <f t="shared" si="872"/>
        <v>大阪府岸和田市天神山町１丁目</v>
      </c>
      <c r="F2551" s="7"/>
      <c r="G2551" s="7" t="str">
        <f t="shared" si="864"/>
        <v>事業用資産</v>
      </c>
      <c r="H2551" s="7" t="str">
        <f t="shared" si="856"/>
        <v>棚卸以外</v>
      </c>
      <c r="I2551" s="7">
        <v>17</v>
      </c>
      <c r="J2551" s="7" t="str">
        <f>"集会所"</f>
        <v>集会所</v>
      </c>
      <c r="K2551" s="7" t="str">
        <f t="shared" si="869"/>
        <v>鉄筋コンクリート造</v>
      </c>
      <c r="L2551" s="7" t="str">
        <f>"S55.12.11"</f>
        <v>S55.12.11</v>
      </c>
      <c r="M2551" s="7">
        <v>71.84</v>
      </c>
      <c r="N2551" s="7">
        <v>11921000</v>
      </c>
      <c r="O2551" s="7">
        <v>10716459</v>
      </c>
      <c r="P2551" s="7">
        <v>0</v>
      </c>
      <c r="Q2551" s="7" t="str">
        <f t="shared" si="868"/>
        <v>都市整備部</v>
      </c>
      <c r="R2551" s="7" t="str">
        <f t="shared" si="865"/>
        <v>住宅建築局住宅経営室</v>
      </c>
    </row>
    <row r="2552" spans="1:18" s="1" customFormat="1" x14ac:dyDescent="0.45">
      <c r="A2552" s="7" t="str">
        <f t="shared" si="870"/>
        <v>09940003258</v>
      </c>
      <c r="B2552" s="7" t="str">
        <f t="shared" si="871"/>
        <v>岸和田天神山</v>
      </c>
      <c r="C2552" s="7" t="str">
        <f t="shared" si="866"/>
        <v>行政財産</v>
      </c>
      <c r="D2552" s="7" t="str">
        <f t="shared" si="867"/>
        <v>公営住宅</v>
      </c>
      <c r="E2552" s="7" t="str">
        <f t="shared" si="872"/>
        <v>大阪府岸和田市天神山町１丁目</v>
      </c>
      <c r="F2552" s="7"/>
      <c r="G2552" s="7" t="str">
        <f t="shared" si="864"/>
        <v>事業用資産</v>
      </c>
      <c r="H2552" s="7" t="str">
        <f t="shared" si="856"/>
        <v>棚卸以外</v>
      </c>
      <c r="I2552" s="7">
        <v>18</v>
      </c>
      <c r="J2552" s="7" t="str">
        <f>"１５号棟"</f>
        <v>１５号棟</v>
      </c>
      <c r="K2552" s="7" t="str">
        <f t="shared" si="869"/>
        <v>鉄筋コンクリート造</v>
      </c>
      <c r="L2552" s="7" t="str">
        <f>"S56.12.17"</f>
        <v>S56.12.17</v>
      </c>
      <c r="M2552" s="7">
        <v>1929.3</v>
      </c>
      <c r="N2552" s="7">
        <v>186350000</v>
      </c>
      <c r="O2552" s="7">
        <v>163551960</v>
      </c>
      <c r="P2552" s="7">
        <v>0</v>
      </c>
      <c r="Q2552" s="7" t="str">
        <f t="shared" si="868"/>
        <v>都市整備部</v>
      </c>
      <c r="R2552" s="7" t="str">
        <f t="shared" si="865"/>
        <v>住宅建築局住宅経営室</v>
      </c>
    </row>
    <row r="2553" spans="1:18" s="1" customFormat="1" x14ac:dyDescent="0.45">
      <c r="A2553" s="7" t="str">
        <f t="shared" si="870"/>
        <v>09940003258</v>
      </c>
      <c r="B2553" s="7" t="str">
        <f t="shared" si="871"/>
        <v>岸和田天神山</v>
      </c>
      <c r="C2553" s="7" t="str">
        <f t="shared" si="866"/>
        <v>行政財産</v>
      </c>
      <c r="D2553" s="7" t="str">
        <f t="shared" si="867"/>
        <v>公営住宅</v>
      </c>
      <c r="E2553" s="7" t="str">
        <f t="shared" si="872"/>
        <v>大阪府岸和田市天神山町１丁目</v>
      </c>
      <c r="F2553" s="7"/>
      <c r="G2553" s="7" t="str">
        <f t="shared" si="864"/>
        <v>事業用資産</v>
      </c>
      <c r="H2553" s="7" t="str">
        <f t="shared" si="856"/>
        <v>棚卸以外</v>
      </c>
      <c r="I2553" s="7">
        <v>19</v>
      </c>
      <c r="J2553" s="7" t="str">
        <f>"１６号棟"</f>
        <v>１６号棟</v>
      </c>
      <c r="K2553" s="7" t="str">
        <f t="shared" si="869"/>
        <v>鉄筋コンクリート造</v>
      </c>
      <c r="L2553" s="7" t="str">
        <f>"S56.12.17"</f>
        <v>S56.12.17</v>
      </c>
      <c r="M2553" s="7">
        <v>1929.3</v>
      </c>
      <c r="N2553" s="7">
        <v>182907000</v>
      </c>
      <c r="O2553" s="7">
        <v>160530480</v>
      </c>
      <c r="P2553" s="7">
        <v>0</v>
      </c>
      <c r="Q2553" s="7" t="str">
        <f t="shared" si="868"/>
        <v>都市整備部</v>
      </c>
      <c r="R2553" s="7" t="str">
        <f t="shared" si="865"/>
        <v>住宅建築局住宅経営室</v>
      </c>
    </row>
    <row r="2554" spans="1:18" s="1" customFormat="1" x14ac:dyDescent="0.45">
      <c r="A2554" s="7" t="str">
        <f t="shared" si="870"/>
        <v>09940003258</v>
      </c>
      <c r="B2554" s="7" t="str">
        <f t="shared" si="871"/>
        <v>岸和田天神山</v>
      </c>
      <c r="C2554" s="7" t="str">
        <f t="shared" si="866"/>
        <v>行政財産</v>
      </c>
      <c r="D2554" s="7" t="str">
        <f t="shared" si="867"/>
        <v>公営住宅</v>
      </c>
      <c r="E2554" s="7" t="str">
        <f t="shared" si="872"/>
        <v>大阪府岸和田市天神山町１丁目</v>
      </c>
      <c r="F2554" s="7"/>
      <c r="G2554" s="7" t="str">
        <f t="shared" si="864"/>
        <v>事業用資産</v>
      </c>
      <c r="H2554" s="7" t="str">
        <f t="shared" si="856"/>
        <v>棚卸以外</v>
      </c>
      <c r="I2554" s="7">
        <v>20</v>
      </c>
      <c r="J2554" s="7" t="str">
        <f>"１３号棟"</f>
        <v>１３号棟</v>
      </c>
      <c r="K2554" s="7" t="str">
        <f t="shared" si="869"/>
        <v>鉄筋コンクリート造</v>
      </c>
      <c r="L2554" s="7" t="str">
        <f>"S56.12.17"</f>
        <v>S56.12.17</v>
      </c>
      <c r="M2554" s="7">
        <v>1975.74</v>
      </c>
      <c r="N2554" s="7">
        <v>192315000</v>
      </c>
      <c r="O2554" s="7">
        <v>168787575</v>
      </c>
      <c r="P2554" s="7">
        <v>0</v>
      </c>
      <c r="Q2554" s="7" t="str">
        <f t="shared" si="868"/>
        <v>都市整備部</v>
      </c>
      <c r="R2554" s="7" t="str">
        <f t="shared" si="865"/>
        <v>住宅建築局住宅経営室</v>
      </c>
    </row>
    <row r="2555" spans="1:18" s="1" customFormat="1" x14ac:dyDescent="0.45">
      <c r="A2555" s="7" t="str">
        <f t="shared" si="870"/>
        <v>09940003258</v>
      </c>
      <c r="B2555" s="7" t="str">
        <f t="shared" si="871"/>
        <v>岸和田天神山</v>
      </c>
      <c r="C2555" s="7" t="str">
        <f t="shared" si="866"/>
        <v>行政財産</v>
      </c>
      <c r="D2555" s="7" t="str">
        <f t="shared" si="867"/>
        <v>公営住宅</v>
      </c>
      <c r="E2555" s="7" t="str">
        <f t="shared" si="872"/>
        <v>大阪府岸和田市天神山町１丁目</v>
      </c>
      <c r="F2555" s="7"/>
      <c r="G2555" s="7" t="str">
        <f t="shared" si="864"/>
        <v>事業用資産</v>
      </c>
      <c r="H2555" s="7" t="str">
        <f t="shared" si="856"/>
        <v>棚卸以外</v>
      </c>
      <c r="I2555" s="7">
        <v>21</v>
      </c>
      <c r="J2555" s="7" t="str">
        <f>"１８号棟"</f>
        <v>１８号棟</v>
      </c>
      <c r="K2555" s="7" t="str">
        <f t="shared" si="869"/>
        <v>鉄筋コンクリート造</v>
      </c>
      <c r="L2555" s="7" t="str">
        <f>"S56.12.17"</f>
        <v>S56.12.17</v>
      </c>
      <c r="M2555" s="7">
        <v>1998.4</v>
      </c>
      <c r="N2555" s="7">
        <v>181558000</v>
      </c>
      <c r="O2555" s="7">
        <v>159346440</v>
      </c>
      <c r="P2555" s="7">
        <v>0</v>
      </c>
      <c r="Q2555" s="7" t="str">
        <f t="shared" si="868"/>
        <v>都市整備部</v>
      </c>
      <c r="R2555" s="7" t="str">
        <f t="shared" si="865"/>
        <v>住宅建築局住宅経営室</v>
      </c>
    </row>
    <row r="2556" spans="1:18" s="1" customFormat="1" x14ac:dyDescent="0.45">
      <c r="A2556" s="7" t="str">
        <f t="shared" ref="A2556:A2580" si="874">"09940003259"</f>
        <v>09940003259</v>
      </c>
      <c r="B2556" s="7" t="str">
        <f t="shared" ref="B2556:B2580" si="875">"富田林清水"</f>
        <v>富田林清水</v>
      </c>
      <c r="C2556" s="7" t="str">
        <f t="shared" si="866"/>
        <v>行政財産</v>
      </c>
      <c r="D2556" s="7" t="str">
        <f t="shared" si="867"/>
        <v>公営住宅</v>
      </c>
      <c r="E2556" s="7" t="str">
        <f t="shared" ref="E2556:E2580" si="876">"大阪府富田林市清水町"</f>
        <v>大阪府富田林市清水町</v>
      </c>
      <c r="F2556" s="7"/>
      <c r="G2556" s="7" t="str">
        <f t="shared" si="864"/>
        <v>事業用資産</v>
      </c>
      <c r="H2556" s="7" t="str">
        <f t="shared" si="856"/>
        <v>棚卸以外</v>
      </c>
      <c r="I2556" s="7">
        <v>1</v>
      </c>
      <c r="J2556" s="7" t="str">
        <f>"１号棟"</f>
        <v>１号棟</v>
      </c>
      <c r="K2556" s="7" t="str">
        <f t="shared" si="869"/>
        <v>鉄筋コンクリート造</v>
      </c>
      <c r="L2556" s="7" t="str">
        <f t="shared" ref="L2556:L2561" si="877">"H08.09.27"</f>
        <v>H08.09.27</v>
      </c>
      <c r="M2556" s="7">
        <v>5206</v>
      </c>
      <c r="N2556" s="7">
        <v>946380915</v>
      </c>
      <c r="O2556" s="7">
        <v>533187972</v>
      </c>
      <c r="P2556" s="7">
        <v>0</v>
      </c>
      <c r="Q2556" s="7" t="str">
        <f t="shared" si="868"/>
        <v>都市整備部</v>
      </c>
      <c r="R2556" s="7" t="str">
        <f t="shared" si="865"/>
        <v>住宅建築局住宅経営室</v>
      </c>
    </row>
    <row r="2557" spans="1:18" s="1" customFormat="1" x14ac:dyDescent="0.45">
      <c r="A2557" s="7" t="str">
        <f t="shared" si="874"/>
        <v>09940003259</v>
      </c>
      <c r="B2557" s="7" t="str">
        <f t="shared" si="875"/>
        <v>富田林清水</v>
      </c>
      <c r="C2557" s="7" t="str">
        <f t="shared" si="866"/>
        <v>行政財産</v>
      </c>
      <c r="D2557" s="7" t="str">
        <f t="shared" si="867"/>
        <v>公営住宅</v>
      </c>
      <c r="E2557" s="7" t="str">
        <f t="shared" si="876"/>
        <v>大阪府富田林市清水町</v>
      </c>
      <c r="F2557" s="7"/>
      <c r="G2557" s="7" t="str">
        <f t="shared" si="864"/>
        <v>事業用資産</v>
      </c>
      <c r="H2557" s="7" t="str">
        <f t="shared" si="856"/>
        <v>棚卸以外</v>
      </c>
      <c r="I2557" s="7">
        <v>2</v>
      </c>
      <c r="J2557" s="7" t="str">
        <f>"２号棟"</f>
        <v>２号棟</v>
      </c>
      <c r="K2557" s="7" t="str">
        <f t="shared" si="869"/>
        <v>鉄筋コンクリート造</v>
      </c>
      <c r="L2557" s="7" t="str">
        <f t="shared" si="877"/>
        <v>H08.09.27</v>
      </c>
      <c r="M2557" s="7">
        <v>6388.55</v>
      </c>
      <c r="N2557" s="7">
        <v>1254682324</v>
      </c>
      <c r="O2557" s="7">
        <v>706873530</v>
      </c>
      <c r="P2557" s="7">
        <v>0</v>
      </c>
      <c r="Q2557" s="7" t="str">
        <f t="shared" si="868"/>
        <v>都市整備部</v>
      </c>
      <c r="R2557" s="7" t="str">
        <f t="shared" si="865"/>
        <v>住宅建築局住宅経営室</v>
      </c>
    </row>
    <row r="2558" spans="1:18" s="1" customFormat="1" x14ac:dyDescent="0.45">
      <c r="A2558" s="7" t="str">
        <f t="shared" si="874"/>
        <v>09940003259</v>
      </c>
      <c r="B2558" s="7" t="str">
        <f t="shared" si="875"/>
        <v>富田林清水</v>
      </c>
      <c r="C2558" s="7" t="str">
        <f t="shared" si="866"/>
        <v>行政財産</v>
      </c>
      <c r="D2558" s="7" t="str">
        <f t="shared" si="867"/>
        <v>公営住宅</v>
      </c>
      <c r="E2558" s="7" t="str">
        <f t="shared" si="876"/>
        <v>大阪府富田林市清水町</v>
      </c>
      <c r="F2558" s="7"/>
      <c r="G2558" s="7" t="str">
        <f t="shared" si="864"/>
        <v>事業用資産</v>
      </c>
      <c r="H2558" s="7" t="str">
        <f t="shared" si="856"/>
        <v>棚卸以外</v>
      </c>
      <c r="I2558" s="7">
        <v>3</v>
      </c>
      <c r="J2558" s="7" t="str">
        <f>"３号棟"</f>
        <v>３号棟</v>
      </c>
      <c r="K2558" s="7" t="str">
        <f t="shared" si="869"/>
        <v>鉄筋コンクリート造</v>
      </c>
      <c r="L2558" s="7" t="str">
        <f t="shared" si="877"/>
        <v>H08.09.27</v>
      </c>
      <c r="M2558" s="7">
        <v>6185.94</v>
      </c>
      <c r="N2558" s="7">
        <v>1223341915</v>
      </c>
      <c r="O2558" s="7">
        <v>689346960</v>
      </c>
      <c r="P2558" s="7">
        <v>0</v>
      </c>
      <c r="Q2558" s="7" t="str">
        <f t="shared" si="868"/>
        <v>都市整備部</v>
      </c>
      <c r="R2558" s="7" t="str">
        <f t="shared" si="865"/>
        <v>住宅建築局住宅経営室</v>
      </c>
    </row>
    <row r="2559" spans="1:18" s="1" customFormat="1" x14ac:dyDescent="0.45">
      <c r="A2559" s="7" t="str">
        <f t="shared" si="874"/>
        <v>09940003259</v>
      </c>
      <c r="B2559" s="7" t="str">
        <f t="shared" si="875"/>
        <v>富田林清水</v>
      </c>
      <c r="C2559" s="7" t="str">
        <f t="shared" si="866"/>
        <v>行政財産</v>
      </c>
      <c r="D2559" s="7" t="str">
        <f t="shared" si="867"/>
        <v>公営住宅</v>
      </c>
      <c r="E2559" s="7" t="str">
        <f t="shared" si="876"/>
        <v>大阪府富田林市清水町</v>
      </c>
      <c r="F2559" s="7"/>
      <c r="G2559" s="7" t="str">
        <f t="shared" si="864"/>
        <v>事業用資産</v>
      </c>
      <c r="H2559" s="7" t="str">
        <f t="shared" si="856"/>
        <v>棚卸以外</v>
      </c>
      <c r="I2559" s="7">
        <v>4</v>
      </c>
      <c r="J2559" s="7" t="str">
        <f>"６号棟"</f>
        <v>６号棟</v>
      </c>
      <c r="K2559" s="7" t="str">
        <f t="shared" si="869"/>
        <v>鉄筋コンクリート造</v>
      </c>
      <c r="L2559" s="7" t="str">
        <f t="shared" si="877"/>
        <v>H08.09.27</v>
      </c>
      <c r="M2559" s="7">
        <v>4109.33</v>
      </c>
      <c r="N2559" s="7">
        <v>801354915</v>
      </c>
      <c r="O2559" s="7">
        <v>451418088</v>
      </c>
      <c r="P2559" s="7">
        <v>0</v>
      </c>
      <c r="Q2559" s="7" t="str">
        <f t="shared" si="868"/>
        <v>都市整備部</v>
      </c>
      <c r="R2559" s="7" t="str">
        <f t="shared" si="865"/>
        <v>住宅建築局住宅経営室</v>
      </c>
    </row>
    <row r="2560" spans="1:18" s="1" customFormat="1" x14ac:dyDescent="0.45">
      <c r="A2560" s="7" t="str">
        <f t="shared" si="874"/>
        <v>09940003259</v>
      </c>
      <c r="B2560" s="7" t="str">
        <f t="shared" si="875"/>
        <v>富田林清水</v>
      </c>
      <c r="C2560" s="7" t="str">
        <f t="shared" si="866"/>
        <v>行政財産</v>
      </c>
      <c r="D2560" s="7" t="str">
        <f t="shared" si="867"/>
        <v>公営住宅</v>
      </c>
      <c r="E2560" s="7" t="str">
        <f t="shared" si="876"/>
        <v>大阪府富田林市清水町</v>
      </c>
      <c r="F2560" s="7"/>
      <c r="G2560" s="7" t="str">
        <f t="shared" si="864"/>
        <v>事業用資産</v>
      </c>
      <c r="H2560" s="7" t="str">
        <f t="shared" si="856"/>
        <v>棚卸以外</v>
      </c>
      <c r="I2560" s="7">
        <v>5</v>
      </c>
      <c r="J2560" s="7" t="str">
        <f>"受水槽・ポンプ室"</f>
        <v>受水槽・ポンプ室</v>
      </c>
      <c r="K2560" s="7" t="str">
        <f t="shared" si="869"/>
        <v>鉄筋コンクリート造</v>
      </c>
      <c r="L2560" s="7" t="str">
        <f t="shared" si="877"/>
        <v>H08.09.27</v>
      </c>
      <c r="M2560" s="7">
        <v>103.68</v>
      </c>
      <c r="N2560" s="7">
        <v>39729000</v>
      </c>
      <c r="O2560" s="7">
        <v>22400556</v>
      </c>
      <c r="P2560" s="7">
        <v>0</v>
      </c>
      <c r="Q2560" s="7" t="str">
        <f t="shared" si="868"/>
        <v>都市整備部</v>
      </c>
      <c r="R2560" s="7" t="str">
        <f t="shared" si="865"/>
        <v>住宅建築局住宅経営室</v>
      </c>
    </row>
    <row r="2561" spans="1:18" s="1" customFormat="1" x14ac:dyDescent="0.45">
      <c r="A2561" s="7" t="str">
        <f t="shared" si="874"/>
        <v>09940003259</v>
      </c>
      <c r="B2561" s="7" t="str">
        <f t="shared" si="875"/>
        <v>富田林清水</v>
      </c>
      <c r="C2561" s="7" t="str">
        <f t="shared" si="866"/>
        <v>行政財産</v>
      </c>
      <c r="D2561" s="7" t="str">
        <f t="shared" si="867"/>
        <v>公営住宅</v>
      </c>
      <c r="E2561" s="7" t="str">
        <f t="shared" si="876"/>
        <v>大阪府富田林市清水町</v>
      </c>
      <c r="F2561" s="7"/>
      <c r="G2561" s="7" t="str">
        <f t="shared" si="864"/>
        <v>事業用資産</v>
      </c>
      <c r="H2561" s="7" t="str">
        <f t="shared" si="856"/>
        <v>棚卸以外</v>
      </c>
      <c r="I2561" s="7">
        <v>6</v>
      </c>
      <c r="J2561" s="7" t="str">
        <f>"電気室"</f>
        <v>電気室</v>
      </c>
      <c r="K2561" s="7" t="str">
        <f t="shared" si="869"/>
        <v>鉄筋コンクリート造</v>
      </c>
      <c r="L2561" s="7" t="str">
        <f t="shared" si="877"/>
        <v>H08.09.27</v>
      </c>
      <c r="M2561" s="7">
        <v>59.16</v>
      </c>
      <c r="N2561" s="7">
        <v>8226000</v>
      </c>
      <c r="O2561" s="7">
        <v>4638348</v>
      </c>
      <c r="P2561" s="7">
        <v>0</v>
      </c>
      <c r="Q2561" s="7" t="str">
        <f t="shared" si="868"/>
        <v>都市整備部</v>
      </c>
      <c r="R2561" s="7" t="str">
        <f t="shared" si="865"/>
        <v>住宅建築局住宅経営室</v>
      </c>
    </row>
    <row r="2562" spans="1:18" s="1" customFormat="1" x14ac:dyDescent="0.45">
      <c r="A2562" s="7" t="str">
        <f t="shared" si="874"/>
        <v>09940003259</v>
      </c>
      <c r="B2562" s="7" t="str">
        <f t="shared" si="875"/>
        <v>富田林清水</v>
      </c>
      <c r="C2562" s="7" t="str">
        <f t="shared" si="866"/>
        <v>行政財産</v>
      </c>
      <c r="D2562" s="7" t="str">
        <f t="shared" si="867"/>
        <v>公営住宅</v>
      </c>
      <c r="E2562" s="7" t="str">
        <f t="shared" si="876"/>
        <v>大阪府富田林市清水町</v>
      </c>
      <c r="F2562" s="7"/>
      <c r="G2562" s="7" t="str">
        <f t="shared" si="864"/>
        <v>事業用資産</v>
      </c>
      <c r="H2562" s="7" t="str">
        <f t="shared" si="856"/>
        <v>棚卸以外</v>
      </c>
      <c r="I2562" s="7">
        <v>7</v>
      </c>
      <c r="J2562" s="7" t="str">
        <f>"集会所"</f>
        <v>集会所</v>
      </c>
      <c r="K2562" s="7" t="str">
        <f t="shared" ref="K2562:K2578" si="878">"鉄筋コンクリート造"</f>
        <v>鉄筋コンクリート造</v>
      </c>
      <c r="L2562" s="7" t="str">
        <f>"H09.02.04"</f>
        <v>H09.02.04</v>
      </c>
      <c r="M2562" s="7">
        <v>249.96</v>
      </c>
      <c r="N2562" s="7">
        <v>60456000</v>
      </c>
      <c r="O2562" s="7">
        <v>33551096</v>
      </c>
      <c r="P2562" s="7">
        <v>0</v>
      </c>
      <c r="Q2562" s="7" t="str">
        <f t="shared" si="868"/>
        <v>都市整備部</v>
      </c>
      <c r="R2562" s="7" t="str">
        <f t="shared" si="865"/>
        <v>住宅建築局住宅経営室</v>
      </c>
    </row>
    <row r="2563" spans="1:18" s="1" customFormat="1" x14ac:dyDescent="0.45">
      <c r="A2563" s="7" t="str">
        <f t="shared" si="874"/>
        <v>09940003259</v>
      </c>
      <c r="B2563" s="7" t="str">
        <f t="shared" si="875"/>
        <v>富田林清水</v>
      </c>
      <c r="C2563" s="7" t="str">
        <f t="shared" si="866"/>
        <v>行政財産</v>
      </c>
      <c r="D2563" s="7" t="str">
        <f t="shared" si="867"/>
        <v>公営住宅</v>
      </c>
      <c r="E2563" s="7" t="str">
        <f t="shared" si="876"/>
        <v>大阪府富田林市清水町</v>
      </c>
      <c r="F2563" s="7"/>
      <c r="G2563" s="7" t="str">
        <f t="shared" si="864"/>
        <v>事業用資産</v>
      </c>
      <c r="H2563" s="7" t="str">
        <f t="shared" si="856"/>
        <v>棚卸以外</v>
      </c>
      <c r="I2563" s="7">
        <v>8</v>
      </c>
      <c r="J2563" s="7" t="str">
        <f>"５号棟"</f>
        <v>５号棟</v>
      </c>
      <c r="K2563" s="7" t="str">
        <f t="shared" si="878"/>
        <v>鉄筋コンクリート造</v>
      </c>
      <c r="L2563" s="7" t="str">
        <f>"H10.08.27"</f>
        <v>H10.08.27</v>
      </c>
      <c r="M2563" s="7">
        <v>5896.23</v>
      </c>
      <c r="N2563" s="7">
        <v>1126223506</v>
      </c>
      <c r="O2563" s="7">
        <v>589142385</v>
      </c>
      <c r="P2563" s="7">
        <v>0</v>
      </c>
      <c r="Q2563" s="7" t="str">
        <f t="shared" si="868"/>
        <v>都市整備部</v>
      </c>
      <c r="R2563" s="7" t="str">
        <f t="shared" si="865"/>
        <v>住宅建築局住宅経営室</v>
      </c>
    </row>
    <row r="2564" spans="1:18" s="1" customFormat="1" x14ac:dyDescent="0.45">
      <c r="A2564" s="7" t="str">
        <f t="shared" si="874"/>
        <v>09940003259</v>
      </c>
      <c r="B2564" s="7" t="str">
        <f t="shared" si="875"/>
        <v>富田林清水</v>
      </c>
      <c r="C2564" s="7" t="str">
        <f t="shared" si="866"/>
        <v>行政財産</v>
      </c>
      <c r="D2564" s="7" t="str">
        <f t="shared" si="867"/>
        <v>公営住宅</v>
      </c>
      <c r="E2564" s="7" t="str">
        <f t="shared" si="876"/>
        <v>大阪府富田林市清水町</v>
      </c>
      <c r="F2564" s="7"/>
      <c r="G2564" s="7" t="str">
        <f t="shared" si="864"/>
        <v>事業用資産</v>
      </c>
      <c r="H2564" s="7" t="str">
        <f t="shared" ref="H2564:H2627" si="879">"棚卸以外"</f>
        <v>棚卸以外</v>
      </c>
      <c r="I2564" s="7">
        <v>9</v>
      </c>
      <c r="J2564" s="7" t="str">
        <f>"７号棟"</f>
        <v>７号棟</v>
      </c>
      <c r="K2564" s="7" t="str">
        <f t="shared" si="878"/>
        <v>鉄筋コンクリート造</v>
      </c>
      <c r="L2564" s="7" t="str">
        <f>"H10.08.27"</f>
        <v>H10.08.27</v>
      </c>
      <c r="M2564" s="7">
        <v>6298.43</v>
      </c>
      <c r="N2564" s="7">
        <v>1200331324</v>
      </c>
      <c r="O2564" s="7">
        <v>627637230</v>
      </c>
      <c r="P2564" s="7">
        <v>0</v>
      </c>
      <c r="Q2564" s="7" t="str">
        <f t="shared" si="868"/>
        <v>都市整備部</v>
      </c>
      <c r="R2564" s="7" t="str">
        <f t="shared" si="865"/>
        <v>住宅建築局住宅経営室</v>
      </c>
    </row>
    <row r="2565" spans="1:18" s="1" customFormat="1" x14ac:dyDescent="0.45">
      <c r="A2565" s="7" t="str">
        <f t="shared" si="874"/>
        <v>09940003259</v>
      </c>
      <c r="B2565" s="7" t="str">
        <f t="shared" si="875"/>
        <v>富田林清水</v>
      </c>
      <c r="C2565" s="7" t="str">
        <f t="shared" si="866"/>
        <v>行政財産</v>
      </c>
      <c r="D2565" s="7" t="str">
        <f t="shared" si="867"/>
        <v>公営住宅</v>
      </c>
      <c r="E2565" s="7" t="str">
        <f t="shared" si="876"/>
        <v>大阪府富田林市清水町</v>
      </c>
      <c r="F2565" s="7"/>
      <c r="G2565" s="7" t="str">
        <f t="shared" si="864"/>
        <v>事業用資産</v>
      </c>
      <c r="H2565" s="7" t="str">
        <f t="shared" si="879"/>
        <v>棚卸以外</v>
      </c>
      <c r="I2565" s="7">
        <v>10</v>
      </c>
      <c r="J2565" s="7" t="str">
        <f>"８号棟"</f>
        <v>８号棟</v>
      </c>
      <c r="K2565" s="7" t="str">
        <f t="shared" si="878"/>
        <v>鉄筋コンクリート造</v>
      </c>
      <c r="L2565" s="7" t="str">
        <f>"H10.08.27"</f>
        <v>H10.08.27</v>
      </c>
      <c r="M2565" s="7">
        <v>4791.97</v>
      </c>
      <c r="N2565" s="7">
        <v>936351506</v>
      </c>
      <c r="O2565" s="7">
        <v>489829750</v>
      </c>
      <c r="P2565" s="7">
        <v>0</v>
      </c>
      <c r="Q2565" s="7" t="str">
        <f t="shared" si="868"/>
        <v>都市整備部</v>
      </c>
      <c r="R2565" s="7" t="str">
        <f t="shared" si="865"/>
        <v>住宅建築局住宅経営室</v>
      </c>
    </row>
    <row r="2566" spans="1:18" s="1" customFormat="1" x14ac:dyDescent="0.45">
      <c r="A2566" s="7" t="str">
        <f t="shared" si="874"/>
        <v>09940003259</v>
      </c>
      <c r="B2566" s="7" t="str">
        <f t="shared" si="875"/>
        <v>富田林清水</v>
      </c>
      <c r="C2566" s="7" t="str">
        <f t="shared" si="866"/>
        <v>行政財産</v>
      </c>
      <c r="D2566" s="7" t="str">
        <f t="shared" si="867"/>
        <v>公営住宅</v>
      </c>
      <c r="E2566" s="7" t="str">
        <f t="shared" si="876"/>
        <v>大阪府富田林市清水町</v>
      </c>
      <c r="F2566" s="7"/>
      <c r="G2566" s="7" t="str">
        <f t="shared" si="864"/>
        <v>事業用資産</v>
      </c>
      <c r="H2566" s="7" t="str">
        <f t="shared" si="879"/>
        <v>棚卸以外</v>
      </c>
      <c r="I2566" s="7">
        <v>11</v>
      </c>
      <c r="J2566" s="7" t="str">
        <f>"受水槽ポンプ室・電気室"</f>
        <v>受水槽ポンプ室・電気室</v>
      </c>
      <c r="K2566" s="7" t="str">
        <f t="shared" si="878"/>
        <v>鉄筋コンクリート造</v>
      </c>
      <c r="L2566" s="7" t="str">
        <f>"H10.08.27"</f>
        <v>H10.08.27</v>
      </c>
      <c r="M2566" s="7">
        <v>239.26</v>
      </c>
      <c r="N2566" s="7">
        <v>108534000</v>
      </c>
      <c r="O2566" s="7">
        <v>56768915</v>
      </c>
      <c r="P2566" s="7">
        <v>0</v>
      </c>
      <c r="Q2566" s="7" t="str">
        <f t="shared" si="868"/>
        <v>都市整備部</v>
      </c>
      <c r="R2566" s="7" t="str">
        <f t="shared" si="865"/>
        <v>住宅建築局住宅経営室</v>
      </c>
    </row>
    <row r="2567" spans="1:18" s="1" customFormat="1" x14ac:dyDescent="0.45">
      <c r="A2567" s="7" t="str">
        <f t="shared" si="874"/>
        <v>09940003259</v>
      </c>
      <c r="B2567" s="7" t="str">
        <f t="shared" si="875"/>
        <v>富田林清水</v>
      </c>
      <c r="C2567" s="7" t="str">
        <f t="shared" si="866"/>
        <v>行政財産</v>
      </c>
      <c r="D2567" s="7" t="str">
        <f t="shared" si="867"/>
        <v>公営住宅</v>
      </c>
      <c r="E2567" s="7" t="str">
        <f t="shared" si="876"/>
        <v>大阪府富田林市清水町</v>
      </c>
      <c r="F2567" s="7"/>
      <c r="G2567" s="7" t="str">
        <f t="shared" si="864"/>
        <v>事業用資産</v>
      </c>
      <c r="H2567" s="7" t="str">
        <f t="shared" si="879"/>
        <v>棚卸以外</v>
      </c>
      <c r="I2567" s="7">
        <v>12</v>
      </c>
      <c r="J2567" s="7" t="str">
        <f>"４号棟"</f>
        <v>４号棟</v>
      </c>
      <c r="K2567" s="7" t="str">
        <f t="shared" si="878"/>
        <v>鉄筋コンクリート造</v>
      </c>
      <c r="L2567" s="7" t="str">
        <f>"H12.07.28"</f>
        <v>H12.07.28</v>
      </c>
      <c r="M2567" s="7">
        <v>5486.3</v>
      </c>
      <c r="N2567" s="7">
        <v>913826228</v>
      </c>
      <c r="O2567" s="7">
        <v>441324982</v>
      </c>
      <c r="P2567" s="7">
        <v>0</v>
      </c>
      <c r="Q2567" s="7" t="str">
        <f t="shared" si="868"/>
        <v>都市整備部</v>
      </c>
      <c r="R2567" s="7" t="str">
        <f t="shared" si="865"/>
        <v>住宅建築局住宅経営室</v>
      </c>
    </row>
    <row r="2568" spans="1:18" s="1" customFormat="1" x14ac:dyDescent="0.45">
      <c r="A2568" s="7" t="str">
        <f t="shared" si="874"/>
        <v>09940003259</v>
      </c>
      <c r="B2568" s="7" t="str">
        <f t="shared" si="875"/>
        <v>富田林清水</v>
      </c>
      <c r="C2568" s="7" t="str">
        <f t="shared" si="866"/>
        <v>行政財産</v>
      </c>
      <c r="D2568" s="7" t="str">
        <f t="shared" si="867"/>
        <v>公営住宅</v>
      </c>
      <c r="E2568" s="7" t="str">
        <f t="shared" si="876"/>
        <v>大阪府富田林市清水町</v>
      </c>
      <c r="F2568" s="7"/>
      <c r="G2568" s="7" t="str">
        <f t="shared" si="864"/>
        <v>事業用資産</v>
      </c>
      <c r="H2568" s="7" t="str">
        <f t="shared" si="879"/>
        <v>棚卸以外</v>
      </c>
      <c r="I2568" s="7">
        <v>13</v>
      </c>
      <c r="J2568" s="7" t="str">
        <f>"９号棟"</f>
        <v>９号棟</v>
      </c>
      <c r="K2568" s="7" t="str">
        <f t="shared" si="878"/>
        <v>鉄筋コンクリート造</v>
      </c>
      <c r="L2568" s="7" t="str">
        <f>"H12.07.28"</f>
        <v>H12.07.28</v>
      </c>
      <c r="M2568" s="7">
        <v>5466.74</v>
      </c>
      <c r="N2568" s="7">
        <v>924200228</v>
      </c>
      <c r="O2568" s="7">
        <v>446327878</v>
      </c>
      <c r="P2568" s="7">
        <v>0</v>
      </c>
      <c r="Q2568" s="7" t="str">
        <f t="shared" si="868"/>
        <v>都市整備部</v>
      </c>
      <c r="R2568" s="7" t="str">
        <f t="shared" si="865"/>
        <v>住宅建築局住宅経営室</v>
      </c>
    </row>
    <row r="2569" spans="1:18" s="1" customFormat="1" x14ac:dyDescent="0.45">
      <c r="A2569" s="7" t="str">
        <f t="shared" si="874"/>
        <v>09940003259</v>
      </c>
      <c r="B2569" s="7" t="str">
        <f t="shared" si="875"/>
        <v>富田林清水</v>
      </c>
      <c r="C2569" s="7" t="str">
        <f t="shared" si="866"/>
        <v>行政財産</v>
      </c>
      <c r="D2569" s="7" t="str">
        <f t="shared" si="867"/>
        <v>公営住宅</v>
      </c>
      <c r="E2569" s="7" t="str">
        <f t="shared" si="876"/>
        <v>大阪府富田林市清水町</v>
      </c>
      <c r="F2569" s="7"/>
      <c r="G2569" s="7" t="str">
        <f t="shared" si="864"/>
        <v>事業用資産</v>
      </c>
      <c r="H2569" s="7" t="str">
        <f t="shared" si="879"/>
        <v>棚卸以外</v>
      </c>
      <c r="I2569" s="7">
        <v>14</v>
      </c>
      <c r="J2569" s="7" t="str">
        <f>"１０号棟"</f>
        <v>１０号棟</v>
      </c>
      <c r="K2569" s="7" t="str">
        <f t="shared" si="878"/>
        <v>鉄筋コンクリート造</v>
      </c>
      <c r="L2569" s="7" t="str">
        <f>"H12.07.28"</f>
        <v>H12.07.28</v>
      </c>
      <c r="M2569" s="7">
        <v>4184.9799999999996</v>
      </c>
      <c r="N2569" s="7">
        <v>739167228</v>
      </c>
      <c r="O2569" s="7">
        <v>357092294</v>
      </c>
      <c r="P2569" s="7">
        <v>0</v>
      </c>
      <c r="Q2569" s="7" t="str">
        <f t="shared" si="868"/>
        <v>都市整備部</v>
      </c>
      <c r="R2569" s="7" t="str">
        <f t="shared" si="865"/>
        <v>住宅建築局住宅経営室</v>
      </c>
    </row>
    <row r="2570" spans="1:18" s="1" customFormat="1" x14ac:dyDescent="0.45">
      <c r="A2570" s="7" t="str">
        <f t="shared" si="874"/>
        <v>09940003259</v>
      </c>
      <c r="B2570" s="7" t="str">
        <f t="shared" si="875"/>
        <v>富田林清水</v>
      </c>
      <c r="C2570" s="7" t="str">
        <f t="shared" si="866"/>
        <v>行政財産</v>
      </c>
      <c r="D2570" s="7" t="str">
        <f t="shared" si="867"/>
        <v>公営住宅</v>
      </c>
      <c r="E2570" s="7" t="str">
        <f t="shared" si="876"/>
        <v>大阪府富田林市清水町</v>
      </c>
      <c r="F2570" s="7"/>
      <c r="G2570" s="7" t="str">
        <f t="shared" si="864"/>
        <v>事業用資産</v>
      </c>
      <c r="H2570" s="7" t="str">
        <f t="shared" si="879"/>
        <v>棚卸以外</v>
      </c>
      <c r="I2570" s="7">
        <v>15</v>
      </c>
      <c r="J2570" s="7" t="str">
        <f>"１１号棟"</f>
        <v>１１号棟</v>
      </c>
      <c r="K2570" s="7" t="str">
        <f t="shared" si="878"/>
        <v>鉄筋コンクリート造</v>
      </c>
      <c r="L2570" s="7" t="str">
        <f>"H12.07.28"</f>
        <v>H12.07.28</v>
      </c>
      <c r="M2570" s="7">
        <v>4871.59</v>
      </c>
      <c r="N2570" s="7">
        <v>829310228</v>
      </c>
      <c r="O2570" s="7">
        <v>400565510</v>
      </c>
      <c r="P2570" s="7">
        <v>0</v>
      </c>
      <c r="Q2570" s="7" t="str">
        <f t="shared" si="868"/>
        <v>都市整備部</v>
      </c>
      <c r="R2570" s="7" t="str">
        <f t="shared" si="865"/>
        <v>住宅建築局住宅経営室</v>
      </c>
    </row>
    <row r="2571" spans="1:18" s="1" customFormat="1" x14ac:dyDescent="0.45">
      <c r="A2571" s="7" t="str">
        <f t="shared" si="874"/>
        <v>09940003259</v>
      </c>
      <c r="B2571" s="7" t="str">
        <f t="shared" si="875"/>
        <v>富田林清水</v>
      </c>
      <c r="C2571" s="7" t="str">
        <f t="shared" si="866"/>
        <v>行政財産</v>
      </c>
      <c r="D2571" s="7" t="str">
        <f t="shared" si="867"/>
        <v>公営住宅</v>
      </c>
      <c r="E2571" s="7" t="str">
        <f t="shared" si="876"/>
        <v>大阪府富田林市清水町</v>
      </c>
      <c r="F2571" s="7"/>
      <c r="G2571" s="7" t="str">
        <f t="shared" si="864"/>
        <v>事業用資産</v>
      </c>
      <c r="H2571" s="7" t="str">
        <f t="shared" si="879"/>
        <v>棚卸以外</v>
      </c>
      <c r="I2571" s="7">
        <v>16</v>
      </c>
      <c r="J2571" s="7" t="str">
        <f>"１２号棟"</f>
        <v>１２号棟</v>
      </c>
      <c r="K2571" s="7" t="str">
        <f t="shared" si="878"/>
        <v>鉄筋コンクリート造</v>
      </c>
      <c r="L2571" s="7" t="str">
        <f>"H13.09.25"</f>
        <v>H13.09.25</v>
      </c>
      <c r="M2571" s="7">
        <v>4327.43</v>
      </c>
      <c r="N2571" s="7">
        <v>700426229</v>
      </c>
      <c r="O2571" s="7">
        <v>321141714</v>
      </c>
      <c r="P2571" s="7">
        <v>0</v>
      </c>
      <c r="Q2571" s="7" t="str">
        <f t="shared" si="868"/>
        <v>都市整備部</v>
      </c>
      <c r="R2571" s="7" t="str">
        <f t="shared" si="865"/>
        <v>住宅建築局住宅経営室</v>
      </c>
    </row>
    <row r="2572" spans="1:18" s="1" customFormat="1" x14ac:dyDescent="0.45">
      <c r="A2572" s="7" t="str">
        <f t="shared" si="874"/>
        <v>09940003259</v>
      </c>
      <c r="B2572" s="7" t="str">
        <f t="shared" si="875"/>
        <v>富田林清水</v>
      </c>
      <c r="C2572" s="7" t="str">
        <f t="shared" si="866"/>
        <v>行政財産</v>
      </c>
      <c r="D2572" s="7" t="str">
        <f t="shared" si="867"/>
        <v>公営住宅</v>
      </c>
      <c r="E2572" s="7" t="str">
        <f t="shared" si="876"/>
        <v>大阪府富田林市清水町</v>
      </c>
      <c r="F2572" s="7"/>
      <c r="G2572" s="7" t="str">
        <f t="shared" si="864"/>
        <v>事業用資産</v>
      </c>
      <c r="H2572" s="7" t="str">
        <f t="shared" si="879"/>
        <v>棚卸以外</v>
      </c>
      <c r="I2572" s="7">
        <v>17</v>
      </c>
      <c r="J2572" s="7" t="str">
        <f>"１３号棟"</f>
        <v>１３号棟</v>
      </c>
      <c r="K2572" s="7" t="str">
        <f t="shared" si="878"/>
        <v>鉄筋コンクリート造</v>
      </c>
      <c r="L2572" s="7" t="str">
        <f>"H13.09.25"</f>
        <v>H13.09.25</v>
      </c>
      <c r="M2572" s="7">
        <v>5774.47</v>
      </c>
      <c r="N2572" s="7">
        <v>955553229</v>
      </c>
      <c r="O2572" s="7">
        <v>437848788</v>
      </c>
      <c r="P2572" s="7">
        <v>0</v>
      </c>
      <c r="Q2572" s="7" t="str">
        <f t="shared" si="868"/>
        <v>都市整備部</v>
      </c>
      <c r="R2572" s="7" t="str">
        <f t="shared" si="865"/>
        <v>住宅建築局住宅経営室</v>
      </c>
    </row>
    <row r="2573" spans="1:18" s="1" customFormat="1" x14ac:dyDescent="0.45">
      <c r="A2573" s="7" t="str">
        <f t="shared" si="874"/>
        <v>09940003259</v>
      </c>
      <c r="B2573" s="7" t="str">
        <f t="shared" si="875"/>
        <v>富田林清水</v>
      </c>
      <c r="C2573" s="7" t="str">
        <f t="shared" si="866"/>
        <v>行政財産</v>
      </c>
      <c r="D2573" s="7" t="str">
        <f t="shared" si="867"/>
        <v>公営住宅</v>
      </c>
      <c r="E2573" s="7" t="str">
        <f t="shared" si="876"/>
        <v>大阪府富田林市清水町</v>
      </c>
      <c r="F2573" s="7"/>
      <c r="G2573" s="7" t="str">
        <f t="shared" si="864"/>
        <v>事業用資産</v>
      </c>
      <c r="H2573" s="7" t="str">
        <f t="shared" si="879"/>
        <v>棚卸以外</v>
      </c>
      <c r="I2573" s="7">
        <v>18</v>
      </c>
      <c r="J2573" s="7" t="str">
        <f>"１４号棟"</f>
        <v>１４号棟</v>
      </c>
      <c r="K2573" s="7" t="str">
        <f t="shared" si="878"/>
        <v>鉄筋コンクリート造</v>
      </c>
      <c r="L2573" s="7" t="str">
        <f>"H13.09.25"</f>
        <v>H13.09.25</v>
      </c>
      <c r="M2573" s="7">
        <v>3323.43</v>
      </c>
      <c r="N2573" s="7">
        <v>554668229</v>
      </c>
      <c r="O2573" s="7">
        <v>254465226</v>
      </c>
      <c r="P2573" s="7">
        <v>0</v>
      </c>
      <c r="Q2573" s="7" t="str">
        <f t="shared" si="868"/>
        <v>都市整備部</v>
      </c>
      <c r="R2573" s="7" t="str">
        <f t="shared" si="865"/>
        <v>住宅建築局住宅経営室</v>
      </c>
    </row>
    <row r="2574" spans="1:18" s="1" customFormat="1" x14ac:dyDescent="0.45">
      <c r="A2574" s="7" t="str">
        <f t="shared" si="874"/>
        <v>09940003259</v>
      </c>
      <c r="B2574" s="7" t="str">
        <f t="shared" si="875"/>
        <v>富田林清水</v>
      </c>
      <c r="C2574" s="7" t="str">
        <f t="shared" si="866"/>
        <v>行政財産</v>
      </c>
      <c r="D2574" s="7" t="str">
        <f t="shared" si="867"/>
        <v>公営住宅</v>
      </c>
      <c r="E2574" s="7" t="str">
        <f t="shared" si="876"/>
        <v>大阪府富田林市清水町</v>
      </c>
      <c r="F2574" s="7"/>
      <c r="G2574" s="7" t="str">
        <f t="shared" si="864"/>
        <v>事業用資産</v>
      </c>
      <c r="H2574" s="7" t="str">
        <f t="shared" si="879"/>
        <v>棚卸以外</v>
      </c>
      <c r="I2574" s="7">
        <v>19</v>
      </c>
      <c r="J2574" s="7" t="str">
        <f>"受水槽ポンプ室・電気室"</f>
        <v>受水槽ポンプ室・電気室</v>
      </c>
      <c r="K2574" s="7" t="str">
        <f t="shared" si="878"/>
        <v>鉄筋コンクリート造</v>
      </c>
      <c r="L2574" s="7" t="str">
        <f>"H13.09.25"</f>
        <v>H13.09.25</v>
      </c>
      <c r="M2574" s="7">
        <v>148.5</v>
      </c>
      <c r="N2574" s="7">
        <v>33369000</v>
      </c>
      <c r="O2574" s="7">
        <v>15264570</v>
      </c>
      <c r="P2574" s="7">
        <v>0</v>
      </c>
      <c r="Q2574" s="7" t="str">
        <f t="shared" si="868"/>
        <v>都市整備部</v>
      </c>
      <c r="R2574" s="7" t="str">
        <f t="shared" si="865"/>
        <v>住宅建築局住宅経営室</v>
      </c>
    </row>
    <row r="2575" spans="1:18" s="1" customFormat="1" x14ac:dyDescent="0.45">
      <c r="A2575" s="7" t="str">
        <f t="shared" si="874"/>
        <v>09940003259</v>
      </c>
      <c r="B2575" s="7" t="str">
        <f t="shared" si="875"/>
        <v>富田林清水</v>
      </c>
      <c r="C2575" s="7" t="str">
        <f t="shared" si="866"/>
        <v>行政財産</v>
      </c>
      <c r="D2575" s="7" t="str">
        <f t="shared" si="867"/>
        <v>公営住宅</v>
      </c>
      <c r="E2575" s="7" t="str">
        <f t="shared" si="876"/>
        <v>大阪府富田林市清水町</v>
      </c>
      <c r="F2575" s="7"/>
      <c r="G2575" s="7" t="str">
        <f t="shared" si="864"/>
        <v>事業用資産</v>
      </c>
      <c r="H2575" s="7" t="str">
        <f t="shared" si="879"/>
        <v>棚卸以外</v>
      </c>
      <c r="I2575" s="7">
        <v>20</v>
      </c>
      <c r="J2575" s="7" t="str">
        <f>"集会所"</f>
        <v>集会所</v>
      </c>
      <c r="K2575" s="7" t="str">
        <f t="shared" si="878"/>
        <v>鉄筋コンクリート造</v>
      </c>
      <c r="L2575" s="7" t="str">
        <f>"H13.09.25"</f>
        <v>H13.09.25</v>
      </c>
      <c r="M2575" s="7">
        <v>155.03</v>
      </c>
      <c r="N2575" s="7">
        <v>40309000</v>
      </c>
      <c r="O2575" s="7">
        <v>18439260</v>
      </c>
      <c r="P2575" s="7">
        <v>0</v>
      </c>
      <c r="Q2575" s="7" t="str">
        <f t="shared" si="868"/>
        <v>都市整備部</v>
      </c>
      <c r="R2575" s="7" t="str">
        <f t="shared" si="865"/>
        <v>住宅建築局住宅経営室</v>
      </c>
    </row>
    <row r="2576" spans="1:18" s="1" customFormat="1" x14ac:dyDescent="0.45">
      <c r="A2576" s="7" t="str">
        <f t="shared" si="874"/>
        <v>09940003259</v>
      </c>
      <c r="B2576" s="7" t="str">
        <f t="shared" si="875"/>
        <v>富田林清水</v>
      </c>
      <c r="C2576" s="7" t="str">
        <f t="shared" si="866"/>
        <v>行政財産</v>
      </c>
      <c r="D2576" s="7" t="str">
        <f t="shared" si="867"/>
        <v>公営住宅</v>
      </c>
      <c r="E2576" s="7" t="str">
        <f t="shared" si="876"/>
        <v>大阪府富田林市清水町</v>
      </c>
      <c r="F2576" s="7"/>
      <c r="G2576" s="7" t="str">
        <f t="shared" si="864"/>
        <v>事業用資産</v>
      </c>
      <c r="H2576" s="7" t="str">
        <f t="shared" si="879"/>
        <v>棚卸以外</v>
      </c>
      <c r="I2576" s="7">
        <v>21</v>
      </c>
      <c r="J2576" s="7" t="str">
        <f>"１６号棟"</f>
        <v>１６号棟</v>
      </c>
      <c r="K2576" s="7" t="str">
        <f t="shared" si="878"/>
        <v>鉄筋コンクリート造</v>
      </c>
      <c r="L2576" s="7" t="str">
        <f>"H15.04.28"</f>
        <v>H15.04.28</v>
      </c>
      <c r="M2576" s="7">
        <v>2885.68</v>
      </c>
      <c r="N2576" s="7">
        <v>457068229</v>
      </c>
      <c r="O2576" s="7">
        <v>194582910</v>
      </c>
      <c r="P2576" s="7">
        <v>0</v>
      </c>
      <c r="Q2576" s="7" t="str">
        <f t="shared" si="868"/>
        <v>都市整備部</v>
      </c>
      <c r="R2576" s="7" t="str">
        <f t="shared" si="865"/>
        <v>住宅建築局住宅経営室</v>
      </c>
    </row>
    <row r="2577" spans="1:18" s="1" customFormat="1" x14ac:dyDescent="0.45">
      <c r="A2577" s="7" t="str">
        <f t="shared" si="874"/>
        <v>09940003259</v>
      </c>
      <c r="B2577" s="7" t="str">
        <f t="shared" si="875"/>
        <v>富田林清水</v>
      </c>
      <c r="C2577" s="7" t="str">
        <f t="shared" si="866"/>
        <v>行政財産</v>
      </c>
      <c r="D2577" s="7" t="str">
        <f t="shared" si="867"/>
        <v>公営住宅</v>
      </c>
      <c r="E2577" s="7" t="str">
        <f t="shared" si="876"/>
        <v>大阪府富田林市清水町</v>
      </c>
      <c r="F2577" s="7"/>
      <c r="G2577" s="7" t="str">
        <f t="shared" si="864"/>
        <v>事業用資産</v>
      </c>
      <c r="H2577" s="7" t="str">
        <f t="shared" si="879"/>
        <v>棚卸以外</v>
      </c>
      <c r="I2577" s="7">
        <v>22</v>
      </c>
      <c r="J2577" s="7" t="str">
        <f>"受水槽ポンプ室・電気室"</f>
        <v>受水槽ポンプ室・電気室</v>
      </c>
      <c r="K2577" s="7" t="str">
        <f t="shared" si="878"/>
        <v>鉄筋コンクリート造</v>
      </c>
      <c r="L2577" s="7" t="str">
        <f>"H15.04.28"</f>
        <v>H15.04.28</v>
      </c>
      <c r="M2577" s="7">
        <v>88.2</v>
      </c>
      <c r="N2577" s="7">
        <v>18282000</v>
      </c>
      <c r="O2577" s="7">
        <v>7747185</v>
      </c>
      <c r="P2577" s="7">
        <v>0</v>
      </c>
      <c r="Q2577" s="7" t="str">
        <f t="shared" si="868"/>
        <v>都市整備部</v>
      </c>
      <c r="R2577" s="7" t="str">
        <f t="shared" si="865"/>
        <v>住宅建築局住宅経営室</v>
      </c>
    </row>
    <row r="2578" spans="1:18" s="1" customFormat="1" x14ac:dyDescent="0.45">
      <c r="A2578" s="7" t="str">
        <f t="shared" si="874"/>
        <v>09940003259</v>
      </c>
      <c r="B2578" s="7" t="str">
        <f t="shared" si="875"/>
        <v>富田林清水</v>
      </c>
      <c r="C2578" s="7" t="str">
        <f t="shared" si="866"/>
        <v>行政財産</v>
      </c>
      <c r="D2578" s="7" t="str">
        <f t="shared" si="867"/>
        <v>公営住宅</v>
      </c>
      <c r="E2578" s="7" t="str">
        <f t="shared" si="876"/>
        <v>大阪府富田林市清水町</v>
      </c>
      <c r="F2578" s="7"/>
      <c r="G2578" s="7" t="str">
        <f t="shared" si="864"/>
        <v>事業用資産</v>
      </c>
      <c r="H2578" s="7" t="str">
        <f t="shared" si="879"/>
        <v>棚卸以外</v>
      </c>
      <c r="I2578" s="7">
        <v>23</v>
      </c>
      <c r="J2578" s="7" t="str">
        <f>"１５号棟"</f>
        <v>１５号棟</v>
      </c>
      <c r="K2578" s="7" t="str">
        <f t="shared" si="878"/>
        <v>鉄筋コンクリート造</v>
      </c>
      <c r="L2578" s="7" t="str">
        <f>"H15.07.31"</f>
        <v>H15.07.31</v>
      </c>
      <c r="M2578" s="7">
        <v>1656.1</v>
      </c>
      <c r="N2578" s="7">
        <v>291835229</v>
      </c>
      <c r="O2578" s="7">
        <v>123037342</v>
      </c>
      <c r="P2578" s="7">
        <v>0</v>
      </c>
      <c r="Q2578" s="7" t="str">
        <f t="shared" si="868"/>
        <v>都市整備部</v>
      </c>
      <c r="R2578" s="7" t="str">
        <f t="shared" si="865"/>
        <v>住宅建築局住宅経営室</v>
      </c>
    </row>
    <row r="2579" spans="1:18" s="1" customFormat="1" x14ac:dyDescent="0.45">
      <c r="A2579" s="7" t="str">
        <f t="shared" si="874"/>
        <v>09940003259</v>
      </c>
      <c r="B2579" s="7" t="str">
        <f t="shared" si="875"/>
        <v>富田林清水</v>
      </c>
      <c r="C2579" s="7" t="str">
        <f t="shared" si="866"/>
        <v>行政財産</v>
      </c>
      <c r="D2579" s="7" t="str">
        <f t="shared" si="867"/>
        <v>公営住宅</v>
      </c>
      <c r="E2579" s="7" t="str">
        <f t="shared" si="876"/>
        <v>大阪府富田林市清水町</v>
      </c>
      <c r="F2579" s="7"/>
      <c r="G2579" s="7" t="str">
        <f t="shared" si="864"/>
        <v>事業用資産</v>
      </c>
      <c r="H2579" s="7" t="str">
        <f t="shared" si="879"/>
        <v>棚卸以外</v>
      </c>
      <c r="I2579" s="7">
        <v>24</v>
      </c>
      <c r="J2579" s="7" t="str">
        <f>"１７号棟"</f>
        <v>１７号棟</v>
      </c>
      <c r="K2579" s="7" t="str">
        <f>"鉄骨コンクリート造"</f>
        <v>鉄骨コンクリート造</v>
      </c>
      <c r="L2579" s="7" t="str">
        <f>"H15.07.31"</f>
        <v>H15.07.31</v>
      </c>
      <c r="M2579" s="7">
        <v>4136.32</v>
      </c>
      <c r="N2579" s="7">
        <v>660686229</v>
      </c>
      <c r="O2579" s="7">
        <v>277379218</v>
      </c>
      <c r="P2579" s="7">
        <v>0</v>
      </c>
      <c r="Q2579" s="7" t="str">
        <f t="shared" si="868"/>
        <v>都市整備部</v>
      </c>
      <c r="R2579" s="7" t="str">
        <f t="shared" si="865"/>
        <v>住宅建築局住宅経営室</v>
      </c>
    </row>
    <row r="2580" spans="1:18" s="1" customFormat="1" x14ac:dyDescent="0.45">
      <c r="A2580" s="7" t="str">
        <f t="shared" si="874"/>
        <v>09940003259</v>
      </c>
      <c r="B2580" s="7" t="str">
        <f t="shared" si="875"/>
        <v>富田林清水</v>
      </c>
      <c r="C2580" s="7" t="str">
        <f t="shared" si="866"/>
        <v>行政財産</v>
      </c>
      <c r="D2580" s="7" t="str">
        <f t="shared" si="867"/>
        <v>公営住宅</v>
      </c>
      <c r="E2580" s="7" t="str">
        <f t="shared" si="876"/>
        <v>大阪府富田林市清水町</v>
      </c>
      <c r="F2580" s="7"/>
      <c r="G2580" s="7" t="str">
        <f t="shared" si="864"/>
        <v>事業用資産</v>
      </c>
      <c r="H2580" s="7" t="str">
        <f t="shared" si="879"/>
        <v>棚卸以外</v>
      </c>
      <c r="I2580" s="7">
        <v>25</v>
      </c>
      <c r="J2580" s="7" t="str">
        <f>"受水槽ポンプ室・電気室"</f>
        <v>受水槽ポンプ室・電気室</v>
      </c>
      <c r="K2580" s="7" t="str">
        <f t="shared" ref="K2580:K2606" si="880">"鉄筋コンクリート造"</f>
        <v>鉄筋コンクリート造</v>
      </c>
      <c r="L2580" s="7" t="str">
        <f>"H15.07.31"</f>
        <v>H15.07.31</v>
      </c>
      <c r="M2580" s="7">
        <v>88.2</v>
      </c>
      <c r="N2580" s="7">
        <v>16074000</v>
      </c>
      <c r="O2580" s="7">
        <v>6726000</v>
      </c>
      <c r="P2580" s="7">
        <v>0</v>
      </c>
      <c r="Q2580" s="7" t="str">
        <f t="shared" si="868"/>
        <v>都市整備部</v>
      </c>
      <c r="R2580" s="7" t="str">
        <f t="shared" si="865"/>
        <v>住宅建築局住宅経営室</v>
      </c>
    </row>
    <row r="2581" spans="1:18" s="1" customFormat="1" x14ac:dyDescent="0.45">
      <c r="A2581" s="7" t="str">
        <f t="shared" ref="A2581:A2586" si="881">"09940003260"</f>
        <v>09940003260</v>
      </c>
      <c r="B2581" s="7" t="str">
        <f t="shared" ref="B2581:B2586" si="882">"大東末広（旧住道第２）"</f>
        <v>大東末広（旧住道第２）</v>
      </c>
      <c r="C2581" s="7" t="str">
        <f t="shared" si="866"/>
        <v>行政財産</v>
      </c>
      <c r="D2581" s="7" t="str">
        <f t="shared" si="867"/>
        <v>公営住宅</v>
      </c>
      <c r="E2581" s="7" t="str">
        <f t="shared" ref="E2581:E2586" si="883">"大阪府大東市末広町"</f>
        <v>大阪府大東市末広町</v>
      </c>
      <c r="F2581" s="7"/>
      <c r="G2581" s="7" t="str">
        <f t="shared" si="864"/>
        <v>事業用資産</v>
      </c>
      <c r="H2581" s="7" t="str">
        <f t="shared" si="879"/>
        <v>棚卸以外</v>
      </c>
      <c r="I2581" s="7">
        <v>1</v>
      </c>
      <c r="J2581" s="7" t="str">
        <f>"１号棟"</f>
        <v>１号棟</v>
      </c>
      <c r="K2581" s="7" t="str">
        <f t="shared" si="880"/>
        <v>鉄筋コンクリート造</v>
      </c>
      <c r="L2581" s="7" t="str">
        <f>"H09.11.28"</f>
        <v>H09.11.28</v>
      </c>
      <c r="M2581" s="7">
        <v>9204.42</v>
      </c>
      <c r="N2581" s="7">
        <v>1655387482</v>
      </c>
      <c r="O2581" s="7">
        <v>890207359</v>
      </c>
      <c r="P2581" s="7">
        <v>0</v>
      </c>
      <c r="Q2581" s="7" t="str">
        <f t="shared" si="868"/>
        <v>都市整備部</v>
      </c>
      <c r="R2581" s="7" t="str">
        <f t="shared" si="865"/>
        <v>住宅建築局住宅経営室</v>
      </c>
    </row>
    <row r="2582" spans="1:18" s="1" customFormat="1" x14ac:dyDescent="0.45">
      <c r="A2582" s="7" t="str">
        <f t="shared" si="881"/>
        <v>09940003260</v>
      </c>
      <c r="B2582" s="7" t="str">
        <f t="shared" si="882"/>
        <v>大東末広（旧住道第２）</v>
      </c>
      <c r="C2582" s="7" t="str">
        <f t="shared" si="866"/>
        <v>行政財産</v>
      </c>
      <c r="D2582" s="7" t="str">
        <f t="shared" si="867"/>
        <v>公営住宅</v>
      </c>
      <c r="E2582" s="7" t="str">
        <f t="shared" si="883"/>
        <v>大阪府大東市末広町</v>
      </c>
      <c r="F2582" s="7"/>
      <c r="G2582" s="7" t="str">
        <f t="shared" si="864"/>
        <v>事業用資産</v>
      </c>
      <c r="H2582" s="7" t="str">
        <f t="shared" si="879"/>
        <v>棚卸以外</v>
      </c>
      <c r="I2582" s="7">
        <v>2</v>
      </c>
      <c r="J2582" s="7" t="str">
        <f>"２号棟"</f>
        <v>２号棟</v>
      </c>
      <c r="K2582" s="7" t="str">
        <f t="shared" si="880"/>
        <v>鉄筋コンクリート造</v>
      </c>
      <c r="L2582" s="7" t="str">
        <f>"H09.11.28"</f>
        <v>H09.11.28</v>
      </c>
      <c r="M2582" s="7">
        <v>3256.3</v>
      </c>
      <c r="N2582" s="7">
        <v>641839482</v>
      </c>
      <c r="O2582" s="7">
        <v>343897775</v>
      </c>
      <c r="P2582" s="7">
        <v>0</v>
      </c>
      <c r="Q2582" s="7" t="str">
        <f t="shared" si="868"/>
        <v>都市整備部</v>
      </c>
      <c r="R2582" s="7" t="str">
        <f t="shared" si="865"/>
        <v>住宅建築局住宅経営室</v>
      </c>
    </row>
    <row r="2583" spans="1:18" s="1" customFormat="1" x14ac:dyDescent="0.45">
      <c r="A2583" s="7" t="str">
        <f t="shared" si="881"/>
        <v>09940003260</v>
      </c>
      <c r="B2583" s="7" t="str">
        <f t="shared" si="882"/>
        <v>大東末広（旧住道第２）</v>
      </c>
      <c r="C2583" s="7" t="str">
        <f t="shared" si="866"/>
        <v>行政財産</v>
      </c>
      <c r="D2583" s="7" t="str">
        <f t="shared" si="867"/>
        <v>公営住宅</v>
      </c>
      <c r="E2583" s="7" t="str">
        <f t="shared" si="883"/>
        <v>大阪府大東市末広町</v>
      </c>
      <c r="F2583" s="7"/>
      <c r="G2583" s="7" t="str">
        <f t="shared" ref="G2583:G2646" si="884">"事業用資産"</f>
        <v>事業用資産</v>
      </c>
      <c r="H2583" s="7" t="str">
        <f t="shared" si="879"/>
        <v>棚卸以外</v>
      </c>
      <c r="I2583" s="7">
        <v>3</v>
      </c>
      <c r="J2583" s="7" t="str">
        <f>"電気室・受水槽・ポンプ室"</f>
        <v>電気室・受水槽・ポンプ室</v>
      </c>
      <c r="K2583" s="7" t="str">
        <f t="shared" si="880"/>
        <v>鉄筋コンクリート造</v>
      </c>
      <c r="L2583" s="7" t="str">
        <f>"H09.11.28"</f>
        <v>H09.11.28</v>
      </c>
      <c r="M2583" s="7">
        <v>136.33000000000001</v>
      </c>
      <c r="N2583" s="7">
        <v>41472000</v>
      </c>
      <c r="O2583" s="7">
        <v>22353728</v>
      </c>
      <c r="P2583" s="7">
        <v>0</v>
      </c>
      <c r="Q2583" s="7" t="str">
        <f t="shared" si="868"/>
        <v>都市整備部</v>
      </c>
      <c r="R2583" s="7" t="str">
        <f t="shared" si="865"/>
        <v>住宅建築局住宅経営室</v>
      </c>
    </row>
    <row r="2584" spans="1:18" s="1" customFormat="1" x14ac:dyDescent="0.45">
      <c r="A2584" s="7" t="str">
        <f t="shared" si="881"/>
        <v>09940003260</v>
      </c>
      <c r="B2584" s="7" t="str">
        <f t="shared" si="882"/>
        <v>大東末広（旧住道第２）</v>
      </c>
      <c r="C2584" s="7" t="str">
        <f t="shared" si="866"/>
        <v>行政財産</v>
      </c>
      <c r="D2584" s="7" t="str">
        <f t="shared" si="867"/>
        <v>公営住宅</v>
      </c>
      <c r="E2584" s="7" t="str">
        <f t="shared" si="883"/>
        <v>大阪府大東市末広町</v>
      </c>
      <c r="F2584" s="7"/>
      <c r="G2584" s="7" t="str">
        <f t="shared" si="884"/>
        <v>事業用資産</v>
      </c>
      <c r="H2584" s="7" t="str">
        <f t="shared" si="879"/>
        <v>棚卸以外</v>
      </c>
      <c r="I2584" s="7">
        <v>4</v>
      </c>
      <c r="J2584" s="7" t="str">
        <f>"３号棟"</f>
        <v>３号棟</v>
      </c>
      <c r="K2584" s="7" t="str">
        <f t="shared" si="880"/>
        <v>鉄筋コンクリート造</v>
      </c>
      <c r="L2584" s="7" t="str">
        <f>"H12.06.03"</f>
        <v>H12.06.03</v>
      </c>
      <c r="M2584" s="7">
        <v>4488.8999999999996</v>
      </c>
      <c r="N2584" s="7">
        <v>791430482</v>
      </c>
      <c r="O2584" s="7">
        <v>381582298</v>
      </c>
      <c r="P2584" s="7">
        <v>0</v>
      </c>
      <c r="Q2584" s="7" t="str">
        <f t="shared" si="868"/>
        <v>都市整備部</v>
      </c>
      <c r="R2584" s="7" t="str">
        <f t="shared" ref="R2584:R2647" si="885">"住宅建築局住宅経営室"</f>
        <v>住宅建築局住宅経営室</v>
      </c>
    </row>
    <row r="2585" spans="1:18" s="1" customFormat="1" x14ac:dyDescent="0.45">
      <c r="A2585" s="7" t="str">
        <f t="shared" si="881"/>
        <v>09940003260</v>
      </c>
      <c r="B2585" s="7" t="str">
        <f t="shared" si="882"/>
        <v>大東末広（旧住道第２）</v>
      </c>
      <c r="C2585" s="7" t="str">
        <f t="shared" si="866"/>
        <v>行政財産</v>
      </c>
      <c r="D2585" s="7" t="str">
        <f t="shared" si="867"/>
        <v>公営住宅</v>
      </c>
      <c r="E2585" s="7" t="str">
        <f t="shared" si="883"/>
        <v>大阪府大東市末広町</v>
      </c>
      <c r="F2585" s="7"/>
      <c r="G2585" s="7" t="str">
        <f t="shared" si="884"/>
        <v>事業用資産</v>
      </c>
      <c r="H2585" s="7" t="str">
        <f t="shared" si="879"/>
        <v>棚卸以外</v>
      </c>
      <c r="I2585" s="7">
        <v>5</v>
      </c>
      <c r="J2585" s="7" t="str">
        <f>"受水槽ポンプ室"</f>
        <v>受水槽ポンプ室</v>
      </c>
      <c r="K2585" s="7" t="str">
        <f t="shared" si="880"/>
        <v>鉄筋コンクリート造</v>
      </c>
      <c r="L2585" s="7" t="str">
        <f>"H12.06.30"</f>
        <v>H12.06.30</v>
      </c>
      <c r="M2585" s="7">
        <v>50.93</v>
      </c>
      <c r="N2585" s="7">
        <v>23868000</v>
      </c>
      <c r="O2585" s="7">
        <v>11553360</v>
      </c>
      <c r="P2585" s="7">
        <v>0</v>
      </c>
      <c r="Q2585" s="7" t="str">
        <f t="shared" si="868"/>
        <v>都市整備部</v>
      </c>
      <c r="R2585" s="7" t="str">
        <f t="shared" si="885"/>
        <v>住宅建築局住宅経営室</v>
      </c>
    </row>
    <row r="2586" spans="1:18" s="1" customFormat="1" x14ac:dyDescent="0.45">
      <c r="A2586" s="7" t="str">
        <f t="shared" si="881"/>
        <v>09940003260</v>
      </c>
      <c r="B2586" s="7" t="str">
        <f t="shared" si="882"/>
        <v>大東末広（旧住道第２）</v>
      </c>
      <c r="C2586" s="7" t="str">
        <f t="shared" ref="C2586:C2649" si="886">"行政財産"</f>
        <v>行政財産</v>
      </c>
      <c r="D2586" s="7" t="str">
        <f t="shared" ref="D2586:D2649" si="887">"公営住宅"</f>
        <v>公営住宅</v>
      </c>
      <c r="E2586" s="7" t="str">
        <f t="shared" si="883"/>
        <v>大阪府大東市末広町</v>
      </c>
      <c r="F2586" s="7"/>
      <c r="G2586" s="7" t="str">
        <f t="shared" si="884"/>
        <v>事業用資産</v>
      </c>
      <c r="H2586" s="7" t="str">
        <f t="shared" si="879"/>
        <v>棚卸以外</v>
      </c>
      <c r="I2586" s="7">
        <v>6</v>
      </c>
      <c r="J2586" s="7" t="str">
        <f>"４号棟"</f>
        <v>４号棟</v>
      </c>
      <c r="K2586" s="7" t="str">
        <f t="shared" si="880"/>
        <v>鉄筋コンクリート造</v>
      </c>
      <c r="L2586" s="7" t="str">
        <f>"H12.06.30"</f>
        <v>H12.06.30</v>
      </c>
      <c r="M2586" s="7">
        <v>1220.71</v>
      </c>
      <c r="N2586" s="7">
        <v>291199000</v>
      </c>
      <c r="O2586" s="7">
        <v>140952903</v>
      </c>
      <c r="P2586" s="7">
        <v>0</v>
      </c>
      <c r="Q2586" s="7" t="str">
        <f t="shared" si="868"/>
        <v>都市整備部</v>
      </c>
      <c r="R2586" s="7" t="str">
        <f t="shared" si="885"/>
        <v>住宅建築局住宅経営室</v>
      </c>
    </row>
    <row r="2587" spans="1:18" s="1" customFormat="1" x14ac:dyDescent="0.45">
      <c r="A2587" s="7" t="str">
        <f t="shared" ref="A2587:A2592" si="888">"09940003261"</f>
        <v>09940003261</v>
      </c>
      <c r="B2587" s="7" t="str">
        <f t="shared" ref="B2587:B2592" si="889">"庄内北"</f>
        <v>庄内北</v>
      </c>
      <c r="C2587" s="7" t="str">
        <f t="shared" si="886"/>
        <v>行政財産</v>
      </c>
      <c r="D2587" s="7" t="str">
        <f t="shared" si="887"/>
        <v>公営住宅</v>
      </c>
      <c r="E2587" s="7" t="str">
        <f t="shared" ref="E2587:E2592" si="890">"大阪府豊中市庄内　幸町１丁目"</f>
        <v>大阪府豊中市庄内　幸町１丁目</v>
      </c>
      <c r="F2587" s="7"/>
      <c r="G2587" s="7" t="str">
        <f t="shared" si="884"/>
        <v>事業用資産</v>
      </c>
      <c r="H2587" s="7" t="str">
        <f t="shared" si="879"/>
        <v>棚卸以外</v>
      </c>
      <c r="I2587" s="7">
        <v>1</v>
      </c>
      <c r="J2587" s="7" t="str">
        <f>"２号棟"</f>
        <v>２号棟</v>
      </c>
      <c r="K2587" s="7" t="str">
        <f t="shared" si="880"/>
        <v>鉄筋コンクリート造</v>
      </c>
      <c r="L2587" s="7" t="str">
        <f>"S53.10.27"</f>
        <v>S53.10.27</v>
      </c>
      <c r="M2587" s="7">
        <v>1243.6500000000001</v>
      </c>
      <c r="N2587" s="7">
        <v>110362000</v>
      </c>
      <c r="O2587" s="7">
        <v>104296374</v>
      </c>
      <c r="P2587" s="7">
        <v>0</v>
      </c>
      <c r="Q2587" s="7" t="str">
        <f t="shared" ref="Q2587:Q2650" si="891">"都市整備部"</f>
        <v>都市整備部</v>
      </c>
      <c r="R2587" s="7" t="str">
        <f t="shared" si="885"/>
        <v>住宅建築局住宅経営室</v>
      </c>
    </row>
    <row r="2588" spans="1:18" s="1" customFormat="1" x14ac:dyDescent="0.45">
      <c r="A2588" s="7" t="str">
        <f t="shared" si="888"/>
        <v>09940003261</v>
      </c>
      <c r="B2588" s="7" t="str">
        <f t="shared" si="889"/>
        <v>庄内北</v>
      </c>
      <c r="C2588" s="7" t="str">
        <f t="shared" si="886"/>
        <v>行政財産</v>
      </c>
      <c r="D2588" s="7" t="str">
        <f t="shared" si="887"/>
        <v>公営住宅</v>
      </c>
      <c r="E2588" s="7" t="str">
        <f t="shared" si="890"/>
        <v>大阪府豊中市庄内　幸町１丁目</v>
      </c>
      <c r="F2588" s="7"/>
      <c r="G2588" s="7" t="str">
        <f t="shared" si="884"/>
        <v>事業用資産</v>
      </c>
      <c r="H2588" s="7" t="str">
        <f t="shared" si="879"/>
        <v>棚卸以外</v>
      </c>
      <c r="I2588" s="7">
        <v>2</v>
      </c>
      <c r="J2588" s="7" t="str">
        <f>"１号棟"</f>
        <v>１号棟</v>
      </c>
      <c r="K2588" s="7" t="str">
        <f t="shared" si="880"/>
        <v>鉄筋コンクリート造</v>
      </c>
      <c r="L2588" s="7" t="str">
        <f>"S53.10.27"</f>
        <v>S53.10.27</v>
      </c>
      <c r="M2588" s="7">
        <v>1865.48</v>
      </c>
      <c r="N2588" s="7">
        <v>165427439</v>
      </c>
      <c r="O2588" s="7">
        <v>156081588</v>
      </c>
      <c r="P2588" s="7">
        <v>0</v>
      </c>
      <c r="Q2588" s="7" t="str">
        <f t="shared" si="891"/>
        <v>都市整備部</v>
      </c>
      <c r="R2588" s="7" t="str">
        <f t="shared" si="885"/>
        <v>住宅建築局住宅経営室</v>
      </c>
    </row>
    <row r="2589" spans="1:18" s="1" customFormat="1" x14ac:dyDescent="0.45">
      <c r="A2589" s="7" t="str">
        <f t="shared" si="888"/>
        <v>09940003261</v>
      </c>
      <c r="B2589" s="7" t="str">
        <f t="shared" si="889"/>
        <v>庄内北</v>
      </c>
      <c r="C2589" s="7" t="str">
        <f t="shared" si="886"/>
        <v>行政財産</v>
      </c>
      <c r="D2589" s="7" t="str">
        <f t="shared" si="887"/>
        <v>公営住宅</v>
      </c>
      <c r="E2589" s="7" t="str">
        <f t="shared" si="890"/>
        <v>大阪府豊中市庄内　幸町１丁目</v>
      </c>
      <c r="F2589" s="7"/>
      <c r="G2589" s="7" t="str">
        <f t="shared" si="884"/>
        <v>事業用資産</v>
      </c>
      <c r="H2589" s="7" t="str">
        <f t="shared" si="879"/>
        <v>棚卸以外</v>
      </c>
      <c r="I2589" s="7">
        <v>3</v>
      </c>
      <c r="J2589" s="7" t="str">
        <f>"４号棟"</f>
        <v>４号棟</v>
      </c>
      <c r="K2589" s="7" t="str">
        <f t="shared" si="880"/>
        <v>鉄筋コンクリート造</v>
      </c>
      <c r="L2589" s="7" t="str">
        <f>"S53.10.27"</f>
        <v>S53.10.27</v>
      </c>
      <c r="M2589" s="7">
        <v>1243.6500000000001</v>
      </c>
      <c r="N2589" s="7">
        <v>100259000</v>
      </c>
      <c r="O2589" s="7">
        <v>94748745</v>
      </c>
      <c r="P2589" s="7">
        <v>0</v>
      </c>
      <c r="Q2589" s="7" t="str">
        <f t="shared" si="891"/>
        <v>都市整備部</v>
      </c>
      <c r="R2589" s="7" t="str">
        <f t="shared" si="885"/>
        <v>住宅建築局住宅経営室</v>
      </c>
    </row>
    <row r="2590" spans="1:18" s="1" customFormat="1" x14ac:dyDescent="0.45">
      <c r="A2590" s="7" t="str">
        <f t="shared" si="888"/>
        <v>09940003261</v>
      </c>
      <c r="B2590" s="7" t="str">
        <f t="shared" si="889"/>
        <v>庄内北</v>
      </c>
      <c r="C2590" s="7" t="str">
        <f t="shared" si="886"/>
        <v>行政財産</v>
      </c>
      <c r="D2590" s="7" t="str">
        <f t="shared" si="887"/>
        <v>公営住宅</v>
      </c>
      <c r="E2590" s="7" t="str">
        <f t="shared" si="890"/>
        <v>大阪府豊中市庄内　幸町１丁目</v>
      </c>
      <c r="F2590" s="7"/>
      <c r="G2590" s="7" t="str">
        <f t="shared" si="884"/>
        <v>事業用資産</v>
      </c>
      <c r="H2590" s="7" t="str">
        <f t="shared" si="879"/>
        <v>棚卸以外</v>
      </c>
      <c r="I2590" s="7">
        <v>4</v>
      </c>
      <c r="J2590" s="7" t="str">
        <f>"３号棟"</f>
        <v>３号棟</v>
      </c>
      <c r="K2590" s="7" t="str">
        <f t="shared" si="880"/>
        <v>鉄筋コンクリート造</v>
      </c>
      <c r="L2590" s="7" t="str">
        <f>"S53.10.27"</f>
        <v>S53.10.27</v>
      </c>
      <c r="M2590" s="7">
        <v>1865.48</v>
      </c>
      <c r="N2590" s="7">
        <v>160179000</v>
      </c>
      <c r="O2590" s="7">
        <v>151375198</v>
      </c>
      <c r="P2590" s="7">
        <v>0</v>
      </c>
      <c r="Q2590" s="7" t="str">
        <f t="shared" si="891"/>
        <v>都市整備部</v>
      </c>
      <c r="R2590" s="7" t="str">
        <f t="shared" si="885"/>
        <v>住宅建築局住宅経営室</v>
      </c>
    </row>
    <row r="2591" spans="1:18" s="1" customFormat="1" x14ac:dyDescent="0.45">
      <c r="A2591" s="7" t="str">
        <f t="shared" si="888"/>
        <v>09940003261</v>
      </c>
      <c r="B2591" s="7" t="str">
        <f t="shared" si="889"/>
        <v>庄内北</v>
      </c>
      <c r="C2591" s="7" t="str">
        <f t="shared" si="886"/>
        <v>行政財産</v>
      </c>
      <c r="D2591" s="7" t="str">
        <f t="shared" si="887"/>
        <v>公営住宅</v>
      </c>
      <c r="E2591" s="7" t="str">
        <f t="shared" si="890"/>
        <v>大阪府豊中市庄内　幸町１丁目</v>
      </c>
      <c r="F2591" s="7"/>
      <c r="G2591" s="7" t="str">
        <f t="shared" si="884"/>
        <v>事業用資産</v>
      </c>
      <c r="H2591" s="7" t="str">
        <f t="shared" si="879"/>
        <v>棚卸以外</v>
      </c>
      <c r="I2591" s="7">
        <v>5</v>
      </c>
      <c r="J2591" s="7" t="str">
        <f>"ポンプ室"</f>
        <v>ポンプ室</v>
      </c>
      <c r="K2591" s="7" t="str">
        <f t="shared" si="880"/>
        <v>鉄筋コンクリート造</v>
      </c>
      <c r="L2591" s="7" t="str">
        <f>"S53.10.27"</f>
        <v>S53.10.27</v>
      </c>
      <c r="M2591" s="7">
        <v>12.05</v>
      </c>
      <c r="N2591" s="7">
        <v>5218000</v>
      </c>
      <c r="O2591" s="7">
        <v>4931316</v>
      </c>
      <c r="P2591" s="7">
        <v>0</v>
      </c>
      <c r="Q2591" s="7" t="str">
        <f t="shared" si="891"/>
        <v>都市整備部</v>
      </c>
      <c r="R2591" s="7" t="str">
        <f t="shared" si="885"/>
        <v>住宅建築局住宅経営室</v>
      </c>
    </row>
    <row r="2592" spans="1:18" s="1" customFormat="1" x14ac:dyDescent="0.45">
      <c r="A2592" s="7" t="str">
        <f t="shared" si="888"/>
        <v>09940003261</v>
      </c>
      <c r="B2592" s="7" t="str">
        <f t="shared" si="889"/>
        <v>庄内北</v>
      </c>
      <c r="C2592" s="7" t="str">
        <f t="shared" si="886"/>
        <v>行政財産</v>
      </c>
      <c r="D2592" s="7" t="str">
        <f t="shared" si="887"/>
        <v>公営住宅</v>
      </c>
      <c r="E2592" s="7" t="str">
        <f t="shared" si="890"/>
        <v>大阪府豊中市庄内　幸町１丁目</v>
      </c>
      <c r="F2592" s="7"/>
      <c r="G2592" s="7" t="str">
        <f t="shared" si="884"/>
        <v>事業用資産</v>
      </c>
      <c r="H2592" s="7" t="str">
        <f t="shared" si="879"/>
        <v>棚卸以外</v>
      </c>
      <c r="I2592" s="7">
        <v>6</v>
      </c>
      <c r="J2592" s="7" t="str">
        <f>"集会所"</f>
        <v>集会所</v>
      </c>
      <c r="K2592" s="7" t="str">
        <f t="shared" si="880"/>
        <v>鉄筋コンクリート造</v>
      </c>
      <c r="L2592" s="7" t="str">
        <f>"S54.05.10"</f>
        <v>S54.05.10</v>
      </c>
      <c r="M2592" s="7">
        <v>84</v>
      </c>
      <c r="N2592" s="7">
        <v>12728000</v>
      </c>
      <c r="O2592" s="7">
        <v>11870768</v>
      </c>
      <c r="P2592" s="7">
        <v>0</v>
      </c>
      <c r="Q2592" s="7" t="str">
        <f t="shared" si="891"/>
        <v>都市整備部</v>
      </c>
      <c r="R2592" s="7" t="str">
        <f t="shared" si="885"/>
        <v>住宅建築局住宅経営室</v>
      </c>
    </row>
    <row r="2593" spans="1:18" s="1" customFormat="1" x14ac:dyDescent="0.45">
      <c r="A2593" s="7" t="str">
        <f t="shared" ref="A2593:A2601" si="892">"09940003296"</f>
        <v>09940003296</v>
      </c>
      <c r="B2593" s="7" t="str">
        <f t="shared" ref="B2593:B2601" si="893">"高槻下田部"</f>
        <v>高槻下田部</v>
      </c>
      <c r="C2593" s="7" t="str">
        <f t="shared" si="886"/>
        <v>行政財産</v>
      </c>
      <c r="D2593" s="7" t="str">
        <f t="shared" si="887"/>
        <v>公営住宅</v>
      </c>
      <c r="E2593" s="7" t="str">
        <f t="shared" ref="E2593:E2601" si="894">"大阪府高槻市登町"</f>
        <v>大阪府高槻市登町</v>
      </c>
      <c r="F2593" s="7"/>
      <c r="G2593" s="7" t="str">
        <f t="shared" si="884"/>
        <v>事業用資産</v>
      </c>
      <c r="H2593" s="7" t="str">
        <f t="shared" si="879"/>
        <v>棚卸以外</v>
      </c>
      <c r="I2593" s="7">
        <v>1</v>
      </c>
      <c r="J2593" s="7" t="str">
        <f>"１５～２１号棟"</f>
        <v>１５～２１号棟</v>
      </c>
      <c r="K2593" s="7" t="str">
        <f t="shared" si="880"/>
        <v>鉄筋コンクリート造</v>
      </c>
      <c r="L2593" s="7" t="str">
        <f>"S44.08.29"</f>
        <v>S44.08.29</v>
      </c>
      <c r="M2593" s="7">
        <v>15383.92</v>
      </c>
      <c r="N2593" s="7">
        <v>1236707512</v>
      </c>
      <c r="O2593" s="7">
        <v>835858181</v>
      </c>
      <c r="P2593" s="7">
        <v>0</v>
      </c>
      <c r="Q2593" s="7" t="str">
        <f t="shared" si="891"/>
        <v>都市整備部</v>
      </c>
      <c r="R2593" s="7" t="str">
        <f t="shared" si="885"/>
        <v>住宅建築局住宅経営室</v>
      </c>
    </row>
    <row r="2594" spans="1:18" s="1" customFormat="1" x14ac:dyDescent="0.45">
      <c r="A2594" s="7" t="str">
        <f t="shared" si="892"/>
        <v>09940003296</v>
      </c>
      <c r="B2594" s="7" t="str">
        <f t="shared" si="893"/>
        <v>高槻下田部</v>
      </c>
      <c r="C2594" s="7" t="str">
        <f t="shared" si="886"/>
        <v>行政財産</v>
      </c>
      <c r="D2594" s="7" t="str">
        <f t="shared" si="887"/>
        <v>公営住宅</v>
      </c>
      <c r="E2594" s="7" t="str">
        <f t="shared" si="894"/>
        <v>大阪府高槻市登町</v>
      </c>
      <c r="F2594" s="7"/>
      <c r="G2594" s="7" t="str">
        <f t="shared" si="884"/>
        <v>事業用資産</v>
      </c>
      <c r="H2594" s="7" t="str">
        <f t="shared" si="879"/>
        <v>棚卸以外</v>
      </c>
      <c r="I2594" s="7">
        <v>2</v>
      </c>
      <c r="J2594" s="7" t="str">
        <f>"１～１４号棟"</f>
        <v>１～１４号棟</v>
      </c>
      <c r="K2594" s="7" t="str">
        <f t="shared" si="880"/>
        <v>鉄筋コンクリート造</v>
      </c>
      <c r="L2594" s="7" t="str">
        <f>"S44.08.29"</f>
        <v>S44.08.29</v>
      </c>
      <c r="M2594" s="7">
        <v>35244.46</v>
      </c>
      <c r="N2594" s="7">
        <v>2908654524</v>
      </c>
      <c r="O2594" s="7">
        <v>2000013752</v>
      </c>
      <c r="P2594" s="7">
        <v>0</v>
      </c>
      <c r="Q2594" s="7" t="str">
        <f t="shared" si="891"/>
        <v>都市整備部</v>
      </c>
      <c r="R2594" s="7" t="str">
        <f t="shared" si="885"/>
        <v>住宅建築局住宅経営室</v>
      </c>
    </row>
    <row r="2595" spans="1:18" s="1" customFormat="1" x14ac:dyDescent="0.45">
      <c r="A2595" s="7" t="str">
        <f t="shared" si="892"/>
        <v>09940003296</v>
      </c>
      <c r="B2595" s="7" t="str">
        <f t="shared" si="893"/>
        <v>高槻下田部</v>
      </c>
      <c r="C2595" s="7" t="str">
        <f t="shared" si="886"/>
        <v>行政財産</v>
      </c>
      <c r="D2595" s="7" t="str">
        <f t="shared" si="887"/>
        <v>公営住宅</v>
      </c>
      <c r="E2595" s="7" t="str">
        <f t="shared" si="894"/>
        <v>大阪府高槻市登町</v>
      </c>
      <c r="F2595" s="7"/>
      <c r="G2595" s="7" t="str">
        <f t="shared" si="884"/>
        <v>事業用資産</v>
      </c>
      <c r="H2595" s="7" t="str">
        <f t="shared" si="879"/>
        <v>棚卸以外</v>
      </c>
      <c r="I2595" s="7">
        <v>3</v>
      </c>
      <c r="J2595" s="7" t="str">
        <f>"集会所"</f>
        <v>集会所</v>
      </c>
      <c r="K2595" s="7" t="str">
        <f t="shared" si="880"/>
        <v>鉄筋コンクリート造</v>
      </c>
      <c r="L2595" s="7" t="str">
        <f>"S44.08.29"</f>
        <v>S44.08.29</v>
      </c>
      <c r="M2595" s="7">
        <v>102.46</v>
      </c>
      <c r="N2595" s="7">
        <v>15278958</v>
      </c>
      <c r="O2595" s="7">
        <v>8055457</v>
      </c>
      <c r="P2595" s="7">
        <v>0</v>
      </c>
      <c r="Q2595" s="7" t="str">
        <f t="shared" si="891"/>
        <v>都市整備部</v>
      </c>
      <c r="R2595" s="7" t="str">
        <f t="shared" si="885"/>
        <v>住宅建築局住宅経営室</v>
      </c>
    </row>
    <row r="2596" spans="1:18" s="1" customFormat="1" x14ac:dyDescent="0.45">
      <c r="A2596" s="7" t="str">
        <f t="shared" si="892"/>
        <v>09940003296</v>
      </c>
      <c r="B2596" s="7" t="str">
        <f t="shared" si="893"/>
        <v>高槻下田部</v>
      </c>
      <c r="C2596" s="7" t="str">
        <f t="shared" si="886"/>
        <v>行政財産</v>
      </c>
      <c r="D2596" s="7" t="str">
        <f t="shared" si="887"/>
        <v>公営住宅</v>
      </c>
      <c r="E2596" s="7" t="str">
        <f t="shared" si="894"/>
        <v>大阪府高槻市登町</v>
      </c>
      <c r="F2596" s="7"/>
      <c r="G2596" s="7" t="str">
        <f t="shared" si="884"/>
        <v>事業用資産</v>
      </c>
      <c r="H2596" s="7" t="str">
        <f t="shared" si="879"/>
        <v>棚卸以外</v>
      </c>
      <c r="I2596" s="7">
        <v>4</v>
      </c>
      <c r="J2596" s="7" t="str">
        <f>"２２号棟"</f>
        <v>２２号棟</v>
      </c>
      <c r="K2596" s="7" t="str">
        <f t="shared" si="880"/>
        <v>鉄筋コンクリート造</v>
      </c>
      <c r="L2596" s="7" t="str">
        <f>"S45.02.28"</f>
        <v>S45.02.28</v>
      </c>
      <c r="M2596" s="7">
        <v>1960.58</v>
      </c>
      <c r="N2596" s="7">
        <v>171881816</v>
      </c>
      <c r="O2596" s="7">
        <v>101897024</v>
      </c>
      <c r="P2596" s="7">
        <v>0</v>
      </c>
      <c r="Q2596" s="7" t="str">
        <f t="shared" si="891"/>
        <v>都市整備部</v>
      </c>
      <c r="R2596" s="7" t="str">
        <f t="shared" si="885"/>
        <v>住宅建築局住宅経営室</v>
      </c>
    </row>
    <row r="2597" spans="1:18" s="1" customFormat="1" x14ac:dyDescent="0.45">
      <c r="A2597" s="7" t="str">
        <f t="shared" si="892"/>
        <v>09940003296</v>
      </c>
      <c r="B2597" s="7" t="str">
        <f t="shared" si="893"/>
        <v>高槻下田部</v>
      </c>
      <c r="C2597" s="7" t="str">
        <f t="shared" si="886"/>
        <v>行政財産</v>
      </c>
      <c r="D2597" s="7" t="str">
        <f t="shared" si="887"/>
        <v>公営住宅</v>
      </c>
      <c r="E2597" s="7" t="str">
        <f t="shared" si="894"/>
        <v>大阪府高槻市登町</v>
      </c>
      <c r="F2597" s="7"/>
      <c r="G2597" s="7" t="str">
        <f t="shared" si="884"/>
        <v>事業用資産</v>
      </c>
      <c r="H2597" s="7" t="str">
        <f t="shared" si="879"/>
        <v>棚卸以外</v>
      </c>
      <c r="I2597" s="7">
        <v>5</v>
      </c>
      <c r="J2597" s="7" t="str">
        <f>"３４号棟"</f>
        <v>３４号棟</v>
      </c>
      <c r="K2597" s="7" t="str">
        <f t="shared" si="880"/>
        <v>鉄筋コンクリート造</v>
      </c>
      <c r="L2597" s="7" t="str">
        <f>"S45.05.08"</f>
        <v>S45.05.08</v>
      </c>
      <c r="M2597" s="7">
        <v>1922.79</v>
      </c>
      <c r="N2597" s="7">
        <v>151791496</v>
      </c>
      <c r="O2597" s="7">
        <v>104812363</v>
      </c>
      <c r="P2597" s="7">
        <v>0</v>
      </c>
      <c r="Q2597" s="7" t="str">
        <f t="shared" si="891"/>
        <v>都市整備部</v>
      </c>
      <c r="R2597" s="7" t="str">
        <f t="shared" si="885"/>
        <v>住宅建築局住宅経営室</v>
      </c>
    </row>
    <row r="2598" spans="1:18" s="1" customFormat="1" x14ac:dyDescent="0.45">
      <c r="A2598" s="7" t="str">
        <f t="shared" si="892"/>
        <v>09940003296</v>
      </c>
      <c r="B2598" s="7" t="str">
        <f t="shared" si="893"/>
        <v>高槻下田部</v>
      </c>
      <c r="C2598" s="7" t="str">
        <f t="shared" si="886"/>
        <v>行政財産</v>
      </c>
      <c r="D2598" s="7" t="str">
        <f t="shared" si="887"/>
        <v>公営住宅</v>
      </c>
      <c r="E2598" s="7" t="str">
        <f t="shared" si="894"/>
        <v>大阪府高槻市登町</v>
      </c>
      <c r="F2598" s="7"/>
      <c r="G2598" s="7" t="str">
        <f t="shared" si="884"/>
        <v>事業用資産</v>
      </c>
      <c r="H2598" s="7" t="str">
        <f t="shared" si="879"/>
        <v>棚卸以外</v>
      </c>
      <c r="I2598" s="7">
        <v>6</v>
      </c>
      <c r="J2598" s="7" t="str">
        <f>"集会所"</f>
        <v>集会所</v>
      </c>
      <c r="K2598" s="7" t="str">
        <f t="shared" si="880"/>
        <v>鉄筋コンクリート造</v>
      </c>
      <c r="L2598" s="7" t="str">
        <f>"S57.03.18"</f>
        <v>S57.03.18</v>
      </c>
      <c r="M2598" s="7">
        <v>99.75</v>
      </c>
      <c r="N2598" s="7">
        <v>16200000</v>
      </c>
      <c r="O2598" s="7">
        <v>14132208</v>
      </c>
      <c r="P2598" s="7">
        <v>0</v>
      </c>
      <c r="Q2598" s="7" t="str">
        <f t="shared" si="891"/>
        <v>都市整備部</v>
      </c>
      <c r="R2598" s="7" t="str">
        <f t="shared" si="885"/>
        <v>住宅建築局住宅経営室</v>
      </c>
    </row>
    <row r="2599" spans="1:18" s="1" customFormat="1" x14ac:dyDescent="0.45">
      <c r="A2599" s="7" t="str">
        <f t="shared" si="892"/>
        <v>09940003296</v>
      </c>
      <c r="B2599" s="7" t="str">
        <f t="shared" si="893"/>
        <v>高槻下田部</v>
      </c>
      <c r="C2599" s="7" t="str">
        <f t="shared" si="886"/>
        <v>行政財産</v>
      </c>
      <c r="D2599" s="7" t="str">
        <f t="shared" si="887"/>
        <v>公営住宅</v>
      </c>
      <c r="E2599" s="7" t="str">
        <f t="shared" si="894"/>
        <v>大阪府高槻市登町</v>
      </c>
      <c r="F2599" s="7"/>
      <c r="G2599" s="7" t="str">
        <f t="shared" si="884"/>
        <v>事業用資産</v>
      </c>
      <c r="H2599" s="7" t="str">
        <f t="shared" si="879"/>
        <v>棚卸以外</v>
      </c>
      <c r="I2599" s="7">
        <v>7</v>
      </c>
      <c r="J2599" s="7" t="str">
        <f>"集会所"</f>
        <v>集会所</v>
      </c>
      <c r="K2599" s="7" t="str">
        <f t="shared" si="880"/>
        <v>鉄筋コンクリート造</v>
      </c>
      <c r="L2599" s="7" t="str">
        <f>"S62.03.31"</f>
        <v>S62.03.31</v>
      </c>
      <c r="M2599" s="7">
        <v>94.69</v>
      </c>
      <c r="N2599" s="7">
        <v>16300000</v>
      </c>
      <c r="O2599" s="7">
        <v>12485232</v>
      </c>
      <c r="P2599" s="7">
        <v>0</v>
      </c>
      <c r="Q2599" s="7" t="str">
        <f t="shared" si="891"/>
        <v>都市整備部</v>
      </c>
      <c r="R2599" s="7" t="str">
        <f t="shared" si="885"/>
        <v>住宅建築局住宅経営室</v>
      </c>
    </row>
    <row r="2600" spans="1:18" s="1" customFormat="1" x14ac:dyDescent="0.45">
      <c r="A2600" s="7" t="str">
        <f t="shared" si="892"/>
        <v>09940003296</v>
      </c>
      <c r="B2600" s="7" t="str">
        <f t="shared" si="893"/>
        <v>高槻下田部</v>
      </c>
      <c r="C2600" s="7" t="str">
        <f t="shared" si="886"/>
        <v>行政財産</v>
      </c>
      <c r="D2600" s="7" t="str">
        <f t="shared" si="887"/>
        <v>公営住宅</v>
      </c>
      <c r="E2600" s="7" t="str">
        <f t="shared" si="894"/>
        <v>大阪府高槻市登町</v>
      </c>
      <c r="F2600" s="7"/>
      <c r="G2600" s="7" t="str">
        <f t="shared" si="884"/>
        <v>事業用資産</v>
      </c>
      <c r="H2600" s="7" t="str">
        <f t="shared" si="879"/>
        <v>棚卸以外</v>
      </c>
      <c r="I2600" s="7">
        <v>8</v>
      </c>
      <c r="J2600" s="7" t="str">
        <f>"３５～３７号棟"</f>
        <v>３５～３７号棟</v>
      </c>
      <c r="K2600" s="7" t="str">
        <f t="shared" si="880"/>
        <v>鉄筋コンクリート造</v>
      </c>
      <c r="L2600" s="7" t="str">
        <f>"S45.04.25"</f>
        <v>S45.04.25</v>
      </c>
      <c r="M2600" s="7">
        <v>8555.93</v>
      </c>
      <c r="N2600" s="7">
        <v>636351761</v>
      </c>
      <c r="O2600" s="7">
        <v>355911207</v>
      </c>
      <c r="P2600" s="7">
        <v>0</v>
      </c>
      <c r="Q2600" s="7" t="str">
        <f t="shared" si="891"/>
        <v>都市整備部</v>
      </c>
      <c r="R2600" s="7" t="str">
        <f t="shared" si="885"/>
        <v>住宅建築局住宅経営室</v>
      </c>
    </row>
    <row r="2601" spans="1:18" s="1" customFormat="1" x14ac:dyDescent="0.45">
      <c r="A2601" s="7" t="str">
        <f t="shared" si="892"/>
        <v>09940003296</v>
      </c>
      <c r="B2601" s="7" t="str">
        <f t="shared" si="893"/>
        <v>高槻下田部</v>
      </c>
      <c r="C2601" s="7" t="str">
        <f t="shared" si="886"/>
        <v>行政財産</v>
      </c>
      <c r="D2601" s="7" t="str">
        <f t="shared" si="887"/>
        <v>公営住宅</v>
      </c>
      <c r="E2601" s="7" t="str">
        <f t="shared" si="894"/>
        <v>大阪府高槻市登町</v>
      </c>
      <c r="F2601" s="7"/>
      <c r="G2601" s="7" t="str">
        <f t="shared" si="884"/>
        <v>事業用資産</v>
      </c>
      <c r="H2601" s="7" t="str">
        <f t="shared" si="879"/>
        <v>棚卸以外</v>
      </c>
      <c r="I2601" s="7">
        <v>9</v>
      </c>
      <c r="J2601" s="7" t="str">
        <f>"２３～３３号棟"</f>
        <v>２３～３３号棟</v>
      </c>
      <c r="K2601" s="7" t="str">
        <f t="shared" si="880"/>
        <v>鉄筋コンクリート造</v>
      </c>
      <c r="L2601" s="7" t="str">
        <f>"S45.02.28"</f>
        <v>S45.02.28</v>
      </c>
      <c r="M2601" s="7">
        <v>28843.66</v>
      </c>
      <c r="N2601" s="7">
        <v>2279472458</v>
      </c>
      <c r="O2601" s="7">
        <v>1547925829</v>
      </c>
      <c r="P2601" s="7">
        <v>0</v>
      </c>
      <c r="Q2601" s="7" t="str">
        <f t="shared" si="891"/>
        <v>都市整備部</v>
      </c>
      <c r="R2601" s="7" t="str">
        <f t="shared" si="885"/>
        <v>住宅建築局住宅経営室</v>
      </c>
    </row>
    <row r="2602" spans="1:18" s="1" customFormat="1" x14ac:dyDescent="0.45">
      <c r="A2602" s="7" t="str">
        <f>"09940003297"</f>
        <v>09940003297</v>
      </c>
      <c r="B2602" s="7" t="str">
        <f>"高槻氷室"</f>
        <v>高槻氷室</v>
      </c>
      <c r="C2602" s="7" t="str">
        <f t="shared" si="886"/>
        <v>行政財産</v>
      </c>
      <c r="D2602" s="7" t="str">
        <f t="shared" si="887"/>
        <v>公営住宅</v>
      </c>
      <c r="E2602" s="7" t="str">
        <f>"大阪府高槻市氷室町１丁目"</f>
        <v>大阪府高槻市氷室町１丁目</v>
      </c>
      <c r="F2602" s="7"/>
      <c r="G2602" s="7" t="str">
        <f t="shared" si="884"/>
        <v>事業用資産</v>
      </c>
      <c r="H2602" s="7" t="str">
        <f t="shared" si="879"/>
        <v>棚卸以外</v>
      </c>
      <c r="I2602" s="7">
        <v>1</v>
      </c>
      <c r="J2602" s="7" t="str">
        <f>"２～４号棟"</f>
        <v>２～４号棟</v>
      </c>
      <c r="K2602" s="7" t="str">
        <f t="shared" si="880"/>
        <v>鉄筋コンクリート造</v>
      </c>
      <c r="L2602" s="7" t="str">
        <f>"S51.03.16"</f>
        <v>S51.03.16</v>
      </c>
      <c r="M2602" s="7">
        <v>4573.3599999999997</v>
      </c>
      <c r="N2602" s="7">
        <v>315134000</v>
      </c>
      <c r="O2602" s="7">
        <v>315133999</v>
      </c>
      <c r="P2602" s="7">
        <v>0</v>
      </c>
      <c r="Q2602" s="7" t="str">
        <f t="shared" si="891"/>
        <v>都市整備部</v>
      </c>
      <c r="R2602" s="7" t="str">
        <f t="shared" si="885"/>
        <v>住宅建築局住宅経営室</v>
      </c>
    </row>
    <row r="2603" spans="1:18" s="1" customFormat="1" x14ac:dyDescent="0.45">
      <c r="A2603" s="7" t="str">
        <f>"09940003297"</f>
        <v>09940003297</v>
      </c>
      <c r="B2603" s="7" t="str">
        <f>"高槻氷室"</f>
        <v>高槻氷室</v>
      </c>
      <c r="C2603" s="7" t="str">
        <f t="shared" si="886"/>
        <v>行政財産</v>
      </c>
      <c r="D2603" s="7" t="str">
        <f t="shared" si="887"/>
        <v>公営住宅</v>
      </c>
      <c r="E2603" s="7" t="str">
        <f>"大阪府高槻市氷室町１丁目"</f>
        <v>大阪府高槻市氷室町１丁目</v>
      </c>
      <c r="F2603" s="7"/>
      <c r="G2603" s="7" t="str">
        <f t="shared" si="884"/>
        <v>事業用資産</v>
      </c>
      <c r="H2603" s="7" t="str">
        <f t="shared" si="879"/>
        <v>棚卸以外</v>
      </c>
      <c r="I2603" s="7">
        <v>2</v>
      </c>
      <c r="J2603" s="7" t="str">
        <f>"集会所"</f>
        <v>集会所</v>
      </c>
      <c r="K2603" s="7" t="str">
        <f t="shared" si="880"/>
        <v>鉄筋コンクリート造</v>
      </c>
      <c r="L2603" s="7" t="str">
        <f>"S51.03.16"</f>
        <v>S51.03.16</v>
      </c>
      <c r="M2603" s="7">
        <v>61.21</v>
      </c>
      <c r="N2603" s="7">
        <v>18795525</v>
      </c>
      <c r="O2603" s="7">
        <v>10285015</v>
      </c>
      <c r="P2603" s="7">
        <v>0</v>
      </c>
      <c r="Q2603" s="7" t="str">
        <f t="shared" si="891"/>
        <v>都市整備部</v>
      </c>
      <c r="R2603" s="7" t="str">
        <f t="shared" si="885"/>
        <v>住宅建築局住宅経営室</v>
      </c>
    </row>
    <row r="2604" spans="1:18" s="1" customFormat="1" x14ac:dyDescent="0.45">
      <c r="A2604" s="7" t="str">
        <f>"09940003297"</f>
        <v>09940003297</v>
      </c>
      <c r="B2604" s="7" t="str">
        <f>"高槻氷室"</f>
        <v>高槻氷室</v>
      </c>
      <c r="C2604" s="7" t="str">
        <f t="shared" si="886"/>
        <v>行政財産</v>
      </c>
      <c r="D2604" s="7" t="str">
        <f t="shared" si="887"/>
        <v>公営住宅</v>
      </c>
      <c r="E2604" s="7" t="str">
        <f>"大阪府高槻市氷室町１丁目"</f>
        <v>大阪府高槻市氷室町１丁目</v>
      </c>
      <c r="F2604" s="7"/>
      <c r="G2604" s="7" t="str">
        <f t="shared" si="884"/>
        <v>事業用資産</v>
      </c>
      <c r="H2604" s="7" t="str">
        <f t="shared" si="879"/>
        <v>棚卸以外</v>
      </c>
      <c r="I2604" s="7">
        <v>3</v>
      </c>
      <c r="J2604" s="7" t="str">
        <f>"受水槽"</f>
        <v>受水槽</v>
      </c>
      <c r="K2604" s="7" t="str">
        <f t="shared" si="880"/>
        <v>鉄筋コンクリート造</v>
      </c>
      <c r="L2604" s="7" t="str">
        <f>"S51.03.16"</f>
        <v>S51.03.16</v>
      </c>
      <c r="M2604" s="7">
        <v>49.5</v>
      </c>
      <c r="N2604" s="7">
        <v>4304000</v>
      </c>
      <c r="O2604" s="7">
        <v>4303999</v>
      </c>
      <c r="P2604" s="7">
        <v>0</v>
      </c>
      <c r="Q2604" s="7" t="str">
        <f t="shared" si="891"/>
        <v>都市整備部</v>
      </c>
      <c r="R2604" s="7" t="str">
        <f t="shared" si="885"/>
        <v>住宅建築局住宅経営室</v>
      </c>
    </row>
    <row r="2605" spans="1:18" s="1" customFormat="1" x14ac:dyDescent="0.45">
      <c r="A2605" s="7" t="str">
        <f t="shared" ref="A2605:A2610" si="895">"09940003299"</f>
        <v>09940003299</v>
      </c>
      <c r="B2605" s="7" t="str">
        <f t="shared" ref="B2605:B2610" si="896">"高槻赤大路"</f>
        <v>高槻赤大路</v>
      </c>
      <c r="C2605" s="7" t="str">
        <f t="shared" si="886"/>
        <v>行政財産</v>
      </c>
      <c r="D2605" s="7" t="str">
        <f t="shared" si="887"/>
        <v>公営住宅</v>
      </c>
      <c r="E2605" s="7" t="str">
        <f t="shared" ref="E2605:E2610" si="897">"大阪府高槻市赤大路町"</f>
        <v>大阪府高槻市赤大路町</v>
      </c>
      <c r="F2605" s="7"/>
      <c r="G2605" s="7" t="str">
        <f t="shared" si="884"/>
        <v>事業用資産</v>
      </c>
      <c r="H2605" s="7" t="str">
        <f t="shared" si="879"/>
        <v>棚卸以外</v>
      </c>
      <c r="I2605" s="7">
        <v>1</v>
      </c>
      <c r="J2605" s="7" t="str">
        <f>"１号棟"</f>
        <v>１号棟</v>
      </c>
      <c r="K2605" s="7" t="str">
        <f t="shared" si="880"/>
        <v>鉄筋コンクリート造</v>
      </c>
      <c r="L2605" s="7" t="str">
        <f>"S56.02.27"</f>
        <v>S56.02.27</v>
      </c>
      <c r="M2605" s="7">
        <v>1250.82</v>
      </c>
      <c r="N2605" s="7">
        <v>115356483</v>
      </c>
      <c r="O2605" s="7">
        <v>103147260</v>
      </c>
      <c r="P2605" s="7">
        <v>0</v>
      </c>
      <c r="Q2605" s="7" t="str">
        <f t="shared" si="891"/>
        <v>都市整備部</v>
      </c>
      <c r="R2605" s="7" t="str">
        <f t="shared" si="885"/>
        <v>住宅建築局住宅経営室</v>
      </c>
    </row>
    <row r="2606" spans="1:18" s="1" customFormat="1" x14ac:dyDescent="0.45">
      <c r="A2606" s="7" t="str">
        <f t="shared" si="895"/>
        <v>09940003299</v>
      </c>
      <c r="B2606" s="7" t="str">
        <f t="shared" si="896"/>
        <v>高槻赤大路</v>
      </c>
      <c r="C2606" s="7" t="str">
        <f t="shared" si="886"/>
        <v>行政財産</v>
      </c>
      <c r="D2606" s="7" t="str">
        <f t="shared" si="887"/>
        <v>公営住宅</v>
      </c>
      <c r="E2606" s="7" t="str">
        <f t="shared" si="897"/>
        <v>大阪府高槻市赤大路町</v>
      </c>
      <c r="F2606" s="7"/>
      <c r="G2606" s="7" t="str">
        <f t="shared" si="884"/>
        <v>事業用資産</v>
      </c>
      <c r="H2606" s="7" t="str">
        <f t="shared" si="879"/>
        <v>棚卸以外</v>
      </c>
      <c r="I2606" s="7">
        <v>2</v>
      </c>
      <c r="J2606" s="7" t="str">
        <f>"２号棟"</f>
        <v>２号棟</v>
      </c>
      <c r="K2606" s="7" t="str">
        <f t="shared" si="880"/>
        <v>鉄筋コンクリート造</v>
      </c>
      <c r="L2606" s="7" t="str">
        <f>"S56.02.27"</f>
        <v>S56.02.27</v>
      </c>
      <c r="M2606" s="7">
        <v>1111.8399999999999</v>
      </c>
      <c r="N2606" s="7">
        <v>101310000</v>
      </c>
      <c r="O2606" s="7">
        <v>90712140</v>
      </c>
      <c r="P2606" s="7">
        <v>0</v>
      </c>
      <c r="Q2606" s="7" t="str">
        <f t="shared" si="891"/>
        <v>都市整備部</v>
      </c>
      <c r="R2606" s="7" t="str">
        <f t="shared" si="885"/>
        <v>住宅建築局住宅経営室</v>
      </c>
    </row>
    <row r="2607" spans="1:18" s="1" customFormat="1" x14ac:dyDescent="0.45">
      <c r="A2607" s="7" t="str">
        <f t="shared" si="895"/>
        <v>09940003299</v>
      </c>
      <c r="B2607" s="7" t="str">
        <f t="shared" si="896"/>
        <v>高槻赤大路</v>
      </c>
      <c r="C2607" s="7" t="str">
        <f t="shared" si="886"/>
        <v>行政財産</v>
      </c>
      <c r="D2607" s="7" t="str">
        <f t="shared" si="887"/>
        <v>公営住宅</v>
      </c>
      <c r="E2607" s="7" t="str">
        <f t="shared" si="897"/>
        <v>大阪府高槻市赤大路町</v>
      </c>
      <c r="F2607" s="7"/>
      <c r="G2607" s="7" t="str">
        <f t="shared" si="884"/>
        <v>事業用資産</v>
      </c>
      <c r="H2607" s="7" t="str">
        <f t="shared" si="879"/>
        <v>棚卸以外</v>
      </c>
      <c r="I2607" s="7">
        <v>3</v>
      </c>
      <c r="J2607" s="7" t="str">
        <f>"集会所"</f>
        <v>集会所</v>
      </c>
      <c r="K2607" s="7" t="str">
        <f>"鉄筋"</f>
        <v>鉄筋</v>
      </c>
      <c r="L2607" s="7" t="str">
        <f>"S56.02.27"</f>
        <v>S56.02.27</v>
      </c>
      <c r="M2607" s="7">
        <v>65.84</v>
      </c>
      <c r="N2607" s="7">
        <v>11799000</v>
      </c>
      <c r="O2607" s="7">
        <v>10565105</v>
      </c>
      <c r="P2607" s="7">
        <v>0</v>
      </c>
      <c r="Q2607" s="7" t="str">
        <f t="shared" si="891"/>
        <v>都市整備部</v>
      </c>
      <c r="R2607" s="7" t="str">
        <f t="shared" si="885"/>
        <v>住宅建築局住宅経営室</v>
      </c>
    </row>
    <row r="2608" spans="1:18" s="1" customFormat="1" x14ac:dyDescent="0.45">
      <c r="A2608" s="7" t="str">
        <f t="shared" si="895"/>
        <v>09940003299</v>
      </c>
      <c r="B2608" s="7" t="str">
        <f t="shared" si="896"/>
        <v>高槻赤大路</v>
      </c>
      <c r="C2608" s="7" t="str">
        <f t="shared" si="886"/>
        <v>行政財産</v>
      </c>
      <c r="D2608" s="7" t="str">
        <f t="shared" si="887"/>
        <v>公営住宅</v>
      </c>
      <c r="E2608" s="7" t="str">
        <f t="shared" si="897"/>
        <v>大阪府高槻市赤大路町</v>
      </c>
      <c r="F2608" s="7"/>
      <c r="G2608" s="7" t="str">
        <f t="shared" si="884"/>
        <v>事業用資産</v>
      </c>
      <c r="H2608" s="7" t="str">
        <f t="shared" si="879"/>
        <v>棚卸以外</v>
      </c>
      <c r="I2608" s="7">
        <v>4</v>
      </c>
      <c r="J2608" s="7" t="str">
        <f>"ポンプ室・受水槽"</f>
        <v>ポンプ室・受水槽</v>
      </c>
      <c r="K2608" s="7" t="str">
        <f t="shared" ref="K2608:K2639" si="898">"鉄筋コンクリート造"</f>
        <v>鉄筋コンクリート造</v>
      </c>
      <c r="L2608" s="7" t="str">
        <f>"S56.02.27"</f>
        <v>S56.02.27</v>
      </c>
      <c r="M2608" s="7">
        <v>23.86</v>
      </c>
      <c r="N2608" s="7">
        <v>9472000</v>
      </c>
      <c r="O2608" s="7">
        <v>8481475</v>
      </c>
      <c r="P2608" s="7">
        <v>0</v>
      </c>
      <c r="Q2608" s="7" t="str">
        <f t="shared" si="891"/>
        <v>都市整備部</v>
      </c>
      <c r="R2608" s="7" t="str">
        <f t="shared" si="885"/>
        <v>住宅建築局住宅経営室</v>
      </c>
    </row>
    <row r="2609" spans="1:18" s="1" customFormat="1" x14ac:dyDescent="0.45">
      <c r="A2609" s="7" t="str">
        <f t="shared" si="895"/>
        <v>09940003299</v>
      </c>
      <c r="B2609" s="7" t="str">
        <f t="shared" si="896"/>
        <v>高槻赤大路</v>
      </c>
      <c r="C2609" s="7" t="str">
        <f t="shared" si="886"/>
        <v>行政財産</v>
      </c>
      <c r="D2609" s="7" t="str">
        <f t="shared" si="887"/>
        <v>公営住宅</v>
      </c>
      <c r="E2609" s="7" t="str">
        <f t="shared" si="897"/>
        <v>大阪府高槻市赤大路町</v>
      </c>
      <c r="F2609" s="7"/>
      <c r="G2609" s="7" t="str">
        <f t="shared" si="884"/>
        <v>事業用資産</v>
      </c>
      <c r="H2609" s="7" t="str">
        <f t="shared" si="879"/>
        <v>棚卸以外</v>
      </c>
      <c r="I2609" s="7">
        <v>5</v>
      </c>
      <c r="J2609" s="7" t="str">
        <f>"４号棟"</f>
        <v>４号棟</v>
      </c>
      <c r="K2609" s="7" t="str">
        <f t="shared" si="898"/>
        <v>鉄筋コンクリート造</v>
      </c>
      <c r="L2609" s="7" t="str">
        <f>"S58.03.29"</f>
        <v>S58.03.29</v>
      </c>
      <c r="M2609" s="7">
        <v>1585.46</v>
      </c>
      <c r="N2609" s="7">
        <v>178302000</v>
      </c>
      <c r="O2609" s="7">
        <v>178301999</v>
      </c>
      <c r="P2609" s="7">
        <v>0</v>
      </c>
      <c r="Q2609" s="7" t="str">
        <f t="shared" si="891"/>
        <v>都市整備部</v>
      </c>
      <c r="R2609" s="7" t="str">
        <f t="shared" si="885"/>
        <v>住宅建築局住宅経営室</v>
      </c>
    </row>
    <row r="2610" spans="1:18" s="1" customFormat="1" x14ac:dyDescent="0.45">
      <c r="A2610" s="7" t="str">
        <f t="shared" si="895"/>
        <v>09940003299</v>
      </c>
      <c r="B2610" s="7" t="str">
        <f t="shared" si="896"/>
        <v>高槻赤大路</v>
      </c>
      <c r="C2610" s="7" t="str">
        <f t="shared" si="886"/>
        <v>行政財産</v>
      </c>
      <c r="D2610" s="7" t="str">
        <f t="shared" si="887"/>
        <v>公営住宅</v>
      </c>
      <c r="E2610" s="7" t="str">
        <f t="shared" si="897"/>
        <v>大阪府高槻市赤大路町</v>
      </c>
      <c r="F2610" s="7"/>
      <c r="G2610" s="7" t="str">
        <f t="shared" si="884"/>
        <v>事業用資産</v>
      </c>
      <c r="H2610" s="7" t="str">
        <f t="shared" si="879"/>
        <v>棚卸以外</v>
      </c>
      <c r="I2610" s="7">
        <v>6</v>
      </c>
      <c r="J2610" s="7" t="str">
        <f>"ポンプ室"</f>
        <v>ポンプ室</v>
      </c>
      <c r="K2610" s="7" t="str">
        <f t="shared" si="898"/>
        <v>鉄筋コンクリート造</v>
      </c>
      <c r="L2610" s="7" t="str">
        <f>"S58.03.29"</f>
        <v>S58.03.29</v>
      </c>
      <c r="M2610" s="7">
        <v>15.3</v>
      </c>
      <c r="N2610" s="7">
        <v>7042000</v>
      </c>
      <c r="O2610" s="7">
        <v>5993280</v>
      </c>
      <c r="P2610" s="7">
        <v>0</v>
      </c>
      <c r="Q2610" s="7" t="str">
        <f t="shared" si="891"/>
        <v>都市整備部</v>
      </c>
      <c r="R2610" s="7" t="str">
        <f t="shared" si="885"/>
        <v>住宅建築局住宅経営室</v>
      </c>
    </row>
    <row r="2611" spans="1:18" s="1" customFormat="1" x14ac:dyDescent="0.45">
      <c r="A2611" s="7" t="str">
        <f>"09940003300"</f>
        <v>09940003300</v>
      </c>
      <c r="B2611" s="7" t="str">
        <f>"高槻栄町"</f>
        <v>高槻栄町</v>
      </c>
      <c r="C2611" s="7" t="str">
        <f t="shared" si="886"/>
        <v>行政財産</v>
      </c>
      <c r="D2611" s="7" t="str">
        <f t="shared" si="887"/>
        <v>公営住宅</v>
      </c>
      <c r="E2611" s="7" t="str">
        <f>"大阪府高槻市栄町１丁目"</f>
        <v>大阪府高槻市栄町１丁目</v>
      </c>
      <c r="F2611" s="7"/>
      <c r="G2611" s="7" t="str">
        <f t="shared" si="884"/>
        <v>事業用資産</v>
      </c>
      <c r="H2611" s="7" t="str">
        <f t="shared" si="879"/>
        <v>棚卸以外</v>
      </c>
      <c r="I2611" s="7">
        <v>1</v>
      </c>
      <c r="J2611" s="7" t="str">
        <f>"１号棟"</f>
        <v>１号棟</v>
      </c>
      <c r="K2611" s="7" t="str">
        <f t="shared" si="898"/>
        <v>鉄筋コンクリート造</v>
      </c>
      <c r="L2611" s="7" t="str">
        <f>"S63.04.01"</f>
        <v>S63.04.01</v>
      </c>
      <c r="M2611" s="7">
        <v>1403.1</v>
      </c>
      <c r="N2611" s="7">
        <v>158694939</v>
      </c>
      <c r="O2611" s="7">
        <v>117692491</v>
      </c>
      <c r="P2611" s="7">
        <v>0</v>
      </c>
      <c r="Q2611" s="7" t="str">
        <f t="shared" si="891"/>
        <v>都市整備部</v>
      </c>
      <c r="R2611" s="7" t="str">
        <f t="shared" si="885"/>
        <v>住宅建築局住宅経営室</v>
      </c>
    </row>
    <row r="2612" spans="1:18" s="1" customFormat="1" x14ac:dyDescent="0.45">
      <c r="A2612" s="7" t="str">
        <f>"09940003300"</f>
        <v>09940003300</v>
      </c>
      <c r="B2612" s="7" t="str">
        <f>"高槻栄町"</f>
        <v>高槻栄町</v>
      </c>
      <c r="C2612" s="7" t="str">
        <f t="shared" si="886"/>
        <v>行政財産</v>
      </c>
      <c r="D2612" s="7" t="str">
        <f t="shared" si="887"/>
        <v>公営住宅</v>
      </c>
      <c r="E2612" s="7" t="str">
        <f>"大阪府高槻市栄町１丁目"</f>
        <v>大阪府高槻市栄町１丁目</v>
      </c>
      <c r="F2612" s="7"/>
      <c r="G2612" s="7" t="str">
        <f t="shared" si="884"/>
        <v>事業用資産</v>
      </c>
      <c r="H2612" s="7" t="str">
        <f t="shared" si="879"/>
        <v>棚卸以外</v>
      </c>
      <c r="I2612" s="7">
        <v>2</v>
      </c>
      <c r="J2612" s="7" t="str">
        <f>"２号棟"</f>
        <v>２号棟</v>
      </c>
      <c r="K2612" s="7" t="str">
        <f t="shared" si="898"/>
        <v>鉄筋コンクリート造</v>
      </c>
      <c r="L2612" s="7" t="str">
        <f>"S63.04.01"</f>
        <v>S63.04.01</v>
      </c>
      <c r="M2612" s="7">
        <v>2104.66</v>
      </c>
      <c r="N2612" s="7">
        <v>237444939</v>
      </c>
      <c r="O2612" s="7">
        <v>174352067</v>
      </c>
      <c r="P2612" s="7">
        <v>0</v>
      </c>
      <c r="Q2612" s="7" t="str">
        <f t="shared" si="891"/>
        <v>都市整備部</v>
      </c>
      <c r="R2612" s="7" t="str">
        <f t="shared" si="885"/>
        <v>住宅建築局住宅経営室</v>
      </c>
    </row>
    <row r="2613" spans="1:18" s="1" customFormat="1" x14ac:dyDescent="0.45">
      <c r="A2613" s="7" t="str">
        <f>"09940003300"</f>
        <v>09940003300</v>
      </c>
      <c r="B2613" s="7" t="str">
        <f>"高槻栄町"</f>
        <v>高槻栄町</v>
      </c>
      <c r="C2613" s="7" t="str">
        <f t="shared" si="886"/>
        <v>行政財産</v>
      </c>
      <c r="D2613" s="7" t="str">
        <f t="shared" si="887"/>
        <v>公営住宅</v>
      </c>
      <c r="E2613" s="7" t="str">
        <f>"大阪府高槻市栄町１丁目"</f>
        <v>大阪府高槻市栄町１丁目</v>
      </c>
      <c r="F2613" s="7"/>
      <c r="G2613" s="7" t="str">
        <f t="shared" si="884"/>
        <v>事業用資産</v>
      </c>
      <c r="H2613" s="7" t="str">
        <f t="shared" si="879"/>
        <v>棚卸以外</v>
      </c>
      <c r="I2613" s="7">
        <v>3</v>
      </c>
      <c r="J2613" s="7" t="str">
        <f>"３号棟"</f>
        <v>３号棟</v>
      </c>
      <c r="K2613" s="7" t="str">
        <f t="shared" si="898"/>
        <v>鉄筋コンクリート造</v>
      </c>
      <c r="L2613" s="7" t="str">
        <f>"S63.04.01"</f>
        <v>S63.04.01</v>
      </c>
      <c r="M2613" s="7">
        <v>2090.16</v>
      </c>
      <c r="N2613" s="7">
        <v>226177000</v>
      </c>
      <c r="O2613" s="7">
        <v>168029056</v>
      </c>
      <c r="P2613" s="7">
        <v>0</v>
      </c>
      <c r="Q2613" s="7" t="str">
        <f t="shared" si="891"/>
        <v>都市整備部</v>
      </c>
      <c r="R2613" s="7" t="str">
        <f t="shared" si="885"/>
        <v>住宅建築局住宅経営室</v>
      </c>
    </row>
    <row r="2614" spans="1:18" s="1" customFormat="1" x14ac:dyDescent="0.45">
      <c r="A2614" s="7" t="str">
        <f>"09940003300"</f>
        <v>09940003300</v>
      </c>
      <c r="B2614" s="7" t="str">
        <f>"高槻栄町"</f>
        <v>高槻栄町</v>
      </c>
      <c r="C2614" s="7" t="str">
        <f t="shared" si="886"/>
        <v>行政財産</v>
      </c>
      <c r="D2614" s="7" t="str">
        <f t="shared" si="887"/>
        <v>公営住宅</v>
      </c>
      <c r="E2614" s="7" t="str">
        <f>"大阪府高槻市栄町１丁目"</f>
        <v>大阪府高槻市栄町１丁目</v>
      </c>
      <c r="F2614" s="7"/>
      <c r="G2614" s="7" t="str">
        <f t="shared" si="884"/>
        <v>事業用資産</v>
      </c>
      <c r="H2614" s="7" t="str">
        <f t="shared" si="879"/>
        <v>棚卸以外</v>
      </c>
      <c r="I2614" s="7">
        <v>4</v>
      </c>
      <c r="J2614" s="7" t="str">
        <f>"４号棟"</f>
        <v>４号棟</v>
      </c>
      <c r="K2614" s="7" t="str">
        <f t="shared" si="898"/>
        <v>鉄筋コンクリート造</v>
      </c>
      <c r="L2614" s="7" t="str">
        <f>"S63.04.01"</f>
        <v>S63.04.01</v>
      </c>
      <c r="M2614" s="7">
        <v>1393.07</v>
      </c>
      <c r="N2614" s="7">
        <v>163968000</v>
      </c>
      <c r="O2614" s="7">
        <v>121813356</v>
      </c>
      <c r="P2614" s="7">
        <v>0</v>
      </c>
      <c r="Q2614" s="7" t="str">
        <f t="shared" si="891"/>
        <v>都市整備部</v>
      </c>
      <c r="R2614" s="7" t="str">
        <f t="shared" si="885"/>
        <v>住宅建築局住宅経営室</v>
      </c>
    </row>
    <row r="2615" spans="1:18" s="1" customFormat="1" x14ac:dyDescent="0.45">
      <c r="A2615" s="7" t="str">
        <f>"09940003300"</f>
        <v>09940003300</v>
      </c>
      <c r="B2615" s="7" t="str">
        <f>"高槻栄町"</f>
        <v>高槻栄町</v>
      </c>
      <c r="C2615" s="7" t="str">
        <f t="shared" si="886"/>
        <v>行政財産</v>
      </c>
      <c r="D2615" s="7" t="str">
        <f t="shared" si="887"/>
        <v>公営住宅</v>
      </c>
      <c r="E2615" s="7" t="str">
        <f>"大阪府高槻市栄町１丁目"</f>
        <v>大阪府高槻市栄町１丁目</v>
      </c>
      <c r="F2615" s="7"/>
      <c r="G2615" s="7" t="str">
        <f t="shared" si="884"/>
        <v>事業用資産</v>
      </c>
      <c r="H2615" s="7" t="str">
        <f t="shared" si="879"/>
        <v>棚卸以外</v>
      </c>
      <c r="I2615" s="7">
        <v>5</v>
      </c>
      <c r="J2615" s="7" t="str">
        <f>"受水槽"</f>
        <v>受水槽</v>
      </c>
      <c r="K2615" s="7" t="str">
        <f t="shared" si="898"/>
        <v>鉄筋コンクリート造</v>
      </c>
      <c r="L2615" s="7" t="str">
        <f>"S63.04.01"</f>
        <v>S63.04.01</v>
      </c>
      <c r="M2615" s="7">
        <v>60.27</v>
      </c>
      <c r="N2615" s="7">
        <v>18806000</v>
      </c>
      <c r="O2615" s="7">
        <v>13971136</v>
      </c>
      <c r="P2615" s="7">
        <v>0</v>
      </c>
      <c r="Q2615" s="7" t="str">
        <f t="shared" si="891"/>
        <v>都市整備部</v>
      </c>
      <c r="R2615" s="7" t="str">
        <f t="shared" si="885"/>
        <v>住宅建築局住宅経営室</v>
      </c>
    </row>
    <row r="2616" spans="1:18" s="1" customFormat="1" x14ac:dyDescent="0.45">
      <c r="A2616" s="7" t="str">
        <f t="shared" ref="A2616:A2627" si="899">"09940003301"</f>
        <v>09940003301</v>
      </c>
      <c r="B2616" s="7" t="str">
        <f t="shared" ref="B2616:B2627" si="900">"守口八雲北（旧庭窪西）"</f>
        <v>守口八雲北（旧庭窪西）</v>
      </c>
      <c r="C2616" s="7" t="str">
        <f t="shared" si="886"/>
        <v>行政財産</v>
      </c>
      <c r="D2616" s="7" t="str">
        <f t="shared" si="887"/>
        <v>公営住宅</v>
      </c>
      <c r="E2616" s="7" t="str">
        <f t="shared" ref="E2616:E2627" si="901">"大阪府守口市八雲北町２丁目"</f>
        <v>大阪府守口市八雲北町２丁目</v>
      </c>
      <c r="F2616" s="7"/>
      <c r="G2616" s="7" t="str">
        <f t="shared" si="884"/>
        <v>事業用資産</v>
      </c>
      <c r="H2616" s="7" t="str">
        <f t="shared" si="879"/>
        <v>棚卸以外</v>
      </c>
      <c r="I2616" s="7">
        <v>1</v>
      </c>
      <c r="J2616" s="7" t="str">
        <f>"２号棟"</f>
        <v>２号棟</v>
      </c>
      <c r="K2616" s="7" t="str">
        <f t="shared" si="898"/>
        <v>鉄筋コンクリート造</v>
      </c>
      <c r="L2616" s="7" t="str">
        <f t="shared" ref="L2616:L2622" si="902">"S61.02.26"</f>
        <v>S61.02.26</v>
      </c>
      <c r="M2616" s="7">
        <v>2156.5</v>
      </c>
      <c r="N2616" s="7">
        <v>232228780</v>
      </c>
      <c r="O2616" s="7">
        <v>183100145</v>
      </c>
      <c r="P2616" s="7">
        <v>0</v>
      </c>
      <c r="Q2616" s="7" t="str">
        <f t="shared" si="891"/>
        <v>都市整備部</v>
      </c>
      <c r="R2616" s="7" t="str">
        <f t="shared" si="885"/>
        <v>住宅建築局住宅経営室</v>
      </c>
    </row>
    <row r="2617" spans="1:18" s="1" customFormat="1" x14ac:dyDescent="0.45">
      <c r="A2617" s="7" t="str">
        <f t="shared" si="899"/>
        <v>09940003301</v>
      </c>
      <c r="B2617" s="7" t="str">
        <f t="shared" si="900"/>
        <v>守口八雲北（旧庭窪西）</v>
      </c>
      <c r="C2617" s="7" t="str">
        <f t="shared" si="886"/>
        <v>行政財産</v>
      </c>
      <c r="D2617" s="7" t="str">
        <f t="shared" si="887"/>
        <v>公営住宅</v>
      </c>
      <c r="E2617" s="7" t="str">
        <f t="shared" si="901"/>
        <v>大阪府守口市八雲北町２丁目</v>
      </c>
      <c r="F2617" s="7"/>
      <c r="G2617" s="7" t="str">
        <f t="shared" si="884"/>
        <v>事業用資産</v>
      </c>
      <c r="H2617" s="7" t="str">
        <f t="shared" si="879"/>
        <v>棚卸以外</v>
      </c>
      <c r="I2617" s="7">
        <v>2</v>
      </c>
      <c r="J2617" s="7" t="str">
        <f>"３号棟"</f>
        <v>３号棟</v>
      </c>
      <c r="K2617" s="7" t="str">
        <f t="shared" si="898"/>
        <v>鉄筋コンクリート造</v>
      </c>
      <c r="L2617" s="7" t="str">
        <f t="shared" si="902"/>
        <v>S61.02.26</v>
      </c>
      <c r="M2617" s="7">
        <v>1443.84</v>
      </c>
      <c r="N2617" s="7">
        <v>155374000</v>
      </c>
      <c r="O2617" s="7">
        <v>122591270</v>
      </c>
      <c r="P2617" s="7">
        <v>0</v>
      </c>
      <c r="Q2617" s="7" t="str">
        <f t="shared" si="891"/>
        <v>都市整備部</v>
      </c>
      <c r="R2617" s="7" t="str">
        <f t="shared" si="885"/>
        <v>住宅建築局住宅経営室</v>
      </c>
    </row>
    <row r="2618" spans="1:18" s="1" customFormat="1" x14ac:dyDescent="0.45">
      <c r="A2618" s="7" t="str">
        <f t="shared" si="899"/>
        <v>09940003301</v>
      </c>
      <c r="B2618" s="7" t="str">
        <f t="shared" si="900"/>
        <v>守口八雲北（旧庭窪西）</v>
      </c>
      <c r="C2618" s="7" t="str">
        <f t="shared" si="886"/>
        <v>行政財産</v>
      </c>
      <c r="D2618" s="7" t="str">
        <f t="shared" si="887"/>
        <v>公営住宅</v>
      </c>
      <c r="E2618" s="7" t="str">
        <f t="shared" si="901"/>
        <v>大阪府守口市八雲北町２丁目</v>
      </c>
      <c r="F2618" s="7"/>
      <c r="G2618" s="7" t="str">
        <f t="shared" si="884"/>
        <v>事業用資産</v>
      </c>
      <c r="H2618" s="7" t="str">
        <f t="shared" si="879"/>
        <v>棚卸以外</v>
      </c>
      <c r="I2618" s="7">
        <v>3</v>
      </c>
      <c r="J2618" s="7" t="str">
        <f>"４号棟"</f>
        <v>４号棟</v>
      </c>
      <c r="K2618" s="7" t="str">
        <f t="shared" si="898"/>
        <v>鉄筋コンクリート造</v>
      </c>
      <c r="L2618" s="7" t="str">
        <f t="shared" si="902"/>
        <v>S61.02.26</v>
      </c>
      <c r="M2618" s="7">
        <v>2162.39</v>
      </c>
      <c r="N2618" s="7">
        <v>232698000</v>
      </c>
      <c r="O2618" s="7">
        <v>183600770</v>
      </c>
      <c r="P2618" s="7">
        <v>0</v>
      </c>
      <c r="Q2618" s="7" t="str">
        <f t="shared" si="891"/>
        <v>都市整備部</v>
      </c>
      <c r="R2618" s="7" t="str">
        <f t="shared" si="885"/>
        <v>住宅建築局住宅経営室</v>
      </c>
    </row>
    <row r="2619" spans="1:18" s="1" customFormat="1" x14ac:dyDescent="0.45">
      <c r="A2619" s="7" t="str">
        <f t="shared" si="899"/>
        <v>09940003301</v>
      </c>
      <c r="B2619" s="7" t="str">
        <f t="shared" si="900"/>
        <v>守口八雲北（旧庭窪西）</v>
      </c>
      <c r="C2619" s="7" t="str">
        <f t="shared" si="886"/>
        <v>行政財産</v>
      </c>
      <c r="D2619" s="7" t="str">
        <f t="shared" si="887"/>
        <v>公営住宅</v>
      </c>
      <c r="E2619" s="7" t="str">
        <f t="shared" si="901"/>
        <v>大阪府守口市八雲北町２丁目</v>
      </c>
      <c r="F2619" s="7"/>
      <c r="G2619" s="7" t="str">
        <f t="shared" si="884"/>
        <v>事業用資産</v>
      </c>
      <c r="H2619" s="7" t="str">
        <f t="shared" si="879"/>
        <v>棚卸以外</v>
      </c>
      <c r="I2619" s="7">
        <v>4</v>
      </c>
      <c r="J2619" s="7" t="str">
        <f>"５号棟"</f>
        <v>５号棟</v>
      </c>
      <c r="K2619" s="7" t="str">
        <f t="shared" si="898"/>
        <v>鉄筋コンクリート造</v>
      </c>
      <c r="L2619" s="7" t="str">
        <f t="shared" si="902"/>
        <v>S61.02.26</v>
      </c>
      <c r="M2619" s="7">
        <v>1462.41</v>
      </c>
      <c r="N2619" s="7">
        <v>157372000</v>
      </c>
      <c r="O2619" s="7">
        <v>124167905</v>
      </c>
      <c r="P2619" s="7">
        <v>0</v>
      </c>
      <c r="Q2619" s="7" t="str">
        <f t="shared" si="891"/>
        <v>都市整備部</v>
      </c>
      <c r="R2619" s="7" t="str">
        <f t="shared" si="885"/>
        <v>住宅建築局住宅経営室</v>
      </c>
    </row>
    <row r="2620" spans="1:18" s="1" customFormat="1" x14ac:dyDescent="0.45">
      <c r="A2620" s="7" t="str">
        <f t="shared" si="899"/>
        <v>09940003301</v>
      </c>
      <c r="B2620" s="7" t="str">
        <f t="shared" si="900"/>
        <v>守口八雲北（旧庭窪西）</v>
      </c>
      <c r="C2620" s="7" t="str">
        <f t="shared" si="886"/>
        <v>行政財産</v>
      </c>
      <c r="D2620" s="7" t="str">
        <f t="shared" si="887"/>
        <v>公営住宅</v>
      </c>
      <c r="E2620" s="7" t="str">
        <f t="shared" si="901"/>
        <v>大阪府守口市八雲北町２丁目</v>
      </c>
      <c r="F2620" s="7"/>
      <c r="G2620" s="7" t="str">
        <f t="shared" si="884"/>
        <v>事業用資産</v>
      </c>
      <c r="H2620" s="7" t="str">
        <f t="shared" si="879"/>
        <v>棚卸以外</v>
      </c>
      <c r="I2620" s="7">
        <v>5</v>
      </c>
      <c r="J2620" s="7" t="str">
        <f>"集会所"</f>
        <v>集会所</v>
      </c>
      <c r="K2620" s="7" t="str">
        <f t="shared" si="898"/>
        <v>鉄筋コンクリート造</v>
      </c>
      <c r="L2620" s="7" t="str">
        <f t="shared" si="902"/>
        <v>S61.02.26</v>
      </c>
      <c r="M2620" s="7">
        <v>99.75</v>
      </c>
      <c r="N2620" s="7">
        <v>21120000</v>
      </c>
      <c r="O2620" s="7">
        <v>16663915</v>
      </c>
      <c r="P2620" s="7">
        <v>0</v>
      </c>
      <c r="Q2620" s="7" t="str">
        <f t="shared" si="891"/>
        <v>都市整備部</v>
      </c>
      <c r="R2620" s="7" t="str">
        <f t="shared" si="885"/>
        <v>住宅建築局住宅経営室</v>
      </c>
    </row>
    <row r="2621" spans="1:18" s="1" customFormat="1" x14ac:dyDescent="0.45">
      <c r="A2621" s="7" t="str">
        <f t="shared" si="899"/>
        <v>09940003301</v>
      </c>
      <c r="B2621" s="7" t="str">
        <f t="shared" si="900"/>
        <v>守口八雲北（旧庭窪西）</v>
      </c>
      <c r="C2621" s="7" t="str">
        <f t="shared" si="886"/>
        <v>行政財産</v>
      </c>
      <c r="D2621" s="7" t="str">
        <f t="shared" si="887"/>
        <v>公営住宅</v>
      </c>
      <c r="E2621" s="7" t="str">
        <f t="shared" si="901"/>
        <v>大阪府守口市八雲北町２丁目</v>
      </c>
      <c r="F2621" s="7"/>
      <c r="G2621" s="7" t="str">
        <f t="shared" si="884"/>
        <v>事業用資産</v>
      </c>
      <c r="H2621" s="7" t="str">
        <f t="shared" si="879"/>
        <v>棚卸以外</v>
      </c>
      <c r="I2621" s="7">
        <v>6</v>
      </c>
      <c r="J2621" s="7" t="str">
        <f>"受水槽"</f>
        <v>受水槽</v>
      </c>
      <c r="K2621" s="7" t="str">
        <f t="shared" si="898"/>
        <v>鉄筋コンクリート造</v>
      </c>
      <c r="L2621" s="7" t="str">
        <f t="shared" si="902"/>
        <v>S61.02.26</v>
      </c>
      <c r="M2621" s="7">
        <v>80.63</v>
      </c>
      <c r="N2621" s="7">
        <v>23773000</v>
      </c>
      <c r="O2621" s="7">
        <v>18757195</v>
      </c>
      <c r="P2621" s="7">
        <v>0</v>
      </c>
      <c r="Q2621" s="7" t="str">
        <f t="shared" si="891"/>
        <v>都市整備部</v>
      </c>
      <c r="R2621" s="7" t="str">
        <f t="shared" si="885"/>
        <v>住宅建築局住宅経営室</v>
      </c>
    </row>
    <row r="2622" spans="1:18" s="1" customFormat="1" x14ac:dyDescent="0.45">
      <c r="A2622" s="7" t="str">
        <f t="shared" si="899"/>
        <v>09940003301</v>
      </c>
      <c r="B2622" s="7" t="str">
        <f t="shared" si="900"/>
        <v>守口八雲北（旧庭窪西）</v>
      </c>
      <c r="C2622" s="7" t="str">
        <f t="shared" si="886"/>
        <v>行政財産</v>
      </c>
      <c r="D2622" s="7" t="str">
        <f t="shared" si="887"/>
        <v>公営住宅</v>
      </c>
      <c r="E2622" s="7" t="str">
        <f t="shared" si="901"/>
        <v>大阪府守口市八雲北町２丁目</v>
      </c>
      <c r="F2622" s="7"/>
      <c r="G2622" s="7" t="str">
        <f t="shared" si="884"/>
        <v>事業用資産</v>
      </c>
      <c r="H2622" s="7" t="str">
        <f t="shared" si="879"/>
        <v>棚卸以外</v>
      </c>
      <c r="I2622" s="7">
        <v>7</v>
      </c>
      <c r="J2622" s="7" t="str">
        <f>"１号棟"</f>
        <v>１号棟</v>
      </c>
      <c r="K2622" s="7" t="str">
        <f t="shared" si="898"/>
        <v>鉄筋コンクリート造</v>
      </c>
      <c r="L2622" s="7" t="str">
        <f t="shared" si="902"/>
        <v>S61.02.26</v>
      </c>
      <c r="M2622" s="7">
        <v>2193.61</v>
      </c>
      <c r="N2622" s="7">
        <v>236058000</v>
      </c>
      <c r="O2622" s="7">
        <v>186251635</v>
      </c>
      <c r="P2622" s="7">
        <v>0</v>
      </c>
      <c r="Q2622" s="7" t="str">
        <f t="shared" si="891"/>
        <v>都市整備部</v>
      </c>
      <c r="R2622" s="7" t="str">
        <f t="shared" si="885"/>
        <v>住宅建築局住宅経営室</v>
      </c>
    </row>
    <row r="2623" spans="1:18" s="1" customFormat="1" x14ac:dyDescent="0.45">
      <c r="A2623" s="7" t="str">
        <f t="shared" si="899"/>
        <v>09940003301</v>
      </c>
      <c r="B2623" s="7" t="str">
        <f t="shared" si="900"/>
        <v>守口八雲北（旧庭窪西）</v>
      </c>
      <c r="C2623" s="7" t="str">
        <f t="shared" si="886"/>
        <v>行政財産</v>
      </c>
      <c r="D2623" s="7" t="str">
        <f t="shared" si="887"/>
        <v>公営住宅</v>
      </c>
      <c r="E2623" s="7" t="str">
        <f t="shared" si="901"/>
        <v>大阪府守口市八雲北町２丁目</v>
      </c>
      <c r="F2623" s="7"/>
      <c r="G2623" s="7" t="str">
        <f t="shared" si="884"/>
        <v>事業用資産</v>
      </c>
      <c r="H2623" s="7" t="str">
        <f t="shared" si="879"/>
        <v>棚卸以外</v>
      </c>
      <c r="I2623" s="7">
        <v>8</v>
      </c>
      <c r="J2623" s="7" t="str">
        <f>"６号棟"</f>
        <v>６号棟</v>
      </c>
      <c r="K2623" s="7" t="str">
        <f t="shared" si="898"/>
        <v>鉄筋コンクリート造</v>
      </c>
      <c r="L2623" s="7" t="str">
        <f>"S63.04.26"</f>
        <v>S63.04.26</v>
      </c>
      <c r="M2623" s="7">
        <v>2193.58</v>
      </c>
      <c r="N2623" s="7">
        <v>207807000</v>
      </c>
      <c r="O2623" s="7">
        <v>153644901</v>
      </c>
      <c r="P2623" s="7">
        <v>0</v>
      </c>
      <c r="Q2623" s="7" t="str">
        <f t="shared" si="891"/>
        <v>都市整備部</v>
      </c>
      <c r="R2623" s="7" t="str">
        <f t="shared" si="885"/>
        <v>住宅建築局住宅経営室</v>
      </c>
    </row>
    <row r="2624" spans="1:18" s="1" customFormat="1" x14ac:dyDescent="0.45">
      <c r="A2624" s="7" t="str">
        <f t="shared" si="899"/>
        <v>09940003301</v>
      </c>
      <c r="B2624" s="7" t="str">
        <f t="shared" si="900"/>
        <v>守口八雲北（旧庭窪西）</v>
      </c>
      <c r="C2624" s="7" t="str">
        <f t="shared" si="886"/>
        <v>行政財産</v>
      </c>
      <c r="D2624" s="7" t="str">
        <f t="shared" si="887"/>
        <v>公営住宅</v>
      </c>
      <c r="E2624" s="7" t="str">
        <f t="shared" si="901"/>
        <v>大阪府守口市八雲北町２丁目</v>
      </c>
      <c r="F2624" s="7"/>
      <c r="G2624" s="7" t="str">
        <f t="shared" si="884"/>
        <v>事業用資産</v>
      </c>
      <c r="H2624" s="7" t="str">
        <f t="shared" si="879"/>
        <v>棚卸以外</v>
      </c>
      <c r="I2624" s="7">
        <v>9</v>
      </c>
      <c r="J2624" s="7" t="str">
        <f>"７号棟"</f>
        <v>７号棟</v>
      </c>
      <c r="K2624" s="7" t="str">
        <f t="shared" si="898"/>
        <v>鉄筋コンクリート造</v>
      </c>
      <c r="L2624" s="7" t="str">
        <f>"S63.04.26"</f>
        <v>S63.04.26</v>
      </c>
      <c r="M2624" s="7">
        <v>1437.63</v>
      </c>
      <c r="N2624" s="7">
        <v>157195000</v>
      </c>
      <c r="O2624" s="7">
        <v>116224155</v>
      </c>
      <c r="P2624" s="7">
        <v>0</v>
      </c>
      <c r="Q2624" s="7" t="str">
        <f t="shared" si="891"/>
        <v>都市整備部</v>
      </c>
      <c r="R2624" s="7" t="str">
        <f t="shared" si="885"/>
        <v>住宅建築局住宅経営室</v>
      </c>
    </row>
    <row r="2625" spans="1:18" s="1" customFormat="1" x14ac:dyDescent="0.45">
      <c r="A2625" s="7" t="str">
        <f t="shared" si="899"/>
        <v>09940003301</v>
      </c>
      <c r="B2625" s="7" t="str">
        <f t="shared" si="900"/>
        <v>守口八雲北（旧庭窪西）</v>
      </c>
      <c r="C2625" s="7" t="str">
        <f t="shared" si="886"/>
        <v>行政財産</v>
      </c>
      <c r="D2625" s="7" t="str">
        <f t="shared" si="887"/>
        <v>公営住宅</v>
      </c>
      <c r="E2625" s="7" t="str">
        <f t="shared" si="901"/>
        <v>大阪府守口市八雲北町２丁目</v>
      </c>
      <c r="F2625" s="7"/>
      <c r="G2625" s="7" t="str">
        <f t="shared" si="884"/>
        <v>事業用資産</v>
      </c>
      <c r="H2625" s="7" t="str">
        <f t="shared" si="879"/>
        <v>棚卸以外</v>
      </c>
      <c r="I2625" s="7">
        <v>10</v>
      </c>
      <c r="J2625" s="7" t="str">
        <f>"９号棟"</f>
        <v>９号棟</v>
      </c>
      <c r="K2625" s="7" t="str">
        <f t="shared" si="898"/>
        <v>鉄筋コンクリート造</v>
      </c>
      <c r="L2625" s="7" t="str">
        <f>"S63.04.26"</f>
        <v>S63.04.26</v>
      </c>
      <c r="M2625" s="7">
        <v>1462.37</v>
      </c>
      <c r="N2625" s="7">
        <v>157014000</v>
      </c>
      <c r="O2625" s="7">
        <v>116090298</v>
      </c>
      <c r="P2625" s="7">
        <v>0</v>
      </c>
      <c r="Q2625" s="7" t="str">
        <f t="shared" si="891"/>
        <v>都市整備部</v>
      </c>
      <c r="R2625" s="7" t="str">
        <f t="shared" si="885"/>
        <v>住宅建築局住宅経営室</v>
      </c>
    </row>
    <row r="2626" spans="1:18" s="1" customFormat="1" x14ac:dyDescent="0.45">
      <c r="A2626" s="7" t="str">
        <f t="shared" si="899"/>
        <v>09940003301</v>
      </c>
      <c r="B2626" s="7" t="str">
        <f t="shared" si="900"/>
        <v>守口八雲北（旧庭窪西）</v>
      </c>
      <c r="C2626" s="7" t="str">
        <f t="shared" si="886"/>
        <v>行政財産</v>
      </c>
      <c r="D2626" s="7" t="str">
        <f t="shared" si="887"/>
        <v>公営住宅</v>
      </c>
      <c r="E2626" s="7" t="str">
        <f t="shared" si="901"/>
        <v>大阪府守口市八雲北町２丁目</v>
      </c>
      <c r="F2626" s="7"/>
      <c r="G2626" s="7" t="str">
        <f t="shared" si="884"/>
        <v>事業用資産</v>
      </c>
      <c r="H2626" s="7" t="str">
        <f t="shared" si="879"/>
        <v>棚卸以外</v>
      </c>
      <c r="I2626" s="7">
        <v>11</v>
      </c>
      <c r="J2626" s="7" t="str">
        <f>"８号棟"</f>
        <v>８号棟</v>
      </c>
      <c r="K2626" s="7" t="str">
        <f t="shared" si="898"/>
        <v>鉄筋コンクリート造</v>
      </c>
      <c r="L2626" s="7" t="str">
        <f>"S63.10.12"</f>
        <v>S63.10.12</v>
      </c>
      <c r="M2626" s="7">
        <v>2174.85</v>
      </c>
      <c r="N2626" s="7">
        <v>245990000</v>
      </c>
      <c r="O2626" s="7">
        <v>180131189</v>
      </c>
      <c r="P2626" s="7">
        <v>0</v>
      </c>
      <c r="Q2626" s="7" t="str">
        <f t="shared" si="891"/>
        <v>都市整備部</v>
      </c>
      <c r="R2626" s="7" t="str">
        <f t="shared" si="885"/>
        <v>住宅建築局住宅経営室</v>
      </c>
    </row>
    <row r="2627" spans="1:18" s="1" customFormat="1" x14ac:dyDescent="0.45">
      <c r="A2627" s="7" t="str">
        <f t="shared" si="899"/>
        <v>09940003301</v>
      </c>
      <c r="B2627" s="7" t="str">
        <f t="shared" si="900"/>
        <v>守口八雲北（旧庭窪西）</v>
      </c>
      <c r="C2627" s="7" t="str">
        <f t="shared" si="886"/>
        <v>行政財産</v>
      </c>
      <c r="D2627" s="7" t="str">
        <f t="shared" si="887"/>
        <v>公営住宅</v>
      </c>
      <c r="E2627" s="7" t="str">
        <f t="shared" si="901"/>
        <v>大阪府守口市八雲北町２丁目</v>
      </c>
      <c r="F2627" s="7"/>
      <c r="G2627" s="7" t="str">
        <f t="shared" si="884"/>
        <v>事業用資産</v>
      </c>
      <c r="H2627" s="7" t="str">
        <f t="shared" si="879"/>
        <v>棚卸以外</v>
      </c>
      <c r="I2627" s="7">
        <v>12</v>
      </c>
      <c r="J2627" s="7" t="str">
        <f>"１０号棟"</f>
        <v>１０号棟</v>
      </c>
      <c r="K2627" s="7" t="str">
        <f t="shared" si="898"/>
        <v>鉄筋コンクリート造</v>
      </c>
      <c r="L2627" s="7" t="str">
        <f>"S63.10.12"</f>
        <v>S63.10.12</v>
      </c>
      <c r="M2627" s="7">
        <v>1728.62</v>
      </c>
      <c r="N2627" s="7">
        <v>196367950</v>
      </c>
      <c r="O2627" s="7">
        <v>143669897</v>
      </c>
      <c r="P2627" s="7">
        <v>0</v>
      </c>
      <c r="Q2627" s="7" t="str">
        <f t="shared" si="891"/>
        <v>都市整備部</v>
      </c>
      <c r="R2627" s="7" t="str">
        <f t="shared" si="885"/>
        <v>住宅建築局住宅経営室</v>
      </c>
    </row>
    <row r="2628" spans="1:18" s="1" customFormat="1" x14ac:dyDescent="0.45">
      <c r="A2628" s="7" t="str">
        <f t="shared" ref="A2628:A2637" si="903">"09940003305"</f>
        <v>09940003305</v>
      </c>
      <c r="B2628" s="7" t="str">
        <f t="shared" ref="B2628:B2637" si="904">"守口錦通"</f>
        <v>守口錦通</v>
      </c>
      <c r="C2628" s="7" t="str">
        <f t="shared" si="886"/>
        <v>行政財産</v>
      </c>
      <c r="D2628" s="7" t="str">
        <f t="shared" si="887"/>
        <v>公営住宅</v>
      </c>
      <c r="E2628" s="7" t="str">
        <f t="shared" ref="E2628:E2637" si="905">"大阪府守口市寺方錦通４丁目"</f>
        <v>大阪府守口市寺方錦通４丁目</v>
      </c>
      <c r="F2628" s="7"/>
      <c r="G2628" s="7" t="str">
        <f t="shared" si="884"/>
        <v>事業用資産</v>
      </c>
      <c r="H2628" s="7" t="str">
        <f t="shared" ref="H2628:H2691" si="906">"棚卸以外"</f>
        <v>棚卸以外</v>
      </c>
      <c r="I2628" s="7">
        <v>1</v>
      </c>
      <c r="J2628" s="7" t="str">
        <f>"２号棟"</f>
        <v>２号棟</v>
      </c>
      <c r="K2628" s="7" t="str">
        <f t="shared" si="898"/>
        <v>鉄筋コンクリート造</v>
      </c>
      <c r="L2628" s="7" t="str">
        <f t="shared" ref="L2628:L2637" si="907">"S52.03.23"</f>
        <v>S52.03.23</v>
      </c>
      <c r="M2628" s="7">
        <v>2199.2399999999998</v>
      </c>
      <c r="N2628" s="7">
        <v>285746468</v>
      </c>
      <c r="O2628" s="7">
        <v>213523326</v>
      </c>
      <c r="P2628" s="7">
        <v>0</v>
      </c>
      <c r="Q2628" s="7" t="str">
        <f t="shared" si="891"/>
        <v>都市整備部</v>
      </c>
      <c r="R2628" s="7" t="str">
        <f t="shared" si="885"/>
        <v>住宅建築局住宅経営室</v>
      </c>
    </row>
    <row r="2629" spans="1:18" s="1" customFormat="1" x14ac:dyDescent="0.45">
      <c r="A2629" s="7" t="str">
        <f t="shared" si="903"/>
        <v>09940003305</v>
      </c>
      <c r="B2629" s="7" t="str">
        <f t="shared" si="904"/>
        <v>守口錦通</v>
      </c>
      <c r="C2629" s="7" t="str">
        <f t="shared" si="886"/>
        <v>行政財産</v>
      </c>
      <c r="D2629" s="7" t="str">
        <f t="shared" si="887"/>
        <v>公営住宅</v>
      </c>
      <c r="E2629" s="7" t="str">
        <f t="shared" si="905"/>
        <v>大阪府守口市寺方錦通４丁目</v>
      </c>
      <c r="F2629" s="7"/>
      <c r="G2629" s="7" t="str">
        <f t="shared" si="884"/>
        <v>事業用資産</v>
      </c>
      <c r="H2629" s="7" t="str">
        <f t="shared" si="906"/>
        <v>棚卸以外</v>
      </c>
      <c r="I2629" s="7">
        <v>2</v>
      </c>
      <c r="J2629" s="7" t="str">
        <f>"４号棟"</f>
        <v>４号棟</v>
      </c>
      <c r="K2629" s="7" t="str">
        <f t="shared" si="898"/>
        <v>鉄筋コンクリート造</v>
      </c>
      <c r="L2629" s="7" t="str">
        <f t="shared" si="907"/>
        <v>S52.03.23</v>
      </c>
      <c r="M2629" s="7">
        <v>2199.2399999999998</v>
      </c>
      <c r="N2629" s="7">
        <v>286059035</v>
      </c>
      <c r="O2629" s="7">
        <v>213587036</v>
      </c>
      <c r="P2629" s="7">
        <v>0</v>
      </c>
      <c r="Q2629" s="7" t="str">
        <f t="shared" si="891"/>
        <v>都市整備部</v>
      </c>
      <c r="R2629" s="7" t="str">
        <f t="shared" si="885"/>
        <v>住宅建築局住宅経営室</v>
      </c>
    </row>
    <row r="2630" spans="1:18" s="1" customFormat="1" x14ac:dyDescent="0.45">
      <c r="A2630" s="7" t="str">
        <f t="shared" si="903"/>
        <v>09940003305</v>
      </c>
      <c r="B2630" s="7" t="str">
        <f t="shared" si="904"/>
        <v>守口錦通</v>
      </c>
      <c r="C2630" s="7" t="str">
        <f t="shared" si="886"/>
        <v>行政財産</v>
      </c>
      <c r="D2630" s="7" t="str">
        <f t="shared" si="887"/>
        <v>公営住宅</v>
      </c>
      <c r="E2630" s="7" t="str">
        <f t="shared" si="905"/>
        <v>大阪府守口市寺方錦通４丁目</v>
      </c>
      <c r="F2630" s="7"/>
      <c r="G2630" s="7" t="str">
        <f t="shared" si="884"/>
        <v>事業用資産</v>
      </c>
      <c r="H2630" s="7" t="str">
        <f t="shared" si="906"/>
        <v>棚卸以外</v>
      </c>
      <c r="I2630" s="7">
        <v>3</v>
      </c>
      <c r="J2630" s="7" t="str">
        <f>"１号棟"</f>
        <v>１号棟</v>
      </c>
      <c r="K2630" s="7" t="str">
        <f t="shared" si="898"/>
        <v>鉄筋コンクリート造</v>
      </c>
      <c r="L2630" s="7" t="str">
        <f t="shared" si="907"/>
        <v>S52.03.23</v>
      </c>
      <c r="M2630" s="7">
        <v>3294.48</v>
      </c>
      <c r="N2630" s="7">
        <v>392761849</v>
      </c>
      <c r="O2630" s="7">
        <v>312164553</v>
      </c>
      <c r="P2630" s="7">
        <v>0</v>
      </c>
      <c r="Q2630" s="7" t="str">
        <f t="shared" si="891"/>
        <v>都市整備部</v>
      </c>
      <c r="R2630" s="7" t="str">
        <f t="shared" si="885"/>
        <v>住宅建築局住宅経営室</v>
      </c>
    </row>
    <row r="2631" spans="1:18" s="1" customFormat="1" x14ac:dyDescent="0.45">
      <c r="A2631" s="7" t="str">
        <f t="shared" si="903"/>
        <v>09940003305</v>
      </c>
      <c r="B2631" s="7" t="str">
        <f t="shared" si="904"/>
        <v>守口錦通</v>
      </c>
      <c r="C2631" s="7" t="str">
        <f t="shared" si="886"/>
        <v>行政財産</v>
      </c>
      <c r="D2631" s="7" t="str">
        <f t="shared" si="887"/>
        <v>公営住宅</v>
      </c>
      <c r="E2631" s="7" t="str">
        <f t="shared" si="905"/>
        <v>大阪府守口市寺方錦通４丁目</v>
      </c>
      <c r="F2631" s="7"/>
      <c r="G2631" s="7" t="str">
        <f t="shared" si="884"/>
        <v>事業用資産</v>
      </c>
      <c r="H2631" s="7" t="str">
        <f t="shared" si="906"/>
        <v>棚卸以外</v>
      </c>
      <c r="I2631" s="7">
        <v>4</v>
      </c>
      <c r="J2631" s="7" t="str">
        <f>"３号棟"</f>
        <v>３号棟</v>
      </c>
      <c r="K2631" s="7" t="str">
        <f t="shared" si="898"/>
        <v>鉄筋コンクリート造</v>
      </c>
      <c r="L2631" s="7" t="str">
        <f t="shared" si="907"/>
        <v>S52.03.23</v>
      </c>
      <c r="M2631" s="7">
        <v>3294.48</v>
      </c>
      <c r="N2631" s="7">
        <v>393582566</v>
      </c>
      <c r="O2631" s="7">
        <v>312274838</v>
      </c>
      <c r="P2631" s="7">
        <v>0</v>
      </c>
      <c r="Q2631" s="7" t="str">
        <f t="shared" si="891"/>
        <v>都市整備部</v>
      </c>
      <c r="R2631" s="7" t="str">
        <f t="shared" si="885"/>
        <v>住宅建築局住宅経営室</v>
      </c>
    </row>
    <row r="2632" spans="1:18" s="1" customFormat="1" x14ac:dyDescent="0.45">
      <c r="A2632" s="7" t="str">
        <f t="shared" si="903"/>
        <v>09940003305</v>
      </c>
      <c r="B2632" s="7" t="str">
        <f t="shared" si="904"/>
        <v>守口錦通</v>
      </c>
      <c r="C2632" s="7" t="str">
        <f t="shared" si="886"/>
        <v>行政財産</v>
      </c>
      <c r="D2632" s="7" t="str">
        <f t="shared" si="887"/>
        <v>公営住宅</v>
      </c>
      <c r="E2632" s="7" t="str">
        <f t="shared" si="905"/>
        <v>大阪府守口市寺方錦通４丁目</v>
      </c>
      <c r="F2632" s="7"/>
      <c r="G2632" s="7" t="str">
        <f t="shared" si="884"/>
        <v>事業用資産</v>
      </c>
      <c r="H2632" s="7" t="str">
        <f t="shared" si="906"/>
        <v>棚卸以外</v>
      </c>
      <c r="I2632" s="7">
        <v>5</v>
      </c>
      <c r="J2632" s="7" t="str">
        <f>"５号棟"</f>
        <v>５号棟</v>
      </c>
      <c r="K2632" s="7" t="str">
        <f t="shared" si="898"/>
        <v>鉄筋コンクリート造</v>
      </c>
      <c r="L2632" s="7" t="str">
        <f t="shared" si="907"/>
        <v>S52.03.23</v>
      </c>
      <c r="M2632" s="7">
        <v>4398.49</v>
      </c>
      <c r="N2632" s="7">
        <v>565916634</v>
      </c>
      <c r="O2632" s="7">
        <v>424906022</v>
      </c>
      <c r="P2632" s="7">
        <v>0</v>
      </c>
      <c r="Q2632" s="7" t="str">
        <f t="shared" si="891"/>
        <v>都市整備部</v>
      </c>
      <c r="R2632" s="7" t="str">
        <f t="shared" si="885"/>
        <v>住宅建築局住宅経営室</v>
      </c>
    </row>
    <row r="2633" spans="1:18" s="1" customFormat="1" x14ac:dyDescent="0.45">
      <c r="A2633" s="7" t="str">
        <f t="shared" si="903"/>
        <v>09940003305</v>
      </c>
      <c r="B2633" s="7" t="str">
        <f t="shared" si="904"/>
        <v>守口錦通</v>
      </c>
      <c r="C2633" s="7" t="str">
        <f t="shared" si="886"/>
        <v>行政財産</v>
      </c>
      <c r="D2633" s="7" t="str">
        <f t="shared" si="887"/>
        <v>公営住宅</v>
      </c>
      <c r="E2633" s="7" t="str">
        <f t="shared" si="905"/>
        <v>大阪府守口市寺方錦通４丁目</v>
      </c>
      <c r="F2633" s="7"/>
      <c r="G2633" s="7" t="str">
        <f t="shared" si="884"/>
        <v>事業用資産</v>
      </c>
      <c r="H2633" s="7" t="str">
        <f t="shared" si="906"/>
        <v>棚卸以外</v>
      </c>
      <c r="I2633" s="7">
        <v>6</v>
      </c>
      <c r="J2633" s="7" t="str">
        <f>"６号棟"</f>
        <v>６号棟</v>
      </c>
      <c r="K2633" s="7" t="str">
        <f t="shared" si="898"/>
        <v>鉄筋コンクリート造</v>
      </c>
      <c r="L2633" s="7" t="str">
        <f t="shared" si="907"/>
        <v>S52.03.23</v>
      </c>
      <c r="M2633" s="7">
        <v>4398.49</v>
      </c>
      <c r="N2633" s="7">
        <v>567192595</v>
      </c>
      <c r="O2633" s="7">
        <v>425166152</v>
      </c>
      <c r="P2633" s="7">
        <v>0</v>
      </c>
      <c r="Q2633" s="7" t="str">
        <f t="shared" si="891"/>
        <v>都市整備部</v>
      </c>
      <c r="R2633" s="7" t="str">
        <f t="shared" si="885"/>
        <v>住宅建築局住宅経営室</v>
      </c>
    </row>
    <row r="2634" spans="1:18" s="1" customFormat="1" x14ac:dyDescent="0.45">
      <c r="A2634" s="7" t="str">
        <f t="shared" si="903"/>
        <v>09940003305</v>
      </c>
      <c r="B2634" s="7" t="str">
        <f t="shared" si="904"/>
        <v>守口錦通</v>
      </c>
      <c r="C2634" s="7" t="str">
        <f t="shared" si="886"/>
        <v>行政財産</v>
      </c>
      <c r="D2634" s="7" t="str">
        <f t="shared" si="887"/>
        <v>公営住宅</v>
      </c>
      <c r="E2634" s="7" t="str">
        <f t="shared" si="905"/>
        <v>大阪府守口市寺方錦通４丁目</v>
      </c>
      <c r="F2634" s="7"/>
      <c r="G2634" s="7" t="str">
        <f t="shared" si="884"/>
        <v>事業用資産</v>
      </c>
      <c r="H2634" s="7" t="str">
        <f t="shared" si="906"/>
        <v>棚卸以外</v>
      </c>
      <c r="I2634" s="7">
        <v>7</v>
      </c>
      <c r="J2634" s="7" t="str">
        <f>"集会所"</f>
        <v>集会所</v>
      </c>
      <c r="K2634" s="7" t="str">
        <f t="shared" si="898"/>
        <v>鉄筋コンクリート造</v>
      </c>
      <c r="L2634" s="7" t="str">
        <f t="shared" si="907"/>
        <v>S52.03.23</v>
      </c>
      <c r="M2634" s="7">
        <v>97.34</v>
      </c>
      <c r="N2634" s="7">
        <v>9374000</v>
      </c>
      <c r="O2634" s="7">
        <v>9174792</v>
      </c>
      <c r="P2634" s="7">
        <v>0</v>
      </c>
      <c r="Q2634" s="7" t="str">
        <f t="shared" si="891"/>
        <v>都市整備部</v>
      </c>
      <c r="R2634" s="7" t="str">
        <f t="shared" si="885"/>
        <v>住宅建築局住宅経営室</v>
      </c>
    </row>
    <row r="2635" spans="1:18" s="1" customFormat="1" x14ac:dyDescent="0.45">
      <c r="A2635" s="7" t="str">
        <f t="shared" si="903"/>
        <v>09940003305</v>
      </c>
      <c r="B2635" s="7" t="str">
        <f t="shared" si="904"/>
        <v>守口錦通</v>
      </c>
      <c r="C2635" s="7" t="str">
        <f t="shared" si="886"/>
        <v>行政財産</v>
      </c>
      <c r="D2635" s="7" t="str">
        <f t="shared" si="887"/>
        <v>公営住宅</v>
      </c>
      <c r="E2635" s="7" t="str">
        <f t="shared" si="905"/>
        <v>大阪府守口市寺方錦通４丁目</v>
      </c>
      <c r="F2635" s="7"/>
      <c r="G2635" s="7" t="str">
        <f t="shared" si="884"/>
        <v>事業用資産</v>
      </c>
      <c r="H2635" s="7" t="str">
        <f t="shared" si="906"/>
        <v>棚卸以外</v>
      </c>
      <c r="I2635" s="7">
        <v>8</v>
      </c>
      <c r="J2635" s="7" t="str">
        <f>"ポンプ室・電気室"</f>
        <v>ポンプ室・電気室</v>
      </c>
      <c r="K2635" s="7" t="str">
        <f t="shared" si="898"/>
        <v>鉄筋コンクリート造</v>
      </c>
      <c r="L2635" s="7" t="str">
        <f t="shared" si="907"/>
        <v>S52.03.23</v>
      </c>
      <c r="M2635" s="7">
        <v>66</v>
      </c>
      <c r="N2635" s="7">
        <v>5227000</v>
      </c>
      <c r="O2635" s="7">
        <v>5115936</v>
      </c>
      <c r="P2635" s="7">
        <v>0</v>
      </c>
      <c r="Q2635" s="7" t="str">
        <f t="shared" si="891"/>
        <v>都市整備部</v>
      </c>
      <c r="R2635" s="7" t="str">
        <f t="shared" si="885"/>
        <v>住宅建築局住宅経営室</v>
      </c>
    </row>
    <row r="2636" spans="1:18" s="1" customFormat="1" x14ac:dyDescent="0.45">
      <c r="A2636" s="7" t="str">
        <f t="shared" si="903"/>
        <v>09940003305</v>
      </c>
      <c r="B2636" s="7" t="str">
        <f t="shared" si="904"/>
        <v>守口錦通</v>
      </c>
      <c r="C2636" s="7" t="str">
        <f t="shared" si="886"/>
        <v>行政財産</v>
      </c>
      <c r="D2636" s="7" t="str">
        <f t="shared" si="887"/>
        <v>公営住宅</v>
      </c>
      <c r="E2636" s="7" t="str">
        <f t="shared" si="905"/>
        <v>大阪府守口市寺方錦通４丁目</v>
      </c>
      <c r="F2636" s="7"/>
      <c r="G2636" s="7" t="str">
        <f t="shared" si="884"/>
        <v>事業用資産</v>
      </c>
      <c r="H2636" s="7" t="str">
        <f t="shared" si="906"/>
        <v>棚卸以外</v>
      </c>
      <c r="I2636" s="7">
        <v>9</v>
      </c>
      <c r="J2636" s="7" t="str">
        <f>"ポンプ室"</f>
        <v>ポンプ室</v>
      </c>
      <c r="K2636" s="7" t="str">
        <f t="shared" si="898"/>
        <v>鉄筋コンクリート造</v>
      </c>
      <c r="L2636" s="7" t="str">
        <f t="shared" si="907"/>
        <v>S52.03.23</v>
      </c>
      <c r="M2636" s="7">
        <v>66</v>
      </c>
      <c r="N2636" s="7">
        <v>5268000</v>
      </c>
      <c r="O2636" s="7">
        <v>5156232</v>
      </c>
      <c r="P2636" s="7">
        <v>0</v>
      </c>
      <c r="Q2636" s="7" t="str">
        <f t="shared" si="891"/>
        <v>都市整備部</v>
      </c>
      <c r="R2636" s="7" t="str">
        <f t="shared" si="885"/>
        <v>住宅建築局住宅経営室</v>
      </c>
    </row>
    <row r="2637" spans="1:18" s="1" customFormat="1" x14ac:dyDescent="0.45">
      <c r="A2637" s="7" t="str">
        <f t="shared" si="903"/>
        <v>09940003305</v>
      </c>
      <c r="B2637" s="7" t="str">
        <f t="shared" si="904"/>
        <v>守口錦通</v>
      </c>
      <c r="C2637" s="7" t="str">
        <f t="shared" si="886"/>
        <v>行政財産</v>
      </c>
      <c r="D2637" s="7" t="str">
        <f t="shared" si="887"/>
        <v>公営住宅</v>
      </c>
      <c r="E2637" s="7" t="str">
        <f t="shared" si="905"/>
        <v>大阪府守口市寺方錦通４丁目</v>
      </c>
      <c r="F2637" s="7"/>
      <c r="G2637" s="7" t="str">
        <f t="shared" si="884"/>
        <v>事業用資産</v>
      </c>
      <c r="H2637" s="7" t="str">
        <f t="shared" si="906"/>
        <v>棚卸以外</v>
      </c>
      <c r="I2637" s="7">
        <v>10</v>
      </c>
      <c r="J2637" s="7" t="str">
        <f>"電気室"</f>
        <v>電気室</v>
      </c>
      <c r="K2637" s="7" t="str">
        <f t="shared" si="898"/>
        <v>鉄筋コンクリート造</v>
      </c>
      <c r="L2637" s="7" t="str">
        <f t="shared" si="907"/>
        <v>S52.03.23</v>
      </c>
      <c r="M2637" s="7">
        <v>62.42</v>
      </c>
      <c r="N2637" s="7">
        <v>4835000</v>
      </c>
      <c r="O2637" s="7">
        <v>4732296</v>
      </c>
      <c r="P2637" s="7">
        <v>0</v>
      </c>
      <c r="Q2637" s="7" t="str">
        <f t="shared" si="891"/>
        <v>都市整備部</v>
      </c>
      <c r="R2637" s="7" t="str">
        <f t="shared" si="885"/>
        <v>住宅建築局住宅経営室</v>
      </c>
    </row>
    <row r="2638" spans="1:18" s="1" customFormat="1" x14ac:dyDescent="0.45">
      <c r="A2638" s="7" t="str">
        <f t="shared" ref="A2638:A2647" si="908">"09940003306"</f>
        <v>09940003306</v>
      </c>
      <c r="B2638" s="7" t="str">
        <f t="shared" ref="B2638:B2647" si="909">"守口淀江（旧庭窪）"</f>
        <v>守口淀江（旧庭窪）</v>
      </c>
      <c r="C2638" s="7" t="str">
        <f t="shared" si="886"/>
        <v>行政財産</v>
      </c>
      <c r="D2638" s="7" t="str">
        <f t="shared" si="887"/>
        <v>公営住宅</v>
      </c>
      <c r="E2638" s="7" t="str">
        <f t="shared" ref="E2638:E2647" si="910">"大阪府守口市淀江町"</f>
        <v>大阪府守口市淀江町</v>
      </c>
      <c r="F2638" s="7"/>
      <c r="G2638" s="7" t="str">
        <f t="shared" si="884"/>
        <v>事業用資産</v>
      </c>
      <c r="H2638" s="7" t="str">
        <f t="shared" si="906"/>
        <v>棚卸以外</v>
      </c>
      <c r="I2638" s="7">
        <v>1</v>
      </c>
      <c r="J2638" s="7" t="str">
        <f>"１号棟"</f>
        <v>１号棟</v>
      </c>
      <c r="K2638" s="7" t="str">
        <f t="shared" si="898"/>
        <v>鉄筋コンクリート造</v>
      </c>
      <c r="L2638" s="7" t="str">
        <f>"S56.03.23"</f>
        <v>S56.03.23</v>
      </c>
      <c r="M2638" s="7">
        <v>2084.6999999999998</v>
      </c>
      <c r="N2638" s="7">
        <v>206052000</v>
      </c>
      <c r="O2638" s="7">
        <v>184131864</v>
      </c>
      <c r="P2638" s="7">
        <v>0</v>
      </c>
      <c r="Q2638" s="7" t="str">
        <f t="shared" si="891"/>
        <v>都市整備部</v>
      </c>
      <c r="R2638" s="7" t="str">
        <f t="shared" si="885"/>
        <v>住宅建築局住宅経営室</v>
      </c>
    </row>
    <row r="2639" spans="1:18" s="1" customFormat="1" x14ac:dyDescent="0.45">
      <c r="A2639" s="7" t="str">
        <f t="shared" si="908"/>
        <v>09940003306</v>
      </c>
      <c r="B2639" s="7" t="str">
        <f t="shared" si="909"/>
        <v>守口淀江（旧庭窪）</v>
      </c>
      <c r="C2639" s="7" t="str">
        <f t="shared" si="886"/>
        <v>行政財産</v>
      </c>
      <c r="D2639" s="7" t="str">
        <f t="shared" si="887"/>
        <v>公営住宅</v>
      </c>
      <c r="E2639" s="7" t="str">
        <f t="shared" si="910"/>
        <v>大阪府守口市淀江町</v>
      </c>
      <c r="F2639" s="7"/>
      <c r="G2639" s="7" t="str">
        <f t="shared" si="884"/>
        <v>事業用資産</v>
      </c>
      <c r="H2639" s="7" t="str">
        <f t="shared" si="906"/>
        <v>棚卸以外</v>
      </c>
      <c r="I2639" s="7">
        <v>2</v>
      </c>
      <c r="J2639" s="7" t="str">
        <f>"ポンプ室"</f>
        <v>ポンプ室</v>
      </c>
      <c r="K2639" s="7" t="str">
        <f t="shared" si="898"/>
        <v>鉄筋コンクリート造</v>
      </c>
      <c r="L2639" s="7" t="str">
        <f>"S56.03.23"</f>
        <v>S56.03.23</v>
      </c>
      <c r="M2639" s="7">
        <v>80.63</v>
      </c>
      <c r="N2639" s="7">
        <v>21793000</v>
      </c>
      <c r="O2639" s="7">
        <v>19475064</v>
      </c>
      <c r="P2639" s="7">
        <v>0</v>
      </c>
      <c r="Q2639" s="7" t="str">
        <f t="shared" si="891"/>
        <v>都市整備部</v>
      </c>
      <c r="R2639" s="7" t="str">
        <f t="shared" si="885"/>
        <v>住宅建築局住宅経営室</v>
      </c>
    </row>
    <row r="2640" spans="1:18" s="1" customFormat="1" x14ac:dyDescent="0.45">
      <c r="A2640" s="7" t="str">
        <f t="shared" si="908"/>
        <v>09940003306</v>
      </c>
      <c r="B2640" s="7" t="str">
        <f t="shared" si="909"/>
        <v>守口淀江（旧庭窪）</v>
      </c>
      <c r="C2640" s="7" t="str">
        <f t="shared" si="886"/>
        <v>行政財産</v>
      </c>
      <c r="D2640" s="7" t="str">
        <f t="shared" si="887"/>
        <v>公営住宅</v>
      </c>
      <c r="E2640" s="7" t="str">
        <f t="shared" si="910"/>
        <v>大阪府守口市淀江町</v>
      </c>
      <c r="F2640" s="7"/>
      <c r="G2640" s="7" t="str">
        <f t="shared" si="884"/>
        <v>事業用資産</v>
      </c>
      <c r="H2640" s="7" t="str">
        <f t="shared" si="906"/>
        <v>棚卸以外</v>
      </c>
      <c r="I2640" s="7">
        <v>3</v>
      </c>
      <c r="J2640" s="7" t="str">
        <f>"２号棟"</f>
        <v>２号棟</v>
      </c>
      <c r="K2640" s="7" t="str">
        <f t="shared" ref="K2640:K2659" si="911">"鉄筋コンクリート造"</f>
        <v>鉄筋コンクリート造</v>
      </c>
      <c r="L2640" s="7" t="str">
        <f>"S57.09.25"</f>
        <v>S57.09.25</v>
      </c>
      <c r="M2640" s="7">
        <v>2168.91</v>
      </c>
      <c r="N2640" s="7">
        <v>241937915</v>
      </c>
      <c r="O2640" s="7">
        <v>210256967</v>
      </c>
      <c r="P2640" s="7">
        <v>0</v>
      </c>
      <c r="Q2640" s="7" t="str">
        <f t="shared" si="891"/>
        <v>都市整備部</v>
      </c>
      <c r="R2640" s="7" t="str">
        <f t="shared" si="885"/>
        <v>住宅建築局住宅経営室</v>
      </c>
    </row>
    <row r="2641" spans="1:18" s="1" customFormat="1" x14ac:dyDescent="0.45">
      <c r="A2641" s="7" t="str">
        <f t="shared" si="908"/>
        <v>09940003306</v>
      </c>
      <c r="B2641" s="7" t="str">
        <f t="shared" si="909"/>
        <v>守口淀江（旧庭窪）</v>
      </c>
      <c r="C2641" s="7" t="str">
        <f t="shared" si="886"/>
        <v>行政財産</v>
      </c>
      <c r="D2641" s="7" t="str">
        <f t="shared" si="887"/>
        <v>公営住宅</v>
      </c>
      <c r="E2641" s="7" t="str">
        <f t="shared" si="910"/>
        <v>大阪府守口市淀江町</v>
      </c>
      <c r="F2641" s="7"/>
      <c r="G2641" s="7" t="str">
        <f t="shared" si="884"/>
        <v>事業用資産</v>
      </c>
      <c r="H2641" s="7" t="str">
        <f t="shared" si="906"/>
        <v>棚卸以外</v>
      </c>
      <c r="I2641" s="7">
        <v>4</v>
      </c>
      <c r="J2641" s="7" t="str">
        <f>"３号棟"</f>
        <v>３号棟</v>
      </c>
      <c r="K2641" s="7" t="str">
        <f t="shared" si="911"/>
        <v>鉄筋コンクリート造</v>
      </c>
      <c r="L2641" s="7" t="str">
        <f>"S57.09.25"</f>
        <v>S57.09.25</v>
      </c>
      <c r="M2641" s="7">
        <v>2139</v>
      </c>
      <c r="N2641" s="7">
        <v>215723780</v>
      </c>
      <c r="O2641" s="7">
        <v>185747742</v>
      </c>
      <c r="P2641" s="7">
        <v>0</v>
      </c>
      <c r="Q2641" s="7" t="str">
        <f t="shared" si="891"/>
        <v>都市整備部</v>
      </c>
      <c r="R2641" s="7" t="str">
        <f t="shared" si="885"/>
        <v>住宅建築局住宅経営室</v>
      </c>
    </row>
    <row r="2642" spans="1:18" s="1" customFormat="1" x14ac:dyDescent="0.45">
      <c r="A2642" s="7" t="str">
        <f t="shared" si="908"/>
        <v>09940003306</v>
      </c>
      <c r="B2642" s="7" t="str">
        <f t="shared" si="909"/>
        <v>守口淀江（旧庭窪）</v>
      </c>
      <c r="C2642" s="7" t="str">
        <f t="shared" si="886"/>
        <v>行政財産</v>
      </c>
      <c r="D2642" s="7" t="str">
        <f t="shared" si="887"/>
        <v>公営住宅</v>
      </c>
      <c r="E2642" s="7" t="str">
        <f t="shared" si="910"/>
        <v>大阪府守口市淀江町</v>
      </c>
      <c r="F2642" s="7"/>
      <c r="G2642" s="7" t="str">
        <f t="shared" si="884"/>
        <v>事業用資産</v>
      </c>
      <c r="H2642" s="7" t="str">
        <f t="shared" si="906"/>
        <v>棚卸以外</v>
      </c>
      <c r="I2642" s="7">
        <v>5</v>
      </c>
      <c r="J2642" s="7" t="str">
        <f>"４号棟"</f>
        <v>４号棟</v>
      </c>
      <c r="K2642" s="7" t="str">
        <f t="shared" si="911"/>
        <v>鉄筋コンクリート造</v>
      </c>
      <c r="L2642" s="7" t="str">
        <f>"S57.09.25"</f>
        <v>S57.09.25</v>
      </c>
      <c r="M2642" s="7">
        <v>2139</v>
      </c>
      <c r="N2642" s="7">
        <v>211987000</v>
      </c>
      <c r="O2642" s="7">
        <v>182669904</v>
      </c>
      <c r="P2642" s="7">
        <v>0</v>
      </c>
      <c r="Q2642" s="7" t="str">
        <f t="shared" si="891"/>
        <v>都市整備部</v>
      </c>
      <c r="R2642" s="7" t="str">
        <f t="shared" si="885"/>
        <v>住宅建築局住宅経営室</v>
      </c>
    </row>
    <row r="2643" spans="1:18" s="1" customFormat="1" x14ac:dyDescent="0.45">
      <c r="A2643" s="7" t="str">
        <f t="shared" si="908"/>
        <v>09940003306</v>
      </c>
      <c r="B2643" s="7" t="str">
        <f t="shared" si="909"/>
        <v>守口淀江（旧庭窪）</v>
      </c>
      <c r="C2643" s="7" t="str">
        <f t="shared" si="886"/>
        <v>行政財産</v>
      </c>
      <c r="D2643" s="7" t="str">
        <f t="shared" si="887"/>
        <v>公営住宅</v>
      </c>
      <c r="E2643" s="7" t="str">
        <f t="shared" si="910"/>
        <v>大阪府守口市淀江町</v>
      </c>
      <c r="F2643" s="7"/>
      <c r="G2643" s="7" t="str">
        <f t="shared" si="884"/>
        <v>事業用資産</v>
      </c>
      <c r="H2643" s="7" t="str">
        <f t="shared" si="906"/>
        <v>棚卸以外</v>
      </c>
      <c r="I2643" s="7">
        <v>6</v>
      </c>
      <c r="J2643" s="7" t="str">
        <f>"５号棟"</f>
        <v>５号棟</v>
      </c>
      <c r="K2643" s="7" t="str">
        <f t="shared" si="911"/>
        <v>鉄筋コンクリート造</v>
      </c>
      <c r="L2643" s="7" t="str">
        <f>"S59.03.12"</f>
        <v>S59.03.12</v>
      </c>
      <c r="M2643" s="7">
        <v>2219.88</v>
      </c>
      <c r="N2643" s="7">
        <v>233614914</v>
      </c>
      <c r="O2643" s="7">
        <v>198456565</v>
      </c>
      <c r="P2643" s="7">
        <v>0</v>
      </c>
      <c r="Q2643" s="7" t="str">
        <f t="shared" si="891"/>
        <v>都市整備部</v>
      </c>
      <c r="R2643" s="7" t="str">
        <f t="shared" si="885"/>
        <v>住宅建築局住宅経営室</v>
      </c>
    </row>
    <row r="2644" spans="1:18" s="1" customFormat="1" x14ac:dyDescent="0.45">
      <c r="A2644" s="7" t="str">
        <f t="shared" si="908"/>
        <v>09940003306</v>
      </c>
      <c r="B2644" s="7" t="str">
        <f t="shared" si="909"/>
        <v>守口淀江（旧庭窪）</v>
      </c>
      <c r="C2644" s="7" t="str">
        <f t="shared" si="886"/>
        <v>行政財産</v>
      </c>
      <c r="D2644" s="7" t="str">
        <f t="shared" si="887"/>
        <v>公営住宅</v>
      </c>
      <c r="E2644" s="7" t="str">
        <f t="shared" si="910"/>
        <v>大阪府守口市淀江町</v>
      </c>
      <c r="F2644" s="7"/>
      <c r="G2644" s="7" t="str">
        <f t="shared" si="884"/>
        <v>事業用資産</v>
      </c>
      <c r="H2644" s="7" t="str">
        <f t="shared" si="906"/>
        <v>棚卸以外</v>
      </c>
      <c r="I2644" s="7">
        <v>7</v>
      </c>
      <c r="J2644" s="7" t="str">
        <f>"６号棟"</f>
        <v>６号棟</v>
      </c>
      <c r="K2644" s="7" t="str">
        <f t="shared" si="911"/>
        <v>鉄筋コンクリート造</v>
      </c>
      <c r="L2644" s="7" t="str">
        <f>"S59.03.12"</f>
        <v>S59.03.12</v>
      </c>
      <c r="M2644" s="7">
        <v>1431.58</v>
      </c>
      <c r="N2644" s="7">
        <v>149370780</v>
      </c>
      <c r="O2644" s="7">
        <v>123809400</v>
      </c>
      <c r="P2644" s="7">
        <v>0</v>
      </c>
      <c r="Q2644" s="7" t="str">
        <f t="shared" si="891"/>
        <v>都市整備部</v>
      </c>
      <c r="R2644" s="7" t="str">
        <f t="shared" si="885"/>
        <v>住宅建築局住宅経営室</v>
      </c>
    </row>
    <row r="2645" spans="1:18" s="1" customFormat="1" x14ac:dyDescent="0.45">
      <c r="A2645" s="7" t="str">
        <f t="shared" si="908"/>
        <v>09940003306</v>
      </c>
      <c r="B2645" s="7" t="str">
        <f t="shared" si="909"/>
        <v>守口淀江（旧庭窪）</v>
      </c>
      <c r="C2645" s="7" t="str">
        <f t="shared" si="886"/>
        <v>行政財産</v>
      </c>
      <c r="D2645" s="7" t="str">
        <f t="shared" si="887"/>
        <v>公営住宅</v>
      </c>
      <c r="E2645" s="7" t="str">
        <f t="shared" si="910"/>
        <v>大阪府守口市淀江町</v>
      </c>
      <c r="F2645" s="7"/>
      <c r="G2645" s="7" t="str">
        <f t="shared" si="884"/>
        <v>事業用資産</v>
      </c>
      <c r="H2645" s="7" t="str">
        <f t="shared" si="906"/>
        <v>棚卸以外</v>
      </c>
      <c r="I2645" s="7">
        <v>8</v>
      </c>
      <c r="J2645" s="7" t="str">
        <f>"７号棟"</f>
        <v>７号棟</v>
      </c>
      <c r="K2645" s="7" t="str">
        <f t="shared" si="911"/>
        <v>鉄筋コンクリート造</v>
      </c>
      <c r="L2645" s="7" t="str">
        <f>"S59.03.12"</f>
        <v>S59.03.12</v>
      </c>
      <c r="M2645" s="7">
        <v>2857.82</v>
      </c>
      <c r="N2645" s="7">
        <v>297354780</v>
      </c>
      <c r="O2645" s="7">
        <v>246604644</v>
      </c>
      <c r="P2645" s="7">
        <v>0</v>
      </c>
      <c r="Q2645" s="7" t="str">
        <f t="shared" si="891"/>
        <v>都市整備部</v>
      </c>
      <c r="R2645" s="7" t="str">
        <f t="shared" si="885"/>
        <v>住宅建築局住宅経営室</v>
      </c>
    </row>
    <row r="2646" spans="1:18" s="1" customFormat="1" x14ac:dyDescent="0.45">
      <c r="A2646" s="7" t="str">
        <f t="shared" si="908"/>
        <v>09940003306</v>
      </c>
      <c r="B2646" s="7" t="str">
        <f t="shared" si="909"/>
        <v>守口淀江（旧庭窪）</v>
      </c>
      <c r="C2646" s="7" t="str">
        <f t="shared" si="886"/>
        <v>行政財産</v>
      </c>
      <c r="D2646" s="7" t="str">
        <f t="shared" si="887"/>
        <v>公営住宅</v>
      </c>
      <c r="E2646" s="7" t="str">
        <f t="shared" si="910"/>
        <v>大阪府守口市淀江町</v>
      </c>
      <c r="F2646" s="7"/>
      <c r="G2646" s="7" t="str">
        <f t="shared" si="884"/>
        <v>事業用資産</v>
      </c>
      <c r="H2646" s="7" t="str">
        <f t="shared" si="906"/>
        <v>棚卸以外</v>
      </c>
      <c r="I2646" s="7">
        <v>9</v>
      </c>
      <c r="J2646" s="7" t="str">
        <f>"８号棟"</f>
        <v>８号棟</v>
      </c>
      <c r="K2646" s="7" t="str">
        <f t="shared" si="911"/>
        <v>鉄筋コンクリート造</v>
      </c>
      <c r="L2646" s="7" t="str">
        <f>"S59.03.12"</f>
        <v>S59.03.12</v>
      </c>
      <c r="M2646" s="7">
        <v>727.49</v>
      </c>
      <c r="N2646" s="7">
        <v>78150000</v>
      </c>
      <c r="O2646" s="7">
        <v>64847952</v>
      </c>
      <c r="P2646" s="7">
        <v>0</v>
      </c>
      <c r="Q2646" s="7" t="str">
        <f t="shared" si="891"/>
        <v>都市整備部</v>
      </c>
      <c r="R2646" s="7" t="str">
        <f t="shared" si="885"/>
        <v>住宅建築局住宅経営室</v>
      </c>
    </row>
    <row r="2647" spans="1:18" s="1" customFormat="1" x14ac:dyDescent="0.45">
      <c r="A2647" s="7" t="str">
        <f t="shared" si="908"/>
        <v>09940003306</v>
      </c>
      <c r="B2647" s="7" t="str">
        <f t="shared" si="909"/>
        <v>守口淀江（旧庭窪）</v>
      </c>
      <c r="C2647" s="7" t="str">
        <f t="shared" si="886"/>
        <v>行政財産</v>
      </c>
      <c r="D2647" s="7" t="str">
        <f t="shared" si="887"/>
        <v>公営住宅</v>
      </c>
      <c r="E2647" s="7" t="str">
        <f t="shared" si="910"/>
        <v>大阪府守口市淀江町</v>
      </c>
      <c r="F2647" s="7"/>
      <c r="G2647" s="7" t="str">
        <f t="shared" ref="G2647:G2710" si="912">"事業用資産"</f>
        <v>事業用資産</v>
      </c>
      <c r="H2647" s="7" t="str">
        <f t="shared" si="906"/>
        <v>棚卸以外</v>
      </c>
      <c r="I2647" s="7">
        <v>10</v>
      </c>
      <c r="J2647" s="7" t="str">
        <f>"集会所"</f>
        <v>集会所</v>
      </c>
      <c r="K2647" s="7" t="str">
        <f t="shared" si="911"/>
        <v>鉄筋コンクリート造</v>
      </c>
      <c r="L2647" s="7" t="str">
        <f>"S59.03.12"</f>
        <v>S59.03.12</v>
      </c>
      <c r="M2647" s="7">
        <v>148.21</v>
      </c>
      <c r="N2647" s="7">
        <v>28460000</v>
      </c>
      <c r="O2647" s="7">
        <v>23615748</v>
      </c>
      <c r="P2647" s="7">
        <v>0</v>
      </c>
      <c r="Q2647" s="7" t="str">
        <f t="shared" si="891"/>
        <v>都市整備部</v>
      </c>
      <c r="R2647" s="7" t="str">
        <f t="shared" si="885"/>
        <v>住宅建築局住宅経営室</v>
      </c>
    </row>
    <row r="2648" spans="1:18" s="1" customFormat="1" x14ac:dyDescent="0.45">
      <c r="A2648" s="7" t="str">
        <f t="shared" ref="A2648:A2657" si="913">"09940003307"</f>
        <v>09940003307</v>
      </c>
      <c r="B2648" s="7" t="str">
        <f t="shared" ref="B2648:B2657" si="914">"守口金田南（旧庭窪大庭北）"</f>
        <v>守口金田南（旧庭窪大庭北）</v>
      </c>
      <c r="C2648" s="7" t="str">
        <f t="shared" si="886"/>
        <v>行政財産</v>
      </c>
      <c r="D2648" s="7" t="str">
        <f t="shared" si="887"/>
        <v>公営住宅</v>
      </c>
      <c r="E2648" s="7" t="str">
        <f t="shared" ref="E2648:E2657" si="915">"大阪府守口市金田町２丁目"</f>
        <v>大阪府守口市金田町２丁目</v>
      </c>
      <c r="F2648" s="7"/>
      <c r="G2648" s="7" t="str">
        <f t="shared" si="912"/>
        <v>事業用資産</v>
      </c>
      <c r="H2648" s="7" t="str">
        <f t="shared" si="906"/>
        <v>棚卸以外</v>
      </c>
      <c r="I2648" s="7">
        <v>1</v>
      </c>
      <c r="J2648" s="7" t="str">
        <f>"２号棟"</f>
        <v>２号棟</v>
      </c>
      <c r="K2648" s="7" t="str">
        <f t="shared" si="911"/>
        <v>鉄筋コンクリート造</v>
      </c>
      <c r="L2648" s="7" t="str">
        <f>"S58.02.21"</f>
        <v>S58.02.21</v>
      </c>
      <c r="M2648" s="7">
        <v>855.74</v>
      </c>
      <c r="N2648" s="7">
        <v>108566340</v>
      </c>
      <c r="O2648" s="7">
        <v>92168258</v>
      </c>
      <c r="P2648" s="7">
        <v>0</v>
      </c>
      <c r="Q2648" s="7" t="str">
        <f t="shared" si="891"/>
        <v>都市整備部</v>
      </c>
      <c r="R2648" s="7" t="str">
        <f t="shared" ref="R2648:R2711" si="916">"住宅建築局住宅経営室"</f>
        <v>住宅建築局住宅経営室</v>
      </c>
    </row>
    <row r="2649" spans="1:18" s="1" customFormat="1" x14ac:dyDescent="0.45">
      <c r="A2649" s="7" t="str">
        <f t="shared" si="913"/>
        <v>09940003307</v>
      </c>
      <c r="B2649" s="7" t="str">
        <f t="shared" si="914"/>
        <v>守口金田南（旧庭窪大庭北）</v>
      </c>
      <c r="C2649" s="7" t="str">
        <f t="shared" si="886"/>
        <v>行政財産</v>
      </c>
      <c r="D2649" s="7" t="str">
        <f t="shared" si="887"/>
        <v>公営住宅</v>
      </c>
      <c r="E2649" s="7" t="str">
        <f t="shared" si="915"/>
        <v>大阪府守口市金田町２丁目</v>
      </c>
      <c r="F2649" s="7"/>
      <c r="G2649" s="7" t="str">
        <f t="shared" si="912"/>
        <v>事業用資産</v>
      </c>
      <c r="H2649" s="7" t="str">
        <f t="shared" si="906"/>
        <v>棚卸以外</v>
      </c>
      <c r="I2649" s="7">
        <v>2</v>
      </c>
      <c r="J2649" s="7" t="str">
        <f>"ポンプ室"</f>
        <v>ポンプ室</v>
      </c>
      <c r="K2649" s="7" t="str">
        <f t="shared" si="911"/>
        <v>鉄筋コンクリート造</v>
      </c>
      <c r="L2649" s="7" t="str">
        <f>"S58.02.21"</f>
        <v>S58.02.21</v>
      </c>
      <c r="M2649" s="7">
        <v>42.12</v>
      </c>
      <c r="N2649" s="7">
        <v>20503000</v>
      </c>
      <c r="O2649" s="7">
        <v>17485793</v>
      </c>
      <c r="P2649" s="7">
        <v>0</v>
      </c>
      <c r="Q2649" s="7" t="str">
        <f t="shared" si="891"/>
        <v>都市整備部</v>
      </c>
      <c r="R2649" s="7" t="str">
        <f t="shared" si="916"/>
        <v>住宅建築局住宅経営室</v>
      </c>
    </row>
    <row r="2650" spans="1:18" s="1" customFormat="1" x14ac:dyDescent="0.45">
      <c r="A2650" s="7" t="str">
        <f t="shared" si="913"/>
        <v>09940003307</v>
      </c>
      <c r="B2650" s="7" t="str">
        <f t="shared" si="914"/>
        <v>守口金田南（旧庭窪大庭北）</v>
      </c>
      <c r="C2650" s="7" t="str">
        <f t="shared" ref="C2650:C2713" si="917">"行政財産"</f>
        <v>行政財産</v>
      </c>
      <c r="D2650" s="7" t="str">
        <f t="shared" ref="D2650:D2713" si="918">"公営住宅"</f>
        <v>公営住宅</v>
      </c>
      <c r="E2650" s="7" t="str">
        <f t="shared" si="915"/>
        <v>大阪府守口市金田町２丁目</v>
      </c>
      <c r="F2650" s="7"/>
      <c r="G2650" s="7" t="str">
        <f t="shared" si="912"/>
        <v>事業用資産</v>
      </c>
      <c r="H2650" s="7" t="str">
        <f t="shared" si="906"/>
        <v>棚卸以外</v>
      </c>
      <c r="I2650" s="7">
        <v>3</v>
      </c>
      <c r="J2650" s="7" t="str">
        <f>"１号棟"</f>
        <v>１号棟</v>
      </c>
      <c r="K2650" s="7" t="str">
        <f t="shared" si="911"/>
        <v>鉄筋コンクリート造</v>
      </c>
      <c r="L2650" s="7" t="str">
        <f>"S58.02.21"</f>
        <v>S58.02.21</v>
      </c>
      <c r="M2650" s="7">
        <v>1745.99</v>
      </c>
      <c r="N2650" s="7">
        <v>207349690</v>
      </c>
      <c r="O2650" s="7">
        <v>176349992</v>
      </c>
      <c r="P2650" s="7">
        <v>0</v>
      </c>
      <c r="Q2650" s="7" t="str">
        <f t="shared" si="891"/>
        <v>都市整備部</v>
      </c>
      <c r="R2650" s="7" t="str">
        <f t="shared" si="916"/>
        <v>住宅建築局住宅経営室</v>
      </c>
    </row>
    <row r="2651" spans="1:18" s="1" customFormat="1" x14ac:dyDescent="0.45">
      <c r="A2651" s="7" t="str">
        <f t="shared" si="913"/>
        <v>09940003307</v>
      </c>
      <c r="B2651" s="7" t="str">
        <f t="shared" si="914"/>
        <v>守口金田南（旧庭窪大庭北）</v>
      </c>
      <c r="C2651" s="7" t="str">
        <f t="shared" si="917"/>
        <v>行政財産</v>
      </c>
      <c r="D2651" s="7" t="str">
        <f t="shared" si="918"/>
        <v>公営住宅</v>
      </c>
      <c r="E2651" s="7" t="str">
        <f t="shared" si="915"/>
        <v>大阪府守口市金田町２丁目</v>
      </c>
      <c r="F2651" s="7"/>
      <c r="G2651" s="7" t="str">
        <f t="shared" si="912"/>
        <v>事業用資産</v>
      </c>
      <c r="H2651" s="7" t="str">
        <f t="shared" si="906"/>
        <v>棚卸以外</v>
      </c>
      <c r="I2651" s="7">
        <v>4</v>
      </c>
      <c r="J2651" s="7" t="str">
        <f>"３号棟"</f>
        <v>３号棟</v>
      </c>
      <c r="K2651" s="7" t="str">
        <f t="shared" si="911"/>
        <v>鉄筋コンクリート造</v>
      </c>
      <c r="L2651" s="7" t="str">
        <f>"S59.11.30"</f>
        <v>S59.11.30</v>
      </c>
      <c r="M2651" s="7">
        <v>1590.24</v>
      </c>
      <c r="N2651" s="7">
        <v>166112560</v>
      </c>
      <c r="O2651" s="7">
        <v>135213320</v>
      </c>
      <c r="P2651" s="7">
        <v>0</v>
      </c>
      <c r="Q2651" s="7" t="str">
        <f t="shared" ref="Q2651:Q2714" si="919">"都市整備部"</f>
        <v>都市整備部</v>
      </c>
      <c r="R2651" s="7" t="str">
        <f t="shared" si="916"/>
        <v>住宅建築局住宅経営室</v>
      </c>
    </row>
    <row r="2652" spans="1:18" s="1" customFormat="1" x14ac:dyDescent="0.45">
      <c r="A2652" s="7" t="str">
        <f t="shared" si="913"/>
        <v>09940003307</v>
      </c>
      <c r="B2652" s="7" t="str">
        <f t="shared" si="914"/>
        <v>守口金田南（旧庭窪大庭北）</v>
      </c>
      <c r="C2652" s="7" t="str">
        <f t="shared" si="917"/>
        <v>行政財産</v>
      </c>
      <c r="D2652" s="7" t="str">
        <f t="shared" si="918"/>
        <v>公営住宅</v>
      </c>
      <c r="E2652" s="7" t="str">
        <f t="shared" si="915"/>
        <v>大阪府守口市金田町２丁目</v>
      </c>
      <c r="F2652" s="7"/>
      <c r="G2652" s="7" t="str">
        <f t="shared" si="912"/>
        <v>事業用資産</v>
      </c>
      <c r="H2652" s="7" t="str">
        <f t="shared" si="906"/>
        <v>棚卸以外</v>
      </c>
      <c r="I2652" s="7">
        <v>5</v>
      </c>
      <c r="J2652" s="7" t="str">
        <f>"４号棟"</f>
        <v>４号棟</v>
      </c>
      <c r="K2652" s="7" t="str">
        <f t="shared" si="911"/>
        <v>鉄筋コンクリート造</v>
      </c>
      <c r="L2652" s="7" t="str">
        <f>"S59.11.30"</f>
        <v>S59.11.30</v>
      </c>
      <c r="M2652" s="7">
        <v>1732.86</v>
      </c>
      <c r="N2652" s="7">
        <v>198867780</v>
      </c>
      <c r="O2652" s="7">
        <v>162063060</v>
      </c>
      <c r="P2652" s="7">
        <v>0</v>
      </c>
      <c r="Q2652" s="7" t="str">
        <f t="shared" si="919"/>
        <v>都市整備部</v>
      </c>
      <c r="R2652" s="7" t="str">
        <f t="shared" si="916"/>
        <v>住宅建築局住宅経営室</v>
      </c>
    </row>
    <row r="2653" spans="1:18" s="1" customFormat="1" x14ac:dyDescent="0.45">
      <c r="A2653" s="7" t="str">
        <f t="shared" si="913"/>
        <v>09940003307</v>
      </c>
      <c r="B2653" s="7" t="str">
        <f t="shared" si="914"/>
        <v>守口金田南（旧庭窪大庭北）</v>
      </c>
      <c r="C2653" s="7" t="str">
        <f t="shared" si="917"/>
        <v>行政財産</v>
      </c>
      <c r="D2653" s="7" t="str">
        <f t="shared" si="918"/>
        <v>公営住宅</v>
      </c>
      <c r="E2653" s="7" t="str">
        <f t="shared" si="915"/>
        <v>大阪府守口市金田町２丁目</v>
      </c>
      <c r="F2653" s="7"/>
      <c r="G2653" s="7" t="str">
        <f t="shared" si="912"/>
        <v>事業用資産</v>
      </c>
      <c r="H2653" s="7" t="str">
        <f t="shared" si="906"/>
        <v>棚卸以外</v>
      </c>
      <c r="I2653" s="7">
        <v>6</v>
      </c>
      <c r="J2653" s="7" t="str">
        <f>"５号棟"</f>
        <v>５号棟</v>
      </c>
      <c r="K2653" s="7" t="str">
        <f t="shared" si="911"/>
        <v>鉄筋コンクリート造</v>
      </c>
      <c r="L2653" s="7" t="str">
        <f>"S59.11.30"</f>
        <v>S59.11.30</v>
      </c>
      <c r="M2653" s="7">
        <v>1463.23</v>
      </c>
      <c r="N2653" s="7">
        <v>165413000</v>
      </c>
      <c r="O2653" s="7">
        <v>134911560</v>
      </c>
      <c r="P2653" s="7">
        <v>0</v>
      </c>
      <c r="Q2653" s="7" t="str">
        <f t="shared" si="919"/>
        <v>都市整備部</v>
      </c>
      <c r="R2653" s="7" t="str">
        <f t="shared" si="916"/>
        <v>住宅建築局住宅経営室</v>
      </c>
    </row>
    <row r="2654" spans="1:18" s="1" customFormat="1" x14ac:dyDescent="0.45">
      <c r="A2654" s="7" t="str">
        <f t="shared" si="913"/>
        <v>09940003307</v>
      </c>
      <c r="B2654" s="7" t="str">
        <f t="shared" si="914"/>
        <v>守口金田南（旧庭窪大庭北）</v>
      </c>
      <c r="C2654" s="7" t="str">
        <f t="shared" si="917"/>
        <v>行政財産</v>
      </c>
      <c r="D2654" s="7" t="str">
        <f t="shared" si="918"/>
        <v>公営住宅</v>
      </c>
      <c r="E2654" s="7" t="str">
        <f t="shared" si="915"/>
        <v>大阪府守口市金田町２丁目</v>
      </c>
      <c r="F2654" s="7"/>
      <c r="G2654" s="7" t="str">
        <f t="shared" si="912"/>
        <v>事業用資産</v>
      </c>
      <c r="H2654" s="7" t="str">
        <f t="shared" si="906"/>
        <v>棚卸以外</v>
      </c>
      <c r="I2654" s="7">
        <v>7</v>
      </c>
      <c r="J2654" s="7" t="str">
        <f>"６号棟"</f>
        <v>６号棟</v>
      </c>
      <c r="K2654" s="7" t="str">
        <f t="shared" si="911"/>
        <v>鉄筋コンクリート造</v>
      </c>
      <c r="L2654" s="7" t="str">
        <f>"S59.11.30"</f>
        <v>S59.11.30</v>
      </c>
      <c r="M2654" s="7">
        <v>1454.99</v>
      </c>
      <c r="N2654" s="7">
        <v>159930000</v>
      </c>
      <c r="O2654" s="7">
        <v>130439440</v>
      </c>
      <c r="P2654" s="7">
        <v>0</v>
      </c>
      <c r="Q2654" s="7" t="str">
        <f t="shared" si="919"/>
        <v>都市整備部</v>
      </c>
      <c r="R2654" s="7" t="str">
        <f t="shared" si="916"/>
        <v>住宅建築局住宅経営室</v>
      </c>
    </row>
    <row r="2655" spans="1:18" s="1" customFormat="1" x14ac:dyDescent="0.45">
      <c r="A2655" s="7" t="str">
        <f t="shared" si="913"/>
        <v>09940003307</v>
      </c>
      <c r="B2655" s="7" t="str">
        <f t="shared" si="914"/>
        <v>守口金田南（旧庭窪大庭北）</v>
      </c>
      <c r="C2655" s="7" t="str">
        <f t="shared" si="917"/>
        <v>行政財産</v>
      </c>
      <c r="D2655" s="7" t="str">
        <f t="shared" si="918"/>
        <v>公営住宅</v>
      </c>
      <c r="E2655" s="7" t="str">
        <f t="shared" si="915"/>
        <v>大阪府守口市金田町２丁目</v>
      </c>
      <c r="F2655" s="7"/>
      <c r="G2655" s="7" t="str">
        <f t="shared" si="912"/>
        <v>事業用資産</v>
      </c>
      <c r="H2655" s="7" t="str">
        <f t="shared" si="906"/>
        <v>棚卸以外</v>
      </c>
      <c r="I2655" s="7">
        <v>8</v>
      </c>
      <c r="J2655" s="7" t="str">
        <f>"７号棟"</f>
        <v>７号棟</v>
      </c>
      <c r="K2655" s="7" t="str">
        <f t="shared" si="911"/>
        <v>鉄筋コンクリート造</v>
      </c>
      <c r="L2655" s="7" t="str">
        <f>"S61.10.14"</f>
        <v>S61.10.14</v>
      </c>
      <c r="M2655" s="7">
        <v>2852.48</v>
      </c>
      <c r="N2655" s="7">
        <v>272830000</v>
      </c>
      <c r="O2655" s="7">
        <v>211395254</v>
      </c>
      <c r="P2655" s="7">
        <v>0</v>
      </c>
      <c r="Q2655" s="7" t="str">
        <f t="shared" si="919"/>
        <v>都市整備部</v>
      </c>
      <c r="R2655" s="7" t="str">
        <f t="shared" si="916"/>
        <v>住宅建築局住宅経営室</v>
      </c>
    </row>
    <row r="2656" spans="1:18" s="1" customFormat="1" x14ac:dyDescent="0.45">
      <c r="A2656" s="7" t="str">
        <f t="shared" si="913"/>
        <v>09940003307</v>
      </c>
      <c r="B2656" s="7" t="str">
        <f t="shared" si="914"/>
        <v>守口金田南（旧庭窪大庭北）</v>
      </c>
      <c r="C2656" s="7" t="str">
        <f t="shared" si="917"/>
        <v>行政財産</v>
      </c>
      <c r="D2656" s="7" t="str">
        <f t="shared" si="918"/>
        <v>公営住宅</v>
      </c>
      <c r="E2656" s="7" t="str">
        <f t="shared" si="915"/>
        <v>大阪府守口市金田町２丁目</v>
      </c>
      <c r="F2656" s="7"/>
      <c r="G2656" s="7" t="str">
        <f t="shared" si="912"/>
        <v>事業用資産</v>
      </c>
      <c r="H2656" s="7" t="str">
        <f t="shared" si="906"/>
        <v>棚卸以外</v>
      </c>
      <c r="I2656" s="7">
        <v>9</v>
      </c>
      <c r="J2656" s="7" t="str">
        <f>"８号棟"</f>
        <v>８号棟</v>
      </c>
      <c r="K2656" s="7" t="str">
        <f t="shared" si="911"/>
        <v>鉄筋コンクリート造</v>
      </c>
      <c r="L2656" s="7" t="str">
        <f>"S61.10.14"</f>
        <v>S61.10.14</v>
      </c>
      <c r="M2656" s="7">
        <v>1454.99</v>
      </c>
      <c r="N2656" s="7">
        <v>146568000</v>
      </c>
      <c r="O2656" s="7">
        <v>113564501</v>
      </c>
      <c r="P2656" s="7">
        <v>0</v>
      </c>
      <c r="Q2656" s="7" t="str">
        <f t="shared" si="919"/>
        <v>都市整備部</v>
      </c>
      <c r="R2656" s="7" t="str">
        <f t="shared" si="916"/>
        <v>住宅建築局住宅経営室</v>
      </c>
    </row>
    <row r="2657" spans="1:18" s="1" customFormat="1" x14ac:dyDescent="0.45">
      <c r="A2657" s="7" t="str">
        <f t="shared" si="913"/>
        <v>09940003307</v>
      </c>
      <c r="B2657" s="7" t="str">
        <f t="shared" si="914"/>
        <v>守口金田南（旧庭窪大庭北）</v>
      </c>
      <c r="C2657" s="7" t="str">
        <f t="shared" si="917"/>
        <v>行政財産</v>
      </c>
      <c r="D2657" s="7" t="str">
        <f t="shared" si="918"/>
        <v>公営住宅</v>
      </c>
      <c r="E2657" s="7" t="str">
        <f t="shared" si="915"/>
        <v>大阪府守口市金田町２丁目</v>
      </c>
      <c r="F2657" s="7"/>
      <c r="G2657" s="7" t="str">
        <f t="shared" si="912"/>
        <v>事業用資産</v>
      </c>
      <c r="H2657" s="7" t="str">
        <f t="shared" si="906"/>
        <v>棚卸以外</v>
      </c>
      <c r="I2657" s="7">
        <v>10</v>
      </c>
      <c r="J2657" s="7" t="str">
        <f>"集会所"</f>
        <v>集会所</v>
      </c>
      <c r="K2657" s="7" t="str">
        <f t="shared" si="911"/>
        <v>鉄筋コンクリート造</v>
      </c>
      <c r="L2657" s="7" t="str">
        <f>"S61.10.14"</f>
        <v>S61.10.14</v>
      </c>
      <c r="M2657" s="7">
        <v>99.75</v>
      </c>
      <c r="N2657" s="7">
        <v>18455000</v>
      </c>
      <c r="O2657" s="7">
        <v>14299514</v>
      </c>
      <c r="P2657" s="7">
        <v>0</v>
      </c>
      <c r="Q2657" s="7" t="str">
        <f t="shared" si="919"/>
        <v>都市整備部</v>
      </c>
      <c r="R2657" s="7" t="str">
        <f t="shared" si="916"/>
        <v>住宅建築局住宅経営室</v>
      </c>
    </row>
    <row r="2658" spans="1:18" s="1" customFormat="1" x14ac:dyDescent="0.45">
      <c r="A2658" s="7" t="str">
        <f>"09940003308"</f>
        <v>09940003308</v>
      </c>
      <c r="B2658" s="7" t="str">
        <f>"枚方牧野（旧牧野）"</f>
        <v>枚方牧野（旧牧野）</v>
      </c>
      <c r="C2658" s="7" t="str">
        <f t="shared" si="917"/>
        <v>行政財産</v>
      </c>
      <c r="D2658" s="7" t="str">
        <f t="shared" si="918"/>
        <v>公営住宅</v>
      </c>
      <c r="E2658" s="7" t="str">
        <f>"大阪府枚方市牧野本町１丁目"</f>
        <v>大阪府枚方市牧野本町１丁目</v>
      </c>
      <c r="F2658" s="7"/>
      <c r="G2658" s="7" t="str">
        <f t="shared" si="912"/>
        <v>事業用資産</v>
      </c>
      <c r="H2658" s="7" t="str">
        <f t="shared" si="906"/>
        <v>棚卸以外</v>
      </c>
      <c r="I2658" s="7">
        <v>1</v>
      </c>
      <c r="J2658" s="7" t="str">
        <f>"1号棟"</f>
        <v>1号棟</v>
      </c>
      <c r="K2658" s="7" t="str">
        <f t="shared" si="911"/>
        <v>鉄筋コンクリート造</v>
      </c>
      <c r="L2658" s="7" t="str">
        <f>"H16.02.25"</f>
        <v>H16.02.25</v>
      </c>
      <c r="M2658" s="7">
        <v>4527.63</v>
      </c>
      <c r="N2658" s="7">
        <v>642315760</v>
      </c>
      <c r="O2658" s="7">
        <v>261721961</v>
      </c>
      <c r="P2658" s="7">
        <v>0</v>
      </c>
      <c r="Q2658" s="7" t="str">
        <f t="shared" si="919"/>
        <v>都市整備部</v>
      </c>
      <c r="R2658" s="7" t="str">
        <f t="shared" si="916"/>
        <v>住宅建築局住宅経営室</v>
      </c>
    </row>
    <row r="2659" spans="1:18" s="1" customFormat="1" x14ac:dyDescent="0.45">
      <c r="A2659" s="7" t="str">
        <f>"09940003308"</f>
        <v>09940003308</v>
      </c>
      <c r="B2659" s="7" t="str">
        <f>"枚方牧野（旧牧野）"</f>
        <v>枚方牧野（旧牧野）</v>
      </c>
      <c r="C2659" s="7" t="str">
        <f t="shared" si="917"/>
        <v>行政財産</v>
      </c>
      <c r="D2659" s="7" t="str">
        <f t="shared" si="918"/>
        <v>公営住宅</v>
      </c>
      <c r="E2659" s="7" t="str">
        <f>"大阪府枚方市牧野本町１丁目"</f>
        <v>大阪府枚方市牧野本町１丁目</v>
      </c>
      <c r="F2659" s="7"/>
      <c r="G2659" s="7" t="str">
        <f t="shared" si="912"/>
        <v>事業用資産</v>
      </c>
      <c r="H2659" s="7" t="str">
        <f t="shared" si="906"/>
        <v>棚卸以外</v>
      </c>
      <c r="I2659" s="7">
        <v>2</v>
      </c>
      <c r="J2659" s="7" t="str">
        <f>"受水槽ポンプ室・電気室"</f>
        <v>受水槽ポンプ室・電気室</v>
      </c>
      <c r="K2659" s="7" t="str">
        <f t="shared" si="911"/>
        <v>鉄筋コンクリート造</v>
      </c>
      <c r="L2659" s="7" t="str">
        <f>"H16.02.25"</f>
        <v>H16.02.25</v>
      </c>
      <c r="M2659" s="7">
        <v>75.38</v>
      </c>
      <c r="N2659" s="7">
        <v>16327000</v>
      </c>
      <c r="O2659" s="7">
        <v>6629321</v>
      </c>
      <c r="P2659" s="7">
        <v>0</v>
      </c>
      <c r="Q2659" s="7" t="str">
        <f t="shared" si="919"/>
        <v>都市整備部</v>
      </c>
      <c r="R2659" s="7" t="str">
        <f t="shared" si="916"/>
        <v>住宅建築局住宅経営室</v>
      </c>
    </row>
    <row r="2660" spans="1:18" s="1" customFormat="1" x14ac:dyDescent="0.45">
      <c r="A2660" s="7" t="str">
        <f>"09940003311"</f>
        <v>09940003311</v>
      </c>
      <c r="B2660" s="7" t="str">
        <f>"枚方禁野本町住宅（旧枚方住宅）"</f>
        <v>枚方禁野本町住宅（旧枚方住宅）</v>
      </c>
      <c r="C2660" s="7" t="str">
        <f t="shared" si="917"/>
        <v>行政財産</v>
      </c>
      <c r="D2660" s="7" t="str">
        <f t="shared" si="918"/>
        <v>公営住宅</v>
      </c>
      <c r="E2660" s="7" t="str">
        <f>"大阪府枚方市禁野本町１丁目"</f>
        <v>大阪府枚方市禁野本町１丁目</v>
      </c>
      <c r="F2660" s="7"/>
      <c r="G2660" s="7" t="str">
        <f t="shared" si="912"/>
        <v>事業用資産</v>
      </c>
      <c r="H2660" s="7" t="str">
        <f t="shared" si="906"/>
        <v>棚卸以外</v>
      </c>
      <c r="I2660" s="7">
        <v>1</v>
      </c>
      <c r="J2660" s="7" t="str">
        <f>"１号棟"</f>
        <v>１号棟</v>
      </c>
      <c r="K2660" s="7" t="str">
        <f>"鉄骨コンクリート造"</f>
        <v>鉄骨コンクリート造</v>
      </c>
      <c r="L2660" s="7" t="str">
        <f>"H19.02.26"</f>
        <v>H19.02.26</v>
      </c>
      <c r="M2660" s="7">
        <v>2814.69</v>
      </c>
      <c r="N2660" s="7">
        <v>331758404</v>
      </c>
      <c r="O2660" s="7">
        <v>114335877</v>
      </c>
      <c r="P2660" s="7">
        <v>0</v>
      </c>
      <c r="Q2660" s="7" t="str">
        <f t="shared" si="919"/>
        <v>都市整備部</v>
      </c>
      <c r="R2660" s="7" t="str">
        <f t="shared" si="916"/>
        <v>住宅建築局住宅経営室</v>
      </c>
    </row>
    <row r="2661" spans="1:18" s="1" customFormat="1" x14ac:dyDescent="0.45">
      <c r="A2661" s="7" t="str">
        <f>"09940003311"</f>
        <v>09940003311</v>
      </c>
      <c r="B2661" s="7" t="str">
        <f>"枚方禁野本町住宅（旧枚方住宅）"</f>
        <v>枚方禁野本町住宅（旧枚方住宅）</v>
      </c>
      <c r="C2661" s="7" t="str">
        <f t="shared" si="917"/>
        <v>行政財産</v>
      </c>
      <c r="D2661" s="7" t="str">
        <f t="shared" si="918"/>
        <v>公営住宅</v>
      </c>
      <c r="E2661" s="7" t="str">
        <f>"大阪府枚方市禁野本町１丁目"</f>
        <v>大阪府枚方市禁野本町１丁目</v>
      </c>
      <c r="F2661" s="7"/>
      <c r="G2661" s="7" t="str">
        <f t="shared" si="912"/>
        <v>事業用資産</v>
      </c>
      <c r="H2661" s="7" t="str">
        <f t="shared" si="906"/>
        <v>棚卸以外</v>
      </c>
      <c r="I2661" s="7">
        <v>2</v>
      </c>
      <c r="J2661" s="7" t="str">
        <f>"２号棟"</f>
        <v>２号棟</v>
      </c>
      <c r="K2661" s="7" t="str">
        <f t="shared" ref="K2661:K2692" si="920">"鉄筋コンクリート造"</f>
        <v>鉄筋コンクリート造</v>
      </c>
      <c r="L2661" s="7" t="str">
        <f>"H19.02.26"</f>
        <v>H19.02.26</v>
      </c>
      <c r="M2661" s="7">
        <v>3741.48</v>
      </c>
      <c r="N2661" s="7">
        <v>425557404</v>
      </c>
      <c r="O2661" s="7">
        <v>146433707</v>
      </c>
      <c r="P2661" s="7">
        <v>0</v>
      </c>
      <c r="Q2661" s="7" t="str">
        <f t="shared" si="919"/>
        <v>都市整備部</v>
      </c>
      <c r="R2661" s="7" t="str">
        <f t="shared" si="916"/>
        <v>住宅建築局住宅経営室</v>
      </c>
    </row>
    <row r="2662" spans="1:18" s="1" customFormat="1" x14ac:dyDescent="0.45">
      <c r="A2662" s="7" t="str">
        <f>"09940003311"</f>
        <v>09940003311</v>
      </c>
      <c r="B2662" s="7" t="str">
        <f>"枚方禁野本町住宅（旧枚方住宅）"</f>
        <v>枚方禁野本町住宅（旧枚方住宅）</v>
      </c>
      <c r="C2662" s="7" t="str">
        <f t="shared" si="917"/>
        <v>行政財産</v>
      </c>
      <c r="D2662" s="7" t="str">
        <f t="shared" si="918"/>
        <v>公営住宅</v>
      </c>
      <c r="E2662" s="7" t="str">
        <f>"大阪府枚方市禁野本町１丁目"</f>
        <v>大阪府枚方市禁野本町１丁目</v>
      </c>
      <c r="F2662" s="7"/>
      <c r="G2662" s="7" t="str">
        <f t="shared" si="912"/>
        <v>事業用資産</v>
      </c>
      <c r="H2662" s="7" t="str">
        <f t="shared" si="906"/>
        <v>棚卸以外</v>
      </c>
      <c r="I2662" s="7">
        <v>3</v>
      </c>
      <c r="J2662" s="7" t="str">
        <f>"集会所"</f>
        <v>集会所</v>
      </c>
      <c r="K2662" s="7" t="str">
        <f t="shared" si="920"/>
        <v>鉄筋コンクリート造</v>
      </c>
      <c r="L2662" s="7" t="str">
        <f>"H19.02.26"</f>
        <v>H19.02.26</v>
      </c>
      <c r="M2662" s="7">
        <v>79.16</v>
      </c>
      <c r="N2662" s="7">
        <v>13623000</v>
      </c>
      <c r="O2662" s="7">
        <v>4661915</v>
      </c>
      <c r="P2662" s="7">
        <v>0</v>
      </c>
      <c r="Q2662" s="7" t="str">
        <f t="shared" si="919"/>
        <v>都市整備部</v>
      </c>
      <c r="R2662" s="7" t="str">
        <f t="shared" si="916"/>
        <v>住宅建築局住宅経営室</v>
      </c>
    </row>
    <row r="2663" spans="1:18" s="1" customFormat="1" x14ac:dyDescent="0.45">
      <c r="A2663" s="7" t="str">
        <f>"09940003311"</f>
        <v>09940003311</v>
      </c>
      <c r="B2663" s="7" t="str">
        <f>"枚方禁野本町住宅（旧枚方住宅）"</f>
        <v>枚方禁野本町住宅（旧枚方住宅）</v>
      </c>
      <c r="C2663" s="7" t="str">
        <f t="shared" si="917"/>
        <v>行政財産</v>
      </c>
      <c r="D2663" s="7" t="str">
        <f t="shared" si="918"/>
        <v>公営住宅</v>
      </c>
      <c r="E2663" s="7" t="str">
        <f>"大阪府枚方市禁野本町１丁目"</f>
        <v>大阪府枚方市禁野本町１丁目</v>
      </c>
      <c r="F2663" s="7"/>
      <c r="G2663" s="7" t="str">
        <f t="shared" si="912"/>
        <v>事業用資産</v>
      </c>
      <c r="H2663" s="7" t="str">
        <f t="shared" si="906"/>
        <v>棚卸以外</v>
      </c>
      <c r="I2663" s="7">
        <v>4</v>
      </c>
      <c r="J2663" s="7" t="str">
        <f>"ポンプ室・電気室"</f>
        <v>ポンプ室・電気室</v>
      </c>
      <c r="K2663" s="7" t="str">
        <f t="shared" si="920"/>
        <v>鉄筋コンクリート造</v>
      </c>
      <c r="L2663" s="7" t="str">
        <f>"H19.02.26"</f>
        <v>H19.02.26</v>
      </c>
      <c r="M2663" s="7">
        <v>100</v>
      </c>
      <c r="N2663" s="7">
        <v>17683000</v>
      </c>
      <c r="O2663" s="7">
        <v>6051129</v>
      </c>
      <c r="P2663" s="7">
        <v>0</v>
      </c>
      <c r="Q2663" s="7" t="str">
        <f t="shared" si="919"/>
        <v>都市整備部</v>
      </c>
      <c r="R2663" s="7" t="str">
        <f t="shared" si="916"/>
        <v>住宅建築局住宅経営室</v>
      </c>
    </row>
    <row r="2664" spans="1:18" s="1" customFormat="1" x14ac:dyDescent="0.45">
      <c r="A2664" s="7" t="str">
        <f t="shared" ref="A2664:A2679" si="921">"09940003314"</f>
        <v>09940003314</v>
      </c>
      <c r="B2664" s="7" t="str">
        <f t="shared" ref="B2664:B2679" si="922">"枚方船橋"</f>
        <v>枚方船橋</v>
      </c>
      <c r="C2664" s="7" t="str">
        <f t="shared" si="917"/>
        <v>行政財産</v>
      </c>
      <c r="D2664" s="7" t="str">
        <f t="shared" si="918"/>
        <v>公営住宅</v>
      </c>
      <c r="E2664" s="7" t="str">
        <f t="shared" ref="E2664:E2679" si="923">"大阪府枚方市南船橋２丁目"</f>
        <v>大阪府枚方市南船橋２丁目</v>
      </c>
      <c r="F2664" s="7"/>
      <c r="G2664" s="7" t="str">
        <f t="shared" si="912"/>
        <v>事業用資産</v>
      </c>
      <c r="H2664" s="7" t="str">
        <f t="shared" si="906"/>
        <v>棚卸以外</v>
      </c>
      <c r="I2664" s="7">
        <v>1</v>
      </c>
      <c r="J2664" s="7" t="str">
        <f>"１号棟"</f>
        <v>１号棟</v>
      </c>
      <c r="K2664" s="7" t="str">
        <f t="shared" si="920"/>
        <v>鉄筋コンクリート造</v>
      </c>
      <c r="L2664" s="7" t="str">
        <f t="shared" ref="L2664:L2669" si="924">"H08.11.29"</f>
        <v>H08.11.29</v>
      </c>
      <c r="M2664" s="7">
        <v>3875.33</v>
      </c>
      <c r="N2664" s="7">
        <v>731639689</v>
      </c>
      <c r="O2664" s="7">
        <v>409975636</v>
      </c>
      <c r="P2664" s="7">
        <v>0</v>
      </c>
      <c r="Q2664" s="7" t="str">
        <f t="shared" si="919"/>
        <v>都市整備部</v>
      </c>
      <c r="R2664" s="7" t="str">
        <f t="shared" si="916"/>
        <v>住宅建築局住宅経営室</v>
      </c>
    </row>
    <row r="2665" spans="1:18" s="1" customFormat="1" x14ac:dyDescent="0.45">
      <c r="A2665" s="7" t="str">
        <f t="shared" si="921"/>
        <v>09940003314</v>
      </c>
      <c r="B2665" s="7" t="str">
        <f t="shared" si="922"/>
        <v>枚方船橋</v>
      </c>
      <c r="C2665" s="7" t="str">
        <f t="shared" si="917"/>
        <v>行政財産</v>
      </c>
      <c r="D2665" s="7" t="str">
        <f t="shared" si="918"/>
        <v>公営住宅</v>
      </c>
      <c r="E2665" s="7" t="str">
        <f t="shared" si="923"/>
        <v>大阪府枚方市南船橋２丁目</v>
      </c>
      <c r="F2665" s="7"/>
      <c r="G2665" s="7" t="str">
        <f t="shared" si="912"/>
        <v>事業用資産</v>
      </c>
      <c r="H2665" s="7" t="str">
        <f t="shared" si="906"/>
        <v>棚卸以外</v>
      </c>
      <c r="I2665" s="7">
        <v>2</v>
      </c>
      <c r="J2665" s="7" t="str">
        <f>"２号棟"</f>
        <v>２号棟</v>
      </c>
      <c r="K2665" s="7" t="str">
        <f t="shared" si="920"/>
        <v>鉄筋コンクリート造</v>
      </c>
      <c r="L2665" s="7" t="str">
        <f t="shared" si="924"/>
        <v>H08.11.29</v>
      </c>
      <c r="M2665" s="7">
        <v>1929.07</v>
      </c>
      <c r="N2665" s="7">
        <v>388019792</v>
      </c>
      <c r="O2665" s="7">
        <v>217325288</v>
      </c>
      <c r="P2665" s="7">
        <v>0</v>
      </c>
      <c r="Q2665" s="7" t="str">
        <f t="shared" si="919"/>
        <v>都市整備部</v>
      </c>
      <c r="R2665" s="7" t="str">
        <f t="shared" si="916"/>
        <v>住宅建築局住宅経営室</v>
      </c>
    </row>
    <row r="2666" spans="1:18" s="1" customFormat="1" x14ac:dyDescent="0.45">
      <c r="A2666" s="7" t="str">
        <f t="shared" si="921"/>
        <v>09940003314</v>
      </c>
      <c r="B2666" s="7" t="str">
        <f t="shared" si="922"/>
        <v>枚方船橋</v>
      </c>
      <c r="C2666" s="7" t="str">
        <f t="shared" si="917"/>
        <v>行政財産</v>
      </c>
      <c r="D2666" s="7" t="str">
        <f t="shared" si="918"/>
        <v>公営住宅</v>
      </c>
      <c r="E2666" s="7" t="str">
        <f t="shared" si="923"/>
        <v>大阪府枚方市南船橋２丁目</v>
      </c>
      <c r="F2666" s="7"/>
      <c r="G2666" s="7" t="str">
        <f t="shared" si="912"/>
        <v>事業用資産</v>
      </c>
      <c r="H2666" s="7" t="str">
        <f t="shared" si="906"/>
        <v>棚卸以外</v>
      </c>
      <c r="I2666" s="7">
        <v>3</v>
      </c>
      <c r="J2666" s="7" t="str">
        <f>"３号棟"</f>
        <v>３号棟</v>
      </c>
      <c r="K2666" s="7" t="str">
        <f t="shared" si="920"/>
        <v>鉄筋コンクリート造</v>
      </c>
      <c r="L2666" s="7" t="str">
        <f t="shared" si="924"/>
        <v>H08.11.29</v>
      </c>
      <c r="M2666" s="7">
        <v>2688.91</v>
      </c>
      <c r="N2666" s="7">
        <v>511529688</v>
      </c>
      <c r="O2666" s="7">
        <v>286651580</v>
      </c>
      <c r="P2666" s="7">
        <v>0</v>
      </c>
      <c r="Q2666" s="7" t="str">
        <f t="shared" si="919"/>
        <v>都市整備部</v>
      </c>
      <c r="R2666" s="7" t="str">
        <f t="shared" si="916"/>
        <v>住宅建築局住宅経営室</v>
      </c>
    </row>
    <row r="2667" spans="1:18" s="1" customFormat="1" x14ac:dyDescent="0.45">
      <c r="A2667" s="7" t="str">
        <f t="shared" si="921"/>
        <v>09940003314</v>
      </c>
      <c r="B2667" s="7" t="str">
        <f t="shared" si="922"/>
        <v>枚方船橋</v>
      </c>
      <c r="C2667" s="7" t="str">
        <f t="shared" si="917"/>
        <v>行政財産</v>
      </c>
      <c r="D2667" s="7" t="str">
        <f t="shared" si="918"/>
        <v>公営住宅</v>
      </c>
      <c r="E2667" s="7" t="str">
        <f t="shared" si="923"/>
        <v>大阪府枚方市南船橋２丁目</v>
      </c>
      <c r="F2667" s="7"/>
      <c r="G2667" s="7" t="str">
        <f t="shared" si="912"/>
        <v>事業用資産</v>
      </c>
      <c r="H2667" s="7" t="str">
        <f t="shared" si="906"/>
        <v>棚卸以外</v>
      </c>
      <c r="I2667" s="7">
        <v>4</v>
      </c>
      <c r="J2667" s="7" t="str">
        <f>"４，５号棟"</f>
        <v>４，５号棟</v>
      </c>
      <c r="K2667" s="7" t="str">
        <f t="shared" si="920"/>
        <v>鉄筋コンクリート造</v>
      </c>
      <c r="L2667" s="7" t="str">
        <f t="shared" si="924"/>
        <v>H08.11.29</v>
      </c>
      <c r="M2667" s="7">
        <v>2644.55</v>
      </c>
      <c r="N2667" s="7">
        <v>475758688</v>
      </c>
      <c r="O2667" s="7">
        <v>266609596</v>
      </c>
      <c r="P2667" s="7">
        <v>0</v>
      </c>
      <c r="Q2667" s="7" t="str">
        <f t="shared" si="919"/>
        <v>都市整備部</v>
      </c>
      <c r="R2667" s="7" t="str">
        <f t="shared" si="916"/>
        <v>住宅建築局住宅経営室</v>
      </c>
    </row>
    <row r="2668" spans="1:18" s="1" customFormat="1" x14ac:dyDescent="0.45">
      <c r="A2668" s="7" t="str">
        <f t="shared" si="921"/>
        <v>09940003314</v>
      </c>
      <c r="B2668" s="7" t="str">
        <f t="shared" si="922"/>
        <v>枚方船橋</v>
      </c>
      <c r="C2668" s="7" t="str">
        <f t="shared" si="917"/>
        <v>行政財産</v>
      </c>
      <c r="D2668" s="7" t="str">
        <f t="shared" si="918"/>
        <v>公営住宅</v>
      </c>
      <c r="E2668" s="7" t="str">
        <f t="shared" si="923"/>
        <v>大阪府枚方市南船橋２丁目</v>
      </c>
      <c r="F2668" s="7"/>
      <c r="G2668" s="7" t="str">
        <f t="shared" si="912"/>
        <v>事業用資産</v>
      </c>
      <c r="H2668" s="7" t="str">
        <f t="shared" si="906"/>
        <v>棚卸以外</v>
      </c>
      <c r="I2668" s="7">
        <v>5</v>
      </c>
      <c r="J2668" s="7" t="str">
        <f>"受水槽・電気室・ポンプ室"</f>
        <v>受水槽・電気室・ポンプ室</v>
      </c>
      <c r="K2668" s="7" t="str">
        <f t="shared" si="920"/>
        <v>鉄筋コンクリート造</v>
      </c>
      <c r="L2668" s="7" t="str">
        <f t="shared" si="924"/>
        <v>H08.11.29</v>
      </c>
      <c r="M2668" s="7">
        <v>115.82</v>
      </c>
      <c r="N2668" s="7">
        <v>32333000</v>
      </c>
      <c r="O2668" s="7">
        <v>18115964</v>
      </c>
      <c r="P2668" s="7">
        <v>0</v>
      </c>
      <c r="Q2668" s="7" t="str">
        <f t="shared" si="919"/>
        <v>都市整備部</v>
      </c>
      <c r="R2668" s="7" t="str">
        <f t="shared" si="916"/>
        <v>住宅建築局住宅経営室</v>
      </c>
    </row>
    <row r="2669" spans="1:18" s="1" customFormat="1" x14ac:dyDescent="0.45">
      <c r="A2669" s="7" t="str">
        <f t="shared" si="921"/>
        <v>09940003314</v>
      </c>
      <c r="B2669" s="7" t="str">
        <f t="shared" si="922"/>
        <v>枚方船橋</v>
      </c>
      <c r="C2669" s="7" t="str">
        <f t="shared" si="917"/>
        <v>行政財産</v>
      </c>
      <c r="D2669" s="7" t="str">
        <f t="shared" si="918"/>
        <v>公営住宅</v>
      </c>
      <c r="E2669" s="7" t="str">
        <f t="shared" si="923"/>
        <v>大阪府枚方市南船橋２丁目</v>
      </c>
      <c r="F2669" s="7"/>
      <c r="G2669" s="7" t="str">
        <f t="shared" si="912"/>
        <v>事業用資産</v>
      </c>
      <c r="H2669" s="7" t="str">
        <f t="shared" si="906"/>
        <v>棚卸以外</v>
      </c>
      <c r="I2669" s="7">
        <v>6</v>
      </c>
      <c r="J2669" s="7" t="str">
        <f>"受水槽・電気室・ポンプ室"</f>
        <v>受水槽・電気室・ポンプ室</v>
      </c>
      <c r="K2669" s="7" t="str">
        <f t="shared" si="920"/>
        <v>鉄筋コンクリート造</v>
      </c>
      <c r="L2669" s="7" t="str">
        <f t="shared" si="924"/>
        <v>H08.11.29</v>
      </c>
      <c r="M2669" s="7">
        <v>104.94</v>
      </c>
      <c r="N2669" s="7">
        <v>29519000</v>
      </c>
      <c r="O2669" s="7">
        <v>16539124</v>
      </c>
      <c r="P2669" s="7">
        <v>0</v>
      </c>
      <c r="Q2669" s="7" t="str">
        <f t="shared" si="919"/>
        <v>都市整備部</v>
      </c>
      <c r="R2669" s="7" t="str">
        <f t="shared" si="916"/>
        <v>住宅建築局住宅経営室</v>
      </c>
    </row>
    <row r="2670" spans="1:18" s="1" customFormat="1" x14ac:dyDescent="0.45">
      <c r="A2670" s="7" t="str">
        <f t="shared" si="921"/>
        <v>09940003314</v>
      </c>
      <c r="B2670" s="7" t="str">
        <f t="shared" si="922"/>
        <v>枚方船橋</v>
      </c>
      <c r="C2670" s="7" t="str">
        <f t="shared" si="917"/>
        <v>行政財産</v>
      </c>
      <c r="D2670" s="7" t="str">
        <f t="shared" si="918"/>
        <v>公営住宅</v>
      </c>
      <c r="E2670" s="7" t="str">
        <f t="shared" si="923"/>
        <v>大阪府枚方市南船橋２丁目</v>
      </c>
      <c r="F2670" s="7"/>
      <c r="G2670" s="7" t="str">
        <f t="shared" si="912"/>
        <v>事業用資産</v>
      </c>
      <c r="H2670" s="7" t="str">
        <f t="shared" si="906"/>
        <v>棚卸以外</v>
      </c>
      <c r="I2670" s="7">
        <v>7</v>
      </c>
      <c r="J2670" s="7" t="str">
        <f>"６号棟"</f>
        <v>６号棟</v>
      </c>
      <c r="K2670" s="7" t="str">
        <f t="shared" si="920"/>
        <v>鉄筋コンクリート造</v>
      </c>
      <c r="L2670" s="7" t="str">
        <f>"H10.10.29"</f>
        <v>H10.10.29</v>
      </c>
      <c r="M2670" s="7">
        <v>4990.37</v>
      </c>
      <c r="N2670" s="7">
        <v>825213000</v>
      </c>
      <c r="O2670" s="7">
        <v>428718062</v>
      </c>
      <c r="P2670" s="7">
        <v>0</v>
      </c>
      <c r="Q2670" s="7" t="str">
        <f t="shared" si="919"/>
        <v>都市整備部</v>
      </c>
      <c r="R2670" s="7" t="str">
        <f t="shared" si="916"/>
        <v>住宅建築局住宅経営室</v>
      </c>
    </row>
    <row r="2671" spans="1:18" s="1" customFormat="1" x14ac:dyDescent="0.45">
      <c r="A2671" s="7" t="str">
        <f t="shared" si="921"/>
        <v>09940003314</v>
      </c>
      <c r="B2671" s="7" t="str">
        <f t="shared" si="922"/>
        <v>枚方船橋</v>
      </c>
      <c r="C2671" s="7" t="str">
        <f t="shared" si="917"/>
        <v>行政財産</v>
      </c>
      <c r="D2671" s="7" t="str">
        <f t="shared" si="918"/>
        <v>公営住宅</v>
      </c>
      <c r="E2671" s="7" t="str">
        <f t="shared" si="923"/>
        <v>大阪府枚方市南船橋２丁目</v>
      </c>
      <c r="F2671" s="7"/>
      <c r="G2671" s="7" t="str">
        <f t="shared" si="912"/>
        <v>事業用資産</v>
      </c>
      <c r="H2671" s="7" t="str">
        <f t="shared" si="906"/>
        <v>棚卸以外</v>
      </c>
      <c r="I2671" s="7">
        <v>8</v>
      </c>
      <c r="J2671" s="7" t="str">
        <f>"集会所"</f>
        <v>集会所</v>
      </c>
      <c r="K2671" s="7" t="str">
        <f t="shared" si="920"/>
        <v>鉄筋コンクリート造</v>
      </c>
      <c r="L2671" s="7" t="str">
        <f>"H12.02.10"</f>
        <v>H12.02.10</v>
      </c>
      <c r="M2671" s="7">
        <v>120</v>
      </c>
      <c r="N2671" s="7">
        <v>32998000</v>
      </c>
      <c r="O2671" s="7">
        <v>16206716</v>
      </c>
      <c r="P2671" s="7">
        <v>0</v>
      </c>
      <c r="Q2671" s="7" t="str">
        <f t="shared" si="919"/>
        <v>都市整備部</v>
      </c>
      <c r="R2671" s="7" t="str">
        <f t="shared" si="916"/>
        <v>住宅建築局住宅経営室</v>
      </c>
    </row>
    <row r="2672" spans="1:18" s="1" customFormat="1" x14ac:dyDescent="0.45">
      <c r="A2672" s="7" t="str">
        <f t="shared" si="921"/>
        <v>09940003314</v>
      </c>
      <c r="B2672" s="7" t="str">
        <f t="shared" si="922"/>
        <v>枚方船橋</v>
      </c>
      <c r="C2672" s="7" t="str">
        <f t="shared" si="917"/>
        <v>行政財産</v>
      </c>
      <c r="D2672" s="7" t="str">
        <f t="shared" si="918"/>
        <v>公営住宅</v>
      </c>
      <c r="E2672" s="7" t="str">
        <f t="shared" si="923"/>
        <v>大阪府枚方市南船橋２丁目</v>
      </c>
      <c r="F2672" s="7"/>
      <c r="G2672" s="7" t="str">
        <f t="shared" si="912"/>
        <v>事業用資産</v>
      </c>
      <c r="H2672" s="7" t="str">
        <f t="shared" si="906"/>
        <v>棚卸以外</v>
      </c>
      <c r="I2672" s="7">
        <v>9</v>
      </c>
      <c r="J2672" s="7" t="str">
        <f>"７号棟"</f>
        <v>７号棟</v>
      </c>
      <c r="K2672" s="7" t="str">
        <f t="shared" si="920"/>
        <v>鉄筋コンクリート造</v>
      </c>
      <c r="L2672" s="7" t="str">
        <f>"H12.08.30"</f>
        <v>H12.08.30</v>
      </c>
      <c r="M2672" s="7">
        <v>3143.38</v>
      </c>
      <c r="N2672" s="7">
        <v>560292779</v>
      </c>
      <c r="O2672" s="7">
        <v>269795024</v>
      </c>
      <c r="P2672" s="7">
        <v>0</v>
      </c>
      <c r="Q2672" s="7" t="str">
        <f t="shared" si="919"/>
        <v>都市整備部</v>
      </c>
      <c r="R2672" s="7" t="str">
        <f t="shared" si="916"/>
        <v>住宅建築局住宅経営室</v>
      </c>
    </row>
    <row r="2673" spans="1:18" s="1" customFormat="1" x14ac:dyDescent="0.45">
      <c r="A2673" s="7" t="str">
        <f t="shared" si="921"/>
        <v>09940003314</v>
      </c>
      <c r="B2673" s="7" t="str">
        <f t="shared" si="922"/>
        <v>枚方船橋</v>
      </c>
      <c r="C2673" s="7" t="str">
        <f t="shared" si="917"/>
        <v>行政財産</v>
      </c>
      <c r="D2673" s="7" t="str">
        <f t="shared" si="918"/>
        <v>公営住宅</v>
      </c>
      <c r="E2673" s="7" t="str">
        <f t="shared" si="923"/>
        <v>大阪府枚方市南船橋２丁目</v>
      </c>
      <c r="F2673" s="7"/>
      <c r="G2673" s="7" t="str">
        <f t="shared" si="912"/>
        <v>事業用資産</v>
      </c>
      <c r="H2673" s="7" t="str">
        <f t="shared" si="906"/>
        <v>棚卸以外</v>
      </c>
      <c r="I2673" s="7">
        <v>10</v>
      </c>
      <c r="J2673" s="7" t="str">
        <f>"８号棟"</f>
        <v>８号棟</v>
      </c>
      <c r="K2673" s="7" t="str">
        <f t="shared" si="920"/>
        <v>鉄筋コンクリート造</v>
      </c>
      <c r="L2673" s="7" t="str">
        <f>"H12.08.30"</f>
        <v>H12.08.30</v>
      </c>
      <c r="M2673" s="7">
        <v>3029.54</v>
      </c>
      <c r="N2673" s="7">
        <v>561064779</v>
      </c>
      <c r="O2673" s="7">
        <v>270166023</v>
      </c>
      <c r="P2673" s="7">
        <v>0</v>
      </c>
      <c r="Q2673" s="7" t="str">
        <f t="shared" si="919"/>
        <v>都市整備部</v>
      </c>
      <c r="R2673" s="7" t="str">
        <f t="shared" si="916"/>
        <v>住宅建築局住宅経営室</v>
      </c>
    </row>
    <row r="2674" spans="1:18" s="1" customFormat="1" x14ac:dyDescent="0.45">
      <c r="A2674" s="7" t="str">
        <f t="shared" si="921"/>
        <v>09940003314</v>
      </c>
      <c r="B2674" s="7" t="str">
        <f t="shared" si="922"/>
        <v>枚方船橋</v>
      </c>
      <c r="C2674" s="7" t="str">
        <f t="shared" si="917"/>
        <v>行政財産</v>
      </c>
      <c r="D2674" s="7" t="str">
        <f t="shared" si="918"/>
        <v>公営住宅</v>
      </c>
      <c r="E2674" s="7" t="str">
        <f t="shared" si="923"/>
        <v>大阪府枚方市南船橋２丁目</v>
      </c>
      <c r="F2674" s="7"/>
      <c r="G2674" s="7" t="str">
        <f t="shared" si="912"/>
        <v>事業用資産</v>
      </c>
      <c r="H2674" s="7" t="str">
        <f t="shared" si="906"/>
        <v>棚卸以外</v>
      </c>
      <c r="I2674" s="7">
        <v>11</v>
      </c>
      <c r="J2674" s="7" t="str">
        <f>"受水槽ポンプ室"</f>
        <v>受水槽ポンプ室</v>
      </c>
      <c r="K2674" s="7" t="str">
        <f t="shared" si="920"/>
        <v>鉄筋コンクリート造</v>
      </c>
      <c r="L2674" s="7" t="str">
        <f>"H12.08.30"</f>
        <v>H12.08.30</v>
      </c>
      <c r="M2674" s="7">
        <v>148</v>
      </c>
      <c r="N2674" s="7">
        <v>41886000</v>
      </c>
      <c r="O2674" s="7">
        <v>20126086</v>
      </c>
      <c r="P2674" s="7">
        <v>0</v>
      </c>
      <c r="Q2674" s="7" t="str">
        <f t="shared" si="919"/>
        <v>都市整備部</v>
      </c>
      <c r="R2674" s="7" t="str">
        <f t="shared" si="916"/>
        <v>住宅建築局住宅経営室</v>
      </c>
    </row>
    <row r="2675" spans="1:18" s="1" customFormat="1" x14ac:dyDescent="0.45">
      <c r="A2675" s="7" t="str">
        <f t="shared" si="921"/>
        <v>09940003314</v>
      </c>
      <c r="B2675" s="7" t="str">
        <f t="shared" si="922"/>
        <v>枚方船橋</v>
      </c>
      <c r="C2675" s="7" t="str">
        <f t="shared" si="917"/>
        <v>行政財産</v>
      </c>
      <c r="D2675" s="7" t="str">
        <f t="shared" si="918"/>
        <v>公営住宅</v>
      </c>
      <c r="E2675" s="7" t="str">
        <f t="shared" si="923"/>
        <v>大阪府枚方市南船橋２丁目</v>
      </c>
      <c r="F2675" s="7"/>
      <c r="G2675" s="7" t="str">
        <f t="shared" si="912"/>
        <v>事業用資産</v>
      </c>
      <c r="H2675" s="7" t="str">
        <f t="shared" si="906"/>
        <v>棚卸以外</v>
      </c>
      <c r="I2675" s="7">
        <v>12</v>
      </c>
      <c r="J2675" s="7" t="str">
        <f>"９号棟"</f>
        <v>９号棟</v>
      </c>
      <c r="K2675" s="7" t="str">
        <f t="shared" si="920"/>
        <v>鉄筋コンクリート造</v>
      </c>
      <c r="L2675" s="7" t="str">
        <f>"H13.08.29"</f>
        <v>H13.08.29</v>
      </c>
      <c r="M2675" s="7">
        <v>3210.23</v>
      </c>
      <c r="N2675" s="7">
        <v>449561780</v>
      </c>
      <c r="O2675" s="7">
        <v>207128540</v>
      </c>
      <c r="P2675" s="7">
        <v>0</v>
      </c>
      <c r="Q2675" s="7" t="str">
        <f t="shared" si="919"/>
        <v>都市整備部</v>
      </c>
      <c r="R2675" s="7" t="str">
        <f t="shared" si="916"/>
        <v>住宅建築局住宅経営室</v>
      </c>
    </row>
    <row r="2676" spans="1:18" s="1" customFormat="1" x14ac:dyDescent="0.45">
      <c r="A2676" s="7" t="str">
        <f t="shared" si="921"/>
        <v>09940003314</v>
      </c>
      <c r="B2676" s="7" t="str">
        <f t="shared" si="922"/>
        <v>枚方船橋</v>
      </c>
      <c r="C2676" s="7" t="str">
        <f t="shared" si="917"/>
        <v>行政財産</v>
      </c>
      <c r="D2676" s="7" t="str">
        <f t="shared" si="918"/>
        <v>公営住宅</v>
      </c>
      <c r="E2676" s="7" t="str">
        <f t="shared" si="923"/>
        <v>大阪府枚方市南船橋２丁目</v>
      </c>
      <c r="F2676" s="7"/>
      <c r="G2676" s="7" t="str">
        <f t="shared" si="912"/>
        <v>事業用資産</v>
      </c>
      <c r="H2676" s="7" t="str">
        <f t="shared" si="906"/>
        <v>棚卸以外</v>
      </c>
      <c r="I2676" s="7">
        <v>13</v>
      </c>
      <c r="J2676" s="7" t="str">
        <f>"１０号棟"</f>
        <v>１０号棟</v>
      </c>
      <c r="K2676" s="7" t="str">
        <f t="shared" si="920"/>
        <v>鉄筋コンクリート造</v>
      </c>
      <c r="L2676" s="7" t="str">
        <f>"H13.08.29"</f>
        <v>H13.08.29</v>
      </c>
      <c r="M2676" s="7">
        <v>5462.07</v>
      </c>
      <c r="N2676" s="7">
        <v>881879780</v>
      </c>
      <c r="O2676" s="7">
        <v>405657738</v>
      </c>
      <c r="P2676" s="7">
        <v>0</v>
      </c>
      <c r="Q2676" s="7" t="str">
        <f t="shared" si="919"/>
        <v>都市整備部</v>
      </c>
      <c r="R2676" s="7" t="str">
        <f t="shared" si="916"/>
        <v>住宅建築局住宅経営室</v>
      </c>
    </row>
    <row r="2677" spans="1:18" s="1" customFormat="1" x14ac:dyDescent="0.45">
      <c r="A2677" s="7" t="str">
        <f t="shared" si="921"/>
        <v>09940003314</v>
      </c>
      <c r="B2677" s="7" t="str">
        <f t="shared" si="922"/>
        <v>枚方船橋</v>
      </c>
      <c r="C2677" s="7" t="str">
        <f t="shared" si="917"/>
        <v>行政財産</v>
      </c>
      <c r="D2677" s="7" t="str">
        <f t="shared" si="918"/>
        <v>公営住宅</v>
      </c>
      <c r="E2677" s="7" t="str">
        <f t="shared" si="923"/>
        <v>大阪府枚方市南船橋２丁目</v>
      </c>
      <c r="F2677" s="7"/>
      <c r="G2677" s="7" t="str">
        <f t="shared" si="912"/>
        <v>事業用資産</v>
      </c>
      <c r="H2677" s="7" t="str">
        <f t="shared" si="906"/>
        <v>棚卸以外</v>
      </c>
      <c r="I2677" s="7">
        <v>14</v>
      </c>
      <c r="J2677" s="7" t="str">
        <f>"１１号棟"</f>
        <v>１１号棟</v>
      </c>
      <c r="K2677" s="7" t="str">
        <f t="shared" si="920"/>
        <v>鉄筋コンクリート造</v>
      </c>
      <c r="L2677" s="7" t="str">
        <f>"H13.08.29"</f>
        <v>H13.08.29</v>
      </c>
      <c r="M2677" s="7">
        <v>5461.34</v>
      </c>
      <c r="N2677" s="7">
        <v>856935780</v>
      </c>
      <c r="O2677" s="7">
        <v>394202945</v>
      </c>
      <c r="P2677" s="7">
        <v>0</v>
      </c>
      <c r="Q2677" s="7" t="str">
        <f t="shared" si="919"/>
        <v>都市整備部</v>
      </c>
      <c r="R2677" s="7" t="str">
        <f t="shared" si="916"/>
        <v>住宅建築局住宅経営室</v>
      </c>
    </row>
    <row r="2678" spans="1:18" s="1" customFormat="1" x14ac:dyDescent="0.45">
      <c r="A2678" s="7" t="str">
        <f t="shared" si="921"/>
        <v>09940003314</v>
      </c>
      <c r="B2678" s="7" t="str">
        <f t="shared" si="922"/>
        <v>枚方船橋</v>
      </c>
      <c r="C2678" s="7" t="str">
        <f t="shared" si="917"/>
        <v>行政財産</v>
      </c>
      <c r="D2678" s="7" t="str">
        <f t="shared" si="918"/>
        <v>公営住宅</v>
      </c>
      <c r="E2678" s="7" t="str">
        <f t="shared" si="923"/>
        <v>大阪府枚方市南船橋２丁目</v>
      </c>
      <c r="F2678" s="7"/>
      <c r="G2678" s="7" t="str">
        <f t="shared" si="912"/>
        <v>事業用資産</v>
      </c>
      <c r="H2678" s="7" t="str">
        <f t="shared" si="906"/>
        <v>棚卸以外</v>
      </c>
      <c r="I2678" s="7">
        <v>15</v>
      </c>
      <c r="J2678" s="7" t="str">
        <f>"１２号棟"</f>
        <v>１２号棟</v>
      </c>
      <c r="K2678" s="7" t="str">
        <f t="shared" si="920"/>
        <v>鉄筋コンクリート造</v>
      </c>
      <c r="L2678" s="7" t="str">
        <f>"H13.08.29"</f>
        <v>H13.08.29</v>
      </c>
      <c r="M2678" s="7">
        <v>5462.07</v>
      </c>
      <c r="N2678" s="7">
        <v>782275780</v>
      </c>
      <c r="O2678" s="7">
        <v>359917561</v>
      </c>
      <c r="P2678" s="7">
        <v>0</v>
      </c>
      <c r="Q2678" s="7" t="str">
        <f t="shared" si="919"/>
        <v>都市整備部</v>
      </c>
      <c r="R2678" s="7" t="str">
        <f t="shared" si="916"/>
        <v>住宅建築局住宅経営室</v>
      </c>
    </row>
    <row r="2679" spans="1:18" s="1" customFormat="1" x14ac:dyDescent="0.45">
      <c r="A2679" s="7" t="str">
        <f t="shared" si="921"/>
        <v>09940003314</v>
      </c>
      <c r="B2679" s="7" t="str">
        <f t="shared" si="922"/>
        <v>枚方船橋</v>
      </c>
      <c r="C2679" s="7" t="str">
        <f t="shared" si="917"/>
        <v>行政財産</v>
      </c>
      <c r="D2679" s="7" t="str">
        <f t="shared" si="918"/>
        <v>公営住宅</v>
      </c>
      <c r="E2679" s="7" t="str">
        <f t="shared" si="923"/>
        <v>大阪府枚方市南船橋２丁目</v>
      </c>
      <c r="F2679" s="7"/>
      <c r="G2679" s="7" t="str">
        <f t="shared" si="912"/>
        <v>事業用資産</v>
      </c>
      <c r="H2679" s="7" t="str">
        <f t="shared" si="906"/>
        <v>棚卸以外</v>
      </c>
      <c r="I2679" s="7">
        <v>16</v>
      </c>
      <c r="J2679" s="7" t="str">
        <f>"受水槽ポンプ室"</f>
        <v>受水槽ポンプ室</v>
      </c>
      <c r="K2679" s="7" t="str">
        <f t="shared" si="920"/>
        <v>鉄筋コンクリート造</v>
      </c>
      <c r="L2679" s="7" t="str">
        <f>"H13.08.29"</f>
        <v>H13.08.29</v>
      </c>
      <c r="M2679" s="7">
        <v>171.83</v>
      </c>
      <c r="N2679" s="7">
        <v>40210000</v>
      </c>
      <c r="O2679" s="7">
        <v>18465405</v>
      </c>
      <c r="P2679" s="7">
        <v>0</v>
      </c>
      <c r="Q2679" s="7" t="str">
        <f t="shared" si="919"/>
        <v>都市整備部</v>
      </c>
      <c r="R2679" s="7" t="str">
        <f t="shared" si="916"/>
        <v>住宅建築局住宅経営室</v>
      </c>
    </row>
    <row r="2680" spans="1:18" s="1" customFormat="1" x14ac:dyDescent="0.45">
      <c r="A2680" s="7" t="str">
        <f t="shared" ref="A2680:A2715" si="925">"09940003316"</f>
        <v>09940003316</v>
      </c>
      <c r="B2680" s="7" t="str">
        <f t="shared" ref="B2680:B2715" si="926">"牧野北・（新）枚方牧野北"</f>
        <v>牧野北・（新）枚方牧野北</v>
      </c>
      <c r="C2680" s="7" t="str">
        <f t="shared" si="917"/>
        <v>行政財産</v>
      </c>
      <c r="D2680" s="7" t="str">
        <f t="shared" si="918"/>
        <v>公営住宅</v>
      </c>
      <c r="E2680" s="7" t="str">
        <f t="shared" ref="E2680:E2715" si="927">"大阪府枚方市牧野北町"</f>
        <v>大阪府枚方市牧野北町</v>
      </c>
      <c r="F2680" s="7"/>
      <c r="G2680" s="7" t="str">
        <f t="shared" si="912"/>
        <v>事業用資産</v>
      </c>
      <c r="H2680" s="7" t="str">
        <f t="shared" si="906"/>
        <v>棚卸以外</v>
      </c>
      <c r="I2680" s="7">
        <v>1</v>
      </c>
      <c r="J2680" s="7" t="str">
        <f>"１～１２号棟"</f>
        <v>１～１２号棟</v>
      </c>
      <c r="K2680" s="7" t="str">
        <f t="shared" si="920"/>
        <v>鉄筋コンクリート造</v>
      </c>
      <c r="L2680" s="7" t="str">
        <f>"S44.07.25"</f>
        <v>S44.07.25</v>
      </c>
      <c r="M2680" s="7">
        <v>17032.5</v>
      </c>
      <c r="N2680" s="7">
        <v>524875453</v>
      </c>
      <c r="O2680" s="7">
        <v>524875452</v>
      </c>
      <c r="P2680" s="7">
        <v>0</v>
      </c>
      <c r="Q2680" s="7" t="str">
        <f t="shared" si="919"/>
        <v>都市整備部</v>
      </c>
      <c r="R2680" s="7" t="str">
        <f t="shared" si="916"/>
        <v>住宅建築局住宅経営室</v>
      </c>
    </row>
    <row r="2681" spans="1:18" s="1" customFormat="1" x14ac:dyDescent="0.45">
      <c r="A2681" s="7" t="str">
        <f t="shared" si="925"/>
        <v>09940003316</v>
      </c>
      <c r="B2681" s="7" t="str">
        <f t="shared" si="926"/>
        <v>牧野北・（新）枚方牧野北</v>
      </c>
      <c r="C2681" s="7" t="str">
        <f t="shared" si="917"/>
        <v>行政財産</v>
      </c>
      <c r="D2681" s="7" t="str">
        <f t="shared" si="918"/>
        <v>公営住宅</v>
      </c>
      <c r="E2681" s="7" t="str">
        <f t="shared" si="927"/>
        <v>大阪府枚方市牧野北町</v>
      </c>
      <c r="F2681" s="7"/>
      <c r="G2681" s="7" t="str">
        <f t="shared" si="912"/>
        <v>事業用資産</v>
      </c>
      <c r="H2681" s="7" t="str">
        <f t="shared" si="906"/>
        <v>棚卸以外</v>
      </c>
      <c r="I2681" s="7">
        <v>2</v>
      </c>
      <c r="J2681" s="7" t="str">
        <f>"２７～３８号棟"</f>
        <v>２７～３８号棟</v>
      </c>
      <c r="K2681" s="7" t="str">
        <f t="shared" si="920"/>
        <v>鉄筋コンクリート造</v>
      </c>
      <c r="L2681" s="7" t="str">
        <f>"S44.07.25"</f>
        <v>S44.07.25</v>
      </c>
      <c r="M2681" s="7">
        <v>17145.689999999999</v>
      </c>
      <c r="N2681" s="7">
        <v>512428792</v>
      </c>
      <c r="O2681" s="7">
        <v>512428791</v>
      </c>
      <c r="P2681" s="7">
        <v>0</v>
      </c>
      <c r="Q2681" s="7" t="str">
        <f t="shared" si="919"/>
        <v>都市整備部</v>
      </c>
      <c r="R2681" s="7" t="str">
        <f t="shared" si="916"/>
        <v>住宅建築局住宅経営室</v>
      </c>
    </row>
    <row r="2682" spans="1:18" s="1" customFormat="1" x14ac:dyDescent="0.45">
      <c r="A2682" s="7" t="str">
        <f t="shared" si="925"/>
        <v>09940003316</v>
      </c>
      <c r="B2682" s="7" t="str">
        <f t="shared" si="926"/>
        <v>牧野北・（新）枚方牧野北</v>
      </c>
      <c r="C2682" s="7" t="str">
        <f t="shared" si="917"/>
        <v>行政財産</v>
      </c>
      <c r="D2682" s="7" t="str">
        <f t="shared" si="918"/>
        <v>公営住宅</v>
      </c>
      <c r="E2682" s="7" t="str">
        <f t="shared" si="927"/>
        <v>大阪府枚方市牧野北町</v>
      </c>
      <c r="F2682" s="7"/>
      <c r="G2682" s="7" t="str">
        <f t="shared" si="912"/>
        <v>事業用資産</v>
      </c>
      <c r="H2682" s="7" t="str">
        <f t="shared" si="906"/>
        <v>棚卸以外</v>
      </c>
      <c r="I2682" s="7">
        <v>5</v>
      </c>
      <c r="J2682" s="7" t="str">
        <f>"１０号棟増築部分"</f>
        <v>１０号棟増築部分</v>
      </c>
      <c r="K2682" s="7" t="str">
        <f t="shared" si="920"/>
        <v>鉄筋コンクリート造</v>
      </c>
      <c r="L2682" s="7" t="str">
        <f>"S57.10.30"</f>
        <v>S57.10.30</v>
      </c>
      <c r="M2682" s="7">
        <v>673.46</v>
      </c>
      <c r="N2682" s="7">
        <v>94238000</v>
      </c>
      <c r="O2682" s="7">
        <v>81038165</v>
      </c>
      <c r="P2682" s="7">
        <v>0</v>
      </c>
      <c r="Q2682" s="7" t="str">
        <f t="shared" si="919"/>
        <v>都市整備部</v>
      </c>
      <c r="R2682" s="7" t="str">
        <f t="shared" si="916"/>
        <v>住宅建築局住宅経営室</v>
      </c>
    </row>
    <row r="2683" spans="1:18" s="1" customFormat="1" x14ac:dyDescent="0.45">
      <c r="A2683" s="7" t="str">
        <f t="shared" si="925"/>
        <v>09940003316</v>
      </c>
      <c r="B2683" s="7" t="str">
        <f t="shared" si="926"/>
        <v>牧野北・（新）枚方牧野北</v>
      </c>
      <c r="C2683" s="7" t="str">
        <f t="shared" si="917"/>
        <v>行政財産</v>
      </c>
      <c r="D2683" s="7" t="str">
        <f t="shared" si="918"/>
        <v>公営住宅</v>
      </c>
      <c r="E2683" s="7" t="str">
        <f t="shared" si="927"/>
        <v>大阪府枚方市牧野北町</v>
      </c>
      <c r="F2683" s="7"/>
      <c r="G2683" s="7" t="str">
        <f t="shared" si="912"/>
        <v>事業用資産</v>
      </c>
      <c r="H2683" s="7" t="str">
        <f t="shared" si="906"/>
        <v>棚卸以外</v>
      </c>
      <c r="I2683" s="7">
        <v>6</v>
      </c>
      <c r="J2683" s="7" t="str">
        <f>"１１号棟増築部分"</f>
        <v>１１号棟増築部分</v>
      </c>
      <c r="K2683" s="7" t="str">
        <f t="shared" si="920"/>
        <v>鉄筋コンクリート造</v>
      </c>
      <c r="L2683" s="7" t="str">
        <f>"S57.10.30"</f>
        <v>S57.10.30</v>
      </c>
      <c r="M2683" s="7">
        <v>561.22</v>
      </c>
      <c r="N2683" s="7">
        <v>78883000</v>
      </c>
      <c r="O2683" s="7">
        <v>67834040</v>
      </c>
      <c r="P2683" s="7">
        <v>0</v>
      </c>
      <c r="Q2683" s="7" t="str">
        <f t="shared" si="919"/>
        <v>都市整備部</v>
      </c>
      <c r="R2683" s="7" t="str">
        <f t="shared" si="916"/>
        <v>住宅建築局住宅経営室</v>
      </c>
    </row>
    <row r="2684" spans="1:18" s="1" customFormat="1" x14ac:dyDescent="0.45">
      <c r="A2684" s="7" t="str">
        <f t="shared" si="925"/>
        <v>09940003316</v>
      </c>
      <c r="B2684" s="7" t="str">
        <f t="shared" si="926"/>
        <v>牧野北・（新）枚方牧野北</v>
      </c>
      <c r="C2684" s="7" t="str">
        <f t="shared" si="917"/>
        <v>行政財産</v>
      </c>
      <c r="D2684" s="7" t="str">
        <f t="shared" si="918"/>
        <v>公営住宅</v>
      </c>
      <c r="E2684" s="7" t="str">
        <f t="shared" si="927"/>
        <v>大阪府枚方市牧野北町</v>
      </c>
      <c r="F2684" s="7"/>
      <c r="G2684" s="7" t="str">
        <f t="shared" si="912"/>
        <v>事業用資産</v>
      </c>
      <c r="H2684" s="7" t="str">
        <f t="shared" si="906"/>
        <v>棚卸以外</v>
      </c>
      <c r="I2684" s="7">
        <v>9</v>
      </c>
      <c r="J2684" s="7" t="str">
        <f>"３６号棟増築部分"</f>
        <v>３６号棟増築部分</v>
      </c>
      <c r="K2684" s="7" t="str">
        <f t="shared" si="920"/>
        <v>鉄筋コンクリート造</v>
      </c>
      <c r="L2684" s="7" t="str">
        <f>"S58.07.27"</f>
        <v>S58.07.27</v>
      </c>
      <c r="M2684" s="7">
        <v>942.2</v>
      </c>
      <c r="N2684" s="7">
        <v>115267000</v>
      </c>
      <c r="O2684" s="7">
        <v>97282500</v>
      </c>
      <c r="P2684" s="7">
        <v>0</v>
      </c>
      <c r="Q2684" s="7" t="str">
        <f t="shared" si="919"/>
        <v>都市整備部</v>
      </c>
      <c r="R2684" s="7" t="str">
        <f t="shared" si="916"/>
        <v>住宅建築局住宅経営室</v>
      </c>
    </row>
    <row r="2685" spans="1:18" s="1" customFormat="1" x14ac:dyDescent="0.45">
      <c r="A2685" s="7" t="str">
        <f t="shared" si="925"/>
        <v>09940003316</v>
      </c>
      <c r="B2685" s="7" t="str">
        <f t="shared" si="926"/>
        <v>牧野北・（新）枚方牧野北</v>
      </c>
      <c r="C2685" s="7" t="str">
        <f t="shared" si="917"/>
        <v>行政財産</v>
      </c>
      <c r="D2685" s="7" t="str">
        <f t="shared" si="918"/>
        <v>公営住宅</v>
      </c>
      <c r="E2685" s="7" t="str">
        <f t="shared" si="927"/>
        <v>大阪府枚方市牧野北町</v>
      </c>
      <c r="F2685" s="7"/>
      <c r="G2685" s="7" t="str">
        <f t="shared" si="912"/>
        <v>事業用資産</v>
      </c>
      <c r="H2685" s="7" t="str">
        <f t="shared" si="906"/>
        <v>棚卸以外</v>
      </c>
      <c r="I2685" s="7">
        <v>10</v>
      </c>
      <c r="J2685" s="7" t="str">
        <f>"３７号棟増築部分"</f>
        <v>３７号棟増築部分</v>
      </c>
      <c r="K2685" s="7" t="str">
        <f t="shared" si="920"/>
        <v>鉄筋コンクリート造</v>
      </c>
      <c r="L2685" s="7" t="str">
        <f>"S58.07.27"</f>
        <v>S58.07.27</v>
      </c>
      <c r="M2685" s="7">
        <v>712.34</v>
      </c>
      <c r="N2685" s="7">
        <v>86109000</v>
      </c>
      <c r="O2685" s="7">
        <v>72673776</v>
      </c>
      <c r="P2685" s="7">
        <v>0</v>
      </c>
      <c r="Q2685" s="7" t="str">
        <f t="shared" si="919"/>
        <v>都市整備部</v>
      </c>
      <c r="R2685" s="7" t="str">
        <f t="shared" si="916"/>
        <v>住宅建築局住宅経営室</v>
      </c>
    </row>
    <row r="2686" spans="1:18" s="1" customFormat="1" x14ac:dyDescent="0.45">
      <c r="A2686" s="7" t="str">
        <f t="shared" si="925"/>
        <v>09940003316</v>
      </c>
      <c r="B2686" s="7" t="str">
        <f t="shared" si="926"/>
        <v>牧野北・（新）枚方牧野北</v>
      </c>
      <c r="C2686" s="7" t="str">
        <f t="shared" si="917"/>
        <v>行政財産</v>
      </c>
      <c r="D2686" s="7" t="str">
        <f t="shared" si="918"/>
        <v>公営住宅</v>
      </c>
      <c r="E2686" s="7" t="str">
        <f t="shared" si="927"/>
        <v>大阪府枚方市牧野北町</v>
      </c>
      <c r="F2686" s="7"/>
      <c r="G2686" s="7" t="str">
        <f t="shared" si="912"/>
        <v>事業用資産</v>
      </c>
      <c r="H2686" s="7" t="str">
        <f t="shared" si="906"/>
        <v>棚卸以外</v>
      </c>
      <c r="I2686" s="7">
        <v>11</v>
      </c>
      <c r="J2686" s="7" t="str">
        <f>"３８号棟増築部分"</f>
        <v>３８号棟増築部分</v>
      </c>
      <c r="K2686" s="7" t="str">
        <f t="shared" si="920"/>
        <v>鉄筋コンクリート造</v>
      </c>
      <c r="L2686" s="7" t="str">
        <f>"S58.07.27"</f>
        <v>S58.07.27</v>
      </c>
      <c r="M2686" s="7">
        <v>706.65</v>
      </c>
      <c r="N2686" s="7">
        <v>86027000</v>
      </c>
      <c r="O2686" s="7">
        <v>72604756</v>
      </c>
      <c r="P2686" s="7">
        <v>0</v>
      </c>
      <c r="Q2686" s="7" t="str">
        <f t="shared" si="919"/>
        <v>都市整備部</v>
      </c>
      <c r="R2686" s="7" t="str">
        <f t="shared" si="916"/>
        <v>住宅建築局住宅経営室</v>
      </c>
    </row>
    <row r="2687" spans="1:18" s="1" customFormat="1" x14ac:dyDescent="0.45">
      <c r="A2687" s="7" t="str">
        <f t="shared" si="925"/>
        <v>09940003316</v>
      </c>
      <c r="B2687" s="7" t="str">
        <f t="shared" si="926"/>
        <v>牧野北・（新）枚方牧野北</v>
      </c>
      <c r="C2687" s="7" t="str">
        <f t="shared" si="917"/>
        <v>行政財産</v>
      </c>
      <c r="D2687" s="7" t="str">
        <f t="shared" si="918"/>
        <v>公営住宅</v>
      </c>
      <c r="E2687" s="7" t="str">
        <f t="shared" si="927"/>
        <v>大阪府枚方市牧野北町</v>
      </c>
      <c r="F2687" s="7"/>
      <c r="G2687" s="7" t="str">
        <f t="shared" si="912"/>
        <v>事業用資産</v>
      </c>
      <c r="H2687" s="7" t="str">
        <f t="shared" si="906"/>
        <v>棚卸以外</v>
      </c>
      <c r="I2687" s="7">
        <v>13</v>
      </c>
      <c r="J2687" s="7" t="str">
        <f>"１号棟増築部分"</f>
        <v>１号棟増築部分</v>
      </c>
      <c r="K2687" s="7" t="str">
        <f t="shared" si="920"/>
        <v>鉄筋コンクリート造</v>
      </c>
      <c r="L2687" s="7" t="str">
        <f>"S58.10.27"</f>
        <v>S58.10.27</v>
      </c>
      <c r="M2687" s="7">
        <v>921.93</v>
      </c>
      <c r="N2687" s="7">
        <v>116050000</v>
      </c>
      <c r="O2687" s="7">
        <v>97325899</v>
      </c>
      <c r="P2687" s="7">
        <v>0</v>
      </c>
      <c r="Q2687" s="7" t="str">
        <f t="shared" si="919"/>
        <v>都市整備部</v>
      </c>
      <c r="R2687" s="7" t="str">
        <f t="shared" si="916"/>
        <v>住宅建築局住宅経営室</v>
      </c>
    </row>
    <row r="2688" spans="1:18" s="1" customFormat="1" x14ac:dyDescent="0.45">
      <c r="A2688" s="7" t="str">
        <f t="shared" si="925"/>
        <v>09940003316</v>
      </c>
      <c r="B2688" s="7" t="str">
        <f t="shared" si="926"/>
        <v>牧野北・（新）枚方牧野北</v>
      </c>
      <c r="C2688" s="7" t="str">
        <f t="shared" si="917"/>
        <v>行政財産</v>
      </c>
      <c r="D2688" s="7" t="str">
        <f t="shared" si="918"/>
        <v>公営住宅</v>
      </c>
      <c r="E2688" s="7" t="str">
        <f t="shared" si="927"/>
        <v>大阪府枚方市牧野北町</v>
      </c>
      <c r="F2688" s="7"/>
      <c r="G2688" s="7" t="str">
        <f t="shared" si="912"/>
        <v>事業用資産</v>
      </c>
      <c r="H2688" s="7" t="str">
        <f t="shared" si="906"/>
        <v>棚卸以外</v>
      </c>
      <c r="I2688" s="7">
        <v>14</v>
      </c>
      <c r="J2688" s="7" t="str">
        <f>"２号棟増築部分"</f>
        <v>２号棟増築部分</v>
      </c>
      <c r="K2688" s="7" t="str">
        <f t="shared" si="920"/>
        <v>鉄筋コンクリート造</v>
      </c>
      <c r="L2688" s="7" t="str">
        <f>"S58.10.27"</f>
        <v>S58.10.27</v>
      </c>
      <c r="M2688" s="7">
        <v>691.45</v>
      </c>
      <c r="N2688" s="7">
        <v>87771000</v>
      </c>
      <c r="O2688" s="7">
        <v>73609679</v>
      </c>
      <c r="P2688" s="7">
        <v>0</v>
      </c>
      <c r="Q2688" s="7" t="str">
        <f t="shared" si="919"/>
        <v>都市整備部</v>
      </c>
      <c r="R2688" s="7" t="str">
        <f t="shared" si="916"/>
        <v>住宅建築局住宅経営室</v>
      </c>
    </row>
    <row r="2689" spans="1:18" s="1" customFormat="1" x14ac:dyDescent="0.45">
      <c r="A2689" s="7" t="str">
        <f t="shared" si="925"/>
        <v>09940003316</v>
      </c>
      <c r="B2689" s="7" t="str">
        <f t="shared" si="926"/>
        <v>牧野北・（新）枚方牧野北</v>
      </c>
      <c r="C2689" s="7" t="str">
        <f t="shared" si="917"/>
        <v>行政財産</v>
      </c>
      <c r="D2689" s="7" t="str">
        <f t="shared" si="918"/>
        <v>公営住宅</v>
      </c>
      <c r="E2689" s="7" t="str">
        <f t="shared" si="927"/>
        <v>大阪府枚方市牧野北町</v>
      </c>
      <c r="F2689" s="7"/>
      <c r="G2689" s="7" t="str">
        <f t="shared" si="912"/>
        <v>事業用資産</v>
      </c>
      <c r="H2689" s="7" t="str">
        <f t="shared" si="906"/>
        <v>棚卸以外</v>
      </c>
      <c r="I2689" s="7">
        <v>15</v>
      </c>
      <c r="J2689" s="7" t="str">
        <f>"４号棟増築部分"</f>
        <v>４号棟増築部分</v>
      </c>
      <c r="K2689" s="7" t="str">
        <f t="shared" si="920"/>
        <v>鉄筋コンクリート造</v>
      </c>
      <c r="L2689" s="7" t="str">
        <f>"S58.10.27"</f>
        <v>S58.10.27</v>
      </c>
      <c r="M2689" s="7">
        <v>1020.52</v>
      </c>
      <c r="N2689" s="7">
        <v>134043000</v>
      </c>
      <c r="O2689" s="7">
        <v>112415545</v>
      </c>
      <c r="P2689" s="7">
        <v>0</v>
      </c>
      <c r="Q2689" s="7" t="str">
        <f t="shared" si="919"/>
        <v>都市整備部</v>
      </c>
      <c r="R2689" s="7" t="str">
        <f t="shared" si="916"/>
        <v>住宅建築局住宅経営室</v>
      </c>
    </row>
    <row r="2690" spans="1:18" s="1" customFormat="1" x14ac:dyDescent="0.45">
      <c r="A2690" s="7" t="str">
        <f t="shared" si="925"/>
        <v>09940003316</v>
      </c>
      <c r="B2690" s="7" t="str">
        <f t="shared" si="926"/>
        <v>牧野北・（新）枚方牧野北</v>
      </c>
      <c r="C2690" s="7" t="str">
        <f t="shared" si="917"/>
        <v>行政財産</v>
      </c>
      <c r="D2690" s="7" t="str">
        <f t="shared" si="918"/>
        <v>公営住宅</v>
      </c>
      <c r="E2690" s="7" t="str">
        <f t="shared" si="927"/>
        <v>大阪府枚方市牧野北町</v>
      </c>
      <c r="F2690" s="7"/>
      <c r="G2690" s="7" t="str">
        <f t="shared" si="912"/>
        <v>事業用資産</v>
      </c>
      <c r="H2690" s="7" t="str">
        <f t="shared" si="906"/>
        <v>棚卸以外</v>
      </c>
      <c r="I2690" s="7">
        <v>16</v>
      </c>
      <c r="J2690" s="7" t="str">
        <f>"７号棟増築部分"</f>
        <v>７号棟増築部分</v>
      </c>
      <c r="K2690" s="7" t="str">
        <f t="shared" si="920"/>
        <v>鉄筋コンクリート造</v>
      </c>
      <c r="L2690" s="7" t="str">
        <f>"S58.12.23"</f>
        <v>S58.12.23</v>
      </c>
      <c r="M2690" s="7">
        <v>921.38</v>
      </c>
      <c r="N2690" s="7">
        <v>115036000</v>
      </c>
      <c r="O2690" s="7">
        <v>96067515</v>
      </c>
      <c r="P2690" s="7">
        <v>0</v>
      </c>
      <c r="Q2690" s="7" t="str">
        <f t="shared" si="919"/>
        <v>都市整備部</v>
      </c>
      <c r="R2690" s="7" t="str">
        <f t="shared" si="916"/>
        <v>住宅建築局住宅経営室</v>
      </c>
    </row>
    <row r="2691" spans="1:18" s="1" customFormat="1" x14ac:dyDescent="0.45">
      <c r="A2691" s="7" t="str">
        <f t="shared" si="925"/>
        <v>09940003316</v>
      </c>
      <c r="B2691" s="7" t="str">
        <f t="shared" si="926"/>
        <v>牧野北・（新）枚方牧野北</v>
      </c>
      <c r="C2691" s="7" t="str">
        <f t="shared" si="917"/>
        <v>行政財産</v>
      </c>
      <c r="D2691" s="7" t="str">
        <f t="shared" si="918"/>
        <v>公営住宅</v>
      </c>
      <c r="E2691" s="7" t="str">
        <f t="shared" si="927"/>
        <v>大阪府枚方市牧野北町</v>
      </c>
      <c r="F2691" s="7"/>
      <c r="G2691" s="7" t="str">
        <f t="shared" si="912"/>
        <v>事業用資産</v>
      </c>
      <c r="H2691" s="7" t="str">
        <f t="shared" si="906"/>
        <v>棚卸以外</v>
      </c>
      <c r="I2691" s="7">
        <v>17</v>
      </c>
      <c r="J2691" s="7" t="str">
        <f>"８号棟増築部分"</f>
        <v>８号棟増築部分</v>
      </c>
      <c r="K2691" s="7" t="str">
        <f t="shared" si="920"/>
        <v>鉄筋コンクリート造</v>
      </c>
      <c r="L2691" s="7" t="str">
        <f>"S58.12.23"</f>
        <v>S58.12.23</v>
      </c>
      <c r="M2691" s="7">
        <v>460.96</v>
      </c>
      <c r="N2691" s="7">
        <v>58742000</v>
      </c>
      <c r="O2691" s="7">
        <v>49056063</v>
      </c>
      <c r="P2691" s="7">
        <v>0</v>
      </c>
      <c r="Q2691" s="7" t="str">
        <f t="shared" si="919"/>
        <v>都市整備部</v>
      </c>
      <c r="R2691" s="7" t="str">
        <f t="shared" si="916"/>
        <v>住宅建築局住宅経営室</v>
      </c>
    </row>
    <row r="2692" spans="1:18" s="1" customFormat="1" x14ac:dyDescent="0.45">
      <c r="A2692" s="7" t="str">
        <f t="shared" si="925"/>
        <v>09940003316</v>
      </c>
      <c r="B2692" s="7" t="str">
        <f t="shared" si="926"/>
        <v>牧野北・（新）枚方牧野北</v>
      </c>
      <c r="C2692" s="7" t="str">
        <f t="shared" si="917"/>
        <v>行政財産</v>
      </c>
      <c r="D2692" s="7" t="str">
        <f t="shared" si="918"/>
        <v>公営住宅</v>
      </c>
      <c r="E2692" s="7" t="str">
        <f t="shared" si="927"/>
        <v>大阪府枚方市牧野北町</v>
      </c>
      <c r="F2692" s="7"/>
      <c r="G2692" s="7" t="str">
        <f t="shared" si="912"/>
        <v>事業用資産</v>
      </c>
      <c r="H2692" s="7" t="str">
        <f t="shared" ref="H2692:H2755" si="928">"棚卸以外"</f>
        <v>棚卸以外</v>
      </c>
      <c r="I2692" s="7">
        <v>20</v>
      </c>
      <c r="J2692" s="7" t="str">
        <f>"３４号棟増築部分"</f>
        <v>３４号棟増築部分</v>
      </c>
      <c r="K2692" s="7" t="str">
        <f t="shared" si="920"/>
        <v>鉄筋コンクリート造</v>
      </c>
      <c r="L2692" s="7" t="str">
        <f>"S59.06.26"</f>
        <v>S59.06.26</v>
      </c>
      <c r="M2692" s="7">
        <v>1405.38</v>
      </c>
      <c r="N2692" s="7">
        <v>192467000</v>
      </c>
      <c r="O2692" s="7">
        <v>158683110</v>
      </c>
      <c r="P2692" s="7">
        <v>0</v>
      </c>
      <c r="Q2692" s="7" t="str">
        <f t="shared" si="919"/>
        <v>都市整備部</v>
      </c>
      <c r="R2692" s="7" t="str">
        <f t="shared" si="916"/>
        <v>住宅建築局住宅経営室</v>
      </c>
    </row>
    <row r="2693" spans="1:18" s="1" customFormat="1" x14ac:dyDescent="0.45">
      <c r="A2693" s="7" t="str">
        <f t="shared" si="925"/>
        <v>09940003316</v>
      </c>
      <c r="B2693" s="7" t="str">
        <f t="shared" si="926"/>
        <v>牧野北・（新）枚方牧野北</v>
      </c>
      <c r="C2693" s="7" t="str">
        <f t="shared" si="917"/>
        <v>行政財産</v>
      </c>
      <c r="D2693" s="7" t="str">
        <f t="shared" si="918"/>
        <v>公営住宅</v>
      </c>
      <c r="E2693" s="7" t="str">
        <f t="shared" si="927"/>
        <v>大阪府枚方市牧野北町</v>
      </c>
      <c r="F2693" s="7"/>
      <c r="G2693" s="7" t="str">
        <f t="shared" si="912"/>
        <v>事業用資産</v>
      </c>
      <c r="H2693" s="7" t="str">
        <f t="shared" si="928"/>
        <v>棚卸以外</v>
      </c>
      <c r="I2693" s="7">
        <v>21</v>
      </c>
      <c r="J2693" s="7" t="str">
        <f>"２７号棟増築部分"</f>
        <v>２７号棟増築部分</v>
      </c>
      <c r="K2693" s="7" t="str">
        <f t="shared" ref="K2693:K2724" si="929">"鉄筋コンクリート造"</f>
        <v>鉄筋コンクリート造</v>
      </c>
      <c r="L2693" s="7" t="str">
        <f>"S59.11.25"</f>
        <v>S59.11.25</v>
      </c>
      <c r="M2693" s="7">
        <v>232.15</v>
      </c>
      <c r="N2693" s="7">
        <v>49886000</v>
      </c>
      <c r="O2693" s="7">
        <v>40687460</v>
      </c>
      <c r="P2693" s="7">
        <v>0</v>
      </c>
      <c r="Q2693" s="7" t="str">
        <f t="shared" si="919"/>
        <v>都市整備部</v>
      </c>
      <c r="R2693" s="7" t="str">
        <f t="shared" si="916"/>
        <v>住宅建築局住宅経営室</v>
      </c>
    </row>
    <row r="2694" spans="1:18" s="1" customFormat="1" x14ac:dyDescent="0.45">
      <c r="A2694" s="7" t="str">
        <f t="shared" si="925"/>
        <v>09940003316</v>
      </c>
      <c r="B2694" s="7" t="str">
        <f t="shared" si="926"/>
        <v>牧野北・（新）枚方牧野北</v>
      </c>
      <c r="C2694" s="7" t="str">
        <f t="shared" si="917"/>
        <v>行政財産</v>
      </c>
      <c r="D2694" s="7" t="str">
        <f t="shared" si="918"/>
        <v>公営住宅</v>
      </c>
      <c r="E2694" s="7" t="str">
        <f t="shared" si="927"/>
        <v>大阪府枚方市牧野北町</v>
      </c>
      <c r="F2694" s="7"/>
      <c r="G2694" s="7" t="str">
        <f t="shared" si="912"/>
        <v>事業用資産</v>
      </c>
      <c r="H2694" s="7" t="str">
        <f t="shared" si="928"/>
        <v>棚卸以外</v>
      </c>
      <c r="I2694" s="7">
        <v>22</v>
      </c>
      <c r="J2694" s="7" t="str">
        <f>"２８号棟増築部分"</f>
        <v>２８号棟増築部分</v>
      </c>
      <c r="K2694" s="7" t="str">
        <f t="shared" si="929"/>
        <v>鉄筋コンクリート造</v>
      </c>
      <c r="L2694" s="7" t="str">
        <f>"S59.11.25"</f>
        <v>S59.11.25</v>
      </c>
      <c r="M2694" s="7">
        <v>444.62</v>
      </c>
      <c r="N2694" s="7">
        <v>81712000</v>
      </c>
      <c r="O2694" s="7">
        <v>66644800</v>
      </c>
      <c r="P2694" s="7">
        <v>0</v>
      </c>
      <c r="Q2694" s="7" t="str">
        <f t="shared" si="919"/>
        <v>都市整備部</v>
      </c>
      <c r="R2694" s="7" t="str">
        <f t="shared" si="916"/>
        <v>住宅建築局住宅経営室</v>
      </c>
    </row>
    <row r="2695" spans="1:18" s="1" customFormat="1" x14ac:dyDescent="0.45">
      <c r="A2695" s="7" t="str">
        <f t="shared" si="925"/>
        <v>09940003316</v>
      </c>
      <c r="B2695" s="7" t="str">
        <f t="shared" si="926"/>
        <v>牧野北・（新）枚方牧野北</v>
      </c>
      <c r="C2695" s="7" t="str">
        <f t="shared" si="917"/>
        <v>行政財産</v>
      </c>
      <c r="D2695" s="7" t="str">
        <f t="shared" si="918"/>
        <v>公営住宅</v>
      </c>
      <c r="E2695" s="7" t="str">
        <f t="shared" si="927"/>
        <v>大阪府枚方市牧野北町</v>
      </c>
      <c r="F2695" s="7"/>
      <c r="G2695" s="7" t="str">
        <f t="shared" si="912"/>
        <v>事業用資産</v>
      </c>
      <c r="H2695" s="7" t="str">
        <f t="shared" si="928"/>
        <v>棚卸以外</v>
      </c>
      <c r="I2695" s="7">
        <v>23</v>
      </c>
      <c r="J2695" s="7" t="str">
        <f>"３５号棟増築部分"</f>
        <v>３５号棟増築部分</v>
      </c>
      <c r="K2695" s="7" t="str">
        <f t="shared" si="929"/>
        <v>鉄筋コンクリート造</v>
      </c>
      <c r="L2695" s="7" t="str">
        <f>"S59.11.25"</f>
        <v>S59.11.25</v>
      </c>
      <c r="M2695" s="7">
        <v>232.15</v>
      </c>
      <c r="N2695" s="7">
        <v>49886000</v>
      </c>
      <c r="O2695" s="7">
        <v>40687460</v>
      </c>
      <c r="P2695" s="7">
        <v>0</v>
      </c>
      <c r="Q2695" s="7" t="str">
        <f t="shared" si="919"/>
        <v>都市整備部</v>
      </c>
      <c r="R2695" s="7" t="str">
        <f t="shared" si="916"/>
        <v>住宅建築局住宅経営室</v>
      </c>
    </row>
    <row r="2696" spans="1:18" s="1" customFormat="1" x14ac:dyDescent="0.45">
      <c r="A2696" s="7" t="str">
        <f t="shared" si="925"/>
        <v>09940003316</v>
      </c>
      <c r="B2696" s="7" t="str">
        <f t="shared" si="926"/>
        <v>牧野北・（新）枚方牧野北</v>
      </c>
      <c r="C2696" s="7" t="str">
        <f t="shared" si="917"/>
        <v>行政財産</v>
      </c>
      <c r="D2696" s="7" t="str">
        <f t="shared" si="918"/>
        <v>公営住宅</v>
      </c>
      <c r="E2696" s="7" t="str">
        <f t="shared" si="927"/>
        <v>大阪府枚方市牧野北町</v>
      </c>
      <c r="F2696" s="7"/>
      <c r="G2696" s="7" t="str">
        <f t="shared" si="912"/>
        <v>事業用資産</v>
      </c>
      <c r="H2696" s="7" t="str">
        <f t="shared" si="928"/>
        <v>棚卸以外</v>
      </c>
      <c r="I2696" s="7">
        <v>24</v>
      </c>
      <c r="J2696" s="7" t="str">
        <f>"３号棟増築部分"</f>
        <v>３号棟増築部分</v>
      </c>
      <c r="K2696" s="7" t="str">
        <f t="shared" si="929"/>
        <v>鉄筋コンクリート造</v>
      </c>
      <c r="L2696" s="7" t="str">
        <f t="shared" ref="L2696:L2701" si="930">"S60.02.27"</f>
        <v>S60.02.27</v>
      </c>
      <c r="M2696" s="7">
        <v>732.25</v>
      </c>
      <c r="N2696" s="7">
        <v>130181000</v>
      </c>
      <c r="O2696" s="7">
        <v>105483826</v>
      </c>
      <c r="P2696" s="7">
        <v>0</v>
      </c>
      <c r="Q2696" s="7" t="str">
        <f t="shared" si="919"/>
        <v>都市整備部</v>
      </c>
      <c r="R2696" s="7" t="str">
        <f t="shared" si="916"/>
        <v>住宅建築局住宅経営室</v>
      </c>
    </row>
    <row r="2697" spans="1:18" s="1" customFormat="1" x14ac:dyDescent="0.45">
      <c r="A2697" s="7" t="str">
        <f t="shared" si="925"/>
        <v>09940003316</v>
      </c>
      <c r="B2697" s="7" t="str">
        <f t="shared" si="926"/>
        <v>牧野北・（新）枚方牧野北</v>
      </c>
      <c r="C2697" s="7" t="str">
        <f t="shared" si="917"/>
        <v>行政財産</v>
      </c>
      <c r="D2697" s="7" t="str">
        <f t="shared" si="918"/>
        <v>公営住宅</v>
      </c>
      <c r="E2697" s="7" t="str">
        <f t="shared" si="927"/>
        <v>大阪府枚方市牧野北町</v>
      </c>
      <c r="F2697" s="7"/>
      <c r="G2697" s="7" t="str">
        <f t="shared" si="912"/>
        <v>事業用資産</v>
      </c>
      <c r="H2697" s="7" t="str">
        <f t="shared" si="928"/>
        <v>棚卸以外</v>
      </c>
      <c r="I2697" s="7">
        <v>25</v>
      </c>
      <c r="J2697" s="7" t="str">
        <f>"４号棟増築部分"</f>
        <v>４号棟増築部分</v>
      </c>
      <c r="K2697" s="7" t="str">
        <f t="shared" si="929"/>
        <v>鉄筋コンクリート造</v>
      </c>
      <c r="L2697" s="7" t="str">
        <f t="shared" si="930"/>
        <v>S60.02.27</v>
      </c>
      <c r="M2697" s="7">
        <v>74.099999999999994</v>
      </c>
      <c r="N2697" s="7">
        <v>14054000</v>
      </c>
      <c r="O2697" s="7">
        <v>11387983</v>
      </c>
      <c r="P2697" s="7">
        <v>0</v>
      </c>
      <c r="Q2697" s="7" t="str">
        <f t="shared" si="919"/>
        <v>都市整備部</v>
      </c>
      <c r="R2697" s="7" t="str">
        <f t="shared" si="916"/>
        <v>住宅建築局住宅経営室</v>
      </c>
    </row>
    <row r="2698" spans="1:18" s="1" customFormat="1" x14ac:dyDescent="0.45">
      <c r="A2698" s="7" t="str">
        <f t="shared" si="925"/>
        <v>09940003316</v>
      </c>
      <c r="B2698" s="7" t="str">
        <f t="shared" si="926"/>
        <v>牧野北・（新）枚方牧野北</v>
      </c>
      <c r="C2698" s="7" t="str">
        <f t="shared" si="917"/>
        <v>行政財産</v>
      </c>
      <c r="D2698" s="7" t="str">
        <f t="shared" si="918"/>
        <v>公営住宅</v>
      </c>
      <c r="E2698" s="7" t="str">
        <f t="shared" si="927"/>
        <v>大阪府枚方市牧野北町</v>
      </c>
      <c r="F2698" s="7"/>
      <c r="G2698" s="7" t="str">
        <f t="shared" si="912"/>
        <v>事業用資産</v>
      </c>
      <c r="H2698" s="7" t="str">
        <f t="shared" si="928"/>
        <v>棚卸以外</v>
      </c>
      <c r="I2698" s="7">
        <v>26</v>
      </c>
      <c r="J2698" s="7" t="str">
        <f>"５号棟増築部分"</f>
        <v>５号棟増築部分</v>
      </c>
      <c r="K2698" s="7" t="str">
        <f t="shared" si="929"/>
        <v>鉄筋コンクリート造</v>
      </c>
      <c r="L2698" s="7" t="str">
        <f t="shared" si="930"/>
        <v>S60.02.27</v>
      </c>
      <c r="M2698" s="7">
        <v>439.35</v>
      </c>
      <c r="N2698" s="7">
        <v>78401000</v>
      </c>
      <c r="O2698" s="7">
        <v>63527113</v>
      </c>
      <c r="P2698" s="7">
        <v>0</v>
      </c>
      <c r="Q2698" s="7" t="str">
        <f t="shared" si="919"/>
        <v>都市整備部</v>
      </c>
      <c r="R2698" s="7" t="str">
        <f t="shared" si="916"/>
        <v>住宅建築局住宅経営室</v>
      </c>
    </row>
    <row r="2699" spans="1:18" s="1" customFormat="1" x14ac:dyDescent="0.45">
      <c r="A2699" s="7" t="str">
        <f t="shared" si="925"/>
        <v>09940003316</v>
      </c>
      <c r="B2699" s="7" t="str">
        <f t="shared" si="926"/>
        <v>牧野北・（新）枚方牧野北</v>
      </c>
      <c r="C2699" s="7" t="str">
        <f t="shared" si="917"/>
        <v>行政財産</v>
      </c>
      <c r="D2699" s="7" t="str">
        <f t="shared" si="918"/>
        <v>公営住宅</v>
      </c>
      <c r="E2699" s="7" t="str">
        <f t="shared" si="927"/>
        <v>大阪府枚方市牧野北町</v>
      </c>
      <c r="F2699" s="7"/>
      <c r="G2699" s="7" t="str">
        <f t="shared" si="912"/>
        <v>事業用資産</v>
      </c>
      <c r="H2699" s="7" t="str">
        <f t="shared" si="928"/>
        <v>棚卸以外</v>
      </c>
      <c r="I2699" s="7">
        <v>27</v>
      </c>
      <c r="J2699" s="7" t="str">
        <f>"６号棟増築部分"</f>
        <v>６号棟増築部分</v>
      </c>
      <c r="K2699" s="7" t="str">
        <f t="shared" si="929"/>
        <v>鉄筋コンクリート造</v>
      </c>
      <c r="L2699" s="7" t="str">
        <f t="shared" si="930"/>
        <v>S60.02.27</v>
      </c>
      <c r="M2699" s="7">
        <v>689.61</v>
      </c>
      <c r="N2699" s="7">
        <v>929580000</v>
      </c>
      <c r="O2699" s="7">
        <v>753223744</v>
      </c>
      <c r="P2699" s="7">
        <v>0</v>
      </c>
      <c r="Q2699" s="7" t="str">
        <f t="shared" si="919"/>
        <v>都市整備部</v>
      </c>
      <c r="R2699" s="7" t="str">
        <f t="shared" si="916"/>
        <v>住宅建築局住宅経営室</v>
      </c>
    </row>
    <row r="2700" spans="1:18" s="1" customFormat="1" x14ac:dyDescent="0.45">
      <c r="A2700" s="7" t="str">
        <f t="shared" si="925"/>
        <v>09940003316</v>
      </c>
      <c r="B2700" s="7" t="str">
        <f t="shared" si="926"/>
        <v>牧野北・（新）枚方牧野北</v>
      </c>
      <c r="C2700" s="7" t="str">
        <f t="shared" si="917"/>
        <v>行政財産</v>
      </c>
      <c r="D2700" s="7" t="str">
        <f t="shared" si="918"/>
        <v>公営住宅</v>
      </c>
      <c r="E2700" s="7" t="str">
        <f t="shared" si="927"/>
        <v>大阪府枚方市牧野北町</v>
      </c>
      <c r="F2700" s="7"/>
      <c r="G2700" s="7" t="str">
        <f t="shared" si="912"/>
        <v>事業用資産</v>
      </c>
      <c r="H2700" s="7" t="str">
        <f t="shared" si="928"/>
        <v>棚卸以外</v>
      </c>
      <c r="I2700" s="7">
        <v>28</v>
      </c>
      <c r="J2700" s="7" t="str">
        <f>"８号棟増築部分"</f>
        <v>８号棟増築部分</v>
      </c>
      <c r="K2700" s="7" t="str">
        <f t="shared" si="929"/>
        <v>鉄筋コンクリート造</v>
      </c>
      <c r="L2700" s="7" t="str">
        <f t="shared" si="930"/>
        <v>S60.02.27</v>
      </c>
      <c r="M2700" s="7">
        <v>146.44999999999999</v>
      </c>
      <c r="N2700" s="7">
        <v>25899000</v>
      </c>
      <c r="O2700" s="7">
        <v>20985897</v>
      </c>
      <c r="P2700" s="7">
        <v>0</v>
      </c>
      <c r="Q2700" s="7" t="str">
        <f t="shared" si="919"/>
        <v>都市整備部</v>
      </c>
      <c r="R2700" s="7" t="str">
        <f t="shared" si="916"/>
        <v>住宅建築局住宅経営室</v>
      </c>
    </row>
    <row r="2701" spans="1:18" s="1" customFormat="1" x14ac:dyDescent="0.45">
      <c r="A2701" s="7" t="str">
        <f t="shared" si="925"/>
        <v>09940003316</v>
      </c>
      <c r="B2701" s="7" t="str">
        <f t="shared" si="926"/>
        <v>牧野北・（新）枚方牧野北</v>
      </c>
      <c r="C2701" s="7" t="str">
        <f t="shared" si="917"/>
        <v>行政財産</v>
      </c>
      <c r="D2701" s="7" t="str">
        <f t="shared" si="918"/>
        <v>公営住宅</v>
      </c>
      <c r="E2701" s="7" t="str">
        <f t="shared" si="927"/>
        <v>大阪府枚方市牧野北町</v>
      </c>
      <c r="F2701" s="7"/>
      <c r="G2701" s="7" t="str">
        <f t="shared" si="912"/>
        <v>事業用資産</v>
      </c>
      <c r="H2701" s="7" t="str">
        <f t="shared" si="928"/>
        <v>棚卸以外</v>
      </c>
      <c r="I2701" s="7">
        <v>29</v>
      </c>
      <c r="J2701" s="7" t="str">
        <f>"１１号棟増築部分"</f>
        <v>１１号棟増築部分</v>
      </c>
      <c r="K2701" s="7" t="str">
        <f t="shared" si="929"/>
        <v>鉄筋コンクリート造</v>
      </c>
      <c r="L2701" s="7" t="str">
        <f t="shared" si="930"/>
        <v>S60.02.27</v>
      </c>
      <c r="M2701" s="7">
        <v>74.099999999999994</v>
      </c>
      <c r="N2701" s="7">
        <v>1369000</v>
      </c>
      <c r="O2701" s="7">
        <v>1109596</v>
      </c>
      <c r="P2701" s="7">
        <v>0</v>
      </c>
      <c r="Q2701" s="7" t="str">
        <f t="shared" si="919"/>
        <v>都市整備部</v>
      </c>
      <c r="R2701" s="7" t="str">
        <f t="shared" si="916"/>
        <v>住宅建築局住宅経営室</v>
      </c>
    </row>
    <row r="2702" spans="1:18" s="1" customFormat="1" x14ac:dyDescent="0.45">
      <c r="A2702" s="7" t="str">
        <f t="shared" si="925"/>
        <v>09940003316</v>
      </c>
      <c r="B2702" s="7" t="str">
        <f t="shared" si="926"/>
        <v>牧野北・（新）枚方牧野北</v>
      </c>
      <c r="C2702" s="7" t="str">
        <f t="shared" si="917"/>
        <v>行政財産</v>
      </c>
      <c r="D2702" s="7" t="str">
        <f t="shared" si="918"/>
        <v>公営住宅</v>
      </c>
      <c r="E2702" s="7" t="str">
        <f t="shared" si="927"/>
        <v>大阪府枚方市牧野北町</v>
      </c>
      <c r="F2702" s="7"/>
      <c r="G2702" s="7" t="str">
        <f t="shared" si="912"/>
        <v>事業用資産</v>
      </c>
      <c r="H2702" s="7" t="str">
        <f t="shared" si="928"/>
        <v>棚卸以外</v>
      </c>
      <c r="I2702" s="7">
        <v>35</v>
      </c>
      <c r="J2702" s="7" t="str">
        <f>"集会所"</f>
        <v>集会所</v>
      </c>
      <c r="K2702" s="7" t="str">
        <f t="shared" si="929"/>
        <v>鉄筋コンクリート造</v>
      </c>
      <c r="L2702" s="7" t="str">
        <f>"S62.03.17"</f>
        <v>S62.03.17</v>
      </c>
      <c r="M2702" s="7">
        <v>99.61</v>
      </c>
      <c r="N2702" s="7">
        <v>18361780</v>
      </c>
      <c r="O2702" s="7">
        <v>12893534</v>
      </c>
      <c r="P2702" s="7">
        <v>0</v>
      </c>
      <c r="Q2702" s="7" t="str">
        <f t="shared" si="919"/>
        <v>都市整備部</v>
      </c>
      <c r="R2702" s="7" t="str">
        <f t="shared" si="916"/>
        <v>住宅建築局住宅経営室</v>
      </c>
    </row>
    <row r="2703" spans="1:18" s="1" customFormat="1" x14ac:dyDescent="0.45">
      <c r="A2703" s="7" t="str">
        <f t="shared" si="925"/>
        <v>09940003316</v>
      </c>
      <c r="B2703" s="7" t="str">
        <f t="shared" si="926"/>
        <v>牧野北・（新）枚方牧野北</v>
      </c>
      <c r="C2703" s="7" t="str">
        <f t="shared" si="917"/>
        <v>行政財産</v>
      </c>
      <c r="D2703" s="7" t="str">
        <f t="shared" si="918"/>
        <v>公営住宅</v>
      </c>
      <c r="E2703" s="7" t="str">
        <f t="shared" si="927"/>
        <v>大阪府枚方市牧野北町</v>
      </c>
      <c r="F2703" s="7"/>
      <c r="G2703" s="7" t="str">
        <f t="shared" si="912"/>
        <v>事業用資産</v>
      </c>
      <c r="H2703" s="7" t="str">
        <f t="shared" si="928"/>
        <v>棚卸以外</v>
      </c>
      <c r="I2703" s="7">
        <v>36</v>
      </c>
      <c r="J2703" s="7" t="str">
        <f>"２９号棟増築部分"</f>
        <v>２９号棟増築部分</v>
      </c>
      <c r="K2703" s="7" t="str">
        <f t="shared" si="929"/>
        <v>鉄筋コンクリート造</v>
      </c>
      <c r="L2703" s="7" t="str">
        <f>"S60.11.25"</f>
        <v>S60.11.25</v>
      </c>
      <c r="M2703" s="7">
        <v>1083.3800000000001</v>
      </c>
      <c r="N2703" s="7">
        <v>146214000</v>
      </c>
      <c r="O2703" s="7">
        <v>116141760</v>
      </c>
      <c r="P2703" s="7">
        <v>0</v>
      </c>
      <c r="Q2703" s="7" t="str">
        <f t="shared" si="919"/>
        <v>都市整備部</v>
      </c>
      <c r="R2703" s="7" t="str">
        <f t="shared" si="916"/>
        <v>住宅建築局住宅経営室</v>
      </c>
    </row>
    <row r="2704" spans="1:18" s="1" customFormat="1" x14ac:dyDescent="0.45">
      <c r="A2704" s="7" t="str">
        <f t="shared" si="925"/>
        <v>09940003316</v>
      </c>
      <c r="B2704" s="7" t="str">
        <f t="shared" si="926"/>
        <v>牧野北・（新）枚方牧野北</v>
      </c>
      <c r="C2704" s="7" t="str">
        <f t="shared" si="917"/>
        <v>行政財産</v>
      </c>
      <c r="D2704" s="7" t="str">
        <f t="shared" si="918"/>
        <v>公営住宅</v>
      </c>
      <c r="E2704" s="7" t="str">
        <f t="shared" si="927"/>
        <v>大阪府枚方市牧野北町</v>
      </c>
      <c r="F2704" s="7"/>
      <c r="G2704" s="7" t="str">
        <f t="shared" si="912"/>
        <v>事業用資産</v>
      </c>
      <c r="H2704" s="7" t="str">
        <f t="shared" si="928"/>
        <v>棚卸以外</v>
      </c>
      <c r="I2704" s="7">
        <v>37</v>
      </c>
      <c r="J2704" s="7" t="str">
        <f>"３２号棟増築部分"</f>
        <v>３２号棟増築部分</v>
      </c>
      <c r="K2704" s="7" t="str">
        <f t="shared" si="929"/>
        <v>鉄筋コンクリート造</v>
      </c>
      <c r="L2704" s="7" t="str">
        <f>"S60.11.25"</f>
        <v>S60.11.25</v>
      </c>
      <c r="M2704" s="7">
        <v>231.83</v>
      </c>
      <c r="N2704" s="7">
        <v>49562000</v>
      </c>
      <c r="O2704" s="7">
        <v>39368448</v>
      </c>
      <c r="P2704" s="7">
        <v>0</v>
      </c>
      <c r="Q2704" s="7" t="str">
        <f t="shared" si="919"/>
        <v>都市整備部</v>
      </c>
      <c r="R2704" s="7" t="str">
        <f t="shared" si="916"/>
        <v>住宅建築局住宅経営室</v>
      </c>
    </row>
    <row r="2705" spans="1:18" s="1" customFormat="1" x14ac:dyDescent="0.45">
      <c r="A2705" s="7" t="str">
        <f t="shared" si="925"/>
        <v>09940003316</v>
      </c>
      <c r="B2705" s="7" t="str">
        <f t="shared" si="926"/>
        <v>牧野北・（新）枚方牧野北</v>
      </c>
      <c r="C2705" s="7" t="str">
        <f t="shared" si="917"/>
        <v>行政財産</v>
      </c>
      <c r="D2705" s="7" t="str">
        <f t="shared" si="918"/>
        <v>公営住宅</v>
      </c>
      <c r="E2705" s="7" t="str">
        <f t="shared" si="927"/>
        <v>大阪府枚方市牧野北町</v>
      </c>
      <c r="F2705" s="7"/>
      <c r="G2705" s="7" t="str">
        <f t="shared" si="912"/>
        <v>事業用資産</v>
      </c>
      <c r="H2705" s="7" t="str">
        <f t="shared" si="928"/>
        <v>棚卸以外</v>
      </c>
      <c r="I2705" s="7">
        <v>38</v>
      </c>
      <c r="J2705" s="7" t="str">
        <f>"９号棟増築部分"</f>
        <v>９号棟増築部分</v>
      </c>
      <c r="K2705" s="7" t="str">
        <f t="shared" si="929"/>
        <v>鉄筋コンクリート造</v>
      </c>
      <c r="L2705" s="7" t="str">
        <f>"S60.09.26"</f>
        <v>S60.09.26</v>
      </c>
      <c r="M2705" s="7">
        <v>702.7</v>
      </c>
      <c r="N2705" s="7">
        <v>84802000</v>
      </c>
      <c r="O2705" s="7">
        <v>67661550</v>
      </c>
      <c r="P2705" s="7">
        <v>0</v>
      </c>
      <c r="Q2705" s="7" t="str">
        <f t="shared" si="919"/>
        <v>都市整備部</v>
      </c>
      <c r="R2705" s="7" t="str">
        <f t="shared" si="916"/>
        <v>住宅建築局住宅経営室</v>
      </c>
    </row>
    <row r="2706" spans="1:18" s="1" customFormat="1" x14ac:dyDescent="0.45">
      <c r="A2706" s="7" t="str">
        <f t="shared" si="925"/>
        <v>09940003316</v>
      </c>
      <c r="B2706" s="7" t="str">
        <f t="shared" si="926"/>
        <v>牧野北・（新）枚方牧野北</v>
      </c>
      <c r="C2706" s="7" t="str">
        <f t="shared" si="917"/>
        <v>行政財産</v>
      </c>
      <c r="D2706" s="7" t="str">
        <f t="shared" si="918"/>
        <v>公営住宅</v>
      </c>
      <c r="E2706" s="7" t="str">
        <f t="shared" si="927"/>
        <v>大阪府枚方市牧野北町</v>
      </c>
      <c r="F2706" s="7"/>
      <c r="G2706" s="7" t="str">
        <f t="shared" si="912"/>
        <v>事業用資産</v>
      </c>
      <c r="H2706" s="7" t="str">
        <f t="shared" si="928"/>
        <v>棚卸以外</v>
      </c>
      <c r="I2706" s="7">
        <v>40</v>
      </c>
      <c r="J2706" s="7" t="str">
        <f>"１２号棟増築部分"</f>
        <v>１２号棟増築部分</v>
      </c>
      <c r="K2706" s="7" t="str">
        <f t="shared" si="929"/>
        <v>鉄筋コンクリート造</v>
      </c>
      <c r="L2706" s="7" t="str">
        <f>"S60.09.26"</f>
        <v>S60.09.26</v>
      </c>
      <c r="M2706" s="7">
        <v>1171.1600000000001</v>
      </c>
      <c r="N2706" s="7">
        <v>141119000</v>
      </c>
      <c r="O2706" s="7">
        <v>112594950</v>
      </c>
      <c r="P2706" s="7">
        <v>0</v>
      </c>
      <c r="Q2706" s="7" t="str">
        <f t="shared" si="919"/>
        <v>都市整備部</v>
      </c>
      <c r="R2706" s="7" t="str">
        <f t="shared" si="916"/>
        <v>住宅建築局住宅経営室</v>
      </c>
    </row>
    <row r="2707" spans="1:18" s="1" customFormat="1" x14ac:dyDescent="0.45">
      <c r="A2707" s="7" t="str">
        <f t="shared" si="925"/>
        <v>09940003316</v>
      </c>
      <c r="B2707" s="7" t="str">
        <f t="shared" si="926"/>
        <v>牧野北・（新）枚方牧野北</v>
      </c>
      <c r="C2707" s="7" t="str">
        <f t="shared" si="917"/>
        <v>行政財産</v>
      </c>
      <c r="D2707" s="7" t="str">
        <f t="shared" si="918"/>
        <v>公営住宅</v>
      </c>
      <c r="E2707" s="7" t="str">
        <f t="shared" si="927"/>
        <v>大阪府枚方市牧野北町</v>
      </c>
      <c r="F2707" s="7"/>
      <c r="G2707" s="7" t="str">
        <f t="shared" si="912"/>
        <v>事業用資産</v>
      </c>
      <c r="H2707" s="7" t="str">
        <f t="shared" si="928"/>
        <v>棚卸以外</v>
      </c>
      <c r="I2707" s="7">
        <v>44</v>
      </c>
      <c r="J2707" s="7" t="str">
        <f>"３０号棟増築部分"</f>
        <v>３０号棟増築部分</v>
      </c>
      <c r="K2707" s="7" t="str">
        <f t="shared" si="929"/>
        <v>鉄筋コンクリート造</v>
      </c>
      <c r="L2707" s="7" t="str">
        <f>"S60.11.25"</f>
        <v>S60.11.25</v>
      </c>
      <c r="M2707" s="7">
        <v>347.74</v>
      </c>
      <c r="N2707" s="7">
        <v>74509000</v>
      </c>
      <c r="O2707" s="7">
        <v>59184832</v>
      </c>
      <c r="P2707" s="7">
        <v>0</v>
      </c>
      <c r="Q2707" s="7" t="str">
        <f t="shared" si="919"/>
        <v>都市整備部</v>
      </c>
      <c r="R2707" s="7" t="str">
        <f t="shared" si="916"/>
        <v>住宅建築局住宅経営室</v>
      </c>
    </row>
    <row r="2708" spans="1:18" s="1" customFormat="1" x14ac:dyDescent="0.45">
      <c r="A2708" s="7" t="str">
        <f t="shared" si="925"/>
        <v>09940003316</v>
      </c>
      <c r="B2708" s="7" t="str">
        <f t="shared" si="926"/>
        <v>牧野北・（新）枚方牧野北</v>
      </c>
      <c r="C2708" s="7" t="str">
        <f t="shared" si="917"/>
        <v>行政財産</v>
      </c>
      <c r="D2708" s="7" t="str">
        <f t="shared" si="918"/>
        <v>公営住宅</v>
      </c>
      <c r="E2708" s="7" t="str">
        <f t="shared" si="927"/>
        <v>大阪府枚方市牧野北町</v>
      </c>
      <c r="F2708" s="7"/>
      <c r="G2708" s="7" t="str">
        <f t="shared" si="912"/>
        <v>事業用資産</v>
      </c>
      <c r="H2708" s="7" t="str">
        <f t="shared" si="928"/>
        <v>棚卸以外</v>
      </c>
      <c r="I2708" s="7">
        <v>45</v>
      </c>
      <c r="J2708" s="7" t="str">
        <f>"３１号棟増築部分"</f>
        <v>３１号棟増築部分</v>
      </c>
      <c r="K2708" s="7" t="str">
        <f t="shared" si="929"/>
        <v>鉄筋コンクリート造</v>
      </c>
      <c r="L2708" s="7" t="str">
        <f>"S60.11.25"</f>
        <v>S60.11.25</v>
      </c>
      <c r="M2708" s="7">
        <v>347.74</v>
      </c>
      <c r="N2708" s="7">
        <v>74517000</v>
      </c>
      <c r="O2708" s="7">
        <v>59191104</v>
      </c>
      <c r="P2708" s="7">
        <v>0</v>
      </c>
      <c r="Q2708" s="7" t="str">
        <f t="shared" si="919"/>
        <v>都市整備部</v>
      </c>
      <c r="R2708" s="7" t="str">
        <f t="shared" si="916"/>
        <v>住宅建築局住宅経営室</v>
      </c>
    </row>
    <row r="2709" spans="1:18" s="1" customFormat="1" x14ac:dyDescent="0.45">
      <c r="A2709" s="7" t="str">
        <f t="shared" si="925"/>
        <v>09940003316</v>
      </c>
      <c r="B2709" s="7" t="str">
        <f t="shared" si="926"/>
        <v>牧野北・（新）枚方牧野北</v>
      </c>
      <c r="C2709" s="7" t="str">
        <f t="shared" si="917"/>
        <v>行政財産</v>
      </c>
      <c r="D2709" s="7" t="str">
        <f t="shared" si="918"/>
        <v>公営住宅</v>
      </c>
      <c r="E2709" s="7" t="str">
        <f t="shared" si="927"/>
        <v>大阪府枚方市牧野北町</v>
      </c>
      <c r="F2709" s="7"/>
      <c r="G2709" s="7" t="str">
        <f t="shared" si="912"/>
        <v>事業用資産</v>
      </c>
      <c r="H2709" s="7" t="str">
        <f t="shared" si="928"/>
        <v>棚卸以外</v>
      </c>
      <c r="I2709" s="7">
        <v>46</v>
      </c>
      <c r="J2709" s="7" t="str">
        <f>"３３号棟増築部分"</f>
        <v>３３号棟増築部分</v>
      </c>
      <c r="K2709" s="7" t="str">
        <f t="shared" si="929"/>
        <v>鉄筋コンクリート造</v>
      </c>
      <c r="L2709" s="7" t="str">
        <f>"S60.11.25"</f>
        <v>S60.11.25</v>
      </c>
      <c r="M2709" s="7">
        <v>585.79999999999995</v>
      </c>
      <c r="N2709" s="7">
        <v>103693000</v>
      </c>
      <c r="O2709" s="7">
        <v>82366144</v>
      </c>
      <c r="P2709" s="7">
        <v>0</v>
      </c>
      <c r="Q2709" s="7" t="str">
        <f t="shared" si="919"/>
        <v>都市整備部</v>
      </c>
      <c r="R2709" s="7" t="str">
        <f t="shared" si="916"/>
        <v>住宅建築局住宅経営室</v>
      </c>
    </row>
    <row r="2710" spans="1:18" s="1" customFormat="1" x14ac:dyDescent="0.45">
      <c r="A2710" s="7" t="str">
        <f t="shared" si="925"/>
        <v>09940003316</v>
      </c>
      <c r="B2710" s="7" t="str">
        <f t="shared" si="926"/>
        <v>牧野北・（新）枚方牧野北</v>
      </c>
      <c r="C2710" s="7" t="str">
        <f t="shared" si="917"/>
        <v>行政財産</v>
      </c>
      <c r="D2710" s="7" t="str">
        <f t="shared" si="918"/>
        <v>公営住宅</v>
      </c>
      <c r="E2710" s="7" t="str">
        <f t="shared" si="927"/>
        <v>大阪府枚方市牧野北町</v>
      </c>
      <c r="F2710" s="7"/>
      <c r="G2710" s="7" t="str">
        <f t="shared" si="912"/>
        <v>事業用資産</v>
      </c>
      <c r="H2710" s="7" t="str">
        <f t="shared" si="928"/>
        <v>棚卸以外</v>
      </c>
      <c r="I2710" s="7">
        <v>47</v>
      </c>
      <c r="J2710" s="7" t="str">
        <f>"枚方牧野北　1号棟"</f>
        <v>枚方牧野北　1号棟</v>
      </c>
      <c r="K2710" s="7" t="str">
        <f t="shared" si="929"/>
        <v>鉄筋コンクリート造</v>
      </c>
      <c r="L2710" s="7" t="str">
        <f>"H27.09.01"</f>
        <v>H27.09.01</v>
      </c>
      <c r="M2710" s="7">
        <v>12434.92</v>
      </c>
      <c r="N2710" s="7">
        <v>2417409063</v>
      </c>
      <c r="O2710" s="7">
        <v>385856748</v>
      </c>
      <c r="P2710" s="7">
        <v>0</v>
      </c>
      <c r="Q2710" s="7" t="str">
        <f t="shared" si="919"/>
        <v>都市整備部</v>
      </c>
      <c r="R2710" s="7" t="str">
        <f t="shared" si="916"/>
        <v>住宅建築局住宅経営室</v>
      </c>
    </row>
    <row r="2711" spans="1:18" s="1" customFormat="1" x14ac:dyDescent="0.45">
      <c r="A2711" s="7" t="str">
        <f t="shared" si="925"/>
        <v>09940003316</v>
      </c>
      <c r="B2711" s="7" t="str">
        <f t="shared" si="926"/>
        <v>牧野北・（新）枚方牧野北</v>
      </c>
      <c r="C2711" s="7" t="str">
        <f t="shared" si="917"/>
        <v>行政財産</v>
      </c>
      <c r="D2711" s="7" t="str">
        <f t="shared" si="918"/>
        <v>公営住宅</v>
      </c>
      <c r="E2711" s="7" t="str">
        <f t="shared" si="927"/>
        <v>大阪府枚方市牧野北町</v>
      </c>
      <c r="F2711" s="7"/>
      <c r="G2711" s="7" t="str">
        <f t="shared" ref="G2711:G2774" si="931">"事業用資産"</f>
        <v>事業用資産</v>
      </c>
      <c r="H2711" s="7" t="str">
        <f t="shared" si="928"/>
        <v>棚卸以外</v>
      </c>
      <c r="I2711" s="7">
        <v>48</v>
      </c>
      <c r="J2711" s="7" t="str">
        <f>"受水槽・ポンプ室（電気室と同一棟）"</f>
        <v>受水槽・ポンプ室（電気室と同一棟）</v>
      </c>
      <c r="K2711" s="7" t="str">
        <f t="shared" si="929"/>
        <v>鉄筋コンクリート造</v>
      </c>
      <c r="L2711" s="7" t="str">
        <f>"H27.09.01"</f>
        <v>H27.09.01</v>
      </c>
      <c r="M2711" s="7">
        <v>83.08</v>
      </c>
      <c r="N2711" s="7">
        <v>45423598</v>
      </c>
      <c r="O2711" s="7">
        <v>7248510</v>
      </c>
      <c r="P2711" s="7">
        <v>0</v>
      </c>
      <c r="Q2711" s="7" t="str">
        <f t="shared" si="919"/>
        <v>都市整備部</v>
      </c>
      <c r="R2711" s="7" t="str">
        <f t="shared" si="916"/>
        <v>住宅建築局住宅経営室</v>
      </c>
    </row>
    <row r="2712" spans="1:18" s="1" customFormat="1" x14ac:dyDescent="0.45">
      <c r="A2712" s="7" t="str">
        <f t="shared" si="925"/>
        <v>09940003316</v>
      </c>
      <c r="B2712" s="7" t="str">
        <f t="shared" si="926"/>
        <v>牧野北・（新）枚方牧野北</v>
      </c>
      <c r="C2712" s="7" t="str">
        <f t="shared" si="917"/>
        <v>行政財産</v>
      </c>
      <c r="D2712" s="7" t="str">
        <f t="shared" si="918"/>
        <v>公営住宅</v>
      </c>
      <c r="E2712" s="7" t="str">
        <f t="shared" si="927"/>
        <v>大阪府枚方市牧野北町</v>
      </c>
      <c r="F2712" s="7"/>
      <c r="G2712" s="7" t="str">
        <f t="shared" si="931"/>
        <v>事業用資産</v>
      </c>
      <c r="H2712" s="7" t="str">
        <f t="shared" si="928"/>
        <v>棚卸以外</v>
      </c>
      <c r="I2712" s="7">
        <v>49</v>
      </c>
      <c r="J2712" s="7" t="str">
        <f>"集会所"</f>
        <v>集会所</v>
      </c>
      <c r="K2712" s="7" t="str">
        <f t="shared" si="929"/>
        <v>鉄筋コンクリート造</v>
      </c>
      <c r="L2712" s="7" t="str">
        <f>"H29.03.24"</f>
        <v>H29.03.24</v>
      </c>
      <c r="M2712" s="7">
        <v>314.39999999999998</v>
      </c>
      <c r="N2712" s="7">
        <v>98283884</v>
      </c>
      <c r="O2712" s="7">
        <v>12496856</v>
      </c>
      <c r="P2712" s="7">
        <v>0</v>
      </c>
      <c r="Q2712" s="7" t="str">
        <f t="shared" si="919"/>
        <v>都市整備部</v>
      </c>
      <c r="R2712" s="7" t="str">
        <f t="shared" ref="R2712:R2775" si="932">"住宅建築局住宅経営室"</f>
        <v>住宅建築局住宅経営室</v>
      </c>
    </row>
    <row r="2713" spans="1:18" s="1" customFormat="1" x14ac:dyDescent="0.45">
      <c r="A2713" s="7" t="str">
        <f t="shared" si="925"/>
        <v>09940003316</v>
      </c>
      <c r="B2713" s="7" t="str">
        <f t="shared" si="926"/>
        <v>牧野北・（新）枚方牧野北</v>
      </c>
      <c r="C2713" s="7" t="str">
        <f t="shared" si="917"/>
        <v>行政財産</v>
      </c>
      <c r="D2713" s="7" t="str">
        <f t="shared" si="918"/>
        <v>公営住宅</v>
      </c>
      <c r="E2713" s="7" t="str">
        <f t="shared" si="927"/>
        <v>大阪府枚方市牧野北町</v>
      </c>
      <c r="F2713" s="7"/>
      <c r="G2713" s="7" t="str">
        <f t="shared" si="931"/>
        <v>事業用資産</v>
      </c>
      <c r="H2713" s="7" t="str">
        <f t="shared" si="928"/>
        <v>棚卸以外</v>
      </c>
      <c r="I2713" s="7">
        <v>50</v>
      </c>
      <c r="J2713" s="7" t="str">
        <f>"２号棟"</f>
        <v>２号棟</v>
      </c>
      <c r="K2713" s="7" t="str">
        <f t="shared" si="929"/>
        <v>鉄筋コンクリート造</v>
      </c>
      <c r="L2713" s="7" t="str">
        <f>"H30.11.01"</f>
        <v>H30.11.01</v>
      </c>
      <c r="M2713" s="7">
        <v>11618.7</v>
      </c>
      <c r="N2713" s="7">
        <v>2266359647</v>
      </c>
      <c r="O2713" s="7">
        <v>208955188</v>
      </c>
      <c r="P2713" s="7">
        <v>0</v>
      </c>
      <c r="Q2713" s="7" t="str">
        <f t="shared" si="919"/>
        <v>都市整備部</v>
      </c>
      <c r="R2713" s="7" t="str">
        <f t="shared" si="932"/>
        <v>住宅建築局住宅経営室</v>
      </c>
    </row>
    <row r="2714" spans="1:18" s="1" customFormat="1" x14ac:dyDescent="0.45">
      <c r="A2714" s="7" t="str">
        <f t="shared" si="925"/>
        <v>09940003316</v>
      </c>
      <c r="B2714" s="7" t="str">
        <f t="shared" si="926"/>
        <v>牧野北・（新）枚方牧野北</v>
      </c>
      <c r="C2714" s="7" t="str">
        <f t="shared" ref="C2714:C2777" si="933">"行政財産"</f>
        <v>行政財産</v>
      </c>
      <c r="D2714" s="7" t="str">
        <f t="shared" ref="D2714:D2777" si="934">"公営住宅"</f>
        <v>公営住宅</v>
      </c>
      <c r="E2714" s="7" t="str">
        <f t="shared" si="927"/>
        <v>大阪府枚方市牧野北町</v>
      </c>
      <c r="F2714" s="7"/>
      <c r="G2714" s="7" t="str">
        <f t="shared" si="931"/>
        <v>事業用資産</v>
      </c>
      <c r="H2714" s="7" t="str">
        <f t="shared" si="928"/>
        <v>棚卸以外</v>
      </c>
      <c r="I2714" s="7">
        <v>51</v>
      </c>
      <c r="J2714" s="7" t="str">
        <f>"設備棟A(受水槽・ポンプ室・電気室)"</f>
        <v>設備棟A(受水槽・ポンプ室・電気室)</v>
      </c>
      <c r="K2714" s="7" t="str">
        <f t="shared" si="929"/>
        <v>鉄筋コンクリート造</v>
      </c>
      <c r="L2714" s="7" t="str">
        <f>"H30.11.01"</f>
        <v>H30.11.01</v>
      </c>
      <c r="M2714" s="7">
        <v>87.1</v>
      </c>
      <c r="N2714" s="7">
        <v>50633924</v>
      </c>
      <c r="O2714" s="7">
        <v>4668404</v>
      </c>
      <c r="P2714" s="7">
        <v>0</v>
      </c>
      <c r="Q2714" s="7" t="str">
        <f t="shared" si="919"/>
        <v>都市整備部</v>
      </c>
      <c r="R2714" s="7" t="str">
        <f t="shared" si="932"/>
        <v>住宅建築局住宅経営室</v>
      </c>
    </row>
    <row r="2715" spans="1:18" s="1" customFormat="1" x14ac:dyDescent="0.45">
      <c r="A2715" s="7" t="str">
        <f t="shared" si="925"/>
        <v>09940003316</v>
      </c>
      <c r="B2715" s="7" t="str">
        <f t="shared" si="926"/>
        <v>牧野北・（新）枚方牧野北</v>
      </c>
      <c r="C2715" s="7" t="str">
        <f t="shared" si="933"/>
        <v>行政財産</v>
      </c>
      <c r="D2715" s="7" t="str">
        <f t="shared" si="934"/>
        <v>公営住宅</v>
      </c>
      <c r="E2715" s="7" t="str">
        <f t="shared" si="927"/>
        <v>大阪府枚方市牧野北町</v>
      </c>
      <c r="F2715" s="7"/>
      <c r="G2715" s="7" t="str">
        <f t="shared" si="931"/>
        <v>事業用資産</v>
      </c>
      <c r="H2715" s="7" t="str">
        <f t="shared" si="928"/>
        <v>棚卸以外</v>
      </c>
      <c r="I2715" s="7">
        <v>52</v>
      </c>
      <c r="J2715" s="7" t="str">
        <f>"設備棟B(受水槽・ポンプ室)"</f>
        <v>設備棟B(受水槽・ポンプ室)</v>
      </c>
      <c r="K2715" s="7" t="str">
        <f t="shared" si="929"/>
        <v>鉄筋コンクリート造</v>
      </c>
      <c r="L2715" s="7" t="str">
        <f>"H30.11.01"</f>
        <v>H30.11.01</v>
      </c>
      <c r="M2715" s="7">
        <v>35</v>
      </c>
      <c r="N2715" s="7">
        <v>54726226</v>
      </c>
      <c r="O2715" s="7">
        <v>5045716</v>
      </c>
      <c r="P2715" s="7">
        <v>0</v>
      </c>
      <c r="Q2715" s="7" t="str">
        <f t="shared" ref="Q2715:Q2778" si="935">"都市整備部"</f>
        <v>都市整備部</v>
      </c>
      <c r="R2715" s="7" t="str">
        <f t="shared" si="932"/>
        <v>住宅建築局住宅経営室</v>
      </c>
    </row>
    <row r="2716" spans="1:18" s="1" customFormat="1" x14ac:dyDescent="0.45">
      <c r="A2716" s="7" t="str">
        <f t="shared" ref="A2716:A2721" si="936">"09940003317"</f>
        <v>09940003317</v>
      </c>
      <c r="B2716" s="7" t="str">
        <f t="shared" ref="B2716:B2721" si="937">"枚方招提"</f>
        <v>枚方招提</v>
      </c>
      <c r="C2716" s="7" t="str">
        <f t="shared" si="933"/>
        <v>行政財産</v>
      </c>
      <c r="D2716" s="7" t="str">
        <f t="shared" si="934"/>
        <v>公営住宅</v>
      </c>
      <c r="E2716" s="7" t="str">
        <f t="shared" ref="E2716:E2721" si="938">"大阪府枚方市招提南町３丁目"</f>
        <v>大阪府枚方市招提南町３丁目</v>
      </c>
      <c r="F2716" s="7"/>
      <c r="G2716" s="7" t="str">
        <f t="shared" si="931"/>
        <v>事業用資産</v>
      </c>
      <c r="H2716" s="7" t="str">
        <f t="shared" si="928"/>
        <v>棚卸以外</v>
      </c>
      <c r="I2716" s="7">
        <v>1</v>
      </c>
      <c r="J2716" s="7" t="str">
        <f>"１～７・９～１５・１８号棟"</f>
        <v>１～７・９～１５・１８号棟</v>
      </c>
      <c r="K2716" s="7" t="str">
        <f t="shared" si="929"/>
        <v>鉄筋コンクリート造</v>
      </c>
      <c r="L2716" s="7" t="str">
        <f>"S48.01.26"</f>
        <v>S48.01.26</v>
      </c>
      <c r="M2716" s="7">
        <v>43789.9</v>
      </c>
      <c r="N2716" s="7">
        <v>2574177277</v>
      </c>
      <c r="O2716" s="7">
        <v>2026825656</v>
      </c>
      <c r="P2716" s="7">
        <v>0</v>
      </c>
      <c r="Q2716" s="7" t="str">
        <f t="shared" si="935"/>
        <v>都市整備部</v>
      </c>
      <c r="R2716" s="7" t="str">
        <f t="shared" si="932"/>
        <v>住宅建築局住宅経営室</v>
      </c>
    </row>
    <row r="2717" spans="1:18" s="1" customFormat="1" x14ac:dyDescent="0.45">
      <c r="A2717" s="7" t="str">
        <f t="shared" si="936"/>
        <v>09940003317</v>
      </c>
      <c r="B2717" s="7" t="str">
        <f t="shared" si="937"/>
        <v>枚方招提</v>
      </c>
      <c r="C2717" s="7" t="str">
        <f t="shared" si="933"/>
        <v>行政財産</v>
      </c>
      <c r="D2717" s="7" t="str">
        <f t="shared" si="934"/>
        <v>公営住宅</v>
      </c>
      <c r="E2717" s="7" t="str">
        <f t="shared" si="938"/>
        <v>大阪府枚方市招提南町３丁目</v>
      </c>
      <c r="F2717" s="7"/>
      <c r="G2717" s="7" t="str">
        <f t="shared" si="931"/>
        <v>事業用資産</v>
      </c>
      <c r="H2717" s="7" t="str">
        <f t="shared" si="928"/>
        <v>棚卸以外</v>
      </c>
      <c r="I2717" s="7">
        <v>2</v>
      </c>
      <c r="J2717" s="7" t="str">
        <f>"１６・１７号棟"</f>
        <v>１６・１７号棟</v>
      </c>
      <c r="K2717" s="7" t="str">
        <f t="shared" si="929"/>
        <v>鉄筋コンクリート造</v>
      </c>
      <c r="L2717" s="7" t="str">
        <f>"S48.01.26"</f>
        <v>S48.01.26</v>
      </c>
      <c r="M2717" s="7">
        <v>2988.84</v>
      </c>
      <c r="N2717" s="7">
        <v>201136687</v>
      </c>
      <c r="O2717" s="7">
        <v>173892000</v>
      </c>
      <c r="P2717" s="7">
        <v>0</v>
      </c>
      <c r="Q2717" s="7" t="str">
        <f t="shared" si="935"/>
        <v>都市整備部</v>
      </c>
      <c r="R2717" s="7" t="str">
        <f t="shared" si="932"/>
        <v>住宅建築局住宅経営室</v>
      </c>
    </row>
    <row r="2718" spans="1:18" s="1" customFormat="1" x14ac:dyDescent="0.45">
      <c r="A2718" s="7" t="str">
        <f t="shared" si="936"/>
        <v>09940003317</v>
      </c>
      <c r="B2718" s="7" t="str">
        <f t="shared" si="937"/>
        <v>枚方招提</v>
      </c>
      <c r="C2718" s="7" t="str">
        <f t="shared" si="933"/>
        <v>行政財産</v>
      </c>
      <c r="D2718" s="7" t="str">
        <f t="shared" si="934"/>
        <v>公営住宅</v>
      </c>
      <c r="E2718" s="7" t="str">
        <f t="shared" si="938"/>
        <v>大阪府枚方市招提南町３丁目</v>
      </c>
      <c r="F2718" s="7"/>
      <c r="G2718" s="7" t="str">
        <f t="shared" si="931"/>
        <v>事業用資産</v>
      </c>
      <c r="H2718" s="7" t="str">
        <f t="shared" si="928"/>
        <v>棚卸以外</v>
      </c>
      <c r="I2718" s="7">
        <v>3</v>
      </c>
      <c r="J2718" s="7" t="str">
        <f>"集会所"</f>
        <v>集会所</v>
      </c>
      <c r="K2718" s="7" t="str">
        <f t="shared" si="929"/>
        <v>鉄筋コンクリート造</v>
      </c>
      <c r="L2718" s="7" t="str">
        <f>"S48.01.26"</f>
        <v>S48.01.26</v>
      </c>
      <c r="M2718" s="7">
        <v>225.11</v>
      </c>
      <c r="N2718" s="7">
        <v>10415368</v>
      </c>
      <c r="O2718" s="7">
        <v>10415367</v>
      </c>
      <c r="P2718" s="7">
        <v>0</v>
      </c>
      <c r="Q2718" s="7" t="str">
        <f t="shared" si="935"/>
        <v>都市整備部</v>
      </c>
      <c r="R2718" s="7" t="str">
        <f t="shared" si="932"/>
        <v>住宅建築局住宅経営室</v>
      </c>
    </row>
    <row r="2719" spans="1:18" s="1" customFormat="1" x14ac:dyDescent="0.45">
      <c r="A2719" s="7" t="str">
        <f t="shared" si="936"/>
        <v>09940003317</v>
      </c>
      <c r="B2719" s="7" t="str">
        <f t="shared" si="937"/>
        <v>枚方招提</v>
      </c>
      <c r="C2719" s="7" t="str">
        <f t="shared" si="933"/>
        <v>行政財産</v>
      </c>
      <c r="D2719" s="7" t="str">
        <f t="shared" si="934"/>
        <v>公営住宅</v>
      </c>
      <c r="E2719" s="7" t="str">
        <f t="shared" si="938"/>
        <v>大阪府枚方市招提南町３丁目</v>
      </c>
      <c r="F2719" s="7"/>
      <c r="G2719" s="7" t="str">
        <f t="shared" si="931"/>
        <v>事業用資産</v>
      </c>
      <c r="H2719" s="7" t="str">
        <f t="shared" si="928"/>
        <v>棚卸以外</v>
      </c>
      <c r="I2719" s="7">
        <v>4</v>
      </c>
      <c r="J2719" s="7" t="str">
        <f>"２５号棟"</f>
        <v>２５号棟</v>
      </c>
      <c r="K2719" s="7" t="str">
        <f t="shared" si="929"/>
        <v>鉄筋コンクリート造</v>
      </c>
      <c r="L2719" s="7" t="str">
        <f>"S58.03.10"</f>
        <v>S58.03.10</v>
      </c>
      <c r="M2719" s="7">
        <v>1230.3</v>
      </c>
      <c r="N2719" s="7">
        <v>138370000</v>
      </c>
      <c r="O2719" s="7">
        <v>117761760</v>
      </c>
      <c r="P2719" s="7">
        <v>0</v>
      </c>
      <c r="Q2719" s="7" t="str">
        <f t="shared" si="935"/>
        <v>都市整備部</v>
      </c>
      <c r="R2719" s="7" t="str">
        <f t="shared" si="932"/>
        <v>住宅建築局住宅経営室</v>
      </c>
    </row>
    <row r="2720" spans="1:18" s="1" customFormat="1" x14ac:dyDescent="0.45">
      <c r="A2720" s="7" t="str">
        <f t="shared" si="936"/>
        <v>09940003317</v>
      </c>
      <c r="B2720" s="7" t="str">
        <f t="shared" si="937"/>
        <v>枚方招提</v>
      </c>
      <c r="C2720" s="7" t="str">
        <f t="shared" si="933"/>
        <v>行政財産</v>
      </c>
      <c r="D2720" s="7" t="str">
        <f t="shared" si="934"/>
        <v>公営住宅</v>
      </c>
      <c r="E2720" s="7" t="str">
        <f t="shared" si="938"/>
        <v>大阪府枚方市招提南町３丁目</v>
      </c>
      <c r="F2720" s="7"/>
      <c r="G2720" s="7" t="str">
        <f t="shared" si="931"/>
        <v>事業用資産</v>
      </c>
      <c r="H2720" s="7" t="str">
        <f t="shared" si="928"/>
        <v>棚卸以外</v>
      </c>
      <c r="I2720" s="7">
        <v>5</v>
      </c>
      <c r="J2720" s="7" t="str">
        <f>"集会所増築"</f>
        <v>集会所増築</v>
      </c>
      <c r="K2720" s="7" t="str">
        <f t="shared" si="929"/>
        <v>鉄筋コンクリート造</v>
      </c>
      <c r="L2720" s="7" t="str">
        <f>"S63.03.28"</f>
        <v>S63.03.28</v>
      </c>
      <c r="M2720" s="7">
        <v>33.17</v>
      </c>
      <c r="N2720" s="7">
        <v>7500000</v>
      </c>
      <c r="O2720" s="7">
        <v>5585160</v>
      </c>
      <c r="P2720" s="7">
        <v>0</v>
      </c>
      <c r="Q2720" s="7" t="str">
        <f t="shared" si="935"/>
        <v>都市整備部</v>
      </c>
      <c r="R2720" s="7" t="str">
        <f t="shared" si="932"/>
        <v>住宅建築局住宅経営室</v>
      </c>
    </row>
    <row r="2721" spans="1:18" s="1" customFormat="1" x14ac:dyDescent="0.45">
      <c r="A2721" s="7" t="str">
        <f t="shared" si="936"/>
        <v>09940003317</v>
      </c>
      <c r="B2721" s="7" t="str">
        <f t="shared" si="937"/>
        <v>枚方招提</v>
      </c>
      <c r="C2721" s="7" t="str">
        <f t="shared" si="933"/>
        <v>行政財産</v>
      </c>
      <c r="D2721" s="7" t="str">
        <f t="shared" si="934"/>
        <v>公営住宅</v>
      </c>
      <c r="E2721" s="7" t="str">
        <f t="shared" si="938"/>
        <v>大阪府枚方市招提南町３丁目</v>
      </c>
      <c r="F2721" s="7"/>
      <c r="G2721" s="7" t="str">
        <f t="shared" si="931"/>
        <v>事業用資産</v>
      </c>
      <c r="H2721" s="7" t="str">
        <f t="shared" si="928"/>
        <v>棚卸以外</v>
      </c>
      <c r="I2721" s="7">
        <v>6</v>
      </c>
      <c r="J2721" s="7" t="str">
        <f>"２０～２４棟"</f>
        <v>２０～２４棟</v>
      </c>
      <c r="K2721" s="7" t="str">
        <f t="shared" si="929"/>
        <v>鉄筋コンクリート造</v>
      </c>
      <c r="L2721" s="7" t="str">
        <f>"S48.07.06"</f>
        <v>S48.07.06</v>
      </c>
      <c r="M2721" s="7">
        <v>7996.52</v>
      </c>
      <c r="N2721" s="7">
        <v>392007000</v>
      </c>
      <c r="O2721" s="7">
        <v>355373155</v>
      </c>
      <c r="P2721" s="7">
        <v>0</v>
      </c>
      <c r="Q2721" s="7" t="str">
        <f t="shared" si="935"/>
        <v>都市整備部</v>
      </c>
      <c r="R2721" s="7" t="str">
        <f t="shared" si="932"/>
        <v>住宅建築局住宅経営室</v>
      </c>
    </row>
    <row r="2722" spans="1:18" s="1" customFormat="1" x14ac:dyDescent="0.45">
      <c r="A2722" s="7" t="str">
        <f>"09940003318"</f>
        <v>09940003318</v>
      </c>
      <c r="B2722" s="7" t="str">
        <f>"忠岡東第２"</f>
        <v>忠岡東第２</v>
      </c>
      <c r="C2722" s="7" t="str">
        <f t="shared" si="933"/>
        <v>行政財産</v>
      </c>
      <c r="D2722" s="7" t="str">
        <f t="shared" si="934"/>
        <v>公営住宅</v>
      </c>
      <c r="E2722" s="7" t="str">
        <f>"大阪府泉北郡　忠岡町忠岡東１丁目"</f>
        <v>大阪府泉北郡　忠岡町忠岡東１丁目</v>
      </c>
      <c r="F2722" s="7"/>
      <c r="G2722" s="7" t="str">
        <f t="shared" si="931"/>
        <v>事業用資産</v>
      </c>
      <c r="H2722" s="7" t="str">
        <f t="shared" si="928"/>
        <v>棚卸以外</v>
      </c>
      <c r="I2722" s="7">
        <v>1</v>
      </c>
      <c r="J2722" s="7" t="str">
        <f>"１号棟"</f>
        <v>１号棟</v>
      </c>
      <c r="K2722" s="7" t="str">
        <f t="shared" si="929"/>
        <v>鉄筋コンクリート造</v>
      </c>
      <c r="L2722" s="7" t="str">
        <f>"H13.03.23"</f>
        <v>H13.03.23</v>
      </c>
      <c r="M2722" s="7">
        <v>3658.02</v>
      </c>
      <c r="N2722" s="7">
        <v>574026223</v>
      </c>
      <c r="O2722" s="7">
        <v>257042318</v>
      </c>
      <c r="P2722" s="7">
        <v>0</v>
      </c>
      <c r="Q2722" s="7" t="str">
        <f t="shared" si="935"/>
        <v>都市整備部</v>
      </c>
      <c r="R2722" s="7" t="str">
        <f t="shared" si="932"/>
        <v>住宅建築局住宅経営室</v>
      </c>
    </row>
    <row r="2723" spans="1:18" s="1" customFormat="1" x14ac:dyDescent="0.45">
      <c r="A2723" s="7" t="str">
        <f>"09940003318"</f>
        <v>09940003318</v>
      </c>
      <c r="B2723" s="7" t="str">
        <f>"忠岡東第２"</f>
        <v>忠岡東第２</v>
      </c>
      <c r="C2723" s="7" t="str">
        <f t="shared" si="933"/>
        <v>行政財産</v>
      </c>
      <c r="D2723" s="7" t="str">
        <f t="shared" si="934"/>
        <v>公営住宅</v>
      </c>
      <c r="E2723" s="7" t="str">
        <f>"大阪府泉北郡　忠岡町忠岡東１丁目"</f>
        <v>大阪府泉北郡　忠岡町忠岡東１丁目</v>
      </c>
      <c r="F2723" s="7"/>
      <c r="G2723" s="7" t="str">
        <f t="shared" si="931"/>
        <v>事業用資産</v>
      </c>
      <c r="H2723" s="7" t="str">
        <f t="shared" si="928"/>
        <v>棚卸以外</v>
      </c>
      <c r="I2723" s="7">
        <v>2</v>
      </c>
      <c r="J2723" s="7" t="str">
        <f>"受水槽ポンプ室・電気室"</f>
        <v>受水槽ポンプ室・電気室</v>
      </c>
      <c r="K2723" s="7" t="str">
        <f t="shared" si="929"/>
        <v>鉄筋コンクリート造</v>
      </c>
      <c r="L2723" s="7" t="str">
        <f>"H13.03.23"</f>
        <v>H13.03.23</v>
      </c>
      <c r="M2723" s="7">
        <v>42.15</v>
      </c>
      <c r="N2723" s="7">
        <v>16425000</v>
      </c>
      <c r="O2723" s="7">
        <v>7338996</v>
      </c>
      <c r="P2723" s="7">
        <v>0</v>
      </c>
      <c r="Q2723" s="7" t="str">
        <f t="shared" si="935"/>
        <v>都市整備部</v>
      </c>
      <c r="R2723" s="7" t="str">
        <f t="shared" si="932"/>
        <v>住宅建築局住宅経営室</v>
      </c>
    </row>
    <row r="2724" spans="1:18" s="1" customFormat="1" x14ac:dyDescent="0.45">
      <c r="A2724" s="7" t="str">
        <f>"09940003318"</f>
        <v>09940003318</v>
      </c>
      <c r="B2724" s="7" t="str">
        <f>"忠岡東第２"</f>
        <v>忠岡東第２</v>
      </c>
      <c r="C2724" s="7" t="str">
        <f t="shared" si="933"/>
        <v>行政財産</v>
      </c>
      <c r="D2724" s="7" t="str">
        <f t="shared" si="934"/>
        <v>公営住宅</v>
      </c>
      <c r="E2724" s="7" t="str">
        <f>"大阪府泉北郡　忠岡町忠岡東１丁目"</f>
        <v>大阪府泉北郡　忠岡町忠岡東１丁目</v>
      </c>
      <c r="F2724" s="7"/>
      <c r="G2724" s="7" t="str">
        <f t="shared" si="931"/>
        <v>事業用資産</v>
      </c>
      <c r="H2724" s="7" t="str">
        <f t="shared" si="928"/>
        <v>棚卸以外</v>
      </c>
      <c r="I2724" s="7">
        <v>3</v>
      </c>
      <c r="J2724" s="7" t="str">
        <f>"集会所"</f>
        <v>集会所</v>
      </c>
      <c r="K2724" s="7" t="str">
        <f t="shared" si="929"/>
        <v>鉄筋コンクリート造</v>
      </c>
      <c r="L2724" s="7" t="str">
        <f>"H13.03.23"</f>
        <v>H13.03.23</v>
      </c>
      <c r="M2724" s="7">
        <v>69.86</v>
      </c>
      <c r="N2724" s="7">
        <v>19463000</v>
      </c>
      <c r="O2724" s="7">
        <v>8696268</v>
      </c>
      <c r="P2724" s="7">
        <v>0</v>
      </c>
      <c r="Q2724" s="7" t="str">
        <f t="shared" si="935"/>
        <v>都市整備部</v>
      </c>
      <c r="R2724" s="7" t="str">
        <f t="shared" si="932"/>
        <v>住宅建築局住宅経営室</v>
      </c>
    </row>
    <row r="2725" spans="1:18" s="1" customFormat="1" x14ac:dyDescent="0.45">
      <c r="A2725" s="7" t="str">
        <f>"09940003319"</f>
        <v>09940003319</v>
      </c>
      <c r="B2725" s="7" t="str">
        <f>"枚方片鉾"</f>
        <v>枚方片鉾</v>
      </c>
      <c r="C2725" s="7" t="str">
        <f t="shared" si="933"/>
        <v>行政財産</v>
      </c>
      <c r="D2725" s="7" t="str">
        <f t="shared" si="934"/>
        <v>公営住宅</v>
      </c>
      <c r="E2725" s="7" t="str">
        <f>"大阪府枚方市片鉾東町"</f>
        <v>大阪府枚方市片鉾東町</v>
      </c>
      <c r="F2725" s="7"/>
      <c r="G2725" s="7" t="str">
        <f t="shared" si="931"/>
        <v>事業用資産</v>
      </c>
      <c r="H2725" s="7" t="str">
        <f t="shared" si="928"/>
        <v>棚卸以外</v>
      </c>
      <c r="I2725" s="7">
        <v>1</v>
      </c>
      <c r="J2725" s="7" t="str">
        <f>"１号棟"</f>
        <v>１号棟</v>
      </c>
      <c r="K2725" s="7" t="str">
        <f t="shared" ref="K2725:K2743" si="939">"鉄筋コンクリート造"</f>
        <v>鉄筋コンクリート造</v>
      </c>
      <c r="L2725" s="7" t="str">
        <f>"H03.08.29"</f>
        <v>H03.08.29</v>
      </c>
      <c r="M2725" s="7">
        <v>3140.4</v>
      </c>
      <c r="N2725" s="7">
        <v>454442000</v>
      </c>
      <c r="O2725" s="7">
        <v>305378871</v>
      </c>
      <c r="P2725" s="7">
        <v>0</v>
      </c>
      <c r="Q2725" s="7" t="str">
        <f t="shared" si="935"/>
        <v>都市整備部</v>
      </c>
      <c r="R2725" s="7" t="str">
        <f t="shared" si="932"/>
        <v>住宅建築局住宅経営室</v>
      </c>
    </row>
    <row r="2726" spans="1:18" s="1" customFormat="1" x14ac:dyDescent="0.45">
      <c r="A2726" s="7" t="str">
        <f>"09940003319"</f>
        <v>09940003319</v>
      </c>
      <c r="B2726" s="7" t="str">
        <f>"枚方片鉾"</f>
        <v>枚方片鉾</v>
      </c>
      <c r="C2726" s="7" t="str">
        <f t="shared" si="933"/>
        <v>行政財産</v>
      </c>
      <c r="D2726" s="7" t="str">
        <f t="shared" si="934"/>
        <v>公営住宅</v>
      </c>
      <c r="E2726" s="7" t="str">
        <f>"大阪府枚方市片鉾東町"</f>
        <v>大阪府枚方市片鉾東町</v>
      </c>
      <c r="F2726" s="7"/>
      <c r="G2726" s="7" t="str">
        <f t="shared" si="931"/>
        <v>事業用資産</v>
      </c>
      <c r="H2726" s="7" t="str">
        <f t="shared" si="928"/>
        <v>棚卸以外</v>
      </c>
      <c r="I2726" s="7">
        <v>2</v>
      </c>
      <c r="J2726" s="7" t="str">
        <f>"２号棟"</f>
        <v>２号棟</v>
      </c>
      <c r="K2726" s="7" t="str">
        <f t="shared" si="939"/>
        <v>鉄筋コンクリート造</v>
      </c>
      <c r="L2726" s="7" t="str">
        <f>"H03.08.29"</f>
        <v>H03.08.29</v>
      </c>
      <c r="M2726" s="7">
        <v>4666.29</v>
      </c>
      <c r="N2726" s="7">
        <v>656988000</v>
      </c>
      <c r="O2726" s="7">
        <v>441486867</v>
      </c>
      <c r="P2726" s="7">
        <v>0</v>
      </c>
      <c r="Q2726" s="7" t="str">
        <f t="shared" si="935"/>
        <v>都市整備部</v>
      </c>
      <c r="R2726" s="7" t="str">
        <f t="shared" si="932"/>
        <v>住宅建築局住宅経営室</v>
      </c>
    </row>
    <row r="2727" spans="1:18" s="1" customFormat="1" x14ac:dyDescent="0.45">
      <c r="A2727" s="7" t="str">
        <f>"09940003319"</f>
        <v>09940003319</v>
      </c>
      <c r="B2727" s="7" t="str">
        <f>"枚方片鉾"</f>
        <v>枚方片鉾</v>
      </c>
      <c r="C2727" s="7" t="str">
        <f t="shared" si="933"/>
        <v>行政財産</v>
      </c>
      <c r="D2727" s="7" t="str">
        <f t="shared" si="934"/>
        <v>公営住宅</v>
      </c>
      <c r="E2727" s="7" t="str">
        <f>"大阪府枚方市片鉾東町"</f>
        <v>大阪府枚方市片鉾東町</v>
      </c>
      <c r="F2727" s="7"/>
      <c r="G2727" s="7" t="str">
        <f t="shared" si="931"/>
        <v>事業用資産</v>
      </c>
      <c r="H2727" s="7" t="str">
        <f t="shared" si="928"/>
        <v>棚卸以外</v>
      </c>
      <c r="I2727" s="7">
        <v>3</v>
      </c>
      <c r="J2727" s="7" t="str">
        <f>"集会所"</f>
        <v>集会所</v>
      </c>
      <c r="K2727" s="7" t="str">
        <f t="shared" si="939"/>
        <v>鉄筋コンクリート造</v>
      </c>
      <c r="L2727" s="7" t="str">
        <f>"H03.08.29"</f>
        <v>H03.08.29</v>
      </c>
      <c r="M2727" s="7">
        <v>88.53</v>
      </c>
      <c r="N2727" s="7">
        <v>17302000</v>
      </c>
      <c r="O2727" s="7">
        <v>11626962</v>
      </c>
      <c r="P2727" s="7">
        <v>0</v>
      </c>
      <c r="Q2727" s="7" t="str">
        <f t="shared" si="935"/>
        <v>都市整備部</v>
      </c>
      <c r="R2727" s="7" t="str">
        <f t="shared" si="932"/>
        <v>住宅建築局住宅経営室</v>
      </c>
    </row>
    <row r="2728" spans="1:18" s="1" customFormat="1" x14ac:dyDescent="0.45">
      <c r="A2728" s="7" t="str">
        <f>"09940003319"</f>
        <v>09940003319</v>
      </c>
      <c r="B2728" s="7" t="str">
        <f>"枚方片鉾"</f>
        <v>枚方片鉾</v>
      </c>
      <c r="C2728" s="7" t="str">
        <f t="shared" si="933"/>
        <v>行政財産</v>
      </c>
      <c r="D2728" s="7" t="str">
        <f t="shared" si="934"/>
        <v>公営住宅</v>
      </c>
      <c r="E2728" s="7" t="str">
        <f>"大阪府枚方市片鉾東町"</f>
        <v>大阪府枚方市片鉾東町</v>
      </c>
      <c r="F2728" s="7"/>
      <c r="G2728" s="7" t="str">
        <f t="shared" si="931"/>
        <v>事業用資産</v>
      </c>
      <c r="H2728" s="7" t="str">
        <f t="shared" si="928"/>
        <v>棚卸以外</v>
      </c>
      <c r="I2728" s="7">
        <v>4</v>
      </c>
      <c r="J2728" s="7" t="str">
        <f>"受水槽"</f>
        <v>受水槽</v>
      </c>
      <c r="K2728" s="7" t="str">
        <f t="shared" si="939"/>
        <v>鉄筋コンクリート造</v>
      </c>
      <c r="L2728" s="7" t="str">
        <f>"H03.08.29"</f>
        <v>H03.08.29</v>
      </c>
      <c r="M2728" s="7">
        <v>39.6</v>
      </c>
      <c r="N2728" s="7">
        <v>29334000</v>
      </c>
      <c r="O2728" s="7">
        <v>19712169</v>
      </c>
      <c r="P2728" s="7">
        <v>0</v>
      </c>
      <c r="Q2728" s="7" t="str">
        <f t="shared" si="935"/>
        <v>都市整備部</v>
      </c>
      <c r="R2728" s="7" t="str">
        <f t="shared" si="932"/>
        <v>住宅建築局住宅経営室</v>
      </c>
    </row>
    <row r="2729" spans="1:18" s="1" customFormat="1" x14ac:dyDescent="0.45">
      <c r="A2729" s="7" t="str">
        <f>"09940003320"</f>
        <v>09940003320</v>
      </c>
      <c r="B2729" s="7" t="str">
        <f>"茨木郡山"</f>
        <v>茨木郡山</v>
      </c>
      <c r="C2729" s="7" t="str">
        <f t="shared" si="933"/>
        <v>行政財産</v>
      </c>
      <c r="D2729" s="7" t="str">
        <f t="shared" si="934"/>
        <v>公営住宅</v>
      </c>
      <c r="E2729" s="7" t="str">
        <f>"大阪府茨木市新郡山１丁目"</f>
        <v>大阪府茨木市新郡山１丁目</v>
      </c>
      <c r="F2729" s="7"/>
      <c r="G2729" s="7" t="str">
        <f t="shared" si="931"/>
        <v>事業用資産</v>
      </c>
      <c r="H2729" s="7" t="str">
        <f t="shared" si="928"/>
        <v>棚卸以外</v>
      </c>
      <c r="I2729" s="7">
        <v>1</v>
      </c>
      <c r="J2729" s="7" t="str">
        <f>"１～７・１６～３０号棟"</f>
        <v>１～７・１６～３０号棟</v>
      </c>
      <c r="K2729" s="7" t="str">
        <f t="shared" si="939"/>
        <v>鉄筋コンクリート造</v>
      </c>
      <c r="L2729" s="7" t="str">
        <f>"S46.11.24"</f>
        <v>S46.11.24</v>
      </c>
      <c r="M2729" s="7">
        <v>24462.37</v>
      </c>
      <c r="N2729" s="7">
        <v>1474391307</v>
      </c>
      <c r="O2729" s="7">
        <v>978399487</v>
      </c>
      <c r="P2729" s="7">
        <v>0</v>
      </c>
      <c r="Q2729" s="7" t="str">
        <f t="shared" si="935"/>
        <v>都市整備部</v>
      </c>
      <c r="R2729" s="7" t="str">
        <f t="shared" si="932"/>
        <v>住宅建築局住宅経営室</v>
      </c>
    </row>
    <row r="2730" spans="1:18" s="1" customFormat="1" x14ac:dyDescent="0.45">
      <c r="A2730" s="7" t="str">
        <f>"09940003320"</f>
        <v>09940003320</v>
      </c>
      <c r="B2730" s="7" t="str">
        <f>"茨木郡山"</f>
        <v>茨木郡山</v>
      </c>
      <c r="C2730" s="7" t="str">
        <f t="shared" si="933"/>
        <v>行政財産</v>
      </c>
      <c r="D2730" s="7" t="str">
        <f t="shared" si="934"/>
        <v>公営住宅</v>
      </c>
      <c r="E2730" s="7" t="str">
        <f>"大阪府茨木市新郡山１丁目"</f>
        <v>大阪府茨木市新郡山１丁目</v>
      </c>
      <c r="F2730" s="7"/>
      <c r="G2730" s="7" t="str">
        <f t="shared" si="931"/>
        <v>事業用資産</v>
      </c>
      <c r="H2730" s="7" t="str">
        <f t="shared" si="928"/>
        <v>棚卸以外</v>
      </c>
      <c r="I2730" s="7">
        <v>2</v>
      </c>
      <c r="J2730" s="7" t="str">
        <f>"８～１４・３１～３４号棟"</f>
        <v>８～１４・３１～３４号棟</v>
      </c>
      <c r="K2730" s="7" t="str">
        <f t="shared" si="939"/>
        <v>鉄筋コンクリート造</v>
      </c>
      <c r="L2730" s="7" t="str">
        <f>"S46.11.24"</f>
        <v>S46.11.24</v>
      </c>
      <c r="M2730" s="7">
        <v>17111.490000000002</v>
      </c>
      <c r="N2730" s="7">
        <v>1050865876</v>
      </c>
      <c r="O2730" s="7">
        <v>754496839</v>
      </c>
      <c r="P2730" s="7">
        <v>0</v>
      </c>
      <c r="Q2730" s="7" t="str">
        <f t="shared" si="935"/>
        <v>都市整備部</v>
      </c>
      <c r="R2730" s="7" t="str">
        <f t="shared" si="932"/>
        <v>住宅建築局住宅経営室</v>
      </c>
    </row>
    <row r="2731" spans="1:18" s="1" customFormat="1" x14ac:dyDescent="0.45">
      <c r="A2731" s="7" t="str">
        <f>"09940003320"</f>
        <v>09940003320</v>
      </c>
      <c r="B2731" s="7" t="str">
        <f>"茨木郡山"</f>
        <v>茨木郡山</v>
      </c>
      <c r="C2731" s="7" t="str">
        <f t="shared" si="933"/>
        <v>行政財産</v>
      </c>
      <c r="D2731" s="7" t="str">
        <f t="shared" si="934"/>
        <v>公営住宅</v>
      </c>
      <c r="E2731" s="7" t="str">
        <f>"大阪府茨木市新郡山１丁目"</f>
        <v>大阪府茨木市新郡山１丁目</v>
      </c>
      <c r="F2731" s="7"/>
      <c r="G2731" s="7" t="str">
        <f t="shared" si="931"/>
        <v>事業用資産</v>
      </c>
      <c r="H2731" s="7" t="str">
        <f t="shared" si="928"/>
        <v>棚卸以外</v>
      </c>
      <c r="I2731" s="7">
        <v>3</v>
      </c>
      <c r="J2731" s="7" t="str">
        <f>"集会所"</f>
        <v>集会所</v>
      </c>
      <c r="K2731" s="7" t="str">
        <f t="shared" si="939"/>
        <v>鉄筋コンクリート造</v>
      </c>
      <c r="L2731" s="7" t="str">
        <f>"S46.11.24"</f>
        <v>S46.11.24</v>
      </c>
      <c r="M2731" s="7">
        <v>338.83</v>
      </c>
      <c r="N2731" s="7">
        <v>50299739</v>
      </c>
      <c r="O2731" s="7">
        <v>29286512</v>
      </c>
      <c r="P2731" s="7">
        <v>0</v>
      </c>
      <c r="Q2731" s="7" t="str">
        <f t="shared" si="935"/>
        <v>都市整備部</v>
      </c>
      <c r="R2731" s="7" t="str">
        <f t="shared" si="932"/>
        <v>住宅建築局住宅経営室</v>
      </c>
    </row>
    <row r="2732" spans="1:18" s="1" customFormat="1" x14ac:dyDescent="0.45">
      <c r="A2732" s="7" t="str">
        <f t="shared" ref="A2732:A2743" si="940">"09940003321"</f>
        <v>09940003321</v>
      </c>
      <c r="B2732" s="7" t="str">
        <f t="shared" ref="B2732:B2743" si="941">"茨木玉水（旧茨木第１）"</f>
        <v>茨木玉水（旧茨木第１）</v>
      </c>
      <c r="C2732" s="7" t="str">
        <f t="shared" si="933"/>
        <v>行政財産</v>
      </c>
      <c r="D2732" s="7" t="str">
        <f t="shared" si="934"/>
        <v>公営住宅</v>
      </c>
      <c r="E2732" s="7" t="str">
        <f t="shared" ref="E2732:E2743" si="942">"大阪府茨木市玉水町"</f>
        <v>大阪府茨木市玉水町</v>
      </c>
      <c r="F2732" s="7"/>
      <c r="G2732" s="7" t="str">
        <f t="shared" si="931"/>
        <v>事業用資産</v>
      </c>
      <c r="H2732" s="7" t="str">
        <f t="shared" si="928"/>
        <v>棚卸以外</v>
      </c>
      <c r="I2732" s="7">
        <v>1</v>
      </c>
      <c r="J2732" s="7" t="str">
        <f>"１号棟"</f>
        <v>１号棟</v>
      </c>
      <c r="K2732" s="7" t="str">
        <f t="shared" si="939"/>
        <v>鉄筋コンクリート造</v>
      </c>
      <c r="L2732" s="7" t="str">
        <f>"S62.07.31"</f>
        <v>S62.07.31</v>
      </c>
      <c r="M2732" s="7">
        <v>2039.27</v>
      </c>
      <c r="N2732" s="7">
        <v>211881000</v>
      </c>
      <c r="O2732" s="7">
        <v>160789328</v>
      </c>
      <c r="P2732" s="7">
        <v>0</v>
      </c>
      <c r="Q2732" s="7" t="str">
        <f t="shared" si="935"/>
        <v>都市整備部</v>
      </c>
      <c r="R2732" s="7" t="str">
        <f t="shared" si="932"/>
        <v>住宅建築局住宅経営室</v>
      </c>
    </row>
    <row r="2733" spans="1:18" s="1" customFormat="1" x14ac:dyDescent="0.45">
      <c r="A2733" s="7" t="str">
        <f t="shared" si="940"/>
        <v>09940003321</v>
      </c>
      <c r="B2733" s="7" t="str">
        <f t="shared" si="941"/>
        <v>茨木玉水（旧茨木第１）</v>
      </c>
      <c r="C2733" s="7" t="str">
        <f t="shared" si="933"/>
        <v>行政財産</v>
      </c>
      <c r="D2733" s="7" t="str">
        <f t="shared" si="934"/>
        <v>公営住宅</v>
      </c>
      <c r="E2733" s="7" t="str">
        <f t="shared" si="942"/>
        <v>大阪府茨木市玉水町</v>
      </c>
      <c r="F2733" s="7"/>
      <c r="G2733" s="7" t="str">
        <f t="shared" si="931"/>
        <v>事業用資産</v>
      </c>
      <c r="H2733" s="7" t="str">
        <f t="shared" si="928"/>
        <v>棚卸以外</v>
      </c>
      <c r="I2733" s="7">
        <v>2</v>
      </c>
      <c r="J2733" s="7" t="str">
        <f>"受水槽"</f>
        <v>受水槽</v>
      </c>
      <c r="K2733" s="7" t="str">
        <f t="shared" si="939"/>
        <v>鉄筋コンクリート造</v>
      </c>
      <c r="L2733" s="7" t="str">
        <f>"S62.07.31"</f>
        <v>S62.07.31</v>
      </c>
      <c r="M2733" s="7">
        <v>35.85</v>
      </c>
      <c r="N2733" s="7">
        <v>11157000</v>
      </c>
      <c r="O2733" s="7">
        <v>8466696</v>
      </c>
      <c r="P2733" s="7">
        <v>0</v>
      </c>
      <c r="Q2733" s="7" t="str">
        <f t="shared" si="935"/>
        <v>都市整備部</v>
      </c>
      <c r="R2733" s="7" t="str">
        <f t="shared" si="932"/>
        <v>住宅建築局住宅経営室</v>
      </c>
    </row>
    <row r="2734" spans="1:18" s="1" customFormat="1" x14ac:dyDescent="0.45">
      <c r="A2734" s="7" t="str">
        <f t="shared" si="940"/>
        <v>09940003321</v>
      </c>
      <c r="B2734" s="7" t="str">
        <f t="shared" si="941"/>
        <v>茨木玉水（旧茨木第１）</v>
      </c>
      <c r="C2734" s="7" t="str">
        <f t="shared" si="933"/>
        <v>行政財産</v>
      </c>
      <c r="D2734" s="7" t="str">
        <f t="shared" si="934"/>
        <v>公営住宅</v>
      </c>
      <c r="E2734" s="7" t="str">
        <f t="shared" si="942"/>
        <v>大阪府茨木市玉水町</v>
      </c>
      <c r="F2734" s="7"/>
      <c r="G2734" s="7" t="str">
        <f t="shared" si="931"/>
        <v>事業用資産</v>
      </c>
      <c r="H2734" s="7" t="str">
        <f t="shared" si="928"/>
        <v>棚卸以外</v>
      </c>
      <c r="I2734" s="7">
        <v>3</v>
      </c>
      <c r="J2734" s="7" t="str">
        <f>"２号棟"</f>
        <v>２号棟</v>
      </c>
      <c r="K2734" s="7" t="str">
        <f t="shared" si="939"/>
        <v>鉄筋コンクリート造</v>
      </c>
      <c r="L2734" s="7" t="str">
        <f>"H01.01.26"</f>
        <v>H01.01.26</v>
      </c>
      <c r="M2734" s="7">
        <v>2036.21</v>
      </c>
      <c r="N2734" s="7">
        <v>231300939</v>
      </c>
      <c r="O2734" s="7">
        <v>167945430</v>
      </c>
      <c r="P2734" s="7">
        <v>0</v>
      </c>
      <c r="Q2734" s="7" t="str">
        <f t="shared" si="935"/>
        <v>都市整備部</v>
      </c>
      <c r="R2734" s="7" t="str">
        <f t="shared" si="932"/>
        <v>住宅建築局住宅経営室</v>
      </c>
    </row>
    <row r="2735" spans="1:18" s="1" customFormat="1" x14ac:dyDescent="0.45">
      <c r="A2735" s="7" t="str">
        <f t="shared" si="940"/>
        <v>09940003321</v>
      </c>
      <c r="B2735" s="7" t="str">
        <f t="shared" si="941"/>
        <v>茨木玉水（旧茨木第１）</v>
      </c>
      <c r="C2735" s="7" t="str">
        <f t="shared" si="933"/>
        <v>行政財産</v>
      </c>
      <c r="D2735" s="7" t="str">
        <f t="shared" si="934"/>
        <v>公営住宅</v>
      </c>
      <c r="E2735" s="7" t="str">
        <f t="shared" si="942"/>
        <v>大阪府茨木市玉水町</v>
      </c>
      <c r="F2735" s="7"/>
      <c r="G2735" s="7" t="str">
        <f t="shared" si="931"/>
        <v>事業用資産</v>
      </c>
      <c r="H2735" s="7" t="str">
        <f t="shared" si="928"/>
        <v>棚卸以外</v>
      </c>
      <c r="I2735" s="7">
        <v>4</v>
      </c>
      <c r="J2735" s="7" t="str">
        <f>"３号棟"</f>
        <v>３号棟</v>
      </c>
      <c r="K2735" s="7" t="str">
        <f t="shared" si="939"/>
        <v>鉄筋コンクリート造</v>
      </c>
      <c r="L2735" s="7" t="str">
        <f>"H02.10.30"</f>
        <v>H02.10.30</v>
      </c>
      <c r="M2735" s="7">
        <v>2045.24</v>
      </c>
      <c r="N2735" s="7">
        <v>275677939</v>
      </c>
      <c r="O2735" s="7">
        <v>189950645</v>
      </c>
      <c r="P2735" s="7">
        <v>0</v>
      </c>
      <c r="Q2735" s="7" t="str">
        <f t="shared" si="935"/>
        <v>都市整備部</v>
      </c>
      <c r="R2735" s="7" t="str">
        <f t="shared" si="932"/>
        <v>住宅建築局住宅経営室</v>
      </c>
    </row>
    <row r="2736" spans="1:18" s="1" customFormat="1" x14ac:dyDescent="0.45">
      <c r="A2736" s="7" t="str">
        <f t="shared" si="940"/>
        <v>09940003321</v>
      </c>
      <c r="B2736" s="7" t="str">
        <f t="shared" si="941"/>
        <v>茨木玉水（旧茨木第１）</v>
      </c>
      <c r="C2736" s="7" t="str">
        <f t="shared" si="933"/>
        <v>行政財産</v>
      </c>
      <c r="D2736" s="7" t="str">
        <f t="shared" si="934"/>
        <v>公営住宅</v>
      </c>
      <c r="E2736" s="7" t="str">
        <f t="shared" si="942"/>
        <v>大阪府茨木市玉水町</v>
      </c>
      <c r="F2736" s="7"/>
      <c r="G2736" s="7" t="str">
        <f t="shared" si="931"/>
        <v>事業用資産</v>
      </c>
      <c r="H2736" s="7" t="str">
        <f t="shared" si="928"/>
        <v>棚卸以外</v>
      </c>
      <c r="I2736" s="7">
        <v>5</v>
      </c>
      <c r="J2736" s="7" t="str">
        <f>"集会所"</f>
        <v>集会所</v>
      </c>
      <c r="K2736" s="7" t="str">
        <f t="shared" si="939"/>
        <v>鉄筋コンクリート造</v>
      </c>
      <c r="L2736" s="7" t="str">
        <f>"H02.10.30"</f>
        <v>H02.10.30</v>
      </c>
      <c r="M2736" s="7">
        <v>73.040000000000006</v>
      </c>
      <c r="N2736" s="7">
        <v>20595000</v>
      </c>
      <c r="O2736" s="7">
        <v>14204724</v>
      </c>
      <c r="P2736" s="7">
        <v>0</v>
      </c>
      <c r="Q2736" s="7" t="str">
        <f t="shared" si="935"/>
        <v>都市整備部</v>
      </c>
      <c r="R2736" s="7" t="str">
        <f t="shared" si="932"/>
        <v>住宅建築局住宅経営室</v>
      </c>
    </row>
    <row r="2737" spans="1:18" s="1" customFormat="1" x14ac:dyDescent="0.45">
      <c r="A2737" s="7" t="str">
        <f t="shared" si="940"/>
        <v>09940003321</v>
      </c>
      <c r="B2737" s="7" t="str">
        <f t="shared" si="941"/>
        <v>茨木玉水（旧茨木第１）</v>
      </c>
      <c r="C2737" s="7" t="str">
        <f t="shared" si="933"/>
        <v>行政財産</v>
      </c>
      <c r="D2737" s="7" t="str">
        <f t="shared" si="934"/>
        <v>公営住宅</v>
      </c>
      <c r="E2737" s="7" t="str">
        <f t="shared" si="942"/>
        <v>大阪府茨木市玉水町</v>
      </c>
      <c r="F2737" s="7"/>
      <c r="G2737" s="7" t="str">
        <f t="shared" si="931"/>
        <v>事業用資産</v>
      </c>
      <c r="H2737" s="7" t="str">
        <f t="shared" si="928"/>
        <v>棚卸以外</v>
      </c>
      <c r="I2737" s="7">
        <v>6</v>
      </c>
      <c r="J2737" s="7" t="str">
        <f>"受水槽"</f>
        <v>受水槽</v>
      </c>
      <c r="K2737" s="7" t="str">
        <f t="shared" si="939"/>
        <v>鉄筋コンクリート造</v>
      </c>
      <c r="L2737" s="7" t="str">
        <f>"H02.10.30"</f>
        <v>H02.10.30</v>
      </c>
      <c r="M2737" s="7">
        <v>51.84</v>
      </c>
      <c r="N2737" s="7">
        <v>17395000</v>
      </c>
      <c r="O2737" s="7">
        <v>11997927</v>
      </c>
      <c r="P2737" s="7">
        <v>0</v>
      </c>
      <c r="Q2737" s="7" t="str">
        <f t="shared" si="935"/>
        <v>都市整備部</v>
      </c>
      <c r="R2737" s="7" t="str">
        <f t="shared" si="932"/>
        <v>住宅建築局住宅経営室</v>
      </c>
    </row>
    <row r="2738" spans="1:18" s="1" customFormat="1" x14ac:dyDescent="0.45">
      <c r="A2738" s="7" t="str">
        <f t="shared" si="940"/>
        <v>09940003321</v>
      </c>
      <c r="B2738" s="7" t="str">
        <f t="shared" si="941"/>
        <v>茨木玉水（旧茨木第１）</v>
      </c>
      <c r="C2738" s="7" t="str">
        <f t="shared" si="933"/>
        <v>行政財産</v>
      </c>
      <c r="D2738" s="7" t="str">
        <f t="shared" si="934"/>
        <v>公営住宅</v>
      </c>
      <c r="E2738" s="7" t="str">
        <f t="shared" si="942"/>
        <v>大阪府茨木市玉水町</v>
      </c>
      <c r="F2738" s="7"/>
      <c r="G2738" s="7" t="str">
        <f t="shared" si="931"/>
        <v>事業用資産</v>
      </c>
      <c r="H2738" s="7" t="str">
        <f t="shared" si="928"/>
        <v>棚卸以外</v>
      </c>
      <c r="I2738" s="7">
        <v>7</v>
      </c>
      <c r="J2738" s="7" t="str">
        <f>"４号棟"</f>
        <v>４号棟</v>
      </c>
      <c r="K2738" s="7" t="str">
        <f t="shared" si="939"/>
        <v>鉄筋コンクリート造</v>
      </c>
      <c r="L2738" s="7" t="str">
        <f>"H04.04.12"</f>
        <v>H04.04.12</v>
      </c>
      <c r="M2738" s="7">
        <v>904.36</v>
      </c>
      <c r="N2738" s="7">
        <v>161775000</v>
      </c>
      <c r="O2738" s="7">
        <v>106416156</v>
      </c>
      <c r="P2738" s="7">
        <v>0</v>
      </c>
      <c r="Q2738" s="7" t="str">
        <f t="shared" si="935"/>
        <v>都市整備部</v>
      </c>
      <c r="R2738" s="7" t="str">
        <f t="shared" si="932"/>
        <v>住宅建築局住宅経営室</v>
      </c>
    </row>
    <row r="2739" spans="1:18" s="1" customFormat="1" x14ac:dyDescent="0.45">
      <c r="A2739" s="7" t="str">
        <f t="shared" si="940"/>
        <v>09940003321</v>
      </c>
      <c r="B2739" s="7" t="str">
        <f t="shared" si="941"/>
        <v>茨木玉水（旧茨木第１）</v>
      </c>
      <c r="C2739" s="7" t="str">
        <f t="shared" si="933"/>
        <v>行政財産</v>
      </c>
      <c r="D2739" s="7" t="str">
        <f t="shared" si="934"/>
        <v>公営住宅</v>
      </c>
      <c r="E2739" s="7" t="str">
        <f t="shared" si="942"/>
        <v>大阪府茨木市玉水町</v>
      </c>
      <c r="F2739" s="7"/>
      <c r="G2739" s="7" t="str">
        <f t="shared" si="931"/>
        <v>事業用資産</v>
      </c>
      <c r="H2739" s="7" t="str">
        <f t="shared" si="928"/>
        <v>棚卸以外</v>
      </c>
      <c r="I2739" s="7">
        <v>8</v>
      </c>
      <c r="J2739" s="7" t="str">
        <f>"５号棟"</f>
        <v>５号棟</v>
      </c>
      <c r="K2739" s="7" t="str">
        <f t="shared" si="939"/>
        <v>鉄筋コンクリート造</v>
      </c>
      <c r="L2739" s="7" t="str">
        <f>"H04.04.02"</f>
        <v>H04.04.02</v>
      </c>
      <c r="M2739" s="7">
        <v>872.04</v>
      </c>
      <c r="N2739" s="7">
        <v>152482000</v>
      </c>
      <c r="O2739" s="7">
        <v>100303189</v>
      </c>
      <c r="P2739" s="7">
        <v>0</v>
      </c>
      <c r="Q2739" s="7" t="str">
        <f t="shared" si="935"/>
        <v>都市整備部</v>
      </c>
      <c r="R2739" s="7" t="str">
        <f t="shared" si="932"/>
        <v>住宅建築局住宅経営室</v>
      </c>
    </row>
    <row r="2740" spans="1:18" s="1" customFormat="1" x14ac:dyDescent="0.45">
      <c r="A2740" s="7" t="str">
        <f t="shared" si="940"/>
        <v>09940003321</v>
      </c>
      <c r="B2740" s="7" t="str">
        <f t="shared" si="941"/>
        <v>茨木玉水（旧茨木第１）</v>
      </c>
      <c r="C2740" s="7" t="str">
        <f t="shared" si="933"/>
        <v>行政財産</v>
      </c>
      <c r="D2740" s="7" t="str">
        <f t="shared" si="934"/>
        <v>公営住宅</v>
      </c>
      <c r="E2740" s="7" t="str">
        <f t="shared" si="942"/>
        <v>大阪府茨木市玉水町</v>
      </c>
      <c r="F2740" s="7"/>
      <c r="G2740" s="7" t="str">
        <f t="shared" si="931"/>
        <v>事業用資産</v>
      </c>
      <c r="H2740" s="7" t="str">
        <f t="shared" si="928"/>
        <v>棚卸以外</v>
      </c>
      <c r="I2740" s="7">
        <v>9</v>
      </c>
      <c r="J2740" s="7" t="str">
        <f>"６号棟"</f>
        <v>６号棟</v>
      </c>
      <c r="K2740" s="7" t="str">
        <f t="shared" si="939"/>
        <v>鉄筋コンクリート造</v>
      </c>
      <c r="L2740" s="7" t="str">
        <f>"H04.04.02"</f>
        <v>H04.04.02</v>
      </c>
      <c r="M2740" s="7">
        <v>875.3</v>
      </c>
      <c r="N2740" s="7">
        <v>166187000</v>
      </c>
      <c r="O2740" s="7">
        <v>109318118</v>
      </c>
      <c r="P2740" s="7">
        <v>0</v>
      </c>
      <c r="Q2740" s="7" t="str">
        <f t="shared" si="935"/>
        <v>都市整備部</v>
      </c>
      <c r="R2740" s="7" t="str">
        <f t="shared" si="932"/>
        <v>住宅建築局住宅経営室</v>
      </c>
    </row>
    <row r="2741" spans="1:18" s="1" customFormat="1" x14ac:dyDescent="0.45">
      <c r="A2741" s="7" t="str">
        <f t="shared" si="940"/>
        <v>09940003321</v>
      </c>
      <c r="B2741" s="7" t="str">
        <f t="shared" si="941"/>
        <v>茨木玉水（旧茨木第１）</v>
      </c>
      <c r="C2741" s="7" t="str">
        <f t="shared" si="933"/>
        <v>行政財産</v>
      </c>
      <c r="D2741" s="7" t="str">
        <f t="shared" si="934"/>
        <v>公営住宅</v>
      </c>
      <c r="E2741" s="7" t="str">
        <f t="shared" si="942"/>
        <v>大阪府茨木市玉水町</v>
      </c>
      <c r="F2741" s="7"/>
      <c r="G2741" s="7" t="str">
        <f t="shared" si="931"/>
        <v>事業用資産</v>
      </c>
      <c r="H2741" s="7" t="str">
        <f t="shared" si="928"/>
        <v>棚卸以外</v>
      </c>
      <c r="I2741" s="7">
        <v>10</v>
      </c>
      <c r="J2741" s="7" t="str">
        <f>"７号棟"</f>
        <v>７号棟</v>
      </c>
      <c r="K2741" s="7" t="str">
        <f t="shared" si="939"/>
        <v>鉄筋コンクリート造</v>
      </c>
      <c r="L2741" s="7" t="str">
        <f>"H04.04.02"</f>
        <v>H04.04.02</v>
      </c>
      <c r="M2741" s="7">
        <v>429.9</v>
      </c>
      <c r="N2741" s="7">
        <v>87809000</v>
      </c>
      <c r="O2741" s="7">
        <v>57760990</v>
      </c>
      <c r="P2741" s="7">
        <v>0</v>
      </c>
      <c r="Q2741" s="7" t="str">
        <f t="shared" si="935"/>
        <v>都市整備部</v>
      </c>
      <c r="R2741" s="7" t="str">
        <f t="shared" si="932"/>
        <v>住宅建築局住宅経営室</v>
      </c>
    </row>
    <row r="2742" spans="1:18" s="1" customFormat="1" x14ac:dyDescent="0.45">
      <c r="A2742" s="7" t="str">
        <f t="shared" si="940"/>
        <v>09940003321</v>
      </c>
      <c r="B2742" s="7" t="str">
        <f t="shared" si="941"/>
        <v>茨木玉水（旧茨木第１）</v>
      </c>
      <c r="C2742" s="7" t="str">
        <f t="shared" si="933"/>
        <v>行政財産</v>
      </c>
      <c r="D2742" s="7" t="str">
        <f t="shared" si="934"/>
        <v>公営住宅</v>
      </c>
      <c r="E2742" s="7" t="str">
        <f t="shared" si="942"/>
        <v>大阪府茨木市玉水町</v>
      </c>
      <c r="F2742" s="7"/>
      <c r="G2742" s="7" t="str">
        <f t="shared" si="931"/>
        <v>事業用資産</v>
      </c>
      <c r="H2742" s="7" t="str">
        <f t="shared" si="928"/>
        <v>棚卸以外</v>
      </c>
      <c r="I2742" s="7">
        <v>11</v>
      </c>
      <c r="J2742" s="7" t="str">
        <f>"８号棟"</f>
        <v>８号棟</v>
      </c>
      <c r="K2742" s="7" t="str">
        <f t="shared" si="939"/>
        <v>鉄筋コンクリート造</v>
      </c>
      <c r="L2742" s="7" t="str">
        <f>"H04.04.02"</f>
        <v>H04.04.02</v>
      </c>
      <c r="M2742" s="7">
        <v>1317.45</v>
      </c>
      <c r="N2742" s="7">
        <v>231093000</v>
      </c>
      <c r="O2742" s="7">
        <v>152013540</v>
      </c>
      <c r="P2742" s="7">
        <v>0</v>
      </c>
      <c r="Q2742" s="7" t="str">
        <f t="shared" si="935"/>
        <v>都市整備部</v>
      </c>
      <c r="R2742" s="7" t="str">
        <f t="shared" si="932"/>
        <v>住宅建築局住宅経営室</v>
      </c>
    </row>
    <row r="2743" spans="1:18" s="1" customFormat="1" x14ac:dyDescent="0.45">
      <c r="A2743" s="7" t="str">
        <f t="shared" si="940"/>
        <v>09940003321</v>
      </c>
      <c r="B2743" s="7" t="str">
        <f t="shared" si="941"/>
        <v>茨木玉水（旧茨木第１）</v>
      </c>
      <c r="C2743" s="7" t="str">
        <f t="shared" si="933"/>
        <v>行政財産</v>
      </c>
      <c r="D2743" s="7" t="str">
        <f t="shared" si="934"/>
        <v>公営住宅</v>
      </c>
      <c r="E2743" s="7" t="str">
        <f t="shared" si="942"/>
        <v>大阪府茨木市玉水町</v>
      </c>
      <c r="F2743" s="7"/>
      <c r="G2743" s="7" t="str">
        <f t="shared" si="931"/>
        <v>事業用資産</v>
      </c>
      <c r="H2743" s="7" t="str">
        <f t="shared" si="928"/>
        <v>棚卸以外</v>
      </c>
      <c r="I2743" s="7">
        <v>12</v>
      </c>
      <c r="J2743" s="7" t="str">
        <f>"受水槽（８号棟）"</f>
        <v>受水槽（８号棟）</v>
      </c>
      <c r="K2743" s="7" t="str">
        <f t="shared" si="939"/>
        <v>鉄筋コンクリート造</v>
      </c>
      <c r="L2743" s="7" t="str">
        <f>"H04.04.02"</f>
        <v>H04.04.02</v>
      </c>
      <c r="M2743" s="7">
        <v>26.5</v>
      </c>
      <c r="N2743" s="7">
        <v>15730000</v>
      </c>
      <c r="O2743" s="7">
        <v>10347561</v>
      </c>
      <c r="P2743" s="7">
        <v>0</v>
      </c>
      <c r="Q2743" s="7" t="str">
        <f t="shared" si="935"/>
        <v>都市整備部</v>
      </c>
      <c r="R2743" s="7" t="str">
        <f t="shared" si="932"/>
        <v>住宅建築局住宅経営室</v>
      </c>
    </row>
    <row r="2744" spans="1:18" s="1" customFormat="1" ht="26.4" x14ac:dyDescent="0.45">
      <c r="A2744" s="7" t="str">
        <f t="shared" ref="A2744:A2750" si="943">"09940003327"</f>
        <v>09940003327</v>
      </c>
      <c r="B2744" s="7" t="str">
        <f t="shared" ref="B2744:B2750" si="944">"八尾緑ヶ丘（旧萱振）"</f>
        <v>八尾緑ヶ丘（旧萱振）</v>
      </c>
      <c r="C2744" s="7" t="str">
        <f t="shared" si="933"/>
        <v>行政財産</v>
      </c>
      <c r="D2744" s="7" t="str">
        <f t="shared" si="934"/>
        <v>公営住宅</v>
      </c>
      <c r="E2744" s="7" t="str">
        <f t="shared" ref="E2744:E2750" si="945">"大阪府八尾市緑ヶ丘１丁目"</f>
        <v>大阪府八尾市緑ヶ丘１丁目</v>
      </c>
      <c r="F2744" s="7"/>
      <c r="G2744" s="7" t="str">
        <f t="shared" si="931"/>
        <v>事業用資産</v>
      </c>
      <c r="H2744" s="7" t="str">
        <f t="shared" si="928"/>
        <v>棚卸以外</v>
      </c>
      <c r="I2744" s="7">
        <v>1</v>
      </c>
      <c r="J2744" s="7" t="str">
        <f>"１９号棟"</f>
        <v>１９号棟</v>
      </c>
      <c r="K2744" s="7" t="str">
        <f t="shared" ref="K2744:K2750" si="946">"鉄骨鉄筋コンクリート造"</f>
        <v>鉄骨鉄筋コンクリート造</v>
      </c>
      <c r="L2744" s="7" t="str">
        <f>"H07.09.29"</f>
        <v>H07.09.29</v>
      </c>
      <c r="M2744" s="7">
        <v>1723.59</v>
      </c>
      <c r="N2744" s="7">
        <v>367045023</v>
      </c>
      <c r="O2744" s="7">
        <v>214001370</v>
      </c>
      <c r="P2744" s="7">
        <v>0</v>
      </c>
      <c r="Q2744" s="7" t="str">
        <f t="shared" si="935"/>
        <v>都市整備部</v>
      </c>
      <c r="R2744" s="7" t="str">
        <f t="shared" si="932"/>
        <v>住宅建築局住宅経営室</v>
      </c>
    </row>
    <row r="2745" spans="1:18" s="1" customFormat="1" ht="26.4" x14ac:dyDescent="0.45">
      <c r="A2745" s="7" t="str">
        <f t="shared" si="943"/>
        <v>09940003327</v>
      </c>
      <c r="B2745" s="7" t="str">
        <f t="shared" si="944"/>
        <v>八尾緑ヶ丘（旧萱振）</v>
      </c>
      <c r="C2745" s="7" t="str">
        <f t="shared" si="933"/>
        <v>行政財産</v>
      </c>
      <c r="D2745" s="7" t="str">
        <f t="shared" si="934"/>
        <v>公営住宅</v>
      </c>
      <c r="E2745" s="7" t="str">
        <f t="shared" si="945"/>
        <v>大阪府八尾市緑ヶ丘１丁目</v>
      </c>
      <c r="F2745" s="7"/>
      <c r="G2745" s="7" t="str">
        <f t="shared" si="931"/>
        <v>事業用資産</v>
      </c>
      <c r="H2745" s="7" t="str">
        <f t="shared" si="928"/>
        <v>棚卸以外</v>
      </c>
      <c r="I2745" s="7">
        <v>2</v>
      </c>
      <c r="J2745" s="7" t="str">
        <f>"２０号棟"</f>
        <v>２０号棟</v>
      </c>
      <c r="K2745" s="7" t="str">
        <f t="shared" si="946"/>
        <v>鉄骨鉄筋コンクリート造</v>
      </c>
      <c r="L2745" s="7" t="str">
        <f>"H07.09.29"</f>
        <v>H07.09.29</v>
      </c>
      <c r="M2745" s="7">
        <v>850.26</v>
      </c>
      <c r="N2745" s="7">
        <v>214336000</v>
      </c>
      <c r="O2745" s="7">
        <v>125409570</v>
      </c>
      <c r="P2745" s="7">
        <v>0</v>
      </c>
      <c r="Q2745" s="7" t="str">
        <f t="shared" si="935"/>
        <v>都市整備部</v>
      </c>
      <c r="R2745" s="7" t="str">
        <f t="shared" si="932"/>
        <v>住宅建築局住宅経営室</v>
      </c>
    </row>
    <row r="2746" spans="1:18" s="1" customFormat="1" ht="26.4" x14ac:dyDescent="0.45">
      <c r="A2746" s="7" t="str">
        <f t="shared" si="943"/>
        <v>09940003327</v>
      </c>
      <c r="B2746" s="7" t="str">
        <f t="shared" si="944"/>
        <v>八尾緑ヶ丘（旧萱振）</v>
      </c>
      <c r="C2746" s="7" t="str">
        <f t="shared" si="933"/>
        <v>行政財産</v>
      </c>
      <c r="D2746" s="7" t="str">
        <f t="shared" si="934"/>
        <v>公営住宅</v>
      </c>
      <c r="E2746" s="7" t="str">
        <f t="shared" si="945"/>
        <v>大阪府八尾市緑ヶ丘１丁目</v>
      </c>
      <c r="F2746" s="7"/>
      <c r="G2746" s="7" t="str">
        <f t="shared" si="931"/>
        <v>事業用資産</v>
      </c>
      <c r="H2746" s="7" t="str">
        <f t="shared" si="928"/>
        <v>棚卸以外</v>
      </c>
      <c r="I2746" s="7">
        <v>3</v>
      </c>
      <c r="J2746" s="7" t="str">
        <f>"２１号棟"</f>
        <v>２１号棟</v>
      </c>
      <c r="K2746" s="7" t="str">
        <f t="shared" si="946"/>
        <v>鉄骨鉄筋コンクリート造</v>
      </c>
      <c r="L2746" s="7" t="str">
        <f>"H07.09.29"</f>
        <v>H07.09.29</v>
      </c>
      <c r="M2746" s="7">
        <v>572.22</v>
      </c>
      <c r="N2746" s="7">
        <v>146361000</v>
      </c>
      <c r="O2746" s="7">
        <v>85636980</v>
      </c>
      <c r="P2746" s="7">
        <v>0</v>
      </c>
      <c r="Q2746" s="7" t="str">
        <f t="shared" si="935"/>
        <v>都市整備部</v>
      </c>
      <c r="R2746" s="7" t="str">
        <f t="shared" si="932"/>
        <v>住宅建築局住宅経営室</v>
      </c>
    </row>
    <row r="2747" spans="1:18" s="1" customFormat="1" ht="26.4" x14ac:dyDescent="0.45">
      <c r="A2747" s="7" t="str">
        <f t="shared" si="943"/>
        <v>09940003327</v>
      </c>
      <c r="B2747" s="7" t="str">
        <f t="shared" si="944"/>
        <v>八尾緑ヶ丘（旧萱振）</v>
      </c>
      <c r="C2747" s="7" t="str">
        <f t="shared" si="933"/>
        <v>行政財産</v>
      </c>
      <c r="D2747" s="7" t="str">
        <f t="shared" si="934"/>
        <v>公営住宅</v>
      </c>
      <c r="E2747" s="7" t="str">
        <f t="shared" si="945"/>
        <v>大阪府八尾市緑ヶ丘１丁目</v>
      </c>
      <c r="F2747" s="7"/>
      <c r="G2747" s="7" t="str">
        <f t="shared" si="931"/>
        <v>事業用資産</v>
      </c>
      <c r="H2747" s="7" t="str">
        <f t="shared" si="928"/>
        <v>棚卸以外</v>
      </c>
      <c r="I2747" s="7">
        <v>4</v>
      </c>
      <c r="J2747" s="7" t="str">
        <f>"２２号棟"</f>
        <v>２２号棟</v>
      </c>
      <c r="K2747" s="7" t="str">
        <f t="shared" si="946"/>
        <v>鉄骨鉄筋コンクリート造</v>
      </c>
      <c r="L2747" s="7" t="str">
        <f>"H07.09.29"</f>
        <v>H07.09.29</v>
      </c>
      <c r="M2747" s="7">
        <v>1459.55</v>
      </c>
      <c r="N2747" s="7">
        <v>314720024</v>
      </c>
      <c r="O2747" s="7">
        <v>183385620</v>
      </c>
      <c r="P2747" s="7">
        <v>0</v>
      </c>
      <c r="Q2747" s="7" t="str">
        <f t="shared" si="935"/>
        <v>都市整備部</v>
      </c>
      <c r="R2747" s="7" t="str">
        <f t="shared" si="932"/>
        <v>住宅建築局住宅経営室</v>
      </c>
    </row>
    <row r="2748" spans="1:18" s="1" customFormat="1" ht="26.4" x14ac:dyDescent="0.45">
      <c r="A2748" s="7" t="str">
        <f t="shared" si="943"/>
        <v>09940003327</v>
      </c>
      <c r="B2748" s="7" t="str">
        <f t="shared" si="944"/>
        <v>八尾緑ヶ丘（旧萱振）</v>
      </c>
      <c r="C2748" s="7" t="str">
        <f t="shared" si="933"/>
        <v>行政財産</v>
      </c>
      <c r="D2748" s="7" t="str">
        <f t="shared" si="934"/>
        <v>公営住宅</v>
      </c>
      <c r="E2748" s="7" t="str">
        <f t="shared" si="945"/>
        <v>大阪府八尾市緑ヶ丘１丁目</v>
      </c>
      <c r="F2748" s="7"/>
      <c r="G2748" s="7" t="str">
        <f t="shared" si="931"/>
        <v>事業用資産</v>
      </c>
      <c r="H2748" s="7" t="str">
        <f t="shared" si="928"/>
        <v>棚卸以外</v>
      </c>
      <c r="I2748" s="7">
        <v>5</v>
      </c>
      <c r="J2748" s="7" t="str">
        <f>"集会室"</f>
        <v>集会室</v>
      </c>
      <c r="K2748" s="7" t="str">
        <f t="shared" si="946"/>
        <v>鉄骨鉄筋コンクリート造</v>
      </c>
      <c r="L2748" s="7" t="str">
        <f>"H07.09.29"</f>
        <v>H07.09.29</v>
      </c>
      <c r="M2748" s="7">
        <v>99.93</v>
      </c>
      <c r="N2748" s="7">
        <v>29272000</v>
      </c>
      <c r="O2748" s="7">
        <v>17127330</v>
      </c>
      <c r="P2748" s="7">
        <v>0</v>
      </c>
      <c r="Q2748" s="7" t="str">
        <f t="shared" si="935"/>
        <v>都市整備部</v>
      </c>
      <c r="R2748" s="7" t="str">
        <f t="shared" si="932"/>
        <v>住宅建築局住宅経営室</v>
      </c>
    </row>
    <row r="2749" spans="1:18" s="1" customFormat="1" ht="26.4" x14ac:dyDescent="0.45">
      <c r="A2749" s="7" t="str">
        <f t="shared" si="943"/>
        <v>09940003327</v>
      </c>
      <c r="B2749" s="7" t="str">
        <f t="shared" si="944"/>
        <v>八尾緑ヶ丘（旧萱振）</v>
      </c>
      <c r="C2749" s="7" t="str">
        <f t="shared" si="933"/>
        <v>行政財産</v>
      </c>
      <c r="D2749" s="7" t="str">
        <f t="shared" si="934"/>
        <v>公営住宅</v>
      </c>
      <c r="E2749" s="7" t="str">
        <f t="shared" si="945"/>
        <v>大阪府八尾市緑ヶ丘１丁目</v>
      </c>
      <c r="F2749" s="7"/>
      <c r="G2749" s="7" t="str">
        <f t="shared" si="931"/>
        <v>事業用資産</v>
      </c>
      <c r="H2749" s="7" t="str">
        <f t="shared" si="928"/>
        <v>棚卸以外</v>
      </c>
      <c r="I2749" s="7">
        <v>6</v>
      </c>
      <c r="J2749" s="7" t="str">
        <f>"受水槽"</f>
        <v>受水槽</v>
      </c>
      <c r="K2749" s="7" t="str">
        <f t="shared" si="946"/>
        <v>鉄骨鉄筋コンクリート造</v>
      </c>
      <c r="L2749" s="7" t="str">
        <f>"H09.09.29"</f>
        <v>H09.09.29</v>
      </c>
      <c r="M2749" s="7">
        <v>40.53</v>
      </c>
      <c r="N2749" s="7">
        <v>22131000</v>
      </c>
      <c r="O2749" s="7">
        <v>12007440</v>
      </c>
      <c r="P2749" s="7">
        <v>0</v>
      </c>
      <c r="Q2749" s="7" t="str">
        <f t="shared" si="935"/>
        <v>都市整備部</v>
      </c>
      <c r="R2749" s="7" t="str">
        <f t="shared" si="932"/>
        <v>住宅建築局住宅経営室</v>
      </c>
    </row>
    <row r="2750" spans="1:18" s="1" customFormat="1" ht="26.4" x14ac:dyDescent="0.45">
      <c r="A2750" s="7" t="str">
        <f t="shared" si="943"/>
        <v>09940003327</v>
      </c>
      <c r="B2750" s="7" t="str">
        <f t="shared" si="944"/>
        <v>八尾緑ヶ丘（旧萱振）</v>
      </c>
      <c r="C2750" s="7" t="str">
        <f t="shared" si="933"/>
        <v>行政財産</v>
      </c>
      <c r="D2750" s="7" t="str">
        <f t="shared" si="934"/>
        <v>公営住宅</v>
      </c>
      <c r="E2750" s="7" t="str">
        <f t="shared" si="945"/>
        <v>大阪府八尾市緑ヶ丘１丁目</v>
      </c>
      <c r="F2750" s="7"/>
      <c r="G2750" s="7" t="str">
        <f t="shared" si="931"/>
        <v>事業用資産</v>
      </c>
      <c r="H2750" s="7" t="str">
        <f t="shared" si="928"/>
        <v>棚卸以外</v>
      </c>
      <c r="I2750" s="7">
        <v>7</v>
      </c>
      <c r="J2750" s="7" t="str">
        <f>"電気室"</f>
        <v>電気室</v>
      </c>
      <c r="K2750" s="7" t="str">
        <f t="shared" si="946"/>
        <v>鉄骨鉄筋コンクリート造</v>
      </c>
      <c r="L2750" s="7" t="str">
        <f>"H07.09.29"</f>
        <v>H07.09.29</v>
      </c>
      <c r="M2750" s="7">
        <v>28</v>
      </c>
      <c r="N2750" s="7">
        <v>9486000</v>
      </c>
      <c r="O2750" s="7">
        <v>5550600</v>
      </c>
      <c r="P2750" s="7">
        <v>0</v>
      </c>
      <c r="Q2750" s="7" t="str">
        <f t="shared" si="935"/>
        <v>都市整備部</v>
      </c>
      <c r="R2750" s="7" t="str">
        <f t="shared" si="932"/>
        <v>住宅建築局住宅経営室</v>
      </c>
    </row>
    <row r="2751" spans="1:18" s="1" customFormat="1" x14ac:dyDescent="0.45">
      <c r="A2751" s="7" t="str">
        <f t="shared" ref="A2751:A2763" si="947">"09940003328"</f>
        <v>09940003328</v>
      </c>
      <c r="B2751" s="7" t="str">
        <f t="shared" ref="B2751:B2763" si="948">"吹田山田西"</f>
        <v>吹田山田西</v>
      </c>
      <c r="C2751" s="7" t="str">
        <f t="shared" si="933"/>
        <v>行政財産</v>
      </c>
      <c r="D2751" s="7" t="str">
        <f t="shared" si="934"/>
        <v>公営住宅</v>
      </c>
      <c r="E2751" s="7" t="str">
        <f t="shared" ref="E2751:E2772" si="949">"大阪府吹田市山田　西２丁目"</f>
        <v>大阪府吹田市山田　西２丁目</v>
      </c>
      <c r="F2751" s="7"/>
      <c r="G2751" s="7" t="str">
        <f t="shared" si="931"/>
        <v>事業用資産</v>
      </c>
      <c r="H2751" s="7" t="str">
        <f t="shared" si="928"/>
        <v>棚卸以外</v>
      </c>
      <c r="I2751" s="7">
        <v>1</v>
      </c>
      <c r="J2751" s="7" t="str">
        <f>"４号棟"</f>
        <v>４号棟</v>
      </c>
      <c r="K2751" s="7" t="str">
        <f>"鉄筋コンクリート造"</f>
        <v>鉄筋コンクリート造</v>
      </c>
      <c r="L2751" s="7" t="str">
        <f>"S56.03.31"</f>
        <v>S56.03.31</v>
      </c>
      <c r="M2751" s="7">
        <v>1480.3</v>
      </c>
      <c r="N2751" s="7">
        <v>139237439</v>
      </c>
      <c r="O2751" s="7">
        <v>124185096</v>
      </c>
      <c r="P2751" s="7">
        <v>0</v>
      </c>
      <c r="Q2751" s="7" t="str">
        <f t="shared" si="935"/>
        <v>都市整備部</v>
      </c>
      <c r="R2751" s="7" t="str">
        <f t="shared" si="932"/>
        <v>住宅建築局住宅経営室</v>
      </c>
    </row>
    <row r="2752" spans="1:18" s="1" customFormat="1" x14ac:dyDescent="0.45">
      <c r="A2752" s="7" t="str">
        <f t="shared" si="947"/>
        <v>09940003328</v>
      </c>
      <c r="B2752" s="7" t="str">
        <f t="shared" si="948"/>
        <v>吹田山田西</v>
      </c>
      <c r="C2752" s="7" t="str">
        <f t="shared" si="933"/>
        <v>行政財産</v>
      </c>
      <c r="D2752" s="7" t="str">
        <f t="shared" si="934"/>
        <v>公営住宅</v>
      </c>
      <c r="E2752" s="7" t="str">
        <f t="shared" si="949"/>
        <v>大阪府吹田市山田　西２丁目</v>
      </c>
      <c r="F2752" s="7"/>
      <c r="G2752" s="7" t="str">
        <f t="shared" si="931"/>
        <v>事業用資産</v>
      </c>
      <c r="H2752" s="7" t="str">
        <f t="shared" si="928"/>
        <v>棚卸以外</v>
      </c>
      <c r="I2752" s="7">
        <v>2</v>
      </c>
      <c r="J2752" s="7" t="str">
        <f>"５号棟"</f>
        <v>５号棟</v>
      </c>
      <c r="K2752" s="7" t="str">
        <f>"鉄筋コンクリート造"</f>
        <v>鉄筋コンクリート造</v>
      </c>
      <c r="L2752" s="7" t="str">
        <f>"S56.03.31"</f>
        <v>S56.03.31</v>
      </c>
      <c r="M2752" s="7">
        <v>1036.21</v>
      </c>
      <c r="N2752" s="7">
        <v>98979000</v>
      </c>
      <c r="O2752" s="7">
        <v>88449480</v>
      </c>
      <c r="P2752" s="7">
        <v>0</v>
      </c>
      <c r="Q2752" s="7" t="str">
        <f t="shared" si="935"/>
        <v>都市整備部</v>
      </c>
      <c r="R2752" s="7" t="str">
        <f t="shared" si="932"/>
        <v>住宅建築局住宅経営室</v>
      </c>
    </row>
    <row r="2753" spans="1:18" s="1" customFormat="1" x14ac:dyDescent="0.45">
      <c r="A2753" s="7" t="str">
        <f t="shared" si="947"/>
        <v>09940003328</v>
      </c>
      <c r="B2753" s="7" t="str">
        <f t="shared" si="948"/>
        <v>吹田山田西</v>
      </c>
      <c r="C2753" s="7" t="str">
        <f t="shared" si="933"/>
        <v>行政財産</v>
      </c>
      <c r="D2753" s="7" t="str">
        <f t="shared" si="934"/>
        <v>公営住宅</v>
      </c>
      <c r="E2753" s="7" t="str">
        <f t="shared" si="949"/>
        <v>大阪府吹田市山田　西２丁目</v>
      </c>
      <c r="F2753" s="7"/>
      <c r="G2753" s="7" t="str">
        <f t="shared" si="931"/>
        <v>事業用資産</v>
      </c>
      <c r="H2753" s="7" t="str">
        <f t="shared" si="928"/>
        <v>棚卸以外</v>
      </c>
      <c r="I2753" s="7">
        <v>3</v>
      </c>
      <c r="J2753" s="7" t="str">
        <f>"７号棟"</f>
        <v>７号棟</v>
      </c>
      <c r="K2753" s="7" t="str">
        <f>"鉄筋コンクリート造"</f>
        <v>鉄筋コンクリート造</v>
      </c>
      <c r="L2753" s="7" t="str">
        <f>"S56.03.31"</f>
        <v>S56.03.31</v>
      </c>
      <c r="M2753" s="7">
        <v>1115.3399999999999</v>
      </c>
      <c r="N2753" s="7">
        <v>108775000</v>
      </c>
      <c r="O2753" s="7">
        <v>97203456</v>
      </c>
      <c r="P2753" s="7">
        <v>0</v>
      </c>
      <c r="Q2753" s="7" t="str">
        <f t="shared" si="935"/>
        <v>都市整備部</v>
      </c>
      <c r="R2753" s="7" t="str">
        <f t="shared" si="932"/>
        <v>住宅建築局住宅経営室</v>
      </c>
    </row>
    <row r="2754" spans="1:18" s="1" customFormat="1" x14ac:dyDescent="0.45">
      <c r="A2754" s="7" t="str">
        <f t="shared" si="947"/>
        <v>09940003328</v>
      </c>
      <c r="B2754" s="7" t="str">
        <f t="shared" si="948"/>
        <v>吹田山田西</v>
      </c>
      <c r="C2754" s="7" t="str">
        <f t="shared" si="933"/>
        <v>行政財産</v>
      </c>
      <c r="D2754" s="7" t="str">
        <f t="shared" si="934"/>
        <v>公営住宅</v>
      </c>
      <c r="E2754" s="7" t="str">
        <f t="shared" si="949"/>
        <v>大阪府吹田市山田　西２丁目</v>
      </c>
      <c r="F2754" s="7"/>
      <c r="G2754" s="7" t="str">
        <f t="shared" si="931"/>
        <v>事業用資産</v>
      </c>
      <c r="H2754" s="7" t="str">
        <f t="shared" si="928"/>
        <v>棚卸以外</v>
      </c>
      <c r="I2754" s="7">
        <v>4</v>
      </c>
      <c r="J2754" s="7" t="str">
        <f>"集会所"</f>
        <v>集会所</v>
      </c>
      <c r="K2754" s="7" t="str">
        <f>"鉄筋"</f>
        <v>鉄筋</v>
      </c>
      <c r="L2754" s="7" t="str">
        <f>"S56.03.31"</f>
        <v>S56.03.31</v>
      </c>
      <c r="M2754" s="7">
        <v>149.77000000000001</v>
      </c>
      <c r="N2754" s="7">
        <v>24056000</v>
      </c>
      <c r="O2754" s="7">
        <v>21497112</v>
      </c>
      <c r="P2754" s="7">
        <v>0</v>
      </c>
      <c r="Q2754" s="7" t="str">
        <f t="shared" si="935"/>
        <v>都市整備部</v>
      </c>
      <c r="R2754" s="7" t="str">
        <f t="shared" si="932"/>
        <v>住宅建築局住宅経営室</v>
      </c>
    </row>
    <row r="2755" spans="1:18" s="1" customFormat="1" x14ac:dyDescent="0.45">
      <c r="A2755" s="7" t="str">
        <f t="shared" si="947"/>
        <v>09940003328</v>
      </c>
      <c r="B2755" s="7" t="str">
        <f t="shared" si="948"/>
        <v>吹田山田西</v>
      </c>
      <c r="C2755" s="7" t="str">
        <f t="shared" si="933"/>
        <v>行政財産</v>
      </c>
      <c r="D2755" s="7" t="str">
        <f t="shared" si="934"/>
        <v>公営住宅</v>
      </c>
      <c r="E2755" s="7" t="str">
        <f t="shared" si="949"/>
        <v>大阪府吹田市山田　西２丁目</v>
      </c>
      <c r="F2755" s="7"/>
      <c r="G2755" s="7" t="str">
        <f t="shared" si="931"/>
        <v>事業用資産</v>
      </c>
      <c r="H2755" s="7" t="str">
        <f t="shared" si="928"/>
        <v>棚卸以外</v>
      </c>
      <c r="I2755" s="7">
        <v>5</v>
      </c>
      <c r="J2755" s="7" t="str">
        <f>"受水槽"</f>
        <v>受水槽</v>
      </c>
      <c r="K2755" s="7" t="str">
        <f t="shared" ref="K2755:K2790" si="950">"鉄筋コンクリート造"</f>
        <v>鉄筋コンクリート造</v>
      </c>
      <c r="L2755" s="7" t="str">
        <f>"S56.03.31"</f>
        <v>S56.03.31</v>
      </c>
      <c r="M2755" s="7">
        <v>77.59</v>
      </c>
      <c r="N2755" s="7">
        <v>25825000</v>
      </c>
      <c r="O2755" s="7">
        <v>23078160</v>
      </c>
      <c r="P2755" s="7">
        <v>0</v>
      </c>
      <c r="Q2755" s="7" t="str">
        <f t="shared" si="935"/>
        <v>都市整備部</v>
      </c>
      <c r="R2755" s="7" t="str">
        <f t="shared" si="932"/>
        <v>住宅建築局住宅経営室</v>
      </c>
    </row>
    <row r="2756" spans="1:18" s="1" customFormat="1" x14ac:dyDescent="0.45">
      <c r="A2756" s="7" t="str">
        <f t="shared" si="947"/>
        <v>09940003328</v>
      </c>
      <c r="B2756" s="7" t="str">
        <f t="shared" si="948"/>
        <v>吹田山田西</v>
      </c>
      <c r="C2756" s="7" t="str">
        <f t="shared" si="933"/>
        <v>行政財産</v>
      </c>
      <c r="D2756" s="7" t="str">
        <f t="shared" si="934"/>
        <v>公営住宅</v>
      </c>
      <c r="E2756" s="7" t="str">
        <f t="shared" si="949"/>
        <v>大阪府吹田市山田　西２丁目</v>
      </c>
      <c r="F2756" s="7"/>
      <c r="G2756" s="7" t="str">
        <f t="shared" si="931"/>
        <v>事業用資産</v>
      </c>
      <c r="H2756" s="7" t="str">
        <f t="shared" ref="H2756:H2819" si="951">"棚卸以外"</f>
        <v>棚卸以外</v>
      </c>
      <c r="I2756" s="7">
        <v>6</v>
      </c>
      <c r="J2756" s="7" t="str">
        <f>"１号棟"</f>
        <v>１号棟</v>
      </c>
      <c r="K2756" s="7" t="str">
        <f t="shared" si="950"/>
        <v>鉄筋コンクリート造</v>
      </c>
      <c r="L2756" s="7" t="str">
        <f t="shared" ref="L2756:L2763" si="952">"S57.03.24"</f>
        <v>S57.03.24</v>
      </c>
      <c r="M2756" s="7">
        <v>5700.05</v>
      </c>
      <c r="N2756" s="7">
        <v>821088090</v>
      </c>
      <c r="O2756" s="7">
        <v>585093717</v>
      </c>
      <c r="P2756" s="7">
        <v>0</v>
      </c>
      <c r="Q2756" s="7" t="str">
        <f t="shared" si="935"/>
        <v>都市整備部</v>
      </c>
      <c r="R2756" s="7" t="str">
        <f t="shared" si="932"/>
        <v>住宅建築局住宅経営室</v>
      </c>
    </row>
    <row r="2757" spans="1:18" s="1" customFormat="1" x14ac:dyDescent="0.45">
      <c r="A2757" s="7" t="str">
        <f t="shared" si="947"/>
        <v>09940003328</v>
      </c>
      <c r="B2757" s="7" t="str">
        <f t="shared" si="948"/>
        <v>吹田山田西</v>
      </c>
      <c r="C2757" s="7" t="str">
        <f t="shared" si="933"/>
        <v>行政財産</v>
      </c>
      <c r="D2757" s="7" t="str">
        <f t="shared" si="934"/>
        <v>公営住宅</v>
      </c>
      <c r="E2757" s="7" t="str">
        <f t="shared" si="949"/>
        <v>大阪府吹田市山田　西２丁目</v>
      </c>
      <c r="F2757" s="7"/>
      <c r="G2757" s="7" t="str">
        <f t="shared" si="931"/>
        <v>事業用資産</v>
      </c>
      <c r="H2757" s="7" t="str">
        <f t="shared" si="951"/>
        <v>棚卸以外</v>
      </c>
      <c r="I2757" s="7">
        <v>7</v>
      </c>
      <c r="J2757" s="7" t="str">
        <f>"２号棟"</f>
        <v>２号棟</v>
      </c>
      <c r="K2757" s="7" t="str">
        <f t="shared" si="950"/>
        <v>鉄筋コンクリート造</v>
      </c>
      <c r="L2757" s="7" t="str">
        <f t="shared" si="952"/>
        <v>S57.03.24</v>
      </c>
      <c r="M2757" s="7">
        <v>6559.15</v>
      </c>
      <c r="N2757" s="7">
        <v>823243605</v>
      </c>
      <c r="O2757" s="7">
        <v>651463757</v>
      </c>
      <c r="P2757" s="7">
        <v>0</v>
      </c>
      <c r="Q2757" s="7" t="str">
        <f t="shared" si="935"/>
        <v>都市整備部</v>
      </c>
      <c r="R2757" s="7" t="str">
        <f t="shared" si="932"/>
        <v>住宅建築局住宅経営室</v>
      </c>
    </row>
    <row r="2758" spans="1:18" s="1" customFormat="1" x14ac:dyDescent="0.45">
      <c r="A2758" s="7" t="str">
        <f t="shared" si="947"/>
        <v>09940003328</v>
      </c>
      <c r="B2758" s="7" t="str">
        <f t="shared" si="948"/>
        <v>吹田山田西</v>
      </c>
      <c r="C2758" s="7" t="str">
        <f t="shared" si="933"/>
        <v>行政財産</v>
      </c>
      <c r="D2758" s="7" t="str">
        <f t="shared" si="934"/>
        <v>公営住宅</v>
      </c>
      <c r="E2758" s="7" t="str">
        <f t="shared" si="949"/>
        <v>大阪府吹田市山田　西２丁目</v>
      </c>
      <c r="F2758" s="7"/>
      <c r="G2758" s="7" t="str">
        <f t="shared" si="931"/>
        <v>事業用資産</v>
      </c>
      <c r="H2758" s="7" t="str">
        <f t="shared" si="951"/>
        <v>棚卸以外</v>
      </c>
      <c r="I2758" s="7">
        <v>8</v>
      </c>
      <c r="J2758" s="7" t="str">
        <f>"３号棟"</f>
        <v>３号棟</v>
      </c>
      <c r="K2758" s="7" t="str">
        <f t="shared" si="950"/>
        <v>鉄筋コンクリート造</v>
      </c>
      <c r="L2758" s="7" t="str">
        <f t="shared" si="952"/>
        <v>S57.03.24</v>
      </c>
      <c r="M2758" s="7">
        <v>4591.4799999999996</v>
      </c>
      <c r="N2758" s="7">
        <v>605034415</v>
      </c>
      <c r="O2758" s="7">
        <v>462049755</v>
      </c>
      <c r="P2758" s="7">
        <v>0</v>
      </c>
      <c r="Q2758" s="7" t="str">
        <f t="shared" si="935"/>
        <v>都市整備部</v>
      </c>
      <c r="R2758" s="7" t="str">
        <f t="shared" si="932"/>
        <v>住宅建築局住宅経営室</v>
      </c>
    </row>
    <row r="2759" spans="1:18" s="1" customFormat="1" x14ac:dyDescent="0.45">
      <c r="A2759" s="7" t="str">
        <f t="shared" si="947"/>
        <v>09940003328</v>
      </c>
      <c r="B2759" s="7" t="str">
        <f t="shared" si="948"/>
        <v>吹田山田西</v>
      </c>
      <c r="C2759" s="7" t="str">
        <f t="shared" si="933"/>
        <v>行政財産</v>
      </c>
      <c r="D2759" s="7" t="str">
        <f t="shared" si="934"/>
        <v>公営住宅</v>
      </c>
      <c r="E2759" s="7" t="str">
        <f t="shared" si="949"/>
        <v>大阪府吹田市山田　西２丁目</v>
      </c>
      <c r="F2759" s="7"/>
      <c r="G2759" s="7" t="str">
        <f t="shared" si="931"/>
        <v>事業用資産</v>
      </c>
      <c r="H2759" s="7" t="str">
        <f t="shared" si="951"/>
        <v>棚卸以外</v>
      </c>
      <c r="I2759" s="7">
        <v>9</v>
      </c>
      <c r="J2759" s="7" t="str">
        <f>"６号棟"</f>
        <v>６号棟</v>
      </c>
      <c r="K2759" s="7" t="str">
        <f t="shared" si="950"/>
        <v>鉄筋コンクリート造</v>
      </c>
      <c r="L2759" s="7" t="str">
        <f t="shared" si="952"/>
        <v>S57.03.24</v>
      </c>
      <c r="M2759" s="7">
        <v>1356.5</v>
      </c>
      <c r="N2759" s="7">
        <v>138795439</v>
      </c>
      <c r="O2759" s="7">
        <v>120843072</v>
      </c>
      <c r="P2759" s="7">
        <v>0</v>
      </c>
      <c r="Q2759" s="7" t="str">
        <f t="shared" si="935"/>
        <v>都市整備部</v>
      </c>
      <c r="R2759" s="7" t="str">
        <f t="shared" si="932"/>
        <v>住宅建築局住宅経営室</v>
      </c>
    </row>
    <row r="2760" spans="1:18" s="1" customFormat="1" x14ac:dyDescent="0.45">
      <c r="A2760" s="7" t="str">
        <f t="shared" si="947"/>
        <v>09940003328</v>
      </c>
      <c r="B2760" s="7" t="str">
        <f t="shared" si="948"/>
        <v>吹田山田西</v>
      </c>
      <c r="C2760" s="7" t="str">
        <f t="shared" si="933"/>
        <v>行政財産</v>
      </c>
      <c r="D2760" s="7" t="str">
        <f t="shared" si="934"/>
        <v>公営住宅</v>
      </c>
      <c r="E2760" s="7" t="str">
        <f t="shared" si="949"/>
        <v>大阪府吹田市山田　西２丁目</v>
      </c>
      <c r="F2760" s="7"/>
      <c r="G2760" s="7" t="str">
        <f t="shared" si="931"/>
        <v>事業用資産</v>
      </c>
      <c r="H2760" s="7" t="str">
        <f t="shared" si="951"/>
        <v>棚卸以外</v>
      </c>
      <c r="I2760" s="7">
        <v>10</v>
      </c>
      <c r="J2760" s="7" t="str">
        <f>"８号棟"</f>
        <v>８号棟</v>
      </c>
      <c r="K2760" s="7" t="str">
        <f t="shared" si="950"/>
        <v>鉄筋コンクリート造</v>
      </c>
      <c r="L2760" s="7" t="str">
        <f t="shared" si="952"/>
        <v>S57.03.24</v>
      </c>
      <c r="M2760" s="7">
        <v>2619.85</v>
      </c>
      <c r="N2760" s="7">
        <v>280158000</v>
      </c>
      <c r="O2760" s="7">
        <v>244393620</v>
      </c>
      <c r="P2760" s="7">
        <v>0</v>
      </c>
      <c r="Q2760" s="7" t="str">
        <f t="shared" si="935"/>
        <v>都市整備部</v>
      </c>
      <c r="R2760" s="7" t="str">
        <f t="shared" si="932"/>
        <v>住宅建築局住宅経営室</v>
      </c>
    </row>
    <row r="2761" spans="1:18" s="1" customFormat="1" x14ac:dyDescent="0.45">
      <c r="A2761" s="7" t="str">
        <f t="shared" si="947"/>
        <v>09940003328</v>
      </c>
      <c r="B2761" s="7" t="str">
        <f t="shared" si="948"/>
        <v>吹田山田西</v>
      </c>
      <c r="C2761" s="7" t="str">
        <f t="shared" si="933"/>
        <v>行政財産</v>
      </c>
      <c r="D2761" s="7" t="str">
        <f t="shared" si="934"/>
        <v>公営住宅</v>
      </c>
      <c r="E2761" s="7" t="str">
        <f t="shared" si="949"/>
        <v>大阪府吹田市山田　西２丁目</v>
      </c>
      <c r="F2761" s="7"/>
      <c r="G2761" s="7" t="str">
        <f t="shared" si="931"/>
        <v>事業用資産</v>
      </c>
      <c r="H2761" s="7" t="str">
        <f t="shared" si="951"/>
        <v>棚卸以外</v>
      </c>
      <c r="I2761" s="7">
        <v>11</v>
      </c>
      <c r="J2761" s="7" t="str">
        <f>"９号棟"</f>
        <v>９号棟</v>
      </c>
      <c r="K2761" s="7" t="str">
        <f t="shared" si="950"/>
        <v>鉄筋コンクリート造</v>
      </c>
      <c r="L2761" s="7" t="str">
        <f t="shared" si="952"/>
        <v>S57.03.24</v>
      </c>
      <c r="M2761" s="7">
        <v>1868.61</v>
      </c>
      <c r="N2761" s="7">
        <v>192864000</v>
      </c>
      <c r="O2761" s="7">
        <v>168243336</v>
      </c>
      <c r="P2761" s="7">
        <v>0</v>
      </c>
      <c r="Q2761" s="7" t="str">
        <f t="shared" si="935"/>
        <v>都市整備部</v>
      </c>
      <c r="R2761" s="7" t="str">
        <f t="shared" si="932"/>
        <v>住宅建築局住宅経営室</v>
      </c>
    </row>
    <row r="2762" spans="1:18" s="1" customFormat="1" x14ac:dyDescent="0.45">
      <c r="A2762" s="7" t="str">
        <f t="shared" si="947"/>
        <v>09940003328</v>
      </c>
      <c r="B2762" s="7" t="str">
        <f t="shared" si="948"/>
        <v>吹田山田西</v>
      </c>
      <c r="C2762" s="7" t="str">
        <f t="shared" si="933"/>
        <v>行政財産</v>
      </c>
      <c r="D2762" s="7" t="str">
        <f t="shared" si="934"/>
        <v>公営住宅</v>
      </c>
      <c r="E2762" s="7" t="str">
        <f t="shared" si="949"/>
        <v>大阪府吹田市山田　西２丁目</v>
      </c>
      <c r="F2762" s="7"/>
      <c r="G2762" s="7" t="str">
        <f t="shared" si="931"/>
        <v>事業用資産</v>
      </c>
      <c r="H2762" s="7" t="str">
        <f t="shared" si="951"/>
        <v>棚卸以外</v>
      </c>
      <c r="I2762" s="7">
        <v>12</v>
      </c>
      <c r="J2762" s="7" t="str">
        <f>"１０号棟"</f>
        <v>１０号棟</v>
      </c>
      <c r="K2762" s="7" t="str">
        <f t="shared" si="950"/>
        <v>鉄筋コンクリート造</v>
      </c>
      <c r="L2762" s="7" t="str">
        <f t="shared" si="952"/>
        <v>S57.03.24</v>
      </c>
      <c r="M2762" s="7">
        <v>994.85</v>
      </c>
      <c r="N2762" s="7">
        <v>103878000</v>
      </c>
      <c r="O2762" s="7">
        <v>90617052</v>
      </c>
      <c r="P2762" s="7">
        <v>0</v>
      </c>
      <c r="Q2762" s="7" t="str">
        <f t="shared" si="935"/>
        <v>都市整備部</v>
      </c>
      <c r="R2762" s="7" t="str">
        <f t="shared" si="932"/>
        <v>住宅建築局住宅経営室</v>
      </c>
    </row>
    <row r="2763" spans="1:18" s="1" customFormat="1" x14ac:dyDescent="0.45">
      <c r="A2763" s="7" t="str">
        <f t="shared" si="947"/>
        <v>09940003328</v>
      </c>
      <c r="B2763" s="7" t="str">
        <f t="shared" si="948"/>
        <v>吹田山田西</v>
      </c>
      <c r="C2763" s="7" t="str">
        <f t="shared" si="933"/>
        <v>行政財産</v>
      </c>
      <c r="D2763" s="7" t="str">
        <f t="shared" si="934"/>
        <v>公営住宅</v>
      </c>
      <c r="E2763" s="7" t="str">
        <f t="shared" si="949"/>
        <v>大阪府吹田市山田　西２丁目</v>
      </c>
      <c r="F2763" s="7"/>
      <c r="G2763" s="7" t="str">
        <f t="shared" si="931"/>
        <v>事業用資産</v>
      </c>
      <c r="H2763" s="7" t="str">
        <f t="shared" si="951"/>
        <v>棚卸以外</v>
      </c>
      <c r="I2763" s="7">
        <v>13</v>
      </c>
      <c r="J2763" s="7" t="str">
        <f>"受水槽"</f>
        <v>受水槽</v>
      </c>
      <c r="K2763" s="7" t="str">
        <f t="shared" si="950"/>
        <v>鉄筋コンクリート造</v>
      </c>
      <c r="L2763" s="7" t="str">
        <f t="shared" si="952"/>
        <v>S57.03.24</v>
      </c>
      <c r="M2763" s="7">
        <v>105.6</v>
      </c>
      <c r="N2763" s="7">
        <v>29871000</v>
      </c>
      <c r="O2763" s="7">
        <v>26057796</v>
      </c>
      <c r="P2763" s="7">
        <v>0</v>
      </c>
      <c r="Q2763" s="7" t="str">
        <f t="shared" si="935"/>
        <v>都市整備部</v>
      </c>
      <c r="R2763" s="7" t="str">
        <f t="shared" si="932"/>
        <v>住宅建築局住宅経営室</v>
      </c>
    </row>
    <row r="2764" spans="1:18" s="1" customFormat="1" x14ac:dyDescent="0.45">
      <c r="A2764" s="7" t="str">
        <f t="shared" ref="A2764:A2772" si="953">"09940003329"</f>
        <v>09940003329</v>
      </c>
      <c r="B2764" s="7" t="str">
        <f t="shared" ref="B2764:B2772" si="954">"吹田山田西第２"</f>
        <v>吹田山田西第２</v>
      </c>
      <c r="C2764" s="7" t="str">
        <f t="shared" si="933"/>
        <v>行政財産</v>
      </c>
      <c r="D2764" s="7" t="str">
        <f t="shared" si="934"/>
        <v>公営住宅</v>
      </c>
      <c r="E2764" s="7" t="str">
        <f t="shared" si="949"/>
        <v>大阪府吹田市山田　西２丁目</v>
      </c>
      <c r="F2764" s="7"/>
      <c r="G2764" s="7" t="str">
        <f t="shared" si="931"/>
        <v>事業用資産</v>
      </c>
      <c r="H2764" s="7" t="str">
        <f t="shared" si="951"/>
        <v>棚卸以外</v>
      </c>
      <c r="I2764" s="7">
        <v>1</v>
      </c>
      <c r="J2764" s="7" t="str">
        <f>"１号棟"</f>
        <v>１号棟</v>
      </c>
      <c r="K2764" s="7" t="str">
        <f t="shared" si="950"/>
        <v>鉄筋コンクリート造</v>
      </c>
      <c r="L2764" s="7" t="str">
        <f t="shared" ref="L2764:L2772" si="955">"S61.03.27"</f>
        <v>S61.03.27</v>
      </c>
      <c r="M2764" s="7">
        <v>2159.15</v>
      </c>
      <c r="N2764" s="7">
        <v>261130000</v>
      </c>
      <c r="O2764" s="7">
        <v>205570668</v>
      </c>
      <c r="P2764" s="7">
        <v>0</v>
      </c>
      <c r="Q2764" s="7" t="str">
        <f t="shared" si="935"/>
        <v>都市整備部</v>
      </c>
      <c r="R2764" s="7" t="str">
        <f t="shared" si="932"/>
        <v>住宅建築局住宅経営室</v>
      </c>
    </row>
    <row r="2765" spans="1:18" s="1" customFormat="1" x14ac:dyDescent="0.45">
      <c r="A2765" s="7" t="str">
        <f t="shared" si="953"/>
        <v>09940003329</v>
      </c>
      <c r="B2765" s="7" t="str">
        <f t="shared" si="954"/>
        <v>吹田山田西第２</v>
      </c>
      <c r="C2765" s="7" t="str">
        <f t="shared" si="933"/>
        <v>行政財産</v>
      </c>
      <c r="D2765" s="7" t="str">
        <f t="shared" si="934"/>
        <v>公営住宅</v>
      </c>
      <c r="E2765" s="7" t="str">
        <f t="shared" si="949"/>
        <v>大阪府吹田市山田　西２丁目</v>
      </c>
      <c r="F2765" s="7"/>
      <c r="G2765" s="7" t="str">
        <f t="shared" si="931"/>
        <v>事業用資産</v>
      </c>
      <c r="H2765" s="7" t="str">
        <f t="shared" si="951"/>
        <v>棚卸以外</v>
      </c>
      <c r="I2765" s="7">
        <v>2</v>
      </c>
      <c r="J2765" s="7" t="str">
        <f>"２号棟"</f>
        <v>２号棟</v>
      </c>
      <c r="K2765" s="7" t="str">
        <f t="shared" si="950"/>
        <v>鉄筋コンクリート造</v>
      </c>
      <c r="L2765" s="7" t="str">
        <f t="shared" si="955"/>
        <v>S61.03.27</v>
      </c>
      <c r="M2765" s="7">
        <v>1342.5</v>
      </c>
      <c r="N2765" s="7">
        <v>142343000</v>
      </c>
      <c r="O2765" s="7">
        <v>112057608</v>
      </c>
      <c r="P2765" s="7">
        <v>0</v>
      </c>
      <c r="Q2765" s="7" t="str">
        <f t="shared" si="935"/>
        <v>都市整備部</v>
      </c>
      <c r="R2765" s="7" t="str">
        <f t="shared" si="932"/>
        <v>住宅建築局住宅経営室</v>
      </c>
    </row>
    <row r="2766" spans="1:18" s="1" customFormat="1" x14ac:dyDescent="0.45">
      <c r="A2766" s="7" t="str">
        <f t="shared" si="953"/>
        <v>09940003329</v>
      </c>
      <c r="B2766" s="7" t="str">
        <f t="shared" si="954"/>
        <v>吹田山田西第２</v>
      </c>
      <c r="C2766" s="7" t="str">
        <f t="shared" si="933"/>
        <v>行政財産</v>
      </c>
      <c r="D2766" s="7" t="str">
        <f t="shared" si="934"/>
        <v>公営住宅</v>
      </c>
      <c r="E2766" s="7" t="str">
        <f t="shared" si="949"/>
        <v>大阪府吹田市山田　西２丁目</v>
      </c>
      <c r="F2766" s="7"/>
      <c r="G2766" s="7" t="str">
        <f t="shared" si="931"/>
        <v>事業用資産</v>
      </c>
      <c r="H2766" s="7" t="str">
        <f t="shared" si="951"/>
        <v>棚卸以外</v>
      </c>
      <c r="I2766" s="7">
        <v>3</v>
      </c>
      <c r="J2766" s="7" t="str">
        <f>"３号棟"</f>
        <v>３号棟</v>
      </c>
      <c r="K2766" s="7" t="str">
        <f t="shared" si="950"/>
        <v>鉄筋コンクリート造</v>
      </c>
      <c r="L2766" s="7" t="str">
        <f t="shared" si="955"/>
        <v>S61.03.27</v>
      </c>
      <c r="M2766" s="7">
        <v>1411.4</v>
      </c>
      <c r="N2766" s="7">
        <v>159590878</v>
      </c>
      <c r="O2766" s="7">
        <v>125204448</v>
      </c>
      <c r="P2766" s="7">
        <v>0</v>
      </c>
      <c r="Q2766" s="7" t="str">
        <f t="shared" si="935"/>
        <v>都市整備部</v>
      </c>
      <c r="R2766" s="7" t="str">
        <f t="shared" si="932"/>
        <v>住宅建築局住宅経営室</v>
      </c>
    </row>
    <row r="2767" spans="1:18" s="1" customFormat="1" x14ac:dyDescent="0.45">
      <c r="A2767" s="7" t="str">
        <f t="shared" si="953"/>
        <v>09940003329</v>
      </c>
      <c r="B2767" s="7" t="str">
        <f t="shared" si="954"/>
        <v>吹田山田西第２</v>
      </c>
      <c r="C2767" s="7" t="str">
        <f t="shared" si="933"/>
        <v>行政財産</v>
      </c>
      <c r="D2767" s="7" t="str">
        <f t="shared" si="934"/>
        <v>公営住宅</v>
      </c>
      <c r="E2767" s="7" t="str">
        <f t="shared" si="949"/>
        <v>大阪府吹田市山田　西２丁目</v>
      </c>
      <c r="F2767" s="7"/>
      <c r="G2767" s="7" t="str">
        <f t="shared" si="931"/>
        <v>事業用資産</v>
      </c>
      <c r="H2767" s="7" t="str">
        <f t="shared" si="951"/>
        <v>棚卸以外</v>
      </c>
      <c r="I2767" s="7">
        <v>4</v>
      </c>
      <c r="J2767" s="7" t="str">
        <f>"４号棟"</f>
        <v>４号棟</v>
      </c>
      <c r="K2767" s="7" t="str">
        <f t="shared" si="950"/>
        <v>鉄筋コンクリート造</v>
      </c>
      <c r="L2767" s="7" t="str">
        <f t="shared" si="955"/>
        <v>S61.03.27</v>
      </c>
      <c r="M2767" s="7">
        <v>1411.4</v>
      </c>
      <c r="N2767" s="7">
        <v>157041000</v>
      </c>
      <c r="O2767" s="7">
        <v>123628248</v>
      </c>
      <c r="P2767" s="7">
        <v>0</v>
      </c>
      <c r="Q2767" s="7" t="str">
        <f t="shared" si="935"/>
        <v>都市整備部</v>
      </c>
      <c r="R2767" s="7" t="str">
        <f t="shared" si="932"/>
        <v>住宅建築局住宅経営室</v>
      </c>
    </row>
    <row r="2768" spans="1:18" s="1" customFormat="1" x14ac:dyDescent="0.45">
      <c r="A2768" s="7" t="str">
        <f t="shared" si="953"/>
        <v>09940003329</v>
      </c>
      <c r="B2768" s="7" t="str">
        <f t="shared" si="954"/>
        <v>吹田山田西第２</v>
      </c>
      <c r="C2768" s="7" t="str">
        <f t="shared" si="933"/>
        <v>行政財産</v>
      </c>
      <c r="D2768" s="7" t="str">
        <f t="shared" si="934"/>
        <v>公営住宅</v>
      </c>
      <c r="E2768" s="7" t="str">
        <f t="shared" si="949"/>
        <v>大阪府吹田市山田　西２丁目</v>
      </c>
      <c r="F2768" s="7"/>
      <c r="G2768" s="7" t="str">
        <f t="shared" si="931"/>
        <v>事業用資産</v>
      </c>
      <c r="H2768" s="7" t="str">
        <f t="shared" si="951"/>
        <v>棚卸以外</v>
      </c>
      <c r="I2768" s="7">
        <v>5</v>
      </c>
      <c r="J2768" s="7" t="str">
        <f>"５号棟"</f>
        <v>５号棟</v>
      </c>
      <c r="K2768" s="7" t="str">
        <f t="shared" si="950"/>
        <v>鉄筋コンクリート造</v>
      </c>
      <c r="L2768" s="7" t="str">
        <f t="shared" si="955"/>
        <v>S61.03.27</v>
      </c>
      <c r="M2768" s="7">
        <v>2086.4499999999998</v>
      </c>
      <c r="N2768" s="7">
        <v>206346939</v>
      </c>
      <c r="O2768" s="7">
        <v>162227832</v>
      </c>
      <c r="P2768" s="7">
        <v>0</v>
      </c>
      <c r="Q2768" s="7" t="str">
        <f t="shared" si="935"/>
        <v>都市整備部</v>
      </c>
      <c r="R2768" s="7" t="str">
        <f t="shared" si="932"/>
        <v>住宅建築局住宅経営室</v>
      </c>
    </row>
    <row r="2769" spans="1:18" s="1" customFormat="1" x14ac:dyDescent="0.45">
      <c r="A2769" s="7" t="str">
        <f t="shared" si="953"/>
        <v>09940003329</v>
      </c>
      <c r="B2769" s="7" t="str">
        <f t="shared" si="954"/>
        <v>吹田山田西第２</v>
      </c>
      <c r="C2769" s="7" t="str">
        <f t="shared" si="933"/>
        <v>行政財産</v>
      </c>
      <c r="D2769" s="7" t="str">
        <f t="shared" si="934"/>
        <v>公営住宅</v>
      </c>
      <c r="E2769" s="7" t="str">
        <f t="shared" si="949"/>
        <v>大阪府吹田市山田　西２丁目</v>
      </c>
      <c r="F2769" s="7"/>
      <c r="G2769" s="7" t="str">
        <f t="shared" si="931"/>
        <v>事業用資産</v>
      </c>
      <c r="H2769" s="7" t="str">
        <f t="shared" si="951"/>
        <v>棚卸以外</v>
      </c>
      <c r="I2769" s="7">
        <v>6</v>
      </c>
      <c r="J2769" s="7" t="str">
        <f>"６号棟"</f>
        <v>６号棟</v>
      </c>
      <c r="K2769" s="7" t="str">
        <f t="shared" si="950"/>
        <v>鉄筋コンクリート造</v>
      </c>
      <c r="L2769" s="7" t="str">
        <f t="shared" si="955"/>
        <v>S61.03.27</v>
      </c>
      <c r="M2769" s="7">
        <v>1452.55</v>
      </c>
      <c r="N2769" s="7">
        <v>161657000</v>
      </c>
      <c r="O2769" s="7">
        <v>127261944</v>
      </c>
      <c r="P2769" s="7">
        <v>0</v>
      </c>
      <c r="Q2769" s="7" t="str">
        <f t="shared" si="935"/>
        <v>都市整備部</v>
      </c>
      <c r="R2769" s="7" t="str">
        <f t="shared" si="932"/>
        <v>住宅建築局住宅経営室</v>
      </c>
    </row>
    <row r="2770" spans="1:18" s="1" customFormat="1" x14ac:dyDescent="0.45">
      <c r="A2770" s="7" t="str">
        <f t="shared" si="953"/>
        <v>09940003329</v>
      </c>
      <c r="B2770" s="7" t="str">
        <f t="shared" si="954"/>
        <v>吹田山田西第２</v>
      </c>
      <c r="C2770" s="7" t="str">
        <f t="shared" si="933"/>
        <v>行政財産</v>
      </c>
      <c r="D2770" s="7" t="str">
        <f t="shared" si="934"/>
        <v>公営住宅</v>
      </c>
      <c r="E2770" s="7" t="str">
        <f t="shared" si="949"/>
        <v>大阪府吹田市山田　西２丁目</v>
      </c>
      <c r="F2770" s="7"/>
      <c r="G2770" s="7" t="str">
        <f t="shared" si="931"/>
        <v>事業用資産</v>
      </c>
      <c r="H2770" s="7" t="str">
        <f t="shared" si="951"/>
        <v>棚卸以外</v>
      </c>
      <c r="I2770" s="7">
        <v>7</v>
      </c>
      <c r="J2770" s="7" t="str">
        <f>"７号棟"</f>
        <v>７号棟</v>
      </c>
      <c r="K2770" s="7" t="str">
        <f t="shared" si="950"/>
        <v>鉄筋コンクリート造</v>
      </c>
      <c r="L2770" s="7" t="str">
        <f t="shared" si="955"/>
        <v>S61.03.27</v>
      </c>
      <c r="M2770" s="7">
        <v>1411.4</v>
      </c>
      <c r="N2770" s="7">
        <v>161497000</v>
      </c>
      <c r="O2770" s="7">
        <v>125380512</v>
      </c>
      <c r="P2770" s="7">
        <v>0</v>
      </c>
      <c r="Q2770" s="7" t="str">
        <f t="shared" si="935"/>
        <v>都市整備部</v>
      </c>
      <c r="R2770" s="7" t="str">
        <f t="shared" si="932"/>
        <v>住宅建築局住宅経営室</v>
      </c>
    </row>
    <row r="2771" spans="1:18" s="1" customFormat="1" x14ac:dyDescent="0.45">
      <c r="A2771" s="7" t="str">
        <f t="shared" si="953"/>
        <v>09940003329</v>
      </c>
      <c r="B2771" s="7" t="str">
        <f t="shared" si="954"/>
        <v>吹田山田西第２</v>
      </c>
      <c r="C2771" s="7" t="str">
        <f t="shared" si="933"/>
        <v>行政財産</v>
      </c>
      <c r="D2771" s="7" t="str">
        <f t="shared" si="934"/>
        <v>公営住宅</v>
      </c>
      <c r="E2771" s="7" t="str">
        <f t="shared" si="949"/>
        <v>大阪府吹田市山田　西２丁目</v>
      </c>
      <c r="F2771" s="7"/>
      <c r="G2771" s="7" t="str">
        <f t="shared" si="931"/>
        <v>事業用資産</v>
      </c>
      <c r="H2771" s="7" t="str">
        <f t="shared" si="951"/>
        <v>棚卸以外</v>
      </c>
      <c r="I2771" s="7">
        <v>8</v>
      </c>
      <c r="J2771" s="7" t="str">
        <f>"集会所"</f>
        <v>集会所</v>
      </c>
      <c r="K2771" s="7" t="str">
        <f t="shared" si="950"/>
        <v>鉄筋コンクリート造</v>
      </c>
      <c r="L2771" s="7" t="str">
        <f t="shared" si="955"/>
        <v>S61.03.27</v>
      </c>
      <c r="M2771" s="7">
        <v>158</v>
      </c>
      <c r="N2771" s="7">
        <v>23161000</v>
      </c>
      <c r="O2771" s="7">
        <v>18233304</v>
      </c>
      <c r="P2771" s="7">
        <v>0</v>
      </c>
      <c r="Q2771" s="7" t="str">
        <f t="shared" si="935"/>
        <v>都市整備部</v>
      </c>
      <c r="R2771" s="7" t="str">
        <f t="shared" si="932"/>
        <v>住宅建築局住宅経営室</v>
      </c>
    </row>
    <row r="2772" spans="1:18" s="1" customFormat="1" x14ac:dyDescent="0.45">
      <c r="A2772" s="7" t="str">
        <f t="shared" si="953"/>
        <v>09940003329</v>
      </c>
      <c r="B2772" s="7" t="str">
        <f t="shared" si="954"/>
        <v>吹田山田西第２</v>
      </c>
      <c r="C2772" s="7" t="str">
        <f t="shared" si="933"/>
        <v>行政財産</v>
      </c>
      <c r="D2772" s="7" t="str">
        <f t="shared" si="934"/>
        <v>公営住宅</v>
      </c>
      <c r="E2772" s="7" t="str">
        <f t="shared" si="949"/>
        <v>大阪府吹田市山田　西２丁目</v>
      </c>
      <c r="F2772" s="7"/>
      <c r="G2772" s="7" t="str">
        <f t="shared" si="931"/>
        <v>事業用資産</v>
      </c>
      <c r="H2772" s="7" t="str">
        <f t="shared" si="951"/>
        <v>棚卸以外</v>
      </c>
      <c r="I2772" s="7">
        <v>9</v>
      </c>
      <c r="J2772" s="7" t="str">
        <f>"受水槽"</f>
        <v>受水槽</v>
      </c>
      <c r="K2772" s="7" t="str">
        <f t="shared" si="950"/>
        <v>鉄筋コンクリート造</v>
      </c>
      <c r="L2772" s="7" t="str">
        <f t="shared" si="955"/>
        <v>S61.03.27</v>
      </c>
      <c r="M2772" s="7">
        <v>48</v>
      </c>
      <c r="N2772" s="7">
        <v>26284000</v>
      </c>
      <c r="O2772" s="7">
        <v>20691732</v>
      </c>
      <c r="P2772" s="7">
        <v>0</v>
      </c>
      <c r="Q2772" s="7" t="str">
        <f t="shared" si="935"/>
        <v>都市整備部</v>
      </c>
      <c r="R2772" s="7" t="str">
        <f t="shared" si="932"/>
        <v>住宅建築局住宅経営室</v>
      </c>
    </row>
    <row r="2773" spans="1:18" s="1" customFormat="1" x14ac:dyDescent="0.45">
      <c r="A2773" s="7" t="str">
        <f t="shared" ref="A2773:A2780" si="956">"09940003334"</f>
        <v>09940003334</v>
      </c>
      <c r="B2773" s="7" t="str">
        <f t="shared" ref="B2773:B2780" si="957">"千里竹見台・吹田竹見台"</f>
        <v>千里竹見台・吹田竹見台</v>
      </c>
      <c r="C2773" s="7" t="str">
        <f t="shared" si="933"/>
        <v>行政財産</v>
      </c>
      <c r="D2773" s="7" t="str">
        <f t="shared" si="934"/>
        <v>公営住宅</v>
      </c>
      <c r="E2773" s="7" t="str">
        <f t="shared" ref="E2773:E2780" si="958">"大阪府吹田市竹見台４丁目"</f>
        <v>大阪府吹田市竹見台４丁目</v>
      </c>
      <c r="F2773" s="7"/>
      <c r="G2773" s="7" t="str">
        <f t="shared" si="931"/>
        <v>事業用資産</v>
      </c>
      <c r="H2773" s="7" t="str">
        <f t="shared" si="951"/>
        <v>棚卸以外</v>
      </c>
      <c r="I2773" s="7">
        <v>6</v>
      </c>
      <c r="J2773" s="7" t="str">
        <f>"吹田竹見台１号棟"</f>
        <v>吹田竹見台１号棟</v>
      </c>
      <c r="K2773" s="7" t="str">
        <f t="shared" si="950"/>
        <v>鉄筋コンクリート造</v>
      </c>
      <c r="L2773" s="7" t="str">
        <f>"H25.02.01"</f>
        <v>H25.02.01</v>
      </c>
      <c r="M2773" s="7">
        <v>8337.1299999999992</v>
      </c>
      <c r="N2773" s="7">
        <v>1054864739</v>
      </c>
      <c r="O2773" s="7">
        <v>226301719</v>
      </c>
      <c r="P2773" s="7">
        <v>0</v>
      </c>
      <c r="Q2773" s="7" t="str">
        <f t="shared" si="935"/>
        <v>都市整備部</v>
      </c>
      <c r="R2773" s="7" t="str">
        <f t="shared" si="932"/>
        <v>住宅建築局住宅経営室</v>
      </c>
    </row>
    <row r="2774" spans="1:18" s="1" customFormat="1" x14ac:dyDescent="0.45">
      <c r="A2774" s="7" t="str">
        <f t="shared" si="956"/>
        <v>09940003334</v>
      </c>
      <c r="B2774" s="7" t="str">
        <f t="shared" si="957"/>
        <v>千里竹見台・吹田竹見台</v>
      </c>
      <c r="C2774" s="7" t="str">
        <f t="shared" si="933"/>
        <v>行政財産</v>
      </c>
      <c r="D2774" s="7" t="str">
        <f t="shared" si="934"/>
        <v>公営住宅</v>
      </c>
      <c r="E2774" s="7" t="str">
        <f t="shared" si="958"/>
        <v>大阪府吹田市竹見台４丁目</v>
      </c>
      <c r="F2774" s="7"/>
      <c r="G2774" s="7" t="str">
        <f t="shared" si="931"/>
        <v>事業用資産</v>
      </c>
      <c r="H2774" s="7" t="str">
        <f t="shared" si="951"/>
        <v>棚卸以外</v>
      </c>
      <c r="I2774" s="7">
        <v>7</v>
      </c>
      <c r="J2774" s="7" t="str">
        <f>"吹田竹見台２号棟"</f>
        <v>吹田竹見台２号棟</v>
      </c>
      <c r="K2774" s="7" t="str">
        <f t="shared" si="950"/>
        <v>鉄筋コンクリート造</v>
      </c>
      <c r="L2774" s="7" t="str">
        <f>"H25.02.01"</f>
        <v>H25.02.01</v>
      </c>
      <c r="M2774" s="7">
        <v>4752.26</v>
      </c>
      <c r="N2774" s="7">
        <v>590075651</v>
      </c>
      <c r="O2774" s="7">
        <v>126587785</v>
      </c>
      <c r="P2774" s="7">
        <v>0</v>
      </c>
      <c r="Q2774" s="7" t="str">
        <f t="shared" si="935"/>
        <v>都市整備部</v>
      </c>
      <c r="R2774" s="7" t="str">
        <f t="shared" si="932"/>
        <v>住宅建築局住宅経営室</v>
      </c>
    </row>
    <row r="2775" spans="1:18" s="1" customFormat="1" ht="26.4" x14ac:dyDescent="0.45">
      <c r="A2775" s="7" t="str">
        <f t="shared" si="956"/>
        <v>09940003334</v>
      </c>
      <c r="B2775" s="7" t="str">
        <f t="shared" si="957"/>
        <v>千里竹見台・吹田竹見台</v>
      </c>
      <c r="C2775" s="7" t="str">
        <f t="shared" si="933"/>
        <v>行政財産</v>
      </c>
      <c r="D2775" s="7" t="str">
        <f t="shared" si="934"/>
        <v>公営住宅</v>
      </c>
      <c r="E2775" s="7" t="str">
        <f t="shared" si="958"/>
        <v>大阪府吹田市竹見台４丁目</v>
      </c>
      <c r="F2775" s="7"/>
      <c r="G2775" s="7" t="str">
        <f t="shared" ref="G2775:G2838" si="959">"事業用資産"</f>
        <v>事業用資産</v>
      </c>
      <c r="H2775" s="7" t="str">
        <f t="shared" si="951"/>
        <v>棚卸以外</v>
      </c>
      <c r="I2775" s="7">
        <v>8</v>
      </c>
      <c r="J2775" s="7" t="str">
        <f>"集会所・巡回室・ブースターポンプ室・電気室"</f>
        <v>集会所・巡回室・ブースターポンプ室・電気室</v>
      </c>
      <c r="K2775" s="7" t="str">
        <f t="shared" si="950"/>
        <v>鉄筋コンクリート造</v>
      </c>
      <c r="L2775" s="7" t="str">
        <f>"H25.02.01"</f>
        <v>H25.02.01</v>
      </c>
      <c r="M2775" s="7">
        <v>257.49</v>
      </c>
      <c r="N2775" s="7">
        <v>81285103</v>
      </c>
      <c r="O2775" s="7">
        <v>17438883</v>
      </c>
      <c r="P2775" s="7">
        <v>0</v>
      </c>
      <c r="Q2775" s="7" t="str">
        <f t="shared" si="935"/>
        <v>都市整備部</v>
      </c>
      <c r="R2775" s="7" t="str">
        <f t="shared" si="932"/>
        <v>住宅建築局住宅経営室</v>
      </c>
    </row>
    <row r="2776" spans="1:18" s="1" customFormat="1" x14ac:dyDescent="0.45">
      <c r="A2776" s="7" t="str">
        <f t="shared" si="956"/>
        <v>09940003334</v>
      </c>
      <c r="B2776" s="7" t="str">
        <f t="shared" si="957"/>
        <v>千里竹見台・吹田竹見台</v>
      </c>
      <c r="C2776" s="7" t="str">
        <f t="shared" si="933"/>
        <v>行政財産</v>
      </c>
      <c r="D2776" s="7" t="str">
        <f t="shared" si="934"/>
        <v>公営住宅</v>
      </c>
      <c r="E2776" s="7" t="str">
        <f t="shared" si="958"/>
        <v>大阪府吹田市竹見台４丁目</v>
      </c>
      <c r="F2776" s="7"/>
      <c r="G2776" s="7" t="str">
        <f t="shared" si="959"/>
        <v>事業用資産</v>
      </c>
      <c r="H2776" s="7" t="str">
        <f t="shared" si="951"/>
        <v>棚卸以外</v>
      </c>
      <c r="I2776" s="7">
        <v>9</v>
      </c>
      <c r="J2776" s="7" t="str">
        <f>"ブースターポンプ室・ゴミ置場（1号棟）"</f>
        <v>ブースターポンプ室・ゴミ置場（1号棟）</v>
      </c>
      <c r="K2776" s="7" t="str">
        <f t="shared" si="950"/>
        <v>鉄筋コンクリート造</v>
      </c>
      <c r="L2776" s="7" t="str">
        <f>"H24.02.01"</f>
        <v>H24.02.01</v>
      </c>
      <c r="M2776" s="7">
        <v>42.07</v>
      </c>
      <c r="N2776" s="7">
        <v>12244582</v>
      </c>
      <c r="O2776" s="7">
        <v>2627031</v>
      </c>
      <c r="P2776" s="7">
        <v>0</v>
      </c>
      <c r="Q2776" s="7" t="str">
        <f t="shared" si="935"/>
        <v>都市整備部</v>
      </c>
      <c r="R2776" s="7" t="str">
        <f t="shared" ref="R2776:R2839" si="960">"住宅建築局住宅経営室"</f>
        <v>住宅建築局住宅経営室</v>
      </c>
    </row>
    <row r="2777" spans="1:18" s="1" customFormat="1" x14ac:dyDescent="0.45">
      <c r="A2777" s="7" t="str">
        <f t="shared" si="956"/>
        <v>09940003334</v>
      </c>
      <c r="B2777" s="7" t="str">
        <f t="shared" si="957"/>
        <v>千里竹見台・吹田竹見台</v>
      </c>
      <c r="C2777" s="7" t="str">
        <f t="shared" si="933"/>
        <v>行政財産</v>
      </c>
      <c r="D2777" s="7" t="str">
        <f t="shared" si="934"/>
        <v>公営住宅</v>
      </c>
      <c r="E2777" s="7" t="str">
        <f t="shared" si="958"/>
        <v>大阪府吹田市竹見台４丁目</v>
      </c>
      <c r="F2777" s="7"/>
      <c r="G2777" s="7" t="str">
        <f t="shared" si="959"/>
        <v>事業用資産</v>
      </c>
      <c r="H2777" s="7" t="str">
        <f t="shared" si="951"/>
        <v>棚卸以外</v>
      </c>
      <c r="I2777" s="7">
        <v>10</v>
      </c>
      <c r="J2777" s="7" t="str">
        <f>"ゴミ置場（2号棟）"</f>
        <v>ゴミ置場（2号棟）</v>
      </c>
      <c r="K2777" s="7" t="str">
        <f t="shared" si="950"/>
        <v>鉄筋コンクリート造</v>
      </c>
      <c r="L2777" s="7" t="str">
        <f>"H25.02.01"</f>
        <v>H25.02.01</v>
      </c>
      <c r="M2777" s="7">
        <v>24.64</v>
      </c>
      <c r="N2777" s="7">
        <v>5607623</v>
      </c>
      <c r="O2777" s="7">
        <v>1203103</v>
      </c>
      <c r="P2777" s="7">
        <v>0</v>
      </c>
      <c r="Q2777" s="7" t="str">
        <f t="shared" si="935"/>
        <v>都市整備部</v>
      </c>
      <c r="R2777" s="7" t="str">
        <f t="shared" si="960"/>
        <v>住宅建築局住宅経営室</v>
      </c>
    </row>
    <row r="2778" spans="1:18" s="1" customFormat="1" x14ac:dyDescent="0.45">
      <c r="A2778" s="7" t="str">
        <f t="shared" si="956"/>
        <v>09940003334</v>
      </c>
      <c r="B2778" s="7" t="str">
        <f t="shared" si="957"/>
        <v>千里竹見台・吹田竹見台</v>
      </c>
      <c r="C2778" s="7" t="str">
        <f t="shared" ref="C2778:C2841" si="961">"行政財産"</f>
        <v>行政財産</v>
      </c>
      <c r="D2778" s="7" t="str">
        <f t="shared" ref="D2778:D2841" si="962">"公営住宅"</f>
        <v>公営住宅</v>
      </c>
      <c r="E2778" s="7" t="str">
        <f t="shared" si="958"/>
        <v>大阪府吹田市竹見台４丁目</v>
      </c>
      <c r="F2778" s="7"/>
      <c r="G2778" s="7" t="str">
        <f t="shared" si="959"/>
        <v>事業用資産</v>
      </c>
      <c r="H2778" s="7" t="str">
        <f t="shared" si="951"/>
        <v>棚卸以外</v>
      </c>
      <c r="I2778" s="7">
        <v>11</v>
      </c>
      <c r="J2778" s="7" t="str">
        <f>"吹田竹見台　３号棟"</f>
        <v>吹田竹見台　３号棟</v>
      </c>
      <c r="K2778" s="7" t="str">
        <f t="shared" si="950"/>
        <v>鉄筋コンクリート造</v>
      </c>
      <c r="L2778" s="7" t="str">
        <f>"H27.10.01"</f>
        <v>H27.10.01</v>
      </c>
      <c r="M2778" s="7">
        <v>14860.38</v>
      </c>
      <c r="N2778" s="7">
        <v>1548388936</v>
      </c>
      <c r="O2778" s="7">
        <v>244450912</v>
      </c>
      <c r="P2778" s="7">
        <v>0</v>
      </c>
      <c r="Q2778" s="7" t="str">
        <f t="shared" si="935"/>
        <v>都市整備部</v>
      </c>
      <c r="R2778" s="7" t="str">
        <f t="shared" si="960"/>
        <v>住宅建築局住宅経営室</v>
      </c>
    </row>
    <row r="2779" spans="1:18" s="1" customFormat="1" ht="26.4" x14ac:dyDescent="0.45">
      <c r="A2779" s="7" t="str">
        <f t="shared" si="956"/>
        <v>09940003334</v>
      </c>
      <c r="B2779" s="7" t="str">
        <f t="shared" si="957"/>
        <v>千里竹見台・吹田竹見台</v>
      </c>
      <c r="C2779" s="7" t="str">
        <f t="shared" si="961"/>
        <v>行政財産</v>
      </c>
      <c r="D2779" s="7" t="str">
        <f t="shared" si="962"/>
        <v>公営住宅</v>
      </c>
      <c r="E2779" s="7" t="str">
        <f t="shared" si="958"/>
        <v>大阪府吹田市竹見台４丁目</v>
      </c>
      <c r="F2779" s="7"/>
      <c r="G2779" s="7" t="str">
        <f t="shared" si="959"/>
        <v>事業用資産</v>
      </c>
      <c r="H2779" s="7" t="str">
        <f t="shared" si="951"/>
        <v>棚卸以外</v>
      </c>
      <c r="I2779" s="7">
        <v>12</v>
      </c>
      <c r="J2779" s="7" t="str">
        <f>"ブースターポンプ室（３号棟）吹田竹見台"</f>
        <v>ブースターポンプ室（３号棟）吹田竹見台</v>
      </c>
      <c r="K2779" s="7" t="str">
        <f t="shared" si="950"/>
        <v>鉄筋コンクリート造</v>
      </c>
      <c r="L2779" s="7" t="str">
        <f>"H27.10.01"</f>
        <v>H27.10.01</v>
      </c>
      <c r="M2779" s="7">
        <v>4.13</v>
      </c>
      <c r="N2779" s="7">
        <v>7939524</v>
      </c>
      <c r="O2779" s="7">
        <v>1252942</v>
      </c>
      <c r="P2779" s="7">
        <v>0</v>
      </c>
      <c r="Q2779" s="7" t="str">
        <f t="shared" ref="Q2779:Q2842" si="963">"都市整備部"</f>
        <v>都市整備部</v>
      </c>
      <c r="R2779" s="7" t="str">
        <f t="shared" si="960"/>
        <v>住宅建築局住宅経営室</v>
      </c>
    </row>
    <row r="2780" spans="1:18" s="1" customFormat="1" x14ac:dyDescent="0.45">
      <c r="A2780" s="7" t="str">
        <f t="shared" si="956"/>
        <v>09940003334</v>
      </c>
      <c r="B2780" s="7" t="str">
        <f t="shared" si="957"/>
        <v>千里竹見台・吹田竹見台</v>
      </c>
      <c r="C2780" s="7" t="str">
        <f t="shared" si="961"/>
        <v>行政財産</v>
      </c>
      <c r="D2780" s="7" t="str">
        <f t="shared" si="962"/>
        <v>公営住宅</v>
      </c>
      <c r="E2780" s="7" t="str">
        <f t="shared" si="958"/>
        <v>大阪府吹田市竹見台４丁目</v>
      </c>
      <c r="F2780" s="7"/>
      <c r="G2780" s="7" t="str">
        <f t="shared" si="959"/>
        <v>事業用資産</v>
      </c>
      <c r="H2780" s="7" t="str">
        <f t="shared" si="951"/>
        <v>棚卸以外</v>
      </c>
      <c r="I2780" s="7">
        <v>13</v>
      </c>
      <c r="J2780" s="7" t="str">
        <f>"電気室（３号棟）吹田竹見台"</f>
        <v>電気室（３号棟）吹田竹見台</v>
      </c>
      <c r="K2780" s="7" t="str">
        <f t="shared" si="950"/>
        <v>鉄筋コンクリート造</v>
      </c>
      <c r="L2780" s="7" t="str">
        <f>"H27.10.01"</f>
        <v>H27.10.01</v>
      </c>
      <c r="M2780" s="7">
        <v>50.2</v>
      </c>
      <c r="N2780" s="7">
        <v>14952624</v>
      </c>
      <c r="O2780" s="7">
        <v>2359568</v>
      </c>
      <c r="P2780" s="7">
        <v>0</v>
      </c>
      <c r="Q2780" s="7" t="str">
        <f t="shared" si="963"/>
        <v>都市整備部</v>
      </c>
      <c r="R2780" s="7" t="str">
        <f t="shared" si="960"/>
        <v>住宅建築局住宅経営室</v>
      </c>
    </row>
    <row r="2781" spans="1:18" s="1" customFormat="1" x14ac:dyDescent="0.45">
      <c r="A2781" s="7" t="str">
        <f>"09940003338"</f>
        <v>09940003338</v>
      </c>
      <c r="B2781" s="7" t="str">
        <f>"茨木安威"</f>
        <v>茨木安威</v>
      </c>
      <c r="C2781" s="7" t="str">
        <f t="shared" si="961"/>
        <v>行政財産</v>
      </c>
      <c r="D2781" s="7" t="str">
        <f t="shared" si="962"/>
        <v>公営住宅</v>
      </c>
      <c r="E2781" s="7" t="str">
        <f>"大阪府茨木市南安威２丁目"</f>
        <v>大阪府茨木市南安威２丁目</v>
      </c>
      <c r="F2781" s="7"/>
      <c r="G2781" s="7" t="str">
        <f t="shared" si="959"/>
        <v>事業用資産</v>
      </c>
      <c r="H2781" s="7" t="str">
        <f t="shared" si="951"/>
        <v>棚卸以外</v>
      </c>
      <c r="I2781" s="7">
        <v>1</v>
      </c>
      <c r="J2781" s="7" t="str">
        <f>"１～１０・１２・１６他８棟"</f>
        <v>１～１０・１２・１６他８棟</v>
      </c>
      <c r="K2781" s="7" t="str">
        <f t="shared" si="950"/>
        <v>鉄筋コンクリート造</v>
      </c>
      <c r="L2781" s="7" t="str">
        <f>"S49.08.26"</f>
        <v>S49.08.26</v>
      </c>
      <c r="M2781" s="7">
        <v>40434.57</v>
      </c>
      <c r="N2781" s="7">
        <v>2919387220</v>
      </c>
      <c r="O2781" s="7">
        <v>2421220715</v>
      </c>
      <c r="P2781" s="7">
        <v>0</v>
      </c>
      <c r="Q2781" s="7" t="str">
        <f t="shared" si="963"/>
        <v>都市整備部</v>
      </c>
      <c r="R2781" s="7" t="str">
        <f t="shared" si="960"/>
        <v>住宅建築局住宅経営室</v>
      </c>
    </row>
    <row r="2782" spans="1:18" s="1" customFormat="1" x14ac:dyDescent="0.45">
      <c r="A2782" s="7" t="str">
        <f>"09940003338"</f>
        <v>09940003338</v>
      </c>
      <c r="B2782" s="7" t="str">
        <f>"茨木安威"</f>
        <v>茨木安威</v>
      </c>
      <c r="C2782" s="7" t="str">
        <f t="shared" si="961"/>
        <v>行政財産</v>
      </c>
      <c r="D2782" s="7" t="str">
        <f t="shared" si="962"/>
        <v>公営住宅</v>
      </c>
      <c r="E2782" s="7" t="str">
        <f>"大阪府茨木市南安威２丁目"</f>
        <v>大阪府茨木市南安威２丁目</v>
      </c>
      <c r="F2782" s="7"/>
      <c r="G2782" s="7" t="str">
        <f t="shared" si="959"/>
        <v>事業用資産</v>
      </c>
      <c r="H2782" s="7" t="str">
        <f t="shared" si="951"/>
        <v>棚卸以外</v>
      </c>
      <c r="I2782" s="7">
        <v>2</v>
      </c>
      <c r="J2782" s="7" t="str">
        <f>"１３～１５号棟"</f>
        <v>１３～１５号棟</v>
      </c>
      <c r="K2782" s="7" t="str">
        <f t="shared" si="950"/>
        <v>鉄筋コンクリート造</v>
      </c>
      <c r="L2782" s="7" t="str">
        <f>"S49.08.26"</f>
        <v>S49.08.26</v>
      </c>
      <c r="M2782" s="7">
        <v>5719.85</v>
      </c>
      <c r="N2782" s="7">
        <v>423044000</v>
      </c>
      <c r="O2782" s="7">
        <v>327506933</v>
      </c>
      <c r="P2782" s="7">
        <v>0</v>
      </c>
      <c r="Q2782" s="7" t="str">
        <f t="shared" si="963"/>
        <v>都市整備部</v>
      </c>
      <c r="R2782" s="7" t="str">
        <f t="shared" si="960"/>
        <v>住宅建築局住宅経営室</v>
      </c>
    </row>
    <row r="2783" spans="1:18" s="1" customFormat="1" x14ac:dyDescent="0.45">
      <c r="A2783" s="7" t="str">
        <f>"09940003338"</f>
        <v>09940003338</v>
      </c>
      <c r="B2783" s="7" t="str">
        <f>"茨木安威"</f>
        <v>茨木安威</v>
      </c>
      <c r="C2783" s="7" t="str">
        <f t="shared" si="961"/>
        <v>行政財産</v>
      </c>
      <c r="D2783" s="7" t="str">
        <f t="shared" si="962"/>
        <v>公営住宅</v>
      </c>
      <c r="E2783" s="7" t="str">
        <f>"大阪府茨木市南安威２丁目"</f>
        <v>大阪府茨木市南安威２丁目</v>
      </c>
      <c r="F2783" s="7"/>
      <c r="G2783" s="7" t="str">
        <f t="shared" si="959"/>
        <v>事業用資産</v>
      </c>
      <c r="H2783" s="7" t="str">
        <f t="shared" si="951"/>
        <v>棚卸以外</v>
      </c>
      <c r="I2783" s="7">
        <v>3</v>
      </c>
      <c r="J2783" s="7" t="str">
        <f>"集会所"</f>
        <v>集会所</v>
      </c>
      <c r="K2783" s="7" t="str">
        <f t="shared" si="950"/>
        <v>鉄筋コンクリート造</v>
      </c>
      <c r="L2783" s="7" t="str">
        <f>"S49.08.26"</f>
        <v>S49.08.26</v>
      </c>
      <c r="M2783" s="7">
        <v>227.92</v>
      </c>
      <c r="N2783" s="7">
        <v>13807200</v>
      </c>
      <c r="O2783" s="7">
        <v>13072663</v>
      </c>
      <c r="P2783" s="7">
        <v>0</v>
      </c>
      <c r="Q2783" s="7" t="str">
        <f t="shared" si="963"/>
        <v>都市整備部</v>
      </c>
      <c r="R2783" s="7" t="str">
        <f t="shared" si="960"/>
        <v>住宅建築局住宅経営室</v>
      </c>
    </row>
    <row r="2784" spans="1:18" s="1" customFormat="1" x14ac:dyDescent="0.45">
      <c r="A2784" s="7" t="str">
        <f>"09940003341"</f>
        <v>09940003341</v>
      </c>
      <c r="B2784" s="7" t="str">
        <f>"八尾植松（旧八尾）"</f>
        <v>八尾植松（旧八尾）</v>
      </c>
      <c r="C2784" s="7" t="str">
        <f t="shared" si="961"/>
        <v>行政財産</v>
      </c>
      <c r="D2784" s="7" t="str">
        <f t="shared" si="962"/>
        <v>公営住宅</v>
      </c>
      <c r="E2784" s="7" t="str">
        <f>"大阪府八尾市植松町８丁目"</f>
        <v>大阪府八尾市植松町８丁目</v>
      </c>
      <c r="F2784" s="7"/>
      <c r="G2784" s="7" t="str">
        <f t="shared" si="959"/>
        <v>事業用資産</v>
      </c>
      <c r="H2784" s="7" t="str">
        <f t="shared" si="951"/>
        <v>棚卸以外</v>
      </c>
      <c r="I2784" s="7">
        <v>2</v>
      </c>
      <c r="J2784" s="7" t="str">
        <f>"集会所（新）"</f>
        <v>集会所（新）</v>
      </c>
      <c r="K2784" s="7" t="str">
        <f t="shared" si="950"/>
        <v>鉄筋コンクリート造</v>
      </c>
      <c r="L2784" s="7" t="str">
        <f>"H19.11.16"</f>
        <v>H19.11.16</v>
      </c>
      <c r="M2784" s="7">
        <v>126.5</v>
      </c>
      <c r="N2784" s="7">
        <v>24159000</v>
      </c>
      <c r="O2784" s="7">
        <v>7881824</v>
      </c>
      <c r="P2784" s="7">
        <v>0</v>
      </c>
      <c r="Q2784" s="7" t="str">
        <f t="shared" si="963"/>
        <v>都市整備部</v>
      </c>
      <c r="R2784" s="7" t="str">
        <f t="shared" si="960"/>
        <v>住宅建築局住宅経営室</v>
      </c>
    </row>
    <row r="2785" spans="1:18" s="1" customFormat="1" x14ac:dyDescent="0.45">
      <c r="A2785" s="7" t="str">
        <f>"09940003341"</f>
        <v>09940003341</v>
      </c>
      <c r="B2785" s="7" t="str">
        <f>"八尾植松（旧八尾）"</f>
        <v>八尾植松（旧八尾）</v>
      </c>
      <c r="C2785" s="7" t="str">
        <f t="shared" si="961"/>
        <v>行政財産</v>
      </c>
      <c r="D2785" s="7" t="str">
        <f t="shared" si="962"/>
        <v>公営住宅</v>
      </c>
      <c r="E2785" s="7" t="str">
        <f>"大阪府八尾市植松町８丁目"</f>
        <v>大阪府八尾市植松町８丁目</v>
      </c>
      <c r="F2785" s="7"/>
      <c r="G2785" s="7" t="str">
        <f t="shared" si="959"/>
        <v>事業用資産</v>
      </c>
      <c r="H2785" s="7" t="str">
        <f t="shared" si="951"/>
        <v>棚卸以外</v>
      </c>
      <c r="I2785" s="7">
        <v>3</v>
      </c>
      <c r="J2785" s="7" t="str">
        <f>"１号棟（新）"</f>
        <v>１号棟（新）</v>
      </c>
      <c r="K2785" s="7" t="str">
        <f t="shared" si="950"/>
        <v>鉄筋コンクリート造</v>
      </c>
      <c r="L2785" s="7" t="str">
        <f>"H20.02.25"</f>
        <v>H20.02.25</v>
      </c>
      <c r="M2785" s="7">
        <v>7059.36</v>
      </c>
      <c r="N2785" s="7">
        <v>930031012</v>
      </c>
      <c r="O2785" s="7">
        <v>298350856</v>
      </c>
      <c r="P2785" s="7">
        <v>0</v>
      </c>
      <c r="Q2785" s="7" t="str">
        <f t="shared" si="963"/>
        <v>都市整備部</v>
      </c>
      <c r="R2785" s="7" t="str">
        <f t="shared" si="960"/>
        <v>住宅建築局住宅経営室</v>
      </c>
    </row>
    <row r="2786" spans="1:18" s="1" customFormat="1" x14ac:dyDescent="0.45">
      <c r="A2786" s="7" t="str">
        <f>"09940003341"</f>
        <v>09940003341</v>
      </c>
      <c r="B2786" s="7" t="str">
        <f>"八尾植松（旧八尾）"</f>
        <v>八尾植松（旧八尾）</v>
      </c>
      <c r="C2786" s="7" t="str">
        <f t="shared" si="961"/>
        <v>行政財産</v>
      </c>
      <c r="D2786" s="7" t="str">
        <f t="shared" si="962"/>
        <v>公営住宅</v>
      </c>
      <c r="E2786" s="7" t="str">
        <f>"大阪府八尾市植松町８丁目"</f>
        <v>大阪府八尾市植松町８丁目</v>
      </c>
      <c r="F2786" s="7"/>
      <c r="G2786" s="7" t="str">
        <f t="shared" si="959"/>
        <v>事業用資産</v>
      </c>
      <c r="H2786" s="7" t="str">
        <f t="shared" si="951"/>
        <v>棚卸以外</v>
      </c>
      <c r="I2786" s="7">
        <v>4</v>
      </c>
      <c r="J2786" s="7" t="str">
        <f>"受水槽ポンプ室"</f>
        <v>受水槽ポンプ室</v>
      </c>
      <c r="K2786" s="7" t="str">
        <f t="shared" si="950"/>
        <v>鉄筋コンクリート造</v>
      </c>
      <c r="L2786" s="7" t="str">
        <f>"H20.03.25"</f>
        <v>H20.03.25</v>
      </c>
      <c r="M2786" s="7">
        <v>61.8</v>
      </c>
      <c r="N2786" s="7">
        <v>17265000</v>
      </c>
      <c r="O2786" s="7">
        <v>5510160</v>
      </c>
      <c r="P2786" s="7">
        <v>0</v>
      </c>
      <c r="Q2786" s="7" t="str">
        <f t="shared" si="963"/>
        <v>都市整備部</v>
      </c>
      <c r="R2786" s="7" t="str">
        <f t="shared" si="960"/>
        <v>住宅建築局住宅経営室</v>
      </c>
    </row>
    <row r="2787" spans="1:18" s="1" customFormat="1" x14ac:dyDescent="0.45">
      <c r="A2787" s="7" t="str">
        <f>"09940003341"</f>
        <v>09940003341</v>
      </c>
      <c r="B2787" s="7" t="str">
        <f>"八尾植松（旧八尾）"</f>
        <v>八尾植松（旧八尾）</v>
      </c>
      <c r="C2787" s="7" t="str">
        <f t="shared" si="961"/>
        <v>行政財産</v>
      </c>
      <c r="D2787" s="7" t="str">
        <f t="shared" si="962"/>
        <v>公営住宅</v>
      </c>
      <c r="E2787" s="7" t="str">
        <f>"大阪府八尾市植松町８丁目"</f>
        <v>大阪府八尾市植松町８丁目</v>
      </c>
      <c r="F2787" s="7"/>
      <c r="G2787" s="7" t="str">
        <f t="shared" si="959"/>
        <v>事業用資産</v>
      </c>
      <c r="H2787" s="7" t="str">
        <f t="shared" si="951"/>
        <v>棚卸以外</v>
      </c>
      <c r="I2787" s="7">
        <v>5</v>
      </c>
      <c r="J2787" s="7" t="str">
        <f>"２号棟（新）"</f>
        <v>２号棟（新）</v>
      </c>
      <c r="K2787" s="7" t="str">
        <f t="shared" si="950"/>
        <v>鉄筋コンクリート造</v>
      </c>
      <c r="L2787" s="7" t="str">
        <f>"H23.11.29"</f>
        <v>H23.11.29</v>
      </c>
      <c r="M2787" s="7">
        <v>2411.31</v>
      </c>
      <c r="N2787" s="7">
        <v>422289423</v>
      </c>
      <c r="O2787" s="7">
        <v>101817832</v>
      </c>
      <c r="P2787" s="7">
        <v>0</v>
      </c>
      <c r="Q2787" s="7" t="str">
        <f t="shared" si="963"/>
        <v>都市整備部</v>
      </c>
      <c r="R2787" s="7" t="str">
        <f t="shared" si="960"/>
        <v>住宅建築局住宅経営室</v>
      </c>
    </row>
    <row r="2788" spans="1:18" s="1" customFormat="1" x14ac:dyDescent="0.45">
      <c r="A2788" s="7" t="str">
        <f>"09940003343"</f>
        <v>09940003343</v>
      </c>
      <c r="B2788" s="7" t="str">
        <f>"北山本"</f>
        <v>北山本</v>
      </c>
      <c r="C2788" s="7" t="str">
        <f t="shared" si="961"/>
        <v>行政財産</v>
      </c>
      <c r="D2788" s="7" t="str">
        <f t="shared" si="962"/>
        <v>公営住宅</v>
      </c>
      <c r="E2788" s="7" t="str">
        <f>"大阪府八尾市山本町北７丁目"</f>
        <v>大阪府八尾市山本町北７丁目</v>
      </c>
      <c r="F2788" s="7"/>
      <c r="G2788" s="7" t="str">
        <f t="shared" si="959"/>
        <v>事業用資産</v>
      </c>
      <c r="H2788" s="7" t="str">
        <f t="shared" si="951"/>
        <v>棚卸以外</v>
      </c>
      <c r="I2788" s="7">
        <v>1</v>
      </c>
      <c r="J2788" s="7" t="str">
        <f>"１～３号棟"</f>
        <v>１～３号棟</v>
      </c>
      <c r="K2788" s="7" t="str">
        <f t="shared" si="950"/>
        <v>鉄筋コンクリート造</v>
      </c>
      <c r="L2788" s="7" t="str">
        <f>"S46.01.25"</f>
        <v>S46.01.25</v>
      </c>
      <c r="M2788" s="7">
        <v>5644.92</v>
      </c>
      <c r="N2788" s="7">
        <v>640115538</v>
      </c>
      <c r="O2788" s="7">
        <v>220687942</v>
      </c>
      <c r="P2788" s="7">
        <v>0</v>
      </c>
      <c r="Q2788" s="7" t="str">
        <f t="shared" si="963"/>
        <v>都市整備部</v>
      </c>
      <c r="R2788" s="7" t="str">
        <f t="shared" si="960"/>
        <v>住宅建築局住宅経営室</v>
      </c>
    </row>
    <row r="2789" spans="1:18" s="1" customFormat="1" x14ac:dyDescent="0.45">
      <c r="A2789" s="7" t="str">
        <f>"09940003343"</f>
        <v>09940003343</v>
      </c>
      <c r="B2789" s="7" t="str">
        <f>"北山本"</f>
        <v>北山本</v>
      </c>
      <c r="C2789" s="7" t="str">
        <f t="shared" si="961"/>
        <v>行政財産</v>
      </c>
      <c r="D2789" s="7" t="str">
        <f t="shared" si="962"/>
        <v>公営住宅</v>
      </c>
      <c r="E2789" s="7" t="str">
        <f>"大阪府八尾市山本町北７丁目"</f>
        <v>大阪府八尾市山本町北７丁目</v>
      </c>
      <c r="F2789" s="7"/>
      <c r="G2789" s="7" t="str">
        <f t="shared" si="959"/>
        <v>事業用資産</v>
      </c>
      <c r="H2789" s="7" t="str">
        <f t="shared" si="951"/>
        <v>棚卸以外</v>
      </c>
      <c r="I2789" s="7">
        <v>2</v>
      </c>
      <c r="J2789" s="7" t="str">
        <f>"集会所"</f>
        <v>集会所</v>
      </c>
      <c r="K2789" s="7" t="str">
        <f t="shared" si="950"/>
        <v>鉄筋コンクリート造</v>
      </c>
      <c r="L2789" s="7" t="str">
        <f>"S46.01.25"</f>
        <v>S46.01.25</v>
      </c>
      <c r="M2789" s="7">
        <v>66.77</v>
      </c>
      <c r="N2789" s="7">
        <v>4773967</v>
      </c>
      <c r="O2789" s="7">
        <v>3210063</v>
      </c>
      <c r="P2789" s="7">
        <v>0</v>
      </c>
      <c r="Q2789" s="7" t="str">
        <f t="shared" si="963"/>
        <v>都市整備部</v>
      </c>
      <c r="R2789" s="7" t="str">
        <f t="shared" si="960"/>
        <v>住宅建築局住宅経営室</v>
      </c>
    </row>
    <row r="2790" spans="1:18" s="1" customFormat="1" x14ac:dyDescent="0.45">
      <c r="A2790" s="7" t="str">
        <f>"09940003343"</f>
        <v>09940003343</v>
      </c>
      <c r="B2790" s="7" t="str">
        <f>"北山本"</f>
        <v>北山本</v>
      </c>
      <c r="C2790" s="7" t="str">
        <f t="shared" si="961"/>
        <v>行政財産</v>
      </c>
      <c r="D2790" s="7" t="str">
        <f t="shared" si="962"/>
        <v>公営住宅</v>
      </c>
      <c r="E2790" s="7" t="str">
        <f>"大阪府八尾市山本町北７丁目"</f>
        <v>大阪府八尾市山本町北７丁目</v>
      </c>
      <c r="F2790" s="7"/>
      <c r="G2790" s="7" t="str">
        <f t="shared" si="959"/>
        <v>事業用資産</v>
      </c>
      <c r="H2790" s="7" t="str">
        <f t="shared" si="951"/>
        <v>棚卸以外</v>
      </c>
      <c r="I2790" s="7">
        <v>3</v>
      </c>
      <c r="J2790" s="7" t="str">
        <f>"汚水処理場"</f>
        <v>汚水処理場</v>
      </c>
      <c r="K2790" s="7" t="str">
        <f t="shared" si="950"/>
        <v>鉄筋コンクリート造</v>
      </c>
      <c r="L2790" s="7" t="str">
        <f>"S46.01.25"</f>
        <v>S46.01.25</v>
      </c>
      <c r="M2790" s="7">
        <v>245.94</v>
      </c>
      <c r="N2790" s="7">
        <v>8143000</v>
      </c>
      <c r="O2790" s="7">
        <v>8142999</v>
      </c>
      <c r="P2790" s="7">
        <v>0</v>
      </c>
      <c r="Q2790" s="7" t="str">
        <f t="shared" si="963"/>
        <v>都市整備部</v>
      </c>
      <c r="R2790" s="7" t="str">
        <f t="shared" si="960"/>
        <v>住宅建築局住宅経営室</v>
      </c>
    </row>
    <row r="2791" spans="1:18" s="1" customFormat="1" ht="26.4" x14ac:dyDescent="0.45">
      <c r="A2791" s="7" t="str">
        <f>"09940003344"</f>
        <v>09940003344</v>
      </c>
      <c r="B2791" s="7" t="str">
        <f>"久宝寺"</f>
        <v>久宝寺</v>
      </c>
      <c r="C2791" s="7" t="str">
        <f t="shared" si="961"/>
        <v>行政財産</v>
      </c>
      <c r="D2791" s="7" t="str">
        <f t="shared" si="962"/>
        <v>公営住宅</v>
      </c>
      <c r="E2791" s="7" t="str">
        <f>"大阪府八尾市久宝寺２丁目"</f>
        <v>大阪府八尾市久宝寺２丁目</v>
      </c>
      <c r="F2791" s="7"/>
      <c r="G2791" s="7" t="str">
        <f t="shared" si="959"/>
        <v>事業用資産</v>
      </c>
      <c r="H2791" s="7" t="str">
        <f t="shared" si="951"/>
        <v>棚卸以外</v>
      </c>
      <c r="I2791" s="7">
        <v>1</v>
      </c>
      <c r="J2791" s="7" t="str">
        <f>"１・２号棟"</f>
        <v>１・２号棟</v>
      </c>
      <c r="K2791" s="7" t="str">
        <f>"鉄骨鉄筋コンクリート造"</f>
        <v>鉄骨鉄筋コンクリート造</v>
      </c>
      <c r="L2791" s="7" t="str">
        <f>"S47.05.24"</f>
        <v>S47.05.24</v>
      </c>
      <c r="M2791" s="7">
        <v>12259.93</v>
      </c>
      <c r="N2791" s="7">
        <v>1334873371</v>
      </c>
      <c r="O2791" s="7">
        <v>689952876</v>
      </c>
      <c r="P2791" s="7">
        <v>0</v>
      </c>
      <c r="Q2791" s="7" t="str">
        <f t="shared" si="963"/>
        <v>都市整備部</v>
      </c>
      <c r="R2791" s="7" t="str">
        <f t="shared" si="960"/>
        <v>住宅建築局住宅経営室</v>
      </c>
    </row>
    <row r="2792" spans="1:18" s="1" customFormat="1" x14ac:dyDescent="0.45">
      <c r="A2792" s="7" t="str">
        <f>"09940003344"</f>
        <v>09940003344</v>
      </c>
      <c r="B2792" s="7" t="str">
        <f>"久宝寺"</f>
        <v>久宝寺</v>
      </c>
      <c r="C2792" s="7" t="str">
        <f t="shared" si="961"/>
        <v>行政財産</v>
      </c>
      <c r="D2792" s="7" t="str">
        <f t="shared" si="962"/>
        <v>公営住宅</v>
      </c>
      <c r="E2792" s="7" t="str">
        <f>"大阪府八尾市久宝寺２丁目"</f>
        <v>大阪府八尾市久宝寺２丁目</v>
      </c>
      <c r="F2792" s="7"/>
      <c r="G2792" s="7" t="str">
        <f t="shared" si="959"/>
        <v>事業用資産</v>
      </c>
      <c r="H2792" s="7" t="str">
        <f t="shared" si="951"/>
        <v>棚卸以外</v>
      </c>
      <c r="I2792" s="7">
        <v>2</v>
      </c>
      <c r="J2792" s="7" t="str">
        <f>"３号棟"</f>
        <v>３号棟</v>
      </c>
      <c r="K2792" s="7" t="str">
        <f t="shared" ref="K2792:K2808" si="964">"鉄筋コンクリート造"</f>
        <v>鉄筋コンクリート造</v>
      </c>
      <c r="L2792" s="7" t="str">
        <f>"S48.01.28"</f>
        <v>S48.01.28</v>
      </c>
      <c r="M2792" s="7">
        <v>1417.5</v>
      </c>
      <c r="N2792" s="7">
        <v>67703800</v>
      </c>
      <c r="O2792" s="7">
        <v>67703799</v>
      </c>
      <c r="P2792" s="7">
        <v>0</v>
      </c>
      <c r="Q2792" s="7" t="str">
        <f t="shared" si="963"/>
        <v>都市整備部</v>
      </c>
      <c r="R2792" s="7" t="str">
        <f t="shared" si="960"/>
        <v>住宅建築局住宅経営室</v>
      </c>
    </row>
    <row r="2793" spans="1:18" s="1" customFormat="1" x14ac:dyDescent="0.45">
      <c r="A2793" s="7" t="str">
        <f>"09940003346"</f>
        <v>09940003346</v>
      </c>
      <c r="B2793" s="7" t="str">
        <f>"泉南岡田（旧吉見岡田）"</f>
        <v>泉南岡田（旧吉見岡田）</v>
      </c>
      <c r="C2793" s="7" t="str">
        <f t="shared" si="961"/>
        <v>行政財産</v>
      </c>
      <c r="D2793" s="7" t="str">
        <f t="shared" si="962"/>
        <v>公営住宅</v>
      </c>
      <c r="E2793" s="7" t="str">
        <f>"大阪府泉南市岡田"</f>
        <v>大阪府泉南市岡田</v>
      </c>
      <c r="F2793" s="7"/>
      <c r="G2793" s="7" t="str">
        <f t="shared" si="959"/>
        <v>事業用資産</v>
      </c>
      <c r="H2793" s="7" t="str">
        <f t="shared" si="951"/>
        <v>棚卸以外</v>
      </c>
      <c r="I2793" s="7">
        <v>1</v>
      </c>
      <c r="J2793" s="7" t="str">
        <f>"１号棟（新）・住棟内に電気室あり"</f>
        <v>１号棟（新）・住棟内に電気室あり</v>
      </c>
      <c r="K2793" s="7" t="str">
        <f t="shared" si="964"/>
        <v>鉄筋コンクリート造</v>
      </c>
      <c r="L2793" s="7" t="str">
        <f>"H17.07.28"</f>
        <v>H17.07.28</v>
      </c>
      <c r="M2793" s="7">
        <v>4082.94</v>
      </c>
      <c r="N2793" s="7">
        <v>539557737</v>
      </c>
      <c r="O2793" s="7">
        <v>202719916</v>
      </c>
      <c r="P2793" s="7">
        <v>0</v>
      </c>
      <c r="Q2793" s="7" t="str">
        <f t="shared" si="963"/>
        <v>都市整備部</v>
      </c>
      <c r="R2793" s="7" t="str">
        <f t="shared" si="960"/>
        <v>住宅建築局住宅経営室</v>
      </c>
    </row>
    <row r="2794" spans="1:18" s="1" customFormat="1" x14ac:dyDescent="0.45">
      <c r="A2794" s="7" t="str">
        <f>"09940003346"</f>
        <v>09940003346</v>
      </c>
      <c r="B2794" s="7" t="str">
        <f>"泉南岡田（旧吉見岡田）"</f>
        <v>泉南岡田（旧吉見岡田）</v>
      </c>
      <c r="C2794" s="7" t="str">
        <f t="shared" si="961"/>
        <v>行政財産</v>
      </c>
      <c r="D2794" s="7" t="str">
        <f t="shared" si="962"/>
        <v>公営住宅</v>
      </c>
      <c r="E2794" s="7" t="str">
        <f>"大阪府泉南市岡田"</f>
        <v>大阪府泉南市岡田</v>
      </c>
      <c r="F2794" s="7"/>
      <c r="G2794" s="7" t="str">
        <f t="shared" si="959"/>
        <v>事業用資産</v>
      </c>
      <c r="H2794" s="7" t="str">
        <f t="shared" si="951"/>
        <v>棚卸以外</v>
      </c>
      <c r="I2794" s="7">
        <v>2</v>
      </c>
      <c r="J2794" s="7" t="str">
        <f>"受水槽ポンプ室"</f>
        <v>受水槽ポンプ室</v>
      </c>
      <c r="K2794" s="7" t="str">
        <f t="shared" si="964"/>
        <v>鉄筋コンクリート造</v>
      </c>
      <c r="L2794" s="7" t="str">
        <f>"H17.07.28"</f>
        <v>H17.07.28</v>
      </c>
      <c r="M2794" s="7">
        <v>31.5</v>
      </c>
      <c r="N2794" s="7">
        <v>8597000</v>
      </c>
      <c r="O2794" s="7">
        <v>3231516</v>
      </c>
      <c r="P2794" s="7">
        <v>0</v>
      </c>
      <c r="Q2794" s="7" t="str">
        <f t="shared" si="963"/>
        <v>都市整備部</v>
      </c>
      <c r="R2794" s="7" t="str">
        <f t="shared" si="960"/>
        <v>住宅建築局住宅経営室</v>
      </c>
    </row>
    <row r="2795" spans="1:18" s="1" customFormat="1" x14ac:dyDescent="0.45">
      <c r="A2795" s="7" t="str">
        <f>"09940003346"</f>
        <v>09940003346</v>
      </c>
      <c r="B2795" s="7" t="str">
        <f>"泉南岡田（旧吉見岡田）"</f>
        <v>泉南岡田（旧吉見岡田）</v>
      </c>
      <c r="C2795" s="7" t="str">
        <f t="shared" si="961"/>
        <v>行政財産</v>
      </c>
      <c r="D2795" s="7" t="str">
        <f t="shared" si="962"/>
        <v>公営住宅</v>
      </c>
      <c r="E2795" s="7" t="str">
        <f>"大阪府泉南市岡田"</f>
        <v>大阪府泉南市岡田</v>
      </c>
      <c r="F2795" s="7"/>
      <c r="G2795" s="7" t="str">
        <f t="shared" si="959"/>
        <v>事業用資産</v>
      </c>
      <c r="H2795" s="7" t="str">
        <f t="shared" si="951"/>
        <v>棚卸以外</v>
      </c>
      <c r="I2795" s="7">
        <v>3</v>
      </c>
      <c r="J2795" s="7" t="str">
        <f>"２号棟（新）"</f>
        <v>２号棟（新）</v>
      </c>
      <c r="K2795" s="7" t="str">
        <f t="shared" si="964"/>
        <v>鉄筋コンクリート造</v>
      </c>
      <c r="L2795" s="7" t="str">
        <f>"H19.08.31"</f>
        <v>H19.08.31</v>
      </c>
      <c r="M2795" s="7">
        <v>5932.11</v>
      </c>
      <c r="N2795" s="7">
        <v>821280807</v>
      </c>
      <c r="O2795" s="7">
        <v>273265261</v>
      </c>
      <c r="P2795" s="7">
        <v>0</v>
      </c>
      <c r="Q2795" s="7" t="str">
        <f t="shared" si="963"/>
        <v>都市整備部</v>
      </c>
      <c r="R2795" s="7" t="str">
        <f t="shared" si="960"/>
        <v>住宅建築局住宅経営室</v>
      </c>
    </row>
    <row r="2796" spans="1:18" s="1" customFormat="1" x14ac:dyDescent="0.45">
      <c r="A2796" s="7" t="str">
        <f>"09940003346"</f>
        <v>09940003346</v>
      </c>
      <c r="B2796" s="7" t="str">
        <f>"泉南岡田（旧吉見岡田）"</f>
        <v>泉南岡田（旧吉見岡田）</v>
      </c>
      <c r="C2796" s="7" t="str">
        <f t="shared" si="961"/>
        <v>行政財産</v>
      </c>
      <c r="D2796" s="7" t="str">
        <f t="shared" si="962"/>
        <v>公営住宅</v>
      </c>
      <c r="E2796" s="7" t="str">
        <f>"大阪府泉南市岡田"</f>
        <v>大阪府泉南市岡田</v>
      </c>
      <c r="F2796" s="7"/>
      <c r="G2796" s="7" t="str">
        <f t="shared" si="959"/>
        <v>事業用資産</v>
      </c>
      <c r="H2796" s="7" t="str">
        <f t="shared" si="951"/>
        <v>棚卸以外</v>
      </c>
      <c r="I2796" s="7">
        <v>4</v>
      </c>
      <c r="J2796" s="7" t="str">
        <f>"ポンプ室・電気室"</f>
        <v>ポンプ室・電気室</v>
      </c>
      <c r="K2796" s="7" t="str">
        <f t="shared" si="964"/>
        <v>鉄筋コンクリート造</v>
      </c>
      <c r="L2796" s="7" t="str">
        <f>"H19.08.31"</f>
        <v>H19.08.31</v>
      </c>
      <c r="M2796" s="7">
        <v>64.069999999999993</v>
      </c>
      <c r="N2796" s="7">
        <v>13493000</v>
      </c>
      <c r="O2796" s="7">
        <v>4473788</v>
      </c>
      <c r="P2796" s="7">
        <v>0</v>
      </c>
      <c r="Q2796" s="7" t="str">
        <f t="shared" si="963"/>
        <v>都市整備部</v>
      </c>
      <c r="R2796" s="7" t="str">
        <f t="shared" si="960"/>
        <v>住宅建築局住宅経営室</v>
      </c>
    </row>
    <row r="2797" spans="1:18" s="1" customFormat="1" x14ac:dyDescent="0.45">
      <c r="A2797" s="7" t="str">
        <f>"09940003346"</f>
        <v>09940003346</v>
      </c>
      <c r="B2797" s="7" t="str">
        <f>"泉南岡田（旧吉見岡田）"</f>
        <v>泉南岡田（旧吉見岡田）</v>
      </c>
      <c r="C2797" s="7" t="str">
        <f t="shared" si="961"/>
        <v>行政財産</v>
      </c>
      <c r="D2797" s="7" t="str">
        <f t="shared" si="962"/>
        <v>公営住宅</v>
      </c>
      <c r="E2797" s="7" t="str">
        <f>"大阪府泉南市岡田"</f>
        <v>大阪府泉南市岡田</v>
      </c>
      <c r="F2797" s="7"/>
      <c r="G2797" s="7" t="str">
        <f t="shared" si="959"/>
        <v>事業用資産</v>
      </c>
      <c r="H2797" s="7" t="str">
        <f t="shared" si="951"/>
        <v>棚卸以外</v>
      </c>
      <c r="I2797" s="7">
        <v>5</v>
      </c>
      <c r="J2797" s="7" t="str">
        <f>"集会所"</f>
        <v>集会所</v>
      </c>
      <c r="K2797" s="7" t="str">
        <f t="shared" si="964"/>
        <v>鉄筋コンクリート造</v>
      </c>
      <c r="L2797" s="7" t="str">
        <f>"H21.02.27"</f>
        <v>H21.02.27</v>
      </c>
      <c r="M2797" s="7">
        <v>119.24</v>
      </c>
      <c r="N2797" s="7">
        <v>23810000</v>
      </c>
      <c r="O2797" s="7">
        <v>7134673</v>
      </c>
      <c r="P2797" s="7">
        <v>0</v>
      </c>
      <c r="Q2797" s="7" t="str">
        <f t="shared" si="963"/>
        <v>都市整備部</v>
      </c>
      <c r="R2797" s="7" t="str">
        <f t="shared" si="960"/>
        <v>住宅建築局住宅経営室</v>
      </c>
    </row>
    <row r="2798" spans="1:18" s="1" customFormat="1" ht="26.4" x14ac:dyDescent="0.45">
      <c r="A2798" s="7" t="str">
        <f t="shared" ref="A2798:A2822" si="965">"09940003347"</f>
        <v>09940003347</v>
      </c>
      <c r="B2798" s="7" t="str">
        <f t="shared" ref="B2798:B2822" si="966">"泉佐野佐野台（旧佐野台、(仮称)泉佐野上瓦屋）"</f>
        <v>泉佐野佐野台（旧佐野台、(仮称)泉佐野上瓦屋）</v>
      </c>
      <c r="C2798" s="7" t="str">
        <f t="shared" si="961"/>
        <v>行政財産</v>
      </c>
      <c r="D2798" s="7" t="str">
        <f t="shared" si="962"/>
        <v>公営住宅</v>
      </c>
      <c r="E2798" s="7" t="str">
        <f t="shared" ref="E2798:E2822" si="967">"大阪府泉佐野市佐野台"</f>
        <v>大阪府泉佐野市佐野台</v>
      </c>
      <c r="F2798" s="7"/>
      <c r="G2798" s="7" t="str">
        <f t="shared" si="959"/>
        <v>事業用資産</v>
      </c>
      <c r="H2798" s="7" t="str">
        <f t="shared" si="951"/>
        <v>棚卸以外</v>
      </c>
      <c r="I2798" s="7">
        <v>17</v>
      </c>
      <c r="J2798" s="7" t="str">
        <f>"泉佐野佐野第　１号棟"</f>
        <v>泉佐野佐野第　１号棟</v>
      </c>
      <c r="K2798" s="7" t="str">
        <f t="shared" si="964"/>
        <v>鉄筋コンクリート造</v>
      </c>
      <c r="L2798" s="7" t="str">
        <f>"H17.07.27"</f>
        <v>H17.07.27</v>
      </c>
      <c r="M2798" s="7">
        <v>6100.86</v>
      </c>
      <c r="N2798" s="7">
        <v>763502121</v>
      </c>
      <c r="O2798" s="7">
        <v>287620824</v>
      </c>
      <c r="P2798" s="7">
        <v>0</v>
      </c>
      <c r="Q2798" s="7" t="str">
        <f t="shared" si="963"/>
        <v>都市整備部</v>
      </c>
      <c r="R2798" s="7" t="str">
        <f t="shared" si="960"/>
        <v>住宅建築局住宅経営室</v>
      </c>
    </row>
    <row r="2799" spans="1:18" s="1" customFormat="1" ht="26.4" x14ac:dyDescent="0.45">
      <c r="A2799" s="7" t="str">
        <f t="shared" si="965"/>
        <v>09940003347</v>
      </c>
      <c r="B2799" s="7" t="str">
        <f t="shared" si="966"/>
        <v>泉佐野佐野台（旧佐野台、(仮称)泉佐野上瓦屋）</v>
      </c>
      <c r="C2799" s="7" t="str">
        <f t="shared" si="961"/>
        <v>行政財産</v>
      </c>
      <c r="D2799" s="7" t="str">
        <f t="shared" si="962"/>
        <v>公営住宅</v>
      </c>
      <c r="E2799" s="7" t="str">
        <f t="shared" si="967"/>
        <v>大阪府泉佐野市佐野台</v>
      </c>
      <c r="F2799" s="7"/>
      <c r="G2799" s="7" t="str">
        <f t="shared" si="959"/>
        <v>事業用資産</v>
      </c>
      <c r="H2799" s="7" t="str">
        <f t="shared" si="951"/>
        <v>棚卸以外</v>
      </c>
      <c r="I2799" s="7">
        <v>18</v>
      </c>
      <c r="J2799" s="7" t="str">
        <f>"泉佐野佐野台　２号棟"</f>
        <v>泉佐野佐野台　２号棟</v>
      </c>
      <c r="K2799" s="7" t="str">
        <f t="shared" si="964"/>
        <v>鉄筋コンクリート造</v>
      </c>
      <c r="L2799" s="7" t="str">
        <f>"H17.07.27"</f>
        <v>H17.07.27</v>
      </c>
      <c r="M2799" s="7">
        <v>4791.5200000000004</v>
      </c>
      <c r="N2799" s="7">
        <v>643609121</v>
      </c>
      <c r="O2799" s="7">
        <v>242554500</v>
      </c>
      <c r="P2799" s="7">
        <v>0</v>
      </c>
      <c r="Q2799" s="7" t="str">
        <f t="shared" si="963"/>
        <v>都市整備部</v>
      </c>
      <c r="R2799" s="7" t="str">
        <f t="shared" si="960"/>
        <v>住宅建築局住宅経営室</v>
      </c>
    </row>
    <row r="2800" spans="1:18" s="1" customFormat="1" ht="26.4" x14ac:dyDescent="0.45">
      <c r="A2800" s="7" t="str">
        <f t="shared" si="965"/>
        <v>09940003347</v>
      </c>
      <c r="B2800" s="7" t="str">
        <f t="shared" si="966"/>
        <v>泉佐野佐野台（旧佐野台、(仮称)泉佐野上瓦屋）</v>
      </c>
      <c r="C2800" s="7" t="str">
        <f t="shared" si="961"/>
        <v>行政財産</v>
      </c>
      <c r="D2800" s="7" t="str">
        <f t="shared" si="962"/>
        <v>公営住宅</v>
      </c>
      <c r="E2800" s="7" t="str">
        <f t="shared" si="967"/>
        <v>大阪府泉佐野市佐野台</v>
      </c>
      <c r="F2800" s="7"/>
      <c r="G2800" s="7" t="str">
        <f t="shared" si="959"/>
        <v>事業用資産</v>
      </c>
      <c r="H2800" s="7" t="str">
        <f t="shared" si="951"/>
        <v>棚卸以外</v>
      </c>
      <c r="I2800" s="7">
        <v>19</v>
      </c>
      <c r="J2800" s="7" t="str">
        <f>"受水槽ポンプ室・電気室"</f>
        <v>受水槽ポンプ室・電気室</v>
      </c>
      <c r="K2800" s="7" t="str">
        <f t="shared" si="964"/>
        <v>鉄筋コンクリート造</v>
      </c>
      <c r="L2800" s="7" t="str">
        <f>"H17.07.27"</f>
        <v>H17.07.27</v>
      </c>
      <c r="M2800" s="7">
        <v>127.66</v>
      </c>
      <c r="N2800" s="7">
        <v>42878000</v>
      </c>
      <c r="O2800" s="7">
        <v>16117300</v>
      </c>
      <c r="P2800" s="7">
        <v>0</v>
      </c>
      <c r="Q2800" s="7" t="str">
        <f t="shared" si="963"/>
        <v>都市整備部</v>
      </c>
      <c r="R2800" s="7" t="str">
        <f t="shared" si="960"/>
        <v>住宅建築局住宅経営室</v>
      </c>
    </row>
    <row r="2801" spans="1:18" s="1" customFormat="1" ht="26.4" x14ac:dyDescent="0.45">
      <c r="A2801" s="7" t="str">
        <f t="shared" si="965"/>
        <v>09940003347</v>
      </c>
      <c r="B2801" s="7" t="str">
        <f t="shared" si="966"/>
        <v>泉佐野佐野台（旧佐野台、(仮称)泉佐野上瓦屋）</v>
      </c>
      <c r="C2801" s="7" t="str">
        <f t="shared" si="961"/>
        <v>行政財産</v>
      </c>
      <c r="D2801" s="7" t="str">
        <f t="shared" si="962"/>
        <v>公営住宅</v>
      </c>
      <c r="E2801" s="7" t="str">
        <f t="shared" si="967"/>
        <v>大阪府泉佐野市佐野台</v>
      </c>
      <c r="F2801" s="7"/>
      <c r="G2801" s="7" t="str">
        <f t="shared" si="959"/>
        <v>事業用資産</v>
      </c>
      <c r="H2801" s="7" t="str">
        <f t="shared" si="951"/>
        <v>棚卸以外</v>
      </c>
      <c r="I2801" s="7">
        <v>20</v>
      </c>
      <c r="J2801" s="7" t="str">
        <f>"泉佐野佐野台　３号棟"</f>
        <v>泉佐野佐野台　３号棟</v>
      </c>
      <c r="K2801" s="7" t="str">
        <f t="shared" si="964"/>
        <v>鉄筋コンクリート造</v>
      </c>
      <c r="L2801" s="7" t="str">
        <f>"H19.04.25"</f>
        <v>H19.04.25</v>
      </c>
      <c r="M2801" s="7">
        <v>3490.58</v>
      </c>
      <c r="N2801" s="7">
        <v>406805951</v>
      </c>
      <c r="O2801" s="7">
        <v>139752376</v>
      </c>
      <c r="P2801" s="7">
        <v>0</v>
      </c>
      <c r="Q2801" s="7" t="str">
        <f t="shared" si="963"/>
        <v>都市整備部</v>
      </c>
      <c r="R2801" s="7" t="str">
        <f t="shared" si="960"/>
        <v>住宅建築局住宅経営室</v>
      </c>
    </row>
    <row r="2802" spans="1:18" s="1" customFormat="1" ht="26.4" x14ac:dyDescent="0.45">
      <c r="A2802" s="7" t="str">
        <f t="shared" si="965"/>
        <v>09940003347</v>
      </c>
      <c r="B2802" s="7" t="str">
        <f t="shared" si="966"/>
        <v>泉佐野佐野台（旧佐野台、(仮称)泉佐野上瓦屋）</v>
      </c>
      <c r="C2802" s="7" t="str">
        <f t="shared" si="961"/>
        <v>行政財産</v>
      </c>
      <c r="D2802" s="7" t="str">
        <f t="shared" si="962"/>
        <v>公営住宅</v>
      </c>
      <c r="E2802" s="7" t="str">
        <f t="shared" si="967"/>
        <v>大阪府泉佐野市佐野台</v>
      </c>
      <c r="F2802" s="7"/>
      <c r="G2802" s="7" t="str">
        <f t="shared" si="959"/>
        <v>事業用資産</v>
      </c>
      <c r="H2802" s="7" t="str">
        <f t="shared" si="951"/>
        <v>棚卸以外</v>
      </c>
      <c r="I2802" s="7">
        <v>21</v>
      </c>
      <c r="J2802" s="7" t="str">
        <f>"泉佐野佐野台　４号棟"</f>
        <v>泉佐野佐野台　４号棟</v>
      </c>
      <c r="K2802" s="7" t="str">
        <f t="shared" si="964"/>
        <v>鉄筋コンクリート造</v>
      </c>
      <c r="L2802" s="7" t="str">
        <f>"H19.04.25"</f>
        <v>H19.04.25</v>
      </c>
      <c r="M2802" s="7">
        <v>3351.08</v>
      </c>
      <c r="N2802" s="7">
        <v>384181952</v>
      </c>
      <c r="O2802" s="7">
        <v>132090602</v>
      </c>
      <c r="P2802" s="7">
        <v>0</v>
      </c>
      <c r="Q2802" s="7" t="str">
        <f t="shared" si="963"/>
        <v>都市整備部</v>
      </c>
      <c r="R2802" s="7" t="str">
        <f t="shared" si="960"/>
        <v>住宅建築局住宅経営室</v>
      </c>
    </row>
    <row r="2803" spans="1:18" s="1" customFormat="1" ht="26.4" x14ac:dyDescent="0.45">
      <c r="A2803" s="7" t="str">
        <f t="shared" si="965"/>
        <v>09940003347</v>
      </c>
      <c r="B2803" s="7" t="str">
        <f t="shared" si="966"/>
        <v>泉佐野佐野台（旧佐野台、(仮称)泉佐野上瓦屋）</v>
      </c>
      <c r="C2803" s="7" t="str">
        <f t="shared" si="961"/>
        <v>行政財産</v>
      </c>
      <c r="D2803" s="7" t="str">
        <f t="shared" si="962"/>
        <v>公営住宅</v>
      </c>
      <c r="E2803" s="7" t="str">
        <f t="shared" si="967"/>
        <v>大阪府泉佐野市佐野台</v>
      </c>
      <c r="F2803" s="7"/>
      <c r="G2803" s="7" t="str">
        <f t="shared" si="959"/>
        <v>事業用資産</v>
      </c>
      <c r="H2803" s="7" t="str">
        <f t="shared" si="951"/>
        <v>棚卸以外</v>
      </c>
      <c r="I2803" s="7">
        <v>22</v>
      </c>
      <c r="J2803" s="7" t="str">
        <f>"泉佐野佐野台　５号棟"</f>
        <v>泉佐野佐野台　５号棟</v>
      </c>
      <c r="K2803" s="7" t="str">
        <f t="shared" si="964"/>
        <v>鉄筋コンクリート造</v>
      </c>
      <c r="L2803" s="7" t="str">
        <f>"H21.02.24"</f>
        <v>H21.02.24</v>
      </c>
      <c r="M2803" s="7">
        <v>2795.62</v>
      </c>
      <c r="N2803" s="7">
        <v>353791717</v>
      </c>
      <c r="O2803" s="7">
        <v>106297634</v>
      </c>
      <c r="P2803" s="7">
        <v>0</v>
      </c>
      <c r="Q2803" s="7" t="str">
        <f t="shared" si="963"/>
        <v>都市整備部</v>
      </c>
      <c r="R2803" s="7" t="str">
        <f t="shared" si="960"/>
        <v>住宅建築局住宅経営室</v>
      </c>
    </row>
    <row r="2804" spans="1:18" s="1" customFormat="1" ht="26.4" x14ac:dyDescent="0.45">
      <c r="A2804" s="7" t="str">
        <f t="shared" si="965"/>
        <v>09940003347</v>
      </c>
      <c r="B2804" s="7" t="str">
        <f t="shared" si="966"/>
        <v>泉佐野佐野台（旧佐野台、(仮称)泉佐野上瓦屋）</v>
      </c>
      <c r="C2804" s="7" t="str">
        <f t="shared" si="961"/>
        <v>行政財産</v>
      </c>
      <c r="D2804" s="7" t="str">
        <f t="shared" si="962"/>
        <v>公営住宅</v>
      </c>
      <c r="E2804" s="7" t="str">
        <f t="shared" si="967"/>
        <v>大阪府泉佐野市佐野台</v>
      </c>
      <c r="F2804" s="7"/>
      <c r="G2804" s="7" t="str">
        <f t="shared" si="959"/>
        <v>事業用資産</v>
      </c>
      <c r="H2804" s="7" t="str">
        <f t="shared" si="951"/>
        <v>棚卸以外</v>
      </c>
      <c r="I2804" s="7">
        <v>23</v>
      </c>
      <c r="J2804" s="7" t="str">
        <f>"泉佐野佐野台　６号棟"</f>
        <v>泉佐野佐野台　６号棟</v>
      </c>
      <c r="K2804" s="7" t="str">
        <f t="shared" si="964"/>
        <v>鉄筋コンクリート造</v>
      </c>
      <c r="L2804" s="7" t="str">
        <f>"H21.02.24"</f>
        <v>H21.02.24</v>
      </c>
      <c r="M2804" s="7">
        <v>2181.42</v>
      </c>
      <c r="N2804" s="7">
        <v>284447718</v>
      </c>
      <c r="O2804" s="7">
        <v>85519084</v>
      </c>
      <c r="P2804" s="7">
        <v>0</v>
      </c>
      <c r="Q2804" s="7" t="str">
        <f t="shared" si="963"/>
        <v>都市整備部</v>
      </c>
      <c r="R2804" s="7" t="str">
        <f t="shared" si="960"/>
        <v>住宅建築局住宅経営室</v>
      </c>
    </row>
    <row r="2805" spans="1:18" s="1" customFormat="1" ht="26.4" x14ac:dyDescent="0.45">
      <c r="A2805" s="7" t="str">
        <f t="shared" si="965"/>
        <v>09940003347</v>
      </c>
      <c r="B2805" s="7" t="str">
        <f t="shared" si="966"/>
        <v>泉佐野佐野台（旧佐野台、(仮称)泉佐野上瓦屋）</v>
      </c>
      <c r="C2805" s="7" t="str">
        <f t="shared" si="961"/>
        <v>行政財産</v>
      </c>
      <c r="D2805" s="7" t="str">
        <f t="shared" si="962"/>
        <v>公営住宅</v>
      </c>
      <c r="E2805" s="7" t="str">
        <f t="shared" si="967"/>
        <v>大阪府泉佐野市佐野台</v>
      </c>
      <c r="F2805" s="7"/>
      <c r="G2805" s="7" t="str">
        <f t="shared" si="959"/>
        <v>事業用資産</v>
      </c>
      <c r="H2805" s="7" t="str">
        <f t="shared" si="951"/>
        <v>棚卸以外</v>
      </c>
      <c r="I2805" s="7">
        <v>24</v>
      </c>
      <c r="J2805" s="7" t="str">
        <f>"泉佐野佐野台　７号棟"</f>
        <v>泉佐野佐野台　７号棟</v>
      </c>
      <c r="K2805" s="7" t="str">
        <f t="shared" si="964"/>
        <v>鉄筋コンクリート造</v>
      </c>
      <c r="L2805" s="7" t="str">
        <f>"H21.02.24"</f>
        <v>H21.02.24</v>
      </c>
      <c r="M2805" s="7">
        <v>1602.64</v>
      </c>
      <c r="N2805" s="7">
        <v>222477718</v>
      </c>
      <c r="O2805" s="7">
        <v>66950040</v>
      </c>
      <c r="P2805" s="7">
        <v>0</v>
      </c>
      <c r="Q2805" s="7" t="str">
        <f t="shared" si="963"/>
        <v>都市整備部</v>
      </c>
      <c r="R2805" s="7" t="str">
        <f t="shared" si="960"/>
        <v>住宅建築局住宅経営室</v>
      </c>
    </row>
    <row r="2806" spans="1:18" s="1" customFormat="1" ht="26.4" x14ac:dyDescent="0.45">
      <c r="A2806" s="7" t="str">
        <f t="shared" si="965"/>
        <v>09940003347</v>
      </c>
      <c r="B2806" s="7" t="str">
        <f t="shared" si="966"/>
        <v>泉佐野佐野台（旧佐野台、(仮称)泉佐野上瓦屋）</v>
      </c>
      <c r="C2806" s="7" t="str">
        <f t="shared" si="961"/>
        <v>行政財産</v>
      </c>
      <c r="D2806" s="7" t="str">
        <f t="shared" si="962"/>
        <v>公営住宅</v>
      </c>
      <c r="E2806" s="7" t="str">
        <f t="shared" si="967"/>
        <v>大阪府泉佐野市佐野台</v>
      </c>
      <c r="F2806" s="7"/>
      <c r="G2806" s="7" t="str">
        <f t="shared" si="959"/>
        <v>事業用資産</v>
      </c>
      <c r="H2806" s="7" t="str">
        <f t="shared" si="951"/>
        <v>棚卸以外</v>
      </c>
      <c r="I2806" s="7">
        <v>25</v>
      </c>
      <c r="J2806" s="7" t="str">
        <f>"ポンプ室・電気室"</f>
        <v>ポンプ室・電気室</v>
      </c>
      <c r="K2806" s="7" t="str">
        <f t="shared" si="964"/>
        <v>鉄筋コンクリート造</v>
      </c>
      <c r="L2806" s="7" t="str">
        <f>"H21.02.24"</f>
        <v>H21.02.24</v>
      </c>
      <c r="M2806" s="7">
        <v>111.94</v>
      </c>
      <c r="N2806" s="7">
        <v>24513000</v>
      </c>
      <c r="O2806" s="7">
        <v>7345247</v>
      </c>
      <c r="P2806" s="7">
        <v>0</v>
      </c>
      <c r="Q2806" s="7" t="str">
        <f t="shared" si="963"/>
        <v>都市整備部</v>
      </c>
      <c r="R2806" s="7" t="str">
        <f t="shared" si="960"/>
        <v>住宅建築局住宅経営室</v>
      </c>
    </row>
    <row r="2807" spans="1:18" s="1" customFormat="1" ht="26.4" x14ac:dyDescent="0.45">
      <c r="A2807" s="7" t="str">
        <f t="shared" si="965"/>
        <v>09940003347</v>
      </c>
      <c r="B2807" s="7" t="str">
        <f t="shared" si="966"/>
        <v>泉佐野佐野台（旧佐野台、(仮称)泉佐野上瓦屋）</v>
      </c>
      <c r="C2807" s="7" t="str">
        <f t="shared" si="961"/>
        <v>行政財産</v>
      </c>
      <c r="D2807" s="7" t="str">
        <f t="shared" si="962"/>
        <v>公営住宅</v>
      </c>
      <c r="E2807" s="7" t="str">
        <f t="shared" si="967"/>
        <v>大阪府泉佐野市佐野台</v>
      </c>
      <c r="F2807" s="7"/>
      <c r="G2807" s="7" t="str">
        <f t="shared" si="959"/>
        <v>事業用資産</v>
      </c>
      <c r="H2807" s="7" t="str">
        <f t="shared" si="951"/>
        <v>棚卸以外</v>
      </c>
      <c r="I2807" s="7">
        <v>26</v>
      </c>
      <c r="J2807" s="7" t="str">
        <f>"泉佐野佐野台　８号棟"</f>
        <v>泉佐野佐野台　８号棟</v>
      </c>
      <c r="K2807" s="7" t="str">
        <f t="shared" si="964"/>
        <v>鉄筋コンクリート造</v>
      </c>
      <c r="L2807" s="7" t="str">
        <f>"H22.02.26"</f>
        <v>H22.02.26</v>
      </c>
      <c r="M2807" s="7">
        <v>2461.2399999999998</v>
      </c>
      <c r="N2807" s="7">
        <v>341048976</v>
      </c>
      <c r="O2807" s="7">
        <v>95351463</v>
      </c>
      <c r="P2807" s="7">
        <v>0</v>
      </c>
      <c r="Q2807" s="7" t="str">
        <f t="shared" si="963"/>
        <v>都市整備部</v>
      </c>
      <c r="R2807" s="7" t="str">
        <f t="shared" si="960"/>
        <v>住宅建築局住宅経営室</v>
      </c>
    </row>
    <row r="2808" spans="1:18" s="1" customFormat="1" ht="26.4" x14ac:dyDescent="0.45">
      <c r="A2808" s="7" t="str">
        <f t="shared" si="965"/>
        <v>09940003347</v>
      </c>
      <c r="B2808" s="7" t="str">
        <f t="shared" si="966"/>
        <v>泉佐野佐野台（旧佐野台、(仮称)泉佐野上瓦屋）</v>
      </c>
      <c r="C2808" s="7" t="str">
        <f t="shared" si="961"/>
        <v>行政財産</v>
      </c>
      <c r="D2808" s="7" t="str">
        <f t="shared" si="962"/>
        <v>公営住宅</v>
      </c>
      <c r="E2808" s="7" t="str">
        <f t="shared" si="967"/>
        <v>大阪府泉佐野市佐野台</v>
      </c>
      <c r="F2808" s="7"/>
      <c r="G2808" s="7" t="str">
        <f t="shared" si="959"/>
        <v>事業用資産</v>
      </c>
      <c r="H2808" s="7" t="str">
        <f t="shared" si="951"/>
        <v>棚卸以外</v>
      </c>
      <c r="I2808" s="7">
        <v>27</v>
      </c>
      <c r="J2808" s="7" t="str">
        <f>"泉佐野佐野台　９号棟"</f>
        <v>泉佐野佐野台　９号棟</v>
      </c>
      <c r="K2808" s="7" t="str">
        <f t="shared" si="964"/>
        <v>鉄筋コンクリート造</v>
      </c>
      <c r="L2808" s="7" t="str">
        <f>"H22.02.26"</f>
        <v>H22.02.26</v>
      </c>
      <c r="M2808" s="7">
        <v>2917.74</v>
      </c>
      <c r="N2808" s="7">
        <v>378492976</v>
      </c>
      <c r="O2808" s="7">
        <v>105774693</v>
      </c>
      <c r="P2808" s="7">
        <v>0</v>
      </c>
      <c r="Q2808" s="7" t="str">
        <f t="shared" si="963"/>
        <v>都市整備部</v>
      </c>
      <c r="R2808" s="7" t="str">
        <f t="shared" si="960"/>
        <v>住宅建築局住宅経営室</v>
      </c>
    </row>
    <row r="2809" spans="1:18" s="1" customFormat="1" ht="26.4" x14ac:dyDescent="0.45">
      <c r="A2809" s="7" t="str">
        <f t="shared" si="965"/>
        <v>09940003347</v>
      </c>
      <c r="B2809" s="7" t="str">
        <f t="shared" si="966"/>
        <v>泉佐野佐野台（旧佐野台、(仮称)泉佐野上瓦屋）</v>
      </c>
      <c r="C2809" s="7" t="str">
        <f t="shared" si="961"/>
        <v>行政財産</v>
      </c>
      <c r="D2809" s="7" t="str">
        <f t="shared" si="962"/>
        <v>公営住宅</v>
      </c>
      <c r="E2809" s="7" t="str">
        <f t="shared" si="967"/>
        <v>大阪府泉佐野市佐野台</v>
      </c>
      <c r="F2809" s="7"/>
      <c r="G2809" s="7" t="str">
        <f t="shared" si="959"/>
        <v>事業用資産</v>
      </c>
      <c r="H2809" s="7" t="str">
        <f t="shared" si="951"/>
        <v>棚卸以外</v>
      </c>
      <c r="I2809" s="7">
        <v>28</v>
      </c>
      <c r="J2809" s="7" t="str">
        <f>"泉佐野佐野台　１０号棟"</f>
        <v>泉佐野佐野台　１０号棟</v>
      </c>
      <c r="K2809" s="7" t="str">
        <f>"鉄骨コンクリート造"</f>
        <v>鉄骨コンクリート造</v>
      </c>
      <c r="L2809" s="7" t="str">
        <f>"H22.02.26"</f>
        <v>H22.02.26</v>
      </c>
      <c r="M2809" s="7">
        <v>2442.31</v>
      </c>
      <c r="N2809" s="7">
        <v>315740976</v>
      </c>
      <c r="O2809" s="7">
        <v>88306559</v>
      </c>
      <c r="P2809" s="7">
        <v>0</v>
      </c>
      <c r="Q2809" s="7" t="str">
        <f t="shared" si="963"/>
        <v>都市整備部</v>
      </c>
      <c r="R2809" s="7" t="str">
        <f t="shared" si="960"/>
        <v>住宅建築局住宅経営室</v>
      </c>
    </row>
    <row r="2810" spans="1:18" s="1" customFormat="1" ht="26.4" x14ac:dyDescent="0.45">
      <c r="A2810" s="7" t="str">
        <f t="shared" si="965"/>
        <v>09940003347</v>
      </c>
      <c r="B2810" s="7" t="str">
        <f t="shared" si="966"/>
        <v>泉佐野佐野台（旧佐野台、(仮称)泉佐野上瓦屋）</v>
      </c>
      <c r="C2810" s="7" t="str">
        <f t="shared" si="961"/>
        <v>行政財産</v>
      </c>
      <c r="D2810" s="7" t="str">
        <f t="shared" si="962"/>
        <v>公営住宅</v>
      </c>
      <c r="E2810" s="7" t="str">
        <f t="shared" si="967"/>
        <v>大阪府泉佐野市佐野台</v>
      </c>
      <c r="F2810" s="7"/>
      <c r="G2810" s="7" t="str">
        <f t="shared" si="959"/>
        <v>事業用資産</v>
      </c>
      <c r="H2810" s="7" t="str">
        <f t="shared" si="951"/>
        <v>棚卸以外</v>
      </c>
      <c r="I2810" s="7">
        <v>29</v>
      </c>
      <c r="J2810" s="7" t="str">
        <f>"泉佐野佐野台　１１号棟"</f>
        <v>泉佐野佐野台　１１号棟</v>
      </c>
      <c r="K2810" s="7" t="str">
        <f t="shared" ref="K2810:K2818" si="968">"鉄筋コンクリート造"</f>
        <v>鉄筋コンクリート造</v>
      </c>
      <c r="L2810" s="7" t="str">
        <f>"H24.01.31"</f>
        <v>H24.01.31</v>
      </c>
      <c r="M2810" s="7">
        <v>2327.9499999999998</v>
      </c>
      <c r="N2810" s="7">
        <v>364086332</v>
      </c>
      <c r="O2810" s="7">
        <v>86527342</v>
      </c>
      <c r="P2810" s="7">
        <v>0</v>
      </c>
      <c r="Q2810" s="7" t="str">
        <f t="shared" si="963"/>
        <v>都市整備部</v>
      </c>
      <c r="R2810" s="7" t="str">
        <f t="shared" si="960"/>
        <v>住宅建築局住宅経営室</v>
      </c>
    </row>
    <row r="2811" spans="1:18" s="1" customFormat="1" ht="26.4" x14ac:dyDescent="0.45">
      <c r="A2811" s="7" t="str">
        <f t="shared" si="965"/>
        <v>09940003347</v>
      </c>
      <c r="B2811" s="7" t="str">
        <f t="shared" si="966"/>
        <v>泉佐野佐野台（旧佐野台、(仮称)泉佐野上瓦屋）</v>
      </c>
      <c r="C2811" s="7" t="str">
        <f t="shared" si="961"/>
        <v>行政財産</v>
      </c>
      <c r="D2811" s="7" t="str">
        <f t="shared" si="962"/>
        <v>公営住宅</v>
      </c>
      <c r="E2811" s="7" t="str">
        <f t="shared" si="967"/>
        <v>大阪府泉佐野市佐野台</v>
      </c>
      <c r="F2811" s="7"/>
      <c r="G2811" s="7" t="str">
        <f t="shared" si="959"/>
        <v>事業用資産</v>
      </c>
      <c r="H2811" s="7" t="str">
        <f t="shared" si="951"/>
        <v>棚卸以外</v>
      </c>
      <c r="I2811" s="7">
        <v>30</v>
      </c>
      <c r="J2811" s="7" t="str">
        <f>"泉佐野佐野台　１２号棟"</f>
        <v>泉佐野佐野台　１２号棟</v>
      </c>
      <c r="K2811" s="7" t="str">
        <f t="shared" si="968"/>
        <v>鉄筋コンクリート造</v>
      </c>
      <c r="L2811" s="7" t="str">
        <f>"H24.01.31"</f>
        <v>H24.01.31</v>
      </c>
      <c r="M2811" s="7">
        <v>2743.43</v>
      </c>
      <c r="N2811" s="7">
        <v>356800589</v>
      </c>
      <c r="O2811" s="7">
        <v>84796330</v>
      </c>
      <c r="P2811" s="7">
        <v>0</v>
      </c>
      <c r="Q2811" s="7" t="str">
        <f t="shared" si="963"/>
        <v>都市整備部</v>
      </c>
      <c r="R2811" s="7" t="str">
        <f t="shared" si="960"/>
        <v>住宅建築局住宅経営室</v>
      </c>
    </row>
    <row r="2812" spans="1:18" s="1" customFormat="1" ht="26.4" x14ac:dyDescent="0.45">
      <c r="A2812" s="7" t="str">
        <f t="shared" si="965"/>
        <v>09940003347</v>
      </c>
      <c r="B2812" s="7" t="str">
        <f t="shared" si="966"/>
        <v>泉佐野佐野台（旧佐野台、(仮称)泉佐野上瓦屋）</v>
      </c>
      <c r="C2812" s="7" t="str">
        <f t="shared" si="961"/>
        <v>行政財産</v>
      </c>
      <c r="D2812" s="7" t="str">
        <f t="shared" si="962"/>
        <v>公営住宅</v>
      </c>
      <c r="E2812" s="7" t="str">
        <f t="shared" si="967"/>
        <v>大阪府泉佐野市佐野台</v>
      </c>
      <c r="F2812" s="7"/>
      <c r="G2812" s="7" t="str">
        <f t="shared" si="959"/>
        <v>事業用資産</v>
      </c>
      <c r="H2812" s="7" t="str">
        <f t="shared" si="951"/>
        <v>棚卸以外</v>
      </c>
      <c r="I2812" s="7">
        <v>31</v>
      </c>
      <c r="J2812" s="7" t="str">
        <f>"泉佐野佐野台　１３号棟"</f>
        <v>泉佐野佐野台　１３号棟</v>
      </c>
      <c r="K2812" s="7" t="str">
        <f t="shared" si="968"/>
        <v>鉄筋コンクリート造</v>
      </c>
      <c r="L2812" s="7" t="str">
        <f>"H24.01.31"</f>
        <v>H24.01.31</v>
      </c>
      <c r="M2812" s="7">
        <v>2743.43</v>
      </c>
      <c r="N2812" s="7">
        <v>342185206</v>
      </c>
      <c r="O2812" s="7">
        <v>81323854</v>
      </c>
      <c r="P2812" s="7">
        <v>0</v>
      </c>
      <c r="Q2812" s="7" t="str">
        <f t="shared" si="963"/>
        <v>都市整備部</v>
      </c>
      <c r="R2812" s="7" t="str">
        <f t="shared" si="960"/>
        <v>住宅建築局住宅経営室</v>
      </c>
    </row>
    <row r="2813" spans="1:18" s="1" customFormat="1" ht="26.4" x14ac:dyDescent="0.45">
      <c r="A2813" s="7" t="str">
        <f t="shared" si="965"/>
        <v>09940003347</v>
      </c>
      <c r="B2813" s="7" t="str">
        <f t="shared" si="966"/>
        <v>泉佐野佐野台（旧佐野台、(仮称)泉佐野上瓦屋）</v>
      </c>
      <c r="C2813" s="7" t="str">
        <f t="shared" si="961"/>
        <v>行政財産</v>
      </c>
      <c r="D2813" s="7" t="str">
        <f t="shared" si="962"/>
        <v>公営住宅</v>
      </c>
      <c r="E2813" s="7" t="str">
        <f t="shared" si="967"/>
        <v>大阪府泉佐野市佐野台</v>
      </c>
      <c r="F2813" s="7"/>
      <c r="G2813" s="7" t="str">
        <f t="shared" si="959"/>
        <v>事業用資産</v>
      </c>
      <c r="H2813" s="7" t="str">
        <f t="shared" si="951"/>
        <v>棚卸以外</v>
      </c>
      <c r="I2813" s="7">
        <v>32</v>
      </c>
      <c r="J2813" s="7" t="str">
        <f>"泉佐野佐野台　１４号棟"</f>
        <v>泉佐野佐野台　１４号棟</v>
      </c>
      <c r="K2813" s="7" t="str">
        <f t="shared" si="968"/>
        <v>鉄筋コンクリート造</v>
      </c>
      <c r="L2813" s="7" t="str">
        <f>"H24.01.31"</f>
        <v>H24.01.31</v>
      </c>
      <c r="M2813" s="7">
        <v>2743.43</v>
      </c>
      <c r="N2813" s="7">
        <v>344112163</v>
      </c>
      <c r="O2813" s="7">
        <v>81781732</v>
      </c>
      <c r="P2813" s="7">
        <v>0</v>
      </c>
      <c r="Q2813" s="7" t="str">
        <f t="shared" si="963"/>
        <v>都市整備部</v>
      </c>
      <c r="R2813" s="7" t="str">
        <f t="shared" si="960"/>
        <v>住宅建築局住宅経営室</v>
      </c>
    </row>
    <row r="2814" spans="1:18" s="1" customFormat="1" ht="26.4" x14ac:dyDescent="0.45">
      <c r="A2814" s="7" t="str">
        <f t="shared" si="965"/>
        <v>09940003347</v>
      </c>
      <c r="B2814" s="7" t="str">
        <f t="shared" si="966"/>
        <v>泉佐野佐野台（旧佐野台、(仮称)泉佐野上瓦屋）</v>
      </c>
      <c r="C2814" s="7" t="str">
        <f t="shared" si="961"/>
        <v>行政財産</v>
      </c>
      <c r="D2814" s="7" t="str">
        <f t="shared" si="962"/>
        <v>公営住宅</v>
      </c>
      <c r="E2814" s="7" t="str">
        <f t="shared" si="967"/>
        <v>大阪府泉佐野市佐野台</v>
      </c>
      <c r="F2814" s="7"/>
      <c r="G2814" s="7" t="str">
        <f t="shared" si="959"/>
        <v>事業用資産</v>
      </c>
      <c r="H2814" s="7" t="str">
        <f t="shared" si="951"/>
        <v>棚卸以外</v>
      </c>
      <c r="I2814" s="7">
        <v>33</v>
      </c>
      <c r="J2814" s="7" t="str">
        <f>"受水槽・ポンプ室・電気室"</f>
        <v>受水槽・ポンプ室・電気室</v>
      </c>
      <c r="K2814" s="7" t="str">
        <f t="shared" si="968"/>
        <v>鉄筋コンクリート造</v>
      </c>
      <c r="L2814" s="7" t="str">
        <f>"H24.01.31"</f>
        <v>H24.01.31</v>
      </c>
      <c r="M2814" s="7">
        <v>96.2</v>
      </c>
      <c r="N2814" s="7">
        <v>26705012</v>
      </c>
      <c r="O2814" s="7">
        <v>6344900</v>
      </c>
      <c r="P2814" s="7">
        <v>0</v>
      </c>
      <c r="Q2814" s="7" t="str">
        <f t="shared" si="963"/>
        <v>都市整備部</v>
      </c>
      <c r="R2814" s="7" t="str">
        <f t="shared" si="960"/>
        <v>住宅建築局住宅経営室</v>
      </c>
    </row>
    <row r="2815" spans="1:18" s="1" customFormat="1" ht="26.4" x14ac:dyDescent="0.45">
      <c r="A2815" s="7" t="str">
        <f t="shared" si="965"/>
        <v>09940003347</v>
      </c>
      <c r="B2815" s="7" t="str">
        <f t="shared" si="966"/>
        <v>泉佐野佐野台（旧佐野台、(仮称)泉佐野上瓦屋）</v>
      </c>
      <c r="C2815" s="7" t="str">
        <f t="shared" si="961"/>
        <v>行政財産</v>
      </c>
      <c r="D2815" s="7" t="str">
        <f t="shared" si="962"/>
        <v>公営住宅</v>
      </c>
      <c r="E2815" s="7" t="str">
        <f t="shared" si="967"/>
        <v>大阪府泉佐野市佐野台</v>
      </c>
      <c r="F2815" s="7"/>
      <c r="G2815" s="7" t="str">
        <f t="shared" si="959"/>
        <v>事業用資産</v>
      </c>
      <c r="H2815" s="7" t="str">
        <f t="shared" si="951"/>
        <v>棚卸以外</v>
      </c>
      <c r="I2815" s="7">
        <v>35</v>
      </c>
      <c r="J2815" s="7" t="str">
        <f>"泉佐野佐野台　１６号棟"</f>
        <v>泉佐野佐野台　１６号棟</v>
      </c>
      <c r="K2815" s="7" t="str">
        <f t="shared" si="968"/>
        <v>鉄筋コンクリート造</v>
      </c>
      <c r="L2815" s="7" t="str">
        <f>"H27.05.01"</f>
        <v>H27.05.01</v>
      </c>
      <c r="M2815" s="7">
        <v>1981.15</v>
      </c>
      <c r="N2815" s="7">
        <v>388235692</v>
      </c>
      <c r="O2815" s="7">
        <v>64773714</v>
      </c>
      <c r="P2815" s="7">
        <v>0</v>
      </c>
      <c r="Q2815" s="7" t="str">
        <f t="shared" si="963"/>
        <v>都市整備部</v>
      </c>
      <c r="R2815" s="7" t="str">
        <f t="shared" si="960"/>
        <v>住宅建築局住宅経営室</v>
      </c>
    </row>
    <row r="2816" spans="1:18" s="1" customFormat="1" ht="26.4" x14ac:dyDescent="0.45">
      <c r="A2816" s="7" t="str">
        <f t="shared" si="965"/>
        <v>09940003347</v>
      </c>
      <c r="B2816" s="7" t="str">
        <f t="shared" si="966"/>
        <v>泉佐野佐野台（旧佐野台、(仮称)泉佐野上瓦屋）</v>
      </c>
      <c r="C2816" s="7" t="str">
        <f t="shared" si="961"/>
        <v>行政財産</v>
      </c>
      <c r="D2816" s="7" t="str">
        <f t="shared" si="962"/>
        <v>公営住宅</v>
      </c>
      <c r="E2816" s="7" t="str">
        <f t="shared" si="967"/>
        <v>大阪府泉佐野市佐野台</v>
      </c>
      <c r="F2816" s="7"/>
      <c r="G2816" s="7" t="str">
        <f t="shared" si="959"/>
        <v>事業用資産</v>
      </c>
      <c r="H2816" s="7" t="str">
        <f t="shared" si="951"/>
        <v>棚卸以外</v>
      </c>
      <c r="I2816" s="7">
        <v>36</v>
      </c>
      <c r="J2816" s="7" t="str">
        <f>"泉佐野佐野台　１７号棟"</f>
        <v>泉佐野佐野台　１７号棟</v>
      </c>
      <c r="K2816" s="7" t="str">
        <f t="shared" si="968"/>
        <v>鉄筋コンクリート造</v>
      </c>
      <c r="L2816" s="7" t="str">
        <f>"H27.05.01"</f>
        <v>H27.05.01</v>
      </c>
      <c r="M2816" s="7">
        <v>1878.35</v>
      </c>
      <c r="N2816" s="7">
        <v>365120697</v>
      </c>
      <c r="O2816" s="7">
        <v>60921218</v>
      </c>
      <c r="P2816" s="7">
        <v>0</v>
      </c>
      <c r="Q2816" s="7" t="str">
        <f t="shared" si="963"/>
        <v>都市整備部</v>
      </c>
      <c r="R2816" s="7" t="str">
        <f t="shared" si="960"/>
        <v>住宅建築局住宅経営室</v>
      </c>
    </row>
    <row r="2817" spans="1:18" s="1" customFormat="1" ht="26.4" x14ac:dyDescent="0.45">
      <c r="A2817" s="7" t="str">
        <f t="shared" si="965"/>
        <v>09940003347</v>
      </c>
      <c r="B2817" s="7" t="str">
        <f t="shared" si="966"/>
        <v>泉佐野佐野台（旧佐野台、(仮称)泉佐野上瓦屋）</v>
      </c>
      <c r="C2817" s="7" t="str">
        <f t="shared" si="961"/>
        <v>行政財産</v>
      </c>
      <c r="D2817" s="7" t="str">
        <f t="shared" si="962"/>
        <v>公営住宅</v>
      </c>
      <c r="E2817" s="7" t="str">
        <f t="shared" si="967"/>
        <v>大阪府泉佐野市佐野台</v>
      </c>
      <c r="F2817" s="7"/>
      <c r="G2817" s="7" t="str">
        <f t="shared" si="959"/>
        <v>事業用資産</v>
      </c>
      <c r="H2817" s="7" t="str">
        <f t="shared" si="951"/>
        <v>棚卸以外</v>
      </c>
      <c r="I2817" s="7">
        <v>37</v>
      </c>
      <c r="J2817" s="7" t="str">
        <f>"集会所"</f>
        <v>集会所</v>
      </c>
      <c r="K2817" s="7" t="str">
        <f t="shared" si="968"/>
        <v>鉄筋コンクリート造</v>
      </c>
      <c r="L2817" s="7" t="str">
        <f>"H27.06.01"</f>
        <v>H27.06.01</v>
      </c>
      <c r="M2817" s="7">
        <v>297.99</v>
      </c>
      <c r="N2817" s="7">
        <v>79678492</v>
      </c>
      <c r="O2817" s="7">
        <v>13138482</v>
      </c>
      <c r="P2817" s="7">
        <v>0</v>
      </c>
      <c r="Q2817" s="7" t="str">
        <f t="shared" si="963"/>
        <v>都市整備部</v>
      </c>
      <c r="R2817" s="7" t="str">
        <f t="shared" si="960"/>
        <v>住宅建築局住宅経営室</v>
      </c>
    </row>
    <row r="2818" spans="1:18" s="1" customFormat="1" ht="26.4" x14ac:dyDescent="0.45">
      <c r="A2818" s="7" t="str">
        <f t="shared" si="965"/>
        <v>09940003347</v>
      </c>
      <c r="B2818" s="7" t="str">
        <f t="shared" si="966"/>
        <v>泉佐野佐野台（旧佐野台、(仮称)泉佐野上瓦屋）</v>
      </c>
      <c r="C2818" s="7" t="str">
        <f t="shared" si="961"/>
        <v>行政財産</v>
      </c>
      <c r="D2818" s="7" t="str">
        <f t="shared" si="962"/>
        <v>公営住宅</v>
      </c>
      <c r="E2818" s="7" t="str">
        <f t="shared" si="967"/>
        <v>大阪府泉佐野市佐野台</v>
      </c>
      <c r="F2818" s="7"/>
      <c r="G2818" s="7" t="str">
        <f t="shared" si="959"/>
        <v>事業用資産</v>
      </c>
      <c r="H2818" s="7" t="str">
        <f t="shared" si="951"/>
        <v>棚卸以外</v>
      </c>
      <c r="I2818" s="7">
        <v>38</v>
      </c>
      <c r="J2818" s="7" t="str">
        <f>"ポンプ室（電気室と同一棟）"</f>
        <v>ポンプ室（電気室と同一棟）</v>
      </c>
      <c r="K2818" s="7" t="str">
        <f t="shared" si="968"/>
        <v>鉄筋コンクリート造</v>
      </c>
      <c r="L2818" s="7" t="str">
        <f>"H27.05.01"</f>
        <v>H27.05.01</v>
      </c>
      <c r="M2818" s="7">
        <v>96</v>
      </c>
      <c r="N2818" s="7">
        <v>32254393</v>
      </c>
      <c r="O2818" s="7">
        <v>5375766</v>
      </c>
      <c r="P2818" s="7">
        <v>0</v>
      </c>
      <c r="Q2818" s="7" t="str">
        <f t="shared" si="963"/>
        <v>都市整備部</v>
      </c>
      <c r="R2818" s="7" t="str">
        <f t="shared" si="960"/>
        <v>住宅建築局住宅経営室</v>
      </c>
    </row>
    <row r="2819" spans="1:18" s="1" customFormat="1" ht="26.4" x14ac:dyDescent="0.45">
      <c r="A2819" s="7" t="str">
        <f t="shared" si="965"/>
        <v>09940003347</v>
      </c>
      <c r="B2819" s="7" t="str">
        <f t="shared" si="966"/>
        <v>泉佐野佐野台（旧佐野台、(仮称)泉佐野上瓦屋）</v>
      </c>
      <c r="C2819" s="7" t="str">
        <f t="shared" si="961"/>
        <v>行政財産</v>
      </c>
      <c r="D2819" s="7" t="str">
        <f t="shared" si="962"/>
        <v>公営住宅</v>
      </c>
      <c r="E2819" s="7" t="str">
        <f t="shared" si="967"/>
        <v>大阪府泉佐野市佐野台</v>
      </c>
      <c r="F2819" s="7"/>
      <c r="G2819" s="7" t="str">
        <f t="shared" si="959"/>
        <v>事業用資産</v>
      </c>
      <c r="H2819" s="7" t="str">
        <f t="shared" si="951"/>
        <v>棚卸以外</v>
      </c>
      <c r="I2819" s="7">
        <v>39</v>
      </c>
      <c r="J2819" s="7" t="str">
        <f>"倉庫"</f>
        <v>倉庫</v>
      </c>
      <c r="K2819" s="7" t="str">
        <f>"鉄骨造"</f>
        <v>鉄骨造</v>
      </c>
      <c r="L2819" s="7" t="str">
        <f>"H27.05.01"</f>
        <v>H27.05.01</v>
      </c>
      <c r="M2819" s="7">
        <v>49.5</v>
      </c>
      <c r="N2819" s="7">
        <v>9323132</v>
      </c>
      <c r="O2819" s="7">
        <v>2147994</v>
      </c>
      <c r="P2819" s="7">
        <v>0</v>
      </c>
      <c r="Q2819" s="7" t="str">
        <f t="shared" si="963"/>
        <v>都市整備部</v>
      </c>
      <c r="R2819" s="7" t="str">
        <f t="shared" si="960"/>
        <v>住宅建築局住宅経営室</v>
      </c>
    </row>
    <row r="2820" spans="1:18" s="1" customFormat="1" ht="26.4" x14ac:dyDescent="0.45">
      <c r="A2820" s="7" t="str">
        <f t="shared" si="965"/>
        <v>09940003347</v>
      </c>
      <c r="B2820" s="7" t="str">
        <f t="shared" si="966"/>
        <v>泉佐野佐野台（旧佐野台、(仮称)泉佐野上瓦屋）</v>
      </c>
      <c r="C2820" s="7" t="str">
        <f t="shared" si="961"/>
        <v>行政財産</v>
      </c>
      <c r="D2820" s="7" t="str">
        <f t="shared" si="962"/>
        <v>公営住宅</v>
      </c>
      <c r="E2820" s="7" t="str">
        <f t="shared" si="967"/>
        <v>大阪府泉佐野市佐野台</v>
      </c>
      <c r="F2820" s="7"/>
      <c r="G2820" s="7" t="str">
        <f t="shared" si="959"/>
        <v>事業用資産</v>
      </c>
      <c r="H2820" s="7" t="str">
        <f t="shared" ref="H2820:H2883" si="969">"棚卸以外"</f>
        <v>棚卸以外</v>
      </c>
      <c r="I2820" s="7">
        <v>40</v>
      </c>
      <c r="J2820" s="7" t="str">
        <f>"泉佐野佐野台15号棟"</f>
        <v>泉佐野佐野台15号棟</v>
      </c>
      <c r="K2820" s="7" t="str">
        <f>"鉄筋コンクリート造"</f>
        <v>鉄筋コンクリート造</v>
      </c>
      <c r="L2820" s="7" t="str">
        <f>"H27.05.01"</f>
        <v>H27.05.01</v>
      </c>
      <c r="M2820" s="7">
        <v>1878.35</v>
      </c>
      <c r="N2820" s="7">
        <v>361056576</v>
      </c>
      <c r="O2820" s="7">
        <v>60243854</v>
      </c>
      <c r="P2820" s="7">
        <v>0</v>
      </c>
      <c r="Q2820" s="7" t="str">
        <f t="shared" si="963"/>
        <v>都市整備部</v>
      </c>
      <c r="R2820" s="7" t="str">
        <f t="shared" si="960"/>
        <v>住宅建築局住宅経営室</v>
      </c>
    </row>
    <row r="2821" spans="1:18" s="1" customFormat="1" ht="26.4" x14ac:dyDescent="0.45">
      <c r="A2821" s="7" t="str">
        <f t="shared" si="965"/>
        <v>09940003347</v>
      </c>
      <c r="B2821" s="7" t="str">
        <f t="shared" si="966"/>
        <v>泉佐野佐野台（旧佐野台、(仮称)泉佐野上瓦屋）</v>
      </c>
      <c r="C2821" s="7" t="str">
        <f t="shared" si="961"/>
        <v>行政財産</v>
      </c>
      <c r="D2821" s="7" t="str">
        <f t="shared" si="962"/>
        <v>公営住宅</v>
      </c>
      <c r="E2821" s="7" t="str">
        <f t="shared" si="967"/>
        <v>大阪府泉佐野市佐野台</v>
      </c>
      <c r="F2821" s="7"/>
      <c r="G2821" s="7" t="str">
        <f t="shared" si="959"/>
        <v>事業用資産</v>
      </c>
      <c r="H2821" s="7" t="str">
        <f t="shared" si="969"/>
        <v>棚卸以外</v>
      </c>
      <c r="I2821" s="7">
        <v>42</v>
      </c>
      <c r="J2821" s="7" t="str">
        <f>"１８・１９号棟　ゴミ置場"</f>
        <v>１８・１９号棟　ゴミ置場</v>
      </c>
      <c r="K2821" s="7" t="str">
        <f>"鉄筋コンクリート造"</f>
        <v>鉄筋コンクリート造</v>
      </c>
      <c r="L2821" s="7" t="str">
        <f>"H29.11.01"</f>
        <v>H29.11.01</v>
      </c>
      <c r="M2821" s="7">
        <v>26.22</v>
      </c>
      <c r="N2821" s="7">
        <v>7266453</v>
      </c>
      <c r="O2821" s="7">
        <v>824576</v>
      </c>
      <c r="P2821" s="7">
        <v>0</v>
      </c>
      <c r="Q2821" s="7" t="str">
        <f t="shared" si="963"/>
        <v>都市整備部</v>
      </c>
      <c r="R2821" s="7" t="str">
        <f t="shared" si="960"/>
        <v>住宅建築局住宅経営室</v>
      </c>
    </row>
    <row r="2822" spans="1:18" s="1" customFormat="1" ht="26.4" x14ac:dyDescent="0.45">
      <c r="A2822" s="7" t="str">
        <f t="shared" si="965"/>
        <v>09940003347</v>
      </c>
      <c r="B2822" s="7" t="str">
        <f t="shared" si="966"/>
        <v>泉佐野佐野台（旧佐野台、(仮称)泉佐野上瓦屋）</v>
      </c>
      <c r="C2822" s="7" t="str">
        <f t="shared" si="961"/>
        <v>行政財産</v>
      </c>
      <c r="D2822" s="7" t="str">
        <f t="shared" si="962"/>
        <v>公営住宅</v>
      </c>
      <c r="E2822" s="7" t="str">
        <f t="shared" si="967"/>
        <v>大阪府泉佐野市佐野台</v>
      </c>
      <c r="F2822" s="7"/>
      <c r="G2822" s="7" t="str">
        <f t="shared" si="959"/>
        <v>事業用資産</v>
      </c>
      <c r="H2822" s="7" t="str">
        <f t="shared" si="969"/>
        <v>棚卸以外</v>
      </c>
      <c r="I2822" s="7">
        <v>43</v>
      </c>
      <c r="J2822" s="7" t="str">
        <f>"泉佐野佐野台１８・１９号棟"</f>
        <v>泉佐野佐野台１８・１９号棟</v>
      </c>
      <c r="K2822" s="7" t="str">
        <f>"鉄筋コンクリート造"</f>
        <v>鉄筋コンクリート造</v>
      </c>
      <c r="L2822" s="7" t="str">
        <f>"H29.11.01"</f>
        <v>H29.11.01</v>
      </c>
      <c r="M2822" s="7">
        <v>5890.37</v>
      </c>
      <c r="N2822" s="7">
        <v>1276659695</v>
      </c>
      <c r="O2822" s="7">
        <v>144869248</v>
      </c>
      <c r="P2822" s="7">
        <v>0</v>
      </c>
      <c r="Q2822" s="7" t="str">
        <f t="shared" si="963"/>
        <v>都市整備部</v>
      </c>
      <c r="R2822" s="7" t="str">
        <f t="shared" si="960"/>
        <v>住宅建築局住宅経営室</v>
      </c>
    </row>
    <row r="2823" spans="1:18" s="1" customFormat="1" x14ac:dyDescent="0.45">
      <c r="A2823" s="7" t="str">
        <f t="shared" ref="A2823:A2829" si="970">"09940003349"</f>
        <v>09940003349</v>
      </c>
      <c r="B2823" s="7" t="str">
        <f t="shared" ref="B2823:B2829" si="971">"東大阪玉串"</f>
        <v>東大阪玉串</v>
      </c>
      <c r="C2823" s="7" t="str">
        <f t="shared" si="961"/>
        <v>行政財産</v>
      </c>
      <c r="D2823" s="7" t="str">
        <f t="shared" si="962"/>
        <v>公営住宅</v>
      </c>
      <c r="E2823" s="7" t="str">
        <f t="shared" ref="E2823:E2829" si="972">"大阪府東大阪市玉串町東１丁目"</f>
        <v>大阪府東大阪市玉串町東１丁目</v>
      </c>
      <c r="F2823" s="7"/>
      <c r="G2823" s="7" t="str">
        <f t="shared" si="959"/>
        <v>事業用資産</v>
      </c>
      <c r="H2823" s="7" t="str">
        <f t="shared" si="969"/>
        <v>棚卸以外</v>
      </c>
      <c r="I2823" s="7">
        <v>1</v>
      </c>
      <c r="J2823" s="7" t="str">
        <f>"１号棟"</f>
        <v>１号棟</v>
      </c>
      <c r="K2823" s="7" t="str">
        <f>"鉄骨造"</f>
        <v>鉄骨造</v>
      </c>
      <c r="L2823" s="7" t="str">
        <f>"H13.04.27"</f>
        <v>H13.04.27</v>
      </c>
      <c r="M2823" s="7">
        <v>2557.37</v>
      </c>
      <c r="N2823" s="7">
        <v>430088255</v>
      </c>
      <c r="O2823" s="7">
        <v>198559651</v>
      </c>
      <c r="P2823" s="7">
        <v>0</v>
      </c>
      <c r="Q2823" s="7" t="str">
        <f t="shared" si="963"/>
        <v>都市整備部</v>
      </c>
      <c r="R2823" s="7" t="str">
        <f t="shared" si="960"/>
        <v>住宅建築局住宅経営室</v>
      </c>
    </row>
    <row r="2824" spans="1:18" s="1" customFormat="1" x14ac:dyDescent="0.45">
      <c r="A2824" s="7" t="str">
        <f t="shared" si="970"/>
        <v>09940003349</v>
      </c>
      <c r="B2824" s="7" t="str">
        <f t="shared" si="971"/>
        <v>東大阪玉串</v>
      </c>
      <c r="C2824" s="7" t="str">
        <f t="shared" si="961"/>
        <v>行政財産</v>
      </c>
      <c r="D2824" s="7" t="str">
        <f t="shared" si="962"/>
        <v>公営住宅</v>
      </c>
      <c r="E2824" s="7" t="str">
        <f t="shared" si="972"/>
        <v>大阪府東大阪市玉串町東１丁目</v>
      </c>
      <c r="F2824" s="7"/>
      <c r="G2824" s="7" t="str">
        <f t="shared" si="959"/>
        <v>事業用資産</v>
      </c>
      <c r="H2824" s="7" t="str">
        <f t="shared" si="969"/>
        <v>棚卸以外</v>
      </c>
      <c r="I2824" s="7">
        <v>2</v>
      </c>
      <c r="J2824" s="7" t="str">
        <f>"３号棟"</f>
        <v>３号棟</v>
      </c>
      <c r="K2824" s="7" t="str">
        <f>"鉄骨造"</f>
        <v>鉄骨造</v>
      </c>
      <c r="L2824" s="7" t="str">
        <f>"H13.04.27"</f>
        <v>H13.04.27</v>
      </c>
      <c r="M2824" s="7">
        <v>7954.14</v>
      </c>
      <c r="N2824" s="7">
        <v>1238470504</v>
      </c>
      <c r="O2824" s="7">
        <v>573530763</v>
      </c>
      <c r="P2824" s="7">
        <v>0</v>
      </c>
      <c r="Q2824" s="7" t="str">
        <f t="shared" si="963"/>
        <v>都市整備部</v>
      </c>
      <c r="R2824" s="7" t="str">
        <f t="shared" si="960"/>
        <v>住宅建築局住宅経営室</v>
      </c>
    </row>
    <row r="2825" spans="1:18" s="1" customFormat="1" x14ac:dyDescent="0.45">
      <c r="A2825" s="7" t="str">
        <f t="shared" si="970"/>
        <v>09940003349</v>
      </c>
      <c r="B2825" s="7" t="str">
        <f t="shared" si="971"/>
        <v>東大阪玉串</v>
      </c>
      <c r="C2825" s="7" t="str">
        <f t="shared" si="961"/>
        <v>行政財産</v>
      </c>
      <c r="D2825" s="7" t="str">
        <f t="shared" si="962"/>
        <v>公営住宅</v>
      </c>
      <c r="E2825" s="7" t="str">
        <f t="shared" si="972"/>
        <v>大阪府東大阪市玉串町東１丁目</v>
      </c>
      <c r="F2825" s="7"/>
      <c r="G2825" s="7" t="str">
        <f t="shared" si="959"/>
        <v>事業用資産</v>
      </c>
      <c r="H2825" s="7" t="str">
        <f t="shared" si="969"/>
        <v>棚卸以外</v>
      </c>
      <c r="I2825" s="7">
        <v>3</v>
      </c>
      <c r="J2825" s="7" t="str">
        <f>"受水槽ポンプ室・電気室"</f>
        <v>受水槽ポンプ室・電気室</v>
      </c>
      <c r="K2825" s="7" t="str">
        <f>"鉄骨造"</f>
        <v>鉄骨造</v>
      </c>
      <c r="L2825" s="7" t="str">
        <f>"H13.04.27"</f>
        <v>H13.04.27</v>
      </c>
      <c r="M2825" s="7">
        <v>76.31</v>
      </c>
      <c r="N2825" s="7">
        <v>27890000</v>
      </c>
      <c r="O2825" s="7">
        <v>13005613</v>
      </c>
      <c r="P2825" s="7">
        <v>0</v>
      </c>
      <c r="Q2825" s="7" t="str">
        <f t="shared" si="963"/>
        <v>都市整備部</v>
      </c>
      <c r="R2825" s="7" t="str">
        <f t="shared" si="960"/>
        <v>住宅建築局住宅経営室</v>
      </c>
    </row>
    <row r="2826" spans="1:18" s="1" customFormat="1" x14ac:dyDescent="0.45">
      <c r="A2826" s="7" t="str">
        <f t="shared" si="970"/>
        <v>09940003349</v>
      </c>
      <c r="B2826" s="7" t="str">
        <f t="shared" si="971"/>
        <v>東大阪玉串</v>
      </c>
      <c r="C2826" s="7" t="str">
        <f t="shared" si="961"/>
        <v>行政財産</v>
      </c>
      <c r="D2826" s="7" t="str">
        <f t="shared" si="962"/>
        <v>公営住宅</v>
      </c>
      <c r="E2826" s="7" t="str">
        <f t="shared" si="972"/>
        <v>大阪府東大阪市玉串町東１丁目</v>
      </c>
      <c r="F2826" s="7"/>
      <c r="G2826" s="7" t="str">
        <f t="shared" si="959"/>
        <v>事業用資産</v>
      </c>
      <c r="H2826" s="7" t="str">
        <f t="shared" si="969"/>
        <v>棚卸以外</v>
      </c>
      <c r="I2826" s="7">
        <v>4</v>
      </c>
      <c r="J2826" s="7" t="str">
        <f>"集会所"</f>
        <v>集会所</v>
      </c>
      <c r="K2826" s="7" t="str">
        <f>"鉄筋コンクリート造"</f>
        <v>鉄筋コンクリート造</v>
      </c>
      <c r="L2826" s="7" t="str">
        <f>"H13.04.27"</f>
        <v>H13.04.27</v>
      </c>
      <c r="M2826" s="7">
        <v>168.09</v>
      </c>
      <c r="N2826" s="7">
        <v>39234792</v>
      </c>
      <c r="O2826" s="7">
        <v>17646412</v>
      </c>
      <c r="P2826" s="7">
        <v>0</v>
      </c>
      <c r="Q2826" s="7" t="str">
        <f t="shared" si="963"/>
        <v>都市整備部</v>
      </c>
      <c r="R2826" s="7" t="str">
        <f t="shared" si="960"/>
        <v>住宅建築局住宅経営室</v>
      </c>
    </row>
    <row r="2827" spans="1:18" s="1" customFormat="1" x14ac:dyDescent="0.45">
      <c r="A2827" s="7" t="str">
        <f t="shared" si="970"/>
        <v>09940003349</v>
      </c>
      <c r="B2827" s="7" t="str">
        <f t="shared" si="971"/>
        <v>東大阪玉串</v>
      </c>
      <c r="C2827" s="7" t="str">
        <f t="shared" si="961"/>
        <v>行政財産</v>
      </c>
      <c r="D2827" s="7" t="str">
        <f t="shared" si="962"/>
        <v>公営住宅</v>
      </c>
      <c r="E2827" s="7" t="str">
        <f t="shared" si="972"/>
        <v>大阪府東大阪市玉串町東１丁目</v>
      </c>
      <c r="F2827" s="7"/>
      <c r="G2827" s="7" t="str">
        <f t="shared" si="959"/>
        <v>事業用資産</v>
      </c>
      <c r="H2827" s="7" t="str">
        <f t="shared" si="969"/>
        <v>棚卸以外</v>
      </c>
      <c r="I2827" s="7">
        <v>5</v>
      </c>
      <c r="J2827" s="7" t="str">
        <f>"２号棟"</f>
        <v>２号棟</v>
      </c>
      <c r="K2827" s="7" t="str">
        <f>"鉄骨造"</f>
        <v>鉄骨造</v>
      </c>
      <c r="L2827" s="7" t="str">
        <f>"H13.06.27"</f>
        <v>H13.06.27</v>
      </c>
      <c r="M2827" s="7">
        <v>3902.48</v>
      </c>
      <c r="N2827" s="7">
        <v>623156255</v>
      </c>
      <c r="O2827" s="7">
        <v>286408749</v>
      </c>
      <c r="P2827" s="7">
        <v>0</v>
      </c>
      <c r="Q2827" s="7" t="str">
        <f t="shared" si="963"/>
        <v>都市整備部</v>
      </c>
      <c r="R2827" s="7" t="str">
        <f t="shared" si="960"/>
        <v>住宅建築局住宅経営室</v>
      </c>
    </row>
    <row r="2828" spans="1:18" s="1" customFormat="1" x14ac:dyDescent="0.45">
      <c r="A2828" s="7" t="str">
        <f t="shared" si="970"/>
        <v>09940003349</v>
      </c>
      <c r="B2828" s="7" t="str">
        <f t="shared" si="971"/>
        <v>東大阪玉串</v>
      </c>
      <c r="C2828" s="7" t="str">
        <f t="shared" si="961"/>
        <v>行政財産</v>
      </c>
      <c r="D2828" s="7" t="str">
        <f t="shared" si="962"/>
        <v>公営住宅</v>
      </c>
      <c r="E2828" s="7" t="str">
        <f t="shared" si="972"/>
        <v>大阪府東大阪市玉串町東１丁目</v>
      </c>
      <c r="F2828" s="7"/>
      <c r="G2828" s="7" t="str">
        <f t="shared" si="959"/>
        <v>事業用資産</v>
      </c>
      <c r="H2828" s="7" t="str">
        <f t="shared" si="969"/>
        <v>棚卸以外</v>
      </c>
      <c r="I2828" s="7">
        <v>6</v>
      </c>
      <c r="J2828" s="7" t="str">
        <f>"４号棟"</f>
        <v>４号棟</v>
      </c>
      <c r="K2828" s="7" t="str">
        <f t="shared" ref="K2828:K2866" si="973">"鉄筋コンクリート造"</f>
        <v>鉄筋コンクリート造</v>
      </c>
      <c r="L2828" s="7" t="str">
        <f>"H15.04.30"</f>
        <v>H15.04.30</v>
      </c>
      <c r="M2828" s="7">
        <v>3829.76</v>
      </c>
      <c r="N2828" s="7">
        <v>588018000</v>
      </c>
      <c r="O2828" s="7">
        <v>249178054</v>
      </c>
      <c r="P2828" s="7">
        <v>0</v>
      </c>
      <c r="Q2828" s="7" t="str">
        <f t="shared" si="963"/>
        <v>都市整備部</v>
      </c>
      <c r="R2828" s="7" t="str">
        <f t="shared" si="960"/>
        <v>住宅建築局住宅経営室</v>
      </c>
    </row>
    <row r="2829" spans="1:18" s="1" customFormat="1" x14ac:dyDescent="0.45">
      <c r="A2829" s="7" t="str">
        <f t="shared" si="970"/>
        <v>09940003349</v>
      </c>
      <c r="B2829" s="7" t="str">
        <f t="shared" si="971"/>
        <v>東大阪玉串</v>
      </c>
      <c r="C2829" s="7" t="str">
        <f t="shared" si="961"/>
        <v>行政財産</v>
      </c>
      <c r="D2829" s="7" t="str">
        <f t="shared" si="962"/>
        <v>公営住宅</v>
      </c>
      <c r="E2829" s="7" t="str">
        <f t="shared" si="972"/>
        <v>大阪府東大阪市玉串町東１丁目</v>
      </c>
      <c r="F2829" s="7"/>
      <c r="G2829" s="7" t="str">
        <f t="shared" si="959"/>
        <v>事業用資産</v>
      </c>
      <c r="H2829" s="7" t="str">
        <f t="shared" si="969"/>
        <v>棚卸以外</v>
      </c>
      <c r="I2829" s="7">
        <v>7</v>
      </c>
      <c r="J2829" s="7" t="str">
        <f>"受水槽ポンプ室"</f>
        <v>受水槽ポンプ室</v>
      </c>
      <c r="K2829" s="7" t="str">
        <f t="shared" si="973"/>
        <v>鉄筋コンクリート造</v>
      </c>
      <c r="L2829" s="7" t="str">
        <f>"H15.04.30"</f>
        <v>H15.04.30</v>
      </c>
      <c r="M2829" s="7">
        <v>36</v>
      </c>
      <c r="N2829" s="7">
        <v>13532000</v>
      </c>
      <c r="O2829" s="7">
        <v>5734327</v>
      </c>
      <c r="P2829" s="7">
        <v>0</v>
      </c>
      <c r="Q2829" s="7" t="str">
        <f t="shared" si="963"/>
        <v>都市整備部</v>
      </c>
      <c r="R2829" s="7" t="str">
        <f t="shared" si="960"/>
        <v>住宅建築局住宅経営室</v>
      </c>
    </row>
    <row r="2830" spans="1:18" s="1" customFormat="1" x14ac:dyDescent="0.45">
      <c r="A2830" s="7" t="str">
        <f t="shared" ref="A2830:A2838" si="974">"09940003352"</f>
        <v>09940003352</v>
      </c>
      <c r="B2830" s="7" t="str">
        <f t="shared" ref="B2830:B2838" si="975">"和泉繁和"</f>
        <v>和泉繁和</v>
      </c>
      <c r="C2830" s="7" t="str">
        <f t="shared" si="961"/>
        <v>行政財産</v>
      </c>
      <c r="D2830" s="7" t="str">
        <f t="shared" si="962"/>
        <v>公営住宅</v>
      </c>
      <c r="E2830" s="7" t="str">
        <f t="shared" ref="E2830:E2838" si="976">"大阪府和泉市繁和町"</f>
        <v>大阪府和泉市繁和町</v>
      </c>
      <c r="F2830" s="7"/>
      <c r="G2830" s="7" t="str">
        <f t="shared" si="959"/>
        <v>事業用資産</v>
      </c>
      <c r="H2830" s="7" t="str">
        <f t="shared" si="969"/>
        <v>棚卸以外</v>
      </c>
      <c r="I2830" s="7">
        <v>1</v>
      </c>
      <c r="J2830" s="7" t="str">
        <f>"１号棟"</f>
        <v>１号棟</v>
      </c>
      <c r="K2830" s="7" t="str">
        <f t="shared" si="973"/>
        <v>鉄筋コンクリート造</v>
      </c>
      <c r="L2830" s="7" t="str">
        <f>"S62.03.20"</f>
        <v>S62.03.20</v>
      </c>
      <c r="M2830" s="7">
        <v>2750.2</v>
      </c>
      <c r="N2830" s="7">
        <v>250507346</v>
      </c>
      <c r="O2830" s="7">
        <v>191639088</v>
      </c>
      <c r="P2830" s="7">
        <v>0</v>
      </c>
      <c r="Q2830" s="7" t="str">
        <f t="shared" si="963"/>
        <v>都市整備部</v>
      </c>
      <c r="R2830" s="7" t="str">
        <f t="shared" si="960"/>
        <v>住宅建築局住宅経営室</v>
      </c>
    </row>
    <row r="2831" spans="1:18" s="1" customFormat="1" x14ac:dyDescent="0.45">
      <c r="A2831" s="7" t="str">
        <f t="shared" si="974"/>
        <v>09940003352</v>
      </c>
      <c r="B2831" s="7" t="str">
        <f t="shared" si="975"/>
        <v>和泉繁和</v>
      </c>
      <c r="C2831" s="7" t="str">
        <f t="shared" si="961"/>
        <v>行政財産</v>
      </c>
      <c r="D2831" s="7" t="str">
        <f t="shared" si="962"/>
        <v>公営住宅</v>
      </c>
      <c r="E2831" s="7" t="str">
        <f t="shared" si="976"/>
        <v>大阪府和泉市繁和町</v>
      </c>
      <c r="F2831" s="7"/>
      <c r="G2831" s="7" t="str">
        <f t="shared" si="959"/>
        <v>事業用資産</v>
      </c>
      <c r="H2831" s="7" t="str">
        <f t="shared" si="969"/>
        <v>棚卸以外</v>
      </c>
      <c r="I2831" s="7">
        <v>2</v>
      </c>
      <c r="J2831" s="7" t="str">
        <f>"２号棟"</f>
        <v>２号棟</v>
      </c>
      <c r="K2831" s="7" t="str">
        <f t="shared" si="973"/>
        <v>鉄筋コンクリート造</v>
      </c>
      <c r="L2831" s="7" t="str">
        <f>"S62.03.20"</f>
        <v>S62.03.20</v>
      </c>
      <c r="M2831" s="7">
        <v>3519.43</v>
      </c>
      <c r="N2831" s="7">
        <v>357738173</v>
      </c>
      <c r="O2831" s="7">
        <v>273892752</v>
      </c>
      <c r="P2831" s="7">
        <v>0</v>
      </c>
      <c r="Q2831" s="7" t="str">
        <f t="shared" si="963"/>
        <v>都市整備部</v>
      </c>
      <c r="R2831" s="7" t="str">
        <f t="shared" si="960"/>
        <v>住宅建築局住宅経営室</v>
      </c>
    </row>
    <row r="2832" spans="1:18" s="1" customFormat="1" x14ac:dyDescent="0.45">
      <c r="A2832" s="7" t="str">
        <f t="shared" si="974"/>
        <v>09940003352</v>
      </c>
      <c r="B2832" s="7" t="str">
        <f t="shared" si="975"/>
        <v>和泉繁和</v>
      </c>
      <c r="C2832" s="7" t="str">
        <f t="shared" si="961"/>
        <v>行政財産</v>
      </c>
      <c r="D2832" s="7" t="str">
        <f t="shared" si="962"/>
        <v>公営住宅</v>
      </c>
      <c r="E2832" s="7" t="str">
        <f t="shared" si="976"/>
        <v>大阪府和泉市繁和町</v>
      </c>
      <c r="F2832" s="7"/>
      <c r="G2832" s="7" t="str">
        <f t="shared" si="959"/>
        <v>事業用資産</v>
      </c>
      <c r="H2832" s="7" t="str">
        <f t="shared" si="969"/>
        <v>棚卸以外</v>
      </c>
      <c r="I2832" s="7">
        <v>3</v>
      </c>
      <c r="J2832" s="7" t="str">
        <f>"受水槽"</f>
        <v>受水槽</v>
      </c>
      <c r="K2832" s="7" t="str">
        <f t="shared" si="973"/>
        <v>鉄筋コンクリート造</v>
      </c>
      <c r="L2832" s="7" t="str">
        <f>"S62.03.30"</f>
        <v>S62.03.30</v>
      </c>
      <c r="M2832" s="7">
        <v>34.159999999999997</v>
      </c>
      <c r="N2832" s="7">
        <v>20462000</v>
      </c>
      <c r="O2832" s="7">
        <v>15673392</v>
      </c>
      <c r="P2832" s="7">
        <v>0</v>
      </c>
      <c r="Q2832" s="7" t="str">
        <f t="shared" si="963"/>
        <v>都市整備部</v>
      </c>
      <c r="R2832" s="7" t="str">
        <f t="shared" si="960"/>
        <v>住宅建築局住宅経営室</v>
      </c>
    </row>
    <row r="2833" spans="1:18" s="1" customFormat="1" x14ac:dyDescent="0.45">
      <c r="A2833" s="7" t="str">
        <f t="shared" si="974"/>
        <v>09940003352</v>
      </c>
      <c r="B2833" s="7" t="str">
        <f t="shared" si="975"/>
        <v>和泉繁和</v>
      </c>
      <c r="C2833" s="7" t="str">
        <f t="shared" si="961"/>
        <v>行政財産</v>
      </c>
      <c r="D2833" s="7" t="str">
        <f t="shared" si="962"/>
        <v>公営住宅</v>
      </c>
      <c r="E2833" s="7" t="str">
        <f t="shared" si="976"/>
        <v>大阪府和泉市繁和町</v>
      </c>
      <c r="F2833" s="7"/>
      <c r="G2833" s="7" t="str">
        <f t="shared" si="959"/>
        <v>事業用資産</v>
      </c>
      <c r="H2833" s="7" t="str">
        <f t="shared" si="969"/>
        <v>棚卸以外</v>
      </c>
      <c r="I2833" s="7">
        <v>4</v>
      </c>
      <c r="J2833" s="7" t="str">
        <f>"３号棟"</f>
        <v>３号棟</v>
      </c>
      <c r="K2833" s="7" t="str">
        <f t="shared" si="973"/>
        <v>鉄筋コンクリート造</v>
      </c>
      <c r="L2833" s="7" t="str">
        <f>"S63.12.26"</f>
        <v>S63.12.26</v>
      </c>
      <c r="M2833" s="7">
        <v>2728.45</v>
      </c>
      <c r="N2833" s="7">
        <v>285250346</v>
      </c>
      <c r="O2833" s="7">
        <v>207641310</v>
      </c>
      <c r="P2833" s="7">
        <v>0</v>
      </c>
      <c r="Q2833" s="7" t="str">
        <f t="shared" si="963"/>
        <v>都市整備部</v>
      </c>
      <c r="R2833" s="7" t="str">
        <f t="shared" si="960"/>
        <v>住宅建築局住宅経営室</v>
      </c>
    </row>
    <row r="2834" spans="1:18" s="1" customFormat="1" x14ac:dyDescent="0.45">
      <c r="A2834" s="7" t="str">
        <f t="shared" si="974"/>
        <v>09940003352</v>
      </c>
      <c r="B2834" s="7" t="str">
        <f t="shared" si="975"/>
        <v>和泉繁和</v>
      </c>
      <c r="C2834" s="7" t="str">
        <f t="shared" si="961"/>
        <v>行政財産</v>
      </c>
      <c r="D2834" s="7" t="str">
        <f t="shared" si="962"/>
        <v>公営住宅</v>
      </c>
      <c r="E2834" s="7" t="str">
        <f t="shared" si="976"/>
        <v>大阪府和泉市繁和町</v>
      </c>
      <c r="F2834" s="7"/>
      <c r="G2834" s="7" t="str">
        <f t="shared" si="959"/>
        <v>事業用資産</v>
      </c>
      <c r="H2834" s="7" t="str">
        <f t="shared" si="969"/>
        <v>棚卸以外</v>
      </c>
      <c r="I2834" s="7">
        <v>5</v>
      </c>
      <c r="J2834" s="7" t="str">
        <f>"集会所"</f>
        <v>集会所</v>
      </c>
      <c r="K2834" s="7" t="str">
        <f t="shared" si="973"/>
        <v>鉄筋コンクリート造</v>
      </c>
      <c r="L2834" s="7" t="str">
        <f>"S63.12.26"</f>
        <v>S63.12.26</v>
      </c>
      <c r="M2834" s="7">
        <v>99.75</v>
      </c>
      <c r="N2834" s="7">
        <v>17572000</v>
      </c>
      <c r="O2834" s="7">
        <v>12805527</v>
      </c>
      <c r="P2834" s="7">
        <v>0</v>
      </c>
      <c r="Q2834" s="7" t="str">
        <f t="shared" si="963"/>
        <v>都市整備部</v>
      </c>
      <c r="R2834" s="7" t="str">
        <f t="shared" si="960"/>
        <v>住宅建築局住宅経営室</v>
      </c>
    </row>
    <row r="2835" spans="1:18" s="1" customFormat="1" x14ac:dyDescent="0.45">
      <c r="A2835" s="7" t="str">
        <f t="shared" si="974"/>
        <v>09940003352</v>
      </c>
      <c r="B2835" s="7" t="str">
        <f t="shared" si="975"/>
        <v>和泉繁和</v>
      </c>
      <c r="C2835" s="7" t="str">
        <f t="shared" si="961"/>
        <v>行政財産</v>
      </c>
      <c r="D2835" s="7" t="str">
        <f t="shared" si="962"/>
        <v>公営住宅</v>
      </c>
      <c r="E2835" s="7" t="str">
        <f t="shared" si="976"/>
        <v>大阪府和泉市繁和町</v>
      </c>
      <c r="F2835" s="7"/>
      <c r="G2835" s="7" t="str">
        <f t="shared" si="959"/>
        <v>事業用資産</v>
      </c>
      <c r="H2835" s="7" t="str">
        <f t="shared" si="969"/>
        <v>棚卸以外</v>
      </c>
      <c r="I2835" s="7">
        <v>6</v>
      </c>
      <c r="J2835" s="7" t="str">
        <f>"４号棟"</f>
        <v>４号棟</v>
      </c>
      <c r="K2835" s="7" t="str">
        <f t="shared" si="973"/>
        <v>鉄筋コンクリート造</v>
      </c>
      <c r="L2835" s="7" t="str">
        <f>"H05.05.27"</f>
        <v>H05.05.27</v>
      </c>
      <c r="M2835" s="7">
        <v>2505.0500000000002</v>
      </c>
      <c r="N2835" s="7">
        <v>489030861</v>
      </c>
      <c r="O2835" s="7">
        <v>310240294</v>
      </c>
      <c r="P2835" s="7">
        <v>0</v>
      </c>
      <c r="Q2835" s="7" t="str">
        <f t="shared" si="963"/>
        <v>都市整備部</v>
      </c>
      <c r="R2835" s="7" t="str">
        <f t="shared" si="960"/>
        <v>住宅建築局住宅経営室</v>
      </c>
    </row>
    <row r="2836" spans="1:18" s="1" customFormat="1" x14ac:dyDescent="0.45">
      <c r="A2836" s="7" t="str">
        <f t="shared" si="974"/>
        <v>09940003352</v>
      </c>
      <c r="B2836" s="7" t="str">
        <f t="shared" si="975"/>
        <v>和泉繁和</v>
      </c>
      <c r="C2836" s="7" t="str">
        <f t="shared" si="961"/>
        <v>行政財産</v>
      </c>
      <c r="D2836" s="7" t="str">
        <f t="shared" si="962"/>
        <v>公営住宅</v>
      </c>
      <c r="E2836" s="7" t="str">
        <f t="shared" si="976"/>
        <v>大阪府和泉市繁和町</v>
      </c>
      <c r="F2836" s="7"/>
      <c r="G2836" s="7" t="str">
        <f t="shared" si="959"/>
        <v>事業用資産</v>
      </c>
      <c r="H2836" s="7" t="str">
        <f t="shared" si="969"/>
        <v>棚卸以外</v>
      </c>
      <c r="I2836" s="7">
        <v>7</v>
      </c>
      <c r="J2836" s="7" t="str">
        <f>"５号棟"</f>
        <v>５号棟</v>
      </c>
      <c r="K2836" s="7" t="str">
        <f t="shared" si="973"/>
        <v>鉄筋コンクリート造</v>
      </c>
      <c r="L2836" s="7" t="str">
        <f>"H05.05.27"</f>
        <v>H05.05.27</v>
      </c>
      <c r="M2836" s="7">
        <v>3359.07</v>
      </c>
      <c r="N2836" s="7">
        <v>639030000</v>
      </c>
      <c r="O2836" s="7">
        <v>405625456</v>
      </c>
      <c r="P2836" s="7">
        <v>0</v>
      </c>
      <c r="Q2836" s="7" t="str">
        <f t="shared" si="963"/>
        <v>都市整備部</v>
      </c>
      <c r="R2836" s="7" t="str">
        <f t="shared" si="960"/>
        <v>住宅建築局住宅経営室</v>
      </c>
    </row>
    <row r="2837" spans="1:18" s="1" customFormat="1" x14ac:dyDescent="0.45">
      <c r="A2837" s="7" t="str">
        <f t="shared" si="974"/>
        <v>09940003352</v>
      </c>
      <c r="B2837" s="7" t="str">
        <f t="shared" si="975"/>
        <v>和泉繁和</v>
      </c>
      <c r="C2837" s="7" t="str">
        <f t="shared" si="961"/>
        <v>行政財産</v>
      </c>
      <c r="D2837" s="7" t="str">
        <f t="shared" si="962"/>
        <v>公営住宅</v>
      </c>
      <c r="E2837" s="7" t="str">
        <f t="shared" si="976"/>
        <v>大阪府和泉市繁和町</v>
      </c>
      <c r="F2837" s="7"/>
      <c r="G2837" s="7" t="str">
        <f t="shared" si="959"/>
        <v>事業用資産</v>
      </c>
      <c r="H2837" s="7" t="str">
        <f t="shared" si="969"/>
        <v>棚卸以外</v>
      </c>
      <c r="I2837" s="7">
        <v>8</v>
      </c>
      <c r="J2837" s="7" t="str">
        <f>"６号棟"</f>
        <v>６号棟</v>
      </c>
      <c r="K2837" s="7" t="str">
        <f t="shared" si="973"/>
        <v>鉄筋コンクリート造</v>
      </c>
      <c r="L2837" s="7" t="str">
        <f>"H05.05.27"</f>
        <v>H05.05.27</v>
      </c>
      <c r="M2837" s="7">
        <v>4066.54</v>
      </c>
      <c r="N2837" s="7">
        <v>742975000</v>
      </c>
      <c r="O2837" s="7">
        <v>471604856</v>
      </c>
      <c r="P2837" s="7">
        <v>0</v>
      </c>
      <c r="Q2837" s="7" t="str">
        <f t="shared" si="963"/>
        <v>都市整備部</v>
      </c>
      <c r="R2837" s="7" t="str">
        <f t="shared" si="960"/>
        <v>住宅建築局住宅経営室</v>
      </c>
    </row>
    <row r="2838" spans="1:18" s="1" customFormat="1" x14ac:dyDescent="0.45">
      <c r="A2838" s="7" t="str">
        <f t="shared" si="974"/>
        <v>09940003352</v>
      </c>
      <c r="B2838" s="7" t="str">
        <f t="shared" si="975"/>
        <v>和泉繁和</v>
      </c>
      <c r="C2838" s="7" t="str">
        <f t="shared" si="961"/>
        <v>行政財産</v>
      </c>
      <c r="D2838" s="7" t="str">
        <f t="shared" si="962"/>
        <v>公営住宅</v>
      </c>
      <c r="E2838" s="7" t="str">
        <f t="shared" si="976"/>
        <v>大阪府和泉市繁和町</v>
      </c>
      <c r="F2838" s="7"/>
      <c r="G2838" s="7" t="str">
        <f t="shared" si="959"/>
        <v>事業用資産</v>
      </c>
      <c r="H2838" s="7" t="str">
        <f t="shared" si="969"/>
        <v>棚卸以外</v>
      </c>
      <c r="I2838" s="7">
        <v>9</v>
      </c>
      <c r="J2838" s="7" t="str">
        <f>"受水槽（４～６号棟）"</f>
        <v>受水槽（４～６号棟）</v>
      </c>
      <c r="K2838" s="7" t="str">
        <f t="shared" si="973"/>
        <v>鉄筋コンクリート造</v>
      </c>
      <c r="L2838" s="7" t="str">
        <f>"H05.05.27"</f>
        <v>H05.05.27</v>
      </c>
      <c r="M2838" s="7">
        <v>81.25</v>
      </c>
      <c r="N2838" s="7">
        <v>18891000</v>
      </c>
      <c r="O2838" s="7">
        <v>11991210</v>
      </c>
      <c r="P2838" s="7">
        <v>0</v>
      </c>
      <c r="Q2838" s="7" t="str">
        <f t="shared" si="963"/>
        <v>都市整備部</v>
      </c>
      <c r="R2838" s="7" t="str">
        <f t="shared" si="960"/>
        <v>住宅建築局住宅経営室</v>
      </c>
    </row>
    <row r="2839" spans="1:18" s="1" customFormat="1" x14ac:dyDescent="0.45">
      <c r="A2839" s="7" t="str">
        <f t="shared" ref="A2839:A2850" si="977">"09940003354"</f>
        <v>09940003354</v>
      </c>
      <c r="B2839" s="7" t="str">
        <f t="shared" ref="B2839:B2850" si="978">"和泉伯太（旧伯太）"</f>
        <v>和泉伯太（旧伯太）</v>
      </c>
      <c r="C2839" s="7" t="str">
        <f t="shared" si="961"/>
        <v>行政財産</v>
      </c>
      <c r="D2839" s="7" t="str">
        <f t="shared" si="962"/>
        <v>公営住宅</v>
      </c>
      <c r="E2839" s="7" t="str">
        <f t="shared" ref="E2839:E2850" si="979">"大阪府和泉市伯太町"</f>
        <v>大阪府和泉市伯太町</v>
      </c>
      <c r="F2839" s="7"/>
      <c r="G2839" s="7" t="str">
        <f t="shared" ref="G2839:G2902" si="980">"事業用資産"</f>
        <v>事業用資産</v>
      </c>
      <c r="H2839" s="7" t="str">
        <f t="shared" si="969"/>
        <v>棚卸以外</v>
      </c>
      <c r="I2839" s="7">
        <v>2</v>
      </c>
      <c r="J2839" s="7" t="str">
        <f>"５号棟"</f>
        <v>５号棟</v>
      </c>
      <c r="K2839" s="7" t="str">
        <f t="shared" si="973"/>
        <v>鉄筋コンクリート造</v>
      </c>
      <c r="L2839" s="7" t="str">
        <f>"H10.05.13"</f>
        <v>H10.05.13</v>
      </c>
      <c r="M2839" s="7">
        <v>5676.49</v>
      </c>
      <c r="N2839" s="7">
        <v>1056290480</v>
      </c>
      <c r="O2839" s="7">
        <v>556643876</v>
      </c>
      <c r="P2839" s="7">
        <v>0</v>
      </c>
      <c r="Q2839" s="7" t="str">
        <f t="shared" si="963"/>
        <v>都市整備部</v>
      </c>
      <c r="R2839" s="7" t="str">
        <f t="shared" si="960"/>
        <v>住宅建築局住宅経営室</v>
      </c>
    </row>
    <row r="2840" spans="1:18" s="1" customFormat="1" x14ac:dyDescent="0.45">
      <c r="A2840" s="7" t="str">
        <f t="shared" si="977"/>
        <v>09940003354</v>
      </c>
      <c r="B2840" s="7" t="str">
        <f t="shared" si="978"/>
        <v>和泉伯太（旧伯太）</v>
      </c>
      <c r="C2840" s="7" t="str">
        <f t="shared" si="961"/>
        <v>行政財産</v>
      </c>
      <c r="D2840" s="7" t="str">
        <f t="shared" si="962"/>
        <v>公営住宅</v>
      </c>
      <c r="E2840" s="7" t="str">
        <f t="shared" si="979"/>
        <v>大阪府和泉市伯太町</v>
      </c>
      <c r="F2840" s="7"/>
      <c r="G2840" s="7" t="str">
        <f t="shared" si="980"/>
        <v>事業用資産</v>
      </c>
      <c r="H2840" s="7" t="str">
        <f t="shared" si="969"/>
        <v>棚卸以外</v>
      </c>
      <c r="I2840" s="7">
        <v>3</v>
      </c>
      <c r="J2840" s="7" t="str">
        <f>"受水槽ポンプ室"</f>
        <v>受水槽ポンプ室</v>
      </c>
      <c r="K2840" s="7" t="str">
        <f t="shared" si="973"/>
        <v>鉄筋コンクリート造</v>
      </c>
      <c r="L2840" s="7" t="str">
        <f>"H10.05.13"</f>
        <v>H10.05.13</v>
      </c>
      <c r="M2840" s="7">
        <v>81.2</v>
      </c>
      <c r="N2840" s="7">
        <v>40468000</v>
      </c>
      <c r="O2840" s="7">
        <v>21382096</v>
      </c>
      <c r="P2840" s="7">
        <v>0</v>
      </c>
      <c r="Q2840" s="7" t="str">
        <f t="shared" si="963"/>
        <v>都市整備部</v>
      </c>
      <c r="R2840" s="7" t="str">
        <f t="shared" ref="R2840:R2903" si="981">"住宅建築局住宅経営室"</f>
        <v>住宅建築局住宅経営室</v>
      </c>
    </row>
    <row r="2841" spans="1:18" s="1" customFormat="1" x14ac:dyDescent="0.45">
      <c r="A2841" s="7" t="str">
        <f t="shared" si="977"/>
        <v>09940003354</v>
      </c>
      <c r="B2841" s="7" t="str">
        <f t="shared" si="978"/>
        <v>和泉伯太（旧伯太）</v>
      </c>
      <c r="C2841" s="7" t="str">
        <f t="shared" si="961"/>
        <v>行政財産</v>
      </c>
      <c r="D2841" s="7" t="str">
        <f t="shared" si="962"/>
        <v>公営住宅</v>
      </c>
      <c r="E2841" s="7" t="str">
        <f t="shared" si="979"/>
        <v>大阪府和泉市伯太町</v>
      </c>
      <c r="F2841" s="7"/>
      <c r="G2841" s="7" t="str">
        <f t="shared" si="980"/>
        <v>事業用資産</v>
      </c>
      <c r="H2841" s="7" t="str">
        <f t="shared" si="969"/>
        <v>棚卸以外</v>
      </c>
      <c r="I2841" s="7">
        <v>4</v>
      </c>
      <c r="J2841" s="7" t="str">
        <f>"電気室"</f>
        <v>電気室</v>
      </c>
      <c r="K2841" s="7" t="str">
        <f t="shared" si="973"/>
        <v>鉄筋コンクリート造</v>
      </c>
      <c r="L2841" s="7" t="str">
        <f>"H10.05.13"</f>
        <v>H10.05.13</v>
      </c>
      <c r="M2841" s="7">
        <v>47.5</v>
      </c>
      <c r="N2841" s="7">
        <v>5886000</v>
      </c>
      <c r="O2841" s="7">
        <v>3110226</v>
      </c>
      <c r="P2841" s="7">
        <v>0</v>
      </c>
      <c r="Q2841" s="7" t="str">
        <f t="shared" si="963"/>
        <v>都市整備部</v>
      </c>
      <c r="R2841" s="7" t="str">
        <f t="shared" si="981"/>
        <v>住宅建築局住宅経営室</v>
      </c>
    </row>
    <row r="2842" spans="1:18" s="1" customFormat="1" x14ac:dyDescent="0.45">
      <c r="A2842" s="7" t="str">
        <f t="shared" si="977"/>
        <v>09940003354</v>
      </c>
      <c r="B2842" s="7" t="str">
        <f t="shared" si="978"/>
        <v>和泉伯太（旧伯太）</v>
      </c>
      <c r="C2842" s="7" t="str">
        <f t="shared" ref="C2842:C2905" si="982">"行政財産"</f>
        <v>行政財産</v>
      </c>
      <c r="D2842" s="7" t="str">
        <f t="shared" ref="D2842:D2905" si="983">"公営住宅"</f>
        <v>公営住宅</v>
      </c>
      <c r="E2842" s="7" t="str">
        <f t="shared" si="979"/>
        <v>大阪府和泉市伯太町</v>
      </c>
      <c r="F2842" s="7"/>
      <c r="G2842" s="7" t="str">
        <f t="shared" si="980"/>
        <v>事業用資産</v>
      </c>
      <c r="H2842" s="7" t="str">
        <f t="shared" si="969"/>
        <v>棚卸以外</v>
      </c>
      <c r="I2842" s="7">
        <v>5</v>
      </c>
      <c r="J2842" s="7" t="str">
        <f>"集会所"</f>
        <v>集会所</v>
      </c>
      <c r="K2842" s="7" t="str">
        <f t="shared" si="973"/>
        <v>鉄筋コンクリート造</v>
      </c>
      <c r="L2842" s="7" t="str">
        <f>"H10.05.13"</f>
        <v>H10.05.13</v>
      </c>
      <c r="M2842" s="7">
        <v>149.94</v>
      </c>
      <c r="N2842" s="7">
        <v>43769000</v>
      </c>
      <c r="O2842" s="7">
        <v>23126290</v>
      </c>
      <c r="P2842" s="7">
        <v>0</v>
      </c>
      <c r="Q2842" s="7" t="str">
        <f t="shared" si="963"/>
        <v>都市整備部</v>
      </c>
      <c r="R2842" s="7" t="str">
        <f t="shared" si="981"/>
        <v>住宅建築局住宅経営室</v>
      </c>
    </row>
    <row r="2843" spans="1:18" s="1" customFormat="1" x14ac:dyDescent="0.45">
      <c r="A2843" s="7" t="str">
        <f t="shared" si="977"/>
        <v>09940003354</v>
      </c>
      <c r="B2843" s="7" t="str">
        <f t="shared" si="978"/>
        <v>和泉伯太（旧伯太）</v>
      </c>
      <c r="C2843" s="7" t="str">
        <f t="shared" si="982"/>
        <v>行政財産</v>
      </c>
      <c r="D2843" s="7" t="str">
        <f t="shared" si="983"/>
        <v>公営住宅</v>
      </c>
      <c r="E2843" s="7" t="str">
        <f t="shared" si="979"/>
        <v>大阪府和泉市伯太町</v>
      </c>
      <c r="F2843" s="7"/>
      <c r="G2843" s="7" t="str">
        <f t="shared" si="980"/>
        <v>事業用資産</v>
      </c>
      <c r="H2843" s="7" t="str">
        <f t="shared" si="969"/>
        <v>棚卸以外</v>
      </c>
      <c r="I2843" s="7">
        <v>6</v>
      </c>
      <c r="J2843" s="7" t="str">
        <f>"１号棟"</f>
        <v>１号棟</v>
      </c>
      <c r="K2843" s="7" t="str">
        <f t="shared" si="973"/>
        <v>鉄筋コンクリート造</v>
      </c>
      <c r="L2843" s="7" t="str">
        <f>"H12.06.08"</f>
        <v>H12.06.08</v>
      </c>
      <c r="M2843" s="7">
        <v>3387.62</v>
      </c>
      <c r="N2843" s="7">
        <v>554628000</v>
      </c>
      <c r="O2843" s="7">
        <v>268463559</v>
      </c>
      <c r="P2843" s="7">
        <v>0</v>
      </c>
      <c r="Q2843" s="7" t="str">
        <f t="shared" ref="Q2843:Q2906" si="984">"都市整備部"</f>
        <v>都市整備部</v>
      </c>
      <c r="R2843" s="7" t="str">
        <f t="shared" si="981"/>
        <v>住宅建築局住宅経営室</v>
      </c>
    </row>
    <row r="2844" spans="1:18" s="1" customFormat="1" x14ac:dyDescent="0.45">
      <c r="A2844" s="7" t="str">
        <f t="shared" si="977"/>
        <v>09940003354</v>
      </c>
      <c r="B2844" s="7" t="str">
        <f t="shared" si="978"/>
        <v>和泉伯太（旧伯太）</v>
      </c>
      <c r="C2844" s="7" t="str">
        <f t="shared" si="982"/>
        <v>行政財産</v>
      </c>
      <c r="D2844" s="7" t="str">
        <f t="shared" si="983"/>
        <v>公営住宅</v>
      </c>
      <c r="E2844" s="7" t="str">
        <f t="shared" si="979"/>
        <v>大阪府和泉市伯太町</v>
      </c>
      <c r="F2844" s="7"/>
      <c r="G2844" s="7" t="str">
        <f t="shared" si="980"/>
        <v>事業用資産</v>
      </c>
      <c r="H2844" s="7" t="str">
        <f t="shared" si="969"/>
        <v>棚卸以外</v>
      </c>
      <c r="I2844" s="7">
        <v>7</v>
      </c>
      <c r="J2844" s="7" t="str">
        <f>"２号棟"</f>
        <v>２号棟</v>
      </c>
      <c r="K2844" s="7" t="str">
        <f t="shared" si="973"/>
        <v>鉄筋コンクリート造</v>
      </c>
      <c r="L2844" s="7" t="str">
        <f>"H12.06.08"</f>
        <v>H12.06.08</v>
      </c>
      <c r="M2844" s="7">
        <v>3223.88</v>
      </c>
      <c r="N2844" s="7">
        <v>538657000</v>
      </c>
      <c r="O2844" s="7">
        <v>260733018</v>
      </c>
      <c r="P2844" s="7">
        <v>0</v>
      </c>
      <c r="Q2844" s="7" t="str">
        <f t="shared" si="984"/>
        <v>都市整備部</v>
      </c>
      <c r="R2844" s="7" t="str">
        <f t="shared" si="981"/>
        <v>住宅建築局住宅経営室</v>
      </c>
    </row>
    <row r="2845" spans="1:18" s="1" customFormat="1" x14ac:dyDescent="0.45">
      <c r="A2845" s="7" t="str">
        <f t="shared" si="977"/>
        <v>09940003354</v>
      </c>
      <c r="B2845" s="7" t="str">
        <f t="shared" si="978"/>
        <v>和泉伯太（旧伯太）</v>
      </c>
      <c r="C2845" s="7" t="str">
        <f t="shared" si="982"/>
        <v>行政財産</v>
      </c>
      <c r="D2845" s="7" t="str">
        <f t="shared" si="983"/>
        <v>公営住宅</v>
      </c>
      <c r="E2845" s="7" t="str">
        <f t="shared" si="979"/>
        <v>大阪府和泉市伯太町</v>
      </c>
      <c r="F2845" s="7"/>
      <c r="G2845" s="7" t="str">
        <f t="shared" si="980"/>
        <v>事業用資産</v>
      </c>
      <c r="H2845" s="7" t="str">
        <f t="shared" si="969"/>
        <v>棚卸以外</v>
      </c>
      <c r="I2845" s="7">
        <v>8</v>
      </c>
      <c r="J2845" s="7" t="str">
        <f>"３号棟"</f>
        <v>３号棟</v>
      </c>
      <c r="K2845" s="7" t="str">
        <f t="shared" si="973"/>
        <v>鉄筋コンクリート造</v>
      </c>
      <c r="L2845" s="7" t="str">
        <f>"H12.06.08"</f>
        <v>H12.06.08</v>
      </c>
      <c r="M2845" s="7">
        <v>5914.8</v>
      </c>
      <c r="N2845" s="7">
        <v>931356000</v>
      </c>
      <c r="O2845" s="7">
        <v>450816093</v>
      </c>
      <c r="P2845" s="7">
        <v>0</v>
      </c>
      <c r="Q2845" s="7" t="str">
        <f t="shared" si="984"/>
        <v>都市整備部</v>
      </c>
      <c r="R2845" s="7" t="str">
        <f t="shared" si="981"/>
        <v>住宅建築局住宅経営室</v>
      </c>
    </row>
    <row r="2846" spans="1:18" s="1" customFormat="1" x14ac:dyDescent="0.45">
      <c r="A2846" s="7" t="str">
        <f t="shared" si="977"/>
        <v>09940003354</v>
      </c>
      <c r="B2846" s="7" t="str">
        <f t="shared" si="978"/>
        <v>和泉伯太（旧伯太）</v>
      </c>
      <c r="C2846" s="7" t="str">
        <f t="shared" si="982"/>
        <v>行政財産</v>
      </c>
      <c r="D2846" s="7" t="str">
        <f t="shared" si="983"/>
        <v>公営住宅</v>
      </c>
      <c r="E2846" s="7" t="str">
        <f t="shared" si="979"/>
        <v>大阪府和泉市伯太町</v>
      </c>
      <c r="F2846" s="7"/>
      <c r="G2846" s="7" t="str">
        <f t="shared" si="980"/>
        <v>事業用資産</v>
      </c>
      <c r="H2846" s="7" t="str">
        <f t="shared" si="969"/>
        <v>棚卸以外</v>
      </c>
      <c r="I2846" s="7">
        <v>9</v>
      </c>
      <c r="J2846" s="7" t="str">
        <f>"受水槽ポンプ室"</f>
        <v>受水槽ポンプ室</v>
      </c>
      <c r="K2846" s="7" t="str">
        <f t="shared" si="973"/>
        <v>鉄筋コンクリート造</v>
      </c>
      <c r="L2846" s="7" t="str">
        <f>"H12.06.08"</f>
        <v>H12.06.08</v>
      </c>
      <c r="M2846" s="7">
        <v>84.83</v>
      </c>
      <c r="N2846" s="7">
        <v>33516000</v>
      </c>
      <c r="O2846" s="7">
        <v>16223298</v>
      </c>
      <c r="P2846" s="7">
        <v>0</v>
      </c>
      <c r="Q2846" s="7" t="str">
        <f t="shared" si="984"/>
        <v>都市整備部</v>
      </c>
      <c r="R2846" s="7" t="str">
        <f t="shared" si="981"/>
        <v>住宅建築局住宅経営室</v>
      </c>
    </row>
    <row r="2847" spans="1:18" s="1" customFormat="1" x14ac:dyDescent="0.45">
      <c r="A2847" s="7" t="str">
        <f t="shared" si="977"/>
        <v>09940003354</v>
      </c>
      <c r="B2847" s="7" t="str">
        <f t="shared" si="978"/>
        <v>和泉伯太（旧伯太）</v>
      </c>
      <c r="C2847" s="7" t="str">
        <f t="shared" si="982"/>
        <v>行政財産</v>
      </c>
      <c r="D2847" s="7" t="str">
        <f t="shared" si="983"/>
        <v>公営住宅</v>
      </c>
      <c r="E2847" s="7" t="str">
        <f t="shared" si="979"/>
        <v>大阪府和泉市伯太町</v>
      </c>
      <c r="F2847" s="7"/>
      <c r="G2847" s="7" t="str">
        <f t="shared" si="980"/>
        <v>事業用資産</v>
      </c>
      <c r="H2847" s="7" t="str">
        <f t="shared" si="969"/>
        <v>棚卸以外</v>
      </c>
      <c r="I2847" s="7">
        <v>10</v>
      </c>
      <c r="J2847" s="7" t="str">
        <f>"電気室"</f>
        <v>電気室</v>
      </c>
      <c r="K2847" s="7" t="str">
        <f t="shared" si="973"/>
        <v>鉄筋コンクリート造</v>
      </c>
      <c r="L2847" s="7" t="str">
        <f>"H12.06.08"</f>
        <v>H12.06.08</v>
      </c>
      <c r="M2847" s="7">
        <v>39.6</v>
      </c>
      <c r="N2847" s="7">
        <v>6168000</v>
      </c>
      <c r="O2847" s="7">
        <v>2985801</v>
      </c>
      <c r="P2847" s="7">
        <v>0</v>
      </c>
      <c r="Q2847" s="7" t="str">
        <f t="shared" si="984"/>
        <v>都市整備部</v>
      </c>
      <c r="R2847" s="7" t="str">
        <f t="shared" si="981"/>
        <v>住宅建築局住宅経営室</v>
      </c>
    </row>
    <row r="2848" spans="1:18" s="1" customFormat="1" x14ac:dyDescent="0.45">
      <c r="A2848" s="7" t="str">
        <f t="shared" si="977"/>
        <v>09940003354</v>
      </c>
      <c r="B2848" s="7" t="str">
        <f t="shared" si="978"/>
        <v>和泉伯太（旧伯太）</v>
      </c>
      <c r="C2848" s="7" t="str">
        <f t="shared" si="982"/>
        <v>行政財産</v>
      </c>
      <c r="D2848" s="7" t="str">
        <f t="shared" si="983"/>
        <v>公営住宅</v>
      </c>
      <c r="E2848" s="7" t="str">
        <f t="shared" si="979"/>
        <v>大阪府和泉市伯太町</v>
      </c>
      <c r="F2848" s="7"/>
      <c r="G2848" s="7" t="str">
        <f t="shared" si="980"/>
        <v>事業用資産</v>
      </c>
      <c r="H2848" s="7" t="str">
        <f t="shared" si="969"/>
        <v>棚卸以外</v>
      </c>
      <c r="I2848" s="7">
        <v>11</v>
      </c>
      <c r="J2848" s="7" t="str">
        <f>"６号棟"</f>
        <v>６号棟</v>
      </c>
      <c r="K2848" s="7" t="str">
        <f t="shared" si="973"/>
        <v>鉄筋コンクリート造</v>
      </c>
      <c r="L2848" s="7" t="str">
        <f>"H16.07.27"</f>
        <v>H16.07.27</v>
      </c>
      <c r="M2848" s="7">
        <v>1601.42</v>
      </c>
      <c r="N2848" s="7">
        <v>266587792</v>
      </c>
      <c r="O2848" s="7">
        <v>105639172</v>
      </c>
      <c r="P2848" s="7">
        <v>0</v>
      </c>
      <c r="Q2848" s="7" t="str">
        <f t="shared" si="984"/>
        <v>都市整備部</v>
      </c>
      <c r="R2848" s="7" t="str">
        <f t="shared" si="981"/>
        <v>住宅建築局住宅経営室</v>
      </c>
    </row>
    <row r="2849" spans="1:18" s="1" customFormat="1" x14ac:dyDescent="0.45">
      <c r="A2849" s="7" t="str">
        <f t="shared" si="977"/>
        <v>09940003354</v>
      </c>
      <c r="B2849" s="7" t="str">
        <f t="shared" si="978"/>
        <v>和泉伯太（旧伯太）</v>
      </c>
      <c r="C2849" s="7" t="str">
        <f t="shared" si="982"/>
        <v>行政財産</v>
      </c>
      <c r="D2849" s="7" t="str">
        <f t="shared" si="983"/>
        <v>公営住宅</v>
      </c>
      <c r="E2849" s="7" t="str">
        <f t="shared" si="979"/>
        <v>大阪府和泉市伯太町</v>
      </c>
      <c r="F2849" s="7"/>
      <c r="G2849" s="7" t="str">
        <f t="shared" si="980"/>
        <v>事業用資産</v>
      </c>
      <c r="H2849" s="7" t="str">
        <f t="shared" si="969"/>
        <v>棚卸以外</v>
      </c>
      <c r="I2849" s="7">
        <v>12</v>
      </c>
      <c r="J2849" s="7" t="str">
        <f>"ポンプ室・電気室"</f>
        <v>ポンプ室・電気室</v>
      </c>
      <c r="K2849" s="7" t="str">
        <f t="shared" si="973"/>
        <v>鉄筋コンクリート造</v>
      </c>
      <c r="L2849" s="7" t="str">
        <f>"H16.07.27"</f>
        <v>H16.07.27</v>
      </c>
      <c r="M2849" s="7">
        <v>71.760000000000005</v>
      </c>
      <c r="N2849" s="7">
        <v>13191000</v>
      </c>
      <c r="O2849" s="7">
        <v>5239136</v>
      </c>
      <c r="P2849" s="7">
        <v>0</v>
      </c>
      <c r="Q2849" s="7" t="str">
        <f t="shared" si="984"/>
        <v>都市整備部</v>
      </c>
      <c r="R2849" s="7" t="str">
        <f t="shared" si="981"/>
        <v>住宅建築局住宅経営室</v>
      </c>
    </row>
    <row r="2850" spans="1:18" s="1" customFormat="1" x14ac:dyDescent="0.45">
      <c r="A2850" s="7" t="str">
        <f t="shared" si="977"/>
        <v>09940003354</v>
      </c>
      <c r="B2850" s="7" t="str">
        <f t="shared" si="978"/>
        <v>和泉伯太（旧伯太）</v>
      </c>
      <c r="C2850" s="7" t="str">
        <f t="shared" si="982"/>
        <v>行政財産</v>
      </c>
      <c r="D2850" s="7" t="str">
        <f t="shared" si="983"/>
        <v>公営住宅</v>
      </c>
      <c r="E2850" s="7" t="str">
        <f t="shared" si="979"/>
        <v>大阪府和泉市伯太町</v>
      </c>
      <c r="F2850" s="7"/>
      <c r="G2850" s="7" t="str">
        <f t="shared" si="980"/>
        <v>事業用資産</v>
      </c>
      <c r="H2850" s="7" t="str">
        <f t="shared" si="969"/>
        <v>棚卸以外</v>
      </c>
      <c r="I2850" s="7">
        <v>13</v>
      </c>
      <c r="J2850" s="7" t="str">
        <f>"４号館"</f>
        <v>４号館</v>
      </c>
      <c r="K2850" s="7" t="str">
        <f t="shared" si="973"/>
        <v>鉄筋コンクリート造</v>
      </c>
      <c r="L2850" s="7" t="str">
        <f>"H10.05.13"</f>
        <v>H10.05.13</v>
      </c>
      <c r="M2850" s="7">
        <v>5466.07</v>
      </c>
      <c r="N2850" s="7">
        <v>1030398479</v>
      </c>
      <c r="O2850" s="7">
        <v>542963292</v>
      </c>
      <c r="P2850" s="7">
        <v>0</v>
      </c>
      <c r="Q2850" s="7" t="str">
        <f t="shared" si="984"/>
        <v>都市整備部</v>
      </c>
      <c r="R2850" s="7" t="str">
        <f t="shared" si="981"/>
        <v>住宅建築局住宅経営室</v>
      </c>
    </row>
    <row r="2851" spans="1:18" s="1" customFormat="1" x14ac:dyDescent="0.45">
      <c r="A2851" s="7" t="str">
        <f t="shared" ref="A2851:A2859" si="985">"09940003358"</f>
        <v>09940003358</v>
      </c>
      <c r="B2851" s="7" t="str">
        <f t="shared" ref="B2851:B2859" si="986">"東鴻池"</f>
        <v>東鴻池</v>
      </c>
      <c r="C2851" s="7" t="str">
        <f t="shared" si="982"/>
        <v>行政財産</v>
      </c>
      <c r="D2851" s="7" t="str">
        <f t="shared" si="983"/>
        <v>公営住宅</v>
      </c>
      <c r="E2851" s="7" t="str">
        <f t="shared" ref="E2851:E2859" si="987">"大阪府東大阪市東鴻池町１丁目"</f>
        <v>大阪府東大阪市東鴻池町１丁目</v>
      </c>
      <c r="F2851" s="7"/>
      <c r="G2851" s="7" t="str">
        <f t="shared" si="980"/>
        <v>事業用資産</v>
      </c>
      <c r="H2851" s="7" t="str">
        <f t="shared" si="969"/>
        <v>棚卸以外</v>
      </c>
      <c r="I2851" s="7">
        <v>1</v>
      </c>
      <c r="J2851" s="7" t="str">
        <f>"４号棟"</f>
        <v>４号棟</v>
      </c>
      <c r="K2851" s="7" t="str">
        <f t="shared" si="973"/>
        <v>鉄筋コンクリート造</v>
      </c>
      <c r="L2851" s="7" t="str">
        <f t="shared" ref="L2851:L2859" si="988">"S51.04.12"</f>
        <v>S51.04.12</v>
      </c>
      <c r="M2851" s="7">
        <v>1105.56</v>
      </c>
      <c r="N2851" s="7">
        <v>154220472</v>
      </c>
      <c r="O2851" s="7">
        <v>86124372</v>
      </c>
      <c r="P2851" s="7">
        <v>0</v>
      </c>
      <c r="Q2851" s="7" t="str">
        <f t="shared" si="984"/>
        <v>都市整備部</v>
      </c>
      <c r="R2851" s="7" t="str">
        <f t="shared" si="981"/>
        <v>住宅建築局住宅経営室</v>
      </c>
    </row>
    <row r="2852" spans="1:18" s="1" customFormat="1" x14ac:dyDescent="0.45">
      <c r="A2852" s="7" t="str">
        <f t="shared" si="985"/>
        <v>09940003358</v>
      </c>
      <c r="B2852" s="7" t="str">
        <f t="shared" si="986"/>
        <v>東鴻池</v>
      </c>
      <c r="C2852" s="7" t="str">
        <f t="shared" si="982"/>
        <v>行政財産</v>
      </c>
      <c r="D2852" s="7" t="str">
        <f t="shared" si="983"/>
        <v>公営住宅</v>
      </c>
      <c r="E2852" s="7" t="str">
        <f t="shared" si="987"/>
        <v>大阪府東大阪市東鴻池町１丁目</v>
      </c>
      <c r="F2852" s="7"/>
      <c r="G2852" s="7" t="str">
        <f t="shared" si="980"/>
        <v>事業用資産</v>
      </c>
      <c r="H2852" s="7" t="str">
        <f t="shared" si="969"/>
        <v>棚卸以外</v>
      </c>
      <c r="I2852" s="7">
        <v>2</v>
      </c>
      <c r="J2852" s="7" t="str">
        <f>"５号棟"</f>
        <v>５号棟</v>
      </c>
      <c r="K2852" s="7" t="str">
        <f t="shared" si="973"/>
        <v>鉄筋コンクリート造</v>
      </c>
      <c r="L2852" s="7" t="str">
        <f t="shared" si="988"/>
        <v>S51.04.12</v>
      </c>
      <c r="M2852" s="7">
        <v>1105.56</v>
      </c>
      <c r="N2852" s="7">
        <v>154220472</v>
      </c>
      <c r="O2852" s="7">
        <v>86124372</v>
      </c>
      <c r="P2852" s="7">
        <v>0</v>
      </c>
      <c r="Q2852" s="7" t="str">
        <f t="shared" si="984"/>
        <v>都市整備部</v>
      </c>
      <c r="R2852" s="7" t="str">
        <f t="shared" si="981"/>
        <v>住宅建築局住宅経営室</v>
      </c>
    </row>
    <row r="2853" spans="1:18" s="1" customFormat="1" x14ac:dyDescent="0.45">
      <c r="A2853" s="7" t="str">
        <f t="shared" si="985"/>
        <v>09940003358</v>
      </c>
      <c r="B2853" s="7" t="str">
        <f t="shared" si="986"/>
        <v>東鴻池</v>
      </c>
      <c r="C2853" s="7" t="str">
        <f t="shared" si="982"/>
        <v>行政財産</v>
      </c>
      <c r="D2853" s="7" t="str">
        <f t="shared" si="983"/>
        <v>公営住宅</v>
      </c>
      <c r="E2853" s="7" t="str">
        <f t="shared" si="987"/>
        <v>大阪府東大阪市東鴻池町１丁目</v>
      </c>
      <c r="F2853" s="7"/>
      <c r="G2853" s="7" t="str">
        <f t="shared" si="980"/>
        <v>事業用資産</v>
      </c>
      <c r="H2853" s="7" t="str">
        <f t="shared" si="969"/>
        <v>棚卸以外</v>
      </c>
      <c r="I2853" s="7">
        <v>3</v>
      </c>
      <c r="J2853" s="7" t="str">
        <f>"６号棟"</f>
        <v>６号棟</v>
      </c>
      <c r="K2853" s="7" t="str">
        <f t="shared" si="973"/>
        <v>鉄筋コンクリート造</v>
      </c>
      <c r="L2853" s="7" t="str">
        <f t="shared" si="988"/>
        <v>S51.04.12</v>
      </c>
      <c r="M2853" s="7">
        <v>1658.34</v>
      </c>
      <c r="N2853" s="7">
        <v>231331208</v>
      </c>
      <c r="O2853" s="7">
        <v>129187123</v>
      </c>
      <c r="P2853" s="7">
        <v>0</v>
      </c>
      <c r="Q2853" s="7" t="str">
        <f t="shared" si="984"/>
        <v>都市整備部</v>
      </c>
      <c r="R2853" s="7" t="str">
        <f t="shared" si="981"/>
        <v>住宅建築局住宅経営室</v>
      </c>
    </row>
    <row r="2854" spans="1:18" s="1" customFormat="1" x14ac:dyDescent="0.45">
      <c r="A2854" s="7" t="str">
        <f t="shared" si="985"/>
        <v>09940003358</v>
      </c>
      <c r="B2854" s="7" t="str">
        <f t="shared" si="986"/>
        <v>東鴻池</v>
      </c>
      <c r="C2854" s="7" t="str">
        <f t="shared" si="982"/>
        <v>行政財産</v>
      </c>
      <c r="D2854" s="7" t="str">
        <f t="shared" si="983"/>
        <v>公営住宅</v>
      </c>
      <c r="E2854" s="7" t="str">
        <f t="shared" si="987"/>
        <v>大阪府東大阪市東鴻池町１丁目</v>
      </c>
      <c r="F2854" s="7"/>
      <c r="G2854" s="7" t="str">
        <f t="shared" si="980"/>
        <v>事業用資産</v>
      </c>
      <c r="H2854" s="7" t="str">
        <f t="shared" si="969"/>
        <v>棚卸以外</v>
      </c>
      <c r="I2854" s="7">
        <v>4</v>
      </c>
      <c r="J2854" s="7" t="str">
        <f>"８号棟"</f>
        <v>８号棟</v>
      </c>
      <c r="K2854" s="7" t="str">
        <f t="shared" si="973"/>
        <v>鉄筋コンクリート造</v>
      </c>
      <c r="L2854" s="7" t="str">
        <f t="shared" si="988"/>
        <v>S51.04.12</v>
      </c>
      <c r="M2854" s="7">
        <v>2211.12</v>
      </c>
      <c r="N2854" s="7">
        <v>308441943</v>
      </c>
      <c r="O2854" s="7">
        <v>172249870</v>
      </c>
      <c r="P2854" s="7">
        <v>0</v>
      </c>
      <c r="Q2854" s="7" t="str">
        <f t="shared" si="984"/>
        <v>都市整備部</v>
      </c>
      <c r="R2854" s="7" t="str">
        <f t="shared" si="981"/>
        <v>住宅建築局住宅経営室</v>
      </c>
    </row>
    <row r="2855" spans="1:18" s="1" customFormat="1" x14ac:dyDescent="0.45">
      <c r="A2855" s="7" t="str">
        <f t="shared" si="985"/>
        <v>09940003358</v>
      </c>
      <c r="B2855" s="7" t="str">
        <f t="shared" si="986"/>
        <v>東鴻池</v>
      </c>
      <c r="C2855" s="7" t="str">
        <f t="shared" si="982"/>
        <v>行政財産</v>
      </c>
      <c r="D2855" s="7" t="str">
        <f t="shared" si="983"/>
        <v>公営住宅</v>
      </c>
      <c r="E2855" s="7" t="str">
        <f t="shared" si="987"/>
        <v>大阪府東大阪市東鴻池町１丁目</v>
      </c>
      <c r="F2855" s="7"/>
      <c r="G2855" s="7" t="str">
        <f t="shared" si="980"/>
        <v>事業用資産</v>
      </c>
      <c r="H2855" s="7" t="str">
        <f t="shared" si="969"/>
        <v>棚卸以外</v>
      </c>
      <c r="I2855" s="7">
        <v>5</v>
      </c>
      <c r="J2855" s="7" t="str">
        <f>"３号棟"</f>
        <v>３号棟</v>
      </c>
      <c r="K2855" s="7" t="str">
        <f t="shared" si="973"/>
        <v>鉄筋コンクリート造</v>
      </c>
      <c r="L2855" s="7" t="str">
        <f t="shared" si="988"/>
        <v>S51.04.12</v>
      </c>
      <c r="M2855" s="7">
        <v>1707.36</v>
      </c>
      <c r="N2855" s="7">
        <v>235830958</v>
      </c>
      <c r="O2855" s="7">
        <v>133105040</v>
      </c>
      <c r="P2855" s="7">
        <v>0</v>
      </c>
      <c r="Q2855" s="7" t="str">
        <f t="shared" si="984"/>
        <v>都市整備部</v>
      </c>
      <c r="R2855" s="7" t="str">
        <f t="shared" si="981"/>
        <v>住宅建築局住宅経営室</v>
      </c>
    </row>
    <row r="2856" spans="1:18" s="1" customFormat="1" x14ac:dyDescent="0.45">
      <c r="A2856" s="7" t="str">
        <f t="shared" si="985"/>
        <v>09940003358</v>
      </c>
      <c r="B2856" s="7" t="str">
        <f t="shared" si="986"/>
        <v>東鴻池</v>
      </c>
      <c r="C2856" s="7" t="str">
        <f t="shared" si="982"/>
        <v>行政財産</v>
      </c>
      <c r="D2856" s="7" t="str">
        <f t="shared" si="983"/>
        <v>公営住宅</v>
      </c>
      <c r="E2856" s="7" t="str">
        <f t="shared" si="987"/>
        <v>大阪府東大阪市東鴻池町１丁目</v>
      </c>
      <c r="F2856" s="7"/>
      <c r="G2856" s="7" t="str">
        <f t="shared" si="980"/>
        <v>事業用資産</v>
      </c>
      <c r="H2856" s="7" t="str">
        <f t="shared" si="969"/>
        <v>棚卸以外</v>
      </c>
      <c r="I2856" s="7">
        <v>6</v>
      </c>
      <c r="J2856" s="7" t="str">
        <f>"２号棟"</f>
        <v>２号棟</v>
      </c>
      <c r="K2856" s="7" t="str">
        <f t="shared" si="973"/>
        <v>鉄筋コンクリート造</v>
      </c>
      <c r="L2856" s="7" t="str">
        <f t="shared" si="988"/>
        <v>S51.04.12</v>
      </c>
      <c r="M2856" s="7">
        <v>138.6</v>
      </c>
      <c r="N2856" s="7">
        <v>12319000</v>
      </c>
      <c r="O2856" s="7">
        <v>12297609</v>
      </c>
      <c r="P2856" s="7">
        <v>0</v>
      </c>
      <c r="Q2856" s="7" t="str">
        <f t="shared" si="984"/>
        <v>都市整備部</v>
      </c>
      <c r="R2856" s="7" t="str">
        <f t="shared" si="981"/>
        <v>住宅建築局住宅経営室</v>
      </c>
    </row>
    <row r="2857" spans="1:18" s="1" customFormat="1" x14ac:dyDescent="0.45">
      <c r="A2857" s="7" t="str">
        <f t="shared" si="985"/>
        <v>09940003358</v>
      </c>
      <c r="B2857" s="7" t="str">
        <f t="shared" si="986"/>
        <v>東鴻池</v>
      </c>
      <c r="C2857" s="7" t="str">
        <f t="shared" si="982"/>
        <v>行政財産</v>
      </c>
      <c r="D2857" s="7" t="str">
        <f t="shared" si="983"/>
        <v>公営住宅</v>
      </c>
      <c r="E2857" s="7" t="str">
        <f t="shared" si="987"/>
        <v>大阪府東大阪市東鴻池町１丁目</v>
      </c>
      <c r="F2857" s="7"/>
      <c r="G2857" s="7" t="str">
        <f t="shared" si="980"/>
        <v>事業用資産</v>
      </c>
      <c r="H2857" s="7" t="str">
        <f t="shared" si="969"/>
        <v>棚卸以外</v>
      </c>
      <c r="I2857" s="7">
        <v>7</v>
      </c>
      <c r="J2857" s="7" t="str">
        <f>"７号棟"</f>
        <v>７号棟</v>
      </c>
      <c r="K2857" s="7" t="str">
        <f t="shared" si="973"/>
        <v>鉄筋コンクリート造</v>
      </c>
      <c r="L2857" s="7" t="str">
        <f t="shared" si="988"/>
        <v>S51.04.12</v>
      </c>
      <c r="M2857" s="7">
        <v>1552.44</v>
      </c>
      <c r="N2857" s="7">
        <v>236101207</v>
      </c>
      <c r="O2857" s="7">
        <v>133948414</v>
      </c>
      <c r="P2857" s="7">
        <v>0</v>
      </c>
      <c r="Q2857" s="7" t="str">
        <f t="shared" si="984"/>
        <v>都市整備部</v>
      </c>
      <c r="R2857" s="7" t="str">
        <f t="shared" si="981"/>
        <v>住宅建築局住宅経営室</v>
      </c>
    </row>
    <row r="2858" spans="1:18" s="1" customFormat="1" x14ac:dyDescent="0.45">
      <c r="A2858" s="7" t="str">
        <f t="shared" si="985"/>
        <v>09940003358</v>
      </c>
      <c r="B2858" s="7" t="str">
        <f t="shared" si="986"/>
        <v>東鴻池</v>
      </c>
      <c r="C2858" s="7" t="str">
        <f t="shared" si="982"/>
        <v>行政財産</v>
      </c>
      <c r="D2858" s="7" t="str">
        <f t="shared" si="983"/>
        <v>公営住宅</v>
      </c>
      <c r="E2858" s="7" t="str">
        <f t="shared" si="987"/>
        <v>大阪府東大阪市東鴻池町１丁目</v>
      </c>
      <c r="F2858" s="7"/>
      <c r="G2858" s="7" t="str">
        <f t="shared" si="980"/>
        <v>事業用資産</v>
      </c>
      <c r="H2858" s="7" t="str">
        <f t="shared" si="969"/>
        <v>棚卸以外</v>
      </c>
      <c r="I2858" s="7">
        <v>8</v>
      </c>
      <c r="J2858" s="7" t="str">
        <f>"集会所"</f>
        <v>集会所</v>
      </c>
      <c r="K2858" s="7" t="str">
        <f t="shared" si="973"/>
        <v>鉄筋コンクリート造</v>
      </c>
      <c r="L2858" s="7" t="str">
        <f t="shared" si="988"/>
        <v>S51.04.12</v>
      </c>
      <c r="M2858" s="7">
        <v>65.84</v>
      </c>
      <c r="N2858" s="7">
        <v>7410000</v>
      </c>
      <c r="O2858" s="7">
        <v>7397257</v>
      </c>
      <c r="P2858" s="7">
        <v>0</v>
      </c>
      <c r="Q2858" s="7" t="str">
        <f t="shared" si="984"/>
        <v>都市整備部</v>
      </c>
      <c r="R2858" s="7" t="str">
        <f t="shared" si="981"/>
        <v>住宅建築局住宅経営室</v>
      </c>
    </row>
    <row r="2859" spans="1:18" s="1" customFormat="1" x14ac:dyDescent="0.45">
      <c r="A2859" s="7" t="str">
        <f t="shared" si="985"/>
        <v>09940003358</v>
      </c>
      <c r="B2859" s="7" t="str">
        <f t="shared" si="986"/>
        <v>東鴻池</v>
      </c>
      <c r="C2859" s="7" t="str">
        <f t="shared" si="982"/>
        <v>行政財産</v>
      </c>
      <c r="D2859" s="7" t="str">
        <f t="shared" si="983"/>
        <v>公営住宅</v>
      </c>
      <c r="E2859" s="7" t="str">
        <f t="shared" si="987"/>
        <v>大阪府東大阪市東鴻池町１丁目</v>
      </c>
      <c r="F2859" s="7"/>
      <c r="G2859" s="7" t="str">
        <f t="shared" si="980"/>
        <v>事業用資産</v>
      </c>
      <c r="H2859" s="7" t="str">
        <f t="shared" si="969"/>
        <v>棚卸以外</v>
      </c>
      <c r="I2859" s="7">
        <v>9</v>
      </c>
      <c r="J2859" s="7" t="str">
        <f>"ポンプ室"</f>
        <v>ポンプ室</v>
      </c>
      <c r="K2859" s="7" t="str">
        <f t="shared" si="973"/>
        <v>鉄筋コンクリート造</v>
      </c>
      <c r="L2859" s="7" t="str">
        <f t="shared" si="988"/>
        <v>S51.04.12</v>
      </c>
      <c r="M2859" s="7">
        <v>46.35</v>
      </c>
      <c r="N2859" s="7">
        <v>2830000</v>
      </c>
      <c r="O2859" s="7">
        <v>2825134</v>
      </c>
      <c r="P2859" s="7">
        <v>0</v>
      </c>
      <c r="Q2859" s="7" t="str">
        <f t="shared" si="984"/>
        <v>都市整備部</v>
      </c>
      <c r="R2859" s="7" t="str">
        <f t="shared" si="981"/>
        <v>住宅建築局住宅経営室</v>
      </c>
    </row>
    <row r="2860" spans="1:18" s="1" customFormat="1" x14ac:dyDescent="0.45">
      <c r="A2860" s="7" t="str">
        <f t="shared" ref="A2860:A2866" si="989">"09940003360"</f>
        <v>09940003360</v>
      </c>
      <c r="B2860" s="7" t="str">
        <f t="shared" ref="B2860:B2866" si="990">"松原岡"</f>
        <v>松原岡</v>
      </c>
      <c r="C2860" s="7" t="str">
        <f t="shared" si="982"/>
        <v>行政財産</v>
      </c>
      <c r="D2860" s="7" t="str">
        <f t="shared" si="983"/>
        <v>公営住宅</v>
      </c>
      <c r="E2860" s="7" t="str">
        <f t="shared" ref="E2860:E2866" si="991">"大阪府松原市岡２丁目"</f>
        <v>大阪府松原市岡２丁目</v>
      </c>
      <c r="F2860" s="7"/>
      <c r="G2860" s="7" t="str">
        <f t="shared" si="980"/>
        <v>事業用資産</v>
      </c>
      <c r="H2860" s="7" t="str">
        <f t="shared" si="969"/>
        <v>棚卸以外</v>
      </c>
      <c r="I2860" s="7">
        <v>1</v>
      </c>
      <c r="J2860" s="7" t="str">
        <f>"１号棟"</f>
        <v>１号棟</v>
      </c>
      <c r="K2860" s="7" t="str">
        <f t="shared" si="973"/>
        <v>鉄筋コンクリート造</v>
      </c>
      <c r="L2860" s="7" t="str">
        <f t="shared" ref="L2860:L2866" si="992">"H06.10.18"</f>
        <v>H06.10.18</v>
      </c>
      <c r="M2860" s="7">
        <v>4421.01</v>
      </c>
      <c r="N2860" s="7">
        <v>960172948</v>
      </c>
      <c r="O2860" s="7">
        <v>579873671</v>
      </c>
      <c r="P2860" s="7">
        <v>0</v>
      </c>
      <c r="Q2860" s="7" t="str">
        <f t="shared" si="984"/>
        <v>都市整備部</v>
      </c>
      <c r="R2860" s="7" t="str">
        <f t="shared" si="981"/>
        <v>住宅建築局住宅経営室</v>
      </c>
    </row>
    <row r="2861" spans="1:18" s="1" customFormat="1" x14ac:dyDescent="0.45">
      <c r="A2861" s="7" t="str">
        <f t="shared" si="989"/>
        <v>09940003360</v>
      </c>
      <c r="B2861" s="7" t="str">
        <f t="shared" si="990"/>
        <v>松原岡</v>
      </c>
      <c r="C2861" s="7" t="str">
        <f t="shared" si="982"/>
        <v>行政財産</v>
      </c>
      <c r="D2861" s="7" t="str">
        <f t="shared" si="983"/>
        <v>公営住宅</v>
      </c>
      <c r="E2861" s="7" t="str">
        <f t="shared" si="991"/>
        <v>大阪府松原市岡２丁目</v>
      </c>
      <c r="F2861" s="7"/>
      <c r="G2861" s="7" t="str">
        <f t="shared" si="980"/>
        <v>事業用資産</v>
      </c>
      <c r="H2861" s="7" t="str">
        <f t="shared" si="969"/>
        <v>棚卸以外</v>
      </c>
      <c r="I2861" s="7">
        <v>2</v>
      </c>
      <c r="J2861" s="7" t="str">
        <f>"２号棟"</f>
        <v>２号棟</v>
      </c>
      <c r="K2861" s="7" t="str">
        <f t="shared" si="973"/>
        <v>鉄筋コンクリート造</v>
      </c>
      <c r="L2861" s="7" t="str">
        <f t="shared" si="992"/>
        <v>H06.10.18</v>
      </c>
      <c r="M2861" s="7">
        <v>6267.31</v>
      </c>
      <c r="N2861" s="7">
        <v>1132368948</v>
      </c>
      <c r="O2861" s="7">
        <v>683985063</v>
      </c>
      <c r="P2861" s="7">
        <v>0</v>
      </c>
      <c r="Q2861" s="7" t="str">
        <f t="shared" si="984"/>
        <v>都市整備部</v>
      </c>
      <c r="R2861" s="7" t="str">
        <f t="shared" si="981"/>
        <v>住宅建築局住宅経営室</v>
      </c>
    </row>
    <row r="2862" spans="1:18" s="1" customFormat="1" x14ac:dyDescent="0.45">
      <c r="A2862" s="7" t="str">
        <f t="shared" si="989"/>
        <v>09940003360</v>
      </c>
      <c r="B2862" s="7" t="str">
        <f t="shared" si="990"/>
        <v>松原岡</v>
      </c>
      <c r="C2862" s="7" t="str">
        <f t="shared" si="982"/>
        <v>行政財産</v>
      </c>
      <c r="D2862" s="7" t="str">
        <f t="shared" si="983"/>
        <v>公営住宅</v>
      </c>
      <c r="E2862" s="7" t="str">
        <f t="shared" si="991"/>
        <v>大阪府松原市岡２丁目</v>
      </c>
      <c r="F2862" s="7"/>
      <c r="G2862" s="7" t="str">
        <f t="shared" si="980"/>
        <v>事業用資産</v>
      </c>
      <c r="H2862" s="7" t="str">
        <f t="shared" si="969"/>
        <v>棚卸以外</v>
      </c>
      <c r="I2862" s="7">
        <v>3</v>
      </c>
      <c r="J2862" s="7" t="str">
        <f>"３号棟"</f>
        <v>３号棟</v>
      </c>
      <c r="K2862" s="7" t="str">
        <f t="shared" si="973"/>
        <v>鉄筋コンクリート造</v>
      </c>
      <c r="L2862" s="7" t="str">
        <f t="shared" si="992"/>
        <v>H06.10.18</v>
      </c>
      <c r="M2862" s="7">
        <v>2629.36</v>
      </c>
      <c r="N2862" s="7">
        <v>543516849</v>
      </c>
      <c r="O2862" s="7">
        <v>328119509</v>
      </c>
      <c r="P2862" s="7">
        <v>0</v>
      </c>
      <c r="Q2862" s="7" t="str">
        <f t="shared" si="984"/>
        <v>都市整備部</v>
      </c>
      <c r="R2862" s="7" t="str">
        <f t="shared" si="981"/>
        <v>住宅建築局住宅経営室</v>
      </c>
    </row>
    <row r="2863" spans="1:18" s="1" customFormat="1" x14ac:dyDescent="0.45">
      <c r="A2863" s="7" t="str">
        <f t="shared" si="989"/>
        <v>09940003360</v>
      </c>
      <c r="B2863" s="7" t="str">
        <f t="shared" si="990"/>
        <v>松原岡</v>
      </c>
      <c r="C2863" s="7" t="str">
        <f t="shared" si="982"/>
        <v>行政財産</v>
      </c>
      <c r="D2863" s="7" t="str">
        <f t="shared" si="983"/>
        <v>公営住宅</v>
      </c>
      <c r="E2863" s="7" t="str">
        <f t="shared" si="991"/>
        <v>大阪府松原市岡２丁目</v>
      </c>
      <c r="F2863" s="7"/>
      <c r="G2863" s="7" t="str">
        <f t="shared" si="980"/>
        <v>事業用資産</v>
      </c>
      <c r="H2863" s="7" t="str">
        <f t="shared" si="969"/>
        <v>棚卸以外</v>
      </c>
      <c r="I2863" s="7">
        <v>4</v>
      </c>
      <c r="J2863" s="7" t="str">
        <f>"集会所"</f>
        <v>集会所</v>
      </c>
      <c r="K2863" s="7" t="str">
        <f t="shared" si="973"/>
        <v>鉄筋コンクリート造</v>
      </c>
      <c r="L2863" s="7" t="str">
        <f t="shared" si="992"/>
        <v>H06.10.18</v>
      </c>
      <c r="M2863" s="7">
        <v>164.79</v>
      </c>
      <c r="N2863" s="7">
        <v>37048000</v>
      </c>
      <c r="O2863" s="7">
        <v>22399608</v>
      </c>
      <c r="P2863" s="7">
        <v>0</v>
      </c>
      <c r="Q2863" s="7" t="str">
        <f t="shared" si="984"/>
        <v>都市整備部</v>
      </c>
      <c r="R2863" s="7" t="str">
        <f t="shared" si="981"/>
        <v>住宅建築局住宅経営室</v>
      </c>
    </row>
    <row r="2864" spans="1:18" s="1" customFormat="1" x14ac:dyDescent="0.45">
      <c r="A2864" s="7" t="str">
        <f t="shared" si="989"/>
        <v>09940003360</v>
      </c>
      <c r="B2864" s="7" t="str">
        <f t="shared" si="990"/>
        <v>松原岡</v>
      </c>
      <c r="C2864" s="7" t="str">
        <f t="shared" si="982"/>
        <v>行政財産</v>
      </c>
      <c r="D2864" s="7" t="str">
        <f t="shared" si="983"/>
        <v>公営住宅</v>
      </c>
      <c r="E2864" s="7" t="str">
        <f t="shared" si="991"/>
        <v>大阪府松原市岡２丁目</v>
      </c>
      <c r="F2864" s="7"/>
      <c r="G2864" s="7" t="str">
        <f t="shared" si="980"/>
        <v>事業用資産</v>
      </c>
      <c r="H2864" s="7" t="str">
        <f t="shared" si="969"/>
        <v>棚卸以外</v>
      </c>
      <c r="I2864" s="7">
        <v>5</v>
      </c>
      <c r="J2864" s="7" t="str">
        <f>"電気室"</f>
        <v>電気室</v>
      </c>
      <c r="K2864" s="7" t="str">
        <f t="shared" si="973"/>
        <v>鉄筋コンクリート造</v>
      </c>
      <c r="L2864" s="7" t="str">
        <f t="shared" si="992"/>
        <v>H06.10.18</v>
      </c>
      <c r="M2864" s="7">
        <v>71</v>
      </c>
      <c r="N2864" s="7">
        <v>17091000</v>
      </c>
      <c r="O2864" s="7">
        <v>10333664</v>
      </c>
      <c r="P2864" s="7">
        <v>0</v>
      </c>
      <c r="Q2864" s="7" t="str">
        <f t="shared" si="984"/>
        <v>都市整備部</v>
      </c>
      <c r="R2864" s="7" t="str">
        <f t="shared" si="981"/>
        <v>住宅建築局住宅経営室</v>
      </c>
    </row>
    <row r="2865" spans="1:18" s="1" customFormat="1" x14ac:dyDescent="0.45">
      <c r="A2865" s="7" t="str">
        <f t="shared" si="989"/>
        <v>09940003360</v>
      </c>
      <c r="B2865" s="7" t="str">
        <f t="shared" si="990"/>
        <v>松原岡</v>
      </c>
      <c r="C2865" s="7" t="str">
        <f t="shared" si="982"/>
        <v>行政財産</v>
      </c>
      <c r="D2865" s="7" t="str">
        <f t="shared" si="983"/>
        <v>公営住宅</v>
      </c>
      <c r="E2865" s="7" t="str">
        <f t="shared" si="991"/>
        <v>大阪府松原市岡２丁目</v>
      </c>
      <c r="F2865" s="7"/>
      <c r="G2865" s="7" t="str">
        <f t="shared" si="980"/>
        <v>事業用資産</v>
      </c>
      <c r="H2865" s="7" t="str">
        <f t="shared" si="969"/>
        <v>棚卸以外</v>
      </c>
      <c r="I2865" s="7">
        <v>6</v>
      </c>
      <c r="J2865" s="7" t="str">
        <f>"汚水処理場"</f>
        <v>汚水処理場</v>
      </c>
      <c r="K2865" s="7" t="str">
        <f t="shared" si="973"/>
        <v>鉄筋コンクリート造</v>
      </c>
      <c r="L2865" s="7" t="str">
        <f t="shared" si="992"/>
        <v>H06.10.18</v>
      </c>
      <c r="M2865" s="7">
        <v>48.36</v>
      </c>
      <c r="N2865" s="7">
        <v>143600000</v>
      </c>
      <c r="O2865" s="7">
        <v>86822010</v>
      </c>
      <c r="P2865" s="7">
        <v>0</v>
      </c>
      <c r="Q2865" s="7" t="str">
        <f t="shared" si="984"/>
        <v>都市整備部</v>
      </c>
      <c r="R2865" s="7" t="str">
        <f t="shared" si="981"/>
        <v>住宅建築局住宅経営室</v>
      </c>
    </row>
    <row r="2866" spans="1:18" s="1" customFormat="1" x14ac:dyDescent="0.45">
      <c r="A2866" s="7" t="str">
        <f t="shared" si="989"/>
        <v>09940003360</v>
      </c>
      <c r="B2866" s="7" t="str">
        <f t="shared" si="990"/>
        <v>松原岡</v>
      </c>
      <c r="C2866" s="7" t="str">
        <f t="shared" si="982"/>
        <v>行政財産</v>
      </c>
      <c r="D2866" s="7" t="str">
        <f t="shared" si="983"/>
        <v>公営住宅</v>
      </c>
      <c r="E2866" s="7" t="str">
        <f t="shared" si="991"/>
        <v>大阪府松原市岡２丁目</v>
      </c>
      <c r="F2866" s="7"/>
      <c r="G2866" s="7" t="str">
        <f t="shared" si="980"/>
        <v>事業用資産</v>
      </c>
      <c r="H2866" s="7" t="str">
        <f t="shared" si="969"/>
        <v>棚卸以外</v>
      </c>
      <c r="I2866" s="7">
        <v>7</v>
      </c>
      <c r="J2866" s="7" t="str">
        <f>"受水槽"</f>
        <v>受水槽</v>
      </c>
      <c r="K2866" s="7" t="str">
        <f t="shared" si="973"/>
        <v>鉄筋コンクリート造</v>
      </c>
      <c r="L2866" s="7" t="str">
        <f t="shared" si="992"/>
        <v>H06.10.18</v>
      </c>
      <c r="M2866" s="7">
        <v>72.239999999999995</v>
      </c>
      <c r="N2866" s="7">
        <v>31831000</v>
      </c>
      <c r="O2866" s="7">
        <v>19245358</v>
      </c>
      <c r="P2866" s="7">
        <v>0</v>
      </c>
      <c r="Q2866" s="7" t="str">
        <f t="shared" si="984"/>
        <v>都市整備部</v>
      </c>
      <c r="R2866" s="7" t="str">
        <f t="shared" si="981"/>
        <v>住宅建築局住宅経営室</v>
      </c>
    </row>
    <row r="2867" spans="1:18" s="1" customFormat="1" ht="26.4" x14ac:dyDescent="0.45">
      <c r="A2867" s="7" t="str">
        <f>"09940003361"</f>
        <v>09940003361</v>
      </c>
      <c r="B2867" s="7" t="str">
        <f>"松原立部"</f>
        <v>松原立部</v>
      </c>
      <c r="C2867" s="7" t="str">
        <f t="shared" si="982"/>
        <v>行政財産</v>
      </c>
      <c r="D2867" s="7" t="str">
        <f t="shared" si="983"/>
        <v>公営住宅</v>
      </c>
      <c r="E2867" s="7" t="str">
        <f>"大阪府松原市立部５丁目"</f>
        <v>大阪府松原市立部５丁目</v>
      </c>
      <c r="F2867" s="7"/>
      <c r="G2867" s="7" t="str">
        <f t="shared" si="980"/>
        <v>事業用資産</v>
      </c>
      <c r="H2867" s="7" t="str">
        <f t="shared" si="969"/>
        <v>棚卸以外</v>
      </c>
      <c r="I2867" s="7">
        <v>1</v>
      </c>
      <c r="J2867" s="7" t="str">
        <f>"１～６号棟"</f>
        <v>１～６号棟</v>
      </c>
      <c r="K2867" s="7" t="str">
        <f>"鉄骨鉄筋コンクリート造"</f>
        <v>鉄骨鉄筋コンクリート造</v>
      </c>
      <c r="L2867" s="7" t="str">
        <f>"S47.05.20"</f>
        <v>S47.05.20</v>
      </c>
      <c r="M2867" s="7">
        <v>32142.71</v>
      </c>
      <c r="N2867" s="7">
        <v>2679854791</v>
      </c>
      <c r="O2867" s="7">
        <v>1610666656</v>
      </c>
      <c r="P2867" s="7">
        <v>0</v>
      </c>
      <c r="Q2867" s="7" t="str">
        <f t="shared" si="984"/>
        <v>都市整備部</v>
      </c>
      <c r="R2867" s="7" t="str">
        <f t="shared" si="981"/>
        <v>住宅建築局住宅経営室</v>
      </c>
    </row>
    <row r="2868" spans="1:18" s="1" customFormat="1" x14ac:dyDescent="0.45">
      <c r="A2868" s="7" t="str">
        <f t="shared" ref="A2868:A2873" si="993">"09940003362"</f>
        <v>09940003362</v>
      </c>
      <c r="B2868" s="7" t="str">
        <f t="shared" ref="B2868:B2873" si="994">"松原一津屋"</f>
        <v>松原一津屋</v>
      </c>
      <c r="C2868" s="7" t="str">
        <f t="shared" si="982"/>
        <v>行政財産</v>
      </c>
      <c r="D2868" s="7" t="str">
        <f t="shared" si="983"/>
        <v>公営住宅</v>
      </c>
      <c r="E2868" s="7" t="str">
        <f t="shared" ref="E2868:E2873" si="995">"大阪府松原市一津屋３丁目"</f>
        <v>大阪府松原市一津屋３丁目</v>
      </c>
      <c r="F2868" s="7"/>
      <c r="G2868" s="7" t="str">
        <f t="shared" si="980"/>
        <v>事業用資産</v>
      </c>
      <c r="H2868" s="7" t="str">
        <f t="shared" si="969"/>
        <v>棚卸以外</v>
      </c>
      <c r="I2868" s="7">
        <v>1</v>
      </c>
      <c r="J2868" s="7" t="str">
        <f>"１～６棟"</f>
        <v>１～６棟</v>
      </c>
      <c r="K2868" s="7" t="str">
        <f t="shared" ref="K2868:K2876" si="996">"鉄筋コンクリート造"</f>
        <v>鉄筋コンクリート造</v>
      </c>
      <c r="L2868" s="7" t="str">
        <f>"S48.03.26"</f>
        <v>S48.03.26</v>
      </c>
      <c r="M2868" s="7">
        <v>22620.14</v>
      </c>
      <c r="N2868" s="7">
        <v>1224350360</v>
      </c>
      <c r="O2868" s="7">
        <v>777308681</v>
      </c>
      <c r="P2868" s="7">
        <v>0</v>
      </c>
      <c r="Q2868" s="7" t="str">
        <f t="shared" si="984"/>
        <v>都市整備部</v>
      </c>
      <c r="R2868" s="7" t="str">
        <f t="shared" si="981"/>
        <v>住宅建築局住宅経営室</v>
      </c>
    </row>
    <row r="2869" spans="1:18" s="1" customFormat="1" x14ac:dyDescent="0.45">
      <c r="A2869" s="7" t="str">
        <f t="shared" si="993"/>
        <v>09940003362</v>
      </c>
      <c r="B2869" s="7" t="str">
        <f t="shared" si="994"/>
        <v>松原一津屋</v>
      </c>
      <c r="C2869" s="7" t="str">
        <f t="shared" si="982"/>
        <v>行政財産</v>
      </c>
      <c r="D2869" s="7" t="str">
        <f t="shared" si="983"/>
        <v>公営住宅</v>
      </c>
      <c r="E2869" s="7" t="str">
        <f t="shared" si="995"/>
        <v>大阪府松原市一津屋３丁目</v>
      </c>
      <c r="F2869" s="7"/>
      <c r="G2869" s="7" t="str">
        <f t="shared" si="980"/>
        <v>事業用資産</v>
      </c>
      <c r="H2869" s="7" t="str">
        <f t="shared" si="969"/>
        <v>棚卸以外</v>
      </c>
      <c r="I2869" s="7">
        <v>3</v>
      </c>
      <c r="J2869" s="7" t="str">
        <f>"集会所"</f>
        <v>集会所</v>
      </c>
      <c r="K2869" s="7" t="str">
        <f t="shared" si="996"/>
        <v>鉄筋コンクリート造</v>
      </c>
      <c r="L2869" s="7" t="str">
        <f>"H27.03.16"</f>
        <v>H27.03.16</v>
      </c>
      <c r="M2869" s="7">
        <v>199.37</v>
      </c>
      <c r="N2869" s="7">
        <v>62481290</v>
      </c>
      <c r="O2869" s="7">
        <v>10635168</v>
      </c>
      <c r="P2869" s="7">
        <v>0</v>
      </c>
      <c r="Q2869" s="7" t="str">
        <f t="shared" si="984"/>
        <v>都市整備部</v>
      </c>
      <c r="R2869" s="7" t="str">
        <f t="shared" si="981"/>
        <v>住宅建築局住宅経営室</v>
      </c>
    </row>
    <row r="2870" spans="1:18" s="1" customFormat="1" x14ac:dyDescent="0.45">
      <c r="A2870" s="7" t="str">
        <f t="shared" si="993"/>
        <v>09940003362</v>
      </c>
      <c r="B2870" s="7" t="str">
        <f t="shared" si="994"/>
        <v>松原一津屋</v>
      </c>
      <c r="C2870" s="7" t="str">
        <f t="shared" si="982"/>
        <v>行政財産</v>
      </c>
      <c r="D2870" s="7" t="str">
        <f t="shared" si="983"/>
        <v>公営住宅</v>
      </c>
      <c r="E2870" s="7" t="str">
        <f t="shared" si="995"/>
        <v>大阪府松原市一津屋３丁目</v>
      </c>
      <c r="F2870" s="7"/>
      <c r="G2870" s="7" t="str">
        <f t="shared" si="980"/>
        <v>事業用資産</v>
      </c>
      <c r="H2870" s="7" t="str">
        <f t="shared" si="969"/>
        <v>棚卸以外</v>
      </c>
      <c r="I2870" s="7">
        <v>4</v>
      </c>
      <c r="J2870" s="7" t="str">
        <f>"21号棟(１期)"</f>
        <v>21号棟(１期)</v>
      </c>
      <c r="K2870" s="7" t="str">
        <f t="shared" si="996"/>
        <v>鉄筋コンクリート造</v>
      </c>
      <c r="L2870" s="7" t="str">
        <f>"H28.03.01"</f>
        <v>H28.03.01</v>
      </c>
      <c r="M2870" s="7">
        <v>9587.41</v>
      </c>
      <c r="N2870" s="7">
        <v>1922507187</v>
      </c>
      <c r="O2870" s="7">
        <v>286419400</v>
      </c>
      <c r="P2870" s="7">
        <v>0</v>
      </c>
      <c r="Q2870" s="7" t="str">
        <f t="shared" si="984"/>
        <v>都市整備部</v>
      </c>
      <c r="R2870" s="7" t="str">
        <f t="shared" si="981"/>
        <v>住宅建築局住宅経営室</v>
      </c>
    </row>
    <row r="2871" spans="1:18" s="1" customFormat="1" x14ac:dyDescent="0.45">
      <c r="A2871" s="7" t="str">
        <f t="shared" si="993"/>
        <v>09940003362</v>
      </c>
      <c r="B2871" s="7" t="str">
        <f t="shared" si="994"/>
        <v>松原一津屋</v>
      </c>
      <c r="C2871" s="7" t="str">
        <f t="shared" si="982"/>
        <v>行政財産</v>
      </c>
      <c r="D2871" s="7" t="str">
        <f t="shared" si="983"/>
        <v>公営住宅</v>
      </c>
      <c r="E2871" s="7" t="str">
        <f t="shared" si="995"/>
        <v>大阪府松原市一津屋３丁目</v>
      </c>
      <c r="F2871" s="7"/>
      <c r="G2871" s="7" t="str">
        <f t="shared" si="980"/>
        <v>事業用資産</v>
      </c>
      <c r="H2871" s="7" t="str">
        <f t="shared" si="969"/>
        <v>棚卸以外</v>
      </c>
      <c r="I2871" s="7">
        <v>5</v>
      </c>
      <c r="J2871" s="7" t="str">
        <f>"ポンプ室"</f>
        <v>ポンプ室</v>
      </c>
      <c r="K2871" s="7" t="str">
        <f t="shared" si="996"/>
        <v>鉄筋コンクリート造</v>
      </c>
      <c r="L2871" s="7" t="str">
        <f>"H28.03.01"</f>
        <v>H28.03.01</v>
      </c>
      <c r="M2871" s="7">
        <v>64</v>
      </c>
      <c r="N2871" s="7">
        <v>34649120</v>
      </c>
      <c r="O2871" s="7">
        <v>5160540</v>
      </c>
      <c r="P2871" s="7">
        <v>0</v>
      </c>
      <c r="Q2871" s="7" t="str">
        <f t="shared" si="984"/>
        <v>都市整備部</v>
      </c>
      <c r="R2871" s="7" t="str">
        <f t="shared" si="981"/>
        <v>住宅建築局住宅経営室</v>
      </c>
    </row>
    <row r="2872" spans="1:18" s="1" customFormat="1" x14ac:dyDescent="0.45">
      <c r="A2872" s="7" t="str">
        <f t="shared" si="993"/>
        <v>09940003362</v>
      </c>
      <c r="B2872" s="7" t="str">
        <f t="shared" si="994"/>
        <v>松原一津屋</v>
      </c>
      <c r="C2872" s="7" t="str">
        <f t="shared" si="982"/>
        <v>行政財産</v>
      </c>
      <c r="D2872" s="7" t="str">
        <f t="shared" si="983"/>
        <v>公営住宅</v>
      </c>
      <c r="E2872" s="7" t="str">
        <f t="shared" si="995"/>
        <v>大阪府松原市一津屋３丁目</v>
      </c>
      <c r="F2872" s="7"/>
      <c r="G2872" s="7" t="str">
        <f t="shared" si="980"/>
        <v>事業用資産</v>
      </c>
      <c r="H2872" s="7" t="str">
        <f t="shared" si="969"/>
        <v>棚卸以外</v>
      </c>
      <c r="I2872" s="7">
        <v>6</v>
      </c>
      <c r="J2872" s="7" t="str">
        <f>"電気室"</f>
        <v>電気室</v>
      </c>
      <c r="K2872" s="7" t="str">
        <f t="shared" si="996"/>
        <v>鉄筋コンクリート造</v>
      </c>
      <c r="L2872" s="7" t="str">
        <f>"H28.03.01"</f>
        <v>H28.03.01</v>
      </c>
      <c r="M2872" s="7">
        <v>76</v>
      </c>
      <c r="N2872" s="7">
        <v>12029229</v>
      </c>
      <c r="O2872" s="7">
        <v>1791636</v>
      </c>
      <c r="P2872" s="7">
        <v>0</v>
      </c>
      <c r="Q2872" s="7" t="str">
        <f t="shared" si="984"/>
        <v>都市整備部</v>
      </c>
      <c r="R2872" s="7" t="str">
        <f t="shared" si="981"/>
        <v>住宅建築局住宅経営室</v>
      </c>
    </row>
    <row r="2873" spans="1:18" s="1" customFormat="1" x14ac:dyDescent="0.45">
      <c r="A2873" s="7" t="str">
        <f t="shared" si="993"/>
        <v>09940003362</v>
      </c>
      <c r="B2873" s="7" t="str">
        <f t="shared" si="994"/>
        <v>松原一津屋</v>
      </c>
      <c r="C2873" s="7" t="str">
        <f t="shared" si="982"/>
        <v>行政財産</v>
      </c>
      <c r="D2873" s="7" t="str">
        <f t="shared" si="983"/>
        <v>公営住宅</v>
      </c>
      <c r="E2873" s="7" t="str">
        <f t="shared" si="995"/>
        <v>大阪府松原市一津屋３丁目</v>
      </c>
      <c r="F2873" s="7"/>
      <c r="G2873" s="7" t="str">
        <f t="shared" si="980"/>
        <v>事業用資産</v>
      </c>
      <c r="H2873" s="7" t="str">
        <f t="shared" si="969"/>
        <v>棚卸以外</v>
      </c>
      <c r="I2873" s="7">
        <v>8</v>
      </c>
      <c r="J2873" s="7" t="str">
        <f>"２１号棟(２期)"</f>
        <v>２１号棟(２期)</v>
      </c>
      <c r="K2873" s="7" t="str">
        <f t="shared" si="996"/>
        <v>鉄筋コンクリート造</v>
      </c>
      <c r="L2873" s="7" t="str">
        <f>"H30.12.01"</f>
        <v>H30.12.01</v>
      </c>
      <c r="M2873" s="7">
        <v>6794</v>
      </c>
      <c r="N2873" s="7">
        <v>1478366293</v>
      </c>
      <c r="O2873" s="7">
        <v>125818416</v>
      </c>
      <c r="P2873" s="7">
        <v>0</v>
      </c>
      <c r="Q2873" s="7" t="str">
        <f t="shared" si="984"/>
        <v>都市整備部</v>
      </c>
      <c r="R2873" s="7" t="str">
        <f t="shared" si="981"/>
        <v>住宅建築局住宅経営室</v>
      </c>
    </row>
    <row r="2874" spans="1:18" s="1" customFormat="1" x14ac:dyDescent="0.45">
      <c r="A2874" s="7" t="str">
        <f t="shared" ref="A2874:A2905" si="997">"09940003365"</f>
        <v>09940003365</v>
      </c>
      <c r="B2874" s="7" t="str">
        <f t="shared" ref="B2874:B2905" si="998">"大東朋来（旧住道）"</f>
        <v>大東朋来（旧住道）</v>
      </c>
      <c r="C2874" s="7" t="str">
        <f t="shared" si="982"/>
        <v>行政財産</v>
      </c>
      <c r="D2874" s="7" t="str">
        <f t="shared" si="983"/>
        <v>公営住宅</v>
      </c>
      <c r="E2874" s="7" t="str">
        <f t="shared" ref="E2874:E2905" si="999">"大阪府大東市朋来２丁目"</f>
        <v>大阪府大東市朋来２丁目</v>
      </c>
      <c r="F2874" s="7"/>
      <c r="G2874" s="7" t="str">
        <f t="shared" si="980"/>
        <v>事業用資産</v>
      </c>
      <c r="H2874" s="7" t="str">
        <f t="shared" si="969"/>
        <v>棚卸以外</v>
      </c>
      <c r="I2874" s="7">
        <v>1</v>
      </c>
      <c r="J2874" s="7" t="str">
        <f>"１号棟"</f>
        <v>１号棟</v>
      </c>
      <c r="K2874" s="7" t="str">
        <f t="shared" si="996"/>
        <v>鉄筋コンクリート造</v>
      </c>
      <c r="L2874" s="7" t="str">
        <f>"S52.04.08"</f>
        <v>S52.04.08</v>
      </c>
      <c r="M2874" s="7">
        <v>1748.4</v>
      </c>
      <c r="N2874" s="7">
        <v>150466000</v>
      </c>
      <c r="O2874" s="7">
        <v>146997984</v>
      </c>
      <c r="P2874" s="7">
        <v>0</v>
      </c>
      <c r="Q2874" s="7" t="str">
        <f t="shared" si="984"/>
        <v>都市整備部</v>
      </c>
      <c r="R2874" s="7" t="str">
        <f t="shared" si="981"/>
        <v>住宅建築局住宅経営室</v>
      </c>
    </row>
    <row r="2875" spans="1:18" s="1" customFormat="1" x14ac:dyDescent="0.45">
      <c r="A2875" s="7" t="str">
        <f t="shared" si="997"/>
        <v>09940003365</v>
      </c>
      <c r="B2875" s="7" t="str">
        <f t="shared" si="998"/>
        <v>大東朋来（旧住道）</v>
      </c>
      <c r="C2875" s="7" t="str">
        <f t="shared" si="982"/>
        <v>行政財産</v>
      </c>
      <c r="D2875" s="7" t="str">
        <f t="shared" si="983"/>
        <v>公営住宅</v>
      </c>
      <c r="E2875" s="7" t="str">
        <f t="shared" si="999"/>
        <v>大阪府大東市朋来２丁目</v>
      </c>
      <c r="F2875" s="7"/>
      <c r="G2875" s="7" t="str">
        <f t="shared" si="980"/>
        <v>事業用資産</v>
      </c>
      <c r="H2875" s="7" t="str">
        <f t="shared" si="969"/>
        <v>棚卸以外</v>
      </c>
      <c r="I2875" s="7">
        <v>2</v>
      </c>
      <c r="J2875" s="7" t="str">
        <f>"２号棟"</f>
        <v>２号棟</v>
      </c>
      <c r="K2875" s="7" t="str">
        <f t="shared" si="996"/>
        <v>鉄筋コンクリート造</v>
      </c>
      <c r="L2875" s="7" t="str">
        <f>"S52.04.08"</f>
        <v>S52.04.08</v>
      </c>
      <c r="M2875" s="7">
        <v>1607.4</v>
      </c>
      <c r="N2875" s="7">
        <v>139782000</v>
      </c>
      <c r="O2875" s="7">
        <v>136560391</v>
      </c>
      <c r="P2875" s="7">
        <v>0</v>
      </c>
      <c r="Q2875" s="7" t="str">
        <f t="shared" si="984"/>
        <v>都市整備部</v>
      </c>
      <c r="R2875" s="7" t="str">
        <f t="shared" si="981"/>
        <v>住宅建築局住宅経営室</v>
      </c>
    </row>
    <row r="2876" spans="1:18" s="1" customFormat="1" x14ac:dyDescent="0.45">
      <c r="A2876" s="7" t="str">
        <f t="shared" si="997"/>
        <v>09940003365</v>
      </c>
      <c r="B2876" s="7" t="str">
        <f t="shared" si="998"/>
        <v>大東朋来（旧住道）</v>
      </c>
      <c r="C2876" s="7" t="str">
        <f t="shared" si="982"/>
        <v>行政財産</v>
      </c>
      <c r="D2876" s="7" t="str">
        <f t="shared" si="983"/>
        <v>公営住宅</v>
      </c>
      <c r="E2876" s="7" t="str">
        <f t="shared" si="999"/>
        <v>大阪府大東市朋来２丁目</v>
      </c>
      <c r="F2876" s="7"/>
      <c r="G2876" s="7" t="str">
        <f t="shared" si="980"/>
        <v>事業用資産</v>
      </c>
      <c r="H2876" s="7" t="str">
        <f t="shared" si="969"/>
        <v>棚卸以外</v>
      </c>
      <c r="I2876" s="7">
        <v>3</v>
      </c>
      <c r="J2876" s="7" t="str">
        <f>"ポンプ室"</f>
        <v>ポンプ室</v>
      </c>
      <c r="K2876" s="7" t="str">
        <f t="shared" si="996"/>
        <v>鉄筋コンクリート造</v>
      </c>
      <c r="L2876" s="7" t="str">
        <f>"S52.04.08"</f>
        <v>S52.04.08</v>
      </c>
      <c r="M2876" s="7">
        <v>23.86</v>
      </c>
      <c r="N2876" s="7">
        <v>2147000</v>
      </c>
      <c r="O2876" s="7">
        <v>2097657</v>
      </c>
      <c r="P2876" s="7">
        <v>0</v>
      </c>
      <c r="Q2876" s="7" t="str">
        <f t="shared" si="984"/>
        <v>都市整備部</v>
      </c>
      <c r="R2876" s="7" t="str">
        <f t="shared" si="981"/>
        <v>住宅建築局住宅経営室</v>
      </c>
    </row>
    <row r="2877" spans="1:18" s="1" customFormat="1" ht="26.4" x14ac:dyDescent="0.45">
      <c r="A2877" s="7" t="str">
        <f t="shared" si="997"/>
        <v>09940003365</v>
      </c>
      <c r="B2877" s="7" t="str">
        <f t="shared" si="998"/>
        <v>大東朋来（旧住道）</v>
      </c>
      <c r="C2877" s="7" t="str">
        <f t="shared" si="982"/>
        <v>行政財産</v>
      </c>
      <c r="D2877" s="7" t="str">
        <f t="shared" si="983"/>
        <v>公営住宅</v>
      </c>
      <c r="E2877" s="7" t="str">
        <f t="shared" si="999"/>
        <v>大阪府大東市朋来２丁目</v>
      </c>
      <c r="F2877" s="7"/>
      <c r="G2877" s="7" t="str">
        <f t="shared" si="980"/>
        <v>事業用資産</v>
      </c>
      <c r="H2877" s="7" t="str">
        <f t="shared" si="969"/>
        <v>棚卸以外</v>
      </c>
      <c r="I2877" s="7">
        <v>4</v>
      </c>
      <c r="J2877" s="7" t="str">
        <f>"２５号棟"</f>
        <v>２５号棟</v>
      </c>
      <c r="K2877" s="7" t="str">
        <f>"鉄骨鉄筋コンクリート造"</f>
        <v>鉄骨鉄筋コンクリート造</v>
      </c>
      <c r="L2877" s="7" t="str">
        <f t="shared" ref="L2877:L2884" si="1000">"S52.09.27"</f>
        <v>S52.09.27</v>
      </c>
      <c r="M2877" s="7">
        <v>3061.08</v>
      </c>
      <c r="N2877" s="7">
        <v>304028000</v>
      </c>
      <c r="O2877" s="7">
        <v>294325122</v>
      </c>
      <c r="P2877" s="7">
        <v>0</v>
      </c>
      <c r="Q2877" s="7" t="str">
        <f t="shared" si="984"/>
        <v>都市整備部</v>
      </c>
      <c r="R2877" s="7" t="str">
        <f t="shared" si="981"/>
        <v>住宅建築局住宅経営室</v>
      </c>
    </row>
    <row r="2878" spans="1:18" s="1" customFormat="1" ht="26.4" x14ac:dyDescent="0.45">
      <c r="A2878" s="7" t="str">
        <f t="shared" si="997"/>
        <v>09940003365</v>
      </c>
      <c r="B2878" s="7" t="str">
        <f t="shared" si="998"/>
        <v>大東朋来（旧住道）</v>
      </c>
      <c r="C2878" s="7" t="str">
        <f t="shared" si="982"/>
        <v>行政財産</v>
      </c>
      <c r="D2878" s="7" t="str">
        <f t="shared" si="983"/>
        <v>公営住宅</v>
      </c>
      <c r="E2878" s="7" t="str">
        <f t="shared" si="999"/>
        <v>大阪府大東市朋来２丁目</v>
      </c>
      <c r="F2878" s="7"/>
      <c r="G2878" s="7" t="str">
        <f t="shared" si="980"/>
        <v>事業用資産</v>
      </c>
      <c r="H2878" s="7" t="str">
        <f t="shared" si="969"/>
        <v>棚卸以外</v>
      </c>
      <c r="I2878" s="7">
        <v>5</v>
      </c>
      <c r="J2878" s="7" t="str">
        <f>"２６号棟"</f>
        <v>２６号棟</v>
      </c>
      <c r="K2878" s="7" t="str">
        <f>"鉄骨鉄筋コンクリート造"</f>
        <v>鉄骨鉄筋コンクリート造</v>
      </c>
      <c r="L2878" s="7" t="str">
        <f t="shared" si="1000"/>
        <v>S52.09.27</v>
      </c>
      <c r="M2878" s="7">
        <v>3061.08</v>
      </c>
      <c r="N2878" s="7">
        <v>304028000</v>
      </c>
      <c r="O2878" s="7">
        <v>294325122</v>
      </c>
      <c r="P2878" s="7">
        <v>0</v>
      </c>
      <c r="Q2878" s="7" t="str">
        <f t="shared" si="984"/>
        <v>都市整備部</v>
      </c>
      <c r="R2878" s="7" t="str">
        <f t="shared" si="981"/>
        <v>住宅建築局住宅経営室</v>
      </c>
    </row>
    <row r="2879" spans="1:18" s="1" customFormat="1" ht="26.4" x14ac:dyDescent="0.45">
      <c r="A2879" s="7" t="str">
        <f t="shared" si="997"/>
        <v>09940003365</v>
      </c>
      <c r="B2879" s="7" t="str">
        <f t="shared" si="998"/>
        <v>大東朋来（旧住道）</v>
      </c>
      <c r="C2879" s="7" t="str">
        <f t="shared" si="982"/>
        <v>行政財産</v>
      </c>
      <c r="D2879" s="7" t="str">
        <f t="shared" si="983"/>
        <v>公営住宅</v>
      </c>
      <c r="E2879" s="7" t="str">
        <f t="shared" si="999"/>
        <v>大阪府大東市朋来２丁目</v>
      </c>
      <c r="F2879" s="7"/>
      <c r="G2879" s="7" t="str">
        <f t="shared" si="980"/>
        <v>事業用資産</v>
      </c>
      <c r="H2879" s="7" t="str">
        <f t="shared" si="969"/>
        <v>棚卸以外</v>
      </c>
      <c r="I2879" s="7">
        <v>6</v>
      </c>
      <c r="J2879" s="7" t="str">
        <f>"２７号棟"</f>
        <v>２７号棟</v>
      </c>
      <c r="K2879" s="7" t="str">
        <f>"鉄骨鉄筋コンクリート造"</f>
        <v>鉄骨鉄筋コンクリート造</v>
      </c>
      <c r="L2879" s="7" t="str">
        <f t="shared" si="1000"/>
        <v>S52.09.27</v>
      </c>
      <c r="M2879" s="7">
        <v>3061.08</v>
      </c>
      <c r="N2879" s="7">
        <v>320982847</v>
      </c>
      <c r="O2879" s="7">
        <v>297361384</v>
      </c>
      <c r="P2879" s="7">
        <v>0</v>
      </c>
      <c r="Q2879" s="7" t="str">
        <f t="shared" si="984"/>
        <v>都市整備部</v>
      </c>
      <c r="R2879" s="7" t="str">
        <f t="shared" si="981"/>
        <v>住宅建築局住宅経営室</v>
      </c>
    </row>
    <row r="2880" spans="1:18" s="1" customFormat="1" ht="26.4" x14ac:dyDescent="0.45">
      <c r="A2880" s="7" t="str">
        <f t="shared" si="997"/>
        <v>09940003365</v>
      </c>
      <c r="B2880" s="7" t="str">
        <f t="shared" si="998"/>
        <v>大東朋来（旧住道）</v>
      </c>
      <c r="C2880" s="7" t="str">
        <f t="shared" si="982"/>
        <v>行政財産</v>
      </c>
      <c r="D2880" s="7" t="str">
        <f t="shared" si="983"/>
        <v>公営住宅</v>
      </c>
      <c r="E2880" s="7" t="str">
        <f t="shared" si="999"/>
        <v>大阪府大東市朋来２丁目</v>
      </c>
      <c r="F2880" s="7"/>
      <c r="G2880" s="7" t="str">
        <f t="shared" si="980"/>
        <v>事業用資産</v>
      </c>
      <c r="H2880" s="7" t="str">
        <f t="shared" si="969"/>
        <v>棚卸以外</v>
      </c>
      <c r="I2880" s="7">
        <v>7</v>
      </c>
      <c r="J2880" s="7" t="str">
        <f>"２８号棟"</f>
        <v>２８号棟</v>
      </c>
      <c r="K2880" s="7" t="str">
        <f>"鉄骨鉄筋コンクリート造"</f>
        <v>鉄骨鉄筋コンクリート造</v>
      </c>
      <c r="L2880" s="7" t="str">
        <f t="shared" si="1000"/>
        <v>S52.09.27</v>
      </c>
      <c r="M2880" s="7">
        <v>2852.37</v>
      </c>
      <c r="N2880" s="7">
        <v>314745125</v>
      </c>
      <c r="O2880" s="7">
        <v>291150065</v>
      </c>
      <c r="P2880" s="7">
        <v>0</v>
      </c>
      <c r="Q2880" s="7" t="str">
        <f t="shared" si="984"/>
        <v>都市整備部</v>
      </c>
      <c r="R2880" s="7" t="str">
        <f t="shared" si="981"/>
        <v>住宅建築局住宅経営室</v>
      </c>
    </row>
    <row r="2881" spans="1:18" s="1" customFormat="1" ht="26.4" x14ac:dyDescent="0.45">
      <c r="A2881" s="7" t="str">
        <f t="shared" si="997"/>
        <v>09940003365</v>
      </c>
      <c r="B2881" s="7" t="str">
        <f t="shared" si="998"/>
        <v>大東朋来（旧住道）</v>
      </c>
      <c r="C2881" s="7" t="str">
        <f t="shared" si="982"/>
        <v>行政財産</v>
      </c>
      <c r="D2881" s="7" t="str">
        <f t="shared" si="983"/>
        <v>公営住宅</v>
      </c>
      <c r="E2881" s="7" t="str">
        <f t="shared" si="999"/>
        <v>大阪府大東市朋来２丁目</v>
      </c>
      <c r="F2881" s="7"/>
      <c r="G2881" s="7" t="str">
        <f t="shared" si="980"/>
        <v>事業用資産</v>
      </c>
      <c r="H2881" s="7" t="str">
        <f t="shared" si="969"/>
        <v>棚卸以外</v>
      </c>
      <c r="I2881" s="7">
        <v>8</v>
      </c>
      <c r="J2881" s="7" t="str">
        <f>"２９号棟"</f>
        <v>２９号棟</v>
      </c>
      <c r="K2881" s="7" t="str">
        <f>"鉄骨鉄筋コンクリート造"</f>
        <v>鉄骨鉄筋コンクリート造</v>
      </c>
      <c r="L2881" s="7" t="str">
        <f t="shared" si="1000"/>
        <v>S52.09.27</v>
      </c>
      <c r="M2881" s="7">
        <v>2782.8</v>
      </c>
      <c r="N2881" s="7">
        <v>265148000</v>
      </c>
      <c r="O2881" s="7">
        <v>256686066</v>
      </c>
      <c r="P2881" s="7">
        <v>0</v>
      </c>
      <c r="Q2881" s="7" t="str">
        <f t="shared" si="984"/>
        <v>都市整備部</v>
      </c>
      <c r="R2881" s="7" t="str">
        <f t="shared" si="981"/>
        <v>住宅建築局住宅経営室</v>
      </c>
    </row>
    <row r="2882" spans="1:18" s="1" customFormat="1" x14ac:dyDescent="0.45">
      <c r="A2882" s="7" t="str">
        <f t="shared" si="997"/>
        <v>09940003365</v>
      </c>
      <c r="B2882" s="7" t="str">
        <f t="shared" si="998"/>
        <v>大東朋来（旧住道）</v>
      </c>
      <c r="C2882" s="7" t="str">
        <f t="shared" si="982"/>
        <v>行政財産</v>
      </c>
      <c r="D2882" s="7" t="str">
        <f t="shared" si="983"/>
        <v>公営住宅</v>
      </c>
      <c r="E2882" s="7" t="str">
        <f t="shared" si="999"/>
        <v>大阪府大東市朋来２丁目</v>
      </c>
      <c r="F2882" s="7"/>
      <c r="G2882" s="7" t="str">
        <f t="shared" si="980"/>
        <v>事業用資産</v>
      </c>
      <c r="H2882" s="7" t="str">
        <f t="shared" si="969"/>
        <v>棚卸以外</v>
      </c>
      <c r="I2882" s="7">
        <v>9</v>
      </c>
      <c r="J2882" s="7" t="str">
        <f>"電気室"</f>
        <v>電気室</v>
      </c>
      <c r="K2882" s="7" t="str">
        <f t="shared" ref="K2882:K2913" si="1001">"鉄筋コンクリート造"</f>
        <v>鉄筋コンクリート造</v>
      </c>
      <c r="L2882" s="7" t="str">
        <f t="shared" si="1000"/>
        <v>S52.09.27</v>
      </c>
      <c r="M2882" s="7">
        <v>135</v>
      </c>
      <c r="N2882" s="7">
        <v>10995000</v>
      </c>
      <c r="O2882" s="7">
        <v>10644270</v>
      </c>
      <c r="P2882" s="7">
        <v>0</v>
      </c>
      <c r="Q2882" s="7" t="str">
        <f t="shared" si="984"/>
        <v>都市整備部</v>
      </c>
      <c r="R2882" s="7" t="str">
        <f t="shared" si="981"/>
        <v>住宅建築局住宅経営室</v>
      </c>
    </row>
    <row r="2883" spans="1:18" s="1" customFormat="1" x14ac:dyDescent="0.45">
      <c r="A2883" s="7" t="str">
        <f t="shared" si="997"/>
        <v>09940003365</v>
      </c>
      <c r="B2883" s="7" t="str">
        <f t="shared" si="998"/>
        <v>大東朋来（旧住道）</v>
      </c>
      <c r="C2883" s="7" t="str">
        <f t="shared" si="982"/>
        <v>行政財産</v>
      </c>
      <c r="D2883" s="7" t="str">
        <f t="shared" si="983"/>
        <v>公営住宅</v>
      </c>
      <c r="E2883" s="7" t="str">
        <f t="shared" si="999"/>
        <v>大阪府大東市朋来２丁目</v>
      </c>
      <c r="F2883" s="7"/>
      <c r="G2883" s="7" t="str">
        <f t="shared" si="980"/>
        <v>事業用資産</v>
      </c>
      <c r="H2883" s="7" t="str">
        <f t="shared" si="969"/>
        <v>棚卸以外</v>
      </c>
      <c r="I2883" s="7">
        <v>10</v>
      </c>
      <c r="J2883" s="7" t="str">
        <f>"集会所"</f>
        <v>集会所</v>
      </c>
      <c r="K2883" s="7" t="str">
        <f t="shared" si="1001"/>
        <v>鉄筋コンクリート造</v>
      </c>
      <c r="L2883" s="7" t="str">
        <f t="shared" si="1000"/>
        <v>S52.09.27</v>
      </c>
      <c r="M2883" s="7">
        <v>130</v>
      </c>
      <c r="N2883" s="7">
        <v>19057814</v>
      </c>
      <c r="O2883" s="7">
        <v>12517344</v>
      </c>
      <c r="P2883" s="7">
        <v>0</v>
      </c>
      <c r="Q2883" s="7" t="str">
        <f t="shared" si="984"/>
        <v>都市整備部</v>
      </c>
      <c r="R2883" s="7" t="str">
        <f t="shared" si="981"/>
        <v>住宅建築局住宅経営室</v>
      </c>
    </row>
    <row r="2884" spans="1:18" s="1" customFormat="1" x14ac:dyDescent="0.45">
      <c r="A2884" s="7" t="str">
        <f t="shared" si="997"/>
        <v>09940003365</v>
      </c>
      <c r="B2884" s="7" t="str">
        <f t="shared" si="998"/>
        <v>大東朋来（旧住道）</v>
      </c>
      <c r="C2884" s="7" t="str">
        <f t="shared" si="982"/>
        <v>行政財産</v>
      </c>
      <c r="D2884" s="7" t="str">
        <f t="shared" si="983"/>
        <v>公営住宅</v>
      </c>
      <c r="E2884" s="7" t="str">
        <f t="shared" si="999"/>
        <v>大阪府大東市朋来２丁目</v>
      </c>
      <c r="F2884" s="7"/>
      <c r="G2884" s="7" t="str">
        <f t="shared" si="980"/>
        <v>事業用資産</v>
      </c>
      <c r="H2884" s="7" t="str">
        <f t="shared" ref="H2884:H2947" si="1002">"棚卸以外"</f>
        <v>棚卸以外</v>
      </c>
      <c r="I2884" s="7">
        <v>11</v>
      </c>
      <c r="J2884" s="7" t="str">
        <f>"ポンプ室・処理場"</f>
        <v>ポンプ室・処理場</v>
      </c>
      <c r="K2884" s="7" t="str">
        <f t="shared" si="1001"/>
        <v>鉄筋コンクリート造</v>
      </c>
      <c r="L2884" s="7" t="str">
        <f t="shared" si="1000"/>
        <v>S52.09.27</v>
      </c>
      <c r="M2884" s="7">
        <v>185.2</v>
      </c>
      <c r="N2884" s="7">
        <v>204411000</v>
      </c>
      <c r="O2884" s="7">
        <v>197887326</v>
      </c>
      <c r="P2884" s="7">
        <v>0</v>
      </c>
      <c r="Q2884" s="7" t="str">
        <f t="shared" si="984"/>
        <v>都市整備部</v>
      </c>
      <c r="R2884" s="7" t="str">
        <f t="shared" si="981"/>
        <v>住宅建築局住宅経営室</v>
      </c>
    </row>
    <row r="2885" spans="1:18" s="1" customFormat="1" x14ac:dyDescent="0.45">
      <c r="A2885" s="7" t="str">
        <f t="shared" si="997"/>
        <v>09940003365</v>
      </c>
      <c r="B2885" s="7" t="str">
        <f t="shared" si="998"/>
        <v>大東朋来（旧住道）</v>
      </c>
      <c r="C2885" s="7" t="str">
        <f t="shared" si="982"/>
        <v>行政財産</v>
      </c>
      <c r="D2885" s="7" t="str">
        <f t="shared" si="983"/>
        <v>公営住宅</v>
      </c>
      <c r="E2885" s="7" t="str">
        <f t="shared" si="999"/>
        <v>大阪府大東市朋来２丁目</v>
      </c>
      <c r="F2885" s="7"/>
      <c r="G2885" s="7" t="str">
        <f t="shared" si="980"/>
        <v>事業用資産</v>
      </c>
      <c r="H2885" s="7" t="str">
        <f t="shared" si="1002"/>
        <v>棚卸以外</v>
      </c>
      <c r="I2885" s="7">
        <v>12</v>
      </c>
      <c r="J2885" s="7" t="str">
        <f>"２３号棟"</f>
        <v>２３号棟</v>
      </c>
      <c r="K2885" s="7" t="str">
        <f t="shared" si="1001"/>
        <v>鉄筋コンクリート造</v>
      </c>
      <c r="L2885" s="7" t="str">
        <f t="shared" ref="L2885:L2891" si="1003">"S54.09.01"</f>
        <v>S54.09.01</v>
      </c>
      <c r="M2885" s="7">
        <v>2776.7</v>
      </c>
      <c r="N2885" s="7">
        <v>300181435</v>
      </c>
      <c r="O2885" s="7">
        <v>264712402</v>
      </c>
      <c r="P2885" s="7">
        <v>0</v>
      </c>
      <c r="Q2885" s="7" t="str">
        <f t="shared" si="984"/>
        <v>都市整備部</v>
      </c>
      <c r="R2885" s="7" t="str">
        <f t="shared" si="981"/>
        <v>住宅建築局住宅経営室</v>
      </c>
    </row>
    <row r="2886" spans="1:18" s="1" customFormat="1" x14ac:dyDescent="0.45">
      <c r="A2886" s="7" t="str">
        <f t="shared" si="997"/>
        <v>09940003365</v>
      </c>
      <c r="B2886" s="7" t="str">
        <f t="shared" si="998"/>
        <v>大東朋来（旧住道）</v>
      </c>
      <c r="C2886" s="7" t="str">
        <f t="shared" si="982"/>
        <v>行政財産</v>
      </c>
      <c r="D2886" s="7" t="str">
        <f t="shared" si="983"/>
        <v>公営住宅</v>
      </c>
      <c r="E2886" s="7" t="str">
        <f t="shared" si="999"/>
        <v>大阪府大東市朋来２丁目</v>
      </c>
      <c r="F2886" s="7"/>
      <c r="G2886" s="7" t="str">
        <f t="shared" si="980"/>
        <v>事業用資産</v>
      </c>
      <c r="H2886" s="7" t="str">
        <f t="shared" si="1002"/>
        <v>棚卸以外</v>
      </c>
      <c r="I2886" s="7">
        <v>13</v>
      </c>
      <c r="J2886" s="7" t="str">
        <f>"２４号棟"</f>
        <v>２４号棟</v>
      </c>
      <c r="K2886" s="7" t="str">
        <f t="shared" si="1001"/>
        <v>鉄筋コンクリート造</v>
      </c>
      <c r="L2886" s="7" t="str">
        <f t="shared" si="1003"/>
        <v>S54.09.01</v>
      </c>
      <c r="M2886" s="7">
        <v>2776.69</v>
      </c>
      <c r="N2886" s="7">
        <v>299852524</v>
      </c>
      <c r="O2886" s="7">
        <v>264652576</v>
      </c>
      <c r="P2886" s="7">
        <v>0</v>
      </c>
      <c r="Q2886" s="7" t="str">
        <f t="shared" si="984"/>
        <v>都市整備部</v>
      </c>
      <c r="R2886" s="7" t="str">
        <f t="shared" si="981"/>
        <v>住宅建築局住宅経営室</v>
      </c>
    </row>
    <row r="2887" spans="1:18" s="1" customFormat="1" x14ac:dyDescent="0.45">
      <c r="A2887" s="7" t="str">
        <f t="shared" si="997"/>
        <v>09940003365</v>
      </c>
      <c r="B2887" s="7" t="str">
        <f t="shared" si="998"/>
        <v>大東朋来（旧住道）</v>
      </c>
      <c r="C2887" s="7" t="str">
        <f t="shared" si="982"/>
        <v>行政財産</v>
      </c>
      <c r="D2887" s="7" t="str">
        <f t="shared" si="983"/>
        <v>公営住宅</v>
      </c>
      <c r="E2887" s="7" t="str">
        <f t="shared" si="999"/>
        <v>大阪府大東市朋来２丁目</v>
      </c>
      <c r="F2887" s="7"/>
      <c r="G2887" s="7" t="str">
        <f t="shared" si="980"/>
        <v>事業用資産</v>
      </c>
      <c r="H2887" s="7" t="str">
        <f t="shared" si="1002"/>
        <v>棚卸以外</v>
      </c>
      <c r="I2887" s="7">
        <v>14</v>
      </c>
      <c r="J2887" s="7" t="str">
        <f>"１８号棟"</f>
        <v>１８号棟</v>
      </c>
      <c r="K2887" s="7" t="str">
        <f t="shared" si="1001"/>
        <v>鉄筋コンクリート造</v>
      </c>
      <c r="L2887" s="7" t="str">
        <f t="shared" si="1003"/>
        <v>S54.09.01</v>
      </c>
      <c r="M2887" s="7">
        <v>2199.27</v>
      </c>
      <c r="N2887" s="7">
        <v>285395140</v>
      </c>
      <c r="O2887" s="7">
        <v>205873615</v>
      </c>
      <c r="P2887" s="7">
        <v>0</v>
      </c>
      <c r="Q2887" s="7" t="str">
        <f t="shared" si="984"/>
        <v>都市整備部</v>
      </c>
      <c r="R2887" s="7" t="str">
        <f t="shared" si="981"/>
        <v>住宅建築局住宅経営室</v>
      </c>
    </row>
    <row r="2888" spans="1:18" s="1" customFormat="1" x14ac:dyDescent="0.45">
      <c r="A2888" s="7" t="str">
        <f t="shared" si="997"/>
        <v>09940003365</v>
      </c>
      <c r="B2888" s="7" t="str">
        <f t="shared" si="998"/>
        <v>大東朋来（旧住道）</v>
      </c>
      <c r="C2888" s="7" t="str">
        <f t="shared" si="982"/>
        <v>行政財産</v>
      </c>
      <c r="D2888" s="7" t="str">
        <f t="shared" si="983"/>
        <v>公営住宅</v>
      </c>
      <c r="E2888" s="7" t="str">
        <f t="shared" si="999"/>
        <v>大阪府大東市朋来２丁目</v>
      </c>
      <c r="F2888" s="7"/>
      <c r="G2888" s="7" t="str">
        <f t="shared" si="980"/>
        <v>事業用資産</v>
      </c>
      <c r="H2888" s="7" t="str">
        <f t="shared" si="1002"/>
        <v>棚卸以外</v>
      </c>
      <c r="I2888" s="7">
        <v>15</v>
      </c>
      <c r="J2888" s="7" t="str">
        <f>"１９号棟"</f>
        <v>１９号棟</v>
      </c>
      <c r="K2888" s="7" t="str">
        <f t="shared" si="1001"/>
        <v>鉄筋コンクリート造</v>
      </c>
      <c r="L2888" s="7" t="str">
        <f t="shared" si="1003"/>
        <v>S54.09.01</v>
      </c>
      <c r="M2888" s="7">
        <v>2199.27</v>
      </c>
      <c r="N2888" s="7">
        <v>284685646</v>
      </c>
      <c r="O2888" s="7">
        <v>205746557</v>
      </c>
      <c r="P2888" s="7">
        <v>0</v>
      </c>
      <c r="Q2888" s="7" t="str">
        <f t="shared" si="984"/>
        <v>都市整備部</v>
      </c>
      <c r="R2888" s="7" t="str">
        <f t="shared" si="981"/>
        <v>住宅建築局住宅経営室</v>
      </c>
    </row>
    <row r="2889" spans="1:18" s="1" customFormat="1" x14ac:dyDescent="0.45">
      <c r="A2889" s="7" t="str">
        <f t="shared" si="997"/>
        <v>09940003365</v>
      </c>
      <c r="B2889" s="7" t="str">
        <f t="shared" si="998"/>
        <v>大東朋来（旧住道）</v>
      </c>
      <c r="C2889" s="7" t="str">
        <f t="shared" si="982"/>
        <v>行政財産</v>
      </c>
      <c r="D2889" s="7" t="str">
        <f t="shared" si="983"/>
        <v>公営住宅</v>
      </c>
      <c r="E2889" s="7" t="str">
        <f t="shared" si="999"/>
        <v>大阪府大東市朋来２丁目</v>
      </c>
      <c r="F2889" s="7"/>
      <c r="G2889" s="7" t="str">
        <f t="shared" si="980"/>
        <v>事業用資産</v>
      </c>
      <c r="H2889" s="7" t="str">
        <f t="shared" si="1002"/>
        <v>棚卸以外</v>
      </c>
      <c r="I2889" s="7">
        <v>16</v>
      </c>
      <c r="J2889" s="7" t="str">
        <f>"２１号棟"</f>
        <v>２１号棟</v>
      </c>
      <c r="K2889" s="7" t="str">
        <f t="shared" si="1001"/>
        <v>鉄筋コンクリート造</v>
      </c>
      <c r="L2889" s="7" t="str">
        <f t="shared" si="1003"/>
        <v>S54.09.01</v>
      </c>
      <c r="M2889" s="7">
        <v>2199.2600000000002</v>
      </c>
      <c r="N2889" s="7">
        <v>284768244</v>
      </c>
      <c r="O2889" s="7">
        <v>205761303</v>
      </c>
      <c r="P2889" s="7">
        <v>0</v>
      </c>
      <c r="Q2889" s="7" t="str">
        <f t="shared" si="984"/>
        <v>都市整備部</v>
      </c>
      <c r="R2889" s="7" t="str">
        <f t="shared" si="981"/>
        <v>住宅建築局住宅経営室</v>
      </c>
    </row>
    <row r="2890" spans="1:18" s="1" customFormat="1" x14ac:dyDescent="0.45">
      <c r="A2890" s="7" t="str">
        <f t="shared" si="997"/>
        <v>09940003365</v>
      </c>
      <c r="B2890" s="7" t="str">
        <f t="shared" si="998"/>
        <v>大東朋来（旧住道）</v>
      </c>
      <c r="C2890" s="7" t="str">
        <f t="shared" si="982"/>
        <v>行政財産</v>
      </c>
      <c r="D2890" s="7" t="str">
        <f t="shared" si="983"/>
        <v>公営住宅</v>
      </c>
      <c r="E2890" s="7" t="str">
        <f t="shared" si="999"/>
        <v>大阪府大東市朋来２丁目</v>
      </c>
      <c r="F2890" s="7"/>
      <c r="G2890" s="7" t="str">
        <f t="shared" si="980"/>
        <v>事業用資産</v>
      </c>
      <c r="H2890" s="7" t="str">
        <f t="shared" si="1002"/>
        <v>棚卸以外</v>
      </c>
      <c r="I2890" s="7">
        <v>17</v>
      </c>
      <c r="J2890" s="7" t="str">
        <f>"２２号棟"</f>
        <v>２２号棟</v>
      </c>
      <c r="K2890" s="7" t="str">
        <f t="shared" si="1001"/>
        <v>鉄筋コンクリート造</v>
      </c>
      <c r="L2890" s="7" t="str">
        <f t="shared" si="1003"/>
        <v>S54.09.01</v>
      </c>
      <c r="M2890" s="7">
        <v>2199.2600000000002</v>
      </c>
      <c r="N2890" s="7">
        <v>282616469</v>
      </c>
      <c r="O2890" s="7">
        <v>205375988</v>
      </c>
      <c r="P2890" s="7">
        <v>0</v>
      </c>
      <c r="Q2890" s="7" t="str">
        <f t="shared" si="984"/>
        <v>都市整備部</v>
      </c>
      <c r="R2890" s="7" t="str">
        <f t="shared" si="981"/>
        <v>住宅建築局住宅経営室</v>
      </c>
    </row>
    <row r="2891" spans="1:18" s="1" customFormat="1" x14ac:dyDescent="0.45">
      <c r="A2891" s="7" t="str">
        <f t="shared" si="997"/>
        <v>09940003365</v>
      </c>
      <c r="B2891" s="7" t="str">
        <f t="shared" si="998"/>
        <v>大東朋来（旧住道）</v>
      </c>
      <c r="C2891" s="7" t="str">
        <f t="shared" si="982"/>
        <v>行政財産</v>
      </c>
      <c r="D2891" s="7" t="str">
        <f t="shared" si="983"/>
        <v>公営住宅</v>
      </c>
      <c r="E2891" s="7" t="str">
        <f t="shared" si="999"/>
        <v>大阪府大東市朋来２丁目</v>
      </c>
      <c r="F2891" s="7"/>
      <c r="G2891" s="7" t="str">
        <f t="shared" si="980"/>
        <v>事業用資産</v>
      </c>
      <c r="H2891" s="7" t="str">
        <f t="shared" si="1002"/>
        <v>棚卸以外</v>
      </c>
      <c r="I2891" s="7">
        <v>18</v>
      </c>
      <c r="J2891" s="7" t="str">
        <f>"２０号棟"</f>
        <v>２０号棟</v>
      </c>
      <c r="K2891" s="7" t="str">
        <f t="shared" si="1001"/>
        <v>鉄筋コンクリート造</v>
      </c>
      <c r="L2891" s="7" t="str">
        <f t="shared" si="1003"/>
        <v>S54.09.01</v>
      </c>
      <c r="M2891" s="7">
        <v>2069.9899999999998</v>
      </c>
      <c r="N2891" s="7">
        <v>282442564</v>
      </c>
      <c r="O2891" s="7">
        <v>199983866</v>
      </c>
      <c r="P2891" s="7">
        <v>0</v>
      </c>
      <c r="Q2891" s="7" t="str">
        <f t="shared" si="984"/>
        <v>都市整備部</v>
      </c>
      <c r="R2891" s="7" t="str">
        <f t="shared" si="981"/>
        <v>住宅建築局住宅経営室</v>
      </c>
    </row>
    <row r="2892" spans="1:18" s="1" customFormat="1" x14ac:dyDescent="0.45">
      <c r="A2892" s="7" t="str">
        <f t="shared" si="997"/>
        <v>09940003365</v>
      </c>
      <c r="B2892" s="7" t="str">
        <f t="shared" si="998"/>
        <v>大東朋来（旧住道）</v>
      </c>
      <c r="C2892" s="7" t="str">
        <f t="shared" si="982"/>
        <v>行政財産</v>
      </c>
      <c r="D2892" s="7" t="str">
        <f t="shared" si="983"/>
        <v>公営住宅</v>
      </c>
      <c r="E2892" s="7" t="str">
        <f t="shared" si="999"/>
        <v>大阪府大東市朋来２丁目</v>
      </c>
      <c r="F2892" s="7"/>
      <c r="G2892" s="7" t="str">
        <f t="shared" si="980"/>
        <v>事業用資産</v>
      </c>
      <c r="H2892" s="7" t="str">
        <f t="shared" si="1002"/>
        <v>棚卸以外</v>
      </c>
      <c r="I2892" s="7">
        <v>19</v>
      </c>
      <c r="J2892" s="7" t="str">
        <f>"１７号棟（一部）"</f>
        <v>１７号棟（一部）</v>
      </c>
      <c r="K2892" s="7" t="str">
        <f t="shared" si="1001"/>
        <v>鉄筋コンクリート造</v>
      </c>
      <c r="L2892" s="7" t="str">
        <f>"S56.03.10"</f>
        <v>S56.03.10</v>
      </c>
      <c r="M2892" s="7">
        <v>1166.83</v>
      </c>
      <c r="N2892" s="7">
        <v>105987000</v>
      </c>
      <c r="O2892" s="7">
        <v>94712184</v>
      </c>
      <c r="P2892" s="7">
        <v>0</v>
      </c>
      <c r="Q2892" s="7" t="str">
        <f t="shared" si="984"/>
        <v>都市整備部</v>
      </c>
      <c r="R2892" s="7" t="str">
        <f t="shared" si="981"/>
        <v>住宅建築局住宅経営室</v>
      </c>
    </row>
    <row r="2893" spans="1:18" s="1" customFormat="1" x14ac:dyDescent="0.45">
      <c r="A2893" s="7" t="str">
        <f t="shared" si="997"/>
        <v>09940003365</v>
      </c>
      <c r="B2893" s="7" t="str">
        <f t="shared" si="998"/>
        <v>大東朋来（旧住道）</v>
      </c>
      <c r="C2893" s="7" t="str">
        <f t="shared" si="982"/>
        <v>行政財産</v>
      </c>
      <c r="D2893" s="7" t="str">
        <f t="shared" si="983"/>
        <v>公営住宅</v>
      </c>
      <c r="E2893" s="7" t="str">
        <f t="shared" si="999"/>
        <v>大阪府大東市朋来２丁目</v>
      </c>
      <c r="F2893" s="7"/>
      <c r="G2893" s="7" t="str">
        <f t="shared" si="980"/>
        <v>事業用資産</v>
      </c>
      <c r="H2893" s="7" t="str">
        <f t="shared" si="1002"/>
        <v>棚卸以外</v>
      </c>
      <c r="I2893" s="7">
        <v>20</v>
      </c>
      <c r="J2893" s="7" t="str">
        <f>"１６号棟"</f>
        <v>１６号棟</v>
      </c>
      <c r="K2893" s="7" t="str">
        <f t="shared" si="1001"/>
        <v>鉄筋コンクリート造</v>
      </c>
      <c r="L2893" s="7" t="str">
        <f>"S56.03.10"</f>
        <v>S56.03.10</v>
      </c>
      <c r="M2893" s="7">
        <v>2332.54</v>
      </c>
      <c r="N2893" s="7">
        <v>153607000</v>
      </c>
      <c r="O2893" s="7">
        <v>137265912</v>
      </c>
      <c r="P2893" s="7">
        <v>0</v>
      </c>
      <c r="Q2893" s="7" t="str">
        <f t="shared" si="984"/>
        <v>都市整備部</v>
      </c>
      <c r="R2893" s="7" t="str">
        <f t="shared" si="981"/>
        <v>住宅建築局住宅経営室</v>
      </c>
    </row>
    <row r="2894" spans="1:18" s="1" customFormat="1" x14ac:dyDescent="0.45">
      <c r="A2894" s="7" t="str">
        <f t="shared" si="997"/>
        <v>09940003365</v>
      </c>
      <c r="B2894" s="7" t="str">
        <f t="shared" si="998"/>
        <v>大東朋来（旧住道）</v>
      </c>
      <c r="C2894" s="7" t="str">
        <f t="shared" si="982"/>
        <v>行政財産</v>
      </c>
      <c r="D2894" s="7" t="str">
        <f t="shared" si="983"/>
        <v>公営住宅</v>
      </c>
      <c r="E2894" s="7" t="str">
        <f t="shared" si="999"/>
        <v>大阪府大東市朋来２丁目</v>
      </c>
      <c r="F2894" s="7"/>
      <c r="G2894" s="7" t="str">
        <f t="shared" si="980"/>
        <v>事業用資産</v>
      </c>
      <c r="H2894" s="7" t="str">
        <f t="shared" si="1002"/>
        <v>棚卸以外</v>
      </c>
      <c r="I2894" s="7">
        <v>21</v>
      </c>
      <c r="J2894" s="7" t="str">
        <f>"１２号棟"</f>
        <v>１２号棟</v>
      </c>
      <c r="K2894" s="7" t="str">
        <f t="shared" si="1001"/>
        <v>鉄筋コンクリート造</v>
      </c>
      <c r="L2894" s="7" t="str">
        <f>"S56.03.10"</f>
        <v>S56.03.10</v>
      </c>
      <c r="M2894" s="7">
        <v>1608.3</v>
      </c>
      <c r="N2894" s="7">
        <v>211273000</v>
      </c>
      <c r="O2894" s="7">
        <v>188797392</v>
      </c>
      <c r="P2894" s="7">
        <v>0</v>
      </c>
      <c r="Q2894" s="7" t="str">
        <f t="shared" si="984"/>
        <v>都市整備部</v>
      </c>
      <c r="R2894" s="7" t="str">
        <f t="shared" si="981"/>
        <v>住宅建築局住宅経営室</v>
      </c>
    </row>
    <row r="2895" spans="1:18" s="1" customFormat="1" x14ac:dyDescent="0.45">
      <c r="A2895" s="7" t="str">
        <f t="shared" si="997"/>
        <v>09940003365</v>
      </c>
      <c r="B2895" s="7" t="str">
        <f t="shared" si="998"/>
        <v>大東朋来（旧住道）</v>
      </c>
      <c r="C2895" s="7" t="str">
        <f t="shared" si="982"/>
        <v>行政財産</v>
      </c>
      <c r="D2895" s="7" t="str">
        <f t="shared" si="983"/>
        <v>公営住宅</v>
      </c>
      <c r="E2895" s="7" t="str">
        <f t="shared" si="999"/>
        <v>大阪府大東市朋来２丁目</v>
      </c>
      <c r="F2895" s="7"/>
      <c r="G2895" s="7" t="str">
        <f t="shared" si="980"/>
        <v>事業用資産</v>
      </c>
      <c r="H2895" s="7" t="str">
        <f t="shared" si="1002"/>
        <v>棚卸以外</v>
      </c>
      <c r="I2895" s="7">
        <v>22</v>
      </c>
      <c r="J2895" s="7" t="str">
        <f>"１０号棟"</f>
        <v>１０号棟</v>
      </c>
      <c r="K2895" s="7" t="str">
        <f t="shared" si="1001"/>
        <v>鉄筋コンクリート造</v>
      </c>
      <c r="L2895" s="7" t="str">
        <f>"S55.05.26"</f>
        <v>S55.05.26</v>
      </c>
      <c r="M2895" s="7">
        <v>2385.46</v>
      </c>
      <c r="N2895" s="7">
        <v>253223660</v>
      </c>
      <c r="O2895" s="7">
        <v>216967818</v>
      </c>
      <c r="P2895" s="7">
        <v>0</v>
      </c>
      <c r="Q2895" s="7" t="str">
        <f t="shared" si="984"/>
        <v>都市整備部</v>
      </c>
      <c r="R2895" s="7" t="str">
        <f t="shared" si="981"/>
        <v>住宅建築局住宅経営室</v>
      </c>
    </row>
    <row r="2896" spans="1:18" s="1" customFormat="1" x14ac:dyDescent="0.45">
      <c r="A2896" s="7" t="str">
        <f t="shared" si="997"/>
        <v>09940003365</v>
      </c>
      <c r="B2896" s="7" t="str">
        <f t="shared" si="998"/>
        <v>大東朋来（旧住道）</v>
      </c>
      <c r="C2896" s="7" t="str">
        <f t="shared" si="982"/>
        <v>行政財産</v>
      </c>
      <c r="D2896" s="7" t="str">
        <f t="shared" si="983"/>
        <v>公営住宅</v>
      </c>
      <c r="E2896" s="7" t="str">
        <f t="shared" si="999"/>
        <v>大阪府大東市朋来２丁目</v>
      </c>
      <c r="F2896" s="7"/>
      <c r="G2896" s="7" t="str">
        <f t="shared" si="980"/>
        <v>事業用資産</v>
      </c>
      <c r="H2896" s="7" t="str">
        <f t="shared" si="1002"/>
        <v>棚卸以外</v>
      </c>
      <c r="I2896" s="7">
        <v>23</v>
      </c>
      <c r="J2896" s="7" t="str">
        <f>"１１号棟"</f>
        <v>１１号棟</v>
      </c>
      <c r="K2896" s="7" t="str">
        <f t="shared" si="1001"/>
        <v>鉄筋コンクリート造</v>
      </c>
      <c r="L2896" s="7" t="str">
        <f>"S55.05.26"</f>
        <v>S55.05.26</v>
      </c>
      <c r="M2896" s="7">
        <v>2367.8200000000002</v>
      </c>
      <c r="N2896" s="7">
        <v>225467106</v>
      </c>
      <c r="O2896" s="7">
        <v>196273927</v>
      </c>
      <c r="P2896" s="7">
        <v>0</v>
      </c>
      <c r="Q2896" s="7" t="str">
        <f t="shared" si="984"/>
        <v>都市整備部</v>
      </c>
      <c r="R2896" s="7" t="str">
        <f t="shared" si="981"/>
        <v>住宅建築局住宅経営室</v>
      </c>
    </row>
    <row r="2897" spans="1:18" s="1" customFormat="1" x14ac:dyDescent="0.45">
      <c r="A2897" s="7" t="str">
        <f t="shared" si="997"/>
        <v>09940003365</v>
      </c>
      <c r="B2897" s="7" t="str">
        <f t="shared" si="998"/>
        <v>大東朋来（旧住道）</v>
      </c>
      <c r="C2897" s="7" t="str">
        <f t="shared" si="982"/>
        <v>行政財産</v>
      </c>
      <c r="D2897" s="7" t="str">
        <f t="shared" si="983"/>
        <v>公営住宅</v>
      </c>
      <c r="E2897" s="7" t="str">
        <f t="shared" si="999"/>
        <v>大阪府大東市朋来２丁目</v>
      </c>
      <c r="F2897" s="7"/>
      <c r="G2897" s="7" t="str">
        <f t="shared" si="980"/>
        <v>事業用資産</v>
      </c>
      <c r="H2897" s="7" t="str">
        <f t="shared" si="1002"/>
        <v>棚卸以外</v>
      </c>
      <c r="I2897" s="7">
        <v>24</v>
      </c>
      <c r="J2897" s="7" t="str">
        <f>"１７号棟（一部）"</f>
        <v>１７号棟（一部）</v>
      </c>
      <c r="K2897" s="7" t="str">
        <f t="shared" si="1001"/>
        <v>鉄筋コンクリート造</v>
      </c>
      <c r="L2897" s="7" t="str">
        <f>"S55.12.05"</f>
        <v>S55.12.05</v>
      </c>
      <c r="M2897" s="7">
        <v>1115.3800000000001</v>
      </c>
      <c r="N2897" s="7">
        <v>126594000</v>
      </c>
      <c r="O2897" s="7">
        <v>113800206</v>
      </c>
      <c r="P2897" s="7">
        <v>0</v>
      </c>
      <c r="Q2897" s="7" t="str">
        <f t="shared" si="984"/>
        <v>都市整備部</v>
      </c>
      <c r="R2897" s="7" t="str">
        <f t="shared" si="981"/>
        <v>住宅建築局住宅経営室</v>
      </c>
    </row>
    <row r="2898" spans="1:18" s="1" customFormat="1" x14ac:dyDescent="0.45">
      <c r="A2898" s="7" t="str">
        <f t="shared" si="997"/>
        <v>09940003365</v>
      </c>
      <c r="B2898" s="7" t="str">
        <f t="shared" si="998"/>
        <v>大東朋来（旧住道）</v>
      </c>
      <c r="C2898" s="7" t="str">
        <f t="shared" si="982"/>
        <v>行政財産</v>
      </c>
      <c r="D2898" s="7" t="str">
        <f t="shared" si="983"/>
        <v>公営住宅</v>
      </c>
      <c r="E2898" s="7" t="str">
        <f t="shared" si="999"/>
        <v>大阪府大東市朋来２丁目</v>
      </c>
      <c r="F2898" s="7"/>
      <c r="G2898" s="7" t="str">
        <f t="shared" si="980"/>
        <v>事業用資産</v>
      </c>
      <c r="H2898" s="7" t="str">
        <f t="shared" si="1002"/>
        <v>棚卸以外</v>
      </c>
      <c r="I2898" s="7">
        <v>25</v>
      </c>
      <c r="J2898" s="7" t="str">
        <f>"１５号棟（一部）"</f>
        <v>１５号棟（一部）</v>
      </c>
      <c r="K2898" s="7" t="str">
        <f t="shared" si="1001"/>
        <v>鉄筋コンクリート造</v>
      </c>
      <c r="L2898" s="7" t="str">
        <f>"S56.02.23"</f>
        <v>S56.02.23</v>
      </c>
      <c r="M2898" s="7">
        <v>633.64</v>
      </c>
      <c r="N2898" s="7">
        <v>67284000</v>
      </c>
      <c r="O2898" s="7">
        <v>60245490</v>
      </c>
      <c r="P2898" s="7">
        <v>0</v>
      </c>
      <c r="Q2898" s="7" t="str">
        <f t="shared" si="984"/>
        <v>都市整備部</v>
      </c>
      <c r="R2898" s="7" t="str">
        <f t="shared" si="981"/>
        <v>住宅建築局住宅経営室</v>
      </c>
    </row>
    <row r="2899" spans="1:18" s="1" customFormat="1" x14ac:dyDescent="0.45">
      <c r="A2899" s="7" t="str">
        <f t="shared" si="997"/>
        <v>09940003365</v>
      </c>
      <c r="B2899" s="7" t="str">
        <f t="shared" si="998"/>
        <v>大東朋来（旧住道）</v>
      </c>
      <c r="C2899" s="7" t="str">
        <f t="shared" si="982"/>
        <v>行政財産</v>
      </c>
      <c r="D2899" s="7" t="str">
        <f t="shared" si="983"/>
        <v>公営住宅</v>
      </c>
      <c r="E2899" s="7" t="str">
        <f t="shared" si="999"/>
        <v>大阪府大東市朋来２丁目</v>
      </c>
      <c r="F2899" s="7"/>
      <c r="G2899" s="7" t="str">
        <f t="shared" si="980"/>
        <v>事業用資産</v>
      </c>
      <c r="H2899" s="7" t="str">
        <f t="shared" si="1002"/>
        <v>棚卸以外</v>
      </c>
      <c r="I2899" s="7">
        <v>26</v>
      </c>
      <c r="J2899" s="7" t="str">
        <f>"６号棟"</f>
        <v>６号棟</v>
      </c>
      <c r="K2899" s="7" t="str">
        <f t="shared" si="1001"/>
        <v>鉄筋コンクリート造</v>
      </c>
      <c r="L2899" s="7" t="str">
        <f>"S59.03.19"</f>
        <v>S59.03.19</v>
      </c>
      <c r="M2899" s="7">
        <v>2514.33</v>
      </c>
      <c r="N2899" s="7">
        <v>271663000</v>
      </c>
      <c r="O2899" s="7">
        <v>225422496</v>
      </c>
      <c r="P2899" s="7">
        <v>0</v>
      </c>
      <c r="Q2899" s="7" t="str">
        <f t="shared" si="984"/>
        <v>都市整備部</v>
      </c>
      <c r="R2899" s="7" t="str">
        <f t="shared" si="981"/>
        <v>住宅建築局住宅経営室</v>
      </c>
    </row>
    <row r="2900" spans="1:18" s="1" customFormat="1" x14ac:dyDescent="0.45">
      <c r="A2900" s="7" t="str">
        <f t="shared" si="997"/>
        <v>09940003365</v>
      </c>
      <c r="B2900" s="7" t="str">
        <f t="shared" si="998"/>
        <v>大東朋来（旧住道）</v>
      </c>
      <c r="C2900" s="7" t="str">
        <f t="shared" si="982"/>
        <v>行政財産</v>
      </c>
      <c r="D2900" s="7" t="str">
        <f t="shared" si="983"/>
        <v>公営住宅</v>
      </c>
      <c r="E2900" s="7" t="str">
        <f t="shared" si="999"/>
        <v>大阪府大東市朋来２丁目</v>
      </c>
      <c r="F2900" s="7"/>
      <c r="G2900" s="7" t="str">
        <f t="shared" si="980"/>
        <v>事業用資産</v>
      </c>
      <c r="H2900" s="7" t="str">
        <f t="shared" si="1002"/>
        <v>棚卸以外</v>
      </c>
      <c r="I2900" s="7">
        <v>27</v>
      </c>
      <c r="J2900" s="7" t="str">
        <f>"５０号棟"</f>
        <v>５０号棟</v>
      </c>
      <c r="K2900" s="7" t="str">
        <f t="shared" si="1001"/>
        <v>鉄筋コンクリート造</v>
      </c>
      <c r="L2900" s="7" t="str">
        <f>"S58.10.12"</f>
        <v>S58.10.12</v>
      </c>
      <c r="M2900" s="7">
        <v>2417.35</v>
      </c>
      <c r="N2900" s="7">
        <v>425838814</v>
      </c>
      <c r="O2900" s="7">
        <v>217463642</v>
      </c>
      <c r="P2900" s="7">
        <v>0</v>
      </c>
      <c r="Q2900" s="7" t="str">
        <f t="shared" si="984"/>
        <v>都市整備部</v>
      </c>
      <c r="R2900" s="7" t="str">
        <f t="shared" si="981"/>
        <v>住宅建築局住宅経営室</v>
      </c>
    </row>
    <row r="2901" spans="1:18" s="1" customFormat="1" x14ac:dyDescent="0.45">
      <c r="A2901" s="7" t="str">
        <f t="shared" si="997"/>
        <v>09940003365</v>
      </c>
      <c r="B2901" s="7" t="str">
        <f t="shared" si="998"/>
        <v>大東朋来（旧住道）</v>
      </c>
      <c r="C2901" s="7" t="str">
        <f t="shared" si="982"/>
        <v>行政財産</v>
      </c>
      <c r="D2901" s="7" t="str">
        <f t="shared" si="983"/>
        <v>公営住宅</v>
      </c>
      <c r="E2901" s="7" t="str">
        <f t="shared" si="999"/>
        <v>大阪府大東市朋来２丁目</v>
      </c>
      <c r="F2901" s="7"/>
      <c r="G2901" s="7" t="str">
        <f t="shared" si="980"/>
        <v>事業用資産</v>
      </c>
      <c r="H2901" s="7" t="str">
        <f t="shared" si="1002"/>
        <v>棚卸以外</v>
      </c>
      <c r="I2901" s="7">
        <v>28</v>
      </c>
      <c r="J2901" s="7" t="str">
        <f>"集会所"</f>
        <v>集会所</v>
      </c>
      <c r="K2901" s="7" t="str">
        <f t="shared" si="1001"/>
        <v>鉄筋コンクリート造</v>
      </c>
      <c r="L2901" s="7" t="str">
        <f>"S58.10.12"</f>
        <v>S58.10.12</v>
      </c>
      <c r="M2901" s="7">
        <v>69.7</v>
      </c>
      <c r="N2901" s="7">
        <v>19862400</v>
      </c>
      <c r="O2901" s="7">
        <v>16034801</v>
      </c>
      <c r="P2901" s="7">
        <v>0</v>
      </c>
      <c r="Q2901" s="7" t="str">
        <f t="shared" si="984"/>
        <v>都市整備部</v>
      </c>
      <c r="R2901" s="7" t="str">
        <f t="shared" si="981"/>
        <v>住宅建築局住宅経営室</v>
      </c>
    </row>
    <row r="2902" spans="1:18" s="1" customFormat="1" x14ac:dyDescent="0.45">
      <c r="A2902" s="7" t="str">
        <f t="shared" si="997"/>
        <v>09940003365</v>
      </c>
      <c r="B2902" s="7" t="str">
        <f t="shared" si="998"/>
        <v>大東朋来（旧住道）</v>
      </c>
      <c r="C2902" s="7" t="str">
        <f t="shared" si="982"/>
        <v>行政財産</v>
      </c>
      <c r="D2902" s="7" t="str">
        <f t="shared" si="983"/>
        <v>公営住宅</v>
      </c>
      <c r="E2902" s="7" t="str">
        <f t="shared" si="999"/>
        <v>大阪府大東市朋来２丁目</v>
      </c>
      <c r="F2902" s="7"/>
      <c r="G2902" s="7" t="str">
        <f t="shared" si="980"/>
        <v>事業用資産</v>
      </c>
      <c r="H2902" s="7" t="str">
        <f t="shared" si="1002"/>
        <v>棚卸以外</v>
      </c>
      <c r="I2902" s="7">
        <v>29</v>
      </c>
      <c r="J2902" s="7" t="str">
        <f>"受水槽"</f>
        <v>受水槽</v>
      </c>
      <c r="K2902" s="7" t="str">
        <f t="shared" si="1001"/>
        <v>鉄筋コンクリート造</v>
      </c>
      <c r="L2902" s="7" t="str">
        <f>"S31.10.12"</f>
        <v>S31.10.12</v>
      </c>
      <c r="M2902" s="7">
        <v>17.28</v>
      </c>
      <c r="N2902" s="7">
        <v>6304000</v>
      </c>
      <c r="O2902" s="7">
        <v>5287194</v>
      </c>
      <c r="P2902" s="7">
        <v>0</v>
      </c>
      <c r="Q2902" s="7" t="str">
        <f t="shared" si="984"/>
        <v>都市整備部</v>
      </c>
      <c r="R2902" s="7" t="str">
        <f t="shared" si="981"/>
        <v>住宅建築局住宅経営室</v>
      </c>
    </row>
    <row r="2903" spans="1:18" s="1" customFormat="1" x14ac:dyDescent="0.45">
      <c r="A2903" s="7" t="str">
        <f t="shared" si="997"/>
        <v>09940003365</v>
      </c>
      <c r="B2903" s="7" t="str">
        <f t="shared" si="998"/>
        <v>大東朋来（旧住道）</v>
      </c>
      <c r="C2903" s="7" t="str">
        <f t="shared" si="982"/>
        <v>行政財産</v>
      </c>
      <c r="D2903" s="7" t="str">
        <f t="shared" si="983"/>
        <v>公営住宅</v>
      </c>
      <c r="E2903" s="7" t="str">
        <f t="shared" si="999"/>
        <v>大阪府大東市朋来２丁目</v>
      </c>
      <c r="F2903" s="7"/>
      <c r="G2903" s="7" t="str">
        <f t="shared" ref="G2903:G2966" si="1004">"事業用資産"</f>
        <v>事業用資産</v>
      </c>
      <c r="H2903" s="7" t="str">
        <f t="shared" si="1002"/>
        <v>棚卸以外</v>
      </c>
      <c r="I2903" s="7">
        <v>30</v>
      </c>
      <c r="J2903" s="7" t="str">
        <f>"８号棟"</f>
        <v>８号棟</v>
      </c>
      <c r="K2903" s="7" t="str">
        <f t="shared" si="1001"/>
        <v>鉄筋コンクリート造</v>
      </c>
      <c r="L2903" s="7" t="str">
        <f>"S57.08.04"</f>
        <v>S57.08.04</v>
      </c>
      <c r="M2903" s="7">
        <v>1929.3</v>
      </c>
      <c r="N2903" s="7">
        <v>204484000</v>
      </c>
      <c r="O2903" s="7">
        <v>176567207</v>
      </c>
      <c r="P2903" s="7">
        <v>0</v>
      </c>
      <c r="Q2903" s="7" t="str">
        <f t="shared" si="984"/>
        <v>都市整備部</v>
      </c>
      <c r="R2903" s="7" t="str">
        <f t="shared" si="981"/>
        <v>住宅建築局住宅経営室</v>
      </c>
    </row>
    <row r="2904" spans="1:18" s="1" customFormat="1" x14ac:dyDescent="0.45">
      <c r="A2904" s="7" t="str">
        <f t="shared" si="997"/>
        <v>09940003365</v>
      </c>
      <c r="B2904" s="7" t="str">
        <f t="shared" si="998"/>
        <v>大東朋来（旧住道）</v>
      </c>
      <c r="C2904" s="7" t="str">
        <f t="shared" si="982"/>
        <v>行政財産</v>
      </c>
      <c r="D2904" s="7" t="str">
        <f t="shared" si="983"/>
        <v>公営住宅</v>
      </c>
      <c r="E2904" s="7" t="str">
        <f t="shared" si="999"/>
        <v>大阪府大東市朋来２丁目</v>
      </c>
      <c r="F2904" s="7"/>
      <c r="G2904" s="7" t="str">
        <f t="shared" si="1004"/>
        <v>事業用資産</v>
      </c>
      <c r="H2904" s="7" t="str">
        <f t="shared" si="1002"/>
        <v>棚卸以外</v>
      </c>
      <c r="I2904" s="7">
        <v>31</v>
      </c>
      <c r="J2904" s="7" t="str">
        <f>"１３号棟"</f>
        <v>１３号棟</v>
      </c>
      <c r="K2904" s="7" t="str">
        <f t="shared" si="1001"/>
        <v>鉄筋コンクリート造</v>
      </c>
      <c r="L2904" s="7" t="str">
        <f>"S57.04.30"</f>
        <v>S57.04.30</v>
      </c>
      <c r="M2904" s="7">
        <v>2511.79</v>
      </c>
      <c r="N2904" s="7">
        <v>254781000</v>
      </c>
      <c r="O2904" s="7">
        <v>221804340</v>
      </c>
      <c r="P2904" s="7">
        <v>0</v>
      </c>
      <c r="Q2904" s="7" t="str">
        <f t="shared" si="984"/>
        <v>都市整備部</v>
      </c>
      <c r="R2904" s="7" t="str">
        <f t="shared" ref="R2904:R2967" si="1005">"住宅建築局住宅経営室"</f>
        <v>住宅建築局住宅経営室</v>
      </c>
    </row>
    <row r="2905" spans="1:18" s="1" customFormat="1" x14ac:dyDescent="0.45">
      <c r="A2905" s="7" t="str">
        <f t="shared" si="997"/>
        <v>09940003365</v>
      </c>
      <c r="B2905" s="7" t="str">
        <f t="shared" si="998"/>
        <v>大東朋来（旧住道）</v>
      </c>
      <c r="C2905" s="7" t="str">
        <f t="shared" si="982"/>
        <v>行政財産</v>
      </c>
      <c r="D2905" s="7" t="str">
        <f t="shared" si="983"/>
        <v>公営住宅</v>
      </c>
      <c r="E2905" s="7" t="str">
        <f t="shared" si="999"/>
        <v>大阪府大東市朋来２丁目</v>
      </c>
      <c r="F2905" s="7"/>
      <c r="G2905" s="7" t="str">
        <f t="shared" si="1004"/>
        <v>事業用資産</v>
      </c>
      <c r="H2905" s="7" t="str">
        <f t="shared" si="1002"/>
        <v>棚卸以外</v>
      </c>
      <c r="I2905" s="7">
        <v>32</v>
      </c>
      <c r="J2905" s="7" t="str">
        <f>"１５号棟（一部）"</f>
        <v>１５号棟（一部）</v>
      </c>
      <c r="K2905" s="7" t="str">
        <f t="shared" si="1001"/>
        <v>鉄筋コンクリート造</v>
      </c>
      <c r="L2905" s="7" t="str">
        <f>"S57.04.30"</f>
        <v>S57.04.30</v>
      </c>
      <c r="M2905" s="7">
        <v>1883.84</v>
      </c>
      <c r="N2905" s="7">
        <v>211447000</v>
      </c>
      <c r="O2905" s="7">
        <v>184079337</v>
      </c>
      <c r="P2905" s="7">
        <v>0</v>
      </c>
      <c r="Q2905" s="7" t="str">
        <f t="shared" si="984"/>
        <v>都市整備部</v>
      </c>
      <c r="R2905" s="7" t="str">
        <f t="shared" si="1005"/>
        <v>住宅建築局住宅経営室</v>
      </c>
    </row>
    <row r="2906" spans="1:18" s="1" customFormat="1" x14ac:dyDescent="0.45">
      <c r="A2906" s="7" t="str">
        <f t="shared" ref="A2906:A2924" si="1006">"09940003365"</f>
        <v>09940003365</v>
      </c>
      <c r="B2906" s="7" t="str">
        <f t="shared" ref="B2906:B2924" si="1007">"大東朋来（旧住道）"</f>
        <v>大東朋来（旧住道）</v>
      </c>
      <c r="C2906" s="7" t="str">
        <f t="shared" ref="C2906:C2969" si="1008">"行政財産"</f>
        <v>行政財産</v>
      </c>
      <c r="D2906" s="7" t="str">
        <f t="shared" ref="D2906:D2969" si="1009">"公営住宅"</f>
        <v>公営住宅</v>
      </c>
      <c r="E2906" s="7" t="str">
        <f t="shared" ref="E2906:E2924" si="1010">"大阪府大東市朋来２丁目"</f>
        <v>大阪府大東市朋来２丁目</v>
      </c>
      <c r="F2906" s="7"/>
      <c r="G2906" s="7" t="str">
        <f t="shared" si="1004"/>
        <v>事業用資産</v>
      </c>
      <c r="H2906" s="7" t="str">
        <f t="shared" si="1002"/>
        <v>棚卸以外</v>
      </c>
      <c r="I2906" s="7">
        <v>33</v>
      </c>
      <c r="J2906" s="7" t="str">
        <f>"３１号棟"</f>
        <v>３１号棟</v>
      </c>
      <c r="K2906" s="7" t="str">
        <f t="shared" si="1001"/>
        <v>鉄筋コンクリート造</v>
      </c>
      <c r="L2906" s="7" t="str">
        <f>"S60.11.29"</f>
        <v>S60.11.29</v>
      </c>
      <c r="M2906" s="7">
        <v>3338.38</v>
      </c>
      <c r="N2906" s="7">
        <v>529964798</v>
      </c>
      <c r="O2906" s="7">
        <v>420065264</v>
      </c>
      <c r="P2906" s="7">
        <v>0</v>
      </c>
      <c r="Q2906" s="7" t="str">
        <f t="shared" si="984"/>
        <v>都市整備部</v>
      </c>
      <c r="R2906" s="7" t="str">
        <f t="shared" si="1005"/>
        <v>住宅建築局住宅経営室</v>
      </c>
    </row>
    <row r="2907" spans="1:18" s="1" customFormat="1" x14ac:dyDescent="0.45">
      <c r="A2907" s="7" t="str">
        <f t="shared" si="1006"/>
        <v>09940003365</v>
      </c>
      <c r="B2907" s="7" t="str">
        <f t="shared" si="1007"/>
        <v>大東朋来（旧住道）</v>
      </c>
      <c r="C2907" s="7" t="str">
        <f t="shared" si="1008"/>
        <v>行政財産</v>
      </c>
      <c r="D2907" s="7" t="str">
        <f t="shared" si="1009"/>
        <v>公営住宅</v>
      </c>
      <c r="E2907" s="7" t="str">
        <f t="shared" si="1010"/>
        <v>大阪府大東市朋来２丁目</v>
      </c>
      <c r="F2907" s="7"/>
      <c r="G2907" s="7" t="str">
        <f t="shared" si="1004"/>
        <v>事業用資産</v>
      </c>
      <c r="H2907" s="7" t="str">
        <f t="shared" si="1002"/>
        <v>棚卸以外</v>
      </c>
      <c r="I2907" s="7">
        <v>34</v>
      </c>
      <c r="J2907" s="7" t="str">
        <f>"３２号棟"</f>
        <v>３２号棟</v>
      </c>
      <c r="K2907" s="7" t="str">
        <f t="shared" si="1001"/>
        <v>鉄筋コンクリート造</v>
      </c>
      <c r="L2907" s="7" t="str">
        <f>"S60.11.29"</f>
        <v>S60.11.29</v>
      </c>
      <c r="M2907" s="7">
        <v>5190.2700000000004</v>
      </c>
      <c r="N2907" s="7">
        <v>529664798</v>
      </c>
      <c r="O2907" s="7">
        <v>419826928</v>
      </c>
      <c r="P2907" s="7">
        <v>0</v>
      </c>
      <c r="Q2907" s="7" t="str">
        <f t="shared" ref="Q2907:Q2970" si="1011">"都市整備部"</f>
        <v>都市整備部</v>
      </c>
      <c r="R2907" s="7" t="str">
        <f t="shared" si="1005"/>
        <v>住宅建築局住宅経営室</v>
      </c>
    </row>
    <row r="2908" spans="1:18" s="1" customFormat="1" x14ac:dyDescent="0.45">
      <c r="A2908" s="7" t="str">
        <f t="shared" si="1006"/>
        <v>09940003365</v>
      </c>
      <c r="B2908" s="7" t="str">
        <f t="shared" si="1007"/>
        <v>大東朋来（旧住道）</v>
      </c>
      <c r="C2908" s="7" t="str">
        <f t="shared" si="1008"/>
        <v>行政財産</v>
      </c>
      <c r="D2908" s="7" t="str">
        <f t="shared" si="1009"/>
        <v>公営住宅</v>
      </c>
      <c r="E2908" s="7" t="str">
        <f t="shared" si="1010"/>
        <v>大阪府大東市朋来２丁目</v>
      </c>
      <c r="F2908" s="7"/>
      <c r="G2908" s="7" t="str">
        <f t="shared" si="1004"/>
        <v>事業用資産</v>
      </c>
      <c r="H2908" s="7" t="str">
        <f t="shared" si="1002"/>
        <v>棚卸以外</v>
      </c>
      <c r="I2908" s="7">
        <v>35</v>
      </c>
      <c r="J2908" s="7" t="str">
        <f>"３号棟"</f>
        <v>３号棟</v>
      </c>
      <c r="K2908" s="7" t="str">
        <f t="shared" si="1001"/>
        <v>鉄筋コンクリート造</v>
      </c>
      <c r="L2908" s="7" t="str">
        <f>"S61.03.26"</f>
        <v>S61.03.26</v>
      </c>
      <c r="M2908" s="7">
        <v>2591.87</v>
      </c>
      <c r="N2908" s="7">
        <v>435755815</v>
      </c>
      <c r="O2908" s="7">
        <v>211937628</v>
      </c>
      <c r="P2908" s="7">
        <v>0</v>
      </c>
      <c r="Q2908" s="7" t="str">
        <f t="shared" si="1011"/>
        <v>都市整備部</v>
      </c>
      <c r="R2908" s="7" t="str">
        <f t="shared" si="1005"/>
        <v>住宅建築局住宅経営室</v>
      </c>
    </row>
    <row r="2909" spans="1:18" s="1" customFormat="1" x14ac:dyDescent="0.45">
      <c r="A2909" s="7" t="str">
        <f t="shared" si="1006"/>
        <v>09940003365</v>
      </c>
      <c r="B2909" s="7" t="str">
        <f t="shared" si="1007"/>
        <v>大東朋来（旧住道）</v>
      </c>
      <c r="C2909" s="7" t="str">
        <f t="shared" si="1008"/>
        <v>行政財産</v>
      </c>
      <c r="D2909" s="7" t="str">
        <f t="shared" si="1009"/>
        <v>公営住宅</v>
      </c>
      <c r="E2909" s="7" t="str">
        <f t="shared" si="1010"/>
        <v>大阪府大東市朋来２丁目</v>
      </c>
      <c r="F2909" s="7"/>
      <c r="G2909" s="7" t="str">
        <f t="shared" si="1004"/>
        <v>事業用資産</v>
      </c>
      <c r="H2909" s="7" t="str">
        <f t="shared" si="1002"/>
        <v>棚卸以外</v>
      </c>
      <c r="I2909" s="7">
        <v>36</v>
      </c>
      <c r="J2909" s="7" t="str">
        <f>"９号棟"</f>
        <v>９号棟</v>
      </c>
      <c r="K2909" s="7" t="str">
        <f t="shared" si="1001"/>
        <v>鉄筋コンクリート造</v>
      </c>
      <c r="L2909" s="7" t="str">
        <f>"S61.03.26"</f>
        <v>S61.03.26</v>
      </c>
      <c r="M2909" s="7">
        <v>1182.81</v>
      </c>
      <c r="N2909" s="7">
        <v>143707000</v>
      </c>
      <c r="O2909" s="7">
        <v>113131200</v>
      </c>
      <c r="P2909" s="7">
        <v>0</v>
      </c>
      <c r="Q2909" s="7" t="str">
        <f t="shared" si="1011"/>
        <v>都市整備部</v>
      </c>
      <c r="R2909" s="7" t="str">
        <f t="shared" si="1005"/>
        <v>住宅建築局住宅経営室</v>
      </c>
    </row>
    <row r="2910" spans="1:18" s="1" customFormat="1" x14ac:dyDescent="0.45">
      <c r="A2910" s="7" t="str">
        <f t="shared" si="1006"/>
        <v>09940003365</v>
      </c>
      <c r="B2910" s="7" t="str">
        <f t="shared" si="1007"/>
        <v>大東朋来（旧住道）</v>
      </c>
      <c r="C2910" s="7" t="str">
        <f t="shared" si="1008"/>
        <v>行政財産</v>
      </c>
      <c r="D2910" s="7" t="str">
        <f t="shared" si="1009"/>
        <v>公営住宅</v>
      </c>
      <c r="E2910" s="7" t="str">
        <f t="shared" si="1010"/>
        <v>大阪府大東市朋来２丁目</v>
      </c>
      <c r="F2910" s="7"/>
      <c r="G2910" s="7" t="str">
        <f t="shared" si="1004"/>
        <v>事業用資産</v>
      </c>
      <c r="H2910" s="7" t="str">
        <f t="shared" si="1002"/>
        <v>棚卸以外</v>
      </c>
      <c r="I2910" s="7">
        <v>37</v>
      </c>
      <c r="J2910" s="7" t="str">
        <f>"集会所"</f>
        <v>集会所</v>
      </c>
      <c r="K2910" s="7" t="str">
        <f t="shared" si="1001"/>
        <v>鉄筋コンクリート造</v>
      </c>
      <c r="L2910" s="7" t="str">
        <f>"S61.03.26"</f>
        <v>S61.03.26</v>
      </c>
      <c r="M2910" s="7">
        <v>99.74</v>
      </c>
      <c r="N2910" s="7">
        <v>30052930</v>
      </c>
      <c r="O2910" s="7">
        <v>22861104</v>
      </c>
      <c r="P2910" s="7">
        <v>0</v>
      </c>
      <c r="Q2910" s="7" t="str">
        <f t="shared" si="1011"/>
        <v>都市整備部</v>
      </c>
      <c r="R2910" s="7" t="str">
        <f t="shared" si="1005"/>
        <v>住宅建築局住宅経営室</v>
      </c>
    </row>
    <row r="2911" spans="1:18" s="1" customFormat="1" x14ac:dyDescent="0.45">
      <c r="A2911" s="7" t="str">
        <f t="shared" si="1006"/>
        <v>09940003365</v>
      </c>
      <c r="B2911" s="7" t="str">
        <f t="shared" si="1007"/>
        <v>大東朋来（旧住道）</v>
      </c>
      <c r="C2911" s="7" t="str">
        <f t="shared" si="1008"/>
        <v>行政財産</v>
      </c>
      <c r="D2911" s="7" t="str">
        <f t="shared" si="1009"/>
        <v>公営住宅</v>
      </c>
      <c r="E2911" s="7" t="str">
        <f t="shared" si="1010"/>
        <v>大阪府大東市朋来２丁目</v>
      </c>
      <c r="F2911" s="7"/>
      <c r="G2911" s="7" t="str">
        <f t="shared" si="1004"/>
        <v>事業用資産</v>
      </c>
      <c r="H2911" s="7" t="str">
        <f t="shared" si="1002"/>
        <v>棚卸以外</v>
      </c>
      <c r="I2911" s="7">
        <v>38</v>
      </c>
      <c r="J2911" s="7" t="str">
        <f>"３３号棟"</f>
        <v>３３号棟</v>
      </c>
      <c r="K2911" s="7" t="str">
        <f t="shared" si="1001"/>
        <v>鉄筋コンクリート造</v>
      </c>
      <c r="L2911" s="7" t="str">
        <f>"S62.03.26"</f>
        <v>S62.03.26</v>
      </c>
      <c r="M2911" s="7">
        <v>4922.2</v>
      </c>
      <c r="N2911" s="7">
        <v>581505800</v>
      </c>
      <c r="O2911" s="7">
        <v>444548736</v>
      </c>
      <c r="P2911" s="7">
        <v>0</v>
      </c>
      <c r="Q2911" s="7" t="str">
        <f t="shared" si="1011"/>
        <v>都市整備部</v>
      </c>
      <c r="R2911" s="7" t="str">
        <f t="shared" si="1005"/>
        <v>住宅建築局住宅経営室</v>
      </c>
    </row>
    <row r="2912" spans="1:18" s="1" customFormat="1" x14ac:dyDescent="0.45">
      <c r="A2912" s="7" t="str">
        <f t="shared" si="1006"/>
        <v>09940003365</v>
      </c>
      <c r="B2912" s="7" t="str">
        <f t="shared" si="1007"/>
        <v>大東朋来（旧住道）</v>
      </c>
      <c r="C2912" s="7" t="str">
        <f t="shared" si="1008"/>
        <v>行政財産</v>
      </c>
      <c r="D2912" s="7" t="str">
        <f t="shared" si="1009"/>
        <v>公営住宅</v>
      </c>
      <c r="E2912" s="7" t="str">
        <f t="shared" si="1010"/>
        <v>大阪府大東市朋来２丁目</v>
      </c>
      <c r="F2912" s="7"/>
      <c r="G2912" s="7" t="str">
        <f t="shared" si="1004"/>
        <v>事業用資産</v>
      </c>
      <c r="H2912" s="7" t="str">
        <f t="shared" si="1002"/>
        <v>棚卸以外</v>
      </c>
      <c r="I2912" s="7">
        <v>39</v>
      </c>
      <c r="J2912" s="7" t="str">
        <f>"３０号棟"</f>
        <v>３０号棟</v>
      </c>
      <c r="K2912" s="7" t="str">
        <f t="shared" si="1001"/>
        <v>鉄筋コンクリート造</v>
      </c>
      <c r="L2912" s="7" t="str">
        <f>"S62.03.26"</f>
        <v>S62.03.26</v>
      </c>
      <c r="M2912" s="7">
        <v>3281.46</v>
      </c>
      <c r="N2912" s="7">
        <v>388134798</v>
      </c>
      <c r="O2912" s="7">
        <v>296434512</v>
      </c>
      <c r="P2912" s="7">
        <v>0</v>
      </c>
      <c r="Q2912" s="7" t="str">
        <f t="shared" si="1011"/>
        <v>都市整備部</v>
      </c>
      <c r="R2912" s="7" t="str">
        <f t="shared" si="1005"/>
        <v>住宅建築局住宅経営室</v>
      </c>
    </row>
    <row r="2913" spans="1:18" s="1" customFormat="1" x14ac:dyDescent="0.45">
      <c r="A2913" s="7" t="str">
        <f t="shared" si="1006"/>
        <v>09940003365</v>
      </c>
      <c r="B2913" s="7" t="str">
        <f t="shared" si="1007"/>
        <v>大東朋来（旧住道）</v>
      </c>
      <c r="C2913" s="7" t="str">
        <f t="shared" si="1008"/>
        <v>行政財産</v>
      </c>
      <c r="D2913" s="7" t="str">
        <f t="shared" si="1009"/>
        <v>公営住宅</v>
      </c>
      <c r="E2913" s="7" t="str">
        <f t="shared" si="1010"/>
        <v>大阪府大東市朋来２丁目</v>
      </c>
      <c r="F2913" s="7"/>
      <c r="G2913" s="7" t="str">
        <f t="shared" si="1004"/>
        <v>事業用資産</v>
      </c>
      <c r="H2913" s="7" t="str">
        <f t="shared" si="1002"/>
        <v>棚卸以外</v>
      </c>
      <c r="I2913" s="7">
        <v>40</v>
      </c>
      <c r="J2913" s="7" t="str">
        <f>"集会所"</f>
        <v>集会所</v>
      </c>
      <c r="K2913" s="7" t="str">
        <f t="shared" si="1001"/>
        <v>鉄筋コンクリート造</v>
      </c>
      <c r="L2913" s="7" t="str">
        <f>"S62.04.10"</f>
        <v>S62.04.10</v>
      </c>
      <c r="M2913" s="7">
        <v>71.790000000000006</v>
      </c>
      <c r="N2913" s="7">
        <v>20252890</v>
      </c>
      <c r="O2913" s="7">
        <v>14013008</v>
      </c>
      <c r="P2913" s="7">
        <v>0</v>
      </c>
      <c r="Q2913" s="7" t="str">
        <f t="shared" si="1011"/>
        <v>都市整備部</v>
      </c>
      <c r="R2913" s="7" t="str">
        <f t="shared" si="1005"/>
        <v>住宅建築局住宅経営室</v>
      </c>
    </row>
    <row r="2914" spans="1:18" s="1" customFormat="1" x14ac:dyDescent="0.45">
      <c r="A2914" s="7" t="str">
        <f t="shared" si="1006"/>
        <v>09940003365</v>
      </c>
      <c r="B2914" s="7" t="str">
        <f t="shared" si="1007"/>
        <v>大東朋来（旧住道）</v>
      </c>
      <c r="C2914" s="7" t="str">
        <f t="shared" si="1008"/>
        <v>行政財産</v>
      </c>
      <c r="D2914" s="7" t="str">
        <f t="shared" si="1009"/>
        <v>公営住宅</v>
      </c>
      <c r="E2914" s="7" t="str">
        <f t="shared" si="1010"/>
        <v>大阪府大東市朋来２丁目</v>
      </c>
      <c r="F2914" s="7"/>
      <c r="G2914" s="7" t="str">
        <f t="shared" si="1004"/>
        <v>事業用資産</v>
      </c>
      <c r="H2914" s="7" t="str">
        <f t="shared" si="1002"/>
        <v>棚卸以外</v>
      </c>
      <c r="I2914" s="7">
        <v>41</v>
      </c>
      <c r="J2914" s="7" t="str">
        <f>"４４号棟"</f>
        <v>４４号棟</v>
      </c>
      <c r="K2914" s="7" t="str">
        <f t="shared" ref="K2914:K2945" si="1012">"鉄筋コンクリート造"</f>
        <v>鉄筋コンクリート造</v>
      </c>
      <c r="L2914" s="7" t="str">
        <f>"H01.01.12"</f>
        <v>H01.01.12</v>
      </c>
      <c r="M2914" s="7">
        <v>5822.74</v>
      </c>
      <c r="N2914" s="7">
        <v>664953000</v>
      </c>
      <c r="O2914" s="7">
        <v>483085006</v>
      </c>
      <c r="P2914" s="7">
        <v>0</v>
      </c>
      <c r="Q2914" s="7" t="str">
        <f t="shared" si="1011"/>
        <v>都市整備部</v>
      </c>
      <c r="R2914" s="7" t="str">
        <f t="shared" si="1005"/>
        <v>住宅建築局住宅経営室</v>
      </c>
    </row>
    <row r="2915" spans="1:18" s="1" customFormat="1" x14ac:dyDescent="0.45">
      <c r="A2915" s="7" t="str">
        <f t="shared" si="1006"/>
        <v>09940003365</v>
      </c>
      <c r="B2915" s="7" t="str">
        <f t="shared" si="1007"/>
        <v>大東朋来（旧住道）</v>
      </c>
      <c r="C2915" s="7" t="str">
        <f t="shared" si="1008"/>
        <v>行政財産</v>
      </c>
      <c r="D2915" s="7" t="str">
        <f t="shared" si="1009"/>
        <v>公営住宅</v>
      </c>
      <c r="E2915" s="7" t="str">
        <f t="shared" si="1010"/>
        <v>大阪府大東市朋来２丁目</v>
      </c>
      <c r="F2915" s="7"/>
      <c r="G2915" s="7" t="str">
        <f t="shared" si="1004"/>
        <v>事業用資産</v>
      </c>
      <c r="H2915" s="7" t="str">
        <f t="shared" si="1002"/>
        <v>棚卸以外</v>
      </c>
      <c r="I2915" s="7">
        <v>42</v>
      </c>
      <c r="J2915" s="7" t="str">
        <f>"受水槽・電気室"</f>
        <v>受水槽・電気室</v>
      </c>
      <c r="K2915" s="7" t="str">
        <f t="shared" si="1012"/>
        <v>鉄筋コンクリート造</v>
      </c>
      <c r="L2915" s="7" t="str">
        <f>"H01.01.12"</f>
        <v>H01.01.12</v>
      </c>
      <c r="M2915" s="7">
        <v>63.44</v>
      </c>
      <c r="N2915" s="7">
        <v>11400000</v>
      </c>
      <c r="O2915" s="7">
        <v>8287330</v>
      </c>
      <c r="P2915" s="7">
        <v>0</v>
      </c>
      <c r="Q2915" s="7" t="str">
        <f t="shared" si="1011"/>
        <v>都市整備部</v>
      </c>
      <c r="R2915" s="7" t="str">
        <f t="shared" si="1005"/>
        <v>住宅建築局住宅経営室</v>
      </c>
    </row>
    <row r="2916" spans="1:18" s="1" customFormat="1" x14ac:dyDescent="0.45">
      <c r="A2916" s="7" t="str">
        <f t="shared" si="1006"/>
        <v>09940003365</v>
      </c>
      <c r="B2916" s="7" t="str">
        <f t="shared" si="1007"/>
        <v>大東朋来（旧住道）</v>
      </c>
      <c r="C2916" s="7" t="str">
        <f t="shared" si="1008"/>
        <v>行政財産</v>
      </c>
      <c r="D2916" s="7" t="str">
        <f t="shared" si="1009"/>
        <v>公営住宅</v>
      </c>
      <c r="E2916" s="7" t="str">
        <f t="shared" si="1010"/>
        <v>大阪府大東市朋来２丁目</v>
      </c>
      <c r="F2916" s="7"/>
      <c r="G2916" s="7" t="str">
        <f t="shared" si="1004"/>
        <v>事業用資産</v>
      </c>
      <c r="H2916" s="7" t="str">
        <f t="shared" si="1002"/>
        <v>棚卸以外</v>
      </c>
      <c r="I2916" s="7">
        <v>43</v>
      </c>
      <c r="J2916" s="7" t="str">
        <f>"３９号棟"</f>
        <v>３９号棟</v>
      </c>
      <c r="K2916" s="7" t="str">
        <f t="shared" si="1012"/>
        <v>鉄筋コンクリート造</v>
      </c>
      <c r="L2916" s="7" t="str">
        <f t="shared" ref="L2916:L2921" si="1013">"H02.05.07"</f>
        <v>H02.05.07</v>
      </c>
      <c r="M2916" s="7">
        <v>1426.91</v>
      </c>
      <c r="N2916" s="7">
        <v>215072000</v>
      </c>
      <c r="O2916" s="7">
        <v>150245596</v>
      </c>
      <c r="P2916" s="7">
        <v>0</v>
      </c>
      <c r="Q2916" s="7" t="str">
        <f t="shared" si="1011"/>
        <v>都市整備部</v>
      </c>
      <c r="R2916" s="7" t="str">
        <f t="shared" si="1005"/>
        <v>住宅建築局住宅経営室</v>
      </c>
    </row>
    <row r="2917" spans="1:18" s="1" customFormat="1" x14ac:dyDescent="0.45">
      <c r="A2917" s="7" t="str">
        <f t="shared" si="1006"/>
        <v>09940003365</v>
      </c>
      <c r="B2917" s="7" t="str">
        <f t="shared" si="1007"/>
        <v>大東朋来（旧住道）</v>
      </c>
      <c r="C2917" s="7" t="str">
        <f t="shared" si="1008"/>
        <v>行政財産</v>
      </c>
      <c r="D2917" s="7" t="str">
        <f t="shared" si="1009"/>
        <v>公営住宅</v>
      </c>
      <c r="E2917" s="7" t="str">
        <f t="shared" si="1010"/>
        <v>大阪府大東市朋来２丁目</v>
      </c>
      <c r="F2917" s="7"/>
      <c r="G2917" s="7" t="str">
        <f t="shared" si="1004"/>
        <v>事業用資産</v>
      </c>
      <c r="H2917" s="7" t="str">
        <f t="shared" si="1002"/>
        <v>棚卸以外</v>
      </c>
      <c r="I2917" s="7">
        <v>44</v>
      </c>
      <c r="J2917" s="7" t="str">
        <f>"４０号棟"</f>
        <v>４０号棟</v>
      </c>
      <c r="K2917" s="7" t="str">
        <f t="shared" si="1012"/>
        <v>鉄筋コンクリート造</v>
      </c>
      <c r="L2917" s="7" t="str">
        <f t="shared" si="1013"/>
        <v>H02.05.07</v>
      </c>
      <c r="M2917" s="7">
        <v>2183.0300000000002</v>
      </c>
      <c r="N2917" s="7">
        <v>257215000</v>
      </c>
      <c r="O2917" s="7">
        <v>179685670</v>
      </c>
      <c r="P2917" s="7">
        <v>0</v>
      </c>
      <c r="Q2917" s="7" t="str">
        <f t="shared" si="1011"/>
        <v>都市整備部</v>
      </c>
      <c r="R2917" s="7" t="str">
        <f t="shared" si="1005"/>
        <v>住宅建築局住宅経営室</v>
      </c>
    </row>
    <row r="2918" spans="1:18" s="1" customFormat="1" x14ac:dyDescent="0.45">
      <c r="A2918" s="7" t="str">
        <f t="shared" si="1006"/>
        <v>09940003365</v>
      </c>
      <c r="B2918" s="7" t="str">
        <f t="shared" si="1007"/>
        <v>大東朋来（旧住道）</v>
      </c>
      <c r="C2918" s="7" t="str">
        <f t="shared" si="1008"/>
        <v>行政財産</v>
      </c>
      <c r="D2918" s="7" t="str">
        <f t="shared" si="1009"/>
        <v>公営住宅</v>
      </c>
      <c r="E2918" s="7" t="str">
        <f t="shared" si="1010"/>
        <v>大阪府大東市朋来２丁目</v>
      </c>
      <c r="F2918" s="7"/>
      <c r="G2918" s="7" t="str">
        <f t="shared" si="1004"/>
        <v>事業用資産</v>
      </c>
      <c r="H2918" s="7" t="str">
        <f t="shared" si="1002"/>
        <v>棚卸以外</v>
      </c>
      <c r="I2918" s="7">
        <v>45</v>
      </c>
      <c r="J2918" s="7" t="str">
        <f>"４１号棟"</f>
        <v>４１号棟</v>
      </c>
      <c r="K2918" s="7" t="str">
        <f t="shared" si="1012"/>
        <v>鉄筋コンクリート造</v>
      </c>
      <c r="L2918" s="7" t="str">
        <f t="shared" si="1013"/>
        <v>H02.05.07</v>
      </c>
      <c r="M2918" s="7">
        <v>1422.28</v>
      </c>
      <c r="N2918" s="7">
        <v>162591000</v>
      </c>
      <c r="O2918" s="7">
        <v>113583108</v>
      </c>
      <c r="P2918" s="7">
        <v>0</v>
      </c>
      <c r="Q2918" s="7" t="str">
        <f t="shared" si="1011"/>
        <v>都市整備部</v>
      </c>
      <c r="R2918" s="7" t="str">
        <f t="shared" si="1005"/>
        <v>住宅建築局住宅経営室</v>
      </c>
    </row>
    <row r="2919" spans="1:18" s="1" customFormat="1" x14ac:dyDescent="0.45">
      <c r="A2919" s="7" t="str">
        <f t="shared" si="1006"/>
        <v>09940003365</v>
      </c>
      <c r="B2919" s="7" t="str">
        <f t="shared" si="1007"/>
        <v>大東朋来（旧住道）</v>
      </c>
      <c r="C2919" s="7" t="str">
        <f t="shared" si="1008"/>
        <v>行政財産</v>
      </c>
      <c r="D2919" s="7" t="str">
        <f t="shared" si="1009"/>
        <v>公営住宅</v>
      </c>
      <c r="E2919" s="7" t="str">
        <f t="shared" si="1010"/>
        <v>大阪府大東市朋来２丁目</v>
      </c>
      <c r="F2919" s="7"/>
      <c r="G2919" s="7" t="str">
        <f t="shared" si="1004"/>
        <v>事業用資産</v>
      </c>
      <c r="H2919" s="7" t="str">
        <f t="shared" si="1002"/>
        <v>棚卸以外</v>
      </c>
      <c r="I2919" s="7">
        <v>46</v>
      </c>
      <c r="J2919" s="7" t="str">
        <f>"４２号棟"</f>
        <v>４２号棟</v>
      </c>
      <c r="K2919" s="7" t="str">
        <f t="shared" si="1012"/>
        <v>鉄筋コンクリート造</v>
      </c>
      <c r="L2919" s="7" t="str">
        <f t="shared" si="1013"/>
        <v>H02.05.07</v>
      </c>
      <c r="M2919" s="7">
        <v>2183.0700000000002</v>
      </c>
      <c r="N2919" s="7">
        <v>256908000</v>
      </c>
      <c r="O2919" s="7">
        <v>179471334</v>
      </c>
      <c r="P2919" s="7">
        <v>0</v>
      </c>
      <c r="Q2919" s="7" t="str">
        <f t="shared" si="1011"/>
        <v>都市整備部</v>
      </c>
      <c r="R2919" s="7" t="str">
        <f t="shared" si="1005"/>
        <v>住宅建築局住宅経営室</v>
      </c>
    </row>
    <row r="2920" spans="1:18" s="1" customFormat="1" x14ac:dyDescent="0.45">
      <c r="A2920" s="7" t="str">
        <f t="shared" si="1006"/>
        <v>09940003365</v>
      </c>
      <c r="B2920" s="7" t="str">
        <f t="shared" si="1007"/>
        <v>大東朋来（旧住道）</v>
      </c>
      <c r="C2920" s="7" t="str">
        <f t="shared" si="1008"/>
        <v>行政財産</v>
      </c>
      <c r="D2920" s="7" t="str">
        <f t="shared" si="1009"/>
        <v>公営住宅</v>
      </c>
      <c r="E2920" s="7" t="str">
        <f t="shared" si="1010"/>
        <v>大阪府大東市朋来２丁目</v>
      </c>
      <c r="F2920" s="7"/>
      <c r="G2920" s="7" t="str">
        <f t="shared" si="1004"/>
        <v>事業用資産</v>
      </c>
      <c r="H2920" s="7" t="str">
        <f t="shared" si="1002"/>
        <v>棚卸以外</v>
      </c>
      <c r="I2920" s="7">
        <v>47</v>
      </c>
      <c r="J2920" s="7" t="str">
        <f>"４３号棟"</f>
        <v>４３号棟</v>
      </c>
      <c r="K2920" s="7" t="str">
        <f t="shared" si="1012"/>
        <v>鉄筋コンクリート造</v>
      </c>
      <c r="L2920" s="7" t="str">
        <f t="shared" si="1013"/>
        <v>H02.05.07</v>
      </c>
      <c r="M2920" s="7">
        <v>2183.25</v>
      </c>
      <c r="N2920" s="7">
        <v>261383000</v>
      </c>
      <c r="O2920" s="7">
        <v>182597724</v>
      </c>
      <c r="P2920" s="7">
        <v>0</v>
      </c>
      <c r="Q2920" s="7" t="str">
        <f t="shared" si="1011"/>
        <v>都市整備部</v>
      </c>
      <c r="R2920" s="7" t="str">
        <f t="shared" si="1005"/>
        <v>住宅建築局住宅経営室</v>
      </c>
    </row>
    <row r="2921" spans="1:18" s="1" customFormat="1" x14ac:dyDescent="0.45">
      <c r="A2921" s="7" t="str">
        <f t="shared" si="1006"/>
        <v>09940003365</v>
      </c>
      <c r="B2921" s="7" t="str">
        <f t="shared" si="1007"/>
        <v>大東朋来（旧住道）</v>
      </c>
      <c r="C2921" s="7" t="str">
        <f t="shared" si="1008"/>
        <v>行政財産</v>
      </c>
      <c r="D2921" s="7" t="str">
        <f t="shared" si="1009"/>
        <v>公営住宅</v>
      </c>
      <c r="E2921" s="7" t="str">
        <f t="shared" si="1010"/>
        <v>大阪府大東市朋来２丁目</v>
      </c>
      <c r="F2921" s="7"/>
      <c r="G2921" s="7" t="str">
        <f t="shared" si="1004"/>
        <v>事業用資産</v>
      </c>
      <c r="H2921" s="7" t="str">
        <f t="shared" si="1002"/>
        <v>棚卸以外</v>
      </c>
      <c r="I2921" s="7">
        <v>48</v>
      </c>
      <c r="J2921" s="7" t="str">
        <f>"受水槽"</f>
        <v>受水槽</v>
      </c>
      <c r="K2921" s="7" t="str">
        <f t="shared" si="1012"/>
        <v>鉄筋コンクリート造</v>
      </c>
      <c r="L2921" s="7" t="str">
        <f t="shared" si="1013"/>
        <v>H02.05.07</v>
      </c>
      <c r="M2921" s="7">
        <v>51.84</v>
      </c>
      <c r="N2921" s="7">
        <v>19117000</v>
      </c>
      <c r="O2921" s="7">
        <v>13355024</v>
      </c>
      <c r="P2921" s="7">
        <v>0</v>
      </c>
      <c r="Q2921" s="7" t="str">
        <f t="shared" si="1011"/>
        <v>都市整備部</v>
      </c>
      <c r="R2921" s="7" t="str">
        <f t="shared" si="1005"/>
        <v>住宅建築局住宅経営室</v>
      </c>
    </row>
    <row r="2922" spans="1:18" s="1" customFormat="1" x14ac:dyDescent="0.45">
      <c r="A2922" s="7" t="str">
        <f t="shared" si="1006"/>
        <v>09940003365</v>
      </c>
      <c r="B2922" s="7" t="str">
        <f t="shared" si="1007"/>
        <v>大東朋来（旧住道）</v>
      </c>
      <c r="C2922" s="7" t="str">
        <f t="shared" si="1008"/>
        <v>行政財産</v>
      </c>
      <c r="D2922" s="7" t="str">
        <f t="shared" si="1009"/>
        <v>公営住宅</v>
      </c>
      <c r="E2922" s="7" t="str">
        <f t="shared" si="1010"/>
        <v>大阪府大東市朋来２丁目</v>
      </c>
      <c r="F2922" s="7"/>
      <c r="G2922" s="7" t="str">
        <f t="shared" si="1004"/>
        <v>事業用資産</v>
      </c>
      <c r="H2922" s="7" t="str">
        <f t="shared" si="1002"/>
        <v>棚卸以外</v>
      </c>
      <c r="I2922" s="7">
        <v>49</v>
      </c>
      <c r="J2922" s="7" t="str">
        <f>"設備棟"</f>
        <v>設備棟</v>
      </c>
      <c r="K2922" s="7" t="str">
        <f t="shared" si="1012"/>
        <v>鉄筋コンクリート造</v>
      </c>
      <c r="L2922" s="7" t="str">
        <f>"S60.11.29"</f>
        <v>S60.11.29</v>
      </c>
      <c r="M2922" s="7">
        <v>155.55000000000001</v>
      </c>
      <c r="N2922" s="7">
        <v>33275000</v>
      </c>
      <c r="O2922" s="7">
        <v>26431552</v>
      </c>
      <c r="P2922" s="7">
        <v>0</v>
      </c>
      <c r="Q2922" s="7" t="str">
        <f t="shared" si="1011"/>
        <v>都市整備部</v>
      </c>
      <c r="R2922" s="7" t="str">
        <f t="shared" si="1005"/>
        <v>住宅建築局住宅経営室</v>
      </c>
    </row>
    <row r="2923" spans="1:18" s="1" customFormat="1" x14ac:dyDescent="0.45">
      <c r="A2923" s="7" t="str">
        <f t="shared" si="1006"/>
        <v>09940003365</v>
      </c>
      <c r="B2923" s="7" t="str">
        <f t="shared" si="1007"/>
        <v>大東朋来（旧住道）</v>
      </c>
      <c r="C2923" s="7" t="str">
        <f t="shared" si="1008"/>
        <v>行政財産</v>
      </c>
      <c r="D2923" s="7" t="str">
        <f t="shared" si="1009"/>
        <v>公営住宅</v>
      </c>
      <c r="E2923" s="7" t="str">
        <f t="shared" si="1010"/>
        <v>大阪府大東市朋来２丁目</v>
      </c>
      <c r="F2923" s="7"/>
      <c r="G2923" s="7" t="str">
        <f t="shared" si="1004"/>
        <v>事業用資産</v>
      </c>
      <c r="H2923" s="7" t="str">
        <f t="shared" si="1002"/>
        <v>棚卸以外</v>
      </c>
      <c r="I2923" s="7">
        <v>50</v>
      </c>
      <c r="J2923" s="7" t="str">
        <f>"集会所"</f>
        <v>集会所</v>
      </c>
      <c r="K2923" s="7" t="str">
        <f t="shared" si="1012"/>
        <v>鉄筋コンクリート造</v>
      </c>
      <c r="L2923" s="7" t="str">
        <f>"S63.09.28"</f>
        <v>S63.09.28</v>
      </c>
      <c r="M2923" s="7">
        <v>168.42</v>
      </c>
      <c r="N2923" s="7">
        <v>26317000</v>
      </c>
      <c r="O2923" s="7">
        <v>19318068</v>
      </c>
      <c r="P2923" s="7">
        <v>0</v>
      </c>
      <c r="Q2923" s="7" t="str">
        <f t="shared" si="1011"/>
        <v>都市整備部</v>
      </c>
      <c r="R2923" s="7" t="str">
        <f t="shared" si="1005"/>
        <v>住宅建築局住宅経営室</v>
      </c>
    </row>
    <row r="2924" spans="1:18" s="1" customFormat="1" x14ac:dyDescent="0.45">
      <c r="A2924" s="7" t="str">
        <f t="shared" si="1006"/>
        <v>09940003365</v>
      </c>
      <c r="B2924" s="7" t="str">
        <f t="shared" si="1007"/>
        <v>大東朋来（旧住道）</v>
      </c>
      <c r="C2924" s="7" t="str">
        <f t="shared" si="1008"/>
        <v>行政財産</v>
      </c>
      <c r="D2924" s="7" t="str">
        <f t="shared" si="1009"/>
        <v>公営住宅</v>
      </c>
      <c r="E2924" s="7" t="str">
        <f t="shared" si="1010"/>
        <v>大阪府大東市朋来２丁目</v>
      </c>
      <c r="F2924" s="7"/>
      <c r="G2924" s="7" t="str">
        <f t="shared" si="1004"/>
        <v>事業用資産</v>
      </c>
      <c r="H2924" s="7" t="str">
        <f t="shared" si="1002"/>
        <v>棚卸以外</v>
      </c>
      <c r="I2924" s="7">
        <v>51</v>
      </c>
      <c r="J2924" s="7" t="str">
        <f>"受水槽"</f>
        <v>受水槽</v>
      </c>
      <c r="K2924" s="7" t="str">
        <f t="shared" si="1012"/>
        <v>鉄筋コンクリート造</v>
      </c>
      <c r="L2924" s="7" t="str">
        <f>"S63.09.28"</f>
        <v>S63.09.28</v>
      </c>
      <c r="M2924" s="7">
        <v>35.85</v>
      </c>
      <c r="N2924" s="7">
        <v>15783000</v>
      </c>
      <c r="O2924" s="7">
        <v>11585790</v>
      </c>
      <c r="P2924" s="7">
        <v>0</v>
      </c>
      <c r="Q2924" s="7" t="str">
        <f t="shared" si="1011"/>
        <v>都市整備部</v>
      </c>
      <c r="R2924" s="7" t="str">
        <f t="shared" si="1005"/>
        <v>住宅建築局住宅経営室</v>
      </c>
    </row>
    <row r="2925" spans="1:18" s="1" customFormat="1" x14ac:dyDescent="0.45">
      <c r="A2925" s="7" t="str">
        <f t="shared" ref="A2925:A2937" si="1014">"09940003367"</f>
        <v>09940003367</v>
      </c>
      <c r="B2925" s="7" t="str">
        <f t="shared" ref="B2925:B2937" si="1015">"美原北余部"</f>
        <v>美原北余部</v>
      </c>
      <c r="C2925" s="7" t="str">
        <f t="shared" si="1008"/>
        <v>行政財産</v>
      </c>
      <c r="D2925" s="7" t="str">
        <f t="shared" si="1009"/>
        <v>公営住宅</v>
      </c>
      <c r="E2925" s="7" t="str">
        <f t="shared" ref="E2925:E2937" si="1016">"大阪府堺市　美原区北余部"</f>
        <v>大阪府堺市　美原区北余部</v>
      </c>
      <c r="F2925" s="7"/>
      <c r="G2925" s="7" t="str">
        <f t="shared" si="1004"/>
        <v>事業用資産</v>
      </c>
      <c r="H2925" s="7" t="str">
        <f t="shared" si="1002"/>
        <v>棚卸以外</v>
      </c>
      <c r="I2925" s="7">
        <v>1</v>
      </c>
      <c r="J2925" s="7" t="str">
        <f>"７号棟"</f>
        <v>７号棟</v>
      </c>
      <c r="K2925" s="7" t="str">
        <f t="shared" si="1012"/>
        <v>鉄筋コンクリート造</v>
      </c>
      <c r="L2925" s="7" t="str">
        <f>"H09.04.30"</f>
        <v>H09.04.30</v>
      </c>
      <c r="M2925" s="7">
        <v>2197.11</v>
      </c>
      <c r="N2925" s="7">
        <v>375911893</v>
      </c>
      <c r="O2925" s="7">
        <v>207800622</v>
      </c>
      <c r="P2925" s="7">
        <v>0</v>
      </c>
      <c r="Q2925" s="7" t="str">
        <f t="shared" si="1011"/>
        <v>都市整備部</v>
      </c>
      <c r="R2925" s="7" t="str">
        <f t="shared" si="1005"/>
        <v>住宅建築局住宅経営室</v>
      </c>
    </row>
    <row r="2926" spans="1:18" s="1" customFormat="1" x14ac:dyDescent="0.45">
      <c r="A2926" s="7" t="str">
        <f t="shared" si="1014"/>
        <v>09940003367</v>
      </c>
      <c r="B2926" s="7" t="str">
        <f t="shared" si="1015"/>
        <v>美原北余部</v>
      </c>
      <c r="C2926" s="7" t="str">
        <f t="shared" si="1008"/>
        <v>行政財産</v>
      </c>
      <c r="D2926" s="7" t="str">
        <f t="shared" si="1009"/>
        <v>公営住宅</v>
      </c>
      <c r="E2926" s="7" t="str">
        <f t="shared" si="1016"/>
        <v>大阪府堺市　美原区北余部</v>
      </c>
      <c r="F2926" s="7"/>
      <c r="G2926" s="7" t="str">
        <f t="shared" si="1004"/>
        <v>事業用資産</v>
      </c>
      <c r="H2926" s="7" t="str">
        <f t="shared" si="1002"/>
        <v>棚卸以外</v>
      </c>
      <c r="I2926" s="7">
        <v>2</v>
      </c>
      <c r="J2926" s="7" t="str">
        <f>"８号棟"</f>
        <v>８号棟</v>
      </c>
      <c r="K2926" s="7" t="str">
        <f t="shared" si="1012"/>
        <v>鉄筋コンクリート造</v>
      </c>
      <c r="L2926" s="7" t="str">
        <f>"H09.04.30"</f>
        <v>H09.04.30</v>
      </c>
      <c r="M2926" s="7">
        <v>6303.74</v>
      </c>
      <c r="N2926" s="7">
        <v>1044410341</v>
      </c>
      <c r="O2926" s="7">
        <v>576318517</v>
      </c>
      <c r="P2926" s="7">
        <v>0</v>
      </c>
      <c r="Q2926" s="7" t="str">
        <f t="shared" si="1011"/>
        <v>都市整備部</v>
      </c>
      <c r="R2926" s="7" t="str">
        <f t="shared" si="1005"/>
        <v>住宅建築局住宅経営室</v>
      </c>
    </row>
    <row r="2927" spans="1:18" s="1" customFormat="1" x14ac:dyDescent="0.45">
      <c r="A2927" s="7" t="str">
        <f t="shared" si="1014"/>
        <v>09940003367</v>
      </c>
      <c r="B2927" s="7" t="str">
        <f t="shared" si="1015"/>
        <v>美原北余部</v>
      </c>
      <c r="C2927" s="7" t="str">
        <f t="shared" si="1008"/>
        <v>行政財産</v>
      </c>
      <c r="D2927" s="7" t="str">
        <f t="shared" si="1009"/>
        <v>公営住宅</v>
      </c>
      <c r="E2927" s="7" t="str">
        <f t="shared" si="1016"/>
        <v>大阪府堺市　美原区北余部</v>
      </c>
      <c r="F2927" s="7"/>
      <c r="G2927" s="7" t="str">
        <f t="shared" si="1004"/>
        <v>事業用資産</v>
      </c>
      <c r="H2927" s="7" t="str">
        <f t="shared" si="1002"/>
        <v>棚卸以外</v>
      </c>
      <c r="I2927" s="7">
        <v>3</v>
      </c>
      <c r="J2927" s="7" t="str">
        <f>"９号棟"</f>
        <v>９号棟</v>
      </c>
      <c r="K2927" s="7" t="str">
        <f t="shared" si="1012"/>
        <v>鉄筋コンクリート造</v>
      </c>
      <c r="L2927" s="7" t="str">
        <f>"H09.04.30"</f>
        <v>H09.04.30</v>
      </c>
      <c r="M2927" s="7">
        <v>4277.1000000000004</v>
      </c>
      <c r="N2927" s="7">
        <v>755294893</v>
      </c>
      <c r="O2927" s="7">
        <v>416999437</v>
      </c>
      <c r="P2927" s="7">
        <v>0</v>
      </c>
      <c r="Q2927" s="7" t="str">
        <f t="shared" si="1011"/>
        <v>都市整備部</v>
      </c>
      <c r="R2927" s="7" t="str">
        <f t="shared" si="1005"/>
        <v>住宅建築局住宅経営室</v>
      </c>
    </row>
    <row r="2928" spans="1:18" s="1" customFormat="1" x14ac:dyDescent="0.45">
      <c r="A2928" s="7" t="str">
        <f t="shared" si="1014"/>
        <v>09940003367</v>
      </c>
      <c r="B2928" s="7" t="str">
        <f t="shared" si="1015"/>
        <v>美原北余部</v>
      </c>
      <c r="C2928" s="7" t="str">
        <f t="shared" si="1008"/>
        <v>行政財産</v>
      </c>
      <c r="D2928" s="7" t="str">
        <f t="shared" si="1009"/>
        <v>公営住宅</v>
      </c>
      <c r="E2928" s="7" t="str">
        <f t="shared" si="1016"/>
        <v>大阪府堺市　美原区北余部</v>
      </c>
      <c r="F2928" s="7"/>
      <c r="G2928" s="7" t="str">
        <f t="shared" si="1004"/>
        <v>事業用資産</v>
      </c>
      <c r="H2928" s="7" t="str">
        <f t="shared" si="1002"/>
        <v>棚卸以外</v>
      </c>
      <c r="I2928" s="7">
        <v>4</v>
      </c>
      <c r="J2928" s="7" t="str">
        <f>"受水槽・電気室"</f>
        <v>受水槽・電気室</v>
      </c>
      <c r="K2928" s="7" t="str">
        <f t="shared" si="1012"/>
        <v>鉄筋コンクリート造</v>
      </c>
      <c r="L2928" s="7" t="str">
        <f>"H09.04.30"</f>
        <v>H09.04.30</v>
      </c>
      <c r="M2928" s="7">
        <v>148.12</v>
      </c>
      <c r="N2928" s="7">
        <v>32748000</v>
      </c>
      <c r="O2928" s="7">
        <v>18057904</v>
      </c>
      <c r="P2928" s="7">
        <v>0</v>
      </c>
      <c r="Q2928" s="7" t="str">
        <f t="shared" si="1011"/>
        <v>都市整備部</v>
      </c>
      <c r="R2928" s="7" t="str">
        <f t="shared" si="1005"/>
        <v>住宅建築局住宅経営室</v>
      </c>
    </row>
    <row r="2929" spans="1:18" s="1" customFormat="1" x14ac:dyDescent="0.45">
      <c r="A2929" s="7" t="str">
        <f t="shared" si="1014"/>
        <v>09940003367</v>
      </c>
      <c r="B2929" s="7" t="str">
        <f t="shared" si="1015"/>
        <v>美原北余部</v>
      </c>
      <c r="C2929" s="7" t="str">
        <f t="shared" si="1008"/>
        <v>行政財産</v>
      </c>
      <c r="D2929" s="7" t="str">
        <f t="shared" si="1009"/>
        <v>公営住宅</v>
      </c>
      <c r="E2929" s="7" t="str">
        <f t="shared" si="1016"/>
        <v>大阪府堺市　美原区北余部</v>
      </c>
      <c r="F2929" s="7"/>
      <c r="G2929" s="7" t="str">
        <f t="shared" si="1004"/>
        <v>事業用資産</v>
      </c>
      <c r="H2929" s="7" t="str">
        <f t="shared" si="1002"/>
        <v>棚卸以外</v>
      </c>
      <c r="I2929" s="7">
        <v>5</v>
      </c>
      <c r="J2929" s="7" t="str">
        <f>"集会所"</f>
        <v>集会所</v>
      </c>
      <c r="K2929" s="7" t="str">
        <f t="shared" si="1012"/>
        <v>鉄筋コンクリート造</v>
      </c>
      <c r="L2929" s="7" t="str">
        <f>"H10.05.26"</f>
        <v>H10.05.26</v>
      </c>
      <c r="M2929" s="7">
        <v>145.94999999999999</v>
      </c>
      <c r="N2929" s="7">
        <v>36162000</v>
      </c>
      <c r="O2929" s="7">
        <v>19107164</v>
      </c>
      <c r="P2929" s="7">
        <v>0</v>
      </c>
      <c r="Q2929" s="7" t="str">
        <f t="shared" si="1011"/>
        <v>都市整備部</v>
      </c>
      <c r="R2929" s="7" t="str">
        <f t="shared" si="1005"/>
        <v>住宅建築局住宅経営室</v>
      </c>
    </row>
    <row r="2930" spans="1:18" s="1" customFormat="1" x14ac:dyDescent="0.45">
      <c r="A2930" s="7" t="str">
        <f t="shared" si="1014"/>
        <v>09940003367</v>
      </c>
      <c r="B2930" s="7" t="str">
        <f t="shared" si="1015"/>
        <v>美原北余部</v>
      </c>
      <c r="C2930" s="7" t="str">
        <f t="shared" si="1008"/>
        <v>行政財産</v>
      </c>
      <c r="D2930" s="7" t="str">
        <f t="shared" si="1009"/>
        <v>公営住宅</v>
      </c>
      <c r="E2930" s="7" t="str">
        <f t="shared" si="1016"/>
        <v>大阪府堺市　美原区北余部</v>
      </c>
      <c r="F2930" s="7"/>
      <c r="G2930" s="7" t="str">
        <f t="shared" si="1004"/>
        <v>事業用資産</v>
      </c>
      <c r="H2930" s="7" t="str">
        <f t="shared" si="1002"/>
        <v>棚卸以外</v>
      </c>
      <c r="I2930" s="7">
        <v>6</v>
      </c>
      <c r="J2930" s="7" t="str">
        <f>"５号棟"</f>
        <v>５号棟</v>
      </c>
      <c r="K2930" s="7" t="str">
        <f t="shared" si="1012"/>
        <v>鉄筋コンクリート造</v>
      </c>
      <c r="L2930" s="7" t="str">
        <f>"H12.06.29"</f>
        <v>H12.06.29</v>
      </c>
      <c r="M2930" s="7">
        <v>7722.78</v>
      </c>
      <c r="N2930" s="7">
        <v>1172960335</v>
      </c>
      <c r="O2930" s="7">
        <v>568629363</v>
      </c>
      <c r="P2930" s="7">
        <v>0</v>
      </c>
      <c r="Q2930" s="7" t="str">
        <f t="shared" si="1011"/>
        <v>都市整備部</v>
      </c>
      <c r="R2930" s="7" t="str">
        <f t="shared" si="1005"/>
        <v>住宅建築局住宅経営室</v>
      </c>
    </row>
    <row r="2931" spans="1:18" s="1" customFormat="1" x14ac:dyDescent="0.45">
      <c r="A2931" s="7" t="str">
        <f t="shared" si="1014"/>
        <v>09940003367</v>
      </c>
      <c r="B2931" s="7" t="str">
        <f t="shared" si="1015"/>
        <v>美原北余部</v>
      </c>
      <c r="C2931" s="7" t="str">
        <f t="shared" si="1008"/>
        <v>行政財産</v>
      </c>
      <c r="D2931" s="7" t="str">
        <f t="shared" si="1009"/>
        <v>公営住宅</v>
      </c>
      <c r="E2931" s="7" t="str">
        <f t="shared" si="1016"/>
        <v>大阪府堺市　美原区北余部</v>
      </c>
      <c r="F2931" s="7"/>
      <c r="G2931" s="7" t="str">
        <f t="shared" si="1004"/>
        <v>事業用資産</v>
      </c>
      <c r="H2931" s="7" t="str">
        <f t="shared" si="1002"/>
        <v>棚卸以外</v>
      </c>
      <c r="I2931" s="7">
        <v>7</v>
      </c>
      <c r="J2931" s="7" t="str">
        <f>"受水槽ポンプ室"</f>
        <v>受水槽ポンプ室</v>
      </c>
      <c r="K2931" s="7" t="str">
        <f t="shared" si="1012"/>
        <v>鉄筋コンクリート造</v>
      </c>
      <c r="L2931" s="7" t="str">
        <f>"H12.06.29"</f>
        <v>H12.06.29</v>
      </c>
      <c r="M2931" s="7">
        <v>65.430000000000007</v>
      </c>
      <c r="N2931" s="7">
        <v>29117000</v>
      </c>
      <c r="O2931" s="7">
        <v>14093898</v>
      </c>
      <c r="P2931" s="7">
        <v>0</v>
      </c>
      <c r="Q2931" s="7" t="str">
        <f t="shared" si="1011"/>
        <v>都市整備部</v>
      </c>
      <c r="R2931" s="7" t="str">
        <f t="shared" si="1005"/>
        <v>住宅建築局住宅経営室</v>
      </c>
    </row>
    <row r="2932" spans="1:18" s="1" customFormat="1" x14ac:dyDescent="0.45">
      <c r="A2932" s="7" t="str">
        <f t="shared" si="1014"/>
        <v>09940003367</v>
      </c>
      <c r="B2932" s="7" t="str">
        <f t="shared" si="1015"/>
        <v>美原北余部</v>
      </c>
      <c r="C2932" s="7" t="str">
        <f t="shared" si="1008"/>
        <v>行政財産</v>
      </c>
      <c r="D2932" s="7" t="str">
        <f t="shared" si="1009"/>
        <v>公営住宅</v>
      </c>
      <c r="E2932" s="7" t="str">
        <f t="shared" si="1016"/>
        <v>大阪府堺市　美原区北余部</v>
      </c>
      <c r="F2932" s="7"/>
      <c r="G2932" s="7" t="str">
        <f t="shared" si="1004"/>
        <v>事業用資産</v>
      </c>
      <c r="H2932" s="7" t="str">
        <f t="shared" si="1002"/>
        <v>棚卸以外</v>
      </c>
      <c r="I2932" s="7">
        <v>8</v>
      </c>
      <c r="J2932" s="7" t="str">
        <f>"４号棟"</f>
        <v>４号棟</v>
      </c>
      <c r="K2932" s="7" t="str">
        <f t="shared" si="1012"/>
        <v>鉄筋コンクリート造</v>
      </c>
      <c r="L2932" s="7" t="str">
        <f>"H12.09.27"</f>
        <v>H12.09.27</v>
      </c>
      <c r="M2932" s="7">
        <v>7722.78</v>
      </c>
      <c r="N2932" s="7">
        <v>1189521218</v>
      </c>
      <c r="O2932" s="7">
        <v>570435630</v>
      </c>
      <c r="P2932" s="7">
        <v>0</v>
      </c>
      <c r="Q2932" s="7" t="str">
        <f t="shared" si="1011"/>
        <v>都市整備部</v>
      </c>
      <c r="R2932" s="7" t="str">
        <f t="shared" si="1005"/>
        <v>住宅建築局住宅経営室</v>
      </c>
    </row>
    <row r="2933" spans="1:18" s="1" customFormat="1" x14ac:dyDescent="0.45">
      <c r="A2933" s="7" t="str">
        <f t="shared" si="1014"/>
        <v>09940003367</v>
      </c>
      <c r="B2933" s="7" t="str">
        <f t="shared" si="1015"/>
        <v>美原北余部</v>
      </c>
      <c r="C2933" s="7" t="str">
        <f t="shared" si="1008"/>
        <v>行政財産</v>
      </c>
      <c r="D2933" s="7" t="str">
        <f t="shared" si="1009"/>
        <v>公営住宅</v>
      </c>
      <c r="E2933" s="7" t="str">
        <f t="shared" si="1016"/>
        <v>大阪府堺市　美原区北余部</v>
      </c>
      <c r="F2933" s="7"/>
      <c r="G2933" s="7" t="str">
        <f t="shared" si="1004"/>
        <v>事業用資産</v>
      </c>
      <c r="H2933" s="7" t="str">
        <f t="shared" si="1002"/>
        <v>棚卸以外</v>
      </c>
      <c r="I2933" s="7">
        <v>9</v>
      </c>
      <c r="J2933" s="7" t="str">
        <f>"１号棟"</f>
        <v>１号棟</v>
      </c>
      <c r="K2933" s="7" t="str">
        <f t="shared" si="1012"/>
        <v>鉄筋コンクリート造</v>
      </c>
      <c r="L2933" s="7" t="str">
        <f>"H15.04.28"</f>
        <v>H15.04.28</v>
      </c>
      <c r="M2933" s="7">
        <v>3836.26</v>
      </c>
      <c r="N2933" s="7">
        <v>514255384</v>
      </c>
      <c r="O2933" s="7">
        <v>218614787</v>
      </c>
      <c r="P2933" s="7">
        <v>0</v>
      </c>
      <c r="Q2933" s="7" t="str">
        <f t="shared" si="1011"/>
        <v>都市整備部</v>
      </c>
      <c r="R2933" s="7" t="str">
        <f t="shared" si="1005"/>
        <v>住宅建築局住宅経営室</v>
      </c>
    </row>
    <row r="2934" spans="1:18" s="1" customFormat="1" x14ac:dyDescent="0.45">
      <c r="A2934" s="7" t="str">
        <f t="shared" si="1014"/>
        <v>09940003367</v>
      </c>
      <c r="B2934" s="7" t="str">
        <f t="shared" si="1015"/>
        <v>美原北余部</v>
      </c>
      <c r="C2934" s="7" t="str">
        <f t="shared" si="1008"/>
        <v>行政財産</v>
      </c>
      <c r="D2934" s="7" t="str">
        <f t="shared" si="1009"/>
        <v>公営住宅</v>
      </c>
      <c r="E2934" s="7" t="str">
        <f t="shared" si="1016"/>
        <v>大阪府堺市　美原区北余部</v>
      </c>
      <c r="F2934" s="7"/>
      <c r="G2934" s="7" t="str">
        <f t="shared" si="1004"/>
        <v>事業用資産</v>
      </c>
      <c r="H2934" s="7" t="str">
        <f t="shared" si="1002"/>
        <v>棚卸以外</v>
      </c>
      <c r="I2934" s="7">
        <v>10</v>
      </c>
      <c r="J2934" s="7" t="str">
        <f>"２号棟"</f>
        <v>２号棟</v>
      </c>
      <c r="K2934" s="7" t="str">
        <f t="shared" si="1012"/>
        <v>鉄筋コンクリート造</v>
      </c>
      <c r="L2934" s="7" t="str">
        <f>"H15.04.28"</f>
        <v>H15.04.28</v>
      </c>
      <c r="M2934" s="7">
        <v>3222.3</v>
      </c>
      <c r="N2934" s="7">
        <v>452761384</v>
      </c>
      <c r="O2934" s="7">
        <v>192556139</v>
      </c>
      <c r="P2934" s="7">
        <v>0</v>
      </c>
      <c r="Q2934" s="7" t="str">
        <f t="shared" si="1011"/>
        <v>都市整備部</v>
      </c>
      <c r="R2934" s="7" t="str">
        <f t="shared" si="1005"/>
        <v>住宅建築局住宅経営室</v>
      </c>
    </row>
    <row r="2935" spans="1:18" s="1" customFormat="1" x14ac:dyDescent="0.45">
      <c r="A2935" s="7" t="str">
        <f t="shared" si="1014"/>
        <v>09940003367</v>
      </c>
      <c r="B2935" s="7" t="str">
        <f t="shared" si="1015"/>
        <v>美原北余部</v>
      </c>
      <c r="C2935" s="7" t="str">
        <f t="shared" si="1008"/>
        <v>行政財産</v>
      </c>
      <c r="D2935" s="7" t="str">
        <f t="shared" si="1009"/>
        <v>公営住宅</v>
      </c>
      <c r="E2935" s="7" t="str">
        <f t="shared" si="1016"/>
        <v>大阪府堺市　美原区北余部</v>
      </c>
      <c r="F2935" s="7"/>
      <c r="G2935" s="7" t="str">
        <f t="shared" si="1004"/>
        <v>事業用資産</v>
      </c>
      <c r="H2935" s="7" t="str">
        <f t="shared" si="1002"/>
        <v>棚卸以外</v>
      </c>
      <c r="I2935" s="7">
        <v>11</v>
      </c>
      <c r="J2935" s="7" t="str">
        <f>"受水槽ポンプ室・電気室"</f>
        <v>受水槽ポンプ室・電気室</v>
      </c>
      <c r="K2935" s="7" t="str">
        <f t="shared" si="1012"/>
        <v>鉄筋コンクリート造</v>
      </c>
      <c r="L2935" s="7" t="str">
        <f>"H15.04.28"</f>
        <v>H15.04.28</v>
      </c>
      <c r="M2935" s="7">
        <v>68.400000000000006</v>
      </c>
      <c r="N2935" s="7">
        <v>17873000</v>
      </c>
      <c r="O2935" s="7">
        <v>7573910</v>
      </c>
      <c r="P2935" s="7">
        <v>0</v>
      </c>
      <c r="Q2935" s="7" t="str">
        <f t="shared" si="1011"/>
        <v>都市整備部</v>
      </c>
      <c r="R2935" s="7" t="str">
        <f t="shared" si="1005"/>
        <v>住宅建築局住宅経営室</v>
      </c>
    </row>
    <row r="2936" spans="1:18" s="1" customFormat="1" x14ac:dyDescent="0.45">
      <c r="A2936" s="7" t="str">
        <f t="shared" si="1014"/>
        <v>09940003367</v>
      </c>
      <c r="B2936" s="7" t="str">
        <f t="shared" si="1015"/>
        <v>美原北余部</v>
      </c>
      <c r="C2936" s="7" t="str">
        <f t="shared" si="1008"/>
        <v>行政財産</v>
      </c>
      <c r="D2936" s="7" t="str">
        <f t="shared" si="1009"/>
        <v>公営住宅</v>
      </c>
      <c r="E2936" s="7" t="str">
        <f t="shared" si="1016"/>
        <v>大阪府堺市　美原区北余部</v>
      </c>
      <c r="F2936" s="7"/>
      <c r="G2936" s="7" t="str">
        <f t="shared" si="1004"/>
        <v>事業用資産</v>
      </c>
      <c r="H2936" s="7" t="str">
        <f t="shared" si="1002"/>
        <v>棚卸以外</v>
      </c>
      <c r="I2936" s="7">
        <v>12</v>
      </c>
      <c r="J2936" s="7" t="str">
        <f>"３号棟"</f>
        <v>３号棟</v>
      </c>
      <c r="K2936" s="7" t="str">
        <f t="shared" si="1012"/>
        <v>鉄筋コンクリート造</v>
      </c>
      <c r="L2936" s="7" t="str">
        <f>"H15.08.28"</f>
        <v>H15.08.28</v>
      </c>
      <c r="M2936" s="7">
        <v>7263.09</v>
      </c>
      <c r="N2936" s="7">
        <v>1049106770</v>
      </c>
      <c r="O2936" s="7">
        <v>438557205</v>
      </c>
      <c r="P2936" s="7">
        <v>0</v>
      </c>
      <c r="Q2936" s="7" t="str">
        <f t="shared" si="1011"/>
        <v>都市整備部</v>
      </c>
      <c r="R2936" s="7" t="str">
        <f t="shared" si="1005"/>
        <v>住宅建築局住宅経営室</v>
      </c>
    </row>
    <row r="2937" spans="1:18" s="1" customFormat="1" x14ac:dyDescent="0.45">
      <c r="A2937" s="7" t="str">
        <f t="shared" si="1014"/>
        <v>09940003367</v>
      </c>
      <c r="B2937" s="7" t="str">
        <f t="shared" si="1015"/>
        <v>美原北余部</v>
      </c>
      <c r="C2937" s="7" t="str">
        <f t="shared" si="1008"/>
        <v>行政財産</v>
      </c>
      <c r="D2937" s="7" t="str">
        <f t="shared" si="1009"/>
        <v>公営住宅</v>
      </c>
      <c r="E2937" s="7" t="str">
        <f t="shared" si="1016"/>
        <v>大阪府堺市　美原区北余部</v>
      </c>
      <c r="F2937" s="7"/>
      <c r="G2937" s="7" t="str">
        <f t="shared" si="1004"/>
        <v>事業用資産</v>
      </c>
      <c r="H2937" s="7" t="str">
        <f t="shared" si="1002"/>
        <v>棚卸以外</v>
      </c>
      <c r="I2937" s="7">
        <v>13</v>
      </c>
      <c r="J2937" s="7" t="str">
        <f>"受水槽ポンプ室・電気室"</f>
        <v>受水槽ポンプ室・電気室</v>
      </c>
      <c r="K2937" s="7" t="str">
        <f t="shared" si="1012"/>
        <v>鉄筋コンクリート造</v>
      </c>
      <c r="L2937" s="7" t="str">
        <f>"H15.08.28"</f>
        <v>H15.08.28</v>
      </c>
      <c r="M2937" s="7">
        <v>71.5</v>
      </c>
      <c r="N2937" s="7">
        <v>22206000</v>
      </c>
      <c r="O2937" s="7">
        <v>9252655</v>
      </c>
      <c r="P2937" s="7">
        <v>0</v>
      </c>
      <c r="Q2937" s="7" t="str">
        <f t="shared" si="1011"/>
        <v>都市整備部</v>
      </c>
      <c r="R2937" s="7" t="str">
        <f t="shared" si="1005"/>
        <v>住宅建築局住宅経営室</v>
      </c>
    </row>
    <row r="2938" spans="1:18" s="1" customFormat="1" x14ac:dyDescent="0.45">
      <c r="A2938" s="7" t="str">
        <f>"09940003368"</f>
        <v>09940003368</v>
      </c>
      <c r="B2938" s="7" t="str">
        <f>"寝屋川大利"</f>
        <v>寝屋川大利</v>
      </c>
      <c r="C2938" s="7" t="str">
        <f t="shared" si="1008"/>
        <v>行政財産</v>
      </c>
      <c r="D2938" s="7" t="str">
        <f t="shared" si="1009"/>
        <v>公営住宅</v>
      </c>
      <c r="E2938" s="7" t="str">
        <f>"大阪府寝屋川市大利町"</f>
        <v>大阪府寝屋川市大利町</v>
      </c>
      <c r="F2938" s="7"/>
      <c r="G2938" s="7" t="str">
        <f t="shared" si="1004"/>
        <v>事業用資産</v>
      </c>
      <c r="H2938" s="7" t="str">
        <f t="shared" si="1002"/>
        <v>棚卸以外</v>
      </c>
      <c r="I2938" s="7">
        <v>1</v>
      </c>
      <c r="J2938" s="7" t="str">
        <f>"１号棟"</f>
        <v>１号棟</v>
      </c>
      <c r="K2938" s="7" t="str">
        <f t="shared" si="1012"/>
        <v>鉄筋コンクリート造</v>
      </c>
      <c r="L2938" s="7" t="str">
        <f>"S60.03.28"</f>
        <v>S60.03.28</v>
      </c>
      <c r="M2938" s="7">
        <v>2144.9699999999998</v>
      </c>
      <c r="N2938" s="7">
        <v>277918950</v>
      </c>
      <c r="O2938" s="7">
        <v>224563128</v>
      </c>
      <c r="P2938" s="7">
        <v>0</v>
      </c>
      <c r="Q2938" s="7" t="str">
        <f t="shared" si="1011"/>
        <v>都市整備部</v>
      </c>
      <c r="R2938" s="7" t="str">
        <f t="shared" si="1005"/>
        <v>住宅建築局住宅経営室</v>
      </c>
    </row>
    <row r="2939" spans="1:18" s="1" customFormat="1" x14ac:dyDescent="0.45">
      <c r="A2939" s="7" t="str">
        <f>"09940003368"</f>
        <v>09940003368</v>
      </c>
      <c r="B2939" s="7" t="str">
        <f>"寝屋川大利"</f>
        <v>寝屋川大利</v>
      </c>
      <c r="C2939" s="7" t="str">
        <f t="shared" si="1008"/>
        <v>行政財産</v>
      </c>
      <c r="D2939" s="7" t="str">
        <f t="shared" si="1009"/>
        <v>公営住宅</v>
      </c>
      <c r="E2939" s="7" t="str">
        <f>"大阪府寝屋川市大利町"</f>
        <v>大阪府寝屋川市大利町</v>
      </c>
      <c r="F2939" s="7"/>
      <c r="G2939" s="7" t="str">
        <f t="shared" si="1004"/>
        <v>事業用資産</v>
      </c>
      <c r="H2939" s="7" t="str">
        <f t="shared" si="1002"/>
        <v>棚卸以外</v>
      </c>
      <c r="I2939" s="7">
        <v>2</v>
      </c>
      <c r="J2939" s="7" t="str">
        <f>"２号棟"</f>
        <v>２号棟</v>
      </c>
      <c r="K2939" s="7" t="str">
        <f t="shared" si="1012"/>
        <v>鉄筋コンクリート造</v>
      </c>
      <c r="L2939" s="7" t="str">
        <f>"S60.03.28"</f>
        <v>S60.03.28</v>
      </c>
      <c r="M2939" s="7">
        <v>1410.99</v>
      </c>
      <c r="N2939" s="7">
        <v>180314000</v>
      </c>
      <c r="O2939" s="7">
        <v>145785936</v>
      </c>
      <c r="P2939" s="7">
        <v>0</v>
      </c>
      <c r="Q2939" s="7" t="str">
        <f t="shared" si="1011"/>
        <v>都市整備部</v>
      </c>
      <c r="R2939" s="7" t="str">
        <f t="shared" si="1005"/>
        <v>住宅建築局住宅経営室</v>
      </c>
    </row>
    <row r="2940" spans="1:18" s="1" customFormat="1" x14ac:dyDescent="0.45">
      <c r="A2940" s="7" t="str">
        <f>"09940003368"</f>
        <v>09940003368</v>
      </c>
      <c r="B2940" s="7" t="str">
        <f>"寝屋川大利"</f>
        <v>寝屋川大利</v>
      </c>
      <c r="C2940" s="7" t="str">
        <f t="shared" si="1008"/>
        <v>行政財産</v>
      </c>
      <c r="D2940" s="7" t="str">
        <f t="shared" si="1009"/>
        <v>公営住宅</v>
      </c>
      <c r="E2940" s="7" t="str">
        <f>"大阪府寝屋川市大利町"</f>
        <v>大阪府寝屋川市大利町</v>
      </c>
      <c r="F2940" s="7"/>
      <c r="G2940" s="7" t="str">
        <f t="shared" si="1004"/>
        <v>事業用資産</v>
      </c>
      <c r="H2940" s="7" t="str">
        <f t="shared" si="1002"/>
        <v>棚卸以外</v>
      </c>
      <c r="I2940" s="7">
        <v>3</v>
      </c>
      <c r="J2940" s="7" t="str">
        <f>"３号棟"</f>
        <v>３号棟</v>
      </c>
      <c r="K2940" s="7" t="str">
        <f t="shared" si="1012"/>
        <v>鉄筋コンクリート造</v>
      </c>
      <c r="L2940" s="7" t="str">
        <f>"S60.03.28"</f>
        <v>S60.03.28</v>
      </c>
      <c r="M2940" s="7">
        <v>2116.46</v>
      </c>
      <c r="N2940" s="7">
        <v>240922000</v>
      </c>
      <c r="O2940" s="7">
        <v>194788152</v>
      </c>
      <c r="P2940" s="7">
        <v>0</v>
      </c>
      <c r="Q2940" s="7" t="str">
        <f t="shared" si="1011"/>
        <v>都市整備部</v>
      </c>
      <c r="R2940" s="7" t="str">
        <f t="shared" si="1005"/>
        <v>住宅建築局住宅経営室</v>
      </c>
    </row>
    <row r="2941" spans="1:18" s="1" customFormat="1" x14ac:dyDescent="0.45">
      <c r="A2941" s="7" t="str">
        <f>"09940003368"</f>
        <v>09940003368</v>
      </c>
      <c r="B2941" s="7" t="str">
        <f>"寝屋川大利"</f>
        <v>寝屋川大利</v>
      </c>
      <c r="C2941" s="7" t="str">
        <f t="shared" si="1008"/>
        <v>行政財産</v>
      </c>
      <c r="D2941" s="7" t="str">
        <f t="shared" si="1009"/>
        <v>公営住宅</v>
      </c>
      <c r="E2941" s="7" t="str">
        <f>"大阪府寝屋川市大利町"</f>
        <v>大阪府寝屋川市大利町</v>
      </c>
      <c r="F2941" s="7"/>
      <c r="G2941" s="7" t="str">
        <f t="shared" si="1004"/>
        <v>事業用資産</v>
      </c>
      <c r="H2941" s="7" t="str">
        <f t="shared" si="1002"/>
        <v>棚卸以外</v>
      </c>
      <c r="I2941" s="7">
        <v>4</v>
      </c>
      <c r="J2941" s="7" t="str">
        <f>"集会室"</f>
        <v>集会室</v>
      </c>
      <c r="K2941" s="7" t="str">
        <f t="shared" si="1012"/>
        <v>鉄筋コンクリート造</v>
      </c>
      <c r="L2941" s="7" t="str">
        <f>"S60.03.28"</f>
        <v>S60.03.28</v>
      </c>
      <c r="M2941" s="7">
        <v>81.739999999999995</v>
      </c>
      <c r="N2941" s="7">
        <v>16615000</v>
      </c>
      <c r="O2941" s="7">
        <v>13433760</v>
      </c>
      <c r="P2941" s="7">
        <v>0</v>
      </c>
      <c r="Q2941" s="7" t="str">
        <f t="shared" si="1011"/>
        <v>都市整備部</v>
      </c>
      <c r="R2941" s="7" t="str">
        <f t="shared" si="1005"/>
        <v>住宅建築局住宅経営室</v>
      </c>
    </row>
    <row r="2942" spans="1:18" s="1" customFormat="1" x14ac:dyDescent="0.45">
      <c r="A2942" s="7" t="str">
        <f>"09940003368"</f>
        <v>09940003368</v>
      </c>
      <c r="B2942" s="7" t="str">
        <f>"寝屋川大利"</f>
        <v>寝屋川大利</v>
      </c>
      <c r="C2942" s="7" t="str">
        <f t="shared" si="1008"/>
        <v>行政財産</v>
      </c>
      <c r="D2942" s="7" t="str">
        <f t="shared" si="1009"/>
        <v>公営住宅</v>
      </c>
      <c r="E2942" s="7" t="str">
        <f>"大阪府寝屋川市大利町"</f>
        <v>大阪府寝屋川市大利町</v>
      </c>
      <c r="F2942" s="7"/>
      <c r="G2942" s="7" t="str">
        <f t="shared" si="1004"/>
        <v>事業用資産</v>
      </c>
      <c r="H2942" s="7" t="str">
        <f t="shared" si="1002"/>
        <v>棚卸以外</v>
      </c>
      <c r="I2942" s="7">
        <v>5</v>
      </c>
      <c r="J2942" s="7" t="str">
        <f>"受水槽"</f>
        <v>受水槽</v>
      </c>
      <c r="K2942" s="7" t="str">
        <f t="shared" si="1012"/>
        <v>鉄筋コンクリート造</v>
      </c>
      <c r="L2942" s="7" t="str">
        <f>"S60.03.28"</f>
        <v>S60.03.28</v>
      </c>
      <c r="M2942" s="7">
        <v>66.3</v>
      </c>
      <c r="N2942" s="7">
        <v>17823000</v>
      </c>
      <c r="O2942" s="7">
        <v>14410512</v>
      </c>
      <c r="P2942" s="7">
        <v>0</v>
      </c>
      <c r="Q2942" s="7" t="str">
        <f t="shared" si="1011"/>
        <v>都市整備部</v>
      </c>
      <c r="R2942" s="7" t="str">
        <f t="shared" si="1005"/>
        <v>住宅建築局住宅経営室</v>
      </c>
    </row>
    <row r="2943" spans="1:18" s="1" customFormat="1" x14ac:dyDescent="0.45">
      <c r="A2943" s="7" t="str">
        <f t="shared" ref="A2943:A2948" si="1017">"09940003369"</f>
        <v>09940003369</v>
      </c>
      <c r="B2943" s="7" t="str">
        <f t="shared" ref="B2943:B2948" si="1018">"寝屋川香里"</f>
        <v>寝屋川香里</v>
      </c>
      <c r="C2943" s="7" t="str">
        <f t="shared" si="1008"/>
        <v>行政財産</v>
      </c>
      <c r="D2943" s="7" t="str">
        <f t="shared" si="1009"/>
        <v>公営住宅</v>
      </c>
      <c r="E2943" s="7" t="str">
        <f t="shared" ref="E2943:E2948" si="1019">"大阪府寝屋川市美井町"</f>
        <v>大阪府寝屋川市美井町</v>
      </c>
      <c r="F2943" s="7"/>
      <c r="G2943" s="7" t="str">
        <f t="shared" si="1004"/>
        <v>事業用資産</v>
      </c>
      <c r="H2943" s="7" t="str">
        <f t="shared" si="1002"/>
        <v>棚卸以外</v>
      </c>
      <c r="I2943" s="7">
        <v>1</v>
      </c>
      <c r="J2943" s="7" t="str">
        <f>"１号棟"</f>
        <v>１号棟</v>
      </c>
      <c r="K2943" s="7" t="str">
        <f t="shared" si="1012"/>
        <v>鉄筋コンクリート造</v>
      </c>
      <c r="L2943" s="7" t="str">
        <f>"S60.03.20"</f>
        <v>S60.03.20</v>
      </c>
      <c r="M2943" s="7">
        <v>1298.8699999999999</v>
      </c>
      <c r="N2943" s="7">
        <v>178201950</v>
      </c>
      <c r="O2943" s="7">
        <v>143940960</v>
      </c>
      <c r="P2943" s="7">
        <v>0</v>
      </c>
      <c r="Q2943" s="7" t="str">
        <f t="shared" si="1011"/>
        <v>都市整備部</v>
      </c>
      <c r="R2943" s="7" t="str">
        <f t="shared" si="1005"/>
        <v>住宅建築局住宅経営室</v>
      </c>
    </row>
    <row r="2944" spans="1:18" s="1" customFormat="1" x14ac:dyDescent="0.45">
      <c r="A2944" s="7" t="str">
        <f t="shared" si="1017"/>
        <v>09940003369</v>
      </c>
      <c r="B2944" s="7" t="str">
        <f t="shared" si="1018"/>
        <v>寝屋川香里</v>
      </c>
      <c r="C2944" s="7" t="str">
        <f t="shared" si="1008"/>
        <v>行政財産</v>
      </c>
      <c r="D2944" s="7" t="str">
        <f t="shared" si="1009"/>
        <v>公営住宅</v>
      </c>
      <c r="E2944" s="7" t="str">
        <f t="shared" si="1019"/>
        <v>大阪府寝屋川市美井町</v>
      </c>
      <c r="F2944" s="7"/>
      <c r="G2944" s="7" t="str">
        <f t="shared" si="1004"/>
        <v>事業用資産</v>
      </c>
      <c r="H2944" s="7" t="str">
        <f t="shared" si="1002"/>
        <v>棚卸以外</v>
      </c>
      <c r="I2944" s="7">
        <v>2</v>
      </c>
      <c r="J2944" s="7" t="str">
        <f>"２号棟"</f>
        <v>２号棟</v>
      </c>
      <c r="K2944" s="7" t="str">
        <f t="shared" si="1012"/>
        <v>鉄筋コンクリート造</v>
      </c>
      <c r="L2944" s="7" t="str">
        <f>"S60.03.20"</f>
        <v>S60.03.20</v>
      </c>
      <c r="M2944" s="7">
        <v>1289.0999999999999</v>
      </c>
      <c r="N2944" s="7">
        <v>167365000</v>
      </c>
      <c r="O2944" s="7">
        <v>135316632</v>
      </c>
      <c r="P2944" s="7">
        <v>0</v>
      </c>
      <c r="Q2944" s="7" t="str">
        <f t="shared" si="1011"/>
        <v>都市整備部</v>
      </c>
      <c r="R2944" s="7" t="str">
        <f t="shared" si="1005"/>
        <v>住宅建築局住宅経営室</v>
      </c>
    </row>
    <row r="2945" spans="1:18" s="1" customFormat="1" x14ac:dyDescent="0.45">
      <c r="A2945" s="7" t="str">
        <f t="shared" si="1017"/>
        <v>09940003369</v>
      </c>
      <c r="B2945" s="7" t="str">
        <f t="shared" si="1018"/>
        <v>寝屋川香里</v>
      </c>
      <c r="C2945" s="7" t="str">
        <f t="shared" si="1008"/>
        <v>行政財産</v>
      </c>
      <c r="D2945" s="7" t="str">
        <f t="shared" si="1009"/>
        <v>公営住宅</v>
      </c>
      <c r="E2945" s="7" t="str">
        <f t="shared" si="1019"/>
        <v>大阪府寝屋川市美井町</v>
      </c>
      <c r="F2945" s="7"/>
      <c r="G2945" s="7" t="str">
        <f t="shared" si="1004"/>
        <v>事業用資産</v>
      </c>
      <c r="H2945" s="7" t="str">
        <f t="shared" si="1002"/>
        <v>棚卸以外</v>
      </c>
      <c r="I2945" s="7">
        <v>3</v>
      </c>
      <c r="J2945" s="7" t="str">
        <f>"受水槽"</f>
        <v>受水槽</v>
      </c>
      <c r="K2945" s="7" t="str">
        <f t="shared" si="1012"/>
        <v>鉄筋コンクリート造</v>
      </c>
      <c r="L2945" s="7" t="str">
        <f>"S60.03.20"</f>
        <v>S60.03.20</v>
      </c>
      <c r="M2945" s="7">
        <v>31.07</v>
      </c>
      <c r="N2945" s="7">
        <v>14221000</v>
      </c>
      <c r="O2945" s="7">
        <v>11498040</v>
      </c>
      <c r="P2945" s="7">
        <v>0</v>
      </c>
      <c r="Q2945" s="7" t="str">
        <f t="shared" si="1011"/>
        <v>都市整備部</v>
      </c>
      <c r="R2945" s="7" t="str">
        <f t="shared" si="1005"/>
        <v>住宅建築局住宅経営室</v>
      </c>
    </row>
    <row r="2946" spans="1:18" s="1" customFormat="1" x14ac:dyDescent="0.45">
      <c r="A2946" s="7" t="str">
        <f t="shared" si="1017"/>
        <v>09940003369</v>
      </c>
      <c r="B2946" s="7" t="str">
        <f t="shared" si="1018"/>
        <v>寝屋川香里</v>
      </c>
      <c r="C2946" s="7" t="str">
        <f t="shared" si="1008"/>
        <v>行政財産</v>
      </c>
      <c r="D2946" s="7" t="str">
        <f t="shared" si="1009"/>
        <v>公営住宅</v>
      </c>
      <c r="E2946" s="7" t="str">
        <f t="shared" si="1019"/>
        <v>大阪府寝屋川市美井町</v>
      </c>
      <c r="F2946" s="7"/>
      <c r="G2946" s="7" t="str">
        <f t="shared" si="1004"/>
        <v>事業用資産</v>
      </c>
      <c r="H2946" s="7" t="str">
        <f t="shared" si="1002"/>
        <v>棚卸以外</v>
      </c>
      <c r="I2946" s="7">
        <v>4</v>
      </c>
      <c r="J2946" s="7" t="str">
        <f>"集会所"</f>
        <v>集会所</v>
      </c>
      <c r="K2946" s="7" t="str">
        <f t="shared" ref="K2946:K2977" si="1020">"鉄筋コンクリート造"</f>
        <v>鉄筋コンクリート造</v>
      </c>
      <c r="L2946" s="7" t="str">
        <f>"S62.02.20"</f>
        <v>S62.02.20</v>
      </c>
      <c r="M2946" s="7">
        <v>71.760000000000005</v>
      </c>
      <c r="N2946" s="7">
        <v>17016000</v>
      </c>
      <c r="O2946" s="7">
        <v>13064043</v>
      </c>
      <c r="P2946" s="7">
        <v>0</v>
      </c>
      <c r="Q2946" s="7" t="str">
        <f t="shared" si="1011"/>
        <v>都市整備部</v>
      </c>
      <c r="R2946" s="7" t="str">
        <f t="shared" si="1005"/>
        <v>住宅建築局住宅経営室</v>
      </c>
    </row>
    <row r="2947" spans="1:18" s="1" customFormat="1" x14ac:dyDescent="0.45">
      <c r="A2947" s="7" t="str">
        <f t="shared" si="1017"/>
        <v>09940003369</v>
      </c>
      <c r="B2947" s="7" t="str">
        <f t="shared" si="1018"/>
        <v>寝屋川香里</v>
      </c>
      <c r="C2947" s="7" t="str">
        <f t="shared" si="1008"/>
        <v>行政財産</v>
      </c>
      <c r="D2947" s="7" t="str">
        <f t="shared" si="1009"/>
        <v>公営住宅</v>
      </c>
      <c r="E2947" s="7" t="str">
        <f t="shared" si="1019"/>
        <v>大阪府寝屋川市美井町</v>
      </c>
      <c r="F2947" s="7"/>
      <c r="G2947" s="7" t="str">
        <f t="shared" si="1004"/>
        <v>事業用資産</v>
      </c>
      <c r="H2947" s="7" t="str">
        <f t="shared" si="1002"/>
        <v>棚卸以外</v>
      </c>
      <c r="I2947" s="7">
        <v>5</v>
      </c>
      <c r="J2947" s="7" t="str">
        <f>"３号棟"</f>
        <v>３号棟</v>
      </c>
      <c r="K2947" s="7" t="str">
        <f t="shared" si="1020"/>
        <v>鉄筋コンクリート造</v>
      </c>
      <c r="L2947" s="7" t="str">
        <f>"S63.04.01"</f>
        <v>S63.04.01</v>
      </c>
      <c r="M2947" s="7">
        <v>1289.0999999999999</v>
      </c>
      <c r="N2947" s="7">
        <v>151113950</v>
      </c>
      <c r="O2947" s="7">
        <v>112137808</v>
      </c>
      <c r="P2947" s="7">
        <v>0</v>
      </c>
      <c r="Q2947" s="7" t="str">
        <f t="shared" si="1011"/>
        <v>都市整備部</v>
      </c>
      <c r="R2947" s="7" t="str">
        <f t="shared" si="1005"/>
        <v>住宅建築局住宅経営室</v>
      </c>
    </row>
    <row r="2948" spans="1:18" s="1" customFormat="1" x14ac:dyDescent="0.45">
      <c r="A2948" s="7" t="str">
        <f t="shared" si="1017"/>
        <v>09940003369</v>
      </c>
      <c r="B2948" s="7" t="str">
        <f t="shared" si="1018"/>
        <v>寝屋川香里</v>
      </c>
      <c r="C2948" s="7" t="str">
        <f t="shared" si="1008"/>
        <v>行政財産</v>
      </c>
      <c r="D2948" s="7" t="str">
        <f t="shared" si="1009"/>
        <v>公営住宅</v>
      </c>
      <c r="E2948" s="7" t="str">
        <f t="shared" si="1019"/>
        <v>大阪府寝屋川市美井町</v>
      </c>
      <c r="F2948" s="7"/>
      <c r="G2948" s="7" t="str">
        <f t="shared" si="1004"/>
        <v>事業用資産</v>
      </c>
      <c r="H2948" s="7" t="str">
        <f t="shared" ref="H2948:H3011" si="1021">"棚卸以外"</f>
        <v>棚卸以外</v>
      </c>
      <c r="I2948" s="7">
        <v>6</v>
      </c>
      <c r="J2948" s="7" t="str">
        <f>"４号棟"</f>
        <v>４号棟</v>
      </c>
      <c r="K2948" s="7" t="str">
        <f t="shared" si="1020"/>
        <v>鉄筋コンクリート造</v>
      </c>
      <c r="L2948" s="7" t="str">
        <f>"S63.04.01"</f>
        <v>S63.04.01</v>
      </c>
      <c r="M2948" s="7">
        <v>859.41</v>
      </c>
      <c r="N2948" s="7">
        <v>103083950</v>
      </c>
      <c r="O2948" s="7">
        <v>76455768</v>
      </c>
      <c r="P2948" s="7">
        <v>0</v>
      </c>
      <c r="Q2948" s="7" t="str">
        <f t="shared" si="1011"/>
        <v>都市整備部</v>
      </c>
      <c r="R2948" s="7" t="str">
        <f t="shared" si="1005"/>
        <v>住宅建築局住宅経営室</v>
      </c>
    </row>
    <row r="2949" spans="1:18" s="1" customFormat="1" x14ac:dyDescent="0.45">
      <c r="A2949" s="7" t="str">
        <f t="shared" ref="A2949:A2954" si="1022">"09940003370"</f>
        <v>09940003370</v>
      </c>
      <c r="B2949" s="7" t="str">
        <f t="shared" ref="B2949:B2954" si="1023">"河内長野千代田台（旧千代田台）"</f>
        <v>河内長野千代田台（旧千代田台）</v>
      </c>
      <c r="C2949" s="7" t="str">
        <f t="shared" si="1008"/>
        <v>行政財産</v>
      </c>
      <c r="D2949" s="7" t="str">
        <f t="shared" si="1009"/>
        <v>公営住宅</v>
      </c>
      <c r="E2949" s="7" t="str">
        <f t="shared" ref="E2949:E2954" si="1024">"大阪府河内長野市千代田台町"</f>
        <v>大阪府河内長野市千代田台町</v>
      </c>
      <c r="F2949" s="7"/>
      <c r="G2949" s="7" t="str">
        <f t="shared" si="1004"/>
        <v>事業用資産</v>
      </c>
      <c r="H2949" s="7" t="str">
        <f t="shared" si="1021"/>
        <v>棚卸以外</v>
      </c>
      <c r="I2949" s="7">
        <v>1</v>
      </c>
      <c r="J2949" s="7" t="str">
        <f>"１～８号棟"</f>
        <v>１～８号棟</v>
      </c>
      <c r="K2949" s="7" t="str">
        <f t="shared" si="1020"/>
        <v>鉄筋コンクリート造</v>
      </c>
      <c r="L2949" s="7" t="str">
        <f>"S42.05.30"</f>
        <v>S42.05.30</v>
      </c>
      <c r="M2949" s="7">
        <v>13969.64</v>
      </c>
      <c r="N2949" s="7">
        <v>543961449</v>
      </c>
      <c r="O2949" s="7">
        <v>212147621</v>
      </c>
      <c r="P2949" s="7">
        <v>0</v>
      </c>
      <c r="Q2949" s="7" t="str">
        <f t="shared" si="1011"/>
        <v>都市整備部</v>
      </c>
      <c r="R2949" s="7" t="str">
        <f t="shared" si="1005"/>
        <v>住宅建築局住宅経営室</v>
      </c>
    </row>
    <row r="2950" spans="1:18" s="1" customFormat="1" x14ac:dyDescent="0.45">
      <c r="A2950" s="7" t="str">
        <f t="shared" si="1022"/>
        <v>09940003370</v>
      </c>
      <c r="B2950" s="7" t="str">
        <f t="shared" si="1023"/>
        <v>河内長野千代田台（旧千代田台）</v>
      </c>
      <c r="C2950" s="7" t="str">
        <f t="shared" si="1008"/>
        <v>行政財産</v>
      </c>
      <c r="D2950" s="7" t="str">
        <f t="shared" si="1009"/>
        <v>公営住宅</v>
      </c>
      <c r="E2950" s="7" t="str">
        <f t="shared" si="1024"/>
        <v>大阪府河内長野市千代田台町</v>
      </c>
      <c r="F2950" s="7"/>
      <c r="G2950" s="7" t="str">
        <f t="shared" si="1004"/>
        <v>事業用資産</v>
      </c>
      <c r="H2950" s="7" t="str">
        <f t="shared" si="1021"/>
        <v>棚卸以外</v>
      </c>
      <c r="I2950" s="7">
        <v>2</v>
      </c>
      <c r="J2950" s="7" t="str">
        <f>"９～１５棟"</f>
        <v>９～１５棟</v>
      </c>
      <c r="K2950" s="7" t="str">
        <f t="shared" si="1020"/>
        <v>鉄筋コンクリート造</v>
      </c>
      <c r="L2950" s="7" t="str">
        <f>"S42.05.30"</f>
        <v>S42.05.30</v>
      </c>
      <c r="M2950" s="7">
        <v>11867.37</v>
      </c>
      <c r="N2950" s="7">
        <v>596421094</v>
      </c>
      <c r="O2950" s="7">
        <v>399609039</v>
      </c>
      <c r="P2950" s="7">
        <v>0</v>
      </c>
      <c r="Q2950" s="7" t="str">
        <f t="shared" si="1011"/>
        <v>都市整備部</v>
      </c>
      <c r="R2950" s="7" t="str">
        <f t="shared" si="1005"/>
        <v>住宅建築局住宅経営室</v>
      </c>
    </row>
    <row r="2951" spans="1:18" s="1" customFormat="1" x14ac:dyDescent="0.45">
      <c r="A2951" s="7" t="str">
        <f t="shared" si="1022"/>
        <v>09940003370</v>
      </c>
      <c r="B2951" s="7" t="str">
        <f t="shared" si="1023"/>
        <v>河内長野千代田台（旧千代田台）</v>
      </c>
      <c r="C2951" s="7" t="str">
        <f t="shared" si="1008"/>
        <v>行政財産</v>
      </c>
      <c r="D2951" s="7" t="str">
        <f t="shared" si="1009"/>
        <v>公営住宅</v>
      </c>
      <c r="E2951" s="7" t="str">
        <f t="shared" si="1024"/>
        <v>大阪府河内長野市千代田台町</v>
      </c>
      <c r="F2951" s="7"/>
      <c r="G2951" s="7" t="str">
        <f t="shared" si="1004"/>
        <v>事業用資産</v>
      </c>
      <c r="H2951" s="7" t="str">
        <f t="shared" si="1021"/>
        <v>棚卸以外</v>
      </c>
      <c r="I2951" s="7">
        <v>3</v>
      </c>
      <c r="J2951" s="7" t="str">
        <f>"集会所"</f>
        <v>集会所</v>
      </c>
      <c r="K2951" s="7" t="str">
        <f t="shared" si="1020"/>
        <v>鉄筋コンクリート造</v>
      </c>
      <c r="L2951" s="7" t="str">
        <f>"S42.05.30"</f>
        <v>S42.05.30</v>
      </c>
      <c r="M2951" s="7">
        <v>93.16</v>
      </c>
      <c r="N2951" s="7">
        <v>3192000</v>
      </c>
      <c r="O2951" s="7">
        <v>3191999</v>
      </c>
      <c r="P2951" s="7">
        <v>0</v>
      </c>
      <c r="Q2951" s="7" t="str">
        <f t="shared" si="1011"/>
        <v>都市整備部</v>
      </c>
      <c r="R2951" s="7" t="str">
        <f t="shared" si="1005"/>
        <v>住宅建築局住宅経営室</v>
      </c>
    </row>
    <row r="2952" spans="1:18" s="1" customFormat="1" x14ac:dyDescent="0.45">
      <c r="A2952" s="7" t="str">
        <f t="shared" si="1022"/>
        <v>09940003370</v>
      </c>
      <c r="B2952" s="7" t="str">
        <f t="shared" si="1023"/>
        <v>河内長野千代田台（旧千代田台）</v>
      </c>
      <c r="C2952" s="7" t="str">
        <f t="shared" si="1008"/>
        <v>行政財産</v>
      </c>
      <c r="D2952" s="7" t="str">
        <f t="shared" si="1009"/>
        <v>公営住宅</v>
      </c>
      <c r="E2952" s="7" t="str">
        <f t="shared" si="1024"/>
        <v>大阪府河内長野市千代田台町</v>
      </c>
      <c r="F2952" s="7"/>
      <c r="G2952" s="7" t="str">
        <f t="shared" si="1004"/>
        <v>事業用資産</v>
      </c>
      <c r="H2952" s="7" t="str">
        <f t="shared" si="1021"/>
        <v>棚卸以外</v>
      </c>
      <c r="I2952" s="7">
        <v>4</v>
      </c>
      <c r="J2952" s="7" t="str">
        <f>"集会所（増築）"</f>
        <v>集会所（増築）</v>
      </c>
      <c r="K2952" s="7" t="str">
        <f t="shared" si="1020"/>
        <v>鉄筋コンクリート造</v>
      </c>
      <c r="L2952" s="7" t="str">
        <f>"S42.05.30"</f>
        <v>S42.05.30</v>
      </c>
      <c r="M2952" s="7">
        <v>55.8</v>
      </c>
      <c r="N2952" s="7">
        <v>100663148</v>
      </c>
      <c r="O2952" s="7">
        <v>100012443</v>
      </c>
      <c r="P2952" s="7">
        <v>0</v>
      </c>
      <c r="Q2952" s="7" t="str">
        <f t="shared" si="1011"/>
        <v>都市整備部</v>
      </c>
      <c r="R2952" s="7" t="str">
        <f t="shared" si="1005"/>
        <v>住宅建築局住宅経営室</v>
      </c>
    </row>
    <row r="2953" spans="1:18" s="1" customFormat="1" x14ac:dyDescent="0.45">
      <c r="A2953" s="7" t="str">
        <f t="shared" si="1022"/>
        <v>09940003370</v>
      </c>
      <c r="B2953" s="7" t="str">
        <f t="shared" si="1023"/>
        <v>河内長野千代田台（旧千代田台）</v>
      </c>
      <c r="C2953" s="7" t="str">
        <f t="shared" si="1008"/>
        <v>行政財産</v>
      </c>
      <c r="D2953" s="7" t="str">
        <f t="shared" si="1009"/>
        <v>公営住宅</v>
      </c>
      <c r="E2953" s="7" t="str">
        <f t="shared" si="1024"/>
        <v>大阪府河内長野市千代田台町</v>
      </c>
      <c r="F2953" s="7"/>
      <c r="G2953" s="7" t="str">
        <f t="shared" si="1004"/>
        <v>事業用資産</v>
      </c>
      <c r="H2953" s="7" t="str">
        <f t="shared" si="1021"/>
        <v>棚卸以外</v>
      </c>
      <c r="I2953" s="7">
        <v>5</v>
      </c>
      <c r="J2953" s="7" t="str">
        <f>"１６号棟（新）"</f>
        <v>１６号棟（新）</v>
      </c>
      <c r="K2953" s="7" t="str">
        <f t="shared" si="1020"/>
        <v>鉄筋コンクリート造</v>
      </c>
      <c r="L2953" s="7" t="str">
        <f>"H18.01.26"</f>
        <v>H18.01.26</v>
      </c>
      <c r="M2953" s="7">
        <v>4054.48</v>
      </c>
      <c r="N2953" s="7">
        <v>534631748</v>
      </c>
      <c r="O2953" s="7">
        <v>195270100</v>
      </c>
      <c r="P2953" s="7">
        <v>0</v>
      </c>
      <c r="Q2953" s="7" t="str">
        <f t="shared" si="1011"/>
        <v>都市整備部</v>
      </c>
      <c r="R2953" s="7" t="str">
        <f t="shared" si="1005"/>
        <v>住宅建築局住宅経営室</v>
      </c>
    </row>
    <row r="2954" spans="1:18" s="1" customFormat="1" x14ac:dyDescent="0.45">
      <c r="A2954" s="7" t="str">
        <f t="shared" si="1022"/>
        <v>09940003370</v>
      </c>
      <c r="B2954" s="7" t="str">
        <f t="shared" si="1023"/>
        <v>河内長野千代田台（旧千代田台）</v>
      </c>
      <c r="C2954" s="7" t="str">
        <f t="shared" si="1008"/>
        <v>行政財産</v>
      </c>
      <c r="D2954" s="7" t="str">
        <f t="shared" si="1009"/>
        <v>公営住宅</v>
      </c>
      <c r="E2954" s="7" t="str">
        <f t="shared" si="1024"/>
        <v>大阪府河内長野市千代田台町</v>
      </c>
      <c r="F2954" s="7"/>
      <c r="G2954" s="7" t="str">
        <f t="shared" si="1004"/>
        <v>事業用資産</v>
      </c>
      <c r="H2954" s="7" t="str">
        <f t="shared" si="1021"/>
        <v>棚卸以外</v>
      </c>
      <c r="I2954" s="7">
        <v>6</v>
      </c>
      <c r="J2954" s="7" t="str">
        <f>"電気室・ポンプ室"</f>
        <v>電気室・ポンプ室</v>
      </c>
      <c r="K2954" s="7" t="str">
        <f t="shared" si="1020"/>
        <v>鉄筋コンクリート造</v>
      </c>
      <c r="L2954" s="7" t="str">
        <f>"H18.01.26"</f>
        <v>H18.01.26</v>
      </c>
      <c r="M2954" s="7">
        <v>78</v>
      </c>
      <c r="N2954" s="7">
        <v>8465000</v>
      </c>
      <c r="O2954" s="7">
        <v>3091854</v>
      </c>
      <c r="P2954" s="7">
        <v>0</v>
      </c>
      <c r="Q2954" s="7" t="str">
        <f t="shared" si="1011"/>
        <v>都市整備部</v>
      </c>
      <c r="R2954" s="7" t="str">
        <f t="shared" si="1005"/>
        <v>住宅建築局住宅経営室</v>
      </c>
    </row>
    <row r="2955" spans="1:18" s="1" customFormat="1" x14ac:dyDescent="0.45">
      <c r="A2955" s="7" t="str">
        <f t="shared" ref="A2955:A2967" si="1025">"09940003371"</f>
        <v>09940003371</v>
      </c>
      <c r="B2955" s="7" t="str">
        <f t="shared" ref="B2955:B2967" si="1026">"和泉北信太"</f>
        <v>和泉北信太</v>
      </c>
      <c r="C2955" s="7" t="str">
        <f t="shared" si="1008"/>
        <v>行政財産</v>
      </c>
      <c r="D2955" s="7" t="str">
        <f t="shared" si="1009"/>
        <v>公営住宅</v>
      </c>
      <c r="E2955" s="7" t="str">
        <f t="shared" ref="E2955:E2967" si="1027">"大阪府和泉市上町"</f>
        <v>大阪府和泉市上町</v>
      </c>
      <c r="F2955" s="7"/>
      <c r="G2955" s="7" t="str">
        <f t="shared" si="1004"/>
        <v>事業用資産</v>
      </c>
      <c r="H2955" s="7" t="str">
        <f t="shared" si="1021"/>
        <v>棚卸以外</v>
      </c>
      <c r="I2955" s="7">
        <v>1</v>
      </c>
      <c r="J2955" s="7" t="str">
        <f>"１号棟"</f>
        <v>１号棟</v>
      </c>
      <c r="K2955" s="7" t="str">
        <f t="shared" si="1020"/>
        <v>鉄筋コンクリート造</v>
      </c>
      <c r="L2955" s="7" t="str">
        <f t="shared" ref="L2955:L2961" si="1028">"H07.03.30"</f>
        <v>H07.03.30</v>
      </c>
      <c r="M2955" s="7">
        <v>2419.27</v>
      </c>
      <c r="N2955" s="7">
        <v>541298011</v>
      </c>
      <c r="O2955" s="7">
        <v>319603216</v>
      </c>
      <c r="P2955" s="7">
        <v>0</v>
      </c>
      <c r="Q2955" s="7" t="str">
        <f t="shared" si="1011"/>
        <v>都市整備部</v>
      </c>
      <c r="R2955" s="7" t="str">
        <f t="shared" si="1005"/>
        <v>住宅建築局住宅経営室</v>
      </c>
    </row>
    <row r="2956" spans="1:18" s="1" customFormat="1" x14ac:dyDescent="0.45">
      <c r="A2956" s="7" t="str">
        <f t="shared" si="1025"/>
        <v>09940003371</v>
      </c>
      <c r="B2956" s="7" t="str">
        <f t="shared" si="1026"/>
        <v>和泉北信太</v>
      </c>
      <c r="C2956" s="7" t="str">
        <f t="shared" si="1008"/>
        <v>行政財産</v>
      </c>
      <c r="D2956" s="7" t="str">
        <f t="shared" si="1009"/>
        <v>公営住宅</v>
      </c>
      <c r="E2956" s="7" t="str">
        <f t="shared" si="1027"/>
        <v>大阪府和泉市上町</v>
      </c>
      <c r="F2956" s="7"/>
      <c r="G2956" s="7" t="str">
        <f t="shared" si="1004"/>
        <v>事業用資産</v>
      </c>
      <c r="H2956" s="7" t="str">
        <f t="shared" si="1021"/>
        <v>棚卸以外</v>
      </c>
      <c r="I2956" s="7">
        <v>2</v>
      </c>
      <c r="J2956" s="7" t="str">
        <f>"２号棟"</f>
        <v>２号棟</v>
      </c>
      <c r="K2956" s="7" t="str">
        <f t="shared" si="1020"/>
        <v>鉄筋コンクリート造</v>
      </c>
      <c r="L2956" s="7" t="str">
        <f t="shared" si="1028"/>
        <v>H07.03.30</v>
      </c>
      <c r="M2956" s="7">
        <v>6896.87</v>
      </c>
      <c r="N2956" s="7">
        <v>1546396023</v>
      </c>
      <c r="O2956" s="7">
        <v>915512672</v>
      </c>
      <c r="P2956" s="7">
        <v>0</v>
      </c>
      <c r="Q2956" s="7" t="str">
        <f t="shared" si="1011"/>
        <v>都市整備部</v>
      </c>
      <c r="R2956" s="7" t="str">
        <f t="shared" si="1005"/>
        <v>住宅建築局住宅経営室</v>
      </c>
    </row>
    <row r="2957" spans="1:18" s="1" customFormat="1" x14ac:dyDescent="0.45">
      <c r="A2957" s="7" t="str">
        <f t="shared" si="1025"/>
        <v>09940003371</v>
      </c>
      <c r="B2957" s="7" t="str">
        <f t="shared" si="1026"/>
        <v>和泉北信太</v>
      </c>
      <c r="C2957" s="7" t="str">
        <f t="shared" si="1008"/>
        <v>行政財産</v>
      </c>
      <c r="D2957" s="7" t="str">
        <f t="shared" si="1009"/>
        <v>公営住宅</v>
      </c>
      <c r="E2957" s="7" t="str">
        <f t="shared" si="1027"/>
        <v>大阪府和泉市上町</v>
      </c>
      <c r="F2957" s="7"/>
      <c r="G2957" s="7" t="str">
        <f t="shared" si="1004"/>
        <v>事業用資産</v>
      </c>
      <c r="H2957" s="7" t="str">
        <f t="shared" si="1021"/>
        <v>棚卸以外</v>
      </c>
      <c r="I2957" s="7">
        <v>3</v>
      </c>
      <c r="J2957" s="7" t="str">
        <f>"３号棟"</f>
        <v>３号棟</v>
      </c>
      <c r="K2957" s="7" t="str">
        <f t="shared" si="1020"/>
        <v>鉄筋コンクリート造</v>
      </c>
      <c r="L2957" s="7" t="str">
        <f t="shared" si="1028"/>
        <v>H07.03.30</v>
      </c>
      <c r="M2957" s="7">
        <v>2619.54</v>
      </c>
      <c r="N2957" s="7">
        <v>564150012</v>
      </c>
      <c r="O2957" s="7">
        <v>333217264</v>
      </c>
      <c r="P2957" s="7">
        <v>0</v>
      </c>
      <c r="Q2957" s="7" t="str">
        <f t="shared" si="1011"/>
        <v>都市整備部</v>
      </c>
      <c r="R2957" s="7" t="str">
        <f t="shared" si="1005"/>
        <v>住宅建築局住宅経営室</v>
      </c>
    </row>
    <row r="2958" spans="1:18" s="1" customFormat="1" x14ac:dyDescent="0.45">
      <c r="A2958" s="7" t="str">
        <f t="shared" si="1025"/>
        <v>09940003371</v>
      </c>
      <c r="B2958" s="7" t="str">
        <f t="shared" si="1026"/>
        <v>和泉北信太</v>
      </c>
      <c r="C2958" s="7" t="str">
        <f t="shared" si="1008"/>
        <v>行政財産</v>
      </c>
      <c r="D2958" s="7" t="str">
        <f t="shared" si="1009"/>
        <v>公営住宅</v>
      </c>
      <c r="E2958" s="7" t="str">
        <f t="shared" si="1027"/>
        <v>大阪府和泉市上町</v>
      </c>
      <c r="F2958" s="7"/>
      <c r="G2958" s="7" t="str">
        <f t="shared" si="1004"/>
        <v>事業用資産</v>
      </c>
      <c r="H2958" s="7" t="str">
        <f t="shared" si="1021"/>
        <v>棚卸以外</v>
      </c>
      <c r="I2958" s="7">
        <v>4</v>
      </c>
      <c r="J2958" s="7" t="str">
        <f>"電気室"</f>
        <v>電気室</v>
      </c>
      <c r="K2958" s="7" t="str">
        <f t="shared" si="1020"/>
        <v>鉄筋コンクリート造</v>
      </c>
      <c r="L2958" s="7" t="str">
        <f t="shared" si="1028"/>
        <v>H07.03.30</v>
      </c>
      <c r="M2958" s="7">
        <v>24.38</v>
      </c>
      <c r="N2958" s="7">
        <v>6738000</v>
      </c>
      <c r="O2958" s="7">
        <v>4014192</v>
      </c>
      <c r="P2958" s="7">
        <v>0</v>
      </c>
      <c r="Q2958" s="7" t="str">
        <f t="shared" si="1011"/>
        <v>都市整備部</v>
      </c>
      <c r="R2958" s="7" t="str">
        <f t="shared" si="1005"/>
        <v>住宅建築局住宅経営室</v>
      </c>
    </row>
    <row r="2959" spans="1:18" s="1" customFormat="1" x14ac:dyDescent="0.45">
      <c r="A2959" s="7" t="str">
        <f t="shared" si="1025"/>
        <v>09940003371</v>
      </c>
      <c r="B2959" s="7" t="str">
        <f t="shared" si="1026"/>
        <v>和泉北信太</v>
      </c>
      <c r="C2959" s="7" t="str">
        <f t="shared" si="1008"/>
        <v>行政財産</v>
      </c>
      <c r="D2959" s="7" t="str">
        <f t="shared" si="1009"/>
        <v>公営住宅</v>
      </c>
      <c r="E2959" s="7" t="str">
        <f t="shared" si="1027"/>
        <v>大阪府和泉市上町</v>
      </c>
      <c r="F2959" s="7"/>
      <c r="G2959" s="7" t="str">
        <f t="shared" si="1004"/>
        <v>事業用資産</v>
      </c>
      <c r="H2959" s="7" t="str">
        <f t="shared" si="1021"/>
        <v>棚卸以外</v>
      </c>
      <c r="I2959" s="7">
        <v>5</v>
      </c>
      <c r="J2959" s="7" t="str">
        <f>"受水槽"</f>
        <v>受水槽</v>
      </c>
      <c r="K2959" s="7" t="str">
        <f t="shared" si="1020"/>
        <v>鉄筋コンクリート造</v>
      </c>
      <c r="L2959" s="7" t="str">
        <f t="shared" si="1028"/>
        <v>H07.03.30</v>
      </c>
      <c r="M2959" s="7">
        <v>101.49</v>
      </c>
      <c r="N2959" s="7">
        <v>38791000</v>
      </c>
      <c r="O2959" s="7">
        <v>23109744</v>
      </c>
      <c r="P2959" s="7">
        <v>0</v>
      </c>
      <c r="Q2959" s="7" t="str">
        <f t="shared" si="1011"/>
        <v>都市整備部</v>
      </c>
      <c r="R2959" s="7" t="str">
        <f t="shared" si="1005"/>
        <v>住宅建築局住宅経営室</v>
      </c>
    </row>
    <row r="2960" spans="1:18" s="1" customFormat="1" x14ac:dyDescent="0.45">
      <c r="A2960" s="7" t="str">
        <f t="shared" si="1025"/>
        <v>09940003371</v>
      </c>
      <c r="B2960" s="7" t="str">
        <f t="shared" si="1026"/>
        <v>和泉北信太</v>
      </c>
      <c r="C2960" s="7" t="str">
        <f t="shared" si="1008"/>
        <v>行政財産</v>
      </c>
      <c r="D2960" s="7" t="str">
        <f t="shared" si="1009"/>
        <v>公営住宅</v>
      </c>
      <c r="E2960" s="7" t="str">
        <f t="shared" si="1027"/>
        <v>大阪府和泉市上町</v>
      </c>
      <c r="F2960" s="7"/>
      <c r="G2960" s="7" t="str">
        <f t="shared" si="1004"/>
        <v>事業用資産</v>
      </c>
      <c r="H2960" s="7" t="str">
        <f t="shared" si="1021"/>
        <v>棚卸以外</v>
      </c>
      <c r="I2960" s="7">
        <v>6</v>
      </c>
      <c r="J2960" s="7" t="str">
        <f>"集会所"</f>
        <v>集会所</v>
      </c>
      <c r="K2960" s="7" t="str">
        <f t="shared" si="1020"/>
        <v>鉄筋コンクリート造</v>
      </c>
      <c r="L2960" s="7" t="str">
        <f t="shared" si="1028"/>
        <v>H07.03.30</v>
      </c>
      <c r="M2960" s="7">
        <v>168.7</v>
      </c>
      <c r="N2960" s="7">
        <v>104006000</v>
      </c>
      <c r="O2960" s="7">
        <v>60359076</v>
      </c>
      <c r="P2960" s="7">
        <v>0</v>
      </c>
      <c r="Q2960" s="7" t="str">
        <f t="shared" si="1011"/>
        <v>都市整備部</v>
      </c>
      <c r="R2960" s="7" t="str">
        <f t="shared" si="1005"/>
        <v>住宅建築局住宅経営室</v>
      </c>
    </row>
    <row r="2961" spans="1:18" s="1" customFormat="1" x14ac:dyDescent="0.45">
      <c r="A2961" s="7" t="str">
        <f t="shared" si="1025"/>
        <v>09940003371</v>
      </c>
      <c r="B2961" s="7" t="str">
        <f t="shared" si="1026"/>
        <v>和泉北信太</v>
      </c>
      <c r="C2961" s="7" t="str">
        <f t="shared" si="1008"/>
        <v>行政財産</v>
      </c>
      <c r="D2961" s="7" t="str">
        <f t="shared" si="1009"/>
        <v>公営住宅</v>
      </c>
      <c r="E2961" s="7" t="str">
        <f t="shared" si="1027"/>
        <v>大阪府和泉市上町</v>
      </c>
      <c r="F2961" s="7"/>
      <c r="G2961" s="7" t="str">
        <f t="shared" si="1004"/>
        <v>事業用資産</v>
      </c>
      <c r="H2961" s="7" t="str">
        <f t="shared" si="1021"/>
        <v>棚卸以外</v>
      </c>
      <c r="I2961" s="7">
        <v>7</v>
      </c>
      <c r="J2961" s="7" t="str">
        <f>"汚水処理場"</f>
        <v>汚水処理場</v>
      </c>
      <c r="K2961" s="7" t="str">
        <f t="shared" si="1020"/>
        <v>鉄筋コンクリート造</v>
      </c>
      <c r="L2961" s="7" t="str">
        <f t="shared" si="1028"/>
        <v>H07.03.30</v>
      </c>
      <c r="M2961" s="7">
        <v>295.69</v>
      </c>
      <c r="N2961" s="7">
        <v>174028000</v>
      </c>
      <c r="O2961" s="7">
        <v>103676496</v>
      </c>
      <c r="P2961" s="7">
        <v>0</v>
      </c>
      <c r="Q2961" s="7" t="str">
        <f t="shared" si="1011"/>
        <v>都市整備部</v>
      </c>
      <c r="R2961" s="7" t="str">
        <f t="shared" si="1005"/>
        <v>住宅建築局住宅経営室</v>
      </c>
    </row>
    <row r="2962" spans="1:18" s="1" customFormat="1" x14ac:dyDescent="0.45">
      <c r="A2962" s="7" t="str">
        <f t="shared" si="1025"/>
        <v>09940003371</v>
      </c>
      <c r="B2962" s="7" t="str">
        <f t="shared" si="1026"/>
        <v>和泉北信太</v>
      </c>
      <c r="C2962" s="7" t="str">
        <f t="shared" si="1008"/>
        <v>行政財産</v>
      </c>
      <c r="D2962" s="7" t="str">
        <f t="shared" si="1009"/>
        <v>公営住宅</v>
      </c>
      <c r="E2962" s="7" t="str">
        <f t="shared" si="1027"/>
        <v>大阪府和泉市上町</v>
      </c>
      <c r="F2962" s="7"/>
      <c r="G2962" s="7" t="str">
        <f t="shared" si="1004"/>
        <v>事業用資産</v>
      </c>
      <c r="H2962" s="7" t="str">
        <f t="shared" si="1021"/>
        <v>棚卸以外</v>
      </c>
      <c r="I2962" s="7">
        <v>8</v>
      </c>
      <c r="J2962" s="7" t="str">
        <f>"４号棟"</f>
        <v>４号棟</v>
      </c>
      <c r="K2962" s="7" t="str">
        <f t="shared" si="1020"/>
        <v>鉄筋コンクリート造</v>
      </c>
      <c r="L2962" s="7" t="str">
        <f t="shared" ref="L2962:L2967" si="1029">"H09.03.28"</f>
        <v>H09.03.28</v>
      </c>
      <c r="M2962" s="7">
        <v>3657.19</v>
      </c>
      <c r="N2962" s="7">
        <v>846053023</v>
      </c>
      <c r="O2962" s="7">
        <v>463302536</v>
      </c>
      <c r="P2962" s="7">
        <v>0</v>
      </c>
      <c r="Q2962" s="7" t="str">
        <f t="shared" si="1011"/>
        <v>都市整備部</v>
      </c>
      <c r="R2962" s="7" t="str">
        <f t="shared" si="1005"/>
        <v>住宅建築局住宅経営室</v>
      </c>
    </row>
    <row r="2963" spans="1:18" s="1" customFormat="1" x14ac:dyDescent="0.45">
      <c r="A2963" s="7" t="str">
        <f t="shared" si="1025"/>
        <v>09940003371</v>
      </c>
      <c r="B2963" s="7" t="str">
        <f t="shared" si="1026"/>
        <v>和泉北信太</v>
      </c>
      <c r="C2963" s="7" t="str">
        <f t="shared" si="1008"/>
        <v>行政財産</v>
      </c>
      <c r="D2963" s="7" t="str">
        <f t="shared" si="1009"/>
        <v>公営住宅</v>
      </c>
      <c r="E2963" s="7" t="str">
        <f t="shared" si="1027"/>
        <v>大阪府和泉市上町</v>
      </c>
      <c r="F2963" s="7"/>
      <c r="G2963" s="7" t="str">
        <f t="shared" si="1004"/>
        <v>事業用資産</v>
      </c>
      <c r="H2963" s="7" t="str">
        <f t="shared" si="1021"/>
        <v>棚卸以外</v>
      </c>
      <c r="I2963" s="7">
        <v>9</v>
      </c>
      <c r="J2963" s="7" t="str">
        <f>"５号棟"</f>
        <v>５号棟</v>
      </c>
      <c r="K2963" s="7" t="str">
        <f t="shared" si="1020"/>
        <v>鉄筋コンクリート造</v>
      </c>
      <c r="L2963" s="7" t="str">
        <f t="shared" si="1029"/>
        <v>H09.03.28</v>
      </c>
      <c r="M2963" s="7">
        <v>4167.68</v>
      </c>
      <c r="N2963" s="7">
        <v>811800023</v>
      </c>
      <c r="O2963" s="7">
        <v>444353840</v>
      </c>
      <c r="P2963" s="7">
        <v>0</v>
      </c>
      <c r="Q2963" s="7" t="str">
        <f t="shared" si="1011"/>
        <v>都市整備部</v>
      </c>
      <c r="R2963" s="7" t="str">
        <f t="shared" si="1005"/>
        <v>住宅建築局住宅経営室</v>
      </c>
    </row>
    <row r="2964" spans="1:18" s="1" customFormat="1" x14ac:dyDescent="0.45">
      <c r="A2964" s="7" t="str">
        <f t="shared" si="1025"/>
        <v>09940003371</v>
      </c>
      <c r="B2964" s="7" t="str">
        <f t="shared" si="1026"/>
        <v>和泉北信太</v>
      </c>
      <c r="C2964" s="7" t="str">
        <f t="shared" si="1008"/>
        <v>行政財産</v>
      </c>
      <c r="D2964" s="7" t="str">
        <f t="shared" si="1009"/>
        <v>公営住宅</v>
      </c>
      <c r="E2964" s="7" t="str">
        <f t="shared" si="1027"/>
        <v>大阪府和泉市上町</v>
      </c>
      <c r="F2964" s="7"/>
      <c r="G2964" s="7" t="str">
        <f t="shared" si="1004"/>
        <v>事業用資産</v>
      </c>
      <c r="H2964" s="7" t="str">
        <f t="shared" si="1021"/>
        <v>棚卸以外</v>
      </c>
      <c r="I2964" s="7">
        <v>10</v>
      </c>
      <c r="J2964" s="7" t="str">
        <f>"６号棟"</f>
        <v>６号棟</v>
      </c>
      <c r="K2964" s="7" t="str">
        <f t="shared" si="1020"/>
        <v>鉄筋コンクリート造</v>
      </c>
      <c r="L2964" s="7" t="str">
        <f t="shared" si="1029"/>
        <v>H09.03.28</v>
      </c>
      <c r="M2964" s="7">
        <v>1253.28</v>
      </c>
      <c r="N2964" s="7">
        <v>363558012</v>
      </c>
      <c r="O2964" s="7">
        <v>198753832</v>
      </c>
      <c r="P2964" s="7">
        <v>0</v>
      </c>
      <c r="Q2964" s="7" t="str">
        <f t="shared" si="1011"/>
        <v>都市整備部</v>
      </c>
      <c r="R2964" s="7" t="str">
        <f t="shared" si="1005"/>
        <v>住宅建築局住宅経営室</v>
      </c>
    </row>
    <row r="2965" spans="1:18" s="1" customFormat="1" x14ac:dyDescent="0.45">
      <c r="A2965" s="7" t="str">
        <f t="shared" si="1025"/>
        <v>09940003371</v>
      </c>
      <c r="B2965" s="7" t="str">
        <f t="shared" si="1026"/>
        <v>和泉北信太</v>
      </c>
      <c r="C2965" s="7" t="str">
        <f t="shared" si="1008"/>
        <v>行政財産</v>
      </c>
      <c r="D2965" s="7" t="str">
        <f t="shared" si="1009"/>
        <v>公営住宅</v>
      </c>
      <c r="E2965" s="7" t="str">
        <f t="shared" si="1027"/>
        <v>大阪府和泉市上町</v>
      </c>
      <c r="F2965" s="7"/>
      <c r="G2965" s="7" t="str">
        <f t="shared" si="1004"/>
        <v>事業用資産</v>
      </c>
      <c r="H2965" s="7" t="str">
        <f t="shared" si="1021"/>
        <v>棚卸以外</v>
      </c>
      <c r="I2965" s="7">
        <v>11</v>
      </c>
      <c r="J2965" s="7" t="str">
        <f>"７号棟"</f>
        <v>７号棟</v>
      </c>
      <c r="K2965" s="7" t="str">
        <f t="shared" si="1020"/>
        <v>鉄筋コンクリート造</v>
      </c>
      <c r="L2965" s="7" t="str">
        <f t="shared" si="1029"/>
        <v>H09.03.28</v>
      </c>
      <c r="M2965" s="7">
        <v>783.2</v>
      </c>
      <c r="N2965" s="7">
        <v>139530000</v>
      </c>
      <c r="O2965" s="7">
        <v>77186928</v>
      </c>
      <c r="P2965" s="7">
        <v>0</v>
      </c>
      <c r="Q2965" s="7" t="str">
        <f t="shared" si="1011"/>
        <v>都市整備部</v>
      </c>
      <c r="R2965" s="7" t="str">
        <f t="shared" si="1005"/>
        <v>住宅建築局住宅経営室</v>
      </c>
    </row>
    <row r="2966" spans="1:18" s="1" customFormat="1" x14ac:dyDescent="0.45">
      <c r="A2966" s="7" t="str">
        <f t="shared" si="1025"/>
        <v>09940003371</v>
      </c>
      <c r="B2966" s="7" t="str">
        <f t="shared" si="1026"/>
        <v>和泉北信太</v>
      </c>
      <c r="C2966" s="7" t="str">
        <f t="shared" si="1008"/>
        <v>行政財産</v>
      </c>
      <c r="D2966" s="7" t="str">
        <f t="shared" si="1009"/>
        <v>公営住宅</v>
      </c>
      <c r="E2966" s="7" t="str">
        <f t="shared" si="1027"/>
        <v>大阪府和泉市上町</v>
      </c>
      <c r="F2966" s="7"/>
      <c r="G2966" s="7" t="str">
        <f t="shared" si="1004"/>
        <v>事業用資産</v>
      </c>
      <c r="H2966" s="7" t="str">
        <f t="shared" si="1021"/>
        <v>棚卸以外</v>
      </c>
      <c r="I2966" s="7">
        <v>12</v>
      </c>
      <c r="J2966" s="7" t="str">
        <f>"電気室（５号棟）"</f>
        <v>電気室（５号棟）</v>
      </c>
      <c r="K2966" s="7" t="str">
        <f t="shared" si="1020"/>
        <v>鉄筋コンクリート造</v>
      </c>
      <c r="L2966" s="7" t="str">
        <f t="shared" si="1029"/>
        <v>H09.03.28</v>
      </c>
      <c r="M2966" s="7">
        <v>24.37</v>
      </c>
      <c r="N2966" s="7">
        <v>4925000</v>
      </c>
      <c r="O2966" s="7">
        <v>2724696</v>
      </c>
      <c r="P2966" s="7">
        <v>0</v>
      </c>
      <c r="Q2966" s="7" t="str">
        <f t="shared" si="1011"/>
        <v>都市整備部</v>
      </c>
      <c r="R2966" s="7" t="str">
        <f t="shared" si="1005"/>
        <v>住宅建築局住宅経営室</v>
      </c>
    </row>
    <row r="2967" spans="1:18" s="1" customFormat="1" x14ac:dyDescent="0.45">
      <c r="A2967" s="7" t="str">
        <f t="shared" si="1025"/>
        <v>09940003371</v>
      </c>
      <c r="B2967" s="7" t="str">
        <f t="shared" si="1026"/>
        <v>和泉北信太</v>
      </c>
      <c r="C2967" s="7" t="str">
        <f t="shared" si="1008"/>
        <v>行政財産</v>
      </c>
      <c r="D2967" s="7" t="str">
        <f t="shared" si="1009"/>
        <v>公営住宅</v>
      </c>
      <c r="E2967" s="7" t="str">
        <f t="shared" si="1027"/>
        <v>大阪府和泉市上町</v>
      </c>
      <c r="F2967" s="7"/>
      <c r="G2967" s="7" t="str">
        <f t="shared" ref="G2967:G3030" si="1030">"事業用資産"</f>
        <v>事業用資産</v>
      </c>
      <c r="H2967" s="7" t="str">
        <f t="shared" si="1021"/>
        <v>棚卸以外</v>
      </c>
      <c r="I2967" s="7">
        <v>13</v>
      </c>
      <c r="J2967" s="7" t="str">
        <f>"ポンプ室（６号棟）"</f>
        <v>ポンプ室（６号棟）</v>
      </c>
      <c r="K2967" s="7" t="str">
        <f t="shared" si="1020"/>
        <v>鉄筋コンクリート造</v>
      </c>
      <c r="L2967" s="7" t="str">
        <f t="shared" si="1029"/>
        <v>H09.03.28</v>
      </c>
      <c r="M2967" s="7">
        <v>10.8</v>
      </c>
      <c r="N2967" s="7">
        <v>2223000</v>
      </c>
      <c r="O2967" s="7">
        <v>1229904</v>
      </c>
      <c r="P2967" s="7">
        <v>0</v>
      </c>
      <c r="Q2967" s="7" t="str">
        <f t="shared" si="1011"/>
        <v>都市整備部</v>
      </c>
      <c r="R2967" s="7" t="str">
        <f t="shared" si="1005"/>
        <v>住宅建築局住宅経営室</v>
      </c>
    </row>
    <row r="2968" spans="1:18" s="1" customFormat="1" x14ac:dyDescent="0.45">
      <c r="A2968" s="7" t="str">
        <f t="shared" ref="A2968:A2976" si="1031">"09940003372"</f>
        <v>09940003372</v>
      </c>
      <c r="B2968" s="7" t="str">
        <f t="shared" ref="B2968:B2976" si="1032">"松原天美（旧天美）"</f>
        <v>松原天美（旧天美）</v>
      </c>
      <c r="C2968" s="7" t="str">
        <f t="shared" si="1008"/>
        <v>行政財産</v>
      </c>
      <c r="D2968" s="7" t="str">
        <f t="shared" si="1009"/>
        <v>公営住宅</v>
      </c>
      <c r="E2968" s="7" t="str">
        <f t="shared" ref="E2968:E2976" si="1033">"大阪府松原市天美　東１丁目"</f>
        <v>大阪府松原市天美　東１丁目</v>
      </c>
      <c r="F2968" s="7"/>
      <c r="G2968" s="7" t="str">
        <f t="shared" si="1030"/>
        <v>事業用資産</v>
      </c>
      <c r="H2968" s="7" t="str">
        <f t="shared" si="1021"/>
        <v>棚卸以外</v>
      </c>
      <c r="I2968" s="7">
        <v>1</v>
      </c>
      <c r="J2968" s="7" t="str">
        <f>"１号棟"</f>
        <v>１号棟</v>
      </c>
      <c r="K2968" s="7" t="str">
        <f t="shared" si="1020"/>
        <v>鉄筋コンクリート造</v>
      </c>
      <c r="L2968" s="7" t="str">
        <f>"S59.03.30"</f>
        <v>S59.03.30</v>
      </c>
      <c r="M2968" s="7">
        <v>2012.4</v>
      </c>
      <c r="N2968" s="7">
        <v>191499000</v>
      </c>
      <c r="O2968" s="7">
        <v>158903784</v>
      </c>
      <c r="P2968" s="7">
        <v>0</v>
      </c>
      <c r="Q2968" s="7" t="str">
        <f t="shared" si="1011"/>
        <v>都市整備部</v>
      </c>
      <c r="R2968" s="7" t="str">
        <f t="shared" ref="R2968:R3031" si="1034">"住宅建築局住宅経営室"</f>
        <v>住宅建築局住宅経営室</v>
      </c>
    </row>
    <row r="2969" spans="1:18" s="1" customFormat="1" x14ac:dyDescent="0.45">
      <c r="A2969" s="7" t="str">
        <f t="shared" si="1031"/>
        <v>09940003372</v>
      </c>
      <c r="B2969" s="7" t="str">
        <f t="shared" si="1032"/>
        <v>松原天美（旧天美）</v>
      </c>
      <c r="C2969" s="7" t="str">
        <f t="shared" si="1008"/>
        <v>行政財産</v>
      </c>
      <c r="D2969" s="7" t="str">
        <f t="shared" si="1009"/>
        <v>公営住宅</v>
      </c>
      <c r="E2969" s="7" t="str">
        <f t="shared" si="1033"/>
        <v>大阪府松原市天美　東１丁目</v>
      </c>
      <c r="F2969" s="7"/>
      <c r="G2969" s="7" t="str">
        <f t="shared" si="1030"/>
        <v>事業用資産</v>
      </c>
      <c r="H2969" s="7" t="str">
        <f t="shared" si="1021"/>
        <v>棚卸以外</v>
      </c>
      <c r="I2969" s="7">
        <v>2</v>
      </c>
      <c r="J2969" s="7" t="str">
        <f>"２号棟"</f>
        <v>２号棟</v>
      </c>
      <c r="K2969" s="7" t="str">
        <f t="shared" si="1020"/>
        <v>鉄筋コンクリート造</v>
      </c>
      <c r="L2969" s="7" t="str">
        <f>"S59.03.30"</f>
        <v>S59.03.30</v>
      </c>
      <c r="M2969" s="7">
        <v>2779.6</v>
      </c>
      <c r="N2969" s="7">
        <v>275328400</v>
      </c>
      <c r="O2969" s="7">
        <v>228259980</v>
      </c>
      <c r="P2969" s="7">
        <v>0</v>
      </c>
      <c r="Q2969" s="7" t="str">
        <f t="shared" si="1011"/>
        <v>都市整備部</v>
      </c>
      <c r="R2969" s="7" t="str">
        <f t="shared" si="1034"/>
        <v>住宅建築局住宅経営室</v>
      </c>
    </row>
    <row r="2970" spans="1:18" s="1" customFormat="1" x14ac:dyDescent="0.45">
      <c r="A2970" s="7" t="str">
        <f t="shared" si="1031"/>
        <v>09940003372</v>
      </c>
      <c r="B2970" s="7" t="str">
        <f t="shared" si="1032"/>
        <v>松原天美（旧天美）</v>
      </c>
      <c r="C2970" s="7" t="str">
        <f t="shared" ref="C2970:C3033" si="1035">"行政財産"</f>
        <v>行政財産</v>
      </c>
      <c r="D2970" s="7" t="str">
        <f t="shared" ref="D2970:D3033" si="1036">"公営住宅"</f>
        <v>公営住宅</v>
      </c>
      <c r="E2970" s="7" t="str">
        <f t="shared" si="1033"/>
        <v>大阪府松原市天美　東１丁目</v>
      </c>
      <c r="F2970" s="7"/>
      <c r="G2970" s="7" t="str">
        <f t="shared" si="1030"/>
        <v>事業用資産</v>
      </c>
      <c r="H2970" s="7" t="str">
        <f t="shared" si="1021"/>
        <v>棚卸以外</v>
      </c>
      <c r="I2970" s="7">
        <v>3</v>
      </c>
      <c r="J2970" s="7" t="str">
        <f>"３号棟"</f>
        <v>３号棟</v>
      </c>
      <c r="K2970" s="7" t="str">
        <f t="shared" si="1020"/>
        <v>鉄筋コンクリート造</v>
      </c>
      <c r="L2970" s="7" t="str">
        <f>"S59.03.30"</f>
        <v>S59.03.30</v>
      </c>
      <c r="M2970" s="7">
        <v>1490.28</v>
      </c>
      <c r="N2970" s="7">
        <v>159016400</v>
      </c>
      <c r="O2970" s="7">
        <v>131745744</v>
      </c>
      <c r="P2970" s="7">
        <v>0</v>
      </c>
      <c r="Q2970" s="7" t="str">
        <f t="shared" si="1011"/>
        <v>都市整備部</v>
      </c>
      <c r="R2970" s="7" t="str">
        <f t="shared" si="1034"/>
        <v>住宅建築局住宅経営室</v>
      </c>
    </row>
    <row r="2971" spans="1:18" s="1" customFormat="1" x14ac:dyDescent="0.45">
      <c r="A2971" s="7" t="str">
        <f t="shared" si="1031"/>
        <v>09940003372</v>
      </c>
      <c r="B2971" s="7" t="str">
        <f t="shared" si="1032"/>
        <v>松原天美（旧天美）</v>
      </c>
      <c r="C2971" s="7" t="str">
        <f t="shared" si="1035"/>
        <v>行政財産</v>
      </c>
      <c r="D2971" s="7" t="str">
        <f t="shared" si="1036"/>
        <v>公営住宅</v>
      </c>
      <c r="E2971" s="7" t="str">
        <f t="shared" si="1033"/>
        <v>大阪府松原市天美　東１丁目</v>
      </c>
      <c r="F2971" s="7"/>
      <c r="G2971" s="7" t="str">
        <f t="shared" si="1030"/>
        <v>事業用資産</v>
      </c>
      <c r="H2971" s="7" t="str">
        <f t="shared" si="1021"/>
        <v>棚卸以外</v>
      </c>
      <c r="I2971" s="7">
        <v>4</v>
      </c>
      <c r="J2971" s="7" t="str">
        <f>"汚水処理場"</f>
        <v>汚水処理場</v>
      </c>
      <c r="K2971" s="7" t="str">
        <f t="shared" si="1020"/>
        <v>鉄筋コンクリート造</v>
      </c>
      <c r="L2971" s="7" t="str">
        <f>"S59.03.30"</f>
        <v>S59.03.30</v>
      </c>
      <c r="M2971" s="7">
        <v>47.98</v>
      </c>
      <c r="N2971" s="7">
        <v>19692000</v>
      </c>
      <c r="O2971" s="7">
        <v>16340220</v>
      </c>
      <c r="P2971" s="7">
        <v>0</v>
      </c>
      <c r="Q2971" s="7" t="str">
        <f t="shared" ref="Q2971:Q3034" si="1037">"都市整備部"</f>
        <v>都市整備部</v>
      </c>
      <c r="R2971" s="7" t="str">
        <f t="shared" si="1034"/>
        <v>住宅建築局住宅経営室</v>
      </c>
    </row>
    <row r="2972" spans="1:18" s="1" customFormat="1" x14ac:dyDescent="0.45">
      <c r="A2972" s="7" t="str">
        <f t="shared" si="1031"/>
        <v>09940003372</v>
      </c>
      <c r="B2972" s="7" t="str">
        <f t="shared" si="1032"/>
        <v>松原天美（旧天美）</v>
      </c>
      <c r="C2972" s="7" t="str">
        <f t="shared" si="1035"/>
        <v>行政財産</v>
      </c>
      <c r="D2972" s="7" t="str">
        <f t="shared" si="1036"/>
        <v>公営住宅</v>
      </c>
      <c r="E2972" s="7" t="str">
        <f t="shared" si="1033"/>
        <v>大阪府松原市天美　東１丁目</v>
      </c>
      <c r="F2972" s="7"/>
      <c r="G2972" s="7" t="str">
        <f t="shared" si="1030"/>
        <v>事業用資産</v>
      </c>
      <c r="H2972" s="7" t="str">
        <f t="shared" si="1021"/>
        <v>棚卸以外</v>
      </c>
      <c r="I2972" s="7">
        <v>5</v>
      </c>
      <c r="J2972" s="7" t="str">
        <f>"受水槽"</f>
        <v>受水槽</v>
      </c>
      <c r="K2972" s="7" t="str">
        <f t="shared" si="1020"/>
        <v>鉄筋コンクリート造</v>
      </c>
      <c r="L2972" s="7" t="str">
        <f>"S59.03.30"</f>
        <v>S59.03.30</v>
      </c>
      <c r="M2972" s="7">
        <v>60.4</v>
      </c>
      <c r="N2972" s="7">
        <v>17579000</v>
      </c>
      <c r="O2972" s="7">
        <v>14587092</v>
      </c>
      <c r="P2972" s="7">
        <v>0</v>
      </c>
      <c r="Q2972" s="7" t="str">
        <f t="shared" si="1037"/>
        <v>都市整備部</v>
      </c>
      <c r="R2972" s="7" t="str">
        <f t="shared" si="1034"/>
        <v>住宅建築局住宅経営室</v>
      </c>
    </row>
    <row r="2973" spans="1:18" s="1" customFormat="1" x14ac:dyDescent="0.45">
      <c r="A2973" s="7" t="str">
        <f t="shared" si="1031"/>
        <v>09940003372</v>
      </c>
      <c r="B2973" s="7" t="str">
        <f t="shared" si="1032"/>
        <v>松原天美（旧天美）</v>
      </c>
      <c r="C2973" s="7" t="str">
        <f t="shared" si="1035"/>
        <v>行政財産</v>
      </c>
      <c r="D2973" s="7" t="str">
        <f t="shared" si="1036"/>
        <v>公営住宅</v>
      </c>
      <c r="E2973" s="7" t="str">
        <f t="shared" si="1033"/>
        <v>大阪府松原市天美　東１丁目</v>
      </c>
      <c r="F2973" s="7"/>
      <c r="G2973" s="7" t="str">
        <f t="shared" si="1030"/>
        <v>事業用資産</v>
      </c>
      <c r="H2973" s="7" t="str">
        <f t="shared" si="1021"/>
        <v>棚卸以外</v>
      </c>
      <c r="I2973" s="7">
        <v>6</v>
      </c>
      <c r="J2973" s="7" t="str">
        <f>"４号棟"</f>
        <v>４号棟</v>
      </c>
      <c r="K2973" s="7" t="str">
        <f t="shared" si="1020"/>
        <v>鉄筋コンクリート造</v>
      </c>
      <c r="L2973" s="7" t="str">
        <f>"S61.03.31"</f>
        <v>S61.03.31</v>
      </c>
      <c r="M2973" s="7">
        <v>1414.15</v>
      </c>
      <c r="N2973" s="7">
        <v>155621000</v>
      </c>
      <c r="O2973" s="7">
        <v>122510256</v>
      </c>
      <c r="P2973" s="7">
        <v>0</v>
      </c>
      <c r="Q2973" s="7" t="str">
        <f t="shared" si="1037"/>
        <v>都市整備部</v>
      </c>
      <c r="R2973" s="7" t="str">
        <f t="shared" si="1034"/>
        <v>住宅建築局住宅経営室</v>
      </c>
    </row>
    <row r="2974" spans="1:18" s="1" customFormat="1" x14ac:dyDescent="0.45">
      <c r="A2974" s="7" t="str">
        <f t="shared" si="1031"/>
        <v>09940003372</v>
      </c>
      <c r="B2974" s="7" t="str">
        <f t="shared" si="1032"/>
        <v>松原天美（旧天美）</v>
      </c>
      <c r="C2974" s="7" t="str">
        <f t="shared" si="1035"/>
        <v>行政財産</v>
      </c>
      <c r="D2974" s="7" t="str">
        <f t="shared" si="1036"/>
        <v>公営住宅</v>
      </c>
      <c r="E2974" s="7" t="str">
        <f t="shared" si="1033"/>
        <v>大阪府松原市天美　東１丁目</v>
      </c>
      <c r="F2974" s="7"/>
      <c r="G2974" s="7" t="str">
        <f t="shared" si="1030"/>
        <v>事業用資産</v>
      </c>
      <c r="H2974" s="7" t="str">
        <f t="shared" si="1021"/>
        <v>棚卸以外</v>
      </c>
      <c r="I2974" s="7">
        <v>7</v>
      </c>
      <c r="J2974" s="7" t="str">
        <f>"５号棟"</f>
        <v>５号棟</v>
      </c>
      <c r="K2974" s="7" t="str">
        <f t="shared" si="1020"/>
        <v>鉄筋コンクリート造</v>
      </c>
      <c r="L2974" s="7" t="str">
        <f>"S61.03.31"</f>
        <v>S61.03.31</v>
      </c>
      <c r="M2974" s="7">
        <v>2281.98</v>
      </c>
      <c r="N2974" s="7">
        <v>228668400</v>
      </c>
      <c r="O2974" s="7">
        <v>179821776</v>
      </c>
      <c r="P2974" s="7">
        <v>0</v>
      </c>
      <c r="Q2974" s="7" t="str">
        <f t="shared" si="1037"/>
        <v>都市整備部</v>
      </c>
      <c r="R2974" s="7" t="str">
        <f t="shared" si="1034"/>
        <v>住宅建築局住宅経営室</v>
      </c>
    </row>
    <row r="2975" spans="1:18" s="1" customFormat="1" x14ac:dyDescent="0.45">
      <c r="A2975" s="7" t="str">
        <f t="shared" si="1031"/>
        <v>09940003372</v>
      </c>
      <c r="B2975" s="7" t="str">
        <f t="shared" si="1032"/>
        <v>松原天美（旧天美）</v>
      </c>
      <c r="C2975" s="7" t="str">
        <f t="shared" si="1035"/>
        <v>行政財産</v>
      </c>
      <c r="D2975" s="7" t="str">
        <f t="shared" si="1036"/>
        <v>公営住宅</v>
      </c>
      <c r="E2975" s="7" t="str">
        <f t="shared" si="1033"/>
        <v>大阪府松原市天美　東１丁目</v>
      </c>
      <c r="F2975" s="7"/>
      <c r="G2975" s="7" t="str">
        <f t="shared" si="1030"/>
        <v>事業用資産</v>
      </c>
      <c r="H2975" s="7" t="str">
        <f t="shared" si="1021"/>
        <v>棚卸以外</v>
      </c>
      <c r="I2975" s="7">
        <v>8</v>
      </c>
      <c r="J2975" s="7" t="str">
        <f>"集会所"</f>
        <v>集会所</v>
      </c>
      <c r="K2975" s="7" t="str">
        <f t="shared" si="1020"/>
        <v>鉄筋コンクリート造</v>
      </c>
      <c r="L2975" s="7" t="str">
        <f>"S61.03.31"</f>
        <v>S61.03.31</v>
      </c>
      <c r="M2975" s="7">
        <v>73.150000000000006</v>
      </c>
      <c r="N2975" s="7">
        <v>23645000</v>
      </c>
      <c r="O2975" s="7">
        <v>18614256</v>
      </c>
      <c r="P2975" s="7">
        <v>0</v>
      </c>
      <c r="Q2975" s="7" t="str">
        <f t="shared" si="1037"/>
        <v>都市整備部</v>
      </c>
      <c r="R2975" s="7" t="str">
        <f t="shared" si="1034"/>
        <v>住宅建築局住宅経営室</v>
      </c>
    </row>
    <row r="2976" spans="1:18" s="1" customFormat="1" x14ac:dyDescent="0.45">
      <c r="A2976" s="7" t="str">
        <f t="shared" si="1031"/>
        <v>09940003372</v>
      </c>
      <c r="B2976" s="7" t="str">
        <f t="shared" si="1032"/>
        <v>松原天美（旧天美）</v>
      </c>
      <c r="C2976" s="7" t="str">
        <f t="shared" si="1035"/>
        <v>行政財産</v>
      </c>
      <c r="D2976" s="7" t="str">
        <f t="shared" si="1036"/>
        <v>公営住宅</v>
      </c>
      <c r="E2976" s="7" t="str">
        <f t="shared" si="1033"/>
        <v>大阪府松原市天美　東１丁目</v>
      </c>
      <c r="F2976" s="7"/>
      <c r="G2976" s="7" t="str">
        <f t="shared" si="1030"/>
        <v>事業用資産</v>
      </c>
      <c r="H2976" s="7" t="str">
        <f t="shared" si="1021"/>
        <v>棚卸以外</v>
      </c>
      <c r="I2976" s="7">
        <v>9</v>
      </c>
      <c r="J2976" s="7" t="str">
        <f>"受水槽"</f>
        <v>受水槽</v>
      </c>
      <c r="K2976" s="7" t="str">
        <f t="shared" si="1020"/>
        <v>鉄筋コンクリート造</v>
      </c>
      <c r="L2976" s="7" t="str">
        <f>"S61.03.31"</f>
        <v>S61.03.31</v>
      </c>
      <c r="M2976" s="7">
        <v>23.86</v>
      </c>
      <c r="N2976" s="7">
        <v>8333000</v>
      </c>
      <c r="O2976" s="7">
        <v>6560100</v>
      </c>
      <c r="P2976" s="7">
        <v>0</v>
      </c>
      <c r="Q2976" s="7" t="str">
        <f t="shared" si="1037"/>
        <v>都市整備部</v>
      </c>
      <c r="R2976" s="7" t="str">
        <f t="shared" si="1034"/>
        <v>住宅建築局住宅経営室</v>
      </c>
    </row>
    <row r="2977" spans="1:18" s="1" customFormat="1" x14ac:dyDescent="0.45">
      <c r="A2977" s="7" t="str">
        <f t="shared" ref="A2977:A2985" si="1038">"09940003373"</f>
        <v>09940003373</v>
      </c>
      <c r="B2977" s="7" t="str">
        <f t="shared" ref="B2977:B2985" si="1039">"羽曳野翠鳥園"</f>
        <v>羽曳野翠鳥園</v>
      </c>
      <c r="C2977" s="7" t="str">
        <f t="shared" si="1035"/>
        <v>行政財産</v>
      </c>
      <c r="D2977" s="7" t="str">
        <f t="shared" si="1036"/>
        <v>公営住宅</v>
      </c>
      <c r="E2977" s="7" t="str">
        <f t="shared" ref="E2977:E2985" si="1040">"大阪府羽曳野市翠鳥園"</f>
        <v>大阪府羽曳野市翠鳥園</v>
      </c>
      <c r="F2977" s="7"/>
      <c r="G2977" s="7" t="str">
        <f t="shared" si="1030"/>
        <v>事業用資産</v>
      </c>
      <c r="H2977" s="7" t="str">
        <f t="shared" si="1021"/>
        <v>棚卸以外</v>
      </c>
      <c r="I2977" s="7">
        <v>1</v>
      </c>
      <c r="J2977" s="7" t="str">
        <f>"１号棟"</f>
        <v>１号棟</v>
      </c>
      <c r="K2977" s="7" t="str">
        <f t="shared" si="1020"/>
        <v>鉄筋コンクリート造</v>
      </c>
      <c r="L2977" s="7" t="str">
        <f>"H06.06.17"</f>
        <v>H06.06.17</v>
      </c>
      <c r="M2977" s="7">
        <v>1239.03</v>
      </c>
      <c r="N2977" s="7">
        <v>222723000</v>
      </c>
      <c r="O2977" s="7">
        <v>136240155</v>
      </c>
      <c r="P2977" s="7">
        <v>0</v>
      </c>
      <c r="Q2977" s="7" t="str">
        <f t="shared" si="1037"/>
        <v>都市整備部</v>
      </c>
      <c r="R2977" s="7" t="str">
        <f t="shared" si="1034"/>
        <v>住宅建築局住宅経営室</v>
      </c>
    </row>
    <row r="2978" spans="1:18" s="1" customFormat="1" x14ac:dyDescent="0.45">
      <c r="A2978" s="7" t="str">
        <f t="shared" si="1038"/>
        <v>09940003373</v>
      </c>
      <c r="B2978" s="7" t="str">
        <f t="shared" si="1039"/>
        <v>羽曳野翠鳥園</v>
      </c>
      <c r="C2978" s="7" t="str">
        <f t="shared" si="1035"/>
        <v>行政財産</v>
      </c>
      <c r="D2978" s="7" t="str">
        <f t="shared" si="1036"/>
        <v>公営住宅</v>
      </c>
      <c r="E2978" s="7" t="str">
        <f t="shared" si="1040"/>
        <v>大阪府羽曳野市翠鳥園</v>
      </c>
      <c r="F2978" s="7"/>
      <c r="G2978" s="7" t="str">
        <f t="shared" si="1030"/>
        <v>事業用資産</v>
      </c>
      <c r="H2978" s="7" t="str">
        <f t="shared" si="1021"/>
        <v>棚卸以外</v>
      </c>
      <c r="I2978" s="7">
        <v>2</v>
      </c>
      <c r="J2978" s="7" t="str">
        <f>"２号棟"</f>
        <v>２号棟</v>
      </c>
      <c r="K2978" s="7" t="str">
        <f t="shared" ref="K2978:K2986" si="1041">"鉄筋コンクリート造"</f>
        <v>鉄筋コンクリート造</v>
      </c>
      <c r="L2978" s="7" t="str">
        <f>"H06.06.17"</f>
        <v>H06.06.17</v>
      </c>
      <c r="M2978" s="7">
        <v>826.02</v>
      </c>
      <c r="N2978" s="7">
        <v>139182000</v>
      </c>
      <c r="O2978" s="7">
        <v>85138065</v>
      </c>
      <c r="P2978" s="7">
        <v>0</v>
      </c>
      <c r="Q2978" s="7" t="str">
        <f t="shared" si="1037"/>
        <v>都市整備部</v>
      </c>
      <c r="R2978" s="7" t="str">
        <f t="shared" si="1034"/>
        <v>住宅建築局住宅経営室</v>
      </c>
    </row>
    <row r="2979" spans="1:18" s="1" customFormat="1" x14ac:dyDescent="0.45">
      <c r="A2979" s="7" t="str">
        <f t="shared" si="1038"/>
        <v>09940003373</v>
      </c>
      <c r="B2979" s="7" t="str">
        <f t="shared" si="1039"/>
        <v>羽曳野翠鳥園</v>
      </c>
      <c r="C2979" s="7" t="str">
        <f t="shared" si="1035"/>
        <v>行政財産</v>
      </c>
      <c r="D2979" s="7" t="str">
        <f t="shared" si="1036"/>
        <v>公営住宅</v>
      </c>
      <c r="E2979" s="7" t="str">
        <f t="shared" si="1040"/>
        <v>大阪府羽曳野市翠鳥園</v>
      </c>
      <c r="F2979" s="7"/>
      <c r="G2979" s="7" t="str">
        <f t="shared" si="1030"/>
        <v>事業用資産</v>
      </c>
      <c r="H2979" s="7" t="str">
        <f t="shared" si="1021"/>
        <v>棚卸以外</v>
      </c>
      <c r="I2979" s="7">
        <v>3</v>
      </c>
      <c r="J2979" s="7" t="str">
        <f>"３号棟"</f>
        <v>３号棟</v>
      </c>
      <c r="K2979" s="7" t="str">
        <f t="shared" si="1041"/>
        <v>鉄筋コンクリート造</v>
      </c>
      <c r="L2979" s="7" t="str">
        <f>"H06.06.17"</f>
        <v>H06.06.17</v>
      </c>
      <c r="M2979" s="7">
        <v>1201.53</v>
      </c>
      <c r="N2979" s="7">
        <v>205850000</v>
      </c>
      <c r="O2979" s="7">
        <v>125919135</v>
      </c>
      <c r="P2979" s="7">
        <v>0</v>
      </c>
      <c r="Q2979" s="7" t="str">
        <f t="shared" si="1037"/>
        <v>都市整備部</v>
      </c>
      <c r="R2979" s="7" t="str">
        <f t="shared" si="1034"/>
        <v>住宅建築局住宅経営室</v>
      </c>
    </row>
    <row r="2980" spans="1:18" s="1" customFormat="1" x14ac:dyDescent="0.45">
      <c r="A2980" s="7" t="str">
        <f t="shared" si="1038"/>
        <v>09940003373</v>
      </c>
      <c r="B2980" s="7" t="str">
        <f t="shared" si="1039"/>
        <v>羽曳野翠鳥園</v>
      </c>
      <c r="C2980" s="7" t="str">
        <f t="shared" si="1035"/>
        <v>行政財産</v>
      </c>
      <c r="D2980" s="7" t="str">
        <f t="shared" si="1036"/>
        <v>公営住宅</v>
      </c>
      <c r="E2980" s="7" t="str">
        <f t="shared" si="1040"/>
        <v>大阪府羽曳野市翠鳥園</v>
      </c>
      <c r="F2980" s="7"/>
      <c r="G2980" s="7" t="str">
        <f t="shared" si="1030"/>
        <v>事業用資産</v>
      </c>
      <c r="H2980" s="7" t="str">
        <f t="shared" si="1021"/>
        <v>棚卸以外</v>
      </c>
      <c r="I2980" s="7">
        <v>4</v>
      </c>
      <c r="J2980" s="7" t="str">
        <f>"受水槽"</f>
        <v>受水槽</v>
      </c>
      <c r="K2980" s="7" t="str">
        <f t="shared" si="1041"/>
        <v>鉄筋コンクリート造</v>
      </c>
      <c r="L2980" s="7" t="str">
        <f>"H06.06.17"</f>
        <v>H06.06.17</v>
      </c>
      <c r="M2980" s="7">
        <v>60.6</v>
      </c>
      <c r="N2980" s="7">
        <v>26179000</v>
      </c>
      <c r="O2980" s="7">
        <v>16013865</v>
      </c>
      <c r="P2980" s="7">
        <v>0</v>
      </c>
      <c r="Q2980" s="7" t="str">
        <f t="shared" si="1037"/>
        <v>都市整備部</v>
      </c>
      <c r="R2980" s="7" t="str">
        <f t="shared" si="1034"/>
        <v>住宅建築局住宅経営室</v>
      </c>
    </row>
    <row r="2981" spans="1:18" s="1" customFormat="1" x14ac:dyDescent="0.45">
      <c r="A2981" s="7" t="str">
        <f t="shared" si="1038"/>
        <v>09940003373</v>
      </c>
      <c r="B2981" s="7" t="str">
        <f t="shared" si="1039"/>
        <v>羽曳野翠鳥園</v>
      </c>
      <c r="C2981" s="7" t="str">
        <f t="shared" si="1035"/>
        <v>行政財産</v>
      </c>
      <c r="D2981" s="7" t="str">
        <f t="shared" si="1036"/>
        <v>公営住宅</v>
      </c>
      <c r="E2981" s="7" t="str">
        <f t="shared" si="1040"/>
        <v>大阪府羽曳野市翠鳥園</v>
      </c>
      <c r="F2981" s="7"/>
      <c r="G2981" s="7" t="str">
        <f t="shared" si="1030"/>
        <v>事業用資産</v>
      </c>
      <c r="H2981" s="7" t="str">
        <f t="shared" si="1021"/>
        <v>棚卸以外</v>
      </c>
      <c r="I2981" s="7">
        <v>5</v>
      </c>
      <c r="J2981" s="7" t="str">
        <f>"４号棟"</f>
        <v>４号棟</v>
      </c>
      <c r="K2981" s="7" t="str">
        <f t="shared" si="1041"/>
        <v>鉄筋コンクリート造</v>
      </c>
      <c r="L2981" s="7" t="str">
        <f>"H09.02.25"</f>
        <v>H09.02.25</v>
      </c>
      <c r="M2981" s="7">
        <v>833.39</v>
      </c>
      <c r="N2981" s="7">
        <v>143616000</v>
      </c>
      <c r="O2981" s="7">
        <v>79702007</v>
      </c>
      <c r="P2981" s="7">
        <v>0</v>
      </c>
      <c r="Q2981" s="7" t="str">
        <f t="shared" si="1037"/>
        <v>都市整備部</v>
      </c>
      <c r="R2981" s="7" t="str">
        <f t="shared" si="1034"/>
        <v>住宅建築局住宅経営室</v>
      </c>
    </row>
    <row r="2982" spans="1:18" s="1" customFormat="1" x14ac:dyDescent="0.45">
      <c r="A2982" s="7" t="str">
        <f t="shared" si="1038"/>
        <v>09940003373</v>
      </c>
      <c r="B2982" s="7" t="str">
        <f t="shared" si="1039"/>
        <v>羽曳野翠鳥園</v>
      </c>
      <c r="C2982" s="7" t="str">
        <f t="shared" si="1035"/>
        <v>行政財産</v>
      </c>
      <c r="D2982" s="7" t="str">
        <f t="shared" si="1036"/>
        <v>公営住宅</v>
      </c>
      <c r="E2982" s="7" t="str">
        <f t="shared" si="1040"/>
        <v>大阪府羽曳野市翠鳥園</v>
      </c>
      <c r="F2982" s="7"/>
      <c r="G2982" s="7" t="str">
        <f t="shared" si="1030"/>
        <v>事業用資産</v>
      </c>
      <c r="H2982" s="7" t="str">
        <f t="shared" si="1021"/>
        <v>棚卸以外</v>
      </c>
      <c r="I2982" s="7">
        <v>6</v>
      </c>
      <c r="J2982" s="7" t="str">
        <f>"５号棟"</f>
        <v>５号棟</v>
      </c>
      <c r="K2982" s="7" t="str">
        <f t="shared" si="1041"/>
        <v>鉄筋コンクリート造</v>
      </c>
      <c r="L2982" s="7" t="str">
        <f>"H09.02.25"</f>
        <v>H09.02.25</v>
      </c>
      <c r="M2982" s="7">
        <v>875.59</v>
      </c>
      <c r="N2982" s="7">
        <v>139644000</v>
      </c>
      <c r="O2982" s="7">
        <v>77497548</v>
      </c>
      <c r="P2982" s="7">
        <v>0</v>
      </c>
      <c r="Q2982" s="7" t="str">
        <f t="shared" si="1037"/>
        <v>都市整備部</v>
      </c>
      <c r="R2982" s="7" t="str">
        <f t="shared" si="1034"/>
        <v>住宅建築局住宅経営室</v>
      </c>
    </row>
    <row r="2983" spans="1:18" s="1" customFormat="1" x14ac:dyDescent="0.45">
      <c r="A2983" s="7" t="str">
        <f t="shared" si="1038"/>
        <v>09940003373</v>
      </c>
      <c r="B2983" s="7" t="str">
        <f t="shared" si="1039"/>
        <v>羽曳野翠鳥園</v>
      </c>
      <c r="C2983" s="7" t="str">
        <f t="shared" si="1035"/>
        <v>行政財産</v>
      </c>
      <c r="D2983" s="7" t="str">
        <f t="shared" si="1036"/>
        <v>公営住宅</v>
      </c>
      <c r="E2983" s="7" t="str">
        <f t="shared" si="1040"/>
        <v>大阪府羽曳野市翠鳥園</v>
      </c>
      <c r="F2983" s="7"/>
      <c r="G2983" s="7" t="str">
        <f t="shared" si="1030"/>
        <v>事業用資産</v>
      </c>
      <c r="H2983" s="7" t="str">
        <f t="shared" si="1021"/>
        <v>棚卸以外</v>
      </c>
      <c r="I2983" s="7">
        <v>7</v>
      </c>
      <c r="J2983" s="7" t="str">
        <f>"６号棟"</f>
        <v>６号棟</v>
      </c>
      <c r="K2983" s="7" t="str">
        <f t="shared" si="1041"/>
        <v>鉄筋コンクリート造</v>
      </c>
      <c r="L2983" s="7" t="str">
        <f>"H09.02.25"</f>
        <v>H09.02.25</v>
      </c>
      <c r="M2983" s="7">
        <v>916.92</v>
      </c>
      <c r="N2983" s="7">
        <v>141344600</v>
      </c>
      <c r="O2983" s="7">
        <v>78236228</v>
      </c>
      <c r="P2983" s="7">
        <v>0</v>
      </c>
      <c r="Q2983" s="7" t="str">
        <f t="shared" si="1037"/>
        <v>都市整備部</v>
      </c>
      <c r="R2983" s="7" t="str">
        <f t="shared" si="1034"/>
        <v>住宅建築局住宅経営室</v>
      </c>
    </row>
    <row r="2984" spans="1:18" s="1" customFormat="1" x14ac:dyDescent="0.45">
      <c r="A2984" s="7" t="str">
        <f t="shared" si="1038"/>
        <v>09940003373</v>
      </c>
      <c r="B2984" s="7" t="str">
        <f t="shared" si="1039"/>
        <v>羽曳野翠鳥園</v>
      </c>
      <c r="C2984" s="7" t="str">
        <f t="shared" si="1035"/>
        <v>行政財産</v>
      </c>
      <c r="D2984" s="7" t="str">
        <f t="shared" si="1036"/>
        <v>公営住宅</v>
      </c>
      <c r="E2984" s="7" t="str">
        <f t="shared" si="1040"/>
        <v>大阪府羽曳野市翠鳥園</v>
      </c>
      <c r="F2984" s="7"/>
      <c r="G2984" s="7" t="str">
        <f t="shared" si="1030"/>
        <v>事業用資産</v>
      </c>
      <c r="H2984" s="7" t="str">
        <f t="shared" si="1021"/>
        <v>棚卸以外</v>
      </c>
      <c r="I2984" s="7">
        <v>8</v>
      </c>
      <c r="J2984" s="7" t="str">
        <f>"７号棟"</f>
        <v>７号棟</v>
      </c>
      <c r="K2984" s="7" t="str">
        <f t="shared" si="1041"/>
        <v>鉄筋コンクリート造</v>
      </c>
      <c r="L2984" s="7" t="str">
        <f>"H09.02.25"</f>
        <v>H09.02.25</v>
      </c>
      <c r="M2984" s="7">
        <v>1661.26</v>
      </c>
      <c r="N2984" s="7">
        <v>256554000</v>
      </c>
      <c r="O2984" s="7">
        <v>142378379</v>
      </c>
      <c r="P2984" s="7">
        <v>0</v>
      </c>
      <c r="Q2984" s="7" t="str">
        <f t="shared" si="1037"/>
        <v>都市整備部</v>
      </c>
      <c r="R2984" s="7" t="str">
        <f t="shared" si="1034"/>
        <v>住宅建築局住宅経営室</v>
      </c>
    </row>
    <row r="2985" spans="1:18" s="1" customFormat="1" x14ac:dyDescent="0.45">
      <c r="A2985" s="7" t="str">
        <f t="shared" si="1038"/>
        <v>09940003373</v>
      </c>
      <c r="B2985" s="7" t="str">
        <f t="shared" si="1039"/>
        <v>羽曳野翠鳥園</v>
      </c>
      <c r="C2985" s="7" t="str">
        <f t="shared" si="1035"/>
        <v>行政財産</v>
      </c>
      <c r="D2985" s="7" t="str">
        <f t="shared" si="1036"/>
        <v>公営住宅</v>
      </c>
      <c r="E2985" s="7" t="str">
        <f t="shared" si="1040"/>
        <v>大阪府羽曳野市翠鳥園</v>
      </c>
      <c r="F2985" s="7"/>
      <c r="G2985" s="7" t="str">
        <f t="shared" si="1030"/>
        <v>事業用資産</v>
      </c>
      <c r="H2985" s="7" t="str">
        <f t="shared" si="1021"/>
        <v>棚卸以外</v>
      </c>
      <c r="I2985" s="7">
        <v>9</v>
      </c>
      <c r="J2985" s="7" t="str">
        <f>"集会所"</f>
        <v>集会所</v>
      </c>
      <c r="K2985" s="7" t="str">
        <f t="shared" si="1041"/>
        <v>鉄筋コンクリート造</v>
      </c>
      <c r="L2985" s="7" t="str">
        <f>"H09.02.25"</f>
        <v>H09.02.25</v>
      </c>
      <c r="M2985" s="7">
        <v>99.97</v>
      </c>
      <c r="N2985" s="7">
        <v>31519000</v>
      </c>
      <c r="O2985" s="7">
        <v>17492005</v>
      </c>
      <c r="P2985" s="7">
        <v>0</v>
      </c>
      <c r="Q2985" s="7" t="str">
        <f t="shared" si="1037"/>
        <v>都市整備部</v>
      </c>
      <c r="R2985" s="7" t="str">
        <f t="shared" si="1034"/>
        <v>住宅建築局住宅経営室</v>
      </c>
    </row>
    <row r="2986" spans="1:18" s="1" customFormat="1" x14ac:dyDescent="0.45">
      <c r="A2986" s="7" t="str">
        <f t="shared" ref="A2986:A2998" si="1042">"09940003374"</f>
        <v>09940003374</v>
      </c>
      <c r="B2986" s="7" t="str">
        <f t="shared" ref="B2986:B2998" si="1043">"羽曳野高鷲"</f>
        <v>羽曳野高鷲</v>
      </c>
      <c r="C2986" s="7" t="str">
        <f t="shared" si="1035"/>
        <v>行政財産</v>
      </c>
      <c r="D2986" s="7" t="str">
        <f t="shared" si="1036"/>
        <v>公営住宅</v>
      </c>
      <c r="E2986" s="7" t="str">
        <f t="shared" ref="E2986:E2998" si="1044">"大阪府羽曳野市高鷲４丁目"</f>
        <v>大阪府羽曳野市高鷲４丁目</v>
      </c>
      <c r="F2986" s="7"/>
      <c r="G2986" s="7" t="str">
        <f t="shared" si="1030"/>
        <v>事業用資産</v>
      </c>
      <c r="H2986" s="7" t="str">
        <f t="shared" si="1021"/>
        <v>棚卸以外</v>
      </c>
      <c r="I2986" s="7">
        <v>1</v>
      </c>
      <c r="J2986" s="7" t="str">
        <f>"１号棟"</f>
        <v>１号棟</v>
      </c>
      <c r="K2986" s="7" t="str">
        <f t="shared" si="1041"/>
        <v>鉄筋コンクリート造</v>
      </c>
      <c r="L2986" s="7" t="str">
        <f t="shared" ref="L2986:L2993" si="1045">"H05.03.25"</f>
        <v>H05.03.25</v>
      </c>
      <c r="M2986" s="7">
        <v>6263.79</v>
      </c>
      <c r="N2986" s="7">
        <v>1052152800</v>
      </c>
      <c r="O2986" s="7">
        <v>671406480</v>
      </c>
      <c r="P2986" s="7">
        <v>0</v>
      </c>
      <c r="Q2986" s="7" t="str">
        <f t="shared" si="1037"/>
        <v>都市整備部</v>
      </c>
      <c r="R2986" s="7" t="str">
        <f t="shared" si="1034"/>
        <v>住宅建築局住宅経営室</v>
      </c>
    </row>
    <row r="2987" spans="1:18" s="1" customFormat="1" x14ac:dyDescent="0.45">
      <c r="A2987" s="7" t="str">
        <f t="shared" si="1042"/>
        <v>09940003374</v>
      </c>
      <c r="B2987" s="7" t="str">
        <f t="shared" si="1043"/>
        <v>羽曳野高鷲</v>
      </c>
      <c r="C2987" s="7" t="str">
        <f t="shared" si="1035"/>
        <v>行政財産</v>
      </c>
      <c r="D2987" s="7" t="str">
        <f t="shared" si="1036"/>
        <v>公営住宅</v>
      </c>
      <c r="E2987" s="7" t="str">
        <f t="shared" si="1044"/>
        <v>大阪府羽曳野市高鷲４丁目</v>
      </c>
      <c r="F2987" s="7"/>
      <c r="G2987" s="7" t="str">
        <f t="shared" si="1030"/>
        <v>事業用資産</v>
      </c>
      <c r="H2987" s="7" t="str">
        <f t="shared" si="1021"/>
        <v>棚卸以外</v>
      </c>
      <c r="I2987" s="7">
        <v>2</v>
      </c>
      <c r="J2987" s="7" t="str">
        <f>"２号棟"</f>
        <v>２号棟</v>
      </c>
      <c r="K2987" s="7" t="str">
        <f t="shared" ref="K2987:K2993" si="1046">"鉄筋"</f>
        <v>鉄筋</v>
      </c>
      <c r="L2987" s="7" t="str">
        <f t="shared" si="1045"/>
        <v>H05.03.25</v>
      </c>
      <c r="M2987" s="7">
        <v>1011.51</v>
      </c>
      <c r="N2987" s="7">
        <v>176984000</v>
      </c>
      <c r="O2987" s="7">
        <v>112968720</v>
      </c>
      <c r="P2987" s="7">
        <v>0</v>
      </c>
      <c r="Q2987" s="7" t="str">
        <f t="shared" si="1037"/>
        <v>都市整備部</v>
      </c>
      <c r="R2987" s="7" t="str">
        <f t="shared" si="1034"/>
        <v>住宅建築局住宅経営室</v>
      </c>
    </row>
    <row r="2988" spans="1:18" s="1" customFormat="1" x14ac:dyDescent="0.45">
      <c r="A2988" s="7" t="str">
        <f t="shared" si="1042"/>
        <v>09940003374</v>
      </c>
      <c r="B2988" s="7" t="str">
        <f t="shared" si="1043"/>
        <v>羽曳野高鷲</v>
      </c>
      <c r="C2988" s="7" t="str">
        <f t="shared" si="1035"/>
        <v>行政財産</v>
      </c>
      <c r="D2988" s="7" t="str">
        <f t="shared" si="1036"/>
        <v>公営住宅</v>
      </c>
      <c r="E2988" s="7" t="str">
        <f t="shared" si="1044"/>
        <v>大阪府羽曳野市高鷲４丁目</v>
      </c>
      <c r="F2988" s="7"/>
      <c r="G2988" s="7" t="str">
        <f t="shared" si="1030"/>
        <v>事業用資産</v>
      </c>
      <c r="H2988" s="7" t="str">
        <f t="shared" si="1021"/>
        <v>棚卸以外</v>
      </c>
      <c r="I2988" s="7">
        <v>3</v>
      </c>
      <c r="J2988" s="7" t="str">
        <f>"３号棟"</f>
        <v>３号棟</v>
      </c>
      <c r="K2988" s="7" t="str">
        <f t="shared" si="1046"/>
        <v>鉄筋</v>
      </c>
      <c r="L2988" s="7" t="str">
        <f t="shared" si="1045"/>
        <v>H05.03.25</v>
      </c>
      <c r="M2988" s="7">
        <v>1752.48</v>
      </c>
      <c r="N2988" s="7">
        <v>294833000</v>
      </c>
      <c r="O2988" s="7">
        <v>188191440</v>
      </c>
      <c r="P2988" s="7">
        <v>0</v>
      </c>
      <c r="Q2988" s="7" t="str">
        <f t="shared" si="1037"/>
        <v>都市整備部</v>
      </c>
      <c r="R2988" s="7" t="str">
        <f t="shared" si="1034"/>
        <v>住宅建築局住宅経営室</v>
      </c>
    </row>
    <row r="2989" spans="1:18" s="1" customFormat="1" x14ac:dyDescent="0.45">
      <c r="A2989" s="7" t="str">
        <f t="shared" si="1042"/>
        <v>09940003374</v>
      </c>
      <c r="B2989" s="7" t="str">
        <f t="shared" si="1043"/>
        <v>羽曳野高鷲</v>
      </c>
      <c r="C2989" s="7" t="str">
        <f t="shared" si="1035"/>
        <v>行政財産</v>
      </c>
      <c r="D2989" s="7" t="str">
        <f t="shared" si="1036"/>
        <v>公営住宅</v>
      </c>
      <c r="E2989" s="7" t="str">
        <f t="shared" si="1044"/>
        <v>大阪府羽曳野市高鷲４丁目</v>
      </c>
      <c r="F2989" s="7"/>
      <c r="G2989" s="7" t="str">
        <f t="shared" si="1030"/>
        <v>事業用資産</v>
      </c>
      <c r="H2989" s="7" t="str">
        <f t="shared" si="1021"/>
        <v>棚卸以外</v>
      </c>
      <c r="I2989" s="7">
        <v>4</v>
      </c>
      <c r="J2989" s="7" t="str">
        <f>"４号棟"</f>
        <v>４号棟</v>
      </c>
      <c r="K2989" s="7" t="str">
        <f t="shared" si="1046"/>
        <v>鉄筋</v>
      </c>
      <c r="L2989" s="7" t="str">
        <f t="shared" si="1045"/>
        <v>H05.03.25</v>
      </c>
      <c r="M2989" s="7">
        <v>1108.03</v>
      </c>
      <c r="N2989" s="7">
        <v>193693000</v>
      </c>
      <c r="O2989" s="7">
        <v>123634080</v>
      </c>
      <c r="P2989" s="7">
        <v>0</v>
      </c>
      <c r="Q2989" s="7" t="str">
        <f t="shared" si="1037"/>
        <v>都市整備部</v>
      </c>
      <c r="R2989" s="7" t="str">
        <f t="shared" si="1034"/>
        <v>住宅建築局住宅経営室</v>
      </c>
    </row>
    <row r="2990" spans="1:18" s="1" customFormat="1" x14ac:dyDescent="0.45">
      <c r="A2990" s="7" t="str">
        <f t="shared" si="1042"/>
        <v>09940003374</v>
      </c>
      <c r="B2990" s="7" t="str">
        <f t="shared" si="1043"/>
        <v>羽曳野高鷲</v>
      </c>
      <c r="C2990" s="7" t="str">
        <f t="shared" si="1035"/>
        <v>行政財産</v>
      </c>
      <c r="D2990" s="7" t="str">
        <f t="shared" si="1036"/>
        <v>公営住宅</v>
      </c>
      <c r="E2990" s="7" t="str">
        <f t="shared" si="1044"/>
        <v>大阪府羽曳野市高鷲４丁目</v>
      </c>
      <c r="F2990" s="7"/>
      <c r="G2990" s="7" t="str">
        <f t="shared" si="1030"/>
        <v>事業用資産</v>
      </c>
      <c r="H2990" s="7" t="str">
        <f t="shared" si="1021"/>
        <v>棚卸以外</v>
      </c>
      <c r="I2990" s="7">
        <v>5</v>
      </c>
      <c r="J2990" s="7" t="str">
        <f>"集会所"</f>
        <v>集会所</v>
      </c>
      <c r="K2990" s="7" t="str">
        <f t="shared" si="1046"/>
        <v>鉄筋</v>
      </c>
      <c r="L2990" s="7" t="str">
        <f t="shared" si="1045"/>
        <v>H05.03.25</v>
      </c>
      <c r="M2990" s="7">
        <v>148.31</v>
      </c>
      <c r="N2990" s="7">
        <v>37330000</v>
      </c>
      <c r="O2990" s="7">
        <v>23827680</v>
      </c>
      <c r="P2990" s="7">
        <v>0</v>
      </c>
      <c r="Q2990" s="7" t="str">
        <f t="shared" si="1037"/>
        <v>都市整備部</v>
      </c>
      <c r="R2990" s="7" t="str">
        <f t="shared" si="1034"/>
        <v>住宅建築局住宅経営室</v>
      </c>
    </row>
    <row r="2991" spans="1:18" s="1" customFormat="1" x14ac:dyDescent="0.45">
      <c r="A2991" s="7" t="str">
        <f t="shared" si="1042"/>
        <v>09940003374</v>
      </c>
      <c r="B2991" s="7" t="str">
        <f t="shared" si="1043"/>
        <v>羽曳野高鷲</v>
      </c>
      <c r="C2991" s="7" t="str">
        <f t="shared" si="1035"/>
        <v>行政財産</v>
      </c>
      <c r="D2991" s="7" t="str">
        <f t="shared" si="1036"/>
        <v>公営住宅</v>
      </c>
      <c r="E2991" s="7" t="str">
        <f t="shared" si="1044"/>
        <v>大阪府羽曳野市高鷲４丁目</v>
      </c>
      <c r="F2991" s="7"/>
      <c r="G2991" s="7" t="str">
        <f t="shared" si="1030"/>
        <v>事業用資産</v>
      </c>
      <c r="H2991" s="7" t="str">
        <f t="shared" si="1021"/>
        <v>棚卸以外</v>
      </c>
      <c r="I2991" s="7">
        <v>6</v>
      </c>
      <c r="J2991" s="7" t="str">
        <f>"受水槽"</f>
        <v>受水槽</v>
      </c>
      <c r="K2991" s="7" t="str">
        <f t="shared" si="1046"/>
        <v>鉄筋</v>
      </c>
      <c r="L2991" s="7" t="str">
        <f t="shared" si="1045"/>
        <v>H05.03.25</v>
      </c>
      <c r="M2991" s="7">
        <v>66</v>
      </c>
      <c r="N2991" s="7">
        <v>29590000</v>
      </c>
      <c r="O2991" s="7">
        <v>18887400</v>
      </c>
      <c r="P2991" s="7">
        <v>0</v>
      </c>
      <c r="Q2991" s="7" t="str">
        <f t="shared" si="1037"/>
        <v>都市整備部</v>
      </c>
      <c r="R2991" s="7" t="str">
        <f t="shared" si="1034"/>
        <v>住宅建築局住宅経営室</v>
      </c>
    </row>
    <row r="2992" spans="1:18" s="1" customFormat="1" x14ac:dyDescent="0.45">
      <c r="A2992" s="7" t="str">
        <f t="shared" si="1042"/>
        <v>09940003374</v>
      </c>
      <c r="B2992" s="7" t="str">
        <f t="shared" si="1043"/>
        <v>羽曳野高鷲</v>
      </c>
      <c r="C2992" s="7" t="str">
        <f t="shared" si="1035"/>
        <v>行政財産</v>
      </c>
      <c r="D2992" s="7" t="str">
        <f t="shared" si="1036"/>
        <v>公営住宅</v>
      </c>
      <c r="E2992" s="7" t="str">
        <f t="shared" si="1044"/>
        <v>大阪府羽曳野市高鷲４丁目</v>
      </c>
      <c r="F2992" s="7"/>
      <c r="G2992" s="7" t="str">
        <f t="shared" si="1030"/>
        <v>事業用資産</v>
      </c>
      <c r="H2992" s="7" t="str">
        <f t="shared" si="1021"/>
        <v>棚卸以外</v>
      </c>
      <c r="I2992" s="7">
        <v>7</v>
      </c>
      <c r="J2992" s="7" t="str">
        <f>"浄化槽"</f>
        <v>浄化槽</v>
      </c>
      <c r="K2992" s="7" t="str">
        <f t="shared" si="1046"/>
        <v>鉄筋</v>
      </c>
      <c r="L2992" s="7" t="str">
        <f t="shared" si="1045"/>
        <v>H05.03.25</v>
      </c>
      <c r="M2992" s="7">
        <v>175.2</v>
      </c>
      <c r="N2992" s="7">
        <v>80753000</v>
      </c>
      <c r="O2992" s="7">
        <v>51544800</v>
      </c>
      <c r="P2992" s="7">
        <v>0</v>
      </c>
      <c r="Q2992" s="7" t="str">
        <f t="shared" si="1037"/>
        <v>都市整備部</v>
      </c>
      <c r="R2992" s="7" t="str">
        <f t="shared" si="1034"/>
        <v>住宅建築局住宅経営室</v>
      </c>
    </row>
    <row r="2993" spans="1:18" s="1" customFormat="1" x14ac:dyDescent="0.45">
      <c r="A2993" s="7" t="str">
        <f t="shared" si="1042"/>
        <v>09940003374</v>
      </c>
      <c r="B2993" s="7" t="str">
        <f t="shared" si="1043"/>
        <v>羽曳野高鷲</v>
      </c>
      <c r="C2993" s="7" t="str">
        <f t="shared" si="1035"/>
        <v>行政財産</v>
      </c>
      <c r="D2993" s="7" t="str">
        <f t="shared" si="1036"/>
        <v>公営住宅</v>
      </c>
      <c r="E2993" s="7" t="str">
        <f t="shared" si="1044"/>
        <v>大阪府羽曳野市高鷲４丁目</v>
      </c>
      <c r="F2993" s="7"/>
      <c r="G2993" s="7" t="str">
        <f t="shared" si="1030"/>
        <v>事業用資産</v>
      </c>
      <c r="H2993" s="7" t="str">
        <f t="shared" si="1021"/>
        <v>棚卸以外</v>
      </c>
      <c r="I2993" s="7">
        <v>8</v>
      </c>
      <c r="J2993" s="7" t="str">
        <f>"電気室"</f>
        <v>電気室</v>
      </c>
      <c r="K2993" s="7" t="str">
        <f t="shared" si="1046"/>
        <v>鉄筋</v>
      </c>
      <c r="L2993" s="7" t="str">
        <f t="shared" si="1045"/>
        <v>H05.03.25</v>
      </c>
      <c r="M2993" s="7">
        <v>29.34</v>
      </c>
      <c r="N2993" s="7">
        <v>5308000</v>
      </c>
      <c r="O2993" s="7">
        <v>3388320</v>
      </c>
      <c r="P2993" s="7">
        <v>0</v>
      </c>
      <c r="Q2993" s="7" t="str">
        <f t="shared" si="1037"/>
        <v>都市整備部</v>
      </c>
      <c r="R2993" s="7" t="str">
        <f t="shared" si="1034"/>
        <v>住宅建築局住宅経営室</v>
      </c>
    </row>
    <row r="2994" spans="1:18" s="1" customFormat="1" x14ac:dyDescent="0.45">
      <c r="A2994" s="7" t="str">
        <f t="shared" si="1042"/>
        <v>09940003374</v>
      </c>
      <c r="B2994" s="7" t="str">
        <f t="shared" si="1043"/>
        <v>羽曳野高鷲</v>
      </c>
      <c r="C2994" s="7" t="str">
        <f t="shared" si="1035"/>
        <v>行政財産</v>
      </c>
      <c r="D2994" s="7" t="str">
        <f t="shared" si="1036"/>
        <v>公営住宅</v>
      </c>
      <c r="E2994" s="7" t="str">
        <f t="shared" si="1044"/>
        <v>大阪府羽曳野市高鷲４丁目</v>
      </c>
      <c r="F2994" s="7"/>
      <c r="G2994" s="7" t="str">
        <f t="shared" si="1030"/>
        <v>事業用資産</v>
      </c>
      <c r="H2994" s="7" t="str">
        <f t="shared" si="1021"/>
        <v>棚卸以外</v>
      </c>
      <c r="I2994" s="7">
        <v>9</v>
      </c>
      <c r="J2994" s="7" t="str">
        <f>"５号棟"</f>
        <v>５号棟</v>
      </c>
      <c r="K2994" s="7" t="str">
        <f>"鉄筋コンクリート造"</f>
        <v>鉄筋コンクリート造</v>
      </c>
      <c r="L2994" s="7" t="str">
        <f>"H07.05.17"</f>
        <v>H07.05.17</v>
      </c>
      <c r="M2994" s="7">
        <v>1155.48</v>
      </c>
      <c r="N2994" s="7">
        <v>164397600</v>
      </c>
      <c r="O2994" s="7">
        <v>97137220</v>
      </c>
      <c r="P2994" s="7">
        <v>0</v>
      </c>
      <c r="Q2994" s="7" t="str">
        <f t="shared" si="1037"/>
        <v>都市整備部</v>
      </c>
      <c r="R2994" s="7" t="str">
        <f t="shared" si="1034"/>
        <v>住宅建築局住宅経営室</v>
      </c>
    </row>
    <row r="2995" spans="1:18" s="1" customFormat="1" x14ac:dyDescent="0.45">
      <c r="A2995" s="7" t="str">
        <f t="shared" si="1042"/>
        <v>09940003374</v>
      </c>
      <c r="B2995" s="7" t="str">
        <f t="shared" si="1043"/>
        <v>羽曳野高鷲</v>
      </c>
      <c r="C2995" s="7" t="str">
        <f t="shared" si="1035"/>
        <v>行政財産</v>
      </c>
      <c r="D2995" s="7" t="str">
        <f t="shared" si="1036"/>
        <v>公営住宅</v>
      </c>
      <c r="E2995" s="7" t="str">
        <f t="shared" si="1044"/>
        <v>大阪府羽曳野市高鷲４丁目</v>
      </c>
      <c r="F2995" s="7"/>
      <c r="G2995" s="7" t="str">
        <f t="shared" si="1030"/>
        <v>事業用資産</v>
      </c>
      <c r="H2995" s="7" t="str">
        <f t="shared" si="1021"/>
        <v>棚卸以外</v>
      </c>
      <c r="I2995" s="7">
        <v>10</v>
      </c>
      <c r="J2995" s="7" t="str">
        <f>"６号棟"</f>
        <v>６号棟</v>
      </c>
      <c r="K2995" s="7" t="str">
        <f>"鉄筋"</f>
        <v>鉄筋</v>
      </c>
      <c r="L2995" s="7" t="str">
        <f>"H07.05.17"</f>
        <v>H07.05.17</v>
      </c>
      <c r="M2995" s="7">
        <v>432.54</v>
      </c>
      <c r="N2995" s="7">
        <v>92345000</v>
      </c>
      <c r="O2995" s="7">
        <v>54686822</v>
      </c>
      <c r="P2995" s="7">
        <v>0</v>
      </c>
      <c r="Q2995" s="7" t="str">
        <f t="shared" si="1037"/>
        <v>都市整備部</v>
      </c>
      <c r="R2995" s="7" t="str">
        <f t="shared" si="1034"/>
        <v>住宅建築局住宅経営室</v>
      </c>
    </row>
    <row r="2996" spans="1:18" s="1" customFormat="1" x14ac:dyDescent="0.45">
      <c r="A2996" s="7" t="str">
        <f t="shared" si="1042"/>
        <v>09940003374</v>
      </c>
      <c r="B2996" s="7" t="str">
        <f t="shared" si="1043"/>
        <v>羽曳野高鷲</v>
      </c>
      <c r="C2996" s="7" t="str">
        <f t="shared" si="1035"/>
        <v>行政財産</v>
      </c>
      <c r="D2996" s="7" t="str">
        <f t="shared" si="1036"/>
        <v>公営住宅</v>
      </c>
      <c r="E2996" s="7" t="str">
        <f t="shared" si="1044"/>
        <v>大阪府羽曳野市高鷲４丁目</v>
      </c>
      <c r="F2996" s="7"/>
      <c r="G2996" s="7" t="str">
        <f t="shared" si="1030"/>
        <v>事業用資産</v>
      </c>
      <c r="H2996" s="7" t="str">
        <f t="shared" si="1021"/>
        <v>棚卸以外</v>
      </c>
      <c r="I2996" s="7">
        <v>11</v>
      </c>
      <c r="J2996" s="7" t="str">
        <f>"７号棟"</f>
        <v>７号棟</v>
      </c>
      <c r="K2996" s="7" t="str">
        <f t="shared" ref="K2996:K3027" si="1047">"鉄筋コンクリート造"</f>
        <v>鉄筋コンクリート造</v>
      </c>
      <c r="L2996" s="7" t="str">
        <f>"H08.02.28"</f>
        <v>H08.02.28</v>
      </c>
      <c r="M2996" s="7">
        <v>1985.86</v>
      </c>
      <c r="N2996" s="7">
        <v>418462818</v>
      </c>
      <c r="O2996" s="7">
        <v>240841250</v>
      </c>
      <c r="P2996" s="7">
        <v>0</v>
      </c>
      <c r="Q2996" s="7" t="str">
        <f t="shared" si="1037"/>
        <v>都市整備部</v>
      </c>
      <c r="R2996" s="7" t="str">
        <f t="shared" si="1034"/>
        <v>住宅建築局住宅経営室</v>
      </c>
    </row>
    <row r="2997" spans="1:18" s="1" customFormat="1" x14ac:dyDescent="0.45">
      <c r="A2997" s="7" t="str">
        <f t="shared" si="1042"/>
        <v>09940003374</v>
      </c>
      <c r="B2997" s="7" t="str">
        <f t="shared" si="1043"/>
        <v>羽曳野高鷲</v>
      </c>
      <c r="C2997" s="7" t="str">
        <f t="shared" si="1035"/>
        <v>行政財産</v>
      </c>
      <c r="D2997" s="7" t="str">
        <f t="shared" si="1036"/>
        <v>公営住宅</v>
      </c>
      <c r="E2997" s="7" t="str">
        <f t="shared" si="1044"/>
        <v>大阪府羽曳野市高鷲４丁目</v>
      </c>
      <c r="F2997" s="7"/>
      <c r="G2997" s="7" t="str">
        <f t="shared" si="1030"/>
        <v>事業用資産</v>
      </c>
      <c r="H2997" s="7" t="str">
        <f t="shared" si="1021"/>
        <v>棚卸以外</v>
      </c>
      <c r="I2997" s="7">
        <v>12</v>
      </c>
      <c r="J2997" s="7" t="str">
        <f>"受水槽"</f>
        <v>受水槽</v>
      </c>
      <c r="K2997" s="7" t="str">
        <f t="shared" si="1047"/>
        <v>鉄筋コンクリート造</v>
      </c>
      <c r="L2997" s="7" t="str">
        <f>"H08.02.28"</f>
        <v>H08.02.28</v>
      </c>
      <c r="M2997" s="7">
        <v>25.2</v>
      </c>
      <c r="N2997" s="7">
        <v>16591000</v>
      </c>
      <c r="O2997" s="7">
        <v>9560525</v>
      </c>
      <c r="P2997" s="7">
        <v>0</v>
      </c>
      <c r="Q2997" s="7" t="str">
        <f t="shared" si="1037"/>
        <v>都市整備部</v>
      </c>
      <c r="R2997" s="7" t="str">
        <f t="shared" si="1034"/>
        <v>住宅建築局住宅経営室</v>
      </c>
    </row>
    <row r="2998" spans="1:18" s="1" customFormat="1" x14ac:dyDescent="0.45">
      <c r="A2998" s="7" t="str">
        <f t="shared" si="1042"/>
        <v>09940003374</v>
      </c>
      <c r="B2998" s="7" t="str">
        <f t="shared" si="1043"/>
        <v>羽曳野高鷲</v>
      </c>
      <c r="C2998" s="7" t="str">
        <f t="shared" si="1035"/>
        <v>行政財産</v>
      </c>
      <c r="D2998" s="7" t="str">
        <f t="shared" si="1036"/>
        <v>公営住宅</v>
      </c>
      <c r="E2998" s="7" t="str">
        <f t="shared" si="1044"/>
        <v>大阪府羽曳野市高鷲４丁目</v>
      </c>
      <c r="F2998" s="7"/>
      <c r="G2998" s="7" t="str">
        <f t="shared" si="1030"/>
        <v>事業用資産</v>
      </c>
      <c r="H2998" s="7" t="str">
        <f t="shared" si="1021"/>
        <v>棚卸以外</v>
      </c>
      <c r="I2998" s="7">
        <v>13</v>
      </c>
      <c r="J2998" s="7" t="str">
        <f>"受水槽"</f>
        <v>受水槽</v>
      </c>
      <c r="K2998" s="7" t="str">
        <f t="shared" si="1047"/>
        <v>鉄筋コンクリート造</v>
      </c>
      <c r="L2998" s="7" t="str">
        <f>"S07.05.17"</f>
        <v>S07.05.17</v>
      </c>
      <c r="M2998" s="7">
        <v>24.4</v>
      </c>
      <c r="N2998" s="7">
        <v>15636000</v>
      </c>
      <c r="O2998" s="7">
        <v>15635999</v>
      </c>
      <c r="P2998" s="7">
        <v>0</v>
      </c>
      <c r="Q2998" s="7" t="str">
        <f t="shared" si="1037"/>
        <v>都市整備部</v>
      </c>
      <c r="R2998" s="7" t="str">
        <f t="shared" si="1034"/>
        <v>住宅建築局住宅経営室</v>
      </c>
    </row>
    <row r="2999" spans="1:18" s="1" customFormat="1" x14ac:dyDescent="0.45">
      <c r="A2999" s="7" t="str">
        <f>"09940003375"</f>
        <v>09940003375</v>
      </c>
      <c r="B2999" s="7" t="str">
        <f>"門真上島"</f>
        <v>門真上島</v>
      </c>
      <c r="C2999" s="7" t="str">
        <f t="shared" si="1035"/>
        <v>行政財産</v>
      </c>
      <c r="D2999" s="7" t="str">
        <f t="shared" si="1036"/>
        <v>公営住宅</v>
      </c>
      <c r="E2999" s="7" t="str">
        <f>"大阪府門真市上島町"</f>
        <v>大阪府門真市上島町</v>
      </c>
      <c r="F2999" s="7"/>
      <c r="G2999" s="7" t="str">
        <f t="shared" si="1030"/>
        <v>事業用資産</v>
      </c>
      <c r="H2999" s="7" t="str">
        <f t="shared" si="1021"/>
        <v>棚卸以外</v>
      </c>
      <c r="I2999" s="7">
        <v>1</v>
      </c>
      <c r="J2999" s="7" t="str">
        <f>"１号棟"</f>
        <v>１号棟</v>
      </c>
      <c r="K2999" s="7" t="str">
        <f t="shared" si="1047"/>
        <v>鉄筋コンクリート造</v>
      </c>
      <c r="L2999" s="7" t="str">
        <f>"H14.08.28"</f>
        <v>H14.08.28</v>
      </c>
      <c r="M2999" s="7">
        <v>6192.86</v>
      </c>
      <c r="N2999" s="7">
        <v>846848400</v>
      </c>
      <c r="O2999" s="7">
        <v>370482185</v>
      </c>
      <c r="P2999" s="7">
        <v>0</v>
      </c>
      <c r="Q2999" s="7" t="str">
        <f t="shared" si="1037"/>
        <v>都市整備部</v>
      </c>
      <c r="R2999" s="7" t="str">
        <f t="shared" si="1034"/>
        <v>住宅建築局住宅経営室</v>
      </c>
    </row>
    <row r="3000" spans="1:18" s="1" customFormat="1" x14ac:dyDescent="0.45">
      <c r="A3000" s="7" t="str">
        <f>"09940003375"</f>
        <v>09940003375</v>
      </c>
      <c r="B3000" s="7" t="str">
        <f>"門真上島"</f>
        <v>門真上島</v>
      </c>
      <c r="C3000" s="7" t="str">
        <f t="shared" si="1035"/>
        <v>行政財産</v>
      </c>
      <c r="D3000" s="7" t="str">
        <f t="shared" si="1036"/>
        <v>公営住宅</v>
      </c>
      <c r="E3000" s="7" t="str">
        <f>"大阪府門真市上島町"</f>
        <v>大阪府門真市上島町</v>
      </c>
      <c r="F3000" s="7"/>
      <c r="G3000" s="7" t="str">
        <f t="shared" si="1030"/>
        <v>事業用資産</v>
      </c>
      <c r="H3000" s="7" t="str">
        <f t="shared" si="1021"/>
        <v>棚卸以外</v>
      </c>
      <c r="I3000" s="7">
        <v>2</v>
      </c>
      <c r="J3000" s="7" t="str">
        <f>"２号棟"</f>
        <v>２号棟</v>
      </c>
      <c r="K3000" s="7" t="str">
        <f t="shared" si="1047"/>
        <v>鉄筋コンクリート造</v>
      </c>
      <c r="L3000" s="7" t="str">
        <f>"H14.08.28"</f>
        <v>H14.08.28</v>
      </c>
      <c r="M3000" s="7">
        <v>8522.4599999999991</v>
      </c>
      <c r="N3000" s="7">
        <v>1200618800</v>
      </c>
      <c r="O3000" s="7">
        <v>525024126</v>
      </c>
      <c r="P3000" s="7">
        <v>0</v>
      </c>
      <c r="Q3000" s="7" t="str">
        <f t="shared" si="1037"/>
        <v>都市整備部</v>
      </c>
      <c r="R3000" s="7" t="str">
        <f t="shared" si="1034"/>
        <v>住宅建築局住宅経営室</v>
      </c>
    </row>
    <row r="3001" spans="1:18" s="1" customFormat="1" x14ac:dyDescent="0.45">
      <c r="A3001" s="7" t="str">
        <f>"09940003375"</f>
        <v>09940003375</v>
      </c>
      <c r="B3001" s="7" t="str">
        <f>"門真上島"</f>
        <v>門真上島</v>
      </c>
      <c r="C3001" s="7" t="str">
        <f t="shared" si="1035"/>
        <v>行政財産</v>
      </c>
      <c r="D3001" s="7" t="str">
        <f t="shared" si="1036"/>
        <v>公営住宅</v>
      </c>
      <c r="E3001" s="7" t="str">
        <f>"大阪府門真市上島町"</f>
        <v>大阪府門真市上島町</v>
      </c>
      <c r="F3001" s="7"/>
      <c r="G3001" s="7" t="str">
        <f t="shared" si="1030"/>
        <v>事業用資産</v>
      </c>
      <c r="H3001" s="7" t="str">
        <f t="shared" si="1021"/>
        <v>棚卸以外</v>
      </c>
      <c r="I3001" s="7">
        <v>3</v>
      </c>
      <c r="J3001" s="7" t="str">
        <f>"受水槽ポンプ室・電気室"</f>
        <v>受水槽ポンプ室・電気室</v>
      </c>
      <c r="K3001" s="7" t="str">
        <f t="shared" si="1047"/>
        <v>鉄筋コンクリート造</v>
      </c>
      <c r="L3001" s="7" t="str">
        <f>"H14.08.28"</f>
        <v>H14.08.28</v>
      </c>
      <c r="M3001" s="7">
        <v>118.25</v>
      </c>
      <c r="N3001" s="7">
        <v>34136000</v>
      </c>
      <c r="O3001" s="7">
        <v>14949675</v>
      </c>
      <c r="P3001" s="7">
        <v>0</v>
      </c>
      <c r="Q3001" s="7" t="str">
        <f t="shared" si="1037"/>
        <v>都市整備部</v>
      </c>
      <c r="R3001" s="7" t="str">
        <f t="shared" si="1034"/>
        <v>住宅建築局住宅経営室</v>
      </c>
    </row>
    <row r="3002" spans="1:18" s="1" customFormat="1" x14ac:dyDescent="0.45">
      <c r="A3002" s="7" t="str">
        <f>"09940003375"</f>
        <v>09940003375</v>
      </c>
      <c r="B3002" s="7" t="str">
        <f>"門真上島"</f>
        <v>門真上島</v>
      </c>
      <c r="C3002" s="7" t="str">
        <f t="shared" si="1035"/>
        <v>行政財産</v>
      </c>
      <c r="D3002" s="7" t="str">
        <f t="shared" si="1036"/>
        <v>公営住宅</v>
      </c>
      <c r="E3002" s="7" t="str">
        <f>"大阪府門真市上島町"</f>
        <v>大阪府門真市上島町</v>
      </c>
      <c r="F3002" s="7"/>
      <c r="G3002" s="7" t="str">
        <f t="shared" si="1030"/>
        <v>事業用資産</v>
      </c>
      <c r="H3002" s="7" t="str">
        <f t="shared" si="1021"/>
        <v>棚卸以外</v>
      </c>
      <c r="I3002" s="7">
        <v>4</v>
      </c>
      <c r="J3002" s="7" t="str">
        <f>"集会所"</f>
        <v>集会所</v>
      </c>
      <c r="K3002" s="7" t="str">
        <f t="shared" si="1047"/>
        <v>鉄筋コンクリート造</v>
      </c>
      <c r="L3002" s="7" t="str">
        <f>"H14.08.28"</f>
        <v>H14.08.28</v>
      </c>
      <c r="M3002" s="7">
        <v>99.97</v>
      </c>
      <c r="N3002" s="7">
        <v>23804000</v>
      </c>
      <c r="O3002" s="7">
        <v>10424882</v>
      </c>
      <c r="P3002" s="7">
        <v>0</v>
      </c>
      <c r="Q3002" s="7" t="str">
        <f t="shared" si="1037"/>
        <v>都市整備部</v>
      </c>
      <c r="R3002" s="7" t="str">
        <f t="shared" si="1034"/>
        <v>住宅建築局住宅経営室</v>
      </c>
    </row>
    <row r="3003" spans="1:18" s="1" customFormat="1" x14ac:dyDescent="0.45">
      <c r="A3003" s="7" t="str">
        <f t="shared" ref="A3003:A3012" si="1048">"09940003376"</f>
        <v>09940003376</v>
      </c>
      <c r="B3003" s="7" t="str">
        <f t="shared" ref="B3003:B3012" si="1049">"門真北島"</f>
        <v>門真北島</v>
      </c>
      <c r="C3003" s="7" t="str">
        <f t="shared" si="1035"/>
        <v>行政財産</v>
      </c>
      <c r="D3003" s="7" t="str">
        <f t="shared" si="1036"/>
        <v>公営住宅</v>
      </c>
      <c r="E3003" s="7" t="str">
        <f t="shared" ref="E3003:E3012" si="1050">"大阪府門真市五月田町"</f>
        <v>大阪府門真市五月田町</v>
      </c>
      <c r="F3003" s="7"/>
      <c r="G3003" s="7" t="str">
        <f t="shared" si="1030"/>
        <v>事業用資産</v>
      </c>
      <c r="H3003" s="7" t="str">
        <f t="shared" si="1021"/>
        <v>棚卸以外</v>
      </c>
      <c r="I3003" s="7">
        <v>1</v>
      </c>
      <c r="J3003" s="7" t="str">
        <f>"１号棟"</f>
        <v>１号棟</v>
      </c>
      <c r="K3003" s="7" t="str">
        <f t="shared" si="1047"/>
        <v>鉄筋コンクリート造</v>
      </c>
      <c r="L3003" s="7" t="str">
        <f t="shared" ref="L3003:L3011" si="1051">"S55.08.26"</f>
        <v>S55.08.26</v>
      </c>
      <c r="M3003" s="7">
        <v>2084.88</v>
      </c>
      <c r="N3003" s="7">
        <v>188936000</v>
      </c>
      <c r="O3003" s="7">
        <v>171181423</v>
      </c>
      <c r="P3003" s="7">
        <v>0</v>
      </c>
      <c r="Q3003" s="7" t="str">
        <f t="shared" si="1037"/>
        <v>都市整備部</v>
      </c>
      <c r="R3003" s="7" t="str">
        <f t="shared" si="1034"/>
        <v>住宅建築局住宅経営室</v>
      </c>
    </row>
    <row r="3004" spans="1:18" s="1" customFormat="1" x14ac:dyDescent="0.45">
      <c r="A3004" s="7" t="str">
        <f t="shared" si="1048"/>
        <v>09940003376</v>
      </c>
      <c r="B3004" s="7" t="str">
        <f t="shared" si="1049"/>
        <v>門真北島</v>
      </c>
      <c r="C3004" s="7" t="str">
        <f t="shared" si="1035"/>
        <v>行政財産</v>
      </c>
      <c r="D3004" s="7" t="str">
        <f t="shared" si="1036"/>
        <v>公営住宅</v>
      </c>
      <c r="E3004" s="7" t="str">
        <f t="shared" si="1050"/>
        <v>大阪府門真市五月田町</v>
      </c>
      <c r="F3004" s="7"/>
      <c r="G3004" s="7" t="str">
        <f t="shared" si="1030"/>
        <v>事業用資産</v>
      </c>
      <c r="H3004" s="7" t="str">
        <f t="shared" si="1021"/>
        <v>棚卸以外</v>
      </c>
      <c r="I3004" s="7">
        <v>2</v>
      </c>
      <c r="J3004" s="7" t="str">
        <f>"２号棟"</f>
        <v>２号棟</v>
      </c>
      <c r="K3004" s="7" t="str">
        <f t="shared" si="1047"/>
        <v>鉄筋コンクリート造</v>
      </c>
      <c r="L3004" s="7" t="str">
        <f t="shared" si="1051"/>
        <v>S55.08.26</v>
      </c>
      <c r="M3004" s="7">
        <v>1389.92</v>
      </c>
      <c r="N3004" s="7">
        <v>128447000</v>
      </c>
      <c r="O3004" s="7">
        <v>116376673</v>
      </c>
      <c r="P3004" s="7">
        <v>0</v>
      </c>
      <c r="Q3004" s="7" t="str">
        <f t="shared" si="1037"/>
        <v>都市整備部</v>
      </c>
      <c r="R3004" s="7" t="str">
        <f t="shared" si="1034"/>
        <v>住宅建築局住宅経営室</v>
      </c>
    </row>
    <row r="3005" spans="1:18" s="1" customFormat="1" x14ac:dyDescent="0.45">
      <c r="A3005" s="7" t="str">
        <f t="shared" si="1048"/>
        <v>09940003376</v>
      </c>
      <c r="B3005" s="7" t="str">
        <f t="shared" si="1049"/>
        <v>門真北島</v>
      </c>
      <c r="C3005" s="7" t="str">
        <f t="shared" si="1035"/>
        <v>行政財産</v>
      </c>
      <c r="D3005" s="7" t="str">
        <f t="shared" si="1036"/>
        <v>公営住宅</v>
      </c>
      <c r="E3005" s="7" t="str">
        <f t="shared" si="1050"/>
        <v>大阪府門真市五月田町</v>
      </c>
      <c r="F3005" s="7"/>
      <c r="G3005" s="7" t="str">
        <f t="shared" si="1030"/>
        <v>事業用資産</v>
      </c>
      <c r="H3005" s="7" t="str">
        <f t="shared" si="1021"/>
        <v>棚卸以外</v>
      </c>
      <c r="I3005" s="7">
        <v>3</v>
      </c>
      <c r="J3005" s="7" t="str">
        <f>"３号棟"</f>
        <v>３号棟</v>
      </c>
      <c r="K3005" s="7" t="str">
        <f t="shared" si="1047"/>
        <v>鉄筋コンクリート造</v>
      </c>
      <c r="L3005" s="7" t="str">
        <f t="shared" si="1051"/>
        <v>S55.08.26</v>
      </c>
      <c r="M3005" s="7">
        <v>1418.67</v>
      </c>
      <c r="N3005" s="7">
        <v>133413000</v>
      </c>
      <c r="O3005" s="7">
        <v>120876028</v>
      </c>
      <c r="P3005" s="7">
        <v>0</v>
      </c>
      <c r="Q3005" s="7" t="str">
        <f t="shared" si="1037"/>
        <v>都市整備部</v>
      </c>
      <c r="R3005" s="7" t="str">
        <f t="shared" si="1034"/>
        <v>住宅建築局住宅経営室</v>
      </c>
    </row>
    <row r="3006" spans="1:18" s="1" customFormat="1" x14ac:dyDescent="0.45">
      <c r="A3006" s="7" t="str">
        <f t="shared" si="1048"/>
        <v>09940003376</v>
      </c>
      <c r="B3006" s="7" t="str">
        <f t="shared" si="1049"/>
        <v>門真北島</v>
      </c>
      <c r="C3006" s="7" t="str">
        <f t="shared" si="1035"/>
        <v>行政財産</v>
      </c>
      <c r="D3006" s="7" t="str">
        <f t="shared" si="1036"/>
        <v>公営住宅</v>
      </c>
      <c r="E3006" s="7" t="str">
        <f t="shared" si="1050"/>
        <v>大阪府門真市五月田町</v>
      </c>
      <c r="F3006" s="7"/>
      <c r="G3006" s="7" t="str">
        <f t="shared" si="1030"/>
        <v>事業用資産</v>
      </c>
      <c r="H3006" s="7" t="str">
        <f t="shared" si="1021"/>
        <v>棚卸以外</v>
      </c>
      <c r="I3006" s="7">
        <v>4</v>
      </c>
      <c r="J3006" s="7" t="str">
        <f>"５号棟"</f>
        <v>５号棟</v>
      </c>
      <c r="K3006" s="7" t="str">
        <f t="shared" si="1047"/>
        <v>鉄筋コンクリート造</v>
      </c>
      <c r="L3006" s="7" t="str">
        <f t="shared" si="1051"/>
        <v>S55.08.26</v>
      </c>
      <c r="M3006" s="7">
        <v>1389.92</v>
      </c>
      <c r="N3006" s="7">
        <v>137012000</v>
      </c>
      <c r="O3006" s="7">
        <v>124137230</v>
      </c>
      <c r="P3006" s="7">
        <v>0</v>
      </c>
      <c r="Q3006" s="7" t="str">
        <f t="shared" si="1037"/>
        <v>都市整備部</v>
      </c>
      <c r="R3006" s="7" t="str">
        <f t="shared" si="1034"/>
        <v>住宅建築局住宅経営室</v>
      </c>
    </row>
    <row r="3007" spans="1:18" s="1" customFormat="1" x14ac:dyDescent="0.45">
      <c r="A3007" s="7" t="str">
        <f t="shared" si="1048"/>
        <v>09940003376</v>
      </c>
      <c r="B3007" s="7" t="str">
        <f t="shared" si="1049"/>
        <v>門真北島</v>
      </c>
      <c r="C3007" s="7" t="str">
        <f t="shared" si="1035"/>
        <v>行政財産</v>
      </c>
      <c r="D3007" s="7" t="str">
        <f t="shared" si="1036"/>
        <v>公営住宅</v>
      </c>
      <c r="E3007" s="7" t="str">
        <f t="shared" si="1050"/>
        <v>大阪府門真市五月田町</v>
      </c>
      <c r="F3007" s="7"/>
      <c r="G3007" s="7" t="str">
        <f t="shared" si="1030"/>
        <v>事業用資産</v>
      </c>
      <c r="H3007" s="7" t="str">
        <f t="shared" si="1021"/>
        <v>棚卸以外</v>
      </c>
      <c r="I3007" s="7">
        <v>5</v>
      </c>
      <c r="J3007" s="7" t="str">
        <f>"６号棟"</f>
        <v>６号棟</v>
      </c>
      <c r="K3007" s="7" t="str">
        <f t="shared" si="1047"/>
        <v>鉄筋コンクリート造</v>
      </c>
      <c r="L3007" s="7" t="str">
        <f t="shared" si="1051"/>
        <v>S55.08.26</v>
      </c>
      <c r="M3007" s="7">
        <v>450.63</v>
      </c>
      <c r="N3007" s="7">
        <v>51594000</v>
      </c>
      <c r="O3007" s="7">
        <v>46745769</v>
      </c>
      <c r="P3007" s="7">
        <v>0</v>
      </c>
      <c r="Q3007" s="7" t="str">
        <f t="shared" si="1037"/>
        <v>都市整備部</v>
      </c>
      <c r="R3007" s="7" t="str">
        <f t="shared" si="1034"/>
        <v>住宅建築局住宅経営室</v>
      </c>
    </row>
    <row r="3008" spans="1:18" s="1" customFormat="1" x14ac:dyDescent="0.45">
      <c r="A3008" s="7" t="str">
        <f t="shared" si="1048"/>
        <v>09940003376</v>
      </c>
      <c r="B3008" s="7" t="str">
        <f t="shared" si="1049"/>
        <v>門真北島</v>
      </c>
      <c r="C3008" s="7" t="str">
        <f t="shared" si="1035"/>
        <v>行政財産</v>
      </c>
      <c r="D3008" s="7" t="str">
        <f t="shared" si="1036"/>
        <v>公営住宅</v>
      </c>
      <c r="E3008" s="7" t="str">
        <f t="shared" si="1050"/>
        <v>大阪府門真市五月田町</v>
      </c>
      <c r="F3008" s="7"/>
      <c r="G3008" s="7" t="str">
        <f t="shared" si="1030"/>
        <v>事業用資産</v>
      </c>
      <c r="H3008" s="7" t="str">
        <f t="shared" si="1021"/>
        <v>棚卸以外</v>
      </c>
      <c r="I3008" s="7">
        <v>6</v>
      </c>
      <c r="J3008" s="7" t="str">
        <f>"４号棟"</f>
        <v>４号棟</v>
      </c>
      <c r="K3008" s="7" t="str">
        <f t="shared" si="1047"/>
        <v>鉄筋コンクリート造</v>
      </c>
      <c r="L3008" s="7" t="str">
        <f t="shared" si="1051"/>
        <v>S55.08.26</v>
      </c>
      <c r="M3008" s="7">
        <v>1341.59</v>
      </c>
      <c r="N3008" s="7">
        <v>129951000</v>
      </c>
      <c r="O3008" s="7">
        <v>117739510</v>
      </c>
      <c r="P3008" s="7">
        <v>0</v>
      </c>
      <c r="Q3008" s="7" t="str">
        <f t="shared" si="1037"/>
        <v>都市整備部</v>
      </c>
      <c r="R3008" s="7" t="str">
        <f t="shared" si="1034"/>
        <v>住宅建築局住宅経営室</v>
      </c>
    </row>
    <row r="3009" spans="1:18" s="1" customFormat="1" x14ac:dyDescent="0.45">
      <c r="A3009" s="7" t="str">
        <f t="shared" si="1048"/>
        <v>09940003376</v>
      </c>
      <c r="B3009" s="7" t="str">
        <f t="shared" si="1049"/>
        <v>門真北島</v>
      </c>
      <c r="C3009" s="7" t="str">
        <f t="shared" si="1035"/>
        <v>行政財産</v>
      </c>
      <c r="D3009" s="7" t="str">
        <f t="shared" si="1036"/>
        <v>公営住宅</v>
      </c>
      <c r="E3009" s="7" t="str">
        <f t="shared" si="1050"/>
        <v>大阪府門真市五月田町</v>
      </c>
      <c r="F3009" s="7"/>
      <c r="G3009" s="7" t="str">
        <f t="shared" si="1030"/>
        <v>事業用資産</v>
      </c>
      <c r="H3009" s="7" t="str">
        <f t="shared" si="1021"/>
        <v>棚卸以外</v>
      </c>
      <c r="I3009" s="7">
        <v>7</v>
      </c>
      <c r="J3009" s="7" t="str">
        <f>"集会所"</f>
        <v>集会所</v>
      </c>
      <c r="K3009" s="7" t="str">
        <f t="shared" si="1047"/>
        <v>鉄筋コンクリート造</v>
      </c>
      <c r="L3009" s="7" t="str">
        <f t="shared" si="1051"/>
        <v>S55.08.26</v>
      </c>
      <c r="M3009" s="7">
        <v>68</v>
      </c>
      <c r="N3009" s="7">
        <v>12777000</v>
      </c>
      <c r="O3009" s="7">
        <v>11576705</v>
      </c>
      <c r="P3009" s="7">
        <v>0</v>
      </c>
      <c r="Q3009" s="7" t="str">
        <f t="shared" si="1037"/>
        <v>都市整備部</v>
      </c>
      <c r="R3009" s="7" t="str">
        <f t="shared" si="1034"/>
        <v>住宅建築局住宅経営室</v>
      </c>
    </row>
    <row r="3010" spans="1:18" s="1" customFormat="1" x14ac:dyDescent="0.45">
      <c r="A3010" s="7" t="str">
        <f t="shared" si="1048"/>
        <v>09940003376</v>
      </c>
      <c r="B3010" s="7" t="str">
        <f t="shared" si="1049"/>
        <v>門真北島</v>
      </c>
      <c r="C3010" s="7" t="str">
        <f t="shared" si="1035"/>
        <v>行政財産</v>
      </c>
      <c r="D3010" s="7" t="str">
        <f t="shared" si="1036"/>
        <v>公営住宅</v>
      </c>
      <c r="E3010" s="7" t="str">
        <f t="shared" si="1050"/>
        <v>大阪府門真市五月田町</v>
      </c>
      <c r="F3010" s="7"/>
      <c r="G3010" s="7" t="str">
        <f t="shared" si="1030"/>
        <v>事業用資産</v>
      </c>
      <c r="H3010" s="7" t="str">
        <f t="shared" si="1021"/>
        <v>棚卸以外</v>
      </c>
      <c r="I3010" s="7">
        <v>8</v>
      </c>
      <c r="J3010" s="7" t="str">
        <f>"浄化槽"</f>
        <v>浄化槽</v>
      </c>
      <c r="K3010" s="7" t="str">
        <f t="shared" si="1047"/>
        <v>鉄筋コンクリート造</v>
      </c>
      <c r="L3010" s="7" t="str">
        <f t="shared" si="1051"/>
        <v>S55.08.26</v>
      </c>
      <c r="M3010" s="7">
        <v>156.1</v>
      </c>
      <c r="N3010" s="7">
        <v>123037000</v>
      </c>
      <c r="O3010" s="7">
        <v>111475161</v>
      </c>
      <c r="P3010" s="7">
        <v>0</v>
      </c>
      <c r="Q3010" s="7" t="str">
        <f t="shared" si="1037"/>
        <v>都市整備部</v>
      </c>
      <c r="R3010" s="7" t="str">
        <f t="shared" si="1034"/>
        <v>住宅建築局住宅経営室</v>
      </c>
    </row>
    <row r="3011" spans="1:18" s="1" customFormat="1" x14ac:dyDescent="0.45">
      <c r="A3011" s="7" t="str">
        <f t="shared" si="1048"/>
        <v>09940003376</v>
      </c>
      <c r="B3011" s="7" t="str">
        <f t="shared" si="1049"/>
        <v>門真北島</v>
      </c>
      <c r="C3011" s="7" t="str">
        <f t="shared" si="1035"/>
        <v>行政財産</v>
      </c>
      <c r="D3011" s="7" t="str">
        <f t="shared" si="1036"/>
        <v>公営住宅</v>
      </c>
      <c r="E3011" s="7" t="str">
        <f t="shared" si="1050"/>
        <v>大阪府門真市五月田町</v>
      </c>
      <c r="F3011" s="7"/>
      <c r="G3011" s="7" t="str">
        <f t="shared" si="1030"/>
        <v>事業用資産</v>
      </c>
      <c r="H3011" s="7" t="str">
        <f t="shared" si="1021"/>
        <v>棚卸以外</v>
      </c>
      <c r="I3011" s="7">
        <v>9</v>
      </c>
      <c r="J3011" s="7" t="str">
        <f>"受水槽"</f>
        <v>受水槽</v>
      </c>
      <c r="K3011" s="7" t="str">
        <f t="shared" si="1047"/>
        <v>鉄筋コンクリート造</v>
      </c>
      <c r="L3011" s="7" t="str">
        <f t="shared" si="1051"/>
        <v>S55.08.26</v>
      </c>
      <c r="M3011" s="7">
        <v>60.4</v>
      </c>
      <c r="N3011" s="7">
        <v>16102000</v>
      </c>
      <c r="O3011" s="7">
        <v>14589050</v>
      </c>
      <c r="P3011" s="7">
        <v>0</v>
      </c>
      <c r="Q3011" s="7" t="str">
        <f t="shared" si="1037"/>
        <v>都市整備部</v>
      </c>
      <c r="R3011" s="7" t="str">
        <f t="shared" si="1034"/>
        <v>住宅建築局住宅経営室</v>
      </c>
    </row>
    <row r="3012" spans="1:18" s="1" customFormat="1" x14ac:dyDescent="0.45">
      <c r="A3012" s="7" t="str">
        <f t="shared" si="1048"/>
        <v>09940003376</v>
      </c>
      <c r="B3012" s="7" t="str">
        <f t="shared" si="1049"/>
        <v>門真北島</v>
      </c>
      <c r="C3012" s="7" t="str">
        <f t="shared" si="1035"/>
        <v>行政財産</v>
      </c>
      <c r="D3012" s="7" t="str">
        <f t="shared" si="1036"/>
        <v>公営住宅</v>
      </c>
      <c r="E3012" s="7" t="str">
        <f t="shared" si="1050"/>
        <v>大阪府門真市五月田町</v>
      </c>
      <c r="F3012" s="7"/>
      <c r="G3012" s="7" t="str">
        <f t="shared" si="1030"/>
        <v>事業用資産</v>
      </c>
      <c r="H3012" s="7" t="str">
        <f t="shared" ref="H3012:H3075" si="1052">"棚卸以外"</f>
        <v>棚卸以外</v>
      </c>
      <c r="I3012" s="7">
        <v>10</v>
      </c>
      <c r="J3012" s="7" t="str">
        <f>"ポンプ室"</f>
        <v>ポンプ室</v>
      </c>
      <c r="K3012" s="7" t="str">
        <f t="shared" si="1047"/>
        <v>鉄筋コンクリート造</v>
      </c>
      <c r="L3012" s="7" t="str">
        <f>"S55.12.03"</f>
        <v>S55.12.03</v>
      </c>
      <c r="M3012" s="7">
        <v>85.44</v>
      </c>
      <c r="N3012" s="7">
        <v>137600000</v>
      </c>
      <c r="O3012" s="7">
        <v>123693804</v>
      </c>
      <c r="P3012" s="7">
        <v>0</v>
      </c>
      <c r="Q3012" s="7" t="str">
        <f t="shared" si="1037"/>
        <v>都市整備部</v>
      </c>
      <c r="R3012" s="7" t="str">
        <f t="shared" si="1034"/>
        <v>住宅建築局住宅経営室</v>
      </c>
    </row>
    <row r="3013" spans="1:18" s="1" customFormat="1" x14ac:dyDescent="0.45">
      <c r="A3013" s="7" t="str">
        <f t="shared" ref="A3013:A3027" si="1053">"09940003377"</f>
        <v>09940003377</v>
      </c>
      <c r="B3013" s="7" t="str">
        <f t="shared" ref="B3013:B3027" si="1054">"古市・羽曳野古市"</f>
        <v>古市・羽曳野古市</v>
      </c>
      <c r="C3013" s="7" t="str">
        <f t="shared" si="1035"/>
        <v>行政財産</v>
      </c>
      <c r="D3013" s="7" t="str">
        <f t="shared" si="1036"/>
        <v>公営住宅</v>
      </c>
      <c r="E3013" s="7" t="str">
        <f t="shared" ref="E3013:E3027" si="1055">"大阪府羽曳野市古市"</f>
        <v>大阪府羽曳野市古市</v>
      </c>
      <c r="F3013" s="7"/>
      <c r="G3013" s="7" t="str">
        <f t="shared" si="1030"/>
        <v>事業用資産</v>
      </c>
      <c r="H3013" s="7" t="str">
        <f t="shared" si="1052"/>
        <v>棚卸以外</v>
      </c>
      <c r="I3013" s="7">
        <v>1</v>
      </c>
      <c r="J3013" s="7" t="str">
        <f>"１～１５・３７～４７号棟"</f>
        <v>１～１５・３７～４７号棟</v>
      </c>
      <c r="K3013" s="7" t="str">
        <f t="shared" si="1047"/>
        <v>鉄筋コンクリート造</v>
      </c>
      <c r="L3013" s="7" t="str">
        <f>"S41.05.31"</f>
        <v>S41.05.31</v>
      </c>
      <c r="M3013" s="7">
        <v>5983.6</v>
      </c>
      <c r="N3013" s="7">
        <v>125671435</v>
      </c>
      <c r="O3013" s="7">
        <v>125671434</v>
      </c>
      <c r="P3013" s="7">
        <v>0</v>
      </c>
      <c r="Q3013" s="7" t="str">
        <f t="shared" si="1037"/>
        <v>都市整備部</v>
      </c>
      <c r="R3013" s="7" t="str">
        <f t="shared" si="1034"/>
        <v>住宅建築局住宅経営室</v>
      </c>
    </row>
    <row r="3014" spans="1:18" s="1" customFormat="1" ht="26.4" x14ac:dyDescent="0.45">
      <c r="A3014" s="7" t="str">
        <f t="shared" si="1053"/>
        <v>09940003377</v>
      </c>
      <c r="B3014" s="7" t="str">
        <f t="shared" si="1054"/>
        <v>古市・羽曳野古市</v>
      </c>
      <c r="C3014" s="7" t="str">
        <f t="shared" si="1035"/>
        <v>行政財産</v>
      </c>
      <c r="D3014" s="7" t="str">
        <f t="shared" si="1036"/>
        <v>公営住宅</v>
      </c>
      <c r="E3014" s="7" t="str">
        <f t="shared" si="1055"/>
        <v>大阪府羽曳野市古市</v>
      </c>
      <c r="F3014" s="7"/>
      <c r="G3014" s="7" t="str">
        <f t="shared" si="1030"/>
        <v>事業用資産</v>
      </c>
      <c r="H3014" s="7" t="str">
        <f t="shared" si="1052"/>
        <v>棚卸以外</v>
      </c>
      <c r="I3014" s="7">
        <v>2</v>
      </c>
      <c r="J3014" s="7" t="str">
        <f>"４８～６７・８２～８７・８９～９１・１０３～１１７号棟"</f>
        <v>４８～６７・８２～８７・８９～９１・１０３～１１７号棟</v>
      </c>
      <c r="K3014" s="7" t="str">
        <f t="shared" si="1047"/>
        <v>鉄筋コンクリート造</v>
      </c>
      <c r="L3014" s="7" t="str">
        <f>"S41.05.31"</f>
        <v>S41.05.31</v>
      </c>
      <c r="M3014" s="7">
        <v>10768.2</v>
      </c>
      <c r="N3014" s="7">
        <v>226105582</v>
      </c>
      <c r="O3014" s="7">
        <v>226105581</v>
      </c>
      <c r="P3014" s="7">
        <v>0</v>
      </c>
      <c r="Q3014" s="7" t="str">
        <f t="shared" si="1037"/>
        <v>都市整備部</v>
      </c>
      <c r="R3014" s="7" t="str">
        <f t="shared" si="1034"/>
        <v>住宅建築局住宅経営室</v>
      </c>
    </row>
    <row r="3015" spans="1:18" s="1" customFormat="1" x14ac:dyDescent="0.45">
      <c r="A3015" s="7" t="str">
        <f t="shared" si="1053"/>
        <v>09940003377</v>
      </c>
      <c r="B3015" s="7" t="str">
        <f t="shared" si="1054"/>
        <v>古市・羽曳野古市</v>
      </c>
      <c r="C3015" s="7" t="str">
        <f t="shared" si="1035"/>
        <v>行政財産</v>
      </c>
      <c r="D3015" s="7" t="str">
        <f t="shared" si="1036"/>
        <v>公営住宅</v>
      </c>
      <c r="E3015" s="7" t="str">
        <f t="shared" si="1055"/>
        <v>大阪府羽曳野市古市</v>
      </c>
      <c r="F3015" s="7"/>
      <c r="G3015" s="7" t="str">
        <f t="shared" si="1030"/>
        <v>事業用資産</v>
      </c>
      <c r="H3015" s="7" t="str">
        <f t="shared" si="1052"/>
        <v>棚卸以外</v>
      </c>
      <c r="I3015" s="7">
        <v>3</v>
      </c>
      <c r="J3015" s="7" t="str">
        <f>"集会所"</f>
        <v>集会所</v>
      </c>
      <c r="K3015" s="7" t="str">
        <f t="shared" si="1047"/>
        <v>鉄筋コンクリート造</v>
      </c>
      <c r="L3015" s="7" t="str">
        <f>"S41.05.31"</f>
        <v>S41.05.31</v>
      </c>
      <c r="M3015" s="7">
        <v>62.94</v>
      </c>
      <c r="N3015" s="7">
        <v>1229020</v>
      </c>
      <c r="O3015" s="7">
        <v>1229019</v>
      </c>
      <c r="P3015" s="7">
        <v>0</v>
      </c>
      <c r="Q3015" s="7" t="str">
        <f t="shared" si="1037"/>
        <v>都市整備部</v>
      </c>
      <c r="R3015" s="7" t="str">
        <f t="shared" si="1034"/>
        <v>住宅建築局住宅経営室</v>
      </c>
    </row>
    <row r="3016" spans="1:18" s="1" customFormat="1" x14ac:dyDescent="0.45">
      <c r="A3016" s="7" t="str">
        <f t="shared" si="1053"/>
        <v>09940003377</v>
      </c>
      <c r="B3016" s="7" t="str">
        <f t="shared" si="1054"/>
        <v>古市・羽曳野古市</v>
      </c>
      <c r="C3016" s="7" t="str">
        <f t="shared" si="1035"/>
        <v>行政財産</v>
      </c>
      <c r="D3016" s="7" t="str">
        <f t="shared" si="1036"/>
        <v>公営住宅</v>
      </c>
      <c r="E3016" s="7" t="str">
        <f t="shared" si="1055"/>
        <v>大阪府羽曳野市古市</v>
      </c>
      <c r="F3016" s="7"/>
      <c r="G3016" s="7" t="str">
        <f t="shared" si="1030"/>
        <v>事業用資産</v>
      </c>
      <c r="H3016" s="7" t="str">
        <f t="shared" si="1052"/>
        <v>棚卸以外</v>
      </c>
      <c r="I3016" s="7">
        <v>4</v>
      </c>
      <c r="J3016" s="7" t="str">
        <f>"集会所（増築）"</f>
        <v>集会所（増築）</v>
      </c>
      <c r="K3016" s="7" t="str">
        <f t="shared" si="1047"/>
        <v>鉄筋コンクリート造</v>
      </c>
      <c r="L3016" s="7" t="str">
        <f>"S59.03.31"</f>
        <v>S59.03.31</v>
      </c>
      <c r="M3016" s="7">
        <v>94.62</v>
      </c>
      <c r="N3016" s="7">
        <v>16800000</v>
      </c>
      <c r="O3016" s="7">
        <v>13940784</v>
      </c>
      <c r="P3016" s="7">
        <v>0</v>
      </c>
      <c r="Q3016" s="7" t="str">
        <f t="shared" si="1037"/>
        <v>都市整備部</v>
      </c>
      <c r="R3016" s="7" t="str">
        <f t="shared" si="1034"/>
        <v>住宅建築局住宅経営室</v>
      </c>
    </row>
    <row r="3017" spans="1:18" s="1" customFormat="1" x14ac:dyDescent="0.45">
      <c r="A3017" s="7" t="str">
        <f t="shared" si="1053"/>
        <v>09940003377</v>
      </c>
      <c r="B3017" s="7" t="str">
        <f t="shared" si="1054"/>
        <v>古市・羽曳野古市</v>
      </c>
      <c r="C3017" s="7" t="str">
        <f t="shared" si="1035"/>
        <v>行政財産</v>
      </c>
      <c r="D3017" s="7" t="str">
        <f t="shared" si="1036"/>
        <v>公営住宅</v>
      </c>
      <c r="E3017" s="7" t="str">
        <f t="shared" si="1055"/>
        <v>大阪府羽曳野市古市</v>
      </c>
      <c r="F3017" s="7"/>
      <c r="G3017" s="7" t="str">
        <f t="shared" si="1030"/>
        <v>事業用資産</v>
      </c>
      <c r="H3017" s="7" t="str">
        <f t="shared" si="1052"/>
        <v>棚卸以外</v>
      </c>
      <c r="I3017" s="7">
        <v>5</v>
      </c>
      <c r="J3017" s="7" t="str">
        <f>"羽曳野古市(1号棟)"</f>
        <v>羽曳野古市(1号棟)</v>
      </c>
      <c r="K3017" s="7" t="str">
        <f t="shared" si="1047"/>
        <v>鉄筋コンクリート造</v>
      </c>
      <c r="L3017" s="7" t="str">
        <f>"H30.07.01"</f>
        <v>H30.07.01</v>
      </c>
      <c r="M3017" s="7">
        <v>2225.7199999999998</v>
      </c>
      <c r="N3017" s="7">
        <v>487213436</v>
      </c>
      <c r="O3017" s="7">
        <v>48375824</v>
      </c>
      <c r="P3017" s="7">
        <v>0</v>
      </c>
      <c r="Q3017" s="7" t="str">
        <f t="shared" si="1037"/>
        <v>都市整備部</v>
      </c>
      <c r="R3017" s="7" t="str">
        <f t="shared" si="1034"/>
        <v>住宅建築局住宅経営室</v>
      </c>
    </row>
    <row r="3018" spans="1:18" s="1" customFormat="1" x14ac:dyDescent="0.45">
      <c r="A3018" s="7" t="str">
        <f t="shared" si="1053"/>
        <v>09940003377</v>
      </c>
      <c r="B3018" s="7" t="str">
        <f t="shared" si="1054"/>
        <v>古市・羽曳野古市</v>
      </c>
      <c r="C3018" s="7" t="str">
        <f t="shared" si="1035"/>
        <v>行政財産</v>
      </c>
      <c r="D3018" s="7" t="str">
        <f t="shared" si="1036"/>
        <v>公営住宅</v>
      </c>
      <c r="E3018" s="7" t="str">
        <f t="shared" si="1055"/>
        <v>大阪府羽曳野市古市</v>
      </c>
      <c r="F3018" s="7"/>
      <c r="G3018" s="7" t="str">
        <f t="shared" si="1030"/>
        <v>事業用資産</v>
      </c>
      <c r="H3018" s="7" t="str">
        <f t="shared" si="1052"/>
        <v>棚卸以外</v>
      </c>
      <c r="I3018" s="7">
        <v>6</v>
      </c>
      <c r="J3018" s="7" t="str">
        <f>"羽曳野古市(２号棟)"</f>
        <v>羽曳野古市(２号棟)</v>
      </c>
      <c r="K3018" s="7" t="str">
        <f t="shared" si="1047"/>
        <v>鉄筋コンクリート造</v>
      </c>
      <c r="L3018" s="7" t="str">
        <f>"H30.07.01"</f>
        <v>H30.07.01</v>
      </c>
      <c r="M3018" s="7">
        <v>2767.33</v>
      </c>
      <c r="N3018" s="7">
        <v>576000256</v>
      </c>
      <c r="O3018" s="7">
        <v>57191568</v>
      </c>
      <c r="P3018" s="7">
        <v>0</v>
      </c>
      <c r="Q3018" s="7" t="str">
        <f t="shared" si="1037"/>
        <v>都市整備部</v>
      </c>
      <c r="R3018" s="7" t="str">
        <f t="shared" si="1034"/>
        <v>住宅建築局住宅経営室</v>
      </c>
    </row>
    <row r="3019" spans="1:18" s="1" customFormat="1" x14ac:dyDescent="0.45">
      <c r="A3019" s="7" t="str">
        <f t="shared" si="1053"/>
        <v>09940003377</v>
      </c>
      <c r="B3019" s="7" t="str">
        <f t="shared" si="1054"/>
        <v>古市・羽曳野古市</v>
      </c>
      <c r="C3019" s="7" t="str">
        <f t="shared" si="1035"/>
        <v>行政財産</v>
      </c>
      <c r="D3019" s="7" t="str">
        <f t="shared" si="1036"/>
        <v>公営住宅</v>
      </c>
      <c r="E3019" s="7" t="str">
        <f t="shared" si="1055"/>
        <v>大阪府羽曳野市古市</v>
      </c>
      <c r="F3019" s="7"/>
      <c r="G3019" s="7" t="str">
        <f t="shared" si="1030"/>
        <v>事業用資産</v>
      </c>
      <c r="H3019" s="7" t="str">
        <f t="shared" si="1052"/>
        <v>棚卸以外</v>
      </c>
      <c r="I3019" s="7">
        <v>7</v>
      </c>
      <c r="J3019" s="7" t="str">
        <f>"羽曳野古市(３号棟)"</f>
        <v>羽曳野古市(３号棟)</v>
      </c>
      <c r="K3019" s="7" t="str">
        <f t="shared" si="1047"/>
        <v>鉄筋コンクリート造</v>
      </c>
      <c r="L3019" s="7" t="str">
        <f>"H30.07.01"</f>
        <v>H30.07.01</v>
      </c>
      <c r="M3019" s="7">
        <v>2767.33</v>
      </c>
      <c r="N3019" s="7">
        <v>559925026</v>
      </c>
      <c r="O3019" s="7">
        <v>55595400</v>
      </c>
      <c r="P3019" s="7">
        <v>0</v>
      </c>
      <c r="Q3019" s="7" t="str">
        <f t="shared" si="1037"/>
        <v>都市整備部</v>
      </c>
      <c r="R3019" s="7" t="str">
        <f t="shared" si="1034"/>
        <v>住宅建築局住宅経営室</v>
      </c>
    </row>
    <row r="3020" spans="1:18" s="1" customFormat="1" x14ac:dyDescent="0.45">
      <c r="A3020" s="7" t="str">
        <f t="shared" si="1053"/>
        <v>09940003377</v>
      </c>
      <c r="B3020" s="7" t="str">
        <f t="shared" si="1054"/>
        <v>古市・羽曳野古市</v>
      </c>
      <c r="C3020" s="7" t="str">
        <f t="shared" si="1035"/>
        <v>行政財産</v>
      </c>
      <c r="D3020" s="7" t="str">
        <f t="shared" si="1036"/>
        <v>公営住宅</v>
      </c>
      <c r="E3020" s="7" t="str">
        <f t="shared" si="1055"/>
        <v>大阪府羽曳野市古市</v>
      </c>
      <c r="F3020" s="7"/>
      <c r="G3020" s="7" t="str">
        <f t="shared" si="1030"/>
        <v>事業用資産</v>
      </c>
      <c r="H3020" s="7" t="str">
        <f t="shared" si="1052"/>
        <v>棚卸以外</v>
      </c>
      <c r="I3020" s="7">
        <v>8</v>
      </c>
      <c r="J3020" s="7" t="str">
        <f>"ゴミ置場(各棟１基３カ所)"</f>
        <v>ゴミ置場(各棟１基３カ所)</v>
      </c>
      <c r="K3020" s="7" t="str">
        <f t="shared" si="1047"/>
        <v>鉄筋コンクリート造</v>
      </c>
      <c r="L3020" s="7" t="str">
        <f>"H30.07.01"</f>
        <v>H30.07.01</v>
      </c>
      <c r="M3020" s="7">
        <v>42.57</v>
      </c>
      <c r="N3020" s="7">
        <v>8834262</v>
      </c>
      <c r="O3020" s="7">
        <v>877184</v>
      </c>
      <c r="P3020" s="7">
        <v>0</v>
      </c>
      <c r="Q3020" s="7" t="str">
        <f t="shared" si="1037"/>
        <v>都市整備部</v>
      </c>
      <c r="R3020" s="7" t="str">
        <f t="shared" si="1034"/>
        <v>住宅建築局住宅経営室</v>
      </c>
    </row>
    <row r="3021" spans="1:18" s="1" customFormat="1" x14ac:dyDescent="0.45">
      <c r="A3021" s="7" t="str">
        <f t="shared" si="1053"/>
        <v>09940003377</v>
      </c>
      <c r="B3021" s="7" t="str">
        <f t="shared" si="1054"/>
        <v>古市・羽曳野古市</v>
      </c>
      <c r="C3021" s="7" t="str">
        <f t="shared" si="1035"/>
        <v>行政財産</v>
      </c>
      <c r="D3021" s="7" t="str">
        <f t="shared" si="1036"/>
        <v>公営住宅</v>
      </c>
      <c r="E3021" s="7" t="str">
        <f t="shared" si="1055"/>
        <v>大阪府羽曳野市古市</v>
      </c>
      <c r="F3021" s="7"/>
      <c r="G3021" s="7" t="str">
        <f t="shared" si="1030"/>
        <v>事業用資産</v>
      </c>
      <c r="H3021" s="7" t="str">
        <f t="shared" si="1052"/>
        <v>棚卸以外</v>
      </c>
      <c r="I3021" s="7">
        <v>9</v>
      </c>
      <c r="J3021" s="7" t="str">
        <f>"設備棟(受水槽.ﾎﾞﾝﾌﾟ室.電気室)"</f>
        <v>設備棟(受水槽.ﾎﾞﾝﾌﾟ室.電気室)</v>
      </c>
      <c r="K3021" s="7" t="str">
        <f t="shared" si="1047"/>
        <v>鉄筋コンクリート造</v>
      </c>
      <c r="L3021" s="7" t="str">
        <f>"H30.07.01"</f>
        <v>H30.07.01</v>
      </c>
      <c r="M3021" s="7">
        <v>68.48</v>
      </c>
      <c r="N3021" s="7">
        <v>41237175</v>
      </c>
      <c r="O3021" s="7">
        <v>4094496</v>
      </c>
      <c r="P3021" s="7">
        <v>0</v>
      </c>
      <c r="Q3021" s="7" t="str">
        <f t="shared" si="1037"/>
        <v>都市整備部</v>
      </c>
      <c r="R3021" s="7" t="str">
        <f t="shared" si="1034"/>
        <v>住宅建築局住宅経営室</v>
      </c>
    </row>
    <row r="3022" spans="1:18" s="1" customFormat="1" x14ac:dyDescent="0.45">
      <c r="A3022" s="7" t="str">
        <f t="shared" si="1053"/>
        <v>09940003377</v>
      </c>
      <c r="B3022" s="7" t="str">
        <f t="shared" si="1054"/>
        <v>古市・羽曳野古市</v>
      </c>
      <c r="C3022" s="7" t="str">
        <f t="shared" si="1035"/>
        <v>行政財産</v>
      </c>
      <c r="D3022" s="7" t="str">
        <f t="shared" si="1036"/>
        <v>公営住宅</v>
      </c>
      <c r="E3022" s="7" t="str">
        <f t="shared" si="1055"/>
        <v>大阪府羽曳野市古市</v>
      </c>
      <c r="F3022" s="7"/>
      <c r="G3022" s="7" t="str">
        <f t="shared" si="1030"/>
        <v>事業用資産</v>
      </c>
      <c r="H3022" s="7" t="str">
        <f t="shared" si="1052"/>
        <v>棚卸以外</v>
      </c>
      <c r="I3022" s="7">
        <v>10</v>
      </c>
      <c r="J3022" s="7" t="str">
        <f>"４号棟"</f>
        <v>４号棟</v>
      </c>
      <c r="K3022" s="7" t="str">
        <f t="shared" si="1047"/>
        <v>鉄筋コンクリート造</v>
      </c>
      <c r="L3022" s="7" t="str">
        <f t="shared" ref="L3022:L3027" si="1056">"R04.07.01"</f>
        <v>R04.07.01</v>
      </c>
      <c r="M3022" s="7">
        <v>2461.52</v>
      </c>
      <c r="N3022" s="7">
        <v>591740826</v>
      </c>
      <c r="O3022" s="7">
        <v>8393488</v>
      </c>
      <c r="P3022" s="7">
        <v>0</v>
      </c>
      <c r="Q3022" s="7" t="str">
        <f t="shared" si="1037"/>
        <v>都市整備部</v>
      </c>
      <c r="R3022" s="7" t="str">
        <f t="shared" si="1034"/>
        <v>住宅建築局住宅経営室</v>
      </c>
    </row>
    <row r="3023" spans="1:18" s="1" customFormat="1" x14ac:dyDescent="0.45">
      <c r="A3023" s="7" t="str">
        <f t="shared" si="1053"/>
        <v>09940003377</v>
      </c>
      <c r="B3023" s="7" t="str">
        <f t="shared" si="1054"/>
        <v>古市・羽曳野古市</v>
      </c>
      <c r="C3023" s="7" t="str">
        <f t="shared" si="1035"/>
        <v>行政財産</v>
      </c>
      <c r="D3023" s="7" t="str">
        <f t="shared" si="1036"/>
        <v>公営住宅</v>
      </c>
      <c r="E3023" s="7" t="str">
        <f t="shared" si="1055"/>
        <v>大阪府羽曳野市古市</v>
      </c>
      <c r="F3023" s="7"/>
      <c r="G3023" s="7" t="str">
        <f t="shared" si="1030"/>
        <v>事業用資産</v>
      </c>
      <c r="H3023" s="7" t="str">
        <f t="shared" si="1052"/>
        <v>棚卸以外</v>
      </c>
      <c r="I3023" s="7">
        <v>11</v>
      </c>
      <c r="J3023" s="7" t="str">
        <f>"５号棟"</f>
        <v>５号棟</v>
      </c>
      <c r="K3023" s="7" t="str">
        <f t="shared" si="1047"/>
        <v>鉄筋コンクリート造</v>
      </c>
      <c r="L3023" s="7" t="str">
        <f t="shared" si="1056"/>
        <v>R04.07.01</v>
      </c>
      <c r="M3023" s="7">
        <v>2542.3000000000002</v>
      </c>
      <c r="N3023" s="7">
        <v>617694566</v>
      </c>
      <c r="O3023" s="7">
        <v>8761632</v>
      </c>
      <c r="P3023" s="7">
        <v>0</v>
      </c>
      <c r="Q3023" s="7" t="str">
        <f t="shared" si="1037"/>
        <v>都市整備部</v>
      </c>
      <c r="R3023" s="7" t="str">
        <f t="shared" si="1034"/>
        <v>住宅建築局住宅経営室</v>
      </c>
    </row>
    <row r="3024" spans="1:18" s="1" customFormat="1" x14ac:dyDescent="0.45">
      <c r="A3024" s="7" t="str">
        <f t="shared" si="1053"/>
        <v>09940003377</v>
      </c>
      <c r="B3024" s="7" t="str">
        <f t="shared" si="1054"/>
        <v>古市・羽曳野古市</v>
      </c>
      <c r="C3024" s="7" t="str">
        <f t="shared" si="1035"/>
        <v>行政財産</v>
      </c>
      <c r="D3024" s="7" t="str">
        <f t="shared" si="1036"/>
        <v>公営住宅</v>
      </c>
      <c r="E3024" s="7" t="str">
        <f t="shared" si="1055"/>
        <v>大阪府羽曳野市古市</v>
      </c>
      <c r="F3024" s="7"/>
      <c r="G3024" s="7" t="str">
        <f t="shared" si="1030"/>
        <v>事業用資産</v>
      </c>
      <c r="H3024" s="7" t="str">
        <f t="shared" si="1052"/>
        <v>棚卸以外</v>
      </c>
      <c r="I3024" s="7">
        <v>12</v>
      </c>
      <c r="J3024" s="7" t="str">
        <f>"６号棟"</f>
        <v>６号棟</v>
      </c>
      <c r="K3024" s="7" t="str">
        <f t="shared" si="1047"/>
        <v>鉄筋コンクリート造</v>
      </c>
      <c r="L3024" s="7" t="str">
        <f t="shared" si="1056"/>
        <v>R04.07.01</v>
      </c>
      <c r="M3024" s="7">
        <v>1944.16</v>
      </c>
      <c r="N3024" s="7">
        <v>457885833</v>
      </c>
      <c r="O3024" s="7">
        <v>6494840</v>
      </c>
      <c r="P3024" s="7">
        <v>0</v>
      </c>
      <c r="Q3024" s="7" t="str">
        <f t="shared" si="1037"/>
        <v>都市整備部</v>
      </c>
      <c r="R3024" s="7" t="str">
        <f t="shared" si="1034"/>
        <v>住宅建築局住宅経営室</v>
      </c>
    </row>
    <row r="3025" spans="1:18" s="1" customFormat="1" x14ac:dyDescent="0.45">
      <c r="A3025" s="7" t="str">
        <f t="shared" si="1053"/>
        <v>09940003377</v>
      </c>
      <c r="B3025" s="7" t="str">
        <f t="shared" si="1054"/>
        <v>古市・羽曳野古市</v>
      </c>
      <c r="C3025" s="7" t="str">
        <f t="shared" si="1035"/>
        <v>行政財産</v>
      </c>
      <c r="D3025" s="7" t="str">
        <f t="shared" si="1036"/>
        <v>公営住宅</v>
      </c>
      <c r="E3025" s="7" t="str">
        <f t="shared" si="1055"/>
        <v>大阪府羽曳野市古市</v>
      </c>
      <c r="F3025" s="7"/>
      <c r="G3025" s="7" t="str">
        <f t="shared" si="1030"/>
        <v>事業用資産</v>
      </c>
      <c r="H3025" s="7" t="str">
        <f t="shared" si="1052"/>
        <v>棚卸以外</v>
      </c>
      <c r="I3025" s="7">
        <v>13</v>
      </c>
      <c r="J3025" s="7" t="str">
        <f>"７号棟"</f>
        <v>７号棟</v>
      </c>
      <c r="K3025" s="7" t="str">
        <f t="shared" si="1047"/>
        <v>鉄筋コンクリート造</v>
      </c>
      <c r="L3025" s="7" t="str">
        <f t="shared" si="1056"/>
        <v>R04.07.01</v>
      </c>
      <c r="M3025" s="7">
        <v>2949.25</v>
      </c>
      <c r="N3025" s="7">
        <v>649843662</v>
      </c>
      <c r="O3025" s="7">
        <v>9217648</v>
      </c>
      <c r="P3025" s="7">
        <v>0</v>
      </c>
      <c r="Q3025" s="7" t="str">
        <f t="shared" si="1037"/>
        <v>都市整備部</v>
      </c>
      <c r="R3025" s="7" t="str">
        <f t="shared" si="1034"/>
        <v>住宅建築局住宅経営室</v>
      </c>
    </row>
    <row r="3026" spans="1:18" s="1" customFormat="1" x14ac:dyDescent="0.45">
      <c r="A3026" s="7" t="str">
        <f t="shared" si="1053"/>
        <v>09940003377</v>
      </c>
      <c r="B3026" s="7" t="str">
        <f t="shared" si="1054"/>
        <v>古市・羽曳野古市</v>
      </c>
      <c r="C3026" s="7" t="str">
        <f t="shared" si="1035"/>
        <v>行政財産</v>
      </c>
      <c r="D3026" s="7" t="str">
        <f t="shared" si="1036"/>
        <v>公営住宅</v>
      </c>
      <c r="E3026" s="7" t="str">
        <f t="shared" si="1055"/>
        <v>大阪府羽曳野市古市</v>
      </c>
      <c r="F3026" s="7"/>
      <c r="G3026" s="7" t="str">
        <f t="shared" si="1030"/>
        <v>事業用資産</v>
      </c>
      <c r="H3026" s="7" t="str">
        <f t="shared" si="1052"/>
        <v>棚卸以外</v>
      </c>
      <c r="I3026" s="7">
        <v>14</v>
      </c>
      <c r="J3026" s="7" t="str">
        <f>"電気室"</f>
        <v>電気室</v>
      </c>
      <c r="K3026" s="7" t="str">
        <f t="shared" si="1047"/>
        <v>鉄筋コンクリート造</v>
      </c>
      <c r="L3026" s="7" t="str">
        <f t="shared" si="1056"/>
        <v>R04.07.01</v>
      </c>
      <c r="M3026" s="7">
        <v>104.96</v>
      </c>
      <c r="N3026" s="7">
        <v>27991381</v>
      </c>
      <c r="O3026" s="7">
        <v>397048</v>
      </c>
      <c r="P3026" s="7">
        <v>0</v>
      </c>
      <c r="Q3026" s="7" t="str">
        <f t="shared" si="1037"/>
        <v>都市整備部</v>
      </c>
      <c r="R3026" s="7" t="str">
        <f t="shared" si="1034"/>
        <v>住宅建築局住宅経営室</v>
      </c>
    </row>
    <row r="3027" spans="1:18" s="1" customFormat="1" x14ac:dyDescent="0.45">
      <c r="A3027" s="7" t="str">
        <f t="shared" si="1053"/>
        <v>09940003377</v>
      </c>
      <c r="B3027" s="7" t="str">
        <f t="shared" si="1054"/>
        <v>古市・羽曳野古市</v>
      </c>
      <c r="C3027" s="7" t="str">
        <f t="shared" si="1035"/>
        <v>行政財産</v>
      </c>
      <c r="D3027" s="7" t="str">
        <f t="shared" si="1036"/>
        <v>公営住宅</v>
      </c>
      <c r="E3027" s="7" t="str">
        <f t="shared" si="1055"/>
        <v>大阪府羽曳野市古市</v>
      </c>
      <c r="F3027" s="7"/>
      <c r="G3027" s="7" t="str">
        <f t="shared" si="1030"/>
        <v>事業用資産</v>
      </c>
      <c r="H3027" s="7" t="str">
        <f t="shared" si="1052"/>
        <v>棚卸以外</v>
      </c>
      <c r="I3027" s="7">
        <v>17</v>
      </c>
      <c r="J3027" s="7" t="str">
        <f>"集会所"</f>
        <v>集会所</v>
      </c>
      <c r="K3027" s="7" t="str">
        <f t="shared" si="1047"/>
        <v>鉄筋コンクリート造</v>
      </c>
      <c r="L3027" s="7" t="str">
        <f t="shared" si="1056"/>
        <v>R04.07.01</v>
      </c>
      <c r="M3027" s="7">
        <v>170.75</v>
      </c>
      <c r="N3027" s="7">
        <v>53868026</v>
      </c>
      <c r="O3027" s="7">
        <v>764088</v>
      </c>
      <c r="P3027" s="7">
        <v>0</v>
      </c>
      <c r="Q3027" s="7" t="str">
        <f t="shared" si="1037"/>
        <v>都市整備部</v>
      </c>
      <c r="R3027" s="7" t="str">
        <f t="shared" si="1034"/>
        <v>住宅建築局住宅経営室</v>
      </c>
    </row>
    <row r="3028" spans="1:18" s="1" customFormat="1" x14ac:dyDescent="0.45">
      <c r="A3028" s="7" t="str">
        <f t="shared" ref="A3028:A3034" si="1057">"09940003378"</f>
        <v>09940003378</v>
      </c>
      <c r="B3028" s="7" t="str">
        <f t="shared" ref="B3028:B3034" si="1058">"門真古川橋"</f>
        <v>門真古川橋</v>
      </c>
      <c r="C3028" s="7" t="str">
        <f t="shared" si="1035"/>
        <v>行政財産</v>
      </c>
      <c r="D3028" s="7" t="str">
        <f t="shared" si="1036"/>
        <v>公営住宅</v>
      </c>
      <c r="E3028" s="7" t="str">
        <f t="shared" ref="E3028:E3034" si="1059">"大阪府門真市御堂町"</f>
        <v>大阪府門真市御堂町</v>
      </c>
      <c r="F3028" s="7"/>
      <c r="G3028" s="7" t="str">
        <f t="shared" si="1030"/>
        <v>事業用資産</v>
      </c>
      <c r="H3028" s="7" t="str">
        <f t="shared" si="1052"/>
        <v>棚卸以外</v>
      </c>
      <c r="I3028" s="7">
        <v>1</v>
      </c>
      <c r="J3028" s="7" t="str">
        <f>"１号棟"</f>
        <v>１号棟</v>
      </c>
      <c r="K3028" s="7" t="str">
        <f t="shared" ref="K3028:K3059" si="1060">"鉄筋コンクリート造"</f>
        <v>鉄筋コンクリート造</v>
      </c>
      <c r="L3028" s="7" t="str">
        <f t="shared" ref="L3028:L3034" si="1061">"S58.06.29"</f>
        <v>S58.06.29</v>
      </c>
      <c r="M3028" s="7">
        <v>427.87</v>
      </c>
      <c r="N3028" s="7">
        <v>49061000</v>
      </c>
      <c r="O3028" s="7">
        <v>41493276</v>
      </c>
      <c r="P3028" s="7">
        <v>0</v>
      </c>
      <c r="Q3028" s="7" t="str">
        <f t="shared" si="1037"/>
        <v>都市整備部</v>
      </c>
      <c r="R3028" s="7" t="str">
        <f t="shared" si="1034"/>
        <v>住宅建築局住宅経営室</v>
      </c>
    </row>
    <row r="3029" spans="1:18" s="1" customFormat="1" x14ac:dyDescent="0.45">
      <c r="A3029" s="7" t="str">
        <f t="shared" si="1057"/>
        <v>09940003378</v>
      </c>
      <c r="B3029" s="7" t="str">
        <f t="shared" si="1058"/>
        <v>門真古川橋</v>
      </c>
      <c r="C3029" s="7" t="str">
        <f t="shared" si="1035"/>
        <v>行政財産</v>
      </c>
      <c r="D3029" s="7" t="str">
        <f t="shared" si="1036"/>
        <v>公営住宅</v>
      </c>
      <c r="E3029" s="7" t="str">
        <f t="shared" si="1059"/>
        <v>大阪府門真市御堂町</v>
      </c>
      <c r="F3029" s="7"/>
      <c r="G3029" s="7" t="str">
        <f t="shared" si="1030"/>
        <v>事業用資産</v>
      </c>
      <c r="H3029" s="7" t="str">
        <f t="shared" si="1052"/>
        <v>棚卸以外</v>
      </c>
      <c r="I3029" s="7">
        <v>2</v>
      </c>
      <c r="J3029" s="7" t="str">
        <f>"２号棟"</f>
        <v>２号棟</v>
      </c>
      <c r="K3029" s="7" t="str">
        <f t="shared" si="1060"/>
        <v>鉄筋コンクリート造</v>
      </c>
      <c r="L3029" s="7" t="str">
        <f t="shared" si="1061"/>
        <v>S58.06.29</v>
      </c>
      <c r="M3029" s="7">
        <v>427.87</v>
      </c>
      <c r="N3029" s="7">
        <v>96061000</v>
      </c>
      <c r="O3029" s="7">
        <v>81243117</v>
      </c>
      <c r="P3029" s="7">
        <v>0</v>
      </c>
      <c r="Q3029" s="7" t="str">
        <f t="shared" si="1037"/>
        <v>都市整備部</v>
      </c>
      <c r="R3029" s="7" t="str">
        <f t="shared" si="1034"/>
        <v>住宅建築局住宅経営室</v>
      </c>
    </row>
    <row r="3030" spans="1:18" s="1" customFormat="1" x14ac:dyDescent="0.45">
      <c r="A3030" s="7" t="str">
        <f t="shared" si="1057"/>
        <v>09940003378</v>
      </c>
      <c r="B3030" s="7" t="str">
        <f t="shared" si="1058"/>
        <v>門真古川橋</v>
      </c>
      <c r="C3030" s="7" t="str">
        <f t="shared" si="1035"/>
        <v>行政財産</v>
      </c>
      <c r="D3030" s="7" t="str">
        <f t="shared" si="1036"/>
        <v>公営住宅</v>
      </c>
      <c r="E3030" s="7" t="str">
        <f t="shared" si="1059"/>
        <v>大阪府門真市御堂町</v>
      </c>
      <c r="F3030" s="7"/>
      <c r="G3030" s="7" t="str">
        <f t="shared" si="1030"/>
        <v>事業用資産</v>
      </c>
      <c r="H3030" s="7" t="str">
        <f t="shared" si="1052"/>
        <v>棚卸以外</v>
      </c>
      <c r="I3030" s="7">
        <v>3</v>
      </c>
      <c r="J3030" s="7" t="str">
        <f>"３号棟"</f>
        <v>３号棟</v>
      </c>
      <c r="K3030" s="7" t="str">
        <f t="shared" si="1060"/>
        <v>鉄筋コンクリート造</v>
      </c>
      <c r="L3030" s="7" t="str">
        <f t="shared" si="1061"/>
        <v>S58.06.29</v>
      </c>
      <c r="M3030" s="7">
        <v>427.87</v>
      </c>
      <c r="N3030" s="7">
        <v>96061000</v>
      </c>
      <c r="O3030" s="7">
        <v>81243117</v>
      </c>
      <c r="P3030" s="7">
        <v>0</v>
      </c>
      <c r="Q3030" s="7" t="str">
        <f t="shared" si="1037"/>
        <v>都市整備部</v>
      </c>
      <c r="R3030" s="7" t="str">
        <f t="shared" si="1034"/>
        <v>住宅建築局住宅経営室</v>
      </c>
    </row>
    <row r="3031" spans="1:18" s="1" customFormat="1" x14ac:dyDescent="0.45">
      <c r="A3031" s="7" t="str">
        <f t="shared" si="1057"/>
        <v>09940003378</v>
      </c>
      <c r="B3031" s="7" t="str">
        <f t="shared" si="1058"/>
        <v>門真古川橋</v>
      </c>
      <c r="C3031" s="7" t="str">
        <f t="shared" si="1035"/>
        <v>行政財産</v>
      </c>
      <c r="D3031" s="7" t="str">
        <f t="shared" si="1036"/>
        <v>公営住宅</v>
      </c>
      <c r="E3031" s="7" t="str">
        <f t="shared" si="1059"/>
        <v>大阪府門真市御堂町</v>
      </c>
      <c r="F3031" s="7"/>
      <c r="G3031" s="7" t="str">
        <f t="shared" ref="G3031:G3094" si="1062">"事業用資産"</f>
        <v>事業用資産</v>
      </c>
      <c r="H3031" s="7" t="str">
        <f t="shared" si="1052"/>
        <v>棚卸以外</v>
      </c>
      <c r="I3031" s="7">
        <v>4</v>
      </c>
      <c r="J3031" s="7" t="str">
        <f>"４号棟"</f>
        <v>４号棟</v>
      </c>
      <c r="K3031" s="7" t="str">
        <f t="shared" si="1060"/>
        <v>鉄筋コンクリート造</v>
      </c>
      <c r="L3031" s="7" t="str">
        <f t="shared" si="1061"/>
        <v>S58.06.29</v>
      </c>
      <c r="M3031" s="7">
        <v>427.87</v>
      </c>
      <c r="N3031" s="7">
        <v>96061000</v>
      </c>
      <c r="O3031" s="7">
        <v>81243117</v>
      </c>
      <c r="P3031" s="7">
        <v>0</v>
      </c>
      <c r="Q3031" s="7" t="str">
        <f t="shared" si="1037"/>
        <v>都市整備部</v>
      </c>
      <c r="R3031" s="7" t="str">
        <f t="shared" si="1034"/>
        <v>住宅建築局住宅経営室</v>
      </c>
    </row>
    <row r="3032" spans="1:18" s="1" customFormat="1" x14ac:dyDescent="0.45">
      <c r="A3032" s="7" t="str">
        <f t="shared" si="1057"/>
        <v>09940003378</v>
      </c>
      <c r="B3032" s="7" t="str">
        <f t="shared" si="1058"/>
        <v>門真古川橋</v>
      </c>
      <c r="C3032" s="7" t="str">
        <f t="shared" si="1035"/>
        <v>行政財産</v>
      </c>
      <c r="D3032" s="7" t="str">
        <f t="shared" si="1036"/>
        <v>公営住宅</v>
      </c>
      <c r="E3032" s="7" t="str">
        <f t="shared" si="1059"/>
        <v>大阪府門真市御堂町</v>
      </c>
      <c r="F3032" s="7"/>
      <c r="G3032" s="7" t="str">
        <f t="shared" si="1062"/>
        <v>事業用資産</v>
      </c>
      <c r="H3032" s="7" t="str">
        <f t="shared" si="1052"/>
        <v>棚卸以外</v>
      </c>
      <c r="I3032" s="7">
        <v>5</v>
      </c>
      <c r="J3032" s="7" t="str">
        <f>"５号棟"</f>
        <v>５号棟</v>
      </c>
      <c r="K3032" s="7" t="str">
        <f t="shared" si="1060"/>
        <v>鉄筋コンクリート造</v>
      </c>
      <c r="L3032" s="7" t="str">
        <f t="shared" si="1061"/>
        <v>S58.06.29</v>
      </c>
      <c r="M3032" s="7">
        <v>427.87</v>
      </c>
      <c r="N3032" s="7">
        <v>96061000</v>
      </c>
      <c r="O3032" s="7">
        <v>81243117</v>
      </c>
      <c r="P3032" s="7">
        <v>0</v>
      </c>
      <c r="Q3032" s="7" t="str">
        <f t="shared" si="1037"/>
        <v>都市整備部</v>
      </c>
      <c r="R3032" s="7" t="str">
        <f t="shared" ref="R3032:R3095" si="1063">"住宅建築局住宅経営室"</f>
        <v>住宅建築局住宅経営室</v>
      </c>
    </row>
    <row r="3033" spans="1:18" s="1" customFormat="1" x14ac:dyDescent="0.45">
      <c r="A3033" s="7" t="str">
        <f t="shared" si="1057"/>
        <v>09940003378</v>
      </c>
      <c r="B3033" s="7" t="str">
        <f t="shared" si="1058"/>
        <v>門真古川橋</v>
      </c>
      <c r="C3033" s="7" t="str">
        <f t="shared" si="1035"/>
        <v>行政財産</v>
      </c>
      <c r="D3033" s="7" t="str">
        <f t="shared" si="1036"/>
        <v>公営住宅</v>
      </c>
      <c r="E3033" s="7" t="str">
        <f t="shared" si="1059"/>
        <v>大阪府門真市御堂町</v>
      </c>
      <c r="F3033" s="7"/>
      <c r="G3033" s="7" t="str">
        <f t="shared" si="1062"/>
        <v>事業用資産</v>
      </c>
      <c r="H3033" s="7" t="str">
        <f t="shared" si="1052"/>
        <v>棚卸以外</v>
      </c>
      <c r="I3033" s="7">
        <v>6</v>
      </c>
      <c r="J3033" s="7" t="str">
        <f>"６号棟"</f>
        <v>６号棟</v>
      </c>
      <c r="K3033" s="7" t="str">
        <f t="shared" si="1060"/>
        <v>鉄筋コンクリート造</v>
      </c>
      <c r="L3033" s="7" t="str">
        <f t="shared" si="1061"/>
        <v>S58.06.29</v>
      </c>
      <c r="M3033" s="7">
        <v>427.87</v>
      </c>
      <c r="N3033" s="7">
        <v>96061000</v>
      </c>
      <c r="O3033" s="7">
        <v>81243117</v>
      </c>
      <c r="P3033" s="7">
        <v>0</v>
      </c>
      <c r="Q3033" s="7" t="str">
        <f t="shared" si="1037"/>
        <v>都市整備部</v>
      </c>
      <c r="R3033" s="7" t="str">
        <f t="shared" si="1063"/>
        <v>住宅建築局住宅経営室</v>
      </c>
    </row>
    <row r="3034" spans="1:18" s="1" customFormat="1" x14ac:dyDescent="0.45">
      <c r="A3034" s="7" t="str">
        <f t="shared" si="1057"/>
        <v>09940003378</v>
      </c>
      <c r="B3034" s="7" t="str">
        <f t="shared" si="1058"/>
        <v>門真古川橋</v>
      </c>
      <c r="C3034" s="7" t="str">
        <f t="shared" ref="C3034:C3097" si="1064">"行政財産"</f>
        <v>行政財産</v>
      </c>
      <c r="D3034" s="7" t="str">
        <f t="shared" ref="D3034:D3097" si="1065">"公営住宅"</f>
        <v>公営住宅</v>
      </c>
      <c r="E3034" s="7" t="str">
        <f t="shared" si="1059"/>
        <v>大阪府門真市御堂町</v>
      </c>
      <c r="F3034" s="7"/>
      <c r="G3034" s="7" t="str">
        <f t="shared" si="1062"/>
        <v>事業用資産</v>
      </c>
      <c r="H3034" s="7" t="str">
        <f t="shared" si="1052"/>
        <v>棚卸以外</v>
      </c>
      <c r="I3034" s="7">
        <v>7</v>
      </c>
      <c r="J3034" s="7" t="str">
        <f>"受水槽"</f>
        <v>受水槽</v>
      </c>
      <c r="K3034" s="7" t="str">
        <f t="shared" si="1060"/>
        <v>鉄筋コンクリート造</v>
      </c>
      <c r="L3034" s="7" t="str">
        <f t="shared" si="1061"/>
        <v>S58.06.29</v>
      </c>
      <c r="M3034" s="7">
        <v>17.28</v>
      </c>
      <c r="N3034" s="7">
        <v>5930000</v>
      </c>
      <c r="O3034" s="7">
        <v>5015655</v>
      </c>
      <c r="P3034" s="7">
        <v>0</v>
      </c>
      <c r="Q3034" s="7" t="str">
        <f t="shared" si="1037"/>
        <v>都市整備部</v>
      </c>
      <c r="R3034" s="7" t="str">
        <f t="shared" si="1063"/>
        <v>住宅建築局住宅経営室</v>
      </c>
    </row>
    <row r="3035" spans="1:18" s="1" customFormat="1" x14ac:dyDescent="0.45">
      <c r="A3035" s="7" t="str">
        <f>"09940003381"</f>
        <v>09940003381</v>
      </c>
      <c r="B3035" s="7" t="str">
        <f>"阪南尾崎"</f>
        <v>阪南尾崎</v>
      </c>
      <c r="C3035" s="7" t="str">
        <f t="shared" si="1064"/>
        <v>行政財産</v>
      </c>
      <c r="D3035" s="7" t="str">
        <f t="shared" si="1065"/>
        <v>公営住宅</v>
      </c>
      <c r="E3035" s="7" t="str">
        <f>"大阪府阪南市尾崎町５丁目"</f>
        <v>大阪府阪南市尾崎町５丁目</v>
      </c>
      <c r="F3035" s="7"/>
      <c r="G3035" s="7" t="str">
        <f t="shared" si="1062"/>
        <v>事業用資産</v>
      </c>
      <c r="H3035" s="7" t="str">
        <f t="shared" si="1052"/>
        <v>棚卸以外</v>
      </c>
      <c r="I3035" s="7">
        <v>1</v>
      </c>
      <c r="J3035" s="7" t="str">
        <f>"１号棟"</f>
        <v>１号棟</v>
      </c>
      <c r="K3035" s="7" t="str">
        <f t="shared" si="1060"/>
        <v>鉄筋コンクリート造</v>
      </c>
      <c r="L3035" s="7" t="str">
        <f>"H10.08.31"</f>
        <v>H10.08.31</v>
      </c>
      <c r="M3035" s="7">
        <v>4644.68</v>
      </c>
      <c r="N3035" s="7">
        <v>872915000</v>
      </c>
      <c r="O3035" s="7">
        <v>456577990</v>
      </c>
      <c r="P3035" s="7">
        <v>0</v>
      </c>
      <c r="Q3035" s="7" t="str">
        <f t="shared" ref="Q3035:Q3098" si="1066">"都市整備部"</f>
        <v>都市整備部</v>
      </c>
      <c r="R3035" s="7" t="str">
        <f t="shared" si="1063"/>
        <v>住宅建築局住宅経営室</v>
      </c>
    </row>
    <row r="3036" spans="1:18" s="1" customFormat="1" x14ac:dyDescent="0.45">
      <c r="A3036" s="7" t="str">
        <f>"09940003381"</f>
        <v>09940003381</v>
      </c>
      <c r="B3036" s="7" t="str">
        <f>"阪南尾崎"</f>
        <v>阪南尾崎</v>
      </c>
      <c r="C3036" s="7" t="str">
        <f t="shared" si="1064"/>
        <v>行政財産</v>
      </c>
      <c r="D3036" s="7" t="str">
        <f t="shared" si="1065"/>
        <v>公営住宅</v>
      </c>
      <c r="E3036" s="7" t="str">
        <f>"大阪府阪南市尾崎町５丁目"</f>
        <v>大阪府阪南市尾崎町５丁目</v>
      </c>
      <c r="F3036" s="7"/>
      <c r="G3036" s="7" t="str">
        <f t="shared" si="1062"/>
        <v>事業用資産</v>
      </c>
      <c r="H3036" s="7" t="str">
        <f t="shared" si="1052"/>
        <v>棚卸以外</v>
      </c>
      <c r="I3036" s="7">
        <v>2</v>
      </c>
      <c r="J3036" s="7" t="str">
        <f>"受水槽ポンプ室・電気室"</f>
        <v>受水槽ポンプ室・電気室</v>
      </c>
      <c r="K3036" s="7" t="str">
        <f t="shared" si="1060"/>
        <v>鉄筋コンクリート造</v>
      </c>
      <c r="L3036" s="7" t="str">
        <f>"H10.08.31"</f>
        <v>H10.08.31</v>
      </c>
      <c r="M3036" s="7">
        <v>82.1</v>
      </c>
      <c r="N3036" s="7">
        <v>36974000</v>
      </c>
      <c r="O3036" s="7">
        <v>19339315</v>
      </c>
      <c r="P3036" s="7">
        <v>0</v>
      </c>
      <c r="Q3036" s="7" t="str">
        <f t="shared" si="1066"/>
        <v>都市整備部</v>
      </c>
      <c r="R3036" s="7" t="str">
        <f t="shared" si="1063"/>
        <v>住宅建築局住宅経営室</v>
      </c>
    </row>
    <row r="3037" spans="1:18" s="1" customFormat="1" x14ac:dyDescent="0.45">
      <c r="A3037" s="7" t="str">
        <f>"09940003381"</f>
        <v>09940003381</v>
      </c>
      <c r="B3037" s="7" t="str">
        <f>"阪南尾崎"</f>
        <v>阪南尾崎</v>
      </c>
      <c r="C3037" s="7" t="str">
        <f t="shared" si="1064"/>
        <v>行政財産</v>
      </c>
      <c r="D3037" s="7" t="str">
        <f t="shared" si="1065"/>
        <v>公営住宅</v>
      </c>
      <c r="E3037" s="7" t="str">
        <f>"大阪府阪南市尾崎町５丁目"</f>
        <v>大阪府阪南市尾崎町５丁目</v>
      </c>
      <c r="F3037" s="7"/>
      <c r="G3037" s="7" t="str">
        <f t="shared" si="1062"/>
        <v>事業用資産</v>
      </c>
      <c r="H3037" s="7" t="str">
        <f t="shared" si="1052"/>
        <v>棚卸以外</v>
      </c>
      <c r="I3037" s="7">
        <v>3</v>
      </c>
      <c r="J3037" s="7" t="str">
        <f>"集会所"</f>
        <v>集会所</v>
      </c>
      <c r="K3037" s="7" t="str">
        <f t="shared" si="1060"/>
        <v>鉄筋コンクリート造</v>
      </c>
      <c r="L3037" s="7" t="str">
        <f>"H10.08.31"</f>
        <v>H10.08.31</v>
      </c>
      <c r="M3037" s="7">
        <v>69.86</v>
      </c>
      <c r="N3037" s="7">
        <v>19567000</v>
      </c>
      <c r="O3037" s="7">
        <v>10234730</v>
      </c>
      <c r="P3037" s="7">
        <v>0</v>
      </c>
      <c r="Q3037" s="7" t="str">
        <f t="shared" si="1066"/>
        <v>都市整備部</v>
      </c>
      <c r="R3037" s="7" t="str">
        <f t="shared" si="1063"/>
        <v>住宅建築局住宅経営室</v>
      </c>
    </row>
    <row r="3038" spans="1:18" s="1" customFormat="1" x14ac:dyDescent="0.45">
      <c r="A3038" s="7" t="str">
        <f t="shared" ref="A3038:A3043" si="1067">"09940003382"</f>
        <v>09940003382</v>
      </c>
      <c r="B3038" s="7" t="str">
        <f t="shared" ref="B3038:B3043" si="1068">"藤井寺川北"</f>
        <v>藤井寺川北</v>
      </c>
      <c r="C3038" s="7" t="str">
        <f t="shared" si="1064"/>
        <v>行政財産</v>
      </c>
      <c r="D3038" s="7" t="str">
        <f t="shared" si="1065"/>
        <v>公営住宅</v>
      </c>
      <c r="E3038" s="7" t="str">
        <f t="shared" ref="E3038:E3043" si="1069">"大阪府藤井寺市川北３丁目"</f>
        <v>大阪府藤井寺市川北３丁目</v>
      </c>
      <c r="F3038" s="7"/>
      <c r="G3038" s="7" t="str">
        <f t="shared" si="1062"/>
        <v>事業用資産</v>
      </c>
      <c r="H3038" s="7" t="str">
        <f t="shared" si="1052"/>
        <v>棚卸以外</v>
      </c>
      <c r="I3038" s="7">
        <v>1</v>
      </c>
      <c r="J3038" s="7" t="str">
        <f>"１号棟"</f>
        <v>１号棟</v>
      </c>
      <c r="K3038" s="7" t="str">
        <f t="shared" si="1060"/>
        <v>鉄筋コンクリート造</v>
      </c>
      <c r="L3038" s="7" t="str">
        <f>"H10.09.29"</f>
        <v>H10.09.29</v>
      </c>
      <c r="M3038" s="7">
        <v>2071.2800000000002</v>
      </c>
      <c r="N3038" s="7">
        <v>408907000</v>
      </c>
      <c r="O3038" s="7">
        <v>213153822</v>
      </c>
      <c r="P3038" s="7">
        <v>0</v>
      </c>
      <c r="Q3038" s="7" t="str">
        <f t="shared" si="1066"/>
        <v>都市整備部</v>
      </c>
      <c r="R3038" s="7" t="str">
        <f t="shared" si="1063"/>
        <v>住宅建築局住宅経営室</v>
      </c>
    </row>
    <row r="3039" spans="1:18" s="1" customFormat="1" x14ac:dyDescent="0.45">
      <c r="A3039" s="7" t="str">
        <f t="shared" si="1067"/>
        <v>09940003382</v>
      </c>
      <c r="B3039" s="7" t="str">
        <f t="shared" si="1068"/>
        <v>藤井寺川北</v>
      </c>
      <c r="C3039" s="7" t="str">
        <f t="shared" si="1064"/>
        <v>行政財産</v>
      </c>
      <c r="D3039" s="7" t="str">
        <f t="shared" si="1065"/>
        <v>公営住宅</v>
      </c>
      <c r="E3039" s="7" t="str">
        <f t="shared" si="1069"/>
        <v>大阪府藤井寺市川北３丁目</v>
      </c>
      <c r="F3039" s="7"/>
      <c r="G3039" s="7" t="str">
        <f t="shared" si="1062"/>
        <v>事業用資産</v>
      </c>
      <c r="H3039" s="7" t="str">
        <f t="shared" si="1052"/>
        <v>棚卸以外</v>
      </c>
      <c r="I3039" s="7">
        <v>2</v>
      </c>
      <c r="J3039" s="7" t="str">
        <f>"２号棟"</f>
        <v>２号棟</v>
      </c>
      <c r="K3039" s="7" t="str">
        <f t="shared" si="1060"/>
        <v>鉄筋コンクリート造</v>
      </c>
      <c r="L3039" s="7" t="str">
        <f>"H10.09.29"</f>
        <v>H10.09.29</v>
      </c>
      <c r="M3039" s="7">
        <v>3672.99</v>
      </c>
      <c r="N3039" s="7">
        <v>721808000</v>
      </c>
      <c r="O3039" s="7">
        <v>376261788</v>
      </c>
      <c r="P3039" s="7">
        <v>0</v>
      </c>
      <c r="Q3039" s="7" t="str">
        <f t="shared" si="1066"/>
        <v>都市整備部</v>
      </c>
      <c r="R3039" s="7" t="str">
        <f t="shared" si="1063"/>
        <v>住宅建築局住宅経営室</v>
      </c>
    </row>
    <row r="3040" spans="1:18" s="1" customFormat="1" x14ac:dyDescent="0.45">
      <c r="A3040" s="7" t="str">
        <f t="shared" si="1067"/>
        <v>09940003382</v>
      </c>
      <c r="B3040" s="7" t="str">
        <f t="shared" si="1068"/>
        <v>藤井寺川北</v>
      </c>
      <c r="C3040" s="7" t="str">
        <f t="shared" si="1064"/>
        <v>行政財産</v>
      </c>
      <c r="D3040" s="7" t="str">
        <f t="shared" si="1065"/>
        <v>公営住宅</v>
      </c>
      <c r="E3040" s="7" t="str">
        <f t="shared" si="1069"/>
        <v>大阪府藤井寺市川北３丁目</v>
      </c>
      <c r="F3040" s="7"/>
      <c r="G3040" s="7" t="str">
        <f t="shared" si="1062"/>
        <v>事業用資産</v>
      </c>
      <c r="H3040" s="7" t="str">
        <f t="shared" si="1052"/>
        <v>棚卸以外</v>
      </c>
      <c r="I3040" s="7">
        <v>3</v>
      </c>
      <c r="J3040" s="7" t="str">
        <f>"集会所"</f>
        <v>集会所</v>
      </c>
      <c r="K3040" s="7" t="str">
        <f t="shared" si="1060"/>
        <v>鉄筋コンクリート造</v>
      </c>
      <c r="L3040" s="7" t="str">
        <f>"H10.09.29"</f>
        <v>H10.09.29</v>
      </c>
      <c r="M3040" s="7">
        <v>179.86</v>
      </c>
      <c r="N3040" s="7">
        <v>32921000</v>
      </c>
      <c r="O3040" s="7">
        <v>17161074</v>
      </c>
      <c r="P3040" s="7">
        <v>0</v>
      </c>
      <c r="Q3040" s="7" t="str">
        <f t="shared" si="1066"/>
        <v>都市整備部</v>
      </c>
      <c r="R3040" s="7" t="str">
        <f t="shared" si="1063"/>
        <v>住宅建築局住宅経営室</v>
      </c>
    </row>
    <row r="3041" spans="1:18" s="1" customFormat="1" x14ac:dyDescent="0.45">
      <c r="A3041" s="7" t="str">
        <f t="shared" si="1067"/>
        <v>09940003382</v>
      </c>
      <c r="B3041" s="7" t="str">
        <f t="shared" si="1068"/>
        <v>藤井寺川北</v>
      </c>
      <c r="C3041" s="7" t="str">
        <f t="shared" si="1064"/>
        <v>行政財産</v>
      </c>
      <c r="D3041" s="7" t="str">
        <f t="shared" si="1065"/>
        <v>公営住宅</v>
      </c>
      <c r="E3041" s="7" t="str">
        <f t="shared" si="1069"/>
        <v>大阪府藤井寺市川北３丁目</v>
      </c>
      <c r="F3041" s="7"/>
      <c r="G3041" s="7" t="str">
        <f t="shared" si="1062"/>
        <v>事業用資産</v>
      </c>
      <c r="H3041" s="7" t="str">
        <f t="shared" si="1052"/>
        <v>棚卸以外</v>
      </c>
      <c r="I3041" s="7">
        <v>4</v>
      </c>
      <c r="J3041" s="7" t="str">
        <f>"受水槽ポンプ室・電気室"</f>
        <v>受水槽ポンプ室・電気室</v>
      </c>
      <c r="K3041" s="7" t="str">
        <f t="shared" si="1060"/>
        <v>鉄筋コンクリート造</v>
      </c>
      <c r="L3041" s="7" t="str">
        <f>"H10.09.29"</f>
        <v>H10.09.29</v>
      </c>
      <c r="M3041" s="7">
        <v>90.46</v>
      </c>
      <c r="N3041" s="7">
        <v>42627000</v>
      </c>
      <c r="O3041" s="7">
        <v>22220520</v>
      </c>
      <c r="P3041" s="7">
        <v>0</v>
      </c>
      <c r="Q3041" s="7" t="str">
        <f t="shared" si="1066"/>
        <v>都市整備部</v>
      </c>
      <c r="R3041" s="7" t="str">
        <f t="shared" si="1063"/>
        <v>住宅建築局住宅経営室</v>
      </c>
    </row>
    <row r="3042" spans="1:18" s="1" customFormat="1" x14ac:dyDescent="0.45">
      <c r="A3042" s="7" t="str">
        <f t="shared" si="1067"/>
        <v>09940003382</v>
      </c>
      <c r="B3042" s="7" t="str">
        <f t="shared" si="1068"/>
        <v>藤井寺川北</v>
      </c>
      <c r="C3042" s="7" t="str">
        <f t="shared" si="1064"/>
        <v>行政財産</v>
      </c>
      <c r="D3042" s="7" t="str">
        <f t="shared" si="1065"/>
        <v>公営住宅</v>
      </c>
      <c r="E3042" s="7" t="str">
        <f t="shared" si="1069"/>
        <v>大阪府藤井寺市川北３丁目</v>
      </c>
      <c r="F3042" s="7"/>
      <c r="G3042" s="7" t="str">
        <f t="shared" si="1062"/>
        <v>事業用資産</v>
      </c>
      <c r="H3042" s="7" t="str">
        <f t="shared" si="1052"/>
        <v>棚卸以外</v>
      </c>
      <c r="I3042" s="7">
        <v>5</v>
      </c>
      <c r="J3042" s="7" t="str">
        <f>"３号棟"</f>
        <v>３号棟</v>
      </c>
      <c r="K3042" s="7" t="str">
        <f t="shared" si="1060"/>
        <v>鉄筋コンクリート造</v>
      </c>
      <c r="L3042" s="7" t="str">
        <f>"H11.09.29"</f>
        <v>H11.09.29</v>
      </c>
      <c r="M3042" s="7">
        <v>1692.59</v>
      </c>
      <c r="N3042" s="7">
        <v>289589000</v>
      </c>
      <c r="O3042" s="7">
        <v>144794592</v>
      </c>
      <c r="P3042" s="7">
        <v>0</v>
      </c>
      <c r="Q3042" s="7" t="str">
        <f t="shared" si="1066"/>
        <v>都市整備部</v>
      </c>
      <c r="R3042" s="7" t="str">
        <f t="shared" si="1063"/>
        <v>住宅建築局住宅経営室</v>
      </c>
    </row>
    <row r="3043" spans="1:18" s="1" customFormat="1" x14ac:dyDescent="0.45">
      <c r="A3043" s="7" t="str">
        <f t="shared" si="1067"/>
        <v>09940003382</v>
      </c>
      <c r="B3043" s="7" t="str">
        <f t="shared" si="1068"/>
        <v>藤井寺川北</v>
      </c>
      <c r="C3043" s="7" t="str">
        <f t="shared" si="1064"/>
        <v>行政財産</v>
      </c>
      <c r="D3043" s="7" t="str">
        <f t="shared" si="1065"/>
        <v>公営住宅</v>
      </c>
      <c r="E3043" s="7" t="str">
        <f t="shared" si="1069"/>
        <v>大阪府藤井寺市川北３丁目</v>
      </c>
      <c r="F3043" s="7"/>
      <c r="G3043" s="7" t="str">
        <f t="shared" si="1062"/>
        <v>事業用資産</v>
      </c>
      <c r="H3043" s="7" t="str">
        <f t="shared" si="1052"/>
        <v>棚卸以外</v>
      </c>
      <c r="I3043" s="7">
        <v>6</v>
      </c>
      <c r="J3043" s="7" t="str">
        <f>"電気室"</f>
        <v>電気室</v>
      </c>
      <c r="K3043" s="7" t="str">
        <f t="shared" si="1060"/>
        <v>鉄筋コンクリート造</v>
      </c>
      <c r="L3043" s="7" t="str">
        <f>"H11.09.29"</f>
        <v>H11.09.29</v>
      </c>
      <c r="M3043" s="7">
        <v>10.83</v>
      </c>
      <c r="N3043" s="7">
        <v>7065000</v>
      </c>
      <c r="O3043" s="7">
        <v>3532614</v>
      </c>
      <c r="P3043" s="7">
        <v>0</v>
      </c>
      <c r="Q3043" s="7" t="str">
        <f t="shared" si="1066"/>
        <v>都市整備部</v>
      </c>
      <c r="R3043" s="7" t="str">
        <f t="shared" si="1063"/>
        <v>住宅建築局住宅経営室</v>
      </c>
    </row>
    <row r="3044" spans="1:18" s="1" customFormat="1" x14ac:dyDescent="0.45">
      <c r="A3044" s="7" t="str">
        <f t="shared" ref="A3044:A3065" si="1070">"09940003383"</f>
        <v>09940003383</v>
      </c>
      <c r="B3044" s="7" t="str">
        <f t="shared" ref="B3044:B3065" si="1071">"交野梅が枝"</f>
        <v>交野梅が枝</v>
      </c>
      <c r="C3044" s="7" t="str">
        <f t="shared" si="1064"/>
        <v>行政財産</v>
      </c>
      <c r="D3044" s="7" t="str">
        <f t="shared" si="1065"/>
        <v>公営住宅</v>
      </c>
      <c r="E3044" s="7" t="str">
        <f t="shared" ref="E3044:E3065" si="1072">"大阪府交野市梅が枝"</f>
        <v>大阪府交野市梅が枝</v>
      </c>
      <c r="F3044" s="7"/>
      <c r="G3044" s="7" t="str">
        <f t="shared" si="1062"/>
        <v>事業用資産</v>
      </c>
      <c r="H3044" s="7" t="str">
        <f t="shared" si="1052"/>
        <v>棚卸以外</v>
      </c>
      <c r="I3044" s="7">
        <v>1</v>
      </c>
      <c r="J3044" s="7" t="str">
        <f>"１９～２９号棟"</f>
        <v>１９～２９号棟</v>
      </c>
      <c r="K3044" s="7" t="str">
        <f t="shared" si="1060"/>
        <v>鉄筋コンクリート造</v>
      </c>
      <c r="L3044" s="7" t="str">
        <f>"S43.08.27"</f>
        <v>S43.08.27</v>
      </c>
      <c r="M3044" s="7">
        <v>17096.759999999998</v>
      </c>
      <c r="N3044" s="7">
        <v>1197526075</v>
      </c>
      <c r="O3044" s="7">
        <v>462966843</v>
      </c>
      <c r="P3044" s="7">
        <v>0</v>
      </c>
      <c r="Q3044" s="7" t="str">
        <f t="shared" si="1066"/>
        <v>都市整備部</v>
      </c>
      <c r="R3044" s="7" t="str">
        <f t="shared" si="1063"/>
        <v>住宅建築局住宅経営室</v>
      </c>
    </row>
    <row r="3045" spans="1:18" s="1" customFormat="1" x14ac:dyDescent="0.45">
      <c r="A3045" s="7" t="str">
        <f t="shared" si="1070"/>
        <v>09940003383</v>
      </c>
      <c r="B3045" s="7" t="str">
        <f t="shared" si="1071"/>
        <v>交野梅が枝</v>
      </c>
      <c r="C3045" s="7" t="str">
        <f t="shared" si="1064"/>
        <v>行政財産</v>
      </c>
      <c r="D3045" s="7" t="str">
        <f t="shared" si="1065"/>
        <v>公営住宅</v>
      </c>
      <c r="E3045" s="7" t="str">
        <f t="shared" si="1072"/>
        <v>大阪府交野市梅が枝</v>
      </c>
      <c r="F3045" s="7"/>
      <c r="G3045" s="7" t="str">
        <f t="shared" si="1062"/>
        <v>事業用資産</v>
      </c>
      <c r="H3045" s="7" t="str">
        <f t="shared" si="1052"/>
        <v>棚卸以外</v>
      </c>
      <c r="I3045" s="7">
        <v>2</v>
      </c>
      <c r="J3045" s="7" t="str">
        <f>"３１～４４号棟"</f>
        <v>３１～４４号棟</v>
      </c>
      <c r="K3045" s="7" t="str">
        <f t="shared" si="1060"/>
        <v>鉄筋コンクリート造</v>
      </c>
      <c r="L3045" s="7" t="str">
        <f>"S43.08.27"</f>
        <v>S43.08.27</v>
      </c>
      <c r="M3045" s="7">
        <v>23418.81</v>
      </c>
      <c r="N3045" s="7">
        <v>1590791383</v>
      </c>
      <c r="O3045" s="7">
        <v>1048458266</v>
      </c>
      <c r="P3045" s="7">
        <v>0</v>
      </c>
      <c r="Q3045" s="7" t="str">
        <f t="shared" si="1066"/>
        <v>都市整備部</v>
      </c>
      <c r="R3045" s="7" t="str">
        <f t="shared" si="1063"/>
        <v>住宅建築局住宅経営室</v>
      </c>
    </row>
    <row r="3046" spans="1:18" s="1" customFormat="1" x14ac:dyDescent="0.45">
      <c r="A3046" s="7" t="str">
        <f t="shared" si="1070"/>
        <v>09940003383</v>
      </c>
      <c r="B3046" s="7" t="str">
        <f t="shared" si="1071"/>
        <v>交野梅が枝</v>
      </c>
      <c r="C3046" s="7" t="str">
        <f t="shared" si="1064"/>
        <v>行政財産</v>
      </c>
      <c r="D3046" s="7" t="str">
        <f t="shared" si="1065"/>
        <v>公営住宅</v>
      </c>
      <c r="E3046" s="7" t="str">
        <f t="shared" si="1072"/>
        <v>大阪府交野市梅が枝</v>
      </c>
      <c r="F3046" s="7"/>
      <c r="G3046" s="7" t="str">
        <f t="shared" si="1062"/>
        <v>事業用資産</v>
      </c>
      <c r="H3046" s="7" t="str">
        <f t="shared" si="1052"/>
        <v>棚卸以外</v>
      </c>
      <c r="I3046" s="7">
        <v>3</v>
      </c>
      <c r="J3046" s="7" t="str">
        <f>"集会所"</f>
        <v>集会所</v>
      </c>
      <c r="K3046" s="7" t="str">
        <f t="shared" si="1060"/>
        <v>鉄筋コンクリート造</v>
      </c>
      <c r="L3046" s="7" t="str">
        <f>"S43.08.27"</f>
        <v>S43.08.27</v>
      </c>
      <c r="M3046" s="7">
        <v>184.25</v>
      </c>
      <c r="N3046" s="7">
        <v>72260801</v>
      </c>
      <c r="O3046" s="7">
        <v>61825507</v>
      </c>
      <c r="P3046" s="7">
        <v>0</v>
      </c>
      <c r="Q3046" s="7" t="str">
        <f t="shared" si="1066"/>
        <v>都市整備部</v>
      </c>
      <c r="R3046" s="7" t="str">
        <f t="shared" si="1063"/>
        <v>住宅建築局住宅経営室</v>
      </c>
    </row>
    <row r="3047" spans="1:18" s="1" customFormat="1" x14ac:dyDescent="0.45">
      <c r="A3047" s="7" t="str">
        <f t="shared" si="1070"/>
        <v>09940003383</v>
      </c>
      <c r="B3047" s="7" t="str">
        <f t="shared" si="1071"/>
        <v>交野梅が枝</v>
      </c>
      <c r="C3047" s="7" t="str">
        <f t="shared" si="1064"/>
        <v>行政財産</v>
      </c>
      <c r="D3047" s="7" t="str">
        <f t="shared" si="1065"/>
        <v>公営住宅</v>
      </c>
      <c r="E3047" s="7" t="str">
        <f t="shared" si="1072"/>
        <v>大阪府交野市梅が枝</v>
      </c>
      <c r="F3047" s="7"/>
      <c r="G3047" s="7" t="str">
        <f t="shared" si="1062"/>
        <v>事業用資産</v>
      </c>
      <c r="H3047" s="7" t="str">
        <f t="shared" si="1052"/>
        <v>棚卸以外</v>
      </c>
      <c r="I3047" s="7">
        <v>4</v>
      </c>
      <c r="J3047" s="7" t="str">
        <f>"２２号棟増築分"</f>
        <v>２２号棟増築分</v>
      </c>
      <c r="K3047" s="7" t="str">
        <f t="shared" si="1060"/>
        <v>鉄筋コンクリート造</v>
      </c>
      <c r="L3047" s="7" t="str">
        <f>"H04.08.01"</f>
        <v>H04.08.01</v>
      </c>
      <c r="M3047" s="7">
        <v>701.5</v>
      </c>
      <c r="N3047" s="7">
        <v>132797000</v>
      </c>
      <c r="O3047" s="7">
        <v>86412352</v>
      </c>
      <c r="P3047" s="7">
        <v>0</v>
      </c>
      <c r="Q3047" s="7" t="str">
        <f t="shared" si="1066"/>
        <v>都市整備部</v>
      </c>
      <c r="R3047" s="7" t="str">
        <f t="shared" si="1063"/>
        <v>住宅建築局住宅経営室</v>
      </c>
    </row>
    <row r="3048" spans="1:18" s="1" customFormat="1" x14ac:dyDescent="0.45">
      <c r="A3048" s="7" t="str">
        <f t="shared" si="1070"/>
        <v>09940003383</v>
      </c>
      <c r="B3048" s="7" t="str">
        <f t="shared" si="1071"/>
        <v>交野梅が枝</v>
      </c>
      <c r="C3048" s="7" t="str">
        <f t="shared" si="1064"/>
        <v>行政財産</v>
      </c>
      <c r="D3048" s="7" t="str">
        <f t="shared" si="1065"/>
        <v>公営住宅</v>
      </c>
      <c r="E3048" s="7" t="str">
        <f t="shared" si="1072"/>
        <v>大阪府交野市梅が枝</v>
      </c>
      <c r="F3048" s="7"/>
      <c r="G3048" s="7" t="str">
        <f t="shared" si="1062"/>
        <v>事業用資産</v>
      </c>
      <c r="H3048" s="7" t="str">
        <f t="shared" si="1052"/>
        <v>棚卸以外</v>
      </c>
      <c r="I3048" s="7">
        <v>5</v>
      </c>
      <c r="J3048" s="7" t="str">
        <f>"２５号棟増築分"</f>
        <v>２５号棟増築分</v>
      </c>
      <c r="K3048" s="7" t="str">
        <f t="shared" si="1060"/>
        <v>鉄筋コンクリート造</v>
      </c>
      <c r="L3048" s="7" t="str">
        <f>"H04.09.01"</f>
        <v>H04.09.01</v>
      </c>
      <c r="M3048" s="7">
        <v>941</v>
      </c>
      <c r="N3048" s="7">
        <v>184271000</v>
      </c>
      <c r="O3048" s="7">
        <v>119580252</v>
      </c>
      <c r="P3048" s="7">
        <v>0</v>
      </c>
      <c r="Q3048" s="7" t="str">
        <f t="shared" si="1066"/>
        <v>都市整備部</v>
      </c>
      <c r="R3048" s="7" t="str">
        <f t="shared" si="1063"/>
        <v>住宅建築局住宅経営室</v>
      </c>
    </row>
    <row r="3049" spans="1:18" s="1" customFormat="1" x14ac:dyDescent="0.45">
      <c r="A3049" s="7" t="str">
        <f t="shared" si="1070"/>
        <v>09940003383</v>
      </c>
      <c r="B3049" s="7" t="str">
        <f t="shared" si="1071"/>
        <v>交野梅が枝</v>
      </c>
      <c r="C3049" s="7" t="str">
        <f t="shared" si="1064"/>
        <v>行政財産</v>
      </c>
      <c r="D3049" s="7" t="str">
        <f t="shared" si="1065"/>
        <v>公営住宅</v>
      </c>
      <c r="E3049" s="7" t="str">
        <f t="shared" si="1072"/>
        <v>大阪府交野市梅が枝</v>
      </c>
      <c r="F3049" s="7"/>
      <c r="G3049" s="7" t="str">
        <f t="shared" si="1062"/>
        <v>事業用資産</v>
      </c>
      <c r="H3049" s="7" t="str">
        <f t="shared" si="1052"/>
        <v>棚卸以外</v>
      </c>
      <c r="I3049" s="7">
        <v>6</v>
      </c>
      <c r="J3049" s="7" t="str">
        <f>"２７号棟増築分"</f>
        <v>２７号棟増築分</v>
      </c>
      <c r="K3049" s="7" t="str">
        <f t="shared" si="1060"/>
        <v>鉄筋コンクリート造</v>
      </c>
      <c r="L3049" s="7" t="str">
        <f>"H04.08.01"</f>
        <v>H04.08.01</v>
      </c>
      <c r="M3049" s="7">
        <v>843.05</v>
      </c>
      <c r="N3049" s="7">
        <v>154734000</v>
      </c>
      <c r="O3049" s="7">
        <v>100687184</v>
      </c>
      <c r="P3049" s="7">
        <v>0</v>
      </c>
      <c r="Q3049" s="7" t="str">
        <f t="shared" si="1066"/>
        <v>都市整備部</v>
      </c>
      <c r="R3049" s="7" t="str">
        <f t="shared" si="1063"/>
        <v>住宅建築局住宅経営室</v>
      </c>
    </row>
    <row r="3050" spans="1:18" s="1" customFormat="1" x14ac:dyDescent="0.45">
      <c r="A3050" s="7" t="str">
        <f t="shared" si="1070"/>
        <v>09940003383</v>
      </c>
      <c r="B3050" s="7" t="str">
        <f t="shared" si="1071"/>
        <v>交野梅が枝</v>
      </c>
      <c r="C3050" s="7" t="str">
        <f t="shared" si="1064"/>
        <v>行政財産</v>
      </c>
      <c r="D3050" s="7" t="str">
        <f t="shared" si="1065"/>
        <v>公営住宅</v>
      </c>
      <c r="E3050" s="7" t="str">
        <f t="shared" si="1072"/>
        <v>大阪府交野市梅が枝</v>
      </c>
      <c r="F3050" s="7"/>
      <c r="G3050" s="7" t="str">
        <f t="shared" si="1062"/>
        <v>事業用資産</v>
      </c>
      <c r="H3050" s="7" t="str">
        <f t="shared" si="1052"/>
        <v>棚卸以外</v>
      </c>
      <c r="I3050" s="7">
        <v>8</v>
      </c>
      <c r="J3050" s="7" t="str">
        <f>"３８号棟増築分"</f>
        <v>３８号棟増築分</v>
      </c>
      <c r="K3050" s="7" t="str">
        <f t="shared" si="1060"/>
        <v>鉄筋コンクリート造</v>
      </c>
      <c r="L3050" s="7" t="str">
        <f>"H04.09.01"</f>
        <v>H04.09.01</v>
      </c>
      <c r="M3050" s="7">
        <v>726.9</v>
      </c>
      <c r="N3050" s="7">
        <v>136274000</v>
      </c>
      <c r="O3050" s="7">
        <v>88433286</v>
      </c>
      <c r="P3050" s="7">
        <v>0</v>
      </c>
      <c r="Q3050" s="7" t="str">
        <f t="shared" si="1066"/>
        <v>都市整備部</v>
      </c>
      <c r="R3050" s="7" t="str">
        <f t="shared" si="1063"/>
        <v>住宅建築局住宅経営室</v>
      </c>
    </row>
    <row r="3051" spans="1:18" s="1" customFormat="1" x14ac:dyDescent="0.45">
      <c r="A3051" s="7" t="str">
        <f t="shared" si="1070"/>
        <v>09940003383</v>
      </c>
      <c r="B3051" s="7" t="str">
        <f t="shared" si="1071"/>
        <v>交野梅が枝</v>
      </c>
      <c r="C3051" s="7" t="str">
        <f t="shared" si="1064"/>
        <v>行政財産</v>
      </c>
      <c r="D3051" s="7" t="str">
        <f t="shared" si="1065"/>
        <v>公営住宅</v>
      </c>
      <c r="E3051" s="7" t="str">
        <f t="shared" si="1072"/>
        <v>大阪府交野市梅が枝</v>
      </c>
      <c r="F3051" s="7"/>
      <c r="G3051" s="7" t="str">
        <f t="shared" si="1062"/>
        <v>事業用資産</v>
      </c>
      <c r="H3051" s="7" t="str">
        <f t="shared" si="1052"/>
        <v>棚卸以外</v>
      </c>
      <c r="I3051" s="7">
        <v>9</v>
      </c>
      <c r="J3051" s="7" t="str">
        <f>"１９号棟増築分"</f>
        <v>１９号棟増築分</v>
      </c>
      <c r="K3051" s="7" t="str">
        <f t="shared" si="1060"/>
        <v>鉄筋コンクリート造</v>
      </c>
      <c r="L3051" s="7" t="str">
        <f>"H05.12.21"</f>
        <v>H05.12.21</v>
      </c>
      <c r="M3051" s="7">
        <v>789.37</v>
      </c>
      <c r="N3051" s="7">
        <v>176851000</v>
      </c>
      <c r="O3051" s="7">
        <v>122641307</v>
      </c>
      <c r="P3051" s="7">
        <v>0</v>
      </c>
      <c r="Q3051" s="7" t="str">
        <f t="shared" si="1066"/>
        <v>都市整備部</v>
      </c>
      <c r="R3051" s="7" t="str">
        <f t="shared" si="1063"/>
        <v>住宅建築局住宅経営室</v>
      </c>
    </row>
    <row r="3052" spans="1:18" s="1" customFormat="1" x14ac:dyDescent="0.45">
      <c r="A3052" s="7" t="str">
        <f t="shared" si="1070"/>
        <v>09940003383</v>
      </c>
      <c r="B3052" s="7" t="str">
        <f t="shared" si="1071"/>
        <v>交野梅が枝</v>
      </c>
      <c r="C3052" s="7" t="str">
        <f t="shared" si="1064"/>
        <v>行政財産</v>
      </c>
      <c r="D3052" s="7" t="str">
        <f t="shared" si="1065"/>
        <v>公営住宅</v>
      </c>
      <c r="E3052" s="7" t="str">
        <f t="shared" si="1072"/>
        <v>大阪府交野市梅が枝</v>
      </c>
      <c r="F3052" s="7"/>
      <c r="G3052" s="7" t="str">
        <f t="shared" si="1062"/>
        <v>事業用資産</v>
      </c>
      <c r="H3052" s="7" t="str">
        <f t="shared" si="1052"/>
        <v>棚卸以外</v>
      </c>
      <c r="I3052" s="7">
        <v>10</v>
      </c>
      <c r="J3052" s="7" t="str">
        <f>"２０号棟増築分"</f>
        <v>２０号棟増築分</v>
      </c>
      <c r="K3052" s="7" t="str">
        <f t="shared" si="1060"/>
        <v>鉄筋コンクリート造</v>
      </c>
      <c r="L3052" s="7" t="str">
        <f>"H05.12.21"</f>
        <v>H05.12.21</v>
      </c>
      <c r="M3052" s="7">
        <v>774.93</v>
      </c>
      <c r="N3052" s="7">
        <v>168331000</v>
      </c>
      <c r="O3052" s="7">
        <v>113281598</v>
      </c>
      <c r="P3052" s="7">
        <v>0</v>
      </c>
      <c r="Q3052" s="7" t="str">
        <f t="shared" si="1066"/>
        <v>都市整備部</v>
      </c>
      <c r="R3052" s="7" t="str">
        <f t="shared" si="1063"/>
        <v>住宅建築局住宅経営室</v>
      </c>
    </row>
    <row r="3053" spans="1:18" s="1" customFormat="1" x14ac:dyDescent="0.45">
      <c r="A3053" s="7" t="str">
        <f t="shared" si="1070"/>
        <v>09940003383</v>
      </c>
      <c r="B3053" s="7" t="str">
        <f t="shared" si="1071"/>
        <v>交野梅が枝</v>
      </c>
      <c r="C3053" s="7" t="str">
        <f t="shared" si="1064"/>
        <v>行政財産</v>
      </c>
      <c r="D3053" s="7" t="str">
        <f t="shared" si="1065"/>
        <v>公営住宅</v>
      </c>
      <c r="E3053" s="7" t="str">
        <f t="shared" si="1072"/>
        <v>大阪府交野市梅が枝</v>
      </c>
      <c r="F3053" s="7"/>
      <c r="G3053" s="7" t="str">
        <f t="shared" si="1062"/>
        <v>事業用資産</v>
      </c>
      <c r="H3053" s="7" t="str">
        <f t="shared" si="1052"/>
        <v>棚卸以外</v>
      </c>
      <c r="I3053" s="7">
        <v>11</v>
      </c>
      <c r="J3053" s="7" t="str">
        <f>"２１号棟増築分"</f>
        <v>２１号棟増築分</v>
      </c>
      <c r="K3053" s="7" t="str">
        <f t="shared" si="1060"/>
        <v>鉄筋コンクリート造</v>
      </c>
      <c r="L3053" s="7" t="str">
        <f>"H05.12.21"</f>
        <v>H05.12.21</v>
      </c>
      <c r="M3053" s="7">
        <v>487.85</v>
      </c>
      <c r="N3053" s="7">
        <v>115303000</v>
      </c>
      <c r="O3053" s="7">
        <v>71757738</v>
      </c>
      <c r="P3053" s="7">
        <v>0</v>
      </c>
      <c r="Q3053" s="7" t="str">
        <f t="shared" si="1066"/>
        <v>都市整備部</v>
      </c>
      <c r="R3053" s="7" t="str">
        <f t="shared" si="1063"/>
        <v>住宅建築局住宅経営室</v>
      </c>
    </row>
    <row r="3054" spans="1:18" s="1" customFormat="1" x14ac:dyDescent="0.45">
      <c r="A3054" s="7" t="str">
        <f t="shared" si="1070"/>
        <v>09940003383</v>
      </c>
      <c r="B3054" s="7" t="str">
        <f t="shared" si="1071"/>
        <v>交野梅が枝</v>
      </c>
      <c r="C3054" s="7" t="str">
        <f t="shared" si="1064"/>
        <v>行政財産</v>
      </c>
      <c r="D3054" s="7" t="str">
        <f t="shared" si="1065"/>
        <v>公営住宅</v>
      </c>
      <c r="E3054" s="7" t="str">
        <f t="shared" si="1072"/>
        <v>大阪府交野市梅が枝</v>
      </c>
      <c r="F3054" s="7"/>
      <c r="G3054" s="7" t="str">
        <f t="shared" si="1062"/>
        <v>事業用資産</v>
      </c>
      <c r="H3054" s="7" t="str">
        <f t="shared" si="1052"/>
        <v>棚卸以外</v>
      </c>
      <c r="I3054" s="7">
        <v>12</v>
      </c>
      <c r="J3054" s="7" t="str">
        <f>"２３号棟増築分"</f>
        <v>２３号棟増築分</v>
      </c>
      <c r="K3054" s="7" t="str">
        <f t="shared" si="1060"/>
        <v>鉄筋コンクリート造</v>
      </c>
      <c r="L3054" s="7" t="str">
        <f t="shared" ref="L3054:L3059" si="1073">"H05.08.30"</f>
        <v>H05.08.30</v>
      </c>
      <c r="M3054" s="7">
        <v>618.5</v>
      </c>
      <c r="N3054" s="7">
        <v>131880000</v>
      </c>
      <c r="O3054" s="7">
        <v>83009650</v>
      </c>
      <c r="P3054" s="7">
        <v>0</v>
      </c>
      <c r="Q3054" s="7" t="str">
        <f t="shared" si="1066"/>
        <v>都市整備部</v>
      </c>
      <c r="R3054" s="7" t="str">
        <f t="shared" si="1063"/>
        <v>住宅建築局住宅経営室</v>
      </c>
    </row>
    <row r="3055" spans="1:18" s="1" customFormat="1" x14ac:dyDescent="0.45">
      <c r="A3055" s="7" t="str">
        <f t="shared" si="1070"/>
        <v>09940003383</v>
      </c>
      <c r="B3055" s="7" t="str">
        <f t="shared" si="1071"/>
        <v>交野梅が枝</v>
      </c>
      <c r="C3055" s="7" t="str">
        <f t="shared" si="1064"/>
        <v>行政財産</v>
      </c>
      <c r="D3055" s="7" t="str">
        <f t="shared" si="1065"/>
        <v>公営住宅</v>
      </c>
      <c r="E3055" s="7" t="str">
        <f t="shared" si="1072"/>
        <v>大阪府交野市梅が枝</v>
      </c>
      <c r="F3055" s="7"/>
      <c r="G3055" s="7" t="str">
        <f t="shared" si="1062"/>
        <v>事業用資産</v>
      </c>
      <c r="H3055" s="7" t="str">
        <f t="shared" si="1052"/>
        <v>棚卸以外</v>
      </c>
      <c r="I3055" s="7">
        <v>13</v>
      </c>
      <c r="J3055" s="7" t="str">
        <f>"２４号棟増築分"</f>
        <v>２４号棟増築分</v>
      </c>
      <c r="K3055" s="7" t="str">
        <f t="shared" si="1060"/>
        <v>鉄筋コンクリート造</v>
      </c>
      <c r="L3055" s="7" t="str">
        <f t="shared" si="1073"/>
        <v>H05.08.30</v>
      </c>
      <c r="M3055" s="7">
        <v>1492.15</v>
      </c>
      <c r="N3055" s="7">
        <v>289681000</v>
      </c>
      <c r="O3055" s="7">
        <v>182334745</v>
      </c>
      <c r="P3055" s="7">
        <v>0</v>
      </c>
      <c r="Q3055" s="7" t="str">
        <f t="shared" si="1066"/>
        <v>都市整備部</v>
      </c>
      <c r="R3055" s="7" t="str">
        <f t="shared" si="1063"/>
        <v>住宅建築局住宅経営室</v>
      </c>
    </row>
    <row r="3056" spans="1:18" s="1" customFormat="1" x14ac:dyDescent="0.45">
      <c r="A3056" s="7" t="str">
        <f t="shared" si="1070"/>
        <v>09940003383</v>
      </c>
      <c r="B3056" s="7" t="str">
        <f t="shared" si="1071"/>
        <v>交野梅が枝</v>
      </c>
      <c r="C3056" s="7" t="str">
        <f t="shared" si="1064"/>
        <v>行政財産</v>
      </c>
      <c r="D3056" s="7" t="str">
        <f t="shared" si="1065"/>
        <v>公営住宅</v>
      </c>
      <c r="E3056" s="7" t="str">
        <f t="shared" si="1072"/>
        <v>大阪府交野市梅が枝</v>
      </c>
      <c r="F3056" s="7"/>
      <c r="G3056" s="7" t="str">
        <f t="shared" si="1062"/>
        <v>事業用資産</v>
      </c>
      <c r="H3056" s="7" t="str">
        <f t="shared" si="1052"/>
        <v>棚卸以外</v>
      </c>
      <c r="I3056" s="7">
        <v>14</v>
      </c>
      <c r="J3056" s="7" t="str">
        <f>"２６号棟増築分"</f>
        <v>２６号棟増築分</v>
      </c>
      <c r="K3056" s="7" t="str">
        <f t="shared" si="1060"/>
        <v>鉄筋コンクリート造</v>
      </c>
      <c r="L3056" s="7" t="str">
        <f t="shared" si="1073"/>
        <v>H05.08.30</v>
      </c>
      <c r="M3056" s="7">
        <v>746.05</v>
      </c>
      <c r="N3056" s="7">
        <v>145136000</v>
      </c>
      <c r="O3056" s="7">
        <v>91353570</v>
      </c>
      <c r="P3056" s="7">
        <v>0</v>
      </c>
      <c r="Q3056" s="7" t="str">
        <f t="shared" si="1066"/>
        <v>都市整備部</v>
      </c>
      <c r="R3056" s="7" t="str">
        <f t="shared" si="1063"/>
        <v>住宅建築局住宅経営室</v>
      </c>
    </row>
    <row r="3057" spans="1:18" s="1" customFormat="1" x14ac:dyDescent="0.45">
      <c r="A3057" s="7" t="str">
        <f t="shared" si="1070"/>
        <v>09940003383</v>
      </c>
      <c r="B3057" s="7" t="str">
        <f t="shared" si="1071"/>
        <v>交野梅が枝</v>
      </c>
      <c r="C3057" s="7" t="str">
        <f t="shared" si="1064"/>
        <v>行政財産</v>
      </c>
      <c r="D3057" s="7" t="str">
        <f t="shared" si="1065"/>
        <v>公営住宅</v>
      </c>
      <c r="E3057" s="7" t="str">
        <f t="shared" si="1072"/>
        <v>大阪府交野市梅が枝</v>
      </c>
      <c r="F3057" s="7"/>
      <c r="G3057" s="7" t="str">
        <f t="shared" si="1062"/>
        <v>事業用資産</v>
      </c>
      <c r="H3057" s="7" t="str">
        <f t="shared" si="1052"/>
        <v>棚卸以外</v>
      </c>
      <c r="I3057" s="7">
        <v>15</v>
      </c>
      <c r="J3057" s="7" t="str">
        <f>"４２号棟増築分"</f>
        <v>４２号棟増築分</v>
      </c>
      <c r="K3057" s="7" t="str">
        <f t="shared" si="1060"/>
        <v>鉄筋コンクリート造</v>
      </c>
      <c r="L3057" s="7" t="str">
        <f t="shared" si="1073"/>
        <v>H05.08.30</v>
      </c>
      <c r="M3057" s="7">
        <v>372.15</v>
      </c>
      <c r="N3057" s="7">
        <v>77231000</v>
      </c>
      <c r="O3057" s="7">
        <v>48611925</v>
      </c>
      <c r="P3057" s="7">
        <v>0</v>
      </c>
      <c r="Q3057" s="7" t="str">
        <f t="shared" si="1066"/>
        <v>都市整備部</v>
      </c>
      <c r="R3057" s="7" t="str">
        <f t="shared" si="1063"/>
        <v>住宅建築局住宅経営室</v>
      </c>
    </row>
    <row r="3058" spans="1:18" s="1" customFormat="1" x14ac:dyDescent="0.45">
      <c r="A3058" s="7" t="str">
        <f t="shared" si="1070"/>
        <v>09940003383</v>
      </c>
      <c r="B3058" s="7" t="str">
        <f t="shared" si="1071"/>
        <v>交野梅が枝</v>
      </c>
      <c r="C3058" s="7" t="str">
        <f t="shared" si="1064"/>
        <v>行政財産</v>
      </c>
      <c r="D3058" s="7" t="str">
        <f t="shared" si="1065"/>
        <v>公営住宅</v>
      </c>
      <c r="E3058" s="7" t="str">
        <f t="shared" si="1072"/>
        <v>大阪府交野市梅が枝</v>
      </c>
      <c r="F3058" s="7"/>
      <c r="G3058" s="7" t="str">
        <f t="shared" si="1062"/>
        <v>事業用資産</v>
      </c>
      <c r="H3058" s="7" t="str">
        <f t="shared" si="1052"/>
        <v>棚卸以外</v>
      </c>
      <c r="I3058" s="7">
        <v>16</v>
      </c>
      <c r="J3058" s="7" t="str">
        <f>"４３号棟増築分"</f>
        <v>４３号棟増築分</v>
      </c>
      <c r="K3058" s="7" t="str">
        <f t="shared" si="1060"/>
        <v>鉄筋コンクリート造</v>
      </c>
      <c r="L3058" s="7" t="str">
        <f t="shared" si="1073"/>
        <v>H05.08.30</v>
      </c>
      <c r="M3058" s="7">
        <v>969.2</v>
      </c>
      <c r="N3058" s="7">
        <v>173271000</v>
      </c>
      <c r="O3058" s="7">
        <v>109062745</v>
      </c>
      <c r="P3058" s="7">
        <v>0</v>
      </c>
      <c r="Q3058" s="7" t="str">
        <f t="shared" si="1066"/>
        <v>都市整備部</v>
      </c>
      <c r="R3058" s="7" t="str">
        <f t="shared" si="1063"/>
        <v>住宅建築局住宅経営室</v>
      </c>
    </row>
    <row r="3059" spans="1:18" s="1" customFormat="1" x14ac:dyDescent="0.45">
      <c r="A3059" s="7" t="str">
        <f t="shared" si="1070"/>
        <v>09940003383</v>
      </c>
      <c r="B3059" s="7" t="str">
        <f t="shared" si="1071"/>
        <v>交野梅が枝</v>
      </c>
      <c r="C3059" s="7" t="str">
        <f t="shared" si="1064"/>
        <v>行政財産</v>
      </c>
      <c r="D3059" s="7" t="str">
        <f t="shared" si="1065"/>
        <v>公営住宅</v>
      </c>
      <c r="E3059" s="7" t="str">
        <f t="shared" si="1072"/>
        <v>大阪府交野市梅が枝</v>
      </c>
      <c r="F3059" s="7"/>
      <c r="G3059" s="7" t="str">
        <f t="shared" si="1062"/>
        <v>事業用資産</v>
      </c>
      <c r="H3059" s="7" t="str">
        <f t="shared" si="1052"/>
        <v>棚卸以外</v>
      </c>
      <c r="I3059" s="7">
        <v>17</v>
      </c>
      <c r="J3059" s="7" t="str">
        <f>"４４号棟増築分"</f>
        <v>４４号棟増築分</v>
      </c>
      <c r="K3059" s="7" t="str">
        <f t="shared" si="1060"/>
        <v>鉄筋コンクリート造</v>
      </c>
      <c r="L3059" s="7" t="str">
        <f t="shared" si="1073"/>
        <v>H05.08.30</v>
      </c>
      <c r="M3059" s="7">
        <v>518.79999999999995</v>
      </c>
      <c r="N3059" s="7">
        <v>84951000</v>
      </c>
      <c r="O3059" s="7">
        <v>53471165</v>
      </c>
      <c r="P3059" s="7">
        <v>0</v>
      </c>
      <c r="Q3059" s="7" t="str">
        <f t="shared" si="1066"/>
        <v>都市整備部</v>
      </c>
      <c r="R3059" s="7" t="str">
        <f t="shared" si="1063"/>
        <v>住宅建築局住宅経営室</v>
      </c>
    </row>
    <row r="3060" spans="1:18" s="1" customFormat="1" x14ac:dyDescent="0.45">
      <c r="A3060" s="7" t="str">
        <f t="shared" si="1070"/>
        <v>09940003383</v>
      </c>
      <c r="B3060" s="7" t="str">
        <f t="shared" si="1071"/>
        <v>交野梅が枝</v>
      </c>
      <c r="C3060" s="7" t="str">
        <f t="shared" si="1064"/>
        <v>行政財産</v>
      </c>
      <c r="D3060" s="7" t="str">
        <f t="shared" si="1065"/>
        <v>公営住宅</v>
      </c>
      <c r="E3060" s="7" t="str">
        <f t="shared" si="1072"/>
        <v>大阪府交野市梅が枝</v>
      </c>
      <c r="F3060" s="7"/>
      <c r="G3060" s="7" t="str">
        <f t="shared" si="1062"/>
        <v>事業用資産</v>
      </c>
      <c r="H3060" s="7" t="str">
        <f t="shared" si="1052"/>
        <v>棚卸以外</v>
      </c>
      <c r="I3060" s="7">
        <v>18</v>
      </c>
      <c r="J3060" s="7" t="str">
        <f>"２８号棟増築分"</f>
        <v>２８号棟増築分</v>
      </c>
      <c r="K3060" s="7" t="str">
        <f t="shared" ref="K3060:K3091" si="1074">"鉄筋コンクリート造"</f>
        <v>鉄筋コンクリート造</v>
      </c>
      <c r="L3060" s="7" t="str">
        <f>"H06.03.22"</f>
        <v>H06.03.22</v>
      </c>
      <c r="M3060" s="7">
        <v>547.85</v>
      </c>
      <c r="N3060" s="7">
        <v>132701000</v>
      </c>
      <c r="O3060" s="7">
        <v>81879528</v>
      </c>
      <c r="P3060" s="7">
        <v>0</v>
      </c>
      <c r="Q3060" s="7" t="str">
        <f t="shared" si="1066"/>
        <v>都市整備部</v>
      </c>
      <c r="R3060" s="7" t="str">
        <f t="shared" si="1063"/>
        <v>住宅建築局住宅経営室</v>
      </c>
    </row>
    <row r="3061" spans="1:18" s="1" customFormat="1" x14ac:dyDescent="0.45">
      <c r="A3061" s="7" t="str">
        <f t="shared" si="1070"/>
        <v>09940003383</v>
      </c>
      <c r="B3061" s="7" t="str">
        <f t="shared" si="1071"/>
        <v>交野梅が枝</v>
      </c>
      <c r="C3061" s="7" t="str">
        <f t="shared" si="1064"/>
        <v>行政財産</v>
      </c>
      <c r="D3061" s="7" t="str">
        <f t="shared" si="1065"/>
        <v>公営住宅</v>
      </c>
      <c r="E3061" s="7" t="str">
        <f t="shared" si="1072"/>
        <v>大阪府交野市梅が枝</v>
      </c>
      <c r="F3061" s="7"/>
      <c r="G3061" s="7" t="str">
        <f t="shared" si="1062"/>
        <v>事業用資産</v>
      </c>
      <c r="H3061" s="7" t="str">
        <f t="shared" si="1052"/>
        <v>棚卸以外</v>
      </c>
      <c r="I3061" s="7">
        <v>19</v>
      </c>
      <c r="J3061" s="7" t="str">
        <f>"２９号棟増築分"</f>
        <v>２９号棟増築分</v>
      </c>
      <c r="K3061" s="7" t="str">
        <f t="shared" si="1074"/>
        <v>鉄筋コンクリート造</v>
      </c>
      <c r="L3061" s="7" t="str">
        <f>"H06.03.22"</f>
        <v>H06.03.22</v>
      </c>
      <c r="M3061" s="7">
        <v>671.85</v>
      </c>
      <c r="N3061" s="7">
        <v>136643000</v>
      </c>
      <c r="O3061" s="7">
        <v>84311700</v>
      </c>
      <c r="P3061" s="7">
        <v>0</v>
      </c>
      <c r="Q3061" s="7" t="str">
        <f t="shared" si="1066"/>
        <v>都市整備部</v>
      </c>
      <c r="R3061" s="7" t="str">
        <f t="shared" si="1063"/>
        <v>住宅建築局住宅経営室</v>
      </c>
    </row>
    <row r="3062" spans="1:18" s="1" customFormat="1" x14ac:dyDescent="0.45">
      <c r="A3062" s="7" t="str">
        <f t="shared" si="1070"/>
        <v>09940003383</v>
      </c>
      <c r="B3062" s="7" t="str">
        <f t="shared" si="1071"/>
        <v>交野梅が枝</v>
      </c>
      <c r="C3062" s="7" t="str">
        <f t="shared" si="1064"/>
        <v>行政財産</v>
      </c>
      <c r="D3062" s="7" t="str">
        <f t="shared" si="1065"/>
        <v>公営住宅</v>
      </c>
      <c r="E3062" s="7" t="str">
        <f t="shared" si="1072"/>
        <v>大阪府交野市梅が枝</v>
      </c>
      <c r="F3062" s="7"/>
      <c r="G3062" s="7" t="str">
        <f t="shared" si="1062"/>
        <v>事業用資産</v>
      </c>
      <c r="H3062" s="7" t="str">
        <f t="shared" si="1052"/>
        <v>棚卸以外</v>
      </c>
      <c r="I3062" s="7">
        <v>20</v>
      </c>
      <c r="J3062" s="7" t="str">
        <f>"３５号棟増築分"</f>
        <v>３５号棟増築分</v>
      </c>
      <c r="K3062" s="7" t="str">
        <f t="shared" si="1074"/>
        <v>鉄筋コンクリート造</v>
      </c>
      <c r="L3062" s="7" t="str">
        <f>"H06.03.22"</f>
        <v>H06.03.22</v>
      </c>
      <c r="M3062" s="7">
        <v>484.6</v>
      </c>
      <c r="N3062" s="7">
        <v>86882000</v>
      </c>
      <c r="O3062" s="7">
        <v>53608356</v>
      </c>
      <c r="P3062" s="7">
        <v>0</v>
      </c>
      <c r="Q3062" s="7" t="str">
        <f t="shared" si="1066"/>
        <v>都市整備部</v>
      </c>
      <c r="R3062" s="7" t="str">
        <f t="shared" si="1063"/>
        <v>住宅建築局住宅経営室</v>
      </c>
    </row>
    <row r="3063" spans="1:18" s="1" customFormat="1" x14ac:dyDescent="0.45">
      <c r="A3063" s="7" t="str">
        <f t="shared" si="1070"/>
        <v>09940003383</v>
      </c>
      <c r="B3063" s="7" t="str">
        <f t="shared" si="1071"/>
        <v>交野梅が枝</v>
      </c>
      <c r="C3063" s="7" t="str">
        <f t="shared" si="1064"/>
        <v>行政財産</v>
      </c>
      <c r="D3063" s="7" t="str">
        <f t="shared" si="1065"/>
        <v>公営住宅</v>
      </c>
      <c r="E3063" s="7" t="str">
        <f t="shared" si="1072"/>
        <v>大阪府交野市梅が枝</v>
      </c>
      <c r="F3063" s="7"/>
      <c r="G3063" s="7" t="str">
        <f t="shared" si="1062"/>
        <v>事業用資産</v>
      </c>
      <c r="H3063" s="7" t="str">
        <f t="shared" si="1052"/>
        <v>棚卸以外</v>
      </c>
      <c r="I3063" s="7">
        <v>21</v>
      </c>
      <c r="J3063" s="7" t="str">
        <f>"３６号棟増築分"</f>
        <v>３６号棟増築分</v>
      </c>
      <c r="K3063" s="7" t="str">
        <f t="shared" si="1074"/>
        <v>鉄筋コンクリート造</v>
      </c>
      <c r="L3063" s="7" t="str">
        <f>"H06.03.22"</f>
        <v>H06.03.22</v>
      </c>
      <c r="M3063" s="7">
        <v>506.9</v>
      </c>
      <c r="N3063" s="7">
        <v>115251000</v>
      </c>
      <c r="O3063" s="7">
        <v>71112408</v>
      </c>
      <c r="P3063" s="7">
        <v>0</v>
      </c>
      <c r="Q3063" s="7" t="str">
        <f t="shared" si="1066"/>
        <v>都市整備部</v>
      </c>
      <c r="R3063" s="7" t="str">
        <f t="shared" si="1063"/>
        <v>住宅建築局住宅経営室</v>
      </c>
    </row>
    <row r="3064" spans="1:18" s="1" customFormat="1" x14ac:dyDescent="0.45">
      <c r="A3064" s="7" t="str">
        <f t="shared" si="1070"/>
        <v>09940003383</v>
      </c>
      <c r="B3064" s="7" t="str">
        <f t="shared" si="1071"/>
        <v>交野梅が枝</v>
      </c>
      <c r="C3064" s="7" t="str">
        <f t="shared" si="1064"/>
        <v>行政財産</v>
      </c>
      <c r="D3064" s="7" t="str">
        <f t="shared" si="1065"/>
        <v>公営住宅</v>
      </c>
      <c r="E3064" s="7" t="str">
        <f t="shared" si="1072"/>
        <v>大阪府交野市梅が枝</v>
      </c>
      <c r="F3064" s="7"/>
      <c r="G3064" s="7" t="str">
        <f t="shared" si="1062"/>
        <v>事業用資産</v>
      </c>
      <c r="H3064" s="7" t="str">
        <f t="shared" si="1052"/>
        <v>棚卸以外</v>
      </c>
      <c r="I3064" s="7">
        <v>22</v>
      </c>
      <c r="J3064" s="7" t="str">
        <f>"３９号棟増築分"</f>
        <v>３９号棟増築分</v>
      </c>
      <c r="K3064" s="7" t="str">
        <f t="shared" si="1074"/>
        <v>鉄筋コンクリート造</v>
      </c>
      <c r="L3064" s="7" t="str">
        <f>"H06.03.22"</f>
        <v>H06.03.22</v>
      </c>
      <c r="M3064" s="7">
        <v>895.85</v>
      </c>
      <c r="N3064" s="7">
        <v>717396000</v>
      </c>
      <c r="O3064" s="7">
        <v>442648692</v>
      </c>
      <c r="P3064" s="7">
        <v>0</v>
      </c>
      <c r="Q3064" s="7" t="str">
        <f t="shared" si="1066"/>
        <v>都市整備部</v>
      </c>
      <c r="R3064" s="7" t="str">
        <f t="shared" si="1063"/>
        <v>住宅建築局住宅経営室</v>
      </c>
    </row>
    <row r="3065" spans="1:18" s="1" customFormat="1" x14ac:dyDescent="0.45">
      <c r="A3065" s="7" t="str">
        <f t="shared" si="1070"/>
        <v>09940003383</v>
      </c>
      <c r="B3065" s="7" t="str">
        <f t="shared" si="1071"/>
        <v>交野梅が枝</v>
      </c>
      <c r="C3065" s="7" t="str">
        <f t="shared" si="1064"/>
        <v>行政財産</v>
      </c>
      <c r="D3065" s="7" t="str">
        <f t="shared" si="1065"/>
        <v>公営住宅</v>
      </c>
      <c r="E3065" s="7" t="str">
        <f t="shared" si="1072"/>
        <v>大阪府交野市梅が枝</v>
      </c>
      <c r="F3065" s="7"/>
      <c r="G3065" s="7" t="str">
        <f t="shared" si="1062"/>
        <v>事業用資産</v>
      </c>
      <c r="H3065" s="7" t="str">
        <f t="shared" si="1052"/>
        <v>棚卸以外</v>
      </c>
      <c r="I3065" s="7">
        <v>23</v>
      </c>
      <c r="J3065" s="7" t="str">
        <f>"３７号棟増築分"</f>
        <v>３７号棟増築分</v>
      </c>
      <c r="K3065" s="7" t="str">
        <f t="shared" si="1074"/>
        <v>鉄筋コンクリート造</v>
      </c>
      <c r="L3065" s="7" t="str">
        <f>"H04.09.01"</f>
        <v>H04.09.01</v>
      </c>
      <c r="M3065" s="7">
        <v>655.65</v>
      </c>
      <c r="N3065" s="7">
        <v>130733000</v>
      </c>
      <c r="O3065" s="7">
        <v>84837702</v>
      </c>
      <c r="P3065" s="7">
        <v>0</v>
      </c>
      <c r="Q3065" s="7" t="str">
        <f t="shared" si="1066"/>
        <v>都市整備部</v>
      </c>
      <c r="R3065" s="7" t="str">
        <f t="shared" si="1063"/>
        <v>住宅建築局住宅経営室</v>
      </c>
    </row>
    <row r="3066" spans="1:18" s="1" customFormat="1" x14ac:dyDescent="0.45">
      <c r="A3066" s="7" t="str">
        <f>"09940003388"</f>
        <v>09940003388</v>
      </c>
      <c r="B3066" s="7" t="str">
        <f>"藤井寺小山西"</f>
        <v>藤井寺小山西</v>
      </c>
      <c r="C3066" s="7" t="str">
        <f t="shared" si="1064"/>
        <v>行政財産</v>
      </c>
      <c r="D3066" s="7" t="str">
        <f t="shared" si="1065"/>
        <v>公営住宅</v>
      </c>
      <c r="E3066" s="7" t="str">
        <f>"大阪府藤井寺市小山２丁目"</f>
        <v>大阪府藤井寺市小山２丁目</v>
      </c>
      <c r="F3066" s="7"/>
      <c r="G3066" s="7" t="str">
        <f t="shared" si="1062"/>
        <v>事業用資産</v>
      </c>
      <c r="H3066" s="7" t="str">
        <f t="shared" si="1052"/>
        <v>棚卸以外</v>
      </c>
      <c r="I3066" s="7">
        <v>1</v>
      </c>
      <c r="J3066" s="7" t="str">
        <f>"１号棟"</f>
        <v>１号棟</v>
      </c>
      <c r="K3066" s="7" t="str">
        <f t="shared" si="1074"/>
        <v>鉄筋コンクリート造</v>
      </c>
      <c r="L3066" s="7" t="str">
        <f>"H09.10.30"</f>
        <v>H09.10.30</v>
      </c>
      <c r="M3066" s="7">
        <v>4448.29</v>
      </c>
      <c r="N3066" s="7">
        <v>1165170124</v>
      </c>
      <c r="O3066" s="7">
        <v>629548170</v>
      </c>
      <c r="P3066" s="7">
        <v>0</v>
      </c>
      <c r="Q3066" s="7" t="str">
        <f t="shared" si="1066"/>
        <v>都市整備部</v>
      </c>
      <c r="R3066" s="7" t="str">
        <f t="shared" si="1063"/>
        <v>住宅建築局住宅経営室</v>
      </c>
    </row>
    <row r="3067" spans="1:18" s="1" customFormat="1" x14ac:dyDescent="0.45">
      <c r="A3067" s="7" t="str">
        <f>"09940003388"</f>
        <v>09940003388</v>
      </c>
      <c r="B3067" s="7" t="str">
        <f>"藤井寺小山西"</f>
        <v>藤井寺小山西</v>
      </c>
      <c r="C3067" s="7" t="str">
        <f t="shared" si="1064"/>
        <v>行政財産</v>
      </c>
      <c r="D3067" s="7" t="str">
        <f t="shared" si="1065"/>
        <v>公営住宅</v>
      </c>
      <c r="E3067" s="7" t="str">
        <f>"大阪府藤井寺市小山２丁目"</f>
        <v>大阪府藤井寺市小山２丁目</v>
      </c>
      <c r="F3067" s="7"/>
      <c r="G3067" s="7" t="str">
        <f t="shared" si="1062"/>
        <v>事業用資産</v>
      </c>
      <c r="H3067" s="7" t="str">
        <f t="shared" si="1052"/>
        <v>棚卸以外</v>
      </c>
      <c r="I3067" s="7">
        <v>2</v>
      </c>
      <c r="J3067" s="7" t="str">
        <f>"２・３号棟"</f>
        <v>２・３号棟</v>
      </c>
      <c r="K3067" s="7" t="str">
        <f t="shared" si="1074"/>
        <v>鉄筋コンクリート造</v>
      </c>
      <c r="L3067" s="7" t="str">
        <f>"H09.10.30"</f>
        <v>H09.10.30</v>
      </c>
      <c r="M3067" s="7">
        <v>5510.51</v>
      </c>
      <c r="N3067" s="7">
        <v>957582023</v>
      </c>
      <c r="O3067" s="7">
        <v>517432000</v>
      </c>
      <c r="P3067" s="7">
        <v>0</v>
      </c>
      <c r="Q3067" s="7" t="str">
        <f t="shared" si="1066"/>
        <v>都市整備部</v>
      </c>
      <c r="R3067" s="7" t="str">
        <f t="shared" si="1063"/>
        <v>住宅建築局住宅経営室</v>
      </c>
    </row>
    <row r="3068" spans="1:18" s="1" customFormat="1" x14ac:dyDescent="0.45">
      <c r="A3068" s="7" t="str">
        <f>"09940003388"</f>
        <v>09940003388</v>
      </c>
      <c r="B3068" s="7" t="str">
        <f>"藤井寺小山西"</f>
        <v>藤井寺小山西</v>
      </c>
      <c r="C3068" s="7" t="str">
        <f t="shared" si="1064"/>
        <v>行政財産</v>
      </c>
      <c r="D3068" s="7" t="str">
        <f t="shared" si="1065"/>
        <v>公営住宅</v>
      </c>
      <c r="E3068" s="7" t="str">
        <f>"大阪府藤井寺市小山２丁目"</f>
        <v>大阪府藤井寺市小山２丁目</v>
      </c>
      <c r="F3068" s="7"/>
      <c r="G3068" s="7" t="str">
        <f t="shared" si="1062"/>
        <v>事業用資産</v>
      </c>
      <c r="H3068" s="7" t="str">
        <f t="shared" si="1052"/>
        <v>棚卸以外</v>
      </c>
      <c r="I3068" s="7">
        <v>3</v>
      </c>
      <c r="J3068" s="7" t="str">
        <f>"受水槽・ポンプ室・電気室"</f>
        <v>受水槽・ポンプ室・電気室</v>
      </c>
      <c r="K3068" s="7" t="str">
        <f t="shared" si="1074"/>
        <v>鉄筋コンクリート造</v>
      </c>
      <c r="L3068" s="7" t="str">
        <f>"H09.10.30"</f>
        <v>H09.10.30</v>
      </c>
      <c r="M3068" s="7">
        <v>116.2</v>
      </c>
      <c r="N3068" s="7">
        <v>32641000</v>
      </c>
      <c r="O3068" s="7">
        <v>17651875</v>
      </c>
      <c r="P3068" s="7">
        <v>0</v>
      </c>
      <c r="Q3068" s="7" t="str">
        <f t="shared" si="1066"/>
        <v>都市整備部</v>
      </c>
      <c r="R3068" s="7" t="str">
        <f t="shared" si="1063"/>
        <v>住宅建築局住宅経営室</v>
      </c>
    </row>
    <row r="3069" spans="1:18" s="1" customFormat="1" x14ac:dyDescent="0.45">
      <c r="A3069" s="7" t="str">
        <f>"09940003388"</f>
        <v>09940003388</v>
      </c>
      <c r="B3069" s="7" t="str">
        <f>"藤井寺小山西"</f>
        <v>藤井寺小山西</v>
      </c>
      <c r="C3069" s="7" t="str">
        <f t="shared" si="1064"/>
        <v>行政財産</v>
      </c>
      <c r="D3069" s="7" t="str">
        <f t="shared" si="1065"/>
        <v>公営住宅</v>
      </c>
      <c r="E3069" s="7" t="str">
        <f>"大阪府藤井寺市小山２丁目"</f>
        <v>大阪府藤井寺市小山２丁目</v>
      </c>
      <c r="F3069" s="7"/>
      <c r="G3069" s="7" t="str">
        <f t="shared" si="1062"/>
        <v>事業用資産</v>
      </c>
      <c r="H3069" s="7" t="str">
        <f t="shared" si="1052"/>
        <v>棚卸以外</v>
      </c>
      <c r="I3069" s="7">
        <v>4</v>
      </c>
      <c r="J3069" s="7" t="str">
        <f>"浄化槽"</f>
        <v>浄化槽</v>
      </c>
      <c r="K3069" s="7" t="str">
        <f t="shared" si="1074"/>
        <v>鉄筋コンクリート造</v>
      </c>
      <c r="L3069" s="7" t="str">
        <f>"H09.10.30"</f>
        <v>H09.10.30</v>
      </c>
      <c r="M3069" s="7">
        <v>154.96</v>
      </c>
      <c r="N3069" s="7">
        <v>157599000</v>
      </c>
      <c r="O3069" s="7">
        <v>85226455</v>
      </c>
      <c r="P3069" s="7">
        <v>0</v>
      </c>
      <c r="Q3069" s="7" t="str">
        <f t="shared" si="1066"/>
        <v>都市整備部</v>
      </c>
      <c r="R3069" s="7" t="str">
        <f t="shared" si="1063"/>
        <v>住宅建築局住宅経営室</v>
      </c>
    </row>
    <row r="3070" spans="1:18" s="1" customFormat="1" x14ac:dyDescent="0.45">
      <c r="A3070" s="7" t="str">
        <f>"09940003388"</f>
        <v>09940003388</v>
      </c>
      <c r="B3070" s="7" t="str">
        <f>"藤井寺小山西"</f>
        <v>藤井寺小山西</v>
      </c>
      <c r="C3070" s="7" t="str">
        <f t="shared" si="1064"/>
        <v>行政財産</v>
      </c>
      <c r="D3070" s="7" t="str">
        <f t="shared" si="1065"/>
        <v>公営住宅</v>
      </c>
      <c r="E3070" s="7" t="str">
        <f>"大阪府藤井寺市小山２丁目"</f>
        <v>大阪府藤井寺市小山２丁目</v>
      </c>
      <c r="F3070" s="7"/>
      <c r="G3070" s="7" t="str">
        <f t="shared" si="1062"/>
        <v>事業用資産</v>
      </c>
      <c r="H3070" s="7" t="str">
        <f t="shared" si="1052"/>
        <v>棚卸以外</v>
      </c>
      <c r="I3070" s="7">
        <v>5</v>
      </c>
      <c r="J3070" s="7" t="str">
        <f>"集会所"</f>
        <v>集会所</v>
      </c>
      <c r="K3070" s="7" t="str">
        <f t="shared" si="1074"/>
        <v>鉄筋コンクリート造</v>
      </c>
      <c r="L3070" s="7" t="str">
        <f>"H09.10.30"</f>
        <v>H09.10.30</v>
      </c>
      <c r="M3070" s="7">
        <v>99.97</v>
      </c>
      <c r="N3070" s="7">
        <v>34737000</v>
      </c>
      <c r="O3070" s="7">
        <v>18785255</v>
      </c>
      <c r="P3070" s="7">
        <v>0</v>
      </c>
      <c r="Q3070" s="7" t="str">
        <f t="shared" si="1066"/>
        <v>都市整備部</v>
      </c>
      <c r="R3070" s="7" t="str">
        <f t="shared" si="1063"/>
        <v>住宅建築局住宅経営室</v>
      </c>
    </row>
    <row r="3071" spans="1:18" s="1" customFormat="1" x14ac:dyDescent="0.45">
      <c r="A3071" s="7" t="str">
        <f t="shared" ref="A3071:A3092" si="1075">"09940003389"</f>
        <v>09940003389</v>
      </c>
      <c r="B3071" s="7" t="str">
        <f t="shared" ref="B3071:B3092" si="1076">"八尾緑ヶ丘"</f>
        <v>八尾緑ヶ丘</v>
      </c>
      <c r="C3071" s="7" t="str">
        <f t="shared" si="1064"/>
        <v>行政財産</v>
      </c>
      <c r="D3071" s="7" t="str">
        <f t="shared" si="1065"/>
        <v>公営住宅</v>
      </c>
      <c r="E3071" s="7" t="str">
        <f t="shared" ref="E3071:E3092" si="1077">"大阪府八尾市緑ヶ丘２丁目"</f>
        <v>大阪府八尾市緑ヶ丘２丁目</v>
      </c>
      <c r="F3071" s="7"/>
      <c r="G3071" s="7" t="str">
        <f t="shared" si="1062"/>
        <v>事業用資産</v>
      </c>
      <c r="H3071" s="7" t="str">
        <f t="shared" si="1052"/>
        <v>棚卸以外</v>
      </c>
      <c r="I3071" s="7">
        <v>1</v>
      </c>
      <c r="J3071" s="7" t="str">
        <f>"１号棟"</f>
        <v>１号棟</v>
      </c>
      <c r="K3071" s="7" t="str">
        <f t="shared" si="1074"/>
        <v>鉄筋コンクリート造</v>
      </c>
      <c r="L3071" s="7" t="str">
        <f>"S58.06.30"</f>
        <v>S58.06.30</v>
      </c>
      <c r="M3071" s="7">
        <v>1235.72</v>
      </c>
      <c r="N3071" s="7">
        <v>139088000</v>
      </c>
      <c r="O3071" s="7">
        <v>117632970</v>
      </c>
      <c r="P3071" s="7">
        <v>0</v>
      </c>
      <c r="Q3071" s="7" t="str">
        <f t="shared" si="1066"/>
        <v>都市整備部</v>
      </c>
      <c r="R3071" s="7" t="str">
        <f t="shared" si="1063"/>
        <v>住宅建築局住宅経営室</v>
      </c>
    </row>
    <row r="3072" spans="1:18" s="1" customFormat="1" x14ac:dyDescent="0.45">
      <c r="A3072" s="7" t="str">
        <f t="shared" si="1075"/>
        <v>09940003389</v>
      </c>
      <c r="B3072" s="7" t="str">
        <f t="shared" si="1076"/>
        <v>八尾緑ヶ丘</v>
      </c>
      <c r="C3072" s="7" t="str">
        <f t="shared" si="1064"/>
        <v>行政財産</v>
      </c>
      <c r="D3072" s="7" t="str">
        <f t="shared" si="1065"/>
        <v>公営住宅</v>
      </c>
      <c r="E3072" s="7" t="str">
        <f t="shared" si="1077"/>
        <v>大阪府八尾市緑ヶ丘２丁目</v>
      </c>
      <c r="F3072" s="7"/>
      <c r="G3072" s="7" t="str">
        <f t="shared" si="1062"/>
        <v>事業用資産</v>
      </c>
      <c r="H3072" s="7" t="str">
        <f t="shared" si="1052"/>
        <v>棚卸以外</v>
      </c>
      <c r="I3072" s="7">
        <v>2</v>
      </c>
      <c r="J3072" s="7" t="str">
        <f>"２号棟"</f>
        <v>２号棟</v>
      </c>
      <c r="K3072" s="7" t="str">
        <f t="shared" si="1074"/>
        <v>鉄筋コンクリート造</v>
      </c>
      <c r="L3072" s="7" t="str">
        <f>"S58.06.30"</f>
        <v>S58.06.30</v>
      </c>
      <c r="M3072" s="7">
        <v>2039.12</v>
      </c>
      <c r="N3072" s="7">
        <v>262963200</v>
      </c>
      <c r="O3072" s="7">
        <v>221774949</v>
      </c>
      <c r="P3072" s="7">
        <v>0</v>
      </c>
      <c r="Q3072" s="7" t="str">
        <f t="shared" si="1066"/>
        <v>都市整備部</v>
      </c>
      <c r="R3072" s="7" t="str">
        <f t="shared" si="1063"/>
        <v>住宅建築局住宅経営室</v>
      </c>
    </row>
    <row r="3073" spans="1:18" s="1" customFormat="1" x14ac:dyDescent="0.45">
      <c r="A3073" s="7" t="str">
        <f t="shared" si="1075"/>
        <v>09940003389</v>
      </c>
      <c r="B3073" s="7" t="str">
        <f t="shared" si="1076"/>
        <v>八尾緑ヶ丘</v>
      </c>
      <c r="C3073" s="7" t="str">
        <f t="shared" si="1064"/>
        <v>行政財産</v>
      </c>
      <c r="D3073" s="7" t="str">
        <f t="shared" si="1065"/>
        <v>公営住宅</v>
      </c>
      <c r="E3073" s="7" t="str">
        <f t="shared" si="1077"/>
        <v>大阪府八尾市緑ヶ丘２丁目</v>
      </c>
      <c r="F3073" s="7"/>
      <c r="G3073" s="7" t="str">
        <f t="shared" si="1062"/>
        <v>事業用資産</v>
      </c>
      <c r="H3073" s="7" t="str">
        <f t="shared" si="1052"/>
        <v>棚卸以外</v>
      </c>
      <c r="I3073" s="7">
        <v>3</v>
      </c>
      <c r="J3073" s="7" t="str">
        <f>"３号棟"</f>
        <v>３号棟</v>
      </c>
      <c r="K3073" s="7" t="str">
        <f t="shared" si="1074"/>
        <v>鉄筋コンクリート造</v>
      </c>
      <c r="L3073" s="7" t="str">
        <f>"S58.06.30"</f>
        <v>S58.06.30</v>
      </c>
      <c r="M3073" s="7">
        <v>1956.89</v>
      </c>
      <c r="N3073" s="7">
        <v>242098000</v>
      </c>
      <c r="O3073" s="7">
        <v>204753204</v>
      </c>
      <c r="P3073" s="7">
        <v>0</v>
      </c>
      <c r="Q3073" s="7" t="str">
        <f t="shared" si="1066"/>
        <v>都市整備部</v>
      </c>
      <c r="R3073" s="7" t="str">
        <f t="shared" si="1063"/>
        <v>住宅建築局住宅経営室</v>
      </c>
    </row>
    <row r="3074" spans="1:18" s="1" customFormat="1" x14ac:dyDescent="0.45">
      <c r="A3074" s="7" t="str">
        <f t="shared" si="1075"/>
        <v>09940003389</v>
      </c>
      <c r="B3074" s="7" t="str">
        <f t="shared" si="1076"/>
        <v>八尾緑ヶ丘</v>
      </c>
      <c r="C3074" s="7" t="str">
        <f t="shared" si="1064"/>
        <v>行政財産</v>
      </c>
      <c r="D3074" s="7" t="str">
        <f t="shared" si="1065"/>
        <v>公営住宅</v>
      </c>
      <c r="E3074" s="7" t="str">
        <f t="shared" si="1077"/>
        <v>大阪府八尾市緑ヶ丘２丁目</v>
      </c>
      <c r="F3074" s="7"/>
      <c r="G3074" s="7" t="str">
        <f t="shared" si="1062"/>
        <v>事業用資産</v>
      </c>
      <c r="H3074" s="7" t="str">
        <f t="shared" si="1052"/>
        <v>棚卸以外</v>
      </c>
      <c r="I3074" s="7">
        <v>4</v>
      </c>
      <c r="J3074" s="7" t="str">
        <f>"４号棟"</f>
        <v>４号棟</v>
      </c>
      <c r="K3074" s="7" t="str">
        <f t="shared" si="1074"/>
        <v>鉄筋コンクリート造</v>
      </c>
      <c r="L3074" s="7" t="str">
        <f>"S58.06.30"</f>
        <v>S58.06.30</v>
      </c>
      <c r="M3074" s="7">
        <v>1258.52</v>
      </c>
      <c r="N3074" s="7">
        <v>162492000</v>
      </c>
      <c r="O3074" s="7">
        <v>137427039</v>
      </c>
      <c r="P3074" s="7">
        <v>0</v>
      </c>
      <c r="Q3074" s="7" t="str">
        <f t="shared" si="1066"/>
        <v>都市整備部</v>
      </c>
      <c r="R3074" s="7" t="str">
        <f t="shared" si="1063"/>
        <v>住宅建築局住宅経営室</v>
      </c>
    </row>
    <row r="3075" spans="1:18" s="1" customFormat="1" x14ac:dyDescent="0.45">
      <c r="A3075" s="7" t="str">
        <f t="shared" si="1075"/>
        <v>09940003389</v>
      </c>
      <c r="B3075" s="7" t="str">
        <f t="shared" si="1076"/>
        <v>八尾緑ヶ丘</v>
      </c>
      <c r="C3075" s="7" t="str">
        <f t="shared" si="1064"/>
        <v>行政財産</v>
      </c>
      <c r="D3075" s="7" t="str">
        <f t="shared" si="1065"/>
        <v>公営住宅</v>
      </c>
      <c r="E3075" s="7" t="str">
        <f t="shared" si="1077"/>
        <v>大阪府八尾市緑ヶ丘２丁目</v>
      </c>
      <c r="F3075" s="7"/>
      <c r="G3075" s="7" t="str">
        <f t="shared" si="1062"/>
        <v>事業用資産</v>
      </c>
      <c r="H3075" s="7" t="str">
        <f t="shared" si="1052"/>
        <v>棚卸以外</v>
      </c>
      <c r="I3075" s="7">
        <v>5</v>
      </c>
      <c r="J3075" s="7" t="str">
        <f>"受水槽"</f>
        <v>受水槽</v>
      </c>
      <c r="K3075" s="7" t="str">
        <f t="shared" si="1074"/>
        <v>鉄筋コンクリート造</v>
      </c>
      <c r="L3075" s="7" t="str">
        <f>"S58.06.30"</f>
        <v>S58.06.30</v>
      </c>
      <c r="M3075" s="7">
        <v>60.4</v>
      </c>
      <c r="N3075" s="7">
        <v>15538000</v>
      </c>
      <c r="O3075" s="7">
        <v>13141350</v>
      </c>
      <c r="P3075" s="7">
        <v>0</v>
      </c>
      <c r="Q3075" s="7" t="str">
        <f t="shared" si="1066"/>
        <v>都市整備部</v>
      </c>
      <c r="R3075" s="7" t="str">
        <f t="shared" si="1063"/>
        <v>住宅建築局住宅経営室</v>
      </c>
    </row>
    <row r="3076" spans="1:18" s="1" customFormat="1" x14ac:dyDescent="0.45">
      <c r="A3076" s="7" t="str">
        <f t="shared" si="1075"/>
        <v>09940003389</v>
      </c>
      <c r="B3076" s="7" t="str">
        <f t="shared" si="1076"/>
        <v>八尾緑ヶ丘</v>
      </c>
      <c r="C3076" s="7" t="str">
        <f t="shared" si="1064"/>
        <v>行政財産</v>
      </c>
      <c r="D3076" s="7" t="str">
        <f t="shared" si="1065"/>
        <v>公営住宅</v>
      </c>
      <c r="E3076" s="7" t="str">
        <f t="shared" si="1077"/>
        <v>大阪府八尾市緑ヶ丘２丁目</v>
      </c>
      <c r="F3076" s="7"/>
      <c r="G3076" s="7" t="str">
        <f t="shared" si="1062"/>
        <v>事業用資産</v>
      </c>
      <c r="H3076" s="7" t="str">
        <f t="shared" ref="H3076:H3139" si="1078">"棚卸以外"</f>
        <v>棚卸以外</v>
      </c>
      <c r="I3076" s="7">
        <v>6</v>
      </c>
      <c r="J3076" s="7" t="str">
        <f>"５号棟"</f>
        <v>５号棟</v>
      </c>
      <c r="K3076" s="7" t="str">
        <f t="shared" si="1074"/>
        <v>鉄筋コンクリート造</v>
      </c>
      <c r="L3076" s="7" t="str">
        <f>"S60.03.18"</f>
        <v>S60.03.18</v>
      </c>
      <c r="M3076" s="7">
        <v>1248.46</v>
      </c>
      <c r="N3076" s="7">
        <v>144845400</v>
      </c>
      <c r="O3076" s="7">
        <v>116910192</v>
      </c>
      <c r="P3076" s="7">
        <v>0</v>
      </c>
      <c r="Q3076" s="7" t="str">
        <f t="shared" si="1066"/>
        <v>都市整備部</v>
      </c>
      <c r="R3076" s="7" t="str">
        <f t="shared" si="1063"/>
        <v>住宅建築局住宅経営室</v>
      </c>
    </row>
    <row r="3077" spans="1:18" s="1" customFormat="1" x14ac:dyDescent="0.45">
      <c r="A3077" s="7" t="str">
        <f t="shared" si="1075"/>
        <v>09940003389</v>
      </c>
      <c r="B3077" s="7" t="str">
        <f t="shared" si="1076"/>
        <v>八尾緑ヶ丘</v>
      </c>
      <c r="C3077" s="7" t="str">
        <f t="shared" si="1064"/>
        <v>行政財産</v>
      </c>
      <c r="D3077" s="7" t="str">
        <f t="shared" si="1065"/>
        <v>公営住宅</v>
      </c>
      <c r="E3077" s="7" t="str">
        <f t="shared" si="1077"/>
        <v>大阪府八尾市緑ヶ丘２丁目</v>
      </c>
      <c r="F3077" s="7"/>
      <c r="G3077" s="7" t="str">
        <f t="shared" si="1062"/>
        <v>事業用資産</v>
      </c>
      <c r="H3077" s="7" t="str">
        <f t="shared" si="1078"/>
        <v>棚卸以外</v>
      </c>
      <c r="I3077" s="7">
        <v>7</v>
      </c>
      <c r="J3077" s="7" t="str">
        <f>"６号棟"</f>
        <v>６号棟</v>
      </c>
      <c r="K3077" s="7" t="str">
        <f t="shared" si="1074"/>
        <v>鉄筋コンクリート造</v>
      </c>
      <c r="L3077" s="7" t="str">
        <f>"S60.03.18"</f>
        <v>S60.03.18</v>
      </c>
      <c r="M3077" s="7">
        <v>2039.12</v>
      </c>
      <c r="N3077" s="7">
        <v>260011400</v>
      </c>
      <c r="O3077" s="7">
        <v>210023112</v>
      </c>
      <c r="P3077" s="7">
        <v>0</v>
      </c>
      <c r="Q3077" s="7" t="str">
        <f t="shared" si="1066"/>
        <v>都市整備部</v>
      </c>
      <c r="R3077" s="7" t="str">
        <f t="shared" si="1063"/>
        <v>住宅建築局住宅経営室</v>
      </c>
    </row>
    <row r="3078" spans="1:18" s="1" customFormat="1" x14ac:dyDescent="0.45">
      <c r="A3078" s="7" t="str">
        <f t="shared" si="1075"/>
        <v>09940003389</v>
      </c>
      <c r="B3078" s="7" t="str">
        <f t="shared" si="1076"/>
        <v>八尾緑ヶ丘</v>
      </c>
      <c r="C3078" s="7" t="str">
        <f t="shared" si="1064"/>
        <v>行政財産</v>
      </c>
      <c r="D3078" s="7" t="str">
        <f t="shared" si="1065"/>
        <v>公営住宅</v>
      </c>
      <c r="E3078" s="7" t="str">
        <f t="shared" si="1077"/>
        <v>大阪府八尾市緑ヶ丘２丁目</v>
      </c>
      <c r="F3078" s="7"/>
      <c r="G3078" s="7" t="str">
        <f t="shared" si="1062"/>
        <v>事業用資産</v>
      </c>
      <c r="H3078" s="7" t="str">
        <f t="shared" si="1078"/>
        <v>棚卸以外</v>
      </c>
      <c r="I3078" s="7">
        <v>8</v>
      </c>
      <c r="J3078" s="7" t="str">
        <f>"７号棟"</f>
        <v>７号棟</v>
      </c>
      <c r="K3078" s="7" t="str">
        <f t="shared" si="1074"/>
        <v>鉄筋コンクリート造</v>
      </c>
      <c r="L3078" s="7" t="str">
        <f>"S60.03.18"</f>
        <v>S60.03.18</v>
      </c>
      <c r="M3078" s="7">
        <v>1956.89</v>
      </c>
      <c r="N3078" s="7">
        <v>254859400</v>
      </c>
      <c r="O3078" s="7">
        <v>205857552</v>
      </c>
      <c r="P3078" s="7">
        <v>0</v>
      </c>
      <c r="Q3078" s="7" t="str">
        <f t="shared" si="1066"/>
        <v>都市整備部</v>
      </c>
      <c r="R3078" s="7" t="str">
        <f t="shared" si="1063"/>
        <v>住宅建築局住宅経営室</v>
      </c>
    </row>
    <row r="3079" spans="1:18" s="1" customFormat="1" x14ac:dyDescent="0.45">
      <c r="A3079" s="7" t="str">
        <f t="shared" si="1075"/>
        <v>09940003389</v>
      </c>
      <c r="B3079" s="7" t="str">
        <f t="shared" si="1076"/>
        <v>八尾緑ヶ丘</v>
      </c>
      <c r="C3079" s="7" t="str">
        <f t="shared" si="1064"/>
        <v>行政財産</v>
      </c>
      <c r="D3079" s="7" t="str">
        <f t="shared" si="1065"/>
        <v>公営住宅</v>
      </c>
      <c r="E3079" s="7" t="str">
        <f t="shared" si="1077"/>
        <v>大阪府八尾市緑ヶ丘２丁目</v>
      </c>
      <c r="F3079" s="7"/>
      <c r="G3079" s="7" t="str">
        <f t="shared" si="1062"/>
        <v>事業用資産</v>
      </c>
      <c r="H3079" s="7" t="str">
        <f t="shared" si="1078"/>
        <v>棚卸以外</v>
      </c>
      <c r="I3079" s="7">
        <v>9</v>
      </c>
      <c r="J3079" s="7" t="str">
        <f>"８号棟"</f>
        <v>８号棟</v>
      </c>
      <c r="K3079" s="7" t="str">
        <f t="shared" si="1074"/>
        <v>鉄筋コンクリート造</v>
      </c>
      <c r="L3079" s="7" t="str">
        <f>"S60.03.18"</f>
        <v>S60.03.18</v>
      </c>
      <c r="M3079" s="7">
        <v>1235.72</v>
      </c>
      <c r="N3079" s="7">
        <v>148938000</v>
      </c>
      <c r="O3079" s="7">
        <v>120418200</v>
      </c>
      <c r="P3079" s="7">
        <v>0</v>
      </c>
      <c r="Q3079" s="7" t="str">
        <f t="shared" si="1066"/>
        <v>都市整備部</v>
      </c>
      <c r="R3079" s="7" t="str">
        <f t="shared" si="1063"/>
        <v>住宅建築局住宅経営室</v>
      </c>
    </row>
    <row r="3080" spans="1:18" s="1" customFormat="1" x14ac:dyDescent="0.45">
      <c r="A3080" s="7" t="str">
        <f t="shared" si="1075"/>
        <v>09940003389</v>
      </c>
      <c r="B3080" s="7" t="str">
        <f t="shared" si="1076"/>
        <v>八尾緑ヶ丘</v>
      </c>
      <c r="C3080" s="7" t="str">
        <f t="shared" si="1064"/>
        <v>行政財産</v>
      </c>
      <c r="D3080" s="7" t="str">
        <f t="shared" si="1065"/>
        <v>公営住宅</v>
      </c>
      <c r="E3080" s="7" t="str">
        <f t="shared" si="1077"/>
        <v>大阪府八尾市緑ヶ丘２丁目</v>
      </c>
      <c r="F3080" s="7"/>
      <c r="G3080" s="7" t="str">
        <f t="shared" si="1062"/>
        <v>事業用資産</v>
      </c>
      <c r="H3080" s="7" t="str">
        <f t="shared" si="1078"/>
        <v>棚卸以外</v>
      </c>
      <c r="I3080" s="7">
        <v>10</v>
      </c>
      <c r="J3080" s="7" t="str">
        <f>"集会所"</f>
        <v>集会所</v>
      </c>
      <c r="K3080" s="7" t="str">
        <f t="shared" si="1074"/>
        <v>鉄筋コンクリート造</v>
      </c>
      <c r="L3080" s="7" t="str">
        <f>"S60.03.18"</f>
        <v>S60.03.18</v>
      </c>
      <c r="M3080" s="7">
        <v>199.33</v>
      </c>
      <c r="N3080" s="7">
        <v>41113000</v>
      </c>
      <c r="O3080" s="7">
        <v>33240576</v>
      </c>
      <c r="P3080" s="7">
        <v>0</v>
      </c>
      <c r="Q3080" s="7" t="str">
        <f t="shared" si="1066"/>
        <v>都市整備部</v>
      </c>
      <c r="R3080" s="7" t="str">
        <f t="shared" si="1063"/>
        <v>住宅建築局住宅経営室</v>
      </c>
    </row>
    <row r="3081" spans="1:18" s="1" customFormat="1" x14ac:dyDescent="0.45">
      <c r="A3081" s="7" t="str">
        <f t="shared" si="1075"/>
        <v>09940003389</v>
      </c>
      <c r="B3081" s="7" t="str">
        <f t="shared" si="1076"/>
        <v>八尾緑ヶ丘</v>
      </c>
      <c r="C3081" s="7" t="str">
        <f t="shared" si="1064"/>
        <v>行政財産</v>
      </c>
      <c r="D3081" s="7" t="str">
        <f t="shared" si="1065"/>
        <v>公営住宅</v>
      </c>
      <c r="E3081" s="7" t="str">
        <f t="shared" si="1077"/>
        <v>大阪府八尾市緑ヶ丘２丁目</v>
      </c>
      <c r="F3081" s="7"/>
      <c r="G3081" s="7" t="str">
        <f t="shared" si="1062"/>
        <v>事業用資産</v>
      </c>
      <c r="H3081" s="7" t="str">
        <f t="shared" si="1078"/>
        <v>棚卸以外</v>
      </c>
      <c r="I3081" s="7">
        <v>11</v>
      </c>
      <c r="J3081" s="7" t="str">
        <f>"９号棟"</f>
        <v>９号棟</v>
      </c>
      <c r="K3081" s="7" t="str">
        <f t="shared" si="1074"/>
        <v>鉄筋コンクリート造</v>
      </c>
      <c r="L3081" s="7" t="str">
        <f>"S62.03.31"</f>
        <v>S62.03.31</v>
      </c>
      <c r="M3081" s="7">
        <v>2643.44</v>
      </c>
      <c r="N3081" s="7">
        <v>303624400</v>
      </c>
      <c r="O3081" s="7">
        <v>232374960</v>
      </c>
      <c r="P3081" s="7">
        <v>0</v>
      </c>
      <c r="Q3081" s="7" t="str">
        <f t="shared" si="1066"/>
        <v>都市整備部</v>
      </c>
      <c r="R3081" s="7" t="str">
        <f t="shared" si="1063"/>
        <v>住宅建築局住宅経営室</v>
      </c>
    </row>
    <row r="3082" spans="1:18" s="1" customFormat="1" x14ac:dyDescent="0.45">
      <c r="A3082" s="7" t="str">
        <f t="shared" si="1075"/>
        <v>09940003389</v>
      </c>
      <c r="B3082" s="7" t="str">
        <f t="shared" si="1076"/>
        <v>八尾緑ヶ丘</v>
      </c>
      <c r="C3082" s="7" t="str">
        <f t="shared" si="1064"/>
        <v>行政財産</v>
      </c>
      <c r="D3082" s="7" t="str">
        <f t="shared" si="1065"/>
        <v>公営住宅</v>
      </c>
      <c r="E3082" s="7" t="str">
        <f t="shared" si="1077"/>
        <v>大阪府八尾市緑ヶ丘２丁目</v>
      </c>
      <c r="F3082" s="7"/>
      <c r="G3082" s="7" t="str">
        <f t="shared" si="1062"/>
        <v>事業用資産</v>
      </c>
      <c r="H3082" s="7" t="str">
        <f t="shared" si="1078"/>
        <v>棚卸以外</v>
      </c>
      <c r="I3082" s="7">
        <v>12</v>
      </c>
      <c r="J3082" s="7" t="str">
        <f>"１０号棟"</f>
        <v>１０号棟</v>
      </c>
      <c r="K3082" s="7" t="str">
        <f t="shared" si="1074"/>
        <v>鉄筋コンクリート造</v>
      </c>
      <c r="L3082" s="7" t="str">
        <f>"S62.03.31"</f>
        <v>S62.03.31</v>
      </c>
      <c r="M3082" s="7">
        <v>1468.95</v>
      </c>
      <c r="N3082" s="7">
        <v>214045084</v>
      </c>
      <c r="O3082" s="7">
        <v>161409450</v>
      </c>
      <c r="P3082" s="7">
        <v>0</v>
      </c>
      <c r="Q3082" s="7" t="str">
        <f t="shared" si="1066"/>
        <v>都市整備部</v>
      </c>
      <c r="R3082" s="7" t="str">
        <f t="shared" si="1063"/>
        <v>住宅建築局住宅経営室</v>
      </c>
    </row>
    <row r="3083" spans="1:18" s="1" customFormat="1" x14ac:dyDescent="0.45">
      <c r="A3083" s="7" t="str">
        <f t="shared" si="1075"/>
        <v>09940003389</v>
      </c>
      <c r="B3083" s="7" t="str">
        <f t="shared" si="1076"/>
        <v>八尾緑ヶ丘</v>
      </c>
      <c r="C3083" s="7" t="str">
        <f t="shared" si="1064"/>
        <v>行政財産</v>
      </c>
      <c r="D3083" s="7" t="str">
        <f t="shared" si="1065"/>
        <v>公営住宅</v>
      </c>
      <c r="E3083" s="7" t="str">
        <f t="shared" si="1077"/>
        <v>大阪府八尾市緑ヶ丘２丁目</v>
      </c>
      <c r="F3083" s="7"/>
      <c r="G3083" s="7" t="str">
        <f t="shared" si="1062"/>
        <v>事業用資産</v>
      </c>
      <c r="H3083" s="7" t="str">
        <f t="shared" si="1078"/>
        <v>棚卸以外</v>
      </c>
      <c r="I3083" s="7">
        <v>13</v>
      </c>
      <c r="J3083" s="7" t="str">
        <f>"１１号棟"</f>
        <v>１１号棟</v>
      </c>
      <c r="K3083" s="7" t="str">
        <f t="shared" si="1074"/>
        <v>鉄筋コンクリート造</v>
      </c>
      <c r="L3083" s="7" t="str">
        <f>"S62.03.31"</f>
        <v>S62.03.31</v>
      </c>
      <c r="M3083" s="7">
        <v>2153.1</v>
      </c>
      <c r="N3083" s="7">
        <v>297665125</v>
      </c>
      <c r="O3083" s="7">
        <v>224188647</v>
      </c>
      <c r="P3083" s="7">
        <v>0</v>
      </c>
      <c r="Q3083" s="7" t="str">
        <f t="shared" si="1066"/>
        <v>都市整備部</v>
      </c>
      <c r="R3083" s="7" t="str">
        <f t="shared" si="1063"/>
        <v>住宅建築局住宅経営室</v>
      </c>
    </row>
    <row r="3084" spans="1:18" s="1" customFormat="1" x14ac:dyDescent="0.45">
      <c r="A3084" s="7" t="str">
        <f t="shared" si="1075"/>
        <v>09940003389</v>
      </c>
      <c r="B3084" s="7" t="str">
        <f t="shared" si="1076"/>
        <v>八尾緑ヶ丘</v>
      </c>
      <c r="C3084" s="7" t="str">
        <f t="shared" si="1064"/>
        <v>行政財産</v>
      </c>
      <c r="D3084" s="7" t="str">
        <f t="shared" si="1065"/>
        <v>公営住宅</v>
      </c>
      <c r="E3084" s="7" t="str">
        <f t="shared" si="1077"/>
        <v>大阪府八尾市緑ヶ丘２丁目</v>
      </c>
      <c r="F3084" s="7"/>
      <c r="G3084" s="7" t="str">
        <f t="shared" si="1062"/>
        <v>事業用資産</v>
      </c>
      <c r="H3084" s="7" t="str">
        <f t="shared" si="1078"/>
        <v>棚卸以外</v>
      </c>
      <c r="I3084" s="7">
        <v>14</v>
      </c>
      <c r="J3084" s="7" t="str">
        <f>"１２号棟"</f>
        <v>１２号棟</v>
      </c>
      <c r="K3084" s="7" t="str">
        <f t="shared" si="1074"/>
        <v>鉄筋コンクリート造</v>
      </c>
      <c r="L3084" s="7" t="str">
        <f>"S62.03.31"</f>
        <v>S62.03.31</v>
      </c>
      <c r="M3084" s="7">
        <v>1272.9100000000001</v>
      </c>
      <c r="N3084" s="7">
        <v>157505000</v>
      </c>
      <c r="O3084" s="7">
        <v>120642480</v>
      </c>
      <c r="P3084" s="7">
        <v>0</v>
      </c>
      <c r="Q3084" s="7" t="str">
        <f t="shared" si="1066"/>
        <v>都市整備部</v>
      </c>
      <c r="R3084" s="7" t="str">
        <f t="shared" si="1063"/>
        <v>住宅建築局住宅経営室</v>
      </c>
    </row>
    <row r="3085" spans="1:18" s="1" customFormat="1" x14ac:dyDescent="0.45">
      <c r="A3085" s="7" t="str">
        <f t="shared" si="1075"/>
        <v>09940003389</v>
      </c>
      <c r="B3085" s="7" t="str">
        <f t="shared" si="1076"/>
        <v>八尾緑ヶ丘</v>
      </c>
      <c r="C3085" s="7" t="str">
        <f t="shared" si="1064"/>
        <v>行政財産</v>
      </c>
      <c r="D3085" s="7" t="str">
        <f t="shared" si="1065"/>
        <v>公営住宅</v>
      </c>
      <c r="E3085" s="7" t="str">
        <f t="shared" si="1077"/>
        <v>大阪府八尾市緑ヶ丘２丁目</v>
      </c>
      <c r="F3085" s="7"/>
      <c r="G3085" s="7" t="str">
        <f t="shared" si="1062"/>
        <v>事業用資産</v>
      </c>
      <c r="H3085" s="7" t="str">
        <f t="shared" si="1078"/>
        <v>棚卸以外</v>
      </c>
      <c r="I3085" s="7">
        <v>15</v>
      </c>
      <c r="J3085" s="7" t="str">
        <f>"受水槽"</f>
        <v>受水槽</v>
      </c>
      <c r="K3085" s="7" t="str">
        <f t="shared" si="1074"/>
        <v>鉄筋コンクリート造</v>
      </c>
      <c r="L3085" s="7" t="str">
        <f>"S62.03.31"</f>
        <v>S62.03.31</v>
      </c>
      <c r="M3085" s="7">
        <v>31.07</v>
      </c>
      <c r="N3085" s="7">
        <v>16610000</v>
      </c>
      <c r="O3085" s="7">
        <v>12722832</v>
      </c>
      <c r="P3085" s="7">
        <v>0</v>
      </c>
      <c r="Q3085" s="7" t="str">
        <f t="shared" si="1066"/>
        <v>都市整備部</v>
      </c>
      <c r="R3085" s="7" t="str">
        <f t="shared" si="1063"/>
        <v>住宅建築局住宅経営室</v>
      </c>
    </row>
    <row r="3086" spans="1:18" s="1" customFormat="1" x14ac:dyDescent="0.45">
      <c r="A3086" s="7" t="str">
        <f t="shared" si="1075"/>
        <v>09940003389</v>
      </c>
      <c r="B3086" s="7" t="str">
        <f t="shared" si="1076"/>
        <v>八尾緑ヶ丘</v>
      </c>
      <c r="C3086" s="7" t="str">
        <f t="shared" si="1064"/>
        <v>行政財産</v>
      </c>
      <c r="D3086" s="7" t="str">
        <f t="shared" si="1065"/>
        <v>公営住宅</v>
      </c>
      <c r="E3086" s="7" t="str">
        <f t="shared" si="1077"/>
        <v>大阪府八尾市緑ヶ丘２丁目</v>
      </c>
      <c r="F3086" s="7"/>
      <c r="G3086" s="7" t="str">
        <f t="shared" si="1062"/>
        <v>事業用資産</v>
      </c>
      <c r="H3086" s="7" t="str">
        <f t="shared" si="1078"/>
        <v>棚卸以外</v>
      </c>
      <c r="I3086" s="7">
        <v>16</v>
      </c>
      <c r="J3086" s="7" t="str">
        <f>"１３号棟"</f>
        <v>１３号棟</v>
      </c>
      <c r="K3086" s="7" t="str">
        <f t="shared" si="1074"/>
        <v>鉄筋コンクリート造</v>
      </c>
      <c r="L3086" s="7" t="str">
        <f>"H01.07.27"</f>
        <v>H01.07.27</v>
      </c>
      <c r="M3086" s="7">
        <v>2801.82</v>
      </c>
      <c r="N3086" s="7">
        <v>152014600</v>
      </c>
      <c r="O3086" s="7">
        <v>108625500</v>
      </c>
      <c r="P3086" s="7">
        <v>0</v>
      </c>
      <c r="Q3086" s="7" t="str">
        <f t="shared" si="1066"/>
        <v>都市整備部</v>
      </c>
      <c r="R3086" s="7" t="str">
        <f t="shared" si="1063"/>
        <v>住宅建築局住宅経営室</v>
      </c>
    </row>
    <row r="3087" spans="1:18" s="1" customFormat="1" x14ac:dyDescent="0.45">
      <c r="A3087" s="7" t="str">
        <f t="shared" si="1075"/>
        <v>09940003389</v>
      </c>
      <c r="B3087" s="7" t="str">
        <f t="shared" si="1076"/>
        <v>八尾緑ヶ丘</v>
      </c>
      <c r="C3087" s="7" t="str">
        <f t="shared" si="1064"/>
        <v>行政財産</v>
      </c>
      <c r="D3087" s="7" t="str">
        <f t="shared" si="1065"/>
        <v>公営住宅</v>
      </c>
      <c r="E3087" s="7" t="str">
        <f t="shared" si="1077"/>
        <v>大阪府八尾市緑ヶ丘２丁目</v>
      </c>
      <c r="F3087" s="7"/>
      <c r="G3087" s="7" t="str">
        <f t="shared" si="1062"/>
        <v>事業用資産</v>
      </c>
      <c r="H3087" s="7" t="str">
        <f t="shared" si="1078"/>
        <v>棚卸以外</v>
      </c>
      <c r="I3087" s="7">
        <v>17</v>
      </c>
      <c r="J3087" s="7" t="str">
        <f>"１４号棟"</f>
        <v>１４号棟</v>
      </c>
      <c r="K3087" s="7" t="str">
        <f t="shared" si="1074"/>
        <v>鉄筋コンクリート造</v>
      </c>
      <c r="L3087" s="7" t="str">
        <f>"H01.07.27"</f>
        <v>H01.07.27</v>
      </c>
      <c r="M3087" s="7">
        <v>2785.7</v>
      </c>
      <c r="N3087" s="7">
        <v>153814600</v>
      </c>
      <c r="O3087" s="7">
        <v>109914664</v>
      </c>
      <c r="P3087" s="7">
        <v>0</v>
      </c>
      <c r="Q3087" s="7" t="str">
        <f t="shared" si="1066"/>
        <v>都市整備部</v>
      </c>
      <c r="R3087" s="7" t="str">
        <f t="shared" si="1063"/>
        <v>住宅建築局住宅経営室</v>
      </c>
    </row>
    <row r="3088" spans="1:18" s="1" customFormat="1" x14ac:dyDescent="0.45">
      <c r="A3088" s="7" t="str">
        <f t="shared" si="1075"/>
        <v>09940003389</v>
      </c>
      <c r="B3088" s="7" t="str">
        <f t="shared" si="1076"/>
        <v>八尾緑ヶ丘</v>
      </c>
      <c r="C3088" s="7" t="str">
        <f t="shared" si="1064"/>
        <v>行政財産</v>
      </c>
      <c r="D3088" s="7" t="str">
        <f t="shared" si="1065"/>
        <v>公営住宅</v>
      </c>
      <c r="E3088" s="7" t="str">
        <f t="shared" si="1077"/>
        <v>大阪府八尾市緑ヶ丘２丁目</v>
      </c>
      <c r="F3088" s="7"/>
      <c r="G3088" s="7" t="str">
        <f t="shared" si="1062"/>
        <v>事業用資産</v>
      </c>
      <c r="H3088" s="7" t="str">
        <f t="shared" si="1078"/>
        <v>棚卸以外</v>
      </c>
      <c r="I3088" s="7">
        <v>18</v>
      </c>
      <c r="J3088" s="7" t="str">
        <f>"受水槽"</f>
        <v>受水槽</v>
      </c>
      <c r="K3088" s="7" t="str">
        <f t="shared" si="1074"/>
        <v>鉄筋コンクリート造</v>
      </c>
      <c r="L3088" s="7" t="str">
        <f>"H01.07.27"</f>
        <v>H01.07.27</v>
      </c>
      <c r="M3088" s="7">
        <v>66</v>
      </c>
      <c r="N3088" s="7">
        <v>15169000</v>
      </c>
      <c r="O3088" s="7">
        <v>10865984</v>
      </c>
      <c r="P3088" s="7">
        <v>0</v>
      </c>
      <c r="Q3088" s="7" t="str">
        <f t="shared" si="1066"/>
        <v>都市整備部</v>
      </c>
      <c r="R3088" s="7" t="str">
        <f t="shared" si="1063"/>
        <v>住宅建築局住宅経営室</v>
      </c>
    </row>
    <row r="3089" spans="1:18" s="1" customFormat="1" x14ac:dyDescent="0.45">
      <c r="A3089" s="7" t="str">
        <f t="shared" si="1075"/>
        <v>09940003389</v>
      </c>
      <c r="B3089" s="7" t="str">
        <f t="shared" si="1076"/>
        <v>八尾緑ヶ丘</v>
      </c>
      <c r="C3089" s="7" t="str">
        <f t="shared" si="1064"/>
        <v>行政財産</v>
      </c>
      <c r="D3089" s="7" t="str">
        <f t="shared" si="1065"/>
        <v>公営住宅</v>
      </c>
      <c r="E3089" s="7" t="str">
        <f t="shared" si="1077"/>
        <v>大阪府八尾市緑ヶ丘２丁目</v>
      </c>
      <c r="F3089" s="7"/>
      <c r="G3089" s="7" t="str">
        <f t="shared" si="1062"/>
        <v>事業用資産</v>
      </c>
      <c r="H3089" s="7" t="str">
        <f t="shared" si="1078"/>
        <v>棚卸以外</v>
      </c>
      <c r="I3089" s="7">
        <v>19</v>
      </c>
      <c r="J3089" s="7" t="str">
        <f>"１５号棟"</f>
        <v>１５号棟</v>
      </c>
      <c r="K3089" s="7" t="str">
        <f t="shared" si="1074"/>
        <v>鉄筋コンクリート造</v>
      </c>
      <c r="L3089" s="7" t="str">
        <f>"H02.06.01"</f>
        <v>H02.06.01</v>
      </c>
      <c r="M3089" s="7">
        <v>2764.52</v>
      </c>
      <c r="N3089" s="7">
        <v>245971600</v>
      </c>
      <c r="O3089" s="7">
        <v>171137745</v>
      </c>
      <c r="P3089" s="7">
        <v>0</v>
      </c>
      <c r="Q3089" s="7" t="str">
        <f t="shared" si="1066"/>
        <v>都市整備部</v>
      </c>
      <c r="R3089" s="7" t="str">
        <f t="shared" si="1063"/>
        <v>住宅建築局住宅経営室</v>
      </c>
    </row>
    <row r="3090" spans="1:18" s="1" customFormat="1" x14ac:dyDescent="0.45">
      <c r="A3090" s="7" t="str">
        <f t="shared" si="1075"/>
        <v>09940003389</v>
      </c>
      <c r="B3090" s="7" t="str">
        <f t="shared" si="1076"/>
        <v>八尾緑ヶ丘</v>
      </c>
      <c r="C3090" s="7" t="str">
        <f t="shared" si="1064"/>
        <v>行政財産</v>
      </c>
      <c r="D3090" s="7" t="str">
        <f t="shared" si="1065"/>
        <v>公営住宅</v>
      </c>
      <c r="E3090" s="7" t="str">
        <f t="shared" si="1077"/>
        <v>大阪府八尾市緑ヶ丘２丁目</v>
      </c>
      <c r="F3090" s="7"/>
      <c r="G3090" s="7" t="str">
        <f t="shared" si="1062"/>
        <v>事業用資産</v>
      </c>
      <c r="H3090" s="7" t="str">
        <f t="shared" si="1078"/>
        <v>棚卸以外</v>
      </c>
      <c r="I3090" s="7">
        <v>20</v>
      </c>
      <c r="J3090" s="7" t="str">
        <f>"１６号棟"</f>
        <v>１６号棟</v>
      </c>
      <c r="K3090" s="7" t="str">
        <f t="shared" si="1074"/>
        <v>鉄筋コンクリート造</v>
      </c>
      <c r="L3090" s="7" t="str">
        <f>"H02.06.01"</f>
        <v>H02.06.01</v>
      </c>
      <c r="M3090" s="7">
        <v>2756.2</v>
      </c>
      <c r="N3090" s="7">
        <v>247994200</v>
      </c>
      <c r="O3090" s="7">
        <v>172289628</v>
      </c>
      <c r="P3090" s="7">
        <v>0</v>
      </c>
      <c r="Q3090" s="7" t="str">
        <f t="shared" si="1066"/>
        <v>都市整備部</v>
      </c>
      <c r="R3090" s="7" t="str">
        <f t="shared" si="1063"/>
        <v>住宅建築局住宅経営室</v>
      </c>
    </row>
    <row r="3091" spans="1:18" s="1" customFormat="1" x14ac:dyDescent="0.45">
      <c r="A3091" s="7" t="str">
        <f t="shared" si="1075"/>
        <v>09940003389</v>
      </c>
      <c r="B3091" s="7" t="str">
        <f t="shared" si="1076"/>
        <v>八尾緑ヶ丘</v>
      </c>
      <c r="C3091" s="7" t="str">
        <f t="shared" si="1064"/>
        <v>行政財産</v>
      </c>
      <c r="D3091" s="7" t="str">
        <f t="shared" si="1065"/>
        <v>公営住宅</v>
      </c>
      <c r="E3091" s="7" t="str">
        <f t="shared" si="1077"/>
        <v>大阪府八尾市緑ヶ丘２丁目</v>
      </c>
      <c r="F3091" s="7"/>
      <c r="G3091" s="7" t="str">
        <f t="shared" si="1062"/>
        <v>事業用資産</v>
      </c>
      <c r="H3091" s="7" t="str">
        <f t="shared" si="1078"/>
        <v>棚卸以外</v>
      </c>
      <c r="I3091" s="7">
        <v>21</v>
      </c>
      <c r="J3091" s="7" t="str">
        <f>"１７号棟"</f>
        <v>１７号棟</v>
      </c>
      <c r="K3091" s="7" t="str">
        <f t="shared" si="1074"/>
        <v>鉄筋コンクリート造</v>
      </c>
      <c r="L3091" s="7" t="str">
        <f>"H02.06.01"</f>
        <v>H02.06.01</v>
      </c>
      <c r="M3091" s="7">
        <v>2036.72</v>
      </c>
      <c r="N3091" s="7">
        <v>178712200</v>
      </c>
      <c r="O3091" s="7">
        <v>124013115</v>
      </c>
      <c r="P3091" s="7">
        <v>0</v>
      </c>
      <c r="Q3091" s="7" t="str">
        <f t="shared" si="1066"/>
        <v>都市整備部</v>
      </c>
      <c r="R3091" s="7" t="str">
        <f t="shared" si="1063"/>
        <v>住宅建築局住宅経営室</v>
      </c>
    </row>
    <row r="3092" spans="1:18" s="1" customFormat="1" x14ac:dyDescent="0.45">
      <c r="A3092" s="7" t="str">
        <f t="shared" si="1075"/>
        <v>09940003389</v>
      </c>
      <c r="B3092" s="7" t="str">
        <f t="shared" si="1076"/>
        <v>八尾緑ヶ丘</v>
      </c>
      <c r="C3092" s="7" t="str">
        <f t="shared" si="1064"/>
        <v>行政財産</v>
      </c>
      <c r="D3092" s="7" t="str">
        <f t="shared" si="1065"/>
        <v>公営住宅</v>
      </c>
      <c r="E3092" s="7" t="str">
        <f t="shared" si="1077"/>
        <v>大阪府八尾市緑ヶ丘２丁目</v>
      </c>
      <c r="F3092" s="7"/>
      <c r="G3092" s="7" t="str">
        <f t="shared" si="1062"/>
        <v>事業用資産</v>
      </c>
      <c r="H3092" s="7" t="str">
        <f t="shared" si="1078"/>
        <v>棚卸以外</v>
      </c>
      <c r="I3092" s="7">
        <v>22</v>
      </c>
      <c r="J3092" s="7" t="str">
        <f>"１８号棟"</f>
        <v>１８号棟</v>
      </c>
      <c r="K3092" s="7" t="str">
        <f t="shared" ref="K3092:K3123" si="1079">"鉄筋コンクリート造"</f>
        <v>鉄筋コンクリート造</v>
      </c>
      <c r="L3092" s="7" t="str">
        <f>"H02.06.01"</f>
        <v>H02.06.01</v>
      </c>
      <c r="M3092" s="7">
        <v>2105.42</v>
      </c>
      <c r="N3092" s="7">
        <v>169344200</v>
      </c>
      <c r="O3092" s="7">
        <v>117485778</v>
      </c>
      <c r="P3092" s="7">
        <v>0</v>
      </c>
      <c r="Q3092" s="7" t="str">
        <f t="shared" si="1066"/>
        <v>都市整備部</v>
      </c>
      <c r="R3092" s="7" t="str">
        <f t="shared" si="1063"/>
        <v>住宅建築局住宅経営室</v>
      </c>
    </row>
    <row r="3093" spans="1:18" s="1" customFormat="1" x14ac:dyDescent="0.45">
      <c r="A3093" s="7" t="str">
        <f t="shared" ref="A3093:A3099" si="1080">"09940003392"</f>
        <v>09940003392</v>
      </c>
      <c r="B3093" s="7" t="str">
        <f t="shared" ref="B3093:B3099" si="1081">"門真御堂"</f>
        <v>門真御堂</v>
      </c>
      <c r="C3093" s="7" t="str">
        <f t="shared" si="1064"/>
        <v>行政財産</v>
      </c>
      <c r="D3093" s="7" t="str">
        <f t="shared" si="1065"/>
        <v>公営住宅</v>
      </c>
      <c r="E3093" s="7" t="str">
        <f t="shared" ref="E3093:E3099" si="1082">"大阪府門真市御堂町"</f>
        <v>大阪府門真市御堂町</v>
      </c>
      <c r="F3093" s="7"/>
      <c r="G3093" s="7" t="str">
        <f t="shared" si="1062"/>
        <v>事業用資産</v>
      </c>
      <c r="H3093" s="7" t="str">
        <f t="shared" si="1078"/>
        <v>棚卸以外</v>
      </c>
      <c r="I3093" s="7">
        <v>1</v>
      </c>
      <c r="J3093" s="7" t="str">
        <f>"１号棟"</f>
        <v>１号棟</v>
      </c>
      <c r="K3093" s="7" t="str">
        <f t="shared" si="1079"/>
        <v>鉄筋コンクリート造</v>
      </c>
      <c r="L3093" s="7" t="str">
        <f>"H10.05.28"</f>
        <v>H10.05.28</v>
      </c>
      <c r="M3093" s="7">
        <v>17684.95</v>
      </c>
      <c r="N3093" s="7">
        <v>2643736660</v>
      </c>
      <c r="O3093" s="7">
        <v>1392013808</v>
      </c>
      <c r="P3093" s="7">
        <v>0</v>
      </c>
      <c r="Q3093" s="7" t="str">
        <f t="shared" si="1066"/>
        <v>都市整備部</v>
      </c>
      <c r="R3093" s="7" t="str">
        <f t="shared" si="1063"/>
        <v>住宅建築局住宅経営室</v>
      </c>
    </row>
    <row r="3094" spans="1:18" s="1" customFormat="1" x14ac:dyDescent="0.45">
      <c r="A3094" s="7" t="str">
        <f t="shared" si="1080"/>
        <v>09940003392</v>
      </c>
      <c r="B3094" s="7" t="str">
        <f t="shared" si="1081"/>
        <v>門真御堂</v>
      </c>
      <c r="C3094" s="7" t="str">
        <f t="shared" si="1064"/>
        <v>行政財産</v>
      </c>
      <c r="D3094" s="7" t="str">
        <f t="shared" si="1065"/>
        <v>公営住宅</v>
      </c>
      <c r="E3094" s="7" t="str">
        <f t="shared" si="1082"/>
        <v>大阪府門真市御堂町</v>
      </c>
      <c r="F3094" s="7"/>
      <c r="G3094" s="7" t="str">
        <f t="shared" si="1062"/>
        <v>事業用資産</v>
      </c>
      <c r="H3094" s="7" t="str">
        <f t="shared" si="1078"/>
        <v>棚卸以外</v>
      </c>
      <c r="I3094" s="7">
        <v>2</v>
      </c>
      <c r="J3094" s="7" t="str">
        <f>"２号棟"</f>
        <v>２号棟</v>
      </c>
      <c r="K3094" s="7" t="str">
        <f t="shared" si="1079"/>
        <v>鉄筋コンクリート造</v>
      </c>
      <c r="L3094" s="7" t="str">
        <f>"H10.05.28"</f>
        <v>H10.05.28</v>
      </c>
      <c r="M3094" s="7">
        <v>7225.72</v>
      </c>
      <c r="N3094" s="7">
        <v>945709220</v>
      </c>
      <c r="O3094" s="7">
        <v>498065208</v>
      </c>
      <c r="P3094" s="7">
        <v>0</v>
      </c>
      <c r="Q3094" s="7" t="str">
        <f t="shared" si="1066"/>
        <v>都市整備部</v>
      </c>
      <c r="R3094" s="7" t="str">
        <f t="shared" si="1063"/>
        <v>住宅建築局住宅経営室</v>
      </c>
    </row>
    <row r="3095" spans="1:18" s="1" customFormat="1" x14ac:dyDescent="0.45">
      <c r="A3095" s="7" t="str">
        <f t="shared" si="1080"/>
        <v>09940003392</v>
      </c>
      <c r="B3095" s="7" t="str">
        <f t="shared" si="1081"/>
        <v>門真御堂</v>
      </c>
      <c r="C3095" s="7" t="str">
        <f t="shared" si="1064"/>
        <v>行政財産</v>
      </c>
      <c r="D3095" s="7" t="str">
        <f t="shared" si="1065"/>
        <v>公営住宅</v>
      </c>
      <c r="E3095" s="7" t="str">
        <f t="shared" si="1082"/>
        <v>大阪府門真市御堂町</v>
      </c>
      <c r="F3095" s="7"/>
      <c r="G3095" s="7" t="str">
        <f t="shared" ref="G3095:G3158" si="1083">"事業用資産"</f>
        <v>事業用資産</v>
      </c>
      <c r="H3095" s="7" t="str">
        <f t="shared" si="1078"/>
        <v>棚卸以外</v>
      </c>
      <c r="I3095" s="7">
        <v>3</v>
      </c>
      <c r="J3095" s="7" t="str">
        <f>"受水槽ポンプ室・電気室"</f>
        <v>受水槽ポンプ室・電気室</v>
      </c>
      <c r="K3095" s="7" t="str">
        <f t="shared" si="1079"/>
        <v>鉄筋コンクリート造</v>
      </c>
      <c r="L3095" s="7" t="str">
        <f>"H10.05.28"</f>
        <v>H10.05.28</v>
      </c>
      <c r="M3095" s="7">
        <v>148.6</v>
      </c>
      <c r="N3095" s="7">
        <v>31832000</v>
      </c>
      <c r="O3095" s="7">
        <v>16819120</v>
      </c>
      <c r="P3095" s="7">
        <v>0</v>
      </c>
      <c r="Q3095" s="7" t="str">
        <f t="shared" si="1066"/>
        <v>都市整備部</v>
      </c>
      <c r="R3095" s="7" t="str">
        <f t="shared" si="1063"/>
        <v>住宅建築局住宅経営室</v>
      </c>
    </row>
    <row r="3096" spans="1:18" s="1" customFormat="1" x14ac:dyDescent="0.45">
      <c r="A3096" s="7" t="str">
        <f t="shared" si="1080"/>
        <v>09940003392</v>
      </c>
      <c r="B3096" s="7" t="str">
        <f t="shared" si="1081"/>
        <v>門真御堂</v>
      </c>
      <c r="C3096" s="7" t="str">
        <f t="shared" si="1064"/>
        <v>行政財産</v>
      </c>
      <c r="D3096" s="7" t="str">
        <f t="shared" si="1065"/>
        <v>公営住宅</v>
      </c>
      <c r="E3096" s="7" t="str">
        <f t="shared" si="1082"/>
        <v>大阪府門真市御堂町</v>
      </c>
      <c r="F3096" s="7"/>
      <c r="G3096" s="7" t="str">
        <f t="shared" si="1083"/>
        <v>事業用資産</v>
      </c>
      <c r="H3096" s="7" t="str">
        <f t="shared" si="1078"/>
        <v>棚卸以外</v>
      </c>
      <c r="I3096" s="7">
        <v>4</v>
      </c>
      <c r="J3096" s="7" t="str">
        <f>"集会所"</f>
        <v>集会所</v>
      </c>
      <c r="K3096" s="7" t="str">
        <f t="shared" si="1079"/>
        <v>鉄筋コンクリート造</v>
      </c>
      <c r="L3096" s="7" t="str">
        <f>"H11.04.01"</f>
        <v>H11.04.01</v>
      </c>
      <c r="M3096" s="7">
        <v>149.94</v>
      </c>
      <c r="N3096" s="7">
        <v>42161000</v>
      </c>
      <c r="O3096" s="7">
        <v>21454398</v>
      </c>
      <c r="P3096" s="7">
        <v>0</v>
      </c>
      <c r="Q3096" s="7" t="str">
        <f t="shared" si="1066"/>
        <v>都市整備部</v>
      </c>
      <c r="R3096" s="7" t="str">
        <f t="shared" ref="R3096:R3159" si="1084">"住宅建築局住宅経営室"</f>
        <v>住宅建築局住宅経営室</v>
      </c>
    </row>
    <row r="3097" spans="1:18" s="1" customFormat="1" x14ac:dyDescent="0.45">
      <c r="A3097" s="7" t="str">
        <f t="shared" si="1080"/>
        <v>09940003392</v>
      </c>
      <c r="B3097" s="7" t="str">
        <f t="shared" si="1081"/>
        <v>門真御堂</v>
      </c>
      <c r="C3097" s="7" t="str">
        <f t="shared" si="1064"/>
        <v>行政財産</v>
      </c>
      <c r="D3097" s="7" t="str">
        <f t="shared" si="1065"/>
        <v>公営住宅</v>
      </c>
      <c r="E3097" s="7" t="str">
        <f t="shared" si="1082"/>
        <v>大阪府門真市御堂町</v>
      </c>
      <c r="F3097" s="7"/>
      <c r="G3097" s="7" t="str">
        <f t="shared" si="1083"/>
        <v>事業用資産</v>
      </c>
      <c r="H3097" s="7" t="str">
        <f t="shared" si="1078"/>
        <v>棚卸以外</v>
      </c>
      <c r="I3097" s="7">
        <v>5</v>
      </c>
      <c r="J3097" s="7" t="str">
        <f>"３号棟"</f>
        <v>３号棟</v>
      </c>
      <c r="K3097" s="7" t="str">
        <f t="shared" si="1079"/>
        <v>鉄筋コンクリート造</v>
      </c>
      <c r="L3097" s="7" t="str">
        <f>"H12.12.22"</f>
        <v>H12.12.22</v>
      </c>
      <c r="M3097" s="7">
        <v>1191.78</v>
      </c>
      <c r="N3097" s="7">
        <v>293877220</v>
      </c>
      <c r="O3097" s="7">
        <v>138197658</v>
      </c>
      <c r="P3097" s="7">
        <v>0</v>
      </c>
      <c r="Q3097" s="7" t="str">
        <f t="shared" si="1066"/>
        <v>都市整備部</v>
      </c>
      <c r="R3097" s="7" t="str">
        <f t="shared" si="1084"/>
        <v>住宅建築局住宅経営室</v>
      </c>
    </row>
    <row r="3098" spans="1:18" s="1" customFormat="1" x14ac:dyDescent="0.45">
      <c r="A3098" s="7" t="str">
        <f t="shared" si="1080"/>
        <v>09940003392</v>
      </c>
      <c r="B3098" s="7" t="str">
        <f t="shared" si="1081"/>
        <v>門真御堂</v>
      </c>
      <c r="C3098" s="7" t="str">
        <f t="shared" ref="C3098:C3161" si="1085">"行政財産"</f>
        <v>行政財産</v>
      </c>
      <c r="D3098" s="7" t="str">
        <f t="shared" ref="D3098:D3161" si="1086">"公営住宅"</f>
        <v>公営住宅</v>
      </c>
      <c r="E3098" s="7" t="str">
        <f t="shared" si="1082"/>
        <v>大阪府門真市御堂町</v>
      </c>
      <c r="F3098" s="7"/>
      <c r="G3098" s="7" t="str">
        <f t="shared" si="1083"/>
        <v>事業用資産</v>
      </c>
      <c r="H3098" s="7" t="str">
        <f t="shared" si="1078"/>
        <v>棚卸以外</v>
      </c>
      <c r="I3098" s="7">
        <v>6</v>
      </c>
      <c r="J3098" s="7" t="str">
        <f>"４号棟"</f>
        <v>４号棟</v>
      </c>
      <c r="K3098" s="7" t="str">
        <f t="shared" si="1079"/>
        <v>鉄筋コンクリート造</v>
      </c>
      <c r="L3098" s="7" t="str">
        <f>"H12.12.22"</f>
        <v>H12.12.22</v>
      </c>
      <c r="M3098" s="7">
        <v>3247.84</v>
      </c>
      <c r="N3098" s="7">
        <v>570647220</v>
      </c>
      <c r="O3098" s="7">
        <v>269221767</v>
      </c>
      <c r="P3098" s="7">
        <v>0</v>
      </c>
      <c r="Q3098" s="7" t="str">
        <f t="shared" si="1066"/>
        <v>都市整備部</v>
      </c>
      <c r="R3098" s="7" t="str">
        <f t="shared" si="1084"/>
        <v>住宅建築局住宅経営室</v>
      </c>
    </row>
    <row r="3099" spans="1:18" s="1" customFormat="1" x14ac:dyDescent="0.45">
      <c r="A3099" s="7" t="str">
        <f t="shared" si="1080"/>
        <v>09940003392</v>
      </c>
      <c r="B3099" s="7" t="str">
        <f t="shared" si="1081"/>
        <v>門真御堂</v>
      </c>
      <c r="C3099" s="7" t="str">
        <f t="shared" si="1085"/>
        <v>行政財産</v>
      </c>
      <c r="D3099" s="7" t="str">
        <f t="shared" si="1086"/>
        <v>公営住宅</v>
      </c>
      <c r="E3099" s="7" t="str">
        <f t="shared" si="1082"/>
        <v>大阪府門真市御堂町</v>
      </c>
      <c r="F3099" s="7"/>
      <c r="G3099" s="7" t="str">
        <f t="shared" si="1083"/>
        <v>事業用資産</v>
      </c>
      <c r="H3099" s="7" t="str">
        <f t="shared" si="1078"/>
        <v>棚卸以外</v>
      </c>
      <c r="I3099" s="7">
        <v>7</v>
      </c>
      <c r="J3099" s="7" t="str">
        <f>"受水槽ポンプ室・電気室"</f>
        <v>受水槽ポンプ室・電気室</v>
      </c>
      <c r="K3099" s="7" t="str">
        <f t="shared" si="1079"/>
        <v>鉄筋コンクリート造</v>
      </c>
      <c r="L3099" s="7" t="str">
        <f>"H12.12.22"</f>
        <v>H12.12.22</v>
      </c>
      <c r="M3099" s="7">
        <v>64.2</v>
      </c>
      <c r="N3099" s="7">
        <v>23893000</v>
      </c>
      <c r="O3099" s="7">
        <v>11311188</v>
      </c>
      <c r="P3099" s="7">
        <v>0</v>
      </c>
      <c r="Q3099" s="7" t="str">
        <f t="shared" ref="Q3099:Q3162" si="1087">"都市整備部"</f>
        <v>都市整備部</v>
      </c>
      <c r="R3099" s="7" t="str">
        <f t="shared" si="1084"/>
        <v>住宅建築局住宅経営室</v>
      </c>
    </row>
    <row r="3100" spans="1:18" s="1" customFormat="1" x14ac:dyDescent="0.45">
      <c r="A3100" s="7" t="str">
        <f t="shared" ref="A3100:A3108" si="1088">"09940003394"</f>
        <v>09940003394</v>
      </c>
      <c r="B3100" s="7" t="str">
        <f t="shared" ref="B3100:B3108" si="1089">"交野松塚"</f>
        <v>交野松塚</v>
      </c>
      <c r="C3100" s="7" t="str">
        <f t="shared" si="1085"/>
        <v>行政財産</v>
      </c>
      <c r="D3100" s="7" t="str">
        <f t="shared" si="1086"/>
        <v>公営住宅</v>
      </c>
      <c r="E3100" s="7" t="str">
        <f t="shared" ref="E3100:E3108" si="1090">"大阪府交野市松塚"</f>
        <v>大阪府交野市松塚</v>
      </c>
      <c r="F3100" s="7"/>
      <c r="G3100" s="7" t="str">
        <f t="shared" si="1083"/>
        <v>事業用資産</v>
      </c>
      <c r="H3100" s="7" t="str">
        <f t="shared" si="1078"/>
        <v>棚卸以外</v>
      </c>
      <c r="I3100" s="7">
        <v>1</v>
      </c>
      <c r="J3100" s="7" t="str">
        <f>"１～６号棟"</f>
        <v>１～６号棟</v>
      </c>
      <c r="K3100" s="7" t="str">
        <f t="shared" si="1079"/>
        <v>鉄筋コンクリート造</v>
      </c>
      <c r="L3100" s="7" t="str">
        <f>"S44.11.24"</f>
        <v>S44.11.24</v>
      </c>
      <c r="M3100" s="7">
        <v>9152.7999999999993</v>
      </c>
      <c r="N3100" s="7">
        <v>317972491</v>
      </c>
      <c r="O3100" s="7">
        <v>301678199</v>
      </c>
      <c r="P3100" s="7">
        <v>0</v>
      </c>
      <c r="Q3100" s="7" t="str">
        <f t="shared" si="1087"/>
        <v>都市整備部</v>
      </c>
      <c r="R3100" s="7" t="str">
        <f t="shared" si="1084"/>
        <v>住宅建築局住宅経営室</v>
      </c>
    </row>
    <row r="3101" spans="1:18" s="1" customFormat="1" x14ac:dyDescent="0.45">
      <c r="A3101" s="7" t="str">
        <f t="shared" si="1088"/>
        <v>09940003394</v>
      </c>
      <c r="B3101" s="7" t="str">
        <f t="shared" si="1089"/>
        <v>交野松塚</v>
      </c>
      <c r="C3101" s="7" t="str">
        <f t="shared" si="1085"/>
        <v>行政財産</v>
      </c>
      <c r="D3101" s="7" t="str">
        <f t="shared" si="1086"/>
        <v>公営住宅</v>
      </c>
      <c r="E3101" s="7" t="str">
        <f t="shared" si="1090"/>
        <v>大阪府交野市松塚</v>
      </c>
      <c r="F3101" s="7"/>
      <c r="G3101" s="7" t="str">
        <f t="shared" si="1083"/>
        <v>事業用資産</v>
      </c>
      <c r="H3101" s="7" t="str">
        <f t="shared" si="1078"/>
        <v>棚卸以外</v>
      </c>
      <c r="I3101" s="7">
        <v>2</v>
      </c>
      <c r="J3101" s="7" t="str">
        <f>"集会所"</f>
        <v>集会所</v>
      </c>
      <c r="K3101" s="7" t="str">
        <f t="shared" si="1079"/>
        <v>鉄筋コンクリート造</v>
      </c>
      <c r="L3101" s="7" t="str">
        <f>"S45.03.20"</f>
        <v>S45.03.20</v>
      </c>
      <c r="M3101" s="7">
        <v>66.77</v>
      </c>
      <c r="N3101" s="7">
        <v>5109358</v>
      </c>
      <c r="O3101" s="7">
        <v>5109357</v>
      </c>
      <c r="P3101" s="7">
        <v>0</v>
      </c>
      <c r="Q3101" s="7" t="str">
        <f t="shared" si="1087"/>
        <v>都市整備部</v>
      </c>
      <c r="R3101" s="7" t="str">
        <f t="shared" si="1084"/>
        <v>住宅建築局住宅経営室</v>
      </c>
    </row>
    <row r="3102" spans="1:18" s="1" customFormat="1" x14ac:dyDescent="0.45">
      <c r="A3102" s="7" t="str">
        <f t="shared" si="1088"/>
        <v>09940003394</v>
      </c>
      <c r="B3102" s="7" t="str">
        <f t="shared" si="1089"/>
        <v>交野松塚</v>
      </c>
      <c r="C3102" s="7" t="str">
        <f t="shared" si="1085"/>
        <v>行政財産</v>
      </c>
      <c r="D3102" s="7" t="str">
        <f t="shared" si="1086"/>
        <v>公営住宅</v>
      </c>
      <c r="E3102" s="7" t="str">
        <f t="shared" si="1090"/>
        <v>大阪府交野市松塚</v>
      </c>
      <c r="F3102" s="7"/>
      <c r="G3102" s="7" t="str">
        <f t="shared" si="1083"/>
        <v>事業用資産</v>
      </c>
      <c r="H3102" s="7" t="str">
        <f t="shared" si="1078"/>
        <v>棚卸以外</v>
      </c>
      <c r="I3102" s="7">
        <v>3</v>
      </c>
      <c r="J3102" s="7" t="str">
        <f>"４号棟"</f>
        <v>４号棟</v>
      </c>
      <c r="K3102" s="7" t="str">
        <f t="shared" si="1079"/>
        <v>鉄筋コンクリート造</v>
      </c>
      <c r="L3102" s="7" t="str">
        <f t="shared" ref="L3102:L3107" si="1091">"S62.08.25"</f>
        <v>S62.08.25</v>
      </c>
      <c r="M3102" s="7">
        <v>1081.73</v>
      </c>
      <c r="N3102" s="7">
        <v>141696000</v>
      </c>
      <c r="O3102" s="7">
        <v>107277345</v>
      </c>
      <c r="P3102" s="7">
        <v>0</v>
      </c>
      <c r="Q3102" s="7" t="str">
        <f t="shared" si="1087"/>
        <v>都市整備部</v>
      </c>
      <c r="R3102" s="7" t="str">
        <f t="shared" si="1084"/>
        <v>住宅建築局住宅経営室</v>
      </c>
    </row>
    <row r="3103" spans="1:18" s="1" customFormat="1" x14ac:dyDescent="0.45">
      <c r="A3103" s="7" t="str">
        <f t="shared" si="1088"/>
        <v>09940003394</v>
      </c>
      <c r="B3103" s="7" t="str">
        <f t="shared" si="1089"/>
        <v>交野松塚</v>
      </c>
      <c r="C3103" s="7" t="str">
        <f t="shared" si="1085"/>
        <v>行政財産</v>
      </c>
      <c r="D3103" s="7" t="str">
        <f t="shared" si="1086"/>
        <v>公営住宅</v>
      </c>
      <c r="E3103" s="7" t="str">
        <f t="shared" si="1090"/>
        <v>大阪府交野市松塚</v>
      </c>
      <c r="F3103" s="7"/>
      <c r="G3103" s="7" t="str">
        <f t="shared" si="1083"/>
        <v>事業用資産</v>
      </c>
      <c r="H3103" s="7" t="str">
        <f t="shared" si="1078"/>
        <v>棚卸以外</v>
      </c>
      <c r="I3103" s="7">
        <v>4</v>
      </c>
      <c r="J3103" s="7" t="str">
        <f>"５号棟"</f>
        <v>５号棟</v>
      </c>
      <c r="K3103" s="7" t="str">
        <f t="shared" si="1079"/>
        <v>鉄筋コンクリート造</v>
      </c>
      <c r="L3103" s="7" t="str">
        <f t="shared" si="1091"/>
        <v>S62.08.25</v>
      </c>
      <c r="M3103" s="7">
        <v>731.7</v>
      </c>
      <c r="N3103" s="7">
        <v>123444000</v>
      </c>
      <c r="O3103" s="7">
        <v>93458771</v>
      </c>
      <c r="P3103" s="7">
        <v>0</v>
      </c>
      <c r="Q3103" s="7" t="str">
        <f t="shared" si="1087"/>
        <v>都市整備部</v>
      </c>
      <c r="R3103" s="7" t="str">
        <f t="shared" si="1084"/>
        <v>住宅建築局住宅経営室</v>
      </c>
    </row>
    <row r="3104" spans="1:18" s="1" customFormat="1" x14ac:dyDescent="0.45">
      <c r="A3104" s="7" t="str">
        <f t="shared" si="1088"/>
        <v>09940003394</v>
      </c>
      <c r="B3104" s="7" t="str">
        <f t="shared" si="1089"/>
        <v>交野松塚</v>
      </c>
      <c r="C3104" s="7" t="str">
        <f t="shared" si="1085"/>
        <v>行政財産</v>
      </c>
      <c r="D3104" s="7" t="str">
        <f t="shared" si="1086"/>
        <v>公営住宅</v>
      </c>
      <c r="E3104" s="7" t="str">
        <f t="shared" si="1090"/>
        <v>大阪府交野市松塚</v>
      </c>
      <c r="F3104" s="7"/>
      <c r="G3104" s="7" t="str">
        <f t="shared" si="1083"/>
        <v>事業用資産</v>
      </c>
      <c r="H3104" s="7" t="str">
        <f t="shared" si="1078"/>
        <v>棚卸以外</v>
      </c>
      <c r="I3104" s="7">
        <v>5</v>
      </c>
      <c r="J3104" s="7" t="str">
        <f>"２号棟増築分"</f>
        <v>２号棟増築分</v>
      </c>
      <c r="K3104" s="7" t="str">
        <f t="shared" si="1079"/>
        <v>鉄筋コンクリート造</v>
      </c>
      <c r="L3104" s="7" t="str">
        <f t="shared" si="1091"/>
        <v>S62.08.25</v>
      </c>
      <c r="M3104" s="7">
        <v>752.78</v>
      </c>
      <c r="N3104" s="7">
        <v>119710000</v>
      </c>
      <c r="O3104" s="7">
        <v>94948898</v>
      </c>
      <c r="P3104" s="7">
        <v>0</v>
      </c>
      <c r="Q3104" s="7" t="str">
        <f t="shared" si="1087"/>
        <v>都市整備部</v>
      </c>
      <c r="R3104" s="7" t="str">
        <f t="shared" si="1084"/>
        <v>住宅建築局住宅経営室</v>
      </c>
    </row>
    <row r="3105" spans="1:18" s="1" customFormat="1" x14ac:dyDescent="0.45">
      <c r="A3105" s="7" t="str">
        <f t="shared" si="1088"/>
        <v>09940003394</v>
      </c>
      <c r="B3105" s="7" t="str">
        <f t="shared" si="1089"/>
        <v>交野松塚</v>
      </c>
      <c r="C3105" s="7" t="str">
        <f t="shared" si="1085"/>
        <v>行政財産</v>
      </c>
      <c r="D3105" s="7" t="str">
        <f t="shared" si="1086"/>
        <v>公営住宅</v>
      </c>
      <c r="E3105" s="7" t="str">
        <f t="shared" si="1090"/>
        <v>大阪府交野市松塚</v>
      </c>
      <c r="F3105" s="7"/>
      <c r="G3105" s="7" t="str">
        <f t="shared" si="1083"/>
        <v>事業用資産</v>
      </c>
      <c r="H3105" s="7" t="str">
        <f t="shared" si="1078"/>
        <v>棚卸以外</v>
      </c>
      <c r="I3105" s="7">
        <v>6</v>
      </c>
      <c r="J3105" s="7" t="str">
        <f>"３号棟"</f>
        <v>３号棟</v>
      </c>
      <c r="K3105" s="7" t="str">
        <f t="shared" si="1079"/>
        <v>鉄筋コンクリート造</v>
      </c>
      <c r="L3105" s="7" t="str">
        <f t="shared" si="1091"/>
        <v>S62.08.25</v>
      </c>
      <c r="M3105" s="7">
        <v>906.72</v>
      </c>
      <c r="N3105" s="7">
        <v>130277000</v>
      </c>
      <c r="O3105" s="7">
        <v>98631876</v>
      </c>
      <c r="P3105" s="7">
        <v>0</v>
      </c>
      <c r="Q3105" s="7" t="str">
        <f t="shared" si="1087"/>
        <v>都市整備部</v>
      </c>
      <c r="R3105" s="7" t="str">
        <f t="shared" si="1084"/>
        <v>住宅建築局住宅経営室</v>
      </c>
    </row>
    <row r="3106" spans="1:18" s="1" customFormat="1" x14ac:dyDescent="0.45">
      <c r="A3106" s="7" t="str">
        <f t="shared" si="1088"/>
        <v>09940003394</v>
      </c>
      <c r="B3106" s="7" t="str">
        <f t="shared" si="1089"/>
        <v>交野松塚</v>
      </c>
      <c r="C3106" s="7" t="str">
        <f t="shared" si="1085"/>
        <v>行政財産</v>
      </c>
      <c r="D3106" s="7" t="str">
        <f t="shared" si="1086"/>
        <v>公営住宅</v>
      </c>
      <c r="E3106" s="7" t="str">
        <f t="shared" si="1090"/>
        <v>大阪府交野市松塚</v>
      </c>
      <c r="F3106" s="7"/>
      <c r="G3106" s="7" t="str">
        <f t="shared" si="1083"/>
        <v>事業用資産</v>
      </c>
      <c r="H3106" s="7" t="str">
        <f t="shared" si="1078"/>
        <v>棚卸以外</v>
      </c>
      <c r="I3106" s="7">
        <v>7</v>
      </c>
      <c r="J3106" s="7" t="str">
        <f>"１号棟増築分"</f>
        <v>１号棟増築分</v>
      </c>
      <c r="K3106" s="7" t="str">
        <f t="shared" si="1079"/>
        <v>鉄筋コンクリート造</v>
      </c>
      <c r="L3106" s="7" t="str">
        <f t="shared" si="1091"/>
        <v>S62.08.25</v>
      </c>
      <c r="M3106" s="7">
        <v>854.61</v>
      </c>
      <c r="N3106" s="7">
        <v>131920000</v>
      </c>
      <c r="O3106" s="7">
        <v>106351641</v>
      </c>
      <c r="P3106" s="7">
        <v>0</v>
      </c>
      <c r="Q3106" s="7" t="str">
        <f t="shared" si="1087"/>
        <v>都市整備部</v>
      </c>
      <c r="R3106" s="7" t="str">
        <f t="shared" si="1084"/>
        <v>住宅建築局住宅経営室</v>
      </c>
    </row>
    <row r="3107" spans="1:18" s="1" customFormat="1" x14ac:dyDescent="0.45">
      <c r="A3107" s="7" t="str">
        <f t="shared" si="1088"/>
        <v>09940003394</v>
      </c>
      <c r="B3107" s="7" t="str">
        <f t="shared" si="1089"/>
        <v>交野松塚</v>
      </c>
      <c r="C3107" s="7" t="str">
        <f t="shared" si="1085"/>
        <v>行政財産</v>
      </c>
      <c r="D3107" s="7" t="str">
        <f t="shared" si="1086"/>
        <v>公営住宅</v>
      </c>
      <c r="E3107" s="7" t="str">
        <f t="shared" si="1090"/>
        <v>大阪府交野市松塚</v>
      </c>
      <c r="F3107" s="7"/>
      <c r="G3107" s="7" t="str">
        <f t="shared" si="1083"/>
        <v>事業用資産</v>
      </c>
      <c r="H3107" s="7" t="str">
        <f t="shared" si="1078"/>
        <v>棚卸以外</v>
      </c>
      <c r="I3107" s="7">
        <v>8</v>
      </c>
      <c r="J3107" s="7" t="str">
        <f>"６号棟"</f>
        <v>６号棟</v>
      </c>
      <c r="K3107" s="7" t="str">
        <f t="shared" si="1079"/>
        <v>鉄筋コンクリート造</v>
      </c>
      <c r="L3107" s="7" t="str">
        <f t="shared" si="1091"/>
        <v>S62.08.25</v>
      </c>
      <c r="M3107" s="7">
        <v>811.29</v>
      </c>
      <c r="N3107" s="7">
        <v>103655000</v>
      </c>
      <c r="O3107" s="7">
        <v>78476622</v>
      </c>
      <c r="P3107" s="7">
        <v>0</v>
      </c>
      <c r="Q3107" s="7" t="str">
        <f t="shared" si="1087"/>
        <v>都市整備部</v>
      </c>
      <c r="R3107" s="7" t="str">
        <f t="shared" si="1084"/>
        <v>住宅建築局住宅経営室</v>
      </c>
    </row>
    <row r="3108" spans="1:18" s="1" customFormat="1" x14ac:dyDescent="0.45">
      <c r="A3108" s="7" t="str">
        <f t="shared" si="1088"/>
        <v>09940003394</v>
      </c>
      <c r="B3108" s="7" t="str">
        <f t="shared" si="1089"/>
        <v>交野松塚</v>
      </c>
      <c r="C3108" s="7" t="str">
        <f t="shared" si="1085"/>
        <v>行政財産</v>
      </c>
      <c r="D3108" s="7" t="str">
        <f t="shared" si="1086"/>
        <v>公営住宅</v>
      </c>
      <c r="E3108" s="7" t="str">
        <f t="shared" si="1090"/>
        <v>大阪府交野市松塚</v>
      </c>
      <c r="F3108" s="7"/>
      <c r="G3108" s="7" t="str">
        <f t="shared" si="1083"/>
        <v>事業用資産</v>
      </c>
      <c r="H3108" s="7" t="str">
        <f t="shared" si="1078"/>
        <v>棚卸以外</v>
      </c>
      <c r="I3108" s="7">
        <v>9</v>
      </c>
      <c r="J3108" s="7" t="str">
        <f>"集会所"</f>
        <v>集会所</v>
      </c>
      <c r="K3108" s="7" t="str">
        <f t="shared" si="1079"/>
        <v>鉄筋コンクリート造</v>
      </c>
      <c r="L3108" s="7" t="str">
        <f>"S63.03.18"</f>
        <v>S63.03.18</v>
      </c>
      <c r="M3108" s="7">
        <v>33.03</v>
      </c>
      <c r="N3108" s="7">
        <v>7200000</v>
      </c>
      <c r="O3108" s="7">
        <v>5361720</v>
      </c>
      <c r="P3108" s="7">
        <v>0</v>
      </c>
      <c r="Q3108" s="7" t="str">
        <f t="shared" si="1087"/>
        <v>都市整備部</v>
      </c>
      <c r="R3108" s="7" t="str">
        <f t="shared" si="1084"/>
        <v>住宅建築局住宅経営室</v>
      </c>
    </row>
    <row r="3109" spans="1:18" s="1" customFormat="1" x14ac:dyDescent="0.45">
      <c r="A3109" s="7" t="str">
        <f>"09940003396"</f>
        <v>09940003396</v>
      </c>
      <c r="B3109" s="7" t="str">
        <f>"八田西町"</f>
        <v>八田西町</v>
      </c>
      <c r="C3109" s="7" t="str">
        <f t="shared" si="1085"/>
        <v>行政財産</v>
      </c>
      <c r="D3109" s="7" t="str">
        <f t="shared" si="1086"/>
        <v>公営住宅</v>
      </c>
      <c r="E3109" s="7" t="str">
        <f>"大阪府堺市　中区八田西町２丁"</f>
        <v>大阪府堺市　中区八田西町２丁</v>
      </c>
      <c r="F3109" s="7"/>
      <c r="G3109" s="7" t="str">
        <f t="shared" si="1083"/>
        <v>事業用資産</v>
      </c>
      <c r="H3109" s="7" t="str">
        <f t="shared" si="1078"/>
        <v>棚卸以外</v>
      </c>
      <c r="I3109" s="7">
        <v>1</v>
      </c>
      <c r="J3109" s="7" t="str">
        <f>"１～７・１３～１８号棟"</f>
        <v>１～７・１３～１８号棟</v>
      </c>
      <c r="K3109" s="7" t="str">
        <f t="shared" si="1079"/>
        <v>鉄筋コンクリート造</v>
      </c>
      <c r="L3109" s="7" t="str">
        <f>"S47.01.25"</f>
        <v>S47.01.25</v>
      </c>
      <c r="M3109" s="7">
        <v>20988.28</v>
      </c>
      <c r="N3109" s="7">
        <v>1124586030</v>
      </c>
      <c r="O3109" s="7">
        <v>1035307871</v>
      </c>
      <c r="P3109" s="7">
        <v>0</v>
      </c>
      <c r="Q3109" s="7" t="str">
        <f t="shared" si="1087"/>
        <v>都市整備部</v>
      </c>
      <c r="R3109" s="7" t="str">
        <f t="shared" si="1084"/>
        <v>住宅建築局住宅経営室</v>
      </c>
    </row>
    <row r="3110" spans="1:18" s="1" customFormat="1" x14ac:dyDescent="0.45">
      <c r="A3110" s="7" t="str">
        <f>"09940003396"</f>
        <v>09940003396</v>
      </c>
      <c r="B3110" s="7" t="str">
        <f>"八田西町"</f>
        <v>八田西町</v>
      </c>
      <c r="C3110" s="7" t="str">
        <f t="shared" si="1085"/>
        <v>行政財産</v>
      </c>
      <c r="D3110" s="7" t="str">
        <f t="shared" si="1086"/>
        <v>公営住宅</v>
      </c>
      <c r="E3110" s="7" t="str">
        <f>"大阪府堺市　中区八田西町２丁"</f>
        <v>大阪府堺市　中区八田西町２丁</v>
      </c>
      <c r="F3110" s="7"/>
      <c r="G3110" s="7" t="str">
        <f t="shared" si="1083"/>
        <v>事業用資産</v>
      </c>
      <c r="H3110" s="7" t="str">
        <f t="shared" si="1078"/>
        <v>棚卸以外</v>
      </c>
      <c r="I3110" s="7">
        <v>2</v>
      </c>
      <c r="J3110" s="7" t="str">
        <f>"１９～２１号棟"</f>
        <v>１９～２１号棟</v>
      </c>
      <c r="K3110" s="7" t="str">
        <f t="shared" si="1079"/>
        <v>鉄筋コンクリート造</v>
      </c>
      <c r="L3110" s="7" t="str">
        <f>"S47.01.25"</f>
        <v>S47.01.25</v>
      </c>
      <c r="M3110" s="7">
        <v>6037.32</v>
      </c>
      <c r="N3110" s="7">
        <v>412118149</v>
      </c>
      <c r="O3110" s="7">
        <v>297694704</v>
      </c>
      <c r="P3110" s="7">
        <v>0</v>
      </c>
      <c r="Q3110" s="7" t="str">
        <f t="shared" si="1087"/>
        <v>都市整備部</v>
      </c>
      <c r="R3110" s="7" t="str">
        <f t="shared" si="1084"/>
        <v>住宅建築局住宅経営室</v>
      </c>
    </row>
    <row r="3111" spans="1:18" s="1" customFormat="1" x14ac:dyDescent="0.45">
      <c r="A3111" s="7" t="str">
        <f>"09940003396"</f>
        <v>09940003396</v>
      </c>
      <c r="B3111" s="7" t="str">
        <f>"八田西町"</f>
        <v>八田西町</v>
      </c>
      <c r="C3111" s="7" t="str">
        <f t="shared" si="1085"/>
        <v>行政財産</v>
      </c>
      <c r="D3111" s="7" t="str">
        <f t="shared" si="1086"/>
        <v>公営住宅</v>
      </c>
      <c r="E3111" s="7" t="str">
        <f>"大阪府堺市　中区八田西町２丁"</f>
        <v>大阪府堺市　中区八田西町２丁</v>
      </c>
      <c r="F3111" s="7"/>
      <c r="G3111" s="7" t="str">
        <f t="shared" si="1083"/>
        <v>事業用資産</v>
      </c>
      <c r="H3111" s="7" t="str">
        <f t="shared" si="1078"/>
        <v>棚卸以外</v>
      </c>
      <c r="I3111" s="7">
        <v>3</v>
      </c>
      <c r="J3111" s="7" t="str">
        <f>"集会室"</f>
        <v>集会室</v>
      </c>
      <c r="K3111" s="7" t="str">
        <f t="shared" si="1079"/>
        <v>鉄筋コンクリート造</v>
      </c>
      <c r="L3111" s="7" t="str">
        <f>"S47.01.25"</f>
        <v>S47.01.25</v>
      </c>
      <c r="M3111" s="7">
        <v>143.91999999999999</v>
      </c>
      <c r="N3111" s="7">
        <v>12427891</v>
      </c>
      <c r="O3111" s="7">
        <v>12427890</v>
      </c>
      <c r="P3111" s="7">
        <v>0</v>
      </c>
      <c r="Q3111" s="7" t="str">
        <f t="shared" si="1087"/>
        <v>都市整備部</v>
      </c>
      <c r="R3111" s="7" t="str">
        <f t="shared" si="1084"/>
        <v>住宅建築局住宅経営室</v>
      </c>
    </row>
    <row r="3112" spans="1:18" s="1" customFormat="1" x14ac:dyDescent="0.45">
      <c r="A3112" s="7" t="str">
        <f t="shared" ref="A3112:A3132" si="1092">"09940003398"</f>
        <v>09940003398</v>
      </c>
      <c r="B3112" s="7" t="str">
        <f t="shared" ref="B3112:B3132" si="1093">"竹城台第４・堺竹城台４丁"</f>
        <v>竹城台第４・堺竹城台４丁</v>
      </c>
      <c r="C3112" s="7" t="str">
        <f t="shared" si="1085"/>
        <v>行政財産</v>
      </c>
      <c r="D3112" s="7" t="str">
        <f t="shared" si="1086"/>
        <v>公営住宅</v>
      </c>
      <c r="E3112" s="7" t="str">
        <f t="shared" ref="E3112:E3132" si="1094">"大阪府堺市　南区竹城台４丁"</f>
        <v>大阪府堺市　南区竹城台４丁</v>
      </c>
      <c r="F3112" s="7"/>
      <c r="G3112" s="7" t="str">
        <f t="shared" si="1083"/>
        <v>事業用資産</v>
      </c>
      <c r="H3112" s="7" t="str">
        <f t="shared" si="1078"/>
        <v>棚卸以外</v>
      </c>
      <c r="I3112" s="7">
        <v>1</v>
      </c>
      <c r="J3112" s="7" t="str">
        <f>"１～９号棟"</f>
        <v>１～９号棟</v>
      </c>
      <c r="K3112" s="7" t="str">
        <f t="shared" si="1079"/>
        <v>鉄筋コンクリート造</v>
      </c>
      <c r="L3112" s="7" t="str">
        <f>"S44.01.31"</f>
        <v>S44.01.31</v>
      </c>
      <c r="M3112" s="7">
        <v>13035.61</v>
      </c>
      <c r="N3112" s="7">
        <v>391173502</v>
      </c>
      <c r="O3112" s="7">
        <v>378089019</v>
      </c>
      <c r="P3112" s="7">
        <v>0</v>
      </c>
      <c r="Q3112" s="7" t="str">
        <f t="shared" si="1087"/>
        <v>都市整備部</v>
      </c>
      <c r="R3112" s="7" t="str">
        <f t="shared" si="1084"/>
        <v>住宅建築局住宅経営室</v>
      </c>
    </row>
    <row r="3113" spans="1:18" s="1" customFormat="1" x14ac:dyDescent="0.45">
      <c r="A3113" s="7" t="str">
        <f t="shared" si="1092"/>
        <v>09940003398</v>
      </c>
      <c r="B3113" s="7" t="str">
        <f t="shared" si="1093"/>
        <v>竹城台第４・堺竹城台４丁</v>
      </c>
      <c r="C3113" s="7" t="str">
        <f t="shared" si="1085"/>
        <v>行政財産</v>
      </c>
      <c r="D3113" s="7" t="str">
        <f t="shared" si="1086"/>
        <v>公営住宅</v>
      </c>
      <c r="E3113" s="7" t="str">
        <f t="shared" si="1094"/>
        <v>大阪府堺市　南区竹城台４丁</v>
      </c>
      <c r="F3113" s="7"/>
      <c r="G3113" s="7" t="str">
        <f t="shared" si="1083"/>
        <v>事業用資産</v>
      </c>
      <c r="H3113" s="7" t="str">
        <f t="shared" si="1078"/>
        <v>棚卸以外</v>
      </c>
      <c r="I3113" s="7">
        <v>2</v>
      </c>
      <c r="J3113" s="7" t="str">
        <f>"２号棟増築"</f>
        <v>２号棟増築</v>
      </c>
      <c r="K3113" s="7" t="str">
        <f t="shared" si="1079"/>
        <v>鉄筋コンクリート造</v>
      </c>
      <c r="L3113" s="7" t="str">
        <f>"S57.02.21"</f>
        <v>S57.02.21</v>
      </c>
      <c r="M3113" s="7">
        <v>433.44</v>
      </c>
      <c r="N3113" s="7">
        <v>49446000</v>
      </c>
      <c r="O3113" s="7">
        <v>43221803</v>
      </c>
      <c r="P3113" s="7">
        <v>0</v>
      </c>
      <c r="Q3113" s="7" t="str">
        <f t="shared" si="1087"/>
        <v>都市整備部</v>
      </c>
      <c r="R3113" s="7" t="str">
        <f t="shared" si="1084"/>
        <v>住宅建築局住宅経営室</v>
      </c>
    </row>
    <row r="3114" spans="1:18" s="1" customFormat="1" x14ac:dyDescent="0.45">
      <c r="A3114" s="7" t="str">
        <f t="shared" si="1092"/>
        <v>09940003398</v>
      </c>
      <c r="B3114" s="7" t="str">
        <f t="shared" si="1093"/>
        <v>竹城台第４・堺竹城台４丁</v>
      </c>
      <c r="C3114" s="7" t="str">
        <f t="shared" si="1085"/>
        <v>行政財産</v>
      </c>
      <c r="D3114" s="7" t="str">
        <f t="shared" si="1086"/>
        <v>公営住宅</v>
      </c>
      <c r="E3114" s="7" t="str">
        <f t="shared" si="1094"/>
        <v>大阪府堺市　南区竹城台４丁</v>
      </c>
      <c r="F3114" s="7"/>
      <c r="G3114" s="7" t="str">
        <f t="shared" si="1083"/>
        <v>事業用資産</v>
      </c>
      <c r="H3114" s="7" t="str">
        <f t="shared" si="1078"/>
        <v>棚卸以外</v>
      </c>
      <c r="I3114" s="7">
        <v>3</v>
      </c>
      <c r="J3114" s="7" t="str">
        <f>"３号棟増築"</f>
        <v>３号棟増築</v>
      </c>
      <c r="K3114" s="7" t="str">
        <f t="shared" si="1079"/>
        <v>鉄筋コンクリート造</v>
      </c>
      <c r="L3114" s="7" t="str">
        <f>"S57.02.21"</f>
        <v>S57.02.21</v>
      </c>
      <c r="M3114" s="7">
        <v>650.16999999999996</v>
      </c>
      <c r="N3114" s="7">
        <v>74696000</v>
      </c>
      <c r="O3114" s="7">
        <v>65292920</v>
      </c>
      <c r="P3114" s="7">
        <v>0</v>
      </c>
      <c r="Q3114" s="7" t="str">
        <f t="shared" si="1087"/>
        <v>都市整備部</v>
      </c>
      <c r="R3114" s="7" t="str">
        <f t="shared" si="1084"/>
        <v>住宅建築局住宅経営室</v>
      </c>
    </row>
    <row r="3115" spans="1:18" s="1" customFormat="1" x14ac:dyDescent="0.45">
      <c r="A3115" s="7" t="str">
        <f t="shared" si="1092"/>
        <v>09940003398</v>
      </c>
      <c r="B3115" s="7" t="str">
        <f t="shared" si="1093"/>
        <v>竹城台第４・堺竹城台４丁</v>
      </c>
      <c r="C3115" s="7" t="str">
        <f t="shared" si="1085"/>
        <v>行政財産</v>
      </c>
      <c r="D3115" s="7" t="str">
        <f t="shared" si="1086"/>
        <v>公営住宅</v>
      </c>
      <c r="E3115" s="7" t="str">
        <f t="shared" si="1094"/>
        <v>大阪府堺市　南区竹城台４丁</v>
      </c>
      <c r="F3115" s="7"/>
      <c r="G3115" s="7" t="str">
        <f t="shared" si="1083"/>
        <v>事業用資産</v>
      </c>
      <c r="H3115" s="7" t="str">
        <f t="shared" si="1078"/>
        <v>棚卸以外</v>
      </c>
      <c r="I3115" s="7">
        <v>5</v>
      </c>
      <c r="J3115" s="7" t="str">
        <f>"５号棟増築"</f>
        <v>５号棟増築</v>
      </c>
      <c r="K3115" s="7" t="str">
        <f t="shared" si="1079"/>
        <v>鉄筋コンクリート造</v>
      </c>
      <c r="L3115" s="7" t="str">
        <f>"S57.02.21"</f>
        <v>S57.02.21</v>
      </c>
      <c r="M3115" s="7">
        <v>650.16999999999996</v>
      </c>
      <c r="N3115" s="7">
        <v>73343000</v>
      </c>
      <c r="O3115" s="7">
        <v>64110213</v>
      </c>
      <c r="P3115" s="7">
        <v>0</v>
      </c>
      <c r="Q3115" s="7" t="str">
        <f t="shared" si="1087"/>
        <v>都市整備部</v>
      </c>
      <c r="R3115" s="7" t="str">
        <f t="shared" si="1084"/>
        <v>住宅建築局住宅経営室</v>
      </c>
    </row>
    <row r="3116" spans="1:18" s="1" customFormat="1" x14ac:dyDescent="0.45">
      <c r="A3116" s="7" t="str">
        <f t="shared" si="1092"/>
        <v>09940003398</v>
      </c>
      <c r="B3116" s="7" t="str">
        <f t="shared" si="1093"/>
        <v>竹城台第４・堺竹城台４丁</v>
      </c>
      <c r="C3116" s="7" t="str">
        <f t="shared" si="1085"/>
        <v>行政財産</v>
      </c>
      <c r="D3116" s="7" t="str">
        <f t="shared" si="1086"/>
        <v>公営住宅</v>
      </c>
      <c r="E3116" s="7" t="str">
        <f t="shared" si="1094"/>
        <v>大阪府堺市　南区竹城台４丁</v>
      </c>
      <c r="F3116" s="7"/>
      <c r="G3116" s="7" t="str">
        <f t="shared" si="1083"/>
        <v>事業用資産</v>
      </c>
      <c r="H3116" s="7" t="str">
        <f t="shared" si="1078"/>
        <v>棚卸以外</v>
      </c>
      <c r="I3116" s="7">
        <v>6</v>
      </c>
      <c r="J3116" s="7" t="str">
        <f>"６号棟増築"</f>
        <v>６号棟増築</v>
      </c>
      <c r="K3116" s="7" t="str">
        <f t="shared" si="1079"/>
        <v>鉄筋コンクリート造</v>
      </c>
      <c r="L3116" s="7" t="str">
        <f>"S57.02.21"</f>
        <v>S57.02.21</v>
      </c>
      <c r="M3116" s="7">
        <v>650.16999999999996</v>
      </c>
      <c r="N3116" s="7">
        <v>73343000</v>
      </c>
      <c r="O3116" s="7">
        <v>64110213</v>
      </c>
      <c r="P3116" s="7">
        <v>0</v>
      </c>
      <c r="Q3116" s="7" t="str">
        <f t="shared" si="1087"/>
        <v>都市整備部</v>
      </c>
      <c r="R3116" s="7" t="str">
        <f t="shared" si="1084"/>
        <v>住宅建築局住宅経営室</v>
      </c>
    </row>
    <row r="3117" spans="1:18" s="1" customFormat="1" x14ac:dyDescent="0.45">
      <c r="A3117" s="7" t="str">
        <f t="shared" si="1092"/>
        <v>09940003398</v>
      </c>
      <c r="B3117" s="7" t="str">
        <f t="shared" si="1093"/>
        <v>竹城台第４・堺竹城台４丁</v>
      </c>
      <c r="C3117" s="7" t="str">
        <f t="shared" si="1085"/>
        <v>行政財産</v>
      </c>
      <c r="D3117" s="7" t="str">
        <f t="shared" si="1086"/>
        <v>公営住宅</v>
      </c>
      <c r="E3117" s="7" t="str">
        <f t="shared" si="1094"/>
        <v>大阪府堺市　南区竹城台４丁</v>
      </c>
      <c r="F3117" s="7"/>
      <c r="G3117" s="7" t="str">
        <f t="shared" si="1083"/>
        <v>事業用資産</v>
      </c>
      <c r="H3117" s="7" t="str">
        <f t="shared" si="1078"/>
        <v>棚卸以外</v>
      </c>
      <c r="I3117" s="7">
        <v>7</v>
      </c>
      <c r="J3117" s="7" t="str">
        <f>"８号棟増築"</f>
        <v>８号棟増築</v>
      </c>
      <c r="K3117" s="7" t="str">
        <f t="shared" si="1079"/>
        <v>鉄筋コンクリート造</v>
      </c>
      <c r="L3117" s="7" t="str">
        <f>"S57.03.24"</f>
        <v>S57.03.24</v>
      </c>
      <c r="M3117" s="7">
        <v>650.16999999999996</v>
      </c>
      <c r="N3117" s="7">
        <v>77697000</v>
      </c>
      <c r="O3117" s="7">
        <v>67778412</v>
      </c>
      <c r="P3117" s="7">
        <v>0</v>
      </c>
      <c r="Q3117" s="7" t="str">
        <f t="shared" si="1087"/>
        <v>都市整備部</v>
      </c>
      <c r="R3117" s="7" t="str">
        <f t="shared" si="1084"/>
        <v>住宅建築局住宅経営室</v>
      </c>
    </row>
    <row r="3118" spans="1:18" s="1" customFormat="1" x14ac:dyDescent="0.45">
      <c r="A3118" s="7" t="str">
        <f t="shared" si="1092"/>
        <v>09940003398</v>
      </c>
      <c r="B3118" s="7" t="str">
        <f t="shared" si="1093"/>
        <v>竹城台第４・堺竹城台４丁</v>
      </c>
      <c r="C3118" s="7" t="str">
        <f t="shared" si="1085"/>
        <v>行政財産</v>
      </c>
      <c r="D3118" s="7" t="str">
        <f t="shared" si="1086"/>
        <v>公営住宅</v>
      </c>
      <c r="E3118" s="7" t="str">
        <f t="shared" si="1094"/>
        <v>大阪府堺市　南区竹城台４丁</v>
      </c>
      <c r="F3118" s="7"/>
      <c r="G3118" s="7" t="str">
        <f t="shared" si="1083"/>
        <v>事業用資産</v>
      </c>
      <c r="H3118" s="7" t="str">
        <f t="shared" si="1078"/>
        <v>棚卸以外</v>
      </c>
      <c r="I3118" s="7">
        <v>8</v>
      </c>
      <c r="J3118" s="7" t="str">
        <f>"９号棟増築"</f>
        <v>９号棟増築</v>
      </c>
      <c r="K3118" s="7" t="str">
        <f t="shared" si="1079"/>
        <v>鉄筋コンクリート造</v>
      </c>
      <c r="L3118" s="7" t="str">
        <f>"S57.03.24"</f>
        <v>S57.03.24</v>
      </c>
      <c r="M3118" s="7">
        <v>650.16999999999996</v>
      </c>
      <c r="N3118" s="7">
        <v>77697000</v>
      </c>
      <c r="O3118" s="7">
        <v>67778412</v>
      </c>
      <c r="P3118" s="7">
        <v>0</v>
      </c>
      <c r="Q3118" s="7" t="str">
        <f t="shared" si="1087"/>
        <v>都市整備部</v>
      </c>
      <c r="R3118" s="7" t="str">
        <f t="shared" si="1084"/>
        <v>住宅建築局住宅経営室</v>
      </c>
    </row>
    <row r="3119" spans="1:18" s="1" customFormat="1" x14ac:dyDescent="0.45">
      <c r="A3119" s="7" t="str">
        <f t="shared" si="1092"/>
        <v>09940003398</v>
      </c>
      <c r="B3119" s="7" t="str">
        <f t="shared" si="1093"/>
        <v>竹城台第４・堺竹城台４丁</v>
      </c>
      <c r="C3119" s="7" t="str">
        <f t="shared" si="1085"/>
        <v>行政財産</v>
      </c>
      <c r="D3119" s="7" t="str">
        <f t="shared" si="1086"/>
        <v>公営住宅</v>
      </c>
      <c r="E3119" s="7" t="str">
        <f t="shared" si="1094"/>
        <v>大阪府堺市　南区竹城台４丁</v>
      </c>
      <c r="F3119" s="7"/>
      <c r="G3119" s="7" t="str">
        <f t="shared" si="1083"/>
        <v>事業用資産</v>
      </c>
      <c r="H3119" s="7" t="str">
        <f t="shared" si="1078"/>
        <v>棚卸以外</v>
      </c>
      <c r="I3119" s="7">
        <v>10</v>
      </c>
      <c r="J3119" s="7" t="str">
        <f>"集会所"</f>
        <v>集会所</v>
      </c>
      <c r="K3119" s="7" t="str">
        <f t="shared" si="1079"/>
        <v>鉄筋コンクリート造</v>
      </c>
      <c r="L3119" s="7" t="str">
        <f>"S60.08.01"</f>
        <v>S60.08.01</v>
      </c>
      <c r="M3119" s="7">
        <v>81.849999999999994</v>
      </c>
      <c r="N3119" s="7">
        <v>18800000</v>
      </c>
      <c r="O3119" s="7">
        <v>13269077</v>
      </c>
      <c r="P3119" s="7">
        <v>0</v>
      </c>
      <c r="Q3119" s="7" t="str">
        <f t="shared" si="1087"/>
        <v>都市整備部</v>
      </c>
      <c r="R3119" s="7" t="str">
        <f t="shared" si="1084"/>
        <v>住宅建築局住宅経営室</v>
      </c>
    </row>
    <row r="3120" spans="1:18" s="1" customFormat="1" x14ac:dyDescent="0.45">
      <c r="A3120" s="7" t="str">
        <f t="shared" si="1092"/>
        <v>09940003398</v>
      </c>
      <c r="B3120" s="7" t="str">
        <f t="shared" si="1093"/>
        <v>竹城台第４・堺竹城台４丁</v>
      </c>
      <c r="C3120" s="7" t="str">
        <f t="shared" si="1085"/>
        <v>行政財産</v>
      </c>
      <c r="D3120" s="7" t="str">
        <f t="shared" si="1086"/>
        <v>公営住宅</v>
      </c>
      <c r="E3120" s="7" t="str">
        <f t="shared" si="1094"/>
        <v>大阪府堺市　南区竹城台４丁</v>
      </c>
      <c r="F3120" s="7"/>
      <c r="G3120" s="7" t="str">
        <f t="shared" si="1083"/>
        <v>事業用資産</v>
      </c>
      <c r="H3120" s="7" t="str">
        <f t="shared" si="1078"/>
        <v>棚卸以外</v>
      </c>
      <c r="I3120" s="7">
        <v>11</v>
      </c>
      <c r="J3120" s="7" t="str">
        <f>"１号棟増築"</f>
        <v>１号棟増築</v>
      </c>
      <c r="K3120" s="7" t="str">
        <f t="shared" si="1079"/>
        <v>鉄筋コンクリート造</v>
      </c>
      <c r="L3120" s="7" t="str">
        <f>"S61.11.27"</f>
        <v>S61.11.27</v>
      </c>
      <c r="M3120" s="7">
        <v>481.79</v>
      </c>
      <c r="N3120" s="7">
        <v>85113000</v>
      </c>
      <c r="O3120" s="7">
        <v>65796760</v>
      </c>
      <c r="P3120" s="7">
        <v>0</v>
      </c>
      <c r="Q3120" s="7" t="str">
        <f t="shared" si="1087"/>
        <v>都市整備部</v>
      </c>
      <c r="R3120" s="7" t="str">
        <f t="shared" si="1084"/>
        <v>住宅建築局住宅経営室</v>
      </c>
    </row>
    <row r="3121" spans="1:18" s="1" customFormat="1" x14ac:dyDescent="0.45">
      <c r="A3121" s="7" t="str">
        <f t="shared" si="1092"/>
        <v>09940003398</v>
      </c>
      <c r="B3121" s="7" t="str">
        <f t="shared" si="1093"/>
        <v>竹城台第４・堺竹城台４丁</v>
      </c>
      <c r="C3121" s="7" t="str">
        <f t="shared" si="1085"/>
        <v>行政財産</v>
      </c>
      <c r="D3121" s="7" t="str">
        <f t="shared" si="1086"/>
        <v>公営住宅</v>
      </c>
      <c r="E3121" s="7" t="str">
        <f t="shared" si="1094"/>
        <v>大阪府堺市　南区竹城台４丁</v>
      </c>
      <c r="F3121" s="7"/>
      <c r="G3121" s="7" t="str">
        <f t="shared" si="1083"/>
        <v>事業用資産</v>
      </c>
      <c r="H3121" s="7" t="str">
        <f t="shared" si="1078"/>
        <v>棚卸以外</v>
      </c>
      <c r="I3121" s="7">
        <v>12</v>
      </c>
      <c r="J3121" s="7" t="str">
        <f>"２号棟増築"</f>
        <v>２号棟増築</v>
      </c>
      <c r="K3121" s="7" t="str">
        <f t="shared" si="1079"/>
        <v>鉄筋コンクリート造</v>
      </c>
      <c r="L3121" s="7" t="str">
        <f>"S61.11.27"</f>
        <v>S61.11.27</v>
      </c>
      <c r="M3121" s="7">
        <v>160.59</v>
      </c>
      <c r="N3121" s="7">
        <v>35005000</v>
      </c>
      <c r="O3121" s="7">
        <v>27060776</v>
      </c>
      <c r="P3121" s="7">
        <v>0</v>
      </c>
      <c r="Q3121" s="7" t="str">
        <f t="shared" si="1087"/>
        <v>都市整備部</v>
      </c>
      <c r="R3121" s="7" t="str">
        <f t="shared" si="1084"/>
        <v>住宅建築局住宅経営室</v>
      </c>
    </row>
    <row r="3122" spans="1:18" s="1" customFormat="1" x14ac:dyDescent="0.45">
      <c r="A3122" s="7" t="str">
        <f t="shared" si="1092"/>
        <v>09940003398</v>
      </c>
      <c r="B3122" s="7" t="str">
        <f t="shared" si="1093"/>
        <v>竹城台第４・堺竹城台４丁</v>
      </c>
      <c r="C3122" s="7" t="str">
        <f t="shared" si="1085"/>
        <v>行政財産</v>
      </c>
      <c r="D3122" s="7" t="str">
        <f t="shared" si="1086"/>
        <v>公営住宅</v>
      </c>
      <c r="E3122" s="7" t="str">
        <f t="shared" si="1094"/>
        <v>大阪府堺市　南区竹城台４丁</v>
      </c>
      <c r="F3122" s="7"/>
      <c r="G3122" s="7" t="str">
        <f t="shared" si="1083"/>
        <v>事業用資産</v>
      </c>
      <c r="H3122" s="7" t="str">
        <f t="shared" si="1078"/>
        <v>棚卸以外</v>
      </c>
      <c r="I3122" s="7">
        <v>13</v>
      </c>
      <c r="J3122" s="7" t="str">
        <f>"４号棟増築"</f>
        <v>４号棟増築</v>
      </c>
      <c r="K3122" s="7" t="str">
        <f t="shared" si="1079"/>
        <v>鉄筋コンクリート造</v>
      </c>
      <c r="L3122" s="7" t="str">
        <f>"S61.11.27"</f>
        <v>S61.11.27</v>
      </c>
      <c r="M3122" s="7">
        <v>481.79</v>
      </c>
      <c r="N3122" s="7">
        <v>85109000</v>
      </c>
      <c r="O3122" s="7">
        <v>65793708</v>
      </c>
      <c r="P3122" s="7">
        <v>0</v>
      </c>
      <c r="Q3122" s="7" t="str">
        <f t="shared" si="1087"/>
        <v>都市整備部</v>
      </c>
      <c r="R3122" s="7" t="str">
        <f t="shared" si="1084"/>
        <v>住宅建築局住宅経営室</v>
      </c>
    </row>
    <row r="3123" spans="1:18" s="1" customFormat="1" x14ac:dyDescent="0.45">
      <c r="A3123" s="7" t="str">
        <f t="shared" si="1092"/>
        <v>09940003398</v>
      </c>
      <c r="B3123" s="7" t="str">
        <f t="shared" si="1093"/>
        <v>竹城台第４・堺竹城台４丁</v>
      </c>
      <c r="C3123" s="7" t="str">
        <f t="shared" si="1085"/>
        <v>行政財産</v>
      </c>
      <c r="D3123" s="7" t="str">
        <f t="shared" si="1086"/>
        <v>公営住宅</v>
      </c>
      <c r="E3123" s="7" t="str">
        <f t="shared" si="1094"/>
        <v>大阪府堺市　南区竹城台４丁</v>
      </c>
      <c r="F3123" s="7"/>
      <c r="G3123" s="7" t="str">
        <f t="shared" si="1083"/>
        <v>事業用資産</v>
      </c>
      <c r="H3123" s="7" t="str">
        <f t="shared" si="1078"/>
        <v>棚卸以外</v>
      </c>
      <c r="I3123" s="7">
        <v>14</v>
      </c>
      <c r="J3123" s="7" t="str">
        <f>"７号棟増築"</f>
        <v>７号棟増築</v>
      </c>
      <c r="K3123" s="7" t="str">
        <f t="shared" si="1079"/>
        <v>鉄筋コンクリート造</v>
      </c>
      <c r="L3123" s="7" t="str">
        <f>"S61.11.27"</f>
        <v>S61.11.27</v>
      </c>
      <c r="M3123" s="7">
        <v>481.79</v>
      </c>
      <c r="N3123" s="7">
        <v>85106000</v>
      </c>
      <c r="O3123" s="7">
        <v>65791528</v>
      </c>
      <c r="P3123" s="7">
        <v>0</v>
      </c>
      <c r="Q3123" s="7" t="str">
        <f t="shared" si="1087"/>
        <v>都市整備部</v>
      </c>
      <c r="R3123" s="7" t="str">
        <f t="shared" si="1084"/>
        <v>住宅建築局住宅経営室</v>
      </c>
    </row>
    <row r="3124" spans="1:18" s="1" customFormat="1" x14ac:dyDescent="0.45">
      <c r="A3124" s="7" t="str">
        <f t="shared" si="1092"/>
        <v>09940003398</v>
      </c>
      <c r="B3124" s="7" t="str">
        <f t="shared" si="1093"/>
        <v>竹城台第４・堺竹城台４丁</v>
      </c>
      <c r="C3124" s="7" t="str">
        <f t="shared" si="1085"/>
        <v>行政財産</v>
      </c>
      <c r="D3124" s="7" t="str">
        <f t="shared" si="1086"/>
        <v>公営住宅</v>
      </c>
      <c r="E3124" s="7" t="str">
        <f t="shared" si="1094"/>
        <v>大阪府堺市　南区竹城台４丁</v>
      </c>
      <c r="F3124" s="7"/>
      <c r="G3124" s="7" t="str">
        <f t="shared" si="1083"/>
        <v>事業用資産</v>
      </c>
      <c r="H3124" s="7" t="str">
        <f t="shared" si="1078"/>
        <v>棚卸以外</v>
      </c>
      <c r="I3124" s="7">
        <v>21</v>
      </c>
      <c r="J3124" s="7" t="str">
        <f>"集会所"</f>
        <v>集会所</v>
      </c>
      <c r="K3124" s="7" t="str">
        <f t="shared" ref="K3124:K3129" si="1095">"鉄筋コンクリート造"</f>
        <v>鉄筋コンクリート造</v>
      </c>
      <c r="L3124" s="7" t="str">
        <f>"S44.01.31"</f>
        <v>S44.01.31</v>
      </c>
      <c r="M3124" s="7">
        <v>67.2</v>
      </c>
      <c r="N3124" s="7">
        <v>2776103</v>
      </c>
      <c r="O3124" s="7">
        <v>2776102</v>
      </c>
      <c r="P3124" s="7">
        <v>0</v>
      </c>
      <c r="Q3124" s="7" t="str">
        <f t="shared" si="1087"/>
        <v>都市整備部</v>
      </c>
      <c r="R3124" s="7" t="str">
        <f t="shared" si="1084"/>
        <v>住宅建築局住宅経営室</v>
      </c>
    </row>
    <row r="3125" spans="1:18" s="1" customFormat="1" x14ac:dyDescent="0.45">
      <c r="A3125" s="7" t="str">
        <f t="shared" si="1092"/>
        <v>09940003398</v>
      </c>
      <c r="B3125" s="7" t="str">
        <f t="shared" si="1093"/>
        <v>竹城台第４・堺竹城台４丁</v>
      </c>
      <c r="C3125" s="7" t="str">
        <f t="shared" si="1085"/>
        <v>行政財産</v>
      </c>
      <c r="D3125" s="7" t="str">
        <f t="shared" si="1086"/>
        <v>公営住宅</v>
      </c>
      <c r="E3125" s="7" t="str">
        <f t="shared" si="1094"/>
        <v>大阪府堺市　南区竹城台４丁</v>
      </c>
      <c r="F3125" s="7"/>
      <c r="G3125" s="7" t="str">
        <f t="shared" si="1083"/>
        <v>事業用資産</v>
      </c>
      <c r="H3125" s="7" t="str">
        <f t="shared" si="1078"/>
        <v>棚卸以外</v>
      </c>
      <c r="I3125" s="7">
        <v>22</v>
      </c>
      <c r="J3125" s="7" t="str">
        <f>"堺竹城台４丁（２号棟）"</f>
        <v>堺竹城台４丁（２号棟）</v>
      </c>
      <c r="K3125" s="7" t="str">
        <f t="shared" si="1095"/>
        <v>鉄筋コンクリート造</v>
      </c>
      <c r="L3125" s="7" t="str">
        <f>"H29.06.01"</f>
        <v>H29.06.01</v>
      </c>
      <c r="M3125" s="7">
        <v>8313.44</v>
      </c>
      <c r="N3125" s="7">
        <v>1537934245</v>
      </c>
      <c r="O3125" s="7">
        <v>188151546</v>
      </c>
      <c r="P3125" s="7">
        <v>0</v>
      </c>
      <c r="Q3125" s="7" t="str">
        <f t="shared" si="1087"/>
        <v>都市整備部</v>
      </c>
      <c r="R3125" s="7" t="str">
        <f t="shared" si="1084"/>
        <v>住宅建築局住宅経営室</v>
      </c>
    </row>
    <row r="3126" spans="1:18" s="1" customFormat="1" x14ac:dyDescent="0.45">
      <c r="A3126" s="7" t="str">
        <f t="shared" si="1092"/>
        <v>09940003398</v>
      </c>
      <c r="B3126" s="7" t="str">
        <f t="shared" si="1093"/>
        <v>竹城台第４・堺竹城台４丁</v>
      </c>
      <c r="C3126" s="7" t="str">
        <f t="shared" si="1085"/>
        <v>行政財産</v>
      </c>
      <c r="D3126" s="7" t="str">
        <f t="shared" si="1086"/>
        <v>公営住宅</v>
      </c>
      <c r="E3126" s="7" t="str">
        <f t="shared" si="1094"/>
        <v>大阪府堺市　南区竹城台４丁</v>
      </c>
      <c r="F3126" s="7"/>
      <c r="G3126" s="7" t="str">
        <f t="shared" si="1083"/>
        <v>事業用資産</v>
      </c>
      <c r="H3126" s="7" t="str">
        <f t="shared" si="1078"/>
        <v>棚卸以外</v>
      </c>
      <c r="I3126" s="7">
        <v>23</v>
      </c>
      <c r="J3126" s="7" t="str">
        <f>"堺竹城台４丁（３号棟）"</f>
        <v>堺竹城台４丁（３号棟）</v>
      </c>
      <c r="K3126" s="7" t="str">
        <f t="shared" si="1095"/>
        <v>鉄筋コンクリート造</v>
      </c>
      <c r="L3126" s="7" t="str">
        <f>"H29.06.01"</f>
        <v>H29.06.01</v>
      </c>
      <c r="M3126" s="7">
        <v>5369.41</v>
      </c>
      <c r="N3126" s="7">
        <v>985967906</v>
      </c>
      <c r="O3126" s="7">
        <v>120623799</v>
      </c>
      <c r="P3126" s="7">
        <v>0</v>
      </c>
      <c r="Q3126" s="7" t="str">
        <f t="shared" si="1087"/>
        <v>都市整備部</v>
      </c>
      <c r="R3126" s="7" t="str">
        <f t="shared" si="1084"/>
        <v>住宅建築局住宅経営室</v>
      </c>
    </row>
    <row r="3127" spans="1:18" s="1" customFormat="1" x14ac:dyDescent="0.45">
      <c r="A3127" s="7" t="str">
        <f t="shared" si="1092"/>
        <v>09940003398</v>
      </c>
      <c r="B3127" s="7" t="str">
        <f t="shared" si="1093"/>
        <v>竹城台第４・堺竹城台４丁</v>
      </c>
      <c r="C3127" s="7" t="str">
        <f t="shared" si="1085"/>
        <v>行政財産</v>
      </c>
      <c r="D3127" s="7" t="str">
        <f t="shared" si="1086"/>
        <v>公営住宅</v>
      </c>
      <c r="E3127" s="7" t="str">
        <f t="shared" si="1094"/>
        <v>大阪府堺市　南区竹城台４丁</v>
      </c>
      <c r="F3127" s="7"/>
      <c r="G3127" s="7" t="str">
        <f t="shared" si="1083"/>
        <v>事業用資産</v>
      </c>
      <c r="H3127" s="7" t="str">
        <f t="shared" si="1078"/>
        <v>棚卸以外</v>
      </c>
      <c r="I3127" s="7">
        <v>24</v>
      </c>
      <c r="J3127" s="7" t="str">
        <f>"堺竹城台４丁（受水槽・ポンプ室）"</f>
        <v>堺竹城台４丁（受水槽・ポンプ室）</v>
      </c>
      <c r="K3127" s="7" t="str">
        <f t="shared" si="1095"/>
        <v>鉄筋コンクリート造</v>
      </c>
      <c r="L3127" s="7" t="str">
        <f>"H29.06.01"</f>
        <v>H29.06.01</v>
      </c>
      <c r="M3127" s="7">
        <v>158.1</v>
      </c>
      <c r="N3127" s="7">
        <v>49887518</v>
      </c>
      <c r="O3127" s="7">
        <v>6103326</v>
      </c>
      <c r="P3127" s="7">
        <v>0</v>
      </c>
      <c r="Q3127" s="7" t="str">
        <f t="shared" si="1087"/>
        <v>都市整備部</v>
      </c>
      <c r="R3127" s="7" t="str">
        <f t="shared" si="1084"/>
        <v>住宅建築局住宅経営室</v>
      </c>
    </row>
    <row r="3128" spans="1:18" s="1" customFormat="1" x14ac:dyDescent="0.45">
      <c r="A3128" s="7" t="str">
        <f t="shared" si="1092"/>
        <v>09940003398</v>
      </c>
      <c r="B3128" s="7" t="str">
        <f t="shared" si="1093"/>
        <v>竹城台第４・堺竹城台４丁</v>
      </c>
      <c r="C3128" s="7" t="str">
        <f t="shared" si="1085"/>
        <v>行政財産</v>
      </c>
      <c r="D3128" s="7" t="str">
        <f t="shared" si="1086"/>
        <v>公営住宅</v>
      </c>
      <c r="E3128" s="7" t="str">
        <f t="shared" si="1094"/>
        <v>大阪府堺市　南区竹城台４丁</v>
      </c>
      <c r="F3128" s="7"/>
      <c r="G3128" s="7" t="str">
        <f t="shared" si="1083"/>
        <v>事業用資産</v>
      </c>
      <c r="H3128" s="7" t="str">
        <f t="shared" si="1078"/>
        <v>棚卸以外</v>
      </c>
      <c r="I3128" s="7">
        <v>25</v>
      </c>
      <c r="J3128" s="7" t="str">
        <f>"堺竹城台４丁（ゴミ置場）"</f>
        <v>堺竹城台４丁（ゴミ置場）</v>
      </c>
      <c r="K3128" s="7" t="str">
        <f t="shared" si="1095"/>
        <v>鉄筋コンクリート造</v>
      </c>
      <c r="L3128" s="7" t="str">
        <f>"H29.06.01"</f>
        <v>H29.06.01</v>
      </c>
      <c r="M3128" s="7">
        <v>78.97</v>
      </c>
      <c r="N3128" s="7">
        <v>2307090</v>
      </c>
      <c r="O3128" s="7">
        <v>282279</v>
      </c>
      <c r="P3128" s="7">
        <v>0</v>
      </c>
      <c r="Q3128" s="7" t="str">
        <f t="shared" si="1087"/>
        <v>都市整備部</v>
      </c>
      <c r="R3128" s="7" t="str">
        <f t="shared" si="1084"/>
        <v>住宅建築局住宅経営室</v>
      </c>
    </row>
    <row r="3129" spans="1:18" s="1" customFormat="1" x14ac:dyDescent="0.45">
      <c r="A3129" s="7" t="str">
        <f t="shared" si="1092"/>
        <v>09940003398</v>
      </c>
      <c r="B3129" s="7" t="str">
        <f t="shared" si="1093"/>
        <v>竹城台第４・堺竹城台４丁</v>
      </c>
      <c r="C3129" s="7" t="str">
        <f t="shared" si="1085"/>
        <v>行政財産</v>
      </c>
      <c r="D3129" s="7" t="str">
        <f t="shared" si="1086"/>
        <v>公営住宅</v>
      </c>
      <c r="E3129" s="7" t="str">
        <f t="shared" si="1094"/>
        <v>大阪府堺市　南区竹城台４丁</v>
      </c>
      <c r="F3129" s="7"/>
      <c r="G3129" s="7" t="str">
        <f t="shared" si="1083"/>
        <v>事業用資産</v>
      </c>
      <c r="H3129" s="7" t="str">
        <f t="shared" si="1078"/>
        <v>棚卸以外</v>
      </c>
      <c r="I3129" s="7">
        <v>26</v>
      </c>
      <c r="J3129" s="7" t="str">
        <f>"集会所"</f>
        <v>集会所</v>
      </c>
      <c r="K3129" s="7" t="str">
        <f t="shared" si="1095"/>
        <v>鉄筋コンクリート造</v>
      </c>
      <c r="L3129" s="7" t="str">
        <f>"R02.05.29"</f>
        <v>R02.05.29</v>
      </c>
      <c r="M3129" s="7">
        <v>193</v>
      </c>
      <c r="N3129" s="7">
        <v>64057909</v>
      </c>
      <c r="O3129" s="7">
        <v>3861652</v>
      </c>
      <c r="P3129" s="7">
        <v>0</v>
      </c>
      <c r="Q3129" s="7" t="str">
        <f t="shared" si="1087"/>
        <v>都市整備部</v>
      </c>
      <c r="R3129" s="7" t="str">
        <f t="shared" si="1084"/>
        <v>住宅建築局住宅経営室</v>
      </c>
    </row>
    <row r="3130" spans="1:18" s="1" customFormat="1" ht="26.4" x14ac:dyDescent="0.45">
      <c r="A3130" s="7" t="str">
        <f t="shared" si="1092"/>
        <v>09940003398</v>
      </c>
      <c r="B3130" s="7" t="str">
        <f t="shared" si="1093"/>
        <v>竹城台第４・堺竹城台４丁</v>
      </c>
      <c r="C3130" s="7" t="str">
        <f t="shared" si="1085"/>
        <v>行政財産</v>
      </c>
      <c r="D3130" s="7" t="str">
        <f t="shared" si="1086"/>
        <v>公営住宅</v>
      </c>
      <c r="E3130" s="7" t="str">
        <f t="shared" si="1094"/>
        <v>大阪府堺市　南区竹城台４丁</v>
      </c>
      <c r="F3130" s="7"/>
      <c r="G3130" s="7" t="str">
        <f t="shared" si="1083"/>
        <v>事業用資産</v>
      </c>
      <c r="H3130" s="7" t="str">
        <f t="shared" si="1078"/>
        <v>棚卸以外</v>
      </c>
      <c r="I3130" s="7">
        <v>27</v>
      </c>
      <c r="J3130" s="7" t="str">
        <f>"堺竹城台４丁（１号棟）"</f>
        <v>堺竹城台４丁（１号棟）</v>
      </c>
      <c r="K3130" s="7" t="str">
        <f>"プレストレストコンクリート造"</f>
        <v>プレストレストコンクリート造</v>
      </c>
      <c r="L3130" s="7" t="str">
        <f>"R03.08.30"</f>
        <v>R03.08.30</v>
      </c>
      <c r="M3130" s="7">
        <v>7574.78</v>
      </c>
      <c r="N3130" s="7">
        <v>1755724948</v>
      </c>
      <c r="O3130" s="7">
        <v>59146772</v>
      </c>
      <c r="P3130" s="7">
        <v>0</v>
      </c>
      <c r="Q3130" s="7" t="str">
        <f t="shared" si="1087"/>
        <v>都市整備部</v>
      </c>
      <c r="R3130" s="7" t="str">
        <f t="shared" si="1084"/>
        <v>住宅建築局住宅経営室</v>
      </c>
    </row>
    <row r="3131" spans="1:18" s="1" customFormat="1" x14ac:dyDescent="0.45">
      <c r="A3131" s="7" t="str">
        <f t="shared" si="1092"/>
        <v>09940003398</v>
      </c>
      <c r="B3131" s="7" t="str">
        <f t="shared" si="1093"/>
        <v>竹城台第４・堺竹城台４丁</v>
      </c>
      <c r="C3131" s="7" t="str">
        <f t="shared" si="1085"/>
        <v>行政財産</v>
      </c>
      <c r="D3131" s="7" t="str">
        <f t="shared" si="1086"/>
        <v>公営住宅</v>
      </c>
      <c r="E3131" s="7" t="str">
        <f t="shared" si="1094"/>
        <v>大阪府堺市　南区竹城台４丁</v>
      </c>
      <c r="F3131" s="7"/>
      <c r="G3131" s="7" t="str">
        <f t="shared" si="1083"/>
        <v>事業用資産</v>
      </c>
      <c r="H3131" s="7" t="str">
        <f t="shared" si="1078"/>
        <v>棚卸以外</v>
      </c>
      <c r="I3131" s="7">
        <v>28</v>
      </c>
      <c r="J3131" s="7" t="str">
        <f>"受水槽・ポンプ室"</f>
        <v>受水槽・ポンプ室</v>
      </c>
      <c r="K3131" s="7" t="str">
        <f t="shared" ref="K3131:K3139" si="1096">"鉄筋コンクリート造"</f>
        <v>鉄筋コンクリート造</v>
      </c>
      <c r="L3131" s="7" t="str">
        <f>"R03.08.30"</f>
        <v>R03.08.30</v>
      </c>
      <c r="M3131" s="7">
        <v>17.37</v>
      </c>
      <c r="N3131" s="7">
        <v>17640446</v>
      </c>
      <c r="O3131" s="7">
        <v>735034</v>
      </c>
      <c r="P3131" s="7">
        <v>0</v>
      </c>
      <c r="Q3131" s="7" t="str">
        <f t="shared" si="1087"/>
        <v>都市整備部</v>
      </c>
      <c r="R3131" s="7" t="str">
        <f t="shared" si="1084"/>
        <v>住宅建築局住宅経営室</v>
      </c>
    </row>
    <row r="3132" spans="1:18" s="1" customFormat="1" x14ac:dyDescent="0.45">
      <c r="A3132" s="7" t="str">
        <f t="shared" si="1092"/>
        <v>09940003398</v>
      </c>
      <c r="B3132" s="7" t="str">
        <f t="shared" si="1093"/>
        <v>竹城台第４・堺竹城台４丁</v>
      </c>
      <c r="C3132" s="7" t="str">
        <f t="shared" si="1085"/>
        <v>行政財産</v>
      </c>
      <c r="D3132" s="7" t="str">
        <f t="shared" si="1086"/>
        <v>公営住宅</v>
      </c>
      <c r="E3132" s="7" t="str">
        <f t="shared" si="1094"/>
        <v>大阪府堺市　南区竹城台４丁</v>
      </c>
      <c r="F3132" s="7"/>
      <c r="G3132" s="7" t="str">
        <f t="shared" si="1083"/>
        <v>事業用資産</v>
      </c>
      <c r="H3132" s="7" t="str">
        <f t="shared" si="1078"/>
        <v>棚卸以外</v>
      </c>
      <c r="I3132" s="7">
        <v>29</v>
      </c>
      <c r="J3132" s="7" t="str">
        <f>"電気室"</f>
        <v>電気室</v>
      </c>
      <c r="K3132" s="7" t="str">
        <f t="shared" si="1096"/>
        <v>鉄筋コンクリート造</v>
      </c>
      <c r="L3132" s="7" t="str">
        <f>"R03.08.30"</f>
        <v>R03.08.30</v>
      </c>
      <c r="M3132" s="7">
        <v>56.11</v>
      </c>
      <c r="N3132" s="7">
        <v>8913084</v>
      </c>
      <c r="O3132" s="7">
        <v>371393</v>
      </c>
      <c r="P3132" s="7">
        <v>0</v>
      </c>
      <c r="Q3132" s="7" t="str">
        <f t="shared" si="1087"/>
        <v>都市整備部</v>
      </c>
      <c r="R3132" s="7" t="str">
        <f t="shared" si="1084"/>
        <v>住宅建築局住宅経営室</v>
      </c>
    </row>
    <row r="3133" spans="1:18" s="1" customFormat="1" x14ac:dyDescent="0.45">
      <c r="A3133" s="7" t="str">
        <f>"09940003399"</f>
        <v>09940003399</v>
      </c>
      <c r="B3133" s="7" t="str">
        <f>"寝屋川中木田"</f>
        <v>寝屋川中木田</v>
      </c>
      <c r="C3133" s="7" t="str">
        <f t="shared" si="1085"/>
        <v>行政財産</v>
      </c>
      <c r="D3133" s="7" t="str">
        <f t="shared" si="1086"/>
        <v>公営住宅</v>
      </c>
      <c r="E3133" s="7" t="str">
        <f>"大阪府寝屋川市中木田町"</f>
        <v>大阪府寝屋川市中木田町</v>
      </c>
      <c r="F3133" s="7"/>
      <c r="G3133" s="7" t="str">
        <f t="shared" si="1083"/>
        <v>事業用資産</v>
      </c>
      <c r="H3133" s="7" t="str">
        <f t="shared" si="1078"/>
        <v>棚卸以外</v>
      </c>
      <c r="I3133" s="7">
        <v>1</v>
      </c>
      <c r="J3133" s="7" t="str">
        <f>"１～３号棟"</f>
        <v>１～３号棟</v>
      </c>
      <c r="K3133" s="7" t="str">
        <f t="shared" si="1096"/>
        <v>鉄筋コンクリート造</v>
      </c>
      <c r="L3133" s="7" t="str">
        <f>"S51.08.20"</f>
        <v>S51.08.20</v>
      </c>
      <c r="M3133" s="7">
        <v>8346.58</v>
      </c>
      <c r="N3133" s="7">
        <v>1039755538</v>
      </c>
      <c r="O3133" s="7">
        <v>995846909</v>
      </c>
      <c r="P3133" s="7">
        <v>0</v>
      </c>
      <c r="Q3133" s="7" t="str">
        <f t="shared" si="1087"/>
        <v>都市整備部</v>
      </c>
      <c r="R3133" s="7" t="str">
        <f t="shared" si="1084"/>
        <v>住宅建築局住宅経営室</v>
      </c>
    </row>
    <row r="3134" spans="1:18" s="1" customFormat="1" x14ac:dyDescent="0.45">
      <c r="A3134" s="7" t="str">
        <f>"09940003399"</f>
        <v>09940003399</v>
      </c>
      <c r="B3134" s="7" t="str">
        <f>"寝屋川中木田"</f>
        <v>寝屋川中木田</v>
      </c>
      <c r="C3134" s="7" t="str">
        <f t="shared" si="1085"/>
        <v>行政財産</v>
      </c>
      <c r="D3134" s="7" t="str">
        <f t="shared" si="1086"/>
        <v>公営住宅</v>
      </c>
      <c r="E3134" s="7" t="str">
        <f>"大阪府寝屋川市中木田町"</f>
        <v>大阪府寝屋川市中木田町</v>
      </c>
      <c r="F3134" s="7"/>
      <c r="G3134" s="7" t="str">
        <f t="shared" si="1083"/>
        <v>事業用資産</v>
      </c>
      <c r="H3134" s="7" t="str">
        <f t="shared" si="1078"/>
        <v>棚卸以外</v>
      </c>
      <c r="I3134" s="7">
        <v>2</v>
      </c>
      <c r="J3134" s="7" t="str">
        <f>"ポンプ室"</f>
        <v>ポンプ室</v>
      </c>
      <c r="K3134" s="7" t="str">
        <f t="shared" si="1096"/>
        <v>鉄筋コンクリート造</v>
      </c>
      <c r="L3134" s="7" t="str">
        <f>"S51.08.20"</f>
        <v>S51.08.20</v>
      </c>
      <c r="M3134" s="7">
        <v>54</v>
      </c>
      <c r="N3134" s="7">
        <v>4337000</v>
      </c>
      <c r="O3134" s="7">
        <v>4298710</v>
      </c>
      <c r="P3134" s="7">
        <v>0</v>
      </c>
      <c r="Q3134" s="7" t="str">
        <f t="shared" si="1087"/>
        <v>都市整備部</v>
      </c>
      <c r="R3134" s="7" t="str">
        <f t="shared" si="1084"/>
        <v>住宅建築局住宅経営室</v>
      </c>
    </row>
    <row r="3135" spans="1:18" s="1" customFormat="1" x14ac:dyDescent="0.45">
      <c r="A3135" s="7" t="str">
        <f t="shared" ref="A3135:A3143" si="1097">"09940003400"</f>
        <v>09940003400</v>
      </c>
      <c r="B3135" s="7" t="str">
        <f t="shared" ref="B3135:B3143" si="1098">"田尻芦原"</f>
        <v>田尻芦原</v>
      </c>
      <c r="C3135" s="7" t="str">
        <f t="shared" si="1085"/>
        <v>行政財産</v>
      </c>
      <c r="D3135" s="7" t="str">
        <f t="shared" si="1086"/>
        <v>公営住宅</v>
      </c>
      <c r="E3135" s="7" t="str">
        <f t="shared" ref="E3135:E3143" si="1099">"大阪府泉南郡　田尻町嘉祥寺"</f>
        <v>大阪府泉南郡　田尻町嘉祥寺</v>
      </c>
      <c r="F3135" s="7"/>
      <c r="G3135" s="7" t="str">
        <f t="shared" si="1083"/>
        <v>事業用資産</v>
      </c>
      <c r="H3135" s="7" t="str">
        <f t="shared" si="1078"/>
        <v>棚卸以外</v>
      </c>
      <c r="I3135" s="7">
        <v>1</v>
      </c>
      <c r="J3135" s="7" t="str">
        <f>"１号棟"</f>
        <v>１号棟</v>
      </c>
      <c r="K3135" s="7" t="str">
        <f t="shared" si="1096"/>
        <v>鉄筋コンクリート造</v>
      </c>
      <c r="L3135" s="7" t="str">
        <f>"S52.01.19"</f>
        <v>S52.01.19</v>
      </c>
      <c r="M3135" s="7">
        <v>637.15</v>
      </c>
      <c r="N3135" s="7">
        <v>59669000</v>
      </c>
      <c r="O3135" s="7">
        <v>58611538</v>
      </c>
      <c r="P3135" s="7">
        <v>0</v>
      </c>
      <c r="Q3135" s="7" t="str">
        <f t="shared" si="1087"/>
        <v>都市整備部</v>
      </c>
      <c r="R3135" s="7" t="str">
        <f t="shared" si="1084"/>
        <v>住宅建築局住宅経営室</v>
      </c>
    </row>
    <row r="3136" spans="1:18" s="1" customFormat="1" x14ac:dyDescent="0.45">
      <c r="A3136" s="7" t="str">
        <f t="shared" si="1097"/>
        <v>09940003400</v>
      </c>
      <c r="B3136" s="7" t="str">
        <f t="shared" si="1098"/>
        <v>田尻芦原</v>
      </c>
      <c r="C3136" s="7" t="str">
        <f t="shared" si="1085"/>
        <v>行政財産</v>
      </c>
      <c r="D3136" s="7" t="str">
        <f t="shared" si="1086"/>
        <v>公営住宅</v>
      </c>
      <c r="E3136" s="7" t="str">
        <f t="shared" si="1099"/>
        <v>大阪府泉南郡　田尻町嘉祥寺</v>
      </c>
      <c r="F3136" s="7"/>
      <c r="G3136" s="7" t="str">
        <f t="shared" si="1083"/>
        <v>事業用資産</v>
      </c>
      <c r="H3136" s="7" t="str">
        <f t="shared" si="1078"/>
        <v>棚卸以外</v>
      </c>
      <c r="I3136" s="7">
        <v>2</v>
      </c>
      <c r="J3136" s="7" t="str">
        <f>"処理場機械室"</f>
        <v>処理場機械室</v>
      </c>
      <c r="K3136" s="7" t="str">
        <f t="shared" si="1096"/>
        <v>鉄筋コンクリート造</v>
      </c>
      <c r="L3136" s="7" t="str">
        <f>"S52.01.19"</f>
        <v>S52.01.19</v>
      </c>
      <c r="M3136" s="7">
        <v>7.41</v>
      </c>
      <c r="N3136" s="7">
        <v>529000</v>
      </c>
      <c r="O3136" s="7">
        <v>519652</v>
      </c>
      <c r="P3136" s="7">
        <v>0</v>
      </c>
      <c r="Q3136" s="7" t="str">
        <f t="shared" si="1087"/>
        <v>都市整備部</v>
      </c>
      <c r="R3136" s="7" t="str">
        <f t="shared" si="1084"/>
        <v>住宅建築局住宅経営室</v>
      </c>
    </row>
    <row r="3137" spans="1:18" s="1" customFormat="1" x14ac:dyDescent="0.45">
      <c r="A3137" s="7" t="str">
        <f t="shared" si="1097"/>
        <v>09940003400</v>
      </c>
      <c r="B3137" s="7" t="str">
        <f t="shared" si="1098"/>
        <v>田尻芦原</v>
      </c>
      <c r="C3137" s="7" t="str">
        <f t="shared" si="1085"/>
        <v>行政財産</v>
      </c>
      <c r="D3137" s="7" t="str">
        <f t="shared" si="1086"/>
        <v>公営住宅</v>
      </c>
      <c r="E3137" s="7" t="str">
        <f t="shared" si="1099"/>
        <v>大阪府泉南郡　田尻町嘉祥寺</v>
      </c>
      <c r="F3137" s="7"/>
      <c r="G3137" s="7" t="str">
        <f t="shared" si="1083"/>
        <v>事業用資産</v>
      </c>
      <c r="H3137" s="7" t="str">
        <f t="shared" si="1078"/>
        <v>棚卸以外</v>
      </c>
      <c r="I3137" s="7">
        <v>3</v>
      </c>
      <c r="J3137" s="7" t="str">
        <f>"ポンプ室"</f>
        <v>ポンプ室</v>
      </c>
      <c r="K3137" s="7" t="str">
        <f t="shared" si="1096"/>
        <v>鉄筋コンクリート造</v>
      </c>
      <c r="L3137" s="7" t="str">
        <f>"S52.01.19"</f>
        <v>S52.01.19</v>
      </c>
      <c r="M3137" s="7">
        <v>4.53</v>
      </c>
      <c r="N3137" s="7">
        <v>490000</v>
      </c>
      <c r="O3137" s="7">
        <v>489999</v>
      </c>
      <c r="P3137" s="7">
        <v>0</v>
      </c>
      <c r="Q3137" s="7" t="str">
        <f t="shared" si="1087"/>
        <v>都市整備部</v>
      </c>
      <c r="R3137" s="7" t="str">
        <f t="shared" si="1084"/>
        <v>住宅建築局住宅経営室</v>
      </c>
    </row>
    <row r="3138" spans="1:18" s="1" customFormat="1" x14ac:dyDescent="0.45">
      <c r="A3138" s="7" t="str">
        <f t="shared" si="1097"/>
        <v>09940003400</v>
      </c>
      <c r="B3138" s="7" t="str">
        <f t="shared" si="1098"/>
        <v>田尻芦原</v>
      </c>
      <c r="C3138" s="7" t="str">
        <f t="shared" si="1085"/>
        <v>行政財産</v>
      </c>
      <c r="D3138" s="7" t="str">
        <f t="shared" si="1086"/>
        <v>公営住宅</v>
      </c>
      <c r="E3138" s="7" t="str">
        <f t="shared" si="1099"/>
        <v>大阪府泉南郡　田尻町嘉祥寺</v>
      </c>
      <c r="F3138" s="7"/>
      <c r="G3138" s="7" t="str">
        <f t="shared" si="1083"/>
        <v>事業用資産</v>
      </c>
      <c r="H3138" s="7" t="str">
        <f t="shared" si="1078"/>
        <v>棚卸以外</v>
      </c>
      <c r="I3138" s="7">
        <v>4</v>
      </c>
      <c r="J3138" s="7" t="str">
        <f>"ＬＰガスボンベ室"</f>
        <v>ＬＰガスボンベ室</v>
      </c>
      <c r="K3138" s="7" t="str">
        <f t="shared" si="1096"/>
        <v>鉄筋コンクリート造</v>
      </c>
      <c r="L3138" s="7" t="str">
        <f>"S52.01.19"</f>
        <v>S52.01.19</v>
      </c>
      <c r="M3138" s="7">
        <v>3.72</v>
      </c>
      <c r="N3138" s="7">
        <v>321000</v>
      </c>
      <c r="O3138" s="7">
        <v>315780</v>
      </c>
      <c r="P3138" s="7">
        <v>0</v>
      </c>
      <c r="Q3138" s="7" t="str">
        <f t="shared" si="1087"/>
        <v>都市整備部</v>
      </c>
      <c r="R3138" s="7" t="str">
        <f t="shared" si="1084"/>
        <v>住宅建築局住宅経営室</v>
      </c>
    </row>
    <row r="3139" spans="1:18" s="1" customFormat="1" x14ac:dyDescent="0.45">
      <c r="A3139" s="7" t="str">
        <f t="shared" si="1097"/>
        <v>09940003400</v>
      </c>
      <c r="B3139" s="7" t="str">
        <f t="shared" si="1098"/>
        <v>田尻芦原</v>
      </c>
      <c r="C3139" s="7" t="str">
        <f t="shared" si="1085"/>
        <v>行政財産</v>
      </c>
      <c r="D3139" s="7" t="str">
        <f t="shared" si="1086"/>
        <v>公営住宅</v>
      </c>
      <c r="E3139" s="7" t="str">
        <f t="shared" si="1099"/>
        <v>大阪府泉南郡　田尻町嘉祥寺</v>
      </c>
      <c r="F3139" s="7"/>
      <c r="G3139" s="7" t="str">
        <f t="shared" si="1083"/>
        <v>事業用資産</v>
      </c>
      <c r="H3139" s="7" t="str">
        <f t="shared" si="1078"/>
        <v>棚卸以外</v>
      </c>
      <c r="I3139" s="7">
        <v>5</v>
      </c>
      <c r="J3139" s="7" t="str">
        <f>"２号棟"</f>
        <v>２号棟</v>
      </c>
      <c r="K3139" s="7" t="str">
        <f t="shared" si="1096"/>
        <v>鉄筋コンクリート造</v>
      </c>
      <c r="L3139" s="7" t="str">
        <f>"S52.11.28"</f>
        <v>S52.11.28</v>
      </c>
      <c r="M3139" s="7">
        <v>574.08000000000004</v>
      </c>
      <c r="N3139" s="7">
        <v>62845000</v>
      </c>
      <c r="O3139" s="7">
        <v>62844999</v>
      </c>
      <c r="P3139" s="7">
        <v>0</v>
      </c>
      <c r="Q3139" s="7" t="str">
        <f t="shared" si="1087"/>
        <v>都市整備部</v>
      </c>
      <c r="R3139" s="7" t="str">
        <f t="shared" si="1084"/>
        <v>住宅建築局住宅経営室</v>
      </c>
    </row>
    <row r="3140" spans="1:18" s="1" customFormat="1" x14ac:dyDescent="0.45">
      <c r="A3140" s="7" t="str">
        <f t="shared" si="1097"/>
        <v>09940003400</v>
      </c>
      <c r="B3140" s="7" t="str">
        <f t="shared" si="1098"/>
        <v>田尻芦原</v>
      </c>
      <c r="C3140" s="7" t="str">
        <f t="shared" si="1085"/>
        <v>行政財産</v>
      </c>
      <c r="D3140" s="7" t="str">
        <f t="shared" si="1086"/>
        <v>公営住宅</v>
      </c>
      <c r="E3140" s="7" t="str">
        <f t="shared" si="1099"/>
        <v>大阪府泉南郡　田尻町嘉祥寺</v>
      </c>
      <c r="F3140" s="7"/>
      <c r="G3140" s="7" t="str">
        <f t="shared" si="1083"/>
        <v>事業用資産</v>
      </c>
      <c r="H3140" s="7" t="str">
        <f t="shared" ref="H3140:H3203" si="1100">"棚卸以外"</f>
        <v>棚卸以外</v>
      </c>
      <c r="I3140" s="7">
        <v>6</v>
      </c>
      <c r="J3140" s="7" t="str">
        <f>"集会所"</f>
        <v>集会所</v>
      </c>
      <c r="K3140" s="7" t="str">
        <f>"軽量鉄骨造"</f>
        <v>軽量鉄骨造</v>
      </c>
      <c r="L3140" s="7" t="str">
        <f>"S52.11.28"</f>
        <v>S52.11.28</v>
      </c>
      <c r="M3140" s="7">
        <v>34.020000000000003</v>
      </c>
      <c r="N3140" s="7">
        <v>2510000</v>
      </c>
      <c r="O3140" s="7">
        <v>2509999</v>
      </c>
      <c r="P3140" s="7">
        <v>0</v>
      </c>
      <c r="Q3140" s="7" t="str">
        <f t="shared" si="1087"/>
        <v>都市整備部</v>
      </c>
      <c r="R3140" s="7" t="str">
        <f t="shared" si="1084"/>
        <v>住宅建築局住宅経営室</v>
      </c>
    </row>
    <row r="3141" spans="1:18" s="1" customFormat="1" x14ac:dyDescent="0.45">
      <c r="A3141" s="7" t="str">
        <f t="shared" si="1097"/>
        <v>09940003400</v>
      </c>
      <c r="B3141" s="7" t="str">
        <f t="shared" si="1098"/>
        <v>田尻芦原</v>
      </c>
      <c r="C3141" s="7" t="str">
        <f t="shared" si="1085"/>
        <v>行政財産</v>
      </c>
      <c r="D3141" s="7" t="str">
        <f t="shared" si="1086"/>
        <v>公営住宅</v>
      </c>
      <c r="E3141" s="7" t="str">
        <f t="shared" si="1099"/>
        <v>大阪府泉南郡　田尻町嘉祥寺</v>
      </c>
      <c r="F3141" s="7"/>
      <c r="G3141" s="7" t="str">
        <f t="shared" si="1083"/>
        <v>事業用資産</v>
      </c>
      <c r="H3141" s="7" t="str">
        <f t="shared" si="1100"/>
        <v>棚卸以外</v>
      </c>
      <c r="I3141" s="7">
        <v>7</v>
      </c>
      <c r="J3141" s="7" t="str">
        <f>"ポンプ室"</f>
        <v>ポンプ室</v>
      </c>
      <c r="K3141" s="7" t="str">
        <f>"鉄筋コンクリート造"</f>
        <v>鉄筋コンクリート造</v>
      </c>
      <c r="L3141" s="7" t="str">
        <f>"S52.11.28"</f>
        <v>S52.11.28</v>
      </c>
      <c r="M3141" s="7">
        <v>5.72</v>
      </c>
      <c r="N3141" s="7">
        <v>401000</v>
      </c>
      <c r="O3141" s="7">
        <v>386784</v>
      </c>
      <c r="P3141" s="7">
        <v>0</v>
      </c>
      <c r="Q3141" s="7" t="str">
        <f t="shared" si="1087"/>
        <v>都市整備部</v>
      </c>
      <c r="R3141" s="7" t="str">
        <f t="shared" si="1084"/>
        <v>住宅建築局住宅経営室</v>
      </c>
    </row>
    <row r="3142" spans="1:18" s="1" customFormat="1" x14ac:dyDescent="0.45">
      <c r="A3142" s="7" t="str">
        <f t="shared" si="1097"/>
        <v>09940003400</v>
      </c>
      <c r="B3142" s="7" t="str">
        <f t="shared" si="1098"/>
        <v>田尻芦原</v>
      </c>
      <c r="C3142" s="7" t="str">
        <f t="shared" si="1085"/>
        <v>行政財産</v>
      </c>
      <c r="D3142" s="7" t="str">
        <f t="shared" si="1086"/>
        <v>公営住宅</v>
      </c>
      <c r="E3142" s="7" t="str">
        <f t="shared" si="1099"/>
        <v>大阪府泉南郡　田尻町嘉祥寺</v>
      </c>
      <c r="F3142" s="7"/>
      <c r="G3142" s="7" t="str">
        <f t="shared" si="1083"/>
        <v>事業用資産</v>
      </c>
      <c r="H3142" s="7" t="str">
        <f t="shared" si="1100"/>
        <v>棚卸以外</v>
      </c>
      <c r="I3142" s="7">
        <v>8</v>
      </c>
      <c r="J3142" s="7" t="str">
        <f>"ＬＰガスボンベ室"</f>
        <v>ＬＰガスボンベ室</v>
      </c>
      <c r="K3142" s="7" t="str">
        <f>"コンクリートブロック造"</f>
        <v>コンクリートブロック造</v>
      </c>
      <c r="L3142" s="7" t="str">
        <f>"S52.11.28"</f>
        <v>S52.11.28</v>
      </c>
      <c r="M3142" s="7">
        <v>4.13</v>
      </c>
      <c r="N3142" s="7">
        <v>234000</v>
      </c>
      <c r="O3142" s="7">
        <v>225760</v>
      </c>
      <c r="P3142" s="7">
        <v>0</v>
      </c>
      <c r="Q3142" s="7" t="str">
        <f t="shared" si="1087"/>
        <v>都市整備部</v>
      </c>
      <c r="R3142" s="7" t="str">
        <f t="shared" si="1084"/>
        <v>住宅建築局住宅経営室</v>
      </c>
    </row>
    <row r="3143" spans="1:18" s="1" customFormat="1" x14ac:dyDescent="0.45">
      <c r="A3143" s="7" t="str">
        <f t="shared" si="1097"/>
        <v>09940003400</v>
      </c>
      <c r="B3143" s="7" t="str">
        <f t="shared" si="1098"/>
        <v>田尻芦原</v>
      </c>
      <c r="C3143" s="7" t="str">
        <f t="shared" si="1085"/>
        <v>行政財産</v>
      </c>
      <c r="D3143" s="7" t="str">
        <f t="shared" si="1086"/>
        <v>公営住宅</v>
      </c>
      <c r="E3143" s="7" t="str">
        <f t="shared" si="1099"/>
        <v>大阪府泉南郡　田尻町嘉祥寺</v>
      </c>
      <c r="F3143" s="7"/>
      <c r="G3143" s="7" t="str">
        <f t="shared" si="1083"/>
        <v>事業用資産</v>
      </c>
      <c r="H3143" s="7" t="str">
        <f t="shared" si="1100"/>
        <v>棚卸以外</v>
      </c>
      <c r="I3143" s="7">
        <v>9</v>
      </c>
      <c r="J3143" s="7" t="str">
        <f>"集会所"</f>
        <v>集会所</v>
      </c>
      <c r="K3143" s="7" t="str">
        <f>"コンクリートブロック造"</f>
        <v>コンクリートブロック造</v>
      </c>
      <c r="L3143" s="7" t="str">
        <f>"H07.03.07"</f>
        <v>H07.03.07</v>
      </c>
      <c r="M3143" s="7">
        <v>55.34</v>
      </c>
      <c r="N3143" s="7">
        <v>18540000</v>
      </c>
      <c r="O3143" s="7">
        <v>11045328</v>
      </c>
      <c r="P3143" s="7">
        <v>0</v>
      </c>
      <c r="Q3143" s="7" t="str">
        <f t="shared" si="1087"/>
        <v>都市整備部</v>
      </c>
      <c r="R3143" s="7" t="str">
        <f t="shared" si="1084"/>
        <v>住宅建築局住宅経営室</v>
      </c>
    </row>
    <row r="3144" spans="1:18" s="1" customFormat="1" x14ac:dyDescent="0.45">
      <c r="A3144" s="7" t="str">
        <f t="shared" ref="A3144:A3151" si="1101">"09940003402"</f>
        <v>09940003402</v>
      </c>
      <c r="B3144" s="7" t="str">
        <f t="shared" ref="B3144:B3151" si="1102">"箕面桜（旧箕面牧落）"</f>
        <v>箕面桜（旧箕面牧落）</v>
      </c>
      <c r="C3144" s="7" t="str">
        <f t="shared" si="1085"/>
        <v>行政財産</v>
      </c>
      <c r="D3144" s="7" t="str">
        <f t="shared" si="1086"/>
        <v>公営住宅</v>
      </c>
      <c r="E3144" s="7" t="str">
        <f t="shared" ref="E3144:E3151" si="1103">"大阪府箕面市桜１丁目"</f>
        <v>大阪府箕面市桜１丁目</v>
      </c>
      <c r="F3144" s="7"/>
      <c r="G3144" s="7" t="str">
        <f t="shared" si="1083"/>
        <v>事業用資産</v>
      </c>
      <c r="H3144" s="7" t="str">
        <f t="shared" si="1100"/>
        <v>棚卸以外</v>
      </c>
      <c r="I3144" s="7">
        <v>1</v>
      </c>
      <c r="J3144" s="7" t="str">
        <f>"１号棟"</f>
        <v>１号棟</v>
      </c>
      <c r="K3144" s="7" t="str">
        <f t="shared" ref="K3144:K3173" si="1104">"鉄筋コンクリート造"</f>
        <v>鉄筋コンクリート造</v>
      </c>
      <c r="L3144" s="7" t="str">
        <f t="shared" ref="L3144:L3151" si="1105">"H01.01.31"</f>
        <v>H01.01.31</v>
      </c>
      <c r="M3144" s="7">
        <v>816.32</v>
      </c>
      <c r="N3144" s="7">
        <v>91446000</v>
      </c>
      <c r="O3144" s="7">
        <v>66476990</v>
      </c>
      <c r="P3144" s="7">
        <v>0</v>
      </c>
      <c r="Q3144" s="7" t="str">
        <f t="shared" si="1087"/>
        <v>都市整備部</v>
      </c>
      <c r="R3144" s="7" t="str">
        <f t="shared" si="1084"/>
        <v>住宅建築局住宅経営室</v>
      </c>
    </row>
    <row r="3145" spans="1:18" s="1" customFormat="1" x14ac:dyDescent="0.45">
      <c r="A3145" s="7" t="str">
        <f t="shared" si="1101"/>
        <v>09940003402</v>
      </c>
      <c r="B3145" s="7" t="str">
        <f t="shared" si="1102"/>
        <v>箕面桜（旧箕面牧落）</v>
      </c>
      <c r="C3145" s="7" t="str">
        <f t="shared" si="1085"/>
        <v>行政財産</v>
      </c>
      <c r="D3145" s="7" t="str">
        <f t="shared" si="1086"/>
        <v>公営住宅</v>
      </c>
      <c r="E3145" s="7" t="str">
        <f t="shared" si="1103"/>
        <v>大阪府箕面市桜１丁目</v>
      </c>
      <c r="F3145" s="7"/>
      <c r="G3145" s="7" t="str">
        <f t="shared" si="1083"/>
        <v>事業用資産</v>
      </c>
      <c r="H3145" s="7" t="str">
        <f t="shared" si="1100"/>
        <v>棚卸以外</v>
      </c>
      <c r="I3145" s="7">
        <v>2</v>
      </c>
      <c r="J3145" s="7" t="str">
        <f>"２号棟"</f>
        <v>２号棟</v>
      </c>
      <c r="K3145" s="7" t="str">
        <f t="shared" si="1104"/>
        <v>鉄筋コンクリート造</v>
      </c>
      <c r="L3145" s="7" t="str">
        <f t="shared" si="1105"/>
        <v>H01.01.31</v>
      </c>
      <c r="M3145" s="7">
        <v>816.32</v>
      </c>
      <c r="N3145" s="7">
        <v>91491000</v>
      </c>
      <c r="O3145" s="7">
        <v>66509790</v>
      </c>
      <c r="P3145" s="7">
        <v>0</v>
      </c>
      <c r="Q3145" s="7" t="str">
        <f t="shared" si="1087"/>
        <v>都市整備部</v>
      </c>
      <c r="R3145" s="7" t="str">
        <f t="shared" si="1084"/>
        <v>住宅建築局住宅経営室</v>
      </c>
    </row>
    <row r="3146" spans="1:18" s="1" customFormat="1" x14ac:dyDescent="0.45">
      <c r="A3146" s="7" t="str">
        <f t="shared" si="1101"/>
        <v>09940003402</v>
      </c>
      <c r="B3146" s="7" t="str">
        <f t="shared" si="1102"/>
        <v>箕面桜（旧箕面牧落）</v>
      </c>
      <c r="C3146" s="7" t="str">
        <f t="shared" si="1085"/>
        <v>行政財産</v>
      </c>
      <c r="D3146" s="7" t="str">
        <f t="shared" si="1086"/>
        <v>公営住宅</v>
      </c>
      <c r="E3146" s="7" t="str">
        <f t="shared" si="1103"/>
        <v>大阪府箕面市桜１丁目</v>
      </c>
      <c r="F3146" s="7"/>
      <c r="G3146" s="7" t="str">
        <f t="shared" si="1083"/>
        <v>事業用資産</v>
      </c>
      <c r="H3146" s="7" t="str">
        <f t="shared" si="1100"/>
        <v>棚卸以外</v>
      </c>
      <c r="I3146" s="7">
        <v>3</v>
      </c>
      <c r="J3146" s="7" t="str">
        <f>"３号棟"</f>
        <v>３号棟</v>
      </c>
      <c r="K3146" s="7" t="str">
        <f t="shared" si="1104"/>
        <v>鉄筋コンクリート造</v>
      </c>
      <c r="L3146" s="7" t="str">
        <f t="shared" si="1105"/>
        <v>H01.01.31</v>
      </c>
      <c r="M3146" s="7">
        <v>842.86</v>
      </c>
      <c r="N3146" s="7">
        <v>93595000</v>
      </c>
      <c r="O3146" s="7">
        <v>68039090</v>
      </c>
      <c r="P3146" s="7">
        <v>0</v>
      </c>
      <c r="Q3146" s="7" t="str">
        <f t="shared" si="1087"/>
        <v>都市整備部</v>
      </c>
      <c r="R3146" s="7" t="str">
        <f t="shared" si="1084"/>
        <v>住宅建築局住宅経営室</v>
      </c>
    </row>
    <row r="3147" spans="1:18" s="1" customFormat="1" x14ac:dyDescent="0.45">
      <c r="A3147" s="7" t="str">
        <f t="shared" si="1101"/>
        <v>09940003402</v>
      </c>
      <c r="B3147" s="7" t="str">
        <f t="shared" si="1102"/>
        <v>箕面桜（旧箕面牧落）</v>
      </c>
      <c r="C3147" s="7" t="str">
        <f t="shared" si="1085"/>
        <v>行政財産</v>
      </c>
      <c r="D3147" s="7" t="str">
        <f t="shared" si="1086"/>
        <v>公営住宅</v>
      </c>
      <c r="E3147" s="7" t="str">
        <f t="shared" si="1103"/>
        <v>大阪府箕面市桜１丁目</v>
      </c>
      <c r="F3147" s="7"/>
      <c r="G3147" s="7" t="str">
        <f t="shared" si="1083"/>
        <v>事業用資産</v>
      </c>
      <c r="H3147" s="7" t="str">
        <f t="shared" si="1100"/>
        <v>棚卸以外</v>
      </c>
      <c r="I3147" s="7">
        <v>4</v>
      </c>
      <c r="J3147" s="7" t="str">
        <f>"４号棟"</f>
        <v>４号棟</v>
      </c>
      <c r="K3147" s="7" t="str">
        <f t="shared" si="1104"/>
        <v>鉄筋コンクリート造</v>
      </c>
      <c r="L3147" s="7" t="str">
        <f t="shared" si="1105"/>
        <v>H01.01.31</v>
      </c>
      <c r="M3147" s="7">
        <v>407.74</v>
      </c>
      <c r="N3147" s="7">
        <v>46066000</v>
      </c>
      <c r="O3147" s="7">
        <v>33487980</v>
      </c>
      <c r="P3147" s="7">
        <v>0</v>
      </c>
      <c r="Q3147" s="7" t="str">
        <f t="shared" si="1087"/>
        <v>都市整備部</v>
      </c>
      <c r="R3147" s="7" t="str">
        <f t="shared" si="1084"/>
        <v>住宅建築局住宅経営室</v>
      </c>
    </row>
    <row r="3148" spans="1:18" s="1" customFormat="1" x14ac:dyDescent="0.45">
      <c r="A3148" s="7" t="str">
        <f t="shared" si="1101"/>
        <v>09940003402</v>
      </c>
      <c r="B3148" s="7" t="str">
        <f t="shared" si="1102"/>
        <v>箕面桜（旧箕面牧落）</v>
      </c>
      <c r="C3148" s="7" t="str">
        <f t="shared" si="1085"/>
        <v>行政財産</v>
      </c>
      <c r="D3148" s="7" t="str">
        <f t="shared" si="1086"/>
        <v>公営住宅</v>
      </c>
      <c r="E3148" s="7" t="str">
        <f t="shared" si="1103"/>
        <v>大阪府箕面市桜１丁目</v>
      </c>
      <c r="F3148" s="7"/>
      <c r="G3148" s="7" t="str">
        <f t="shared" si="1083"/>
        <v>事業用資産</v>
      </c>
      <c r="H3148" s="7" t="str">
        <f t="shared" si="1100"/>
        <v>棚卸以外</v>
      </c>
      <c r="I3148" s="7">
        <v>5</v>
      </c>
      <c r="J3148" s="7" t="str">
        <f>"５号棟"</f>
        <v>５号棟</v>
      </c>
      <c r="K3148" s="7" t="str">
        <f t="shared" si="1104"/>
        <v>鉄筋コンクリート造</v>
      </c>
      <c r="L3148" s="7" t="str">
        <f t="shared" si="1105"/>
        <v>H01.01.31</v>
      </c>
      <c r="M3148" s="7">
        <v>412.02</v>
      </c>
      <c r="N3148" s="7">
        <v>54584000</v>
      </c>
      <c r="O3148" s="7">
        <v>39680210</v>
      </c>
      <c r="P3148" s="7">
        <v>0</v>
      </c>
      <c r="Q3148" s="7" t="str">
        <f t="shared" si="1087"/>
        <v>都市整備部</v>
      </c>
      <c r="R3148" s="7" t="str">
        <f t="shared" si="1084"/>
        <v>住宅建築局住宅経営室</v>
      </c>
    </row>
    <row r="3149" spans="1:18" s="1" customFormat="1" x14ac:dyDescent="0.45">
      <c r="A3149" s="7" t="str">
        <f t="shared" si="1101"/>
        <v>09940003402</v>
      </c>
      <c r="B3149" s="7" t="str">
        <f t="shared" si="1102"/>
        <v>箕面桜（旧箕面牧落）</v>
      </c>
      <c r="C3149" s="7" t="str">
        <f t="shared" si="1085"/>
        <v>行政財産</v>
      </c>
      <c r="D3149" s="7" t="str">
        <f t="shared" si="1086"/>
        <v>公営住宅</v>
      </c>
      <c r="E3149" s="7" t="str">
        <f t="shared" si="1103"/>
        <v>大阪府箕面市桜１丁目</v>
      </c>
      <c r="F3149" s="7"/>
      <c r="G3149" s="7" t="str">
        <f t="shared" si="1083"/>
        <v>事業用資産</v>
      </c>
      <c r="H3149" s="7" t="str">
        <f t="shared" si="1100"/>
        <v>棚卸以外</v>
      </c>
      <c r="I3149" s="7">
        <v>6</v>
      </c>
      <c r="J3149" s="7" t="str">
        <f>"６号棟"</f>
        <v>６号棟</v>
      </c>
      <c r="K3149" s="7" t="str">
        <f t="shared" si="1104"/>
        <v>鉄筋コンクリート造</v>
      </c>
      <c r="L3149" s="7" t="str">
        <f t="shared" si="1105"/>
        <v>H01.01.31</v>
      </c>
      <c r="M3149" s="7">
        <v>407.74</v>
      </c>
      <c r="N3149" s="7">
        <v>46694000</v>
      </c>
      <c r="O3149" s="7">
        <v>33944310</v>
      </c>
      <c r="P3149" s="7">
        <v>0</v>
      </c>
      <c r="Q3149" s="7" t="str">
        <f t="shared" si="1087"/>
        <v>都市整備部</v>
      </c>
      <c r="R3149" s="7" t="str">
        <f t="shared" si="1084"/>
        <v>住宅建築局住宅経営室</v>
      </c>
    </row>
    <row r="3150" spans="1:18" s="1" customFormat="1" x14ac:dyDescent="0.45">
      <c r="A3150" s="7" t="str">
        <f t="shared" si="1101"/>
        <v>09940003402</v>
      </c>
      <c r="B3150" s="7" t="str">
        <f t="shared" si="1102"/>
        <v>箕面桜（旧箕面牧落）</v>
      </c>
      <c r="C3150" s="7" t="str">
        <f t="shared" si="1085"/>
        <v>行政財産</v>
      </c>
      <c r="D3150" s="7" t="str">
        <f t="shared" si="1086"/>
        <v>公営住宅</v>
      </c>
      <c r="E3150" s="7" t="str">
        <f t="shared" si="1103"/>
        <v>大阪府箕面市桜１丁目</v>
      </c>
      <c r="F3150" s="7"/>
      <c r="G3150" s="7" t="str">
        <f t="shared" si="1083"/>
        <v>事業用資産</v>
      </c>
      <c r="H3150" s="7" t="str">
        <f t="shared" si="1100"/>
        <v>棚卸以外</v>
      </c>
      <c r="I3150" s="7">
        <v>7</v>
      </c>
      <c r="J3150" s="7" t="str">
        <f>"集会所"</f>
        <v>集会所</v>
      </c>
      <c r="K3150" s="7" t="str">
        <f t="shared" si="1104"/>
        <v>鉄筋コンクリート造</v>
      </c>
      <c r="L3150" s="7" t="str">
        <f t="shared" si="1105"/>
        <v>H01.01.31</v>
      </c>
      <c r="M3150" s="7">
        <v>70.849999999999994</v>
      </c>
      <c r="N3150" s="7">
        <v>16628000</v>
      </c>
      <c r="O3150" s="7">
        <v>12088030</v>
      </c>
      <c r="P3150" s="7">
        <v>0</v>
      </c>
      <c r="Q3150" s="7" t="str">
        <f t="shared" si="1087"/>
        <v>都市整備部</v>
      </c>
      <c r="R3150" s="7" t="str">
        <f t="shared" si="1084"/>
        <v>住宅建築局住宅経営室</v>
      </c>
    </row>
    <row r="3151" spans="1:18" s="1" customFormat="1" x14ac:dyDescent="0.45">
      <c r="A3151" s="7" t="str">
        <f t="shared" si="1101"/>
        <v>09940003402</v>
      </c>
      <c r="B3151" s="7" t="str">
        <f t="shared" si="1102"/>
        <v>箕面桜（旧箕面牧落）</v>
      </c>
      <c r="C3151" s="7" t="str">
        <f t="shared" si="1085"/>
        <v>行政財産</v>
      </c>
      <c r="D3151" s="7" t="str">
        <f t="shared" si="1086"/>
        <v>公営住宅</v>
      </c>
      <c r="E3151" s="7" t="str">
        <f t="shared" si="1103"/>
        <v>大阪府箕面市桜１丁目</v>
      </c>
      <c r="F3151" s="7"/>
      <c r="G3151" s="7" t="str">
        <f t="shared" si="1083"/>
        <v>事業用資産</v>
      </c>
      <c r="H3151" s="7" t="str">
        <f t="shared" si="1100"/>
        <v>棚卸以外</v>
      </c>
      <c r="I3151" s="7">
        <v>8</v>
      </c>
      <c r="J3151" s="7" t="str">
        <f>"受水槽"</f>
        <v>受水槽</v>
      </c>
      <c r="K3151" s="7" t="str">
        <f t="shared" si="1104"/>
        <v>鉄筋コンクリート造</v>
      </c>
      <c r="L3151" s="7" t="str">
        <f t="shared" si="1105"/>
        <v>H01.01.31</v>
      </c>
      <c r="M3151" s="7">
        <v>30.55</v>
      </c>
      <c r="N3151" s="7">
        <v>12977000</v>
      </c>
      <c r="O3151" s="7">
        <v>9433690</v>
      </c>
      <c r="P3151" s="7">
        <v>0</v>
      </c>
      <c r="Q3151" s="7" t="str">
        <f t="shared" si="1087"/>
        <v>都市整備部</v>
      </c>
      <c r="R3151" s="7" t="str">
        <f t="shared" si="1084"/>
        <v>住宅建築局住宅経営室</v>
      </c>
    </row>
    <row r="3152" spans="1:18" s="1" customFormat="1" x14ac:dyDescent="0.45">
      <c r="A3152" s="7" t="str">
        <f>"09940003404"</f>
        <v>09940003404</v>
      </c>
      <c r="B3152" s="7" t="str">
        <f>"箕面"</f>
        <v>箕面</v>
      </c>
      <c r="C3152" s="7" t="str">
        <f t="shared" si="1085"/>
        <v>行政財産</v>
      </c>
      <c r="D3152" s="7" t="str">
        <f t="shared" si="1086"/>
        <v>公営住宅</v>
      </c>
      <c r="E3152" s="7" t="str">
        <f>"大阪府箕面市新稲１丁目"</f>
        <v>大阪府箕面市新稲１丁目</v>
      </c>
      <c r="F3152" s="7"/>
      <c r="G3152" s="7" t="str">
        <f t="shared" si="1083"/>
        <v>事業用資産</v>
      </c>
      <c r="H3152" s="7" t="str">
        <f t="shared" si="1100"/>
        <v>棚卸以外</v>
      </c>
      <c r="I3152" s="7">
        <v>1</v>
      </c>
      <c r="J3152" s="7" t="str">
        <f>"１～９号棟・集会所"</f>
        <v>１～９号棟・集会所</v>
      </c>
      <c r="K3152" s="7" t="str">
        <f t="shared" si="1104"/>
        <v>鉄筋コンクリート造</v>
      </c>
      <c r="L3152" s="7" t="str">
        <f>"S29.04.10"</f>
        <v>S29.04.10</v>
      </c>
      <c r="M3152" s="7">
        <v>14413.15</v>
      </c>
      <c r="N3152" s="7">
        <v>680374030</v>
      </c>
      <c r="O3152" s="7">
        <v>680374029</v>
      </c>
      <c r="P3152" s="7">
        <v>0</v>
      </c>
      <c r="Q3152" s="7" t="str">
        <f t="shared" si="1087"/>
        <v>都市整備部</v>
      </c>
      <c r="R3152" s="7" t="str">
        <f t="shared" si="1084"/>
        <v>住宅建築局住宅経営室</v>
      </c>
    </row>
    <row r="3153" spans="1:18" s="1" customFormat="1" x14ac:dyDescent="0.45">
      <c r="A3153" s="7" t="str">
        <f>"09940003405"</f>
        <v>09940003405</v>
      </c>
      <c r="B3153" s="7" t="str">
        <f>"岸部第１"</f>
        <v>岸部第１</v>
      </c>
      <c r="C3153" s="7" t="str">
        <f t="shared" si="1085"/>
        <v>行政財産</v>
      </c>
      <c r="D3153" s="7" t="str">
        <f t="shared" si="1086"/>
        <v>公営住宅</v>
      </c>
      <c r="E3153" s="7" t="str">
        <f>"大阪府吹田市岸部北２丁目"</f>
        <v>大阪府吹田市岸部北２丁目</v>
      </c>
      <c r="F3153" s="7"/>
      <c r="G3153" s="7" t="str">
        <f t="shared" si="1083"/>
        <v>事業用資産</v>
      </c>
      <c r="H3153" s="7" t="str">
        <f t="shared" si="1100"/>
        <v>棚卸以外</v>
      </c>
      <c r="I3153" s="7">
        <v>1</v>
      </c>
      <c r="J3153" s="7" t="str">
        <f>"１～４号棟"</f>
        <v>１～４号棟</v>
      </c>
      <c r="K3153" s="7" t="str">
        <f t="shared" si="1104"/>
        <v>鉄筋コンクリート造</v>
      </c>
      <c r="L3153" s="7" t="str">
        <f>"S46.05.09"</f>
        <v>S46.05.09</v>
      </c>
      <c r="M3153" s="7">
        <v>42442.45</v>
      </c>
      <c r="N3153" s="7">
        <v>5019284229</v>
      </c>
      <c r="O3153" s="7">
        <v>2469136894</v>
      </c>
      <c r="P3153" s="7">
        <v>0</v>
      </c>
      <c r="Q3153" s="7" t="str">
        <f t="shared" si="1087"/>
        <v>都市整備部</v>
      </c>
      <c r="R3153" s="7" t="str">
        <f t="shared" si="1084"/>
        <v>住宅建築局住宅経営室</v>
      </c>
    </row>
    <row r="3154" spans="1:18" s="1" customFormat="1" x14ac:dyDescent="0.45">
      <c r="A3154" s="7" t="str">
        <f>"09940003405"</f>
        <v>09940003405</v>
      </c>
      <c r="B3154" s="7" t="str">
        <f>"岸部第１"</f>
        <v>岸部第１</v>
      </c>
      <c r="C3154" s="7" t="str">
        <f t="shared" si="1085"/>
        <v>行政財産</v>
      </c>
      <c r="D3154" s="7" t="str">
        <f t="shared" si="1086"/>
        <v>公営住宅</v>
      </c>
      <c r="E3154" s="7" t="str">
        <f>"大阪府吹田市岸部北２丁目"</f>
        <v>大阪府吹田市岸部北２丁目</v>
      </c>
      <c r="F3154" s="7"/>
      <c r="G3154" s="7" t="str">
        <f t="shared" si="1083"/>
        <v>事業用資産</v>
      </c>
      <c r="H3154" s="7" t="str">
        <f t="shared" si="1100"/>
        <v>棚卸以外</v>
      </c>
      <c r="I3154" s="7">
        <v>2</v>
      </c>
      <c r="J3154" s="7" t="str">
        <f>"集会所"</f>
        <v>集会所</v>
      </c>
      <c r="K3154" s="7" t="str">
        <f t="shared" si="1104"/>
        <v>鉄筋コンクリート造</v>
      </c>
      <c r="L3154" s="7" t="str">
        <f>"S62.03.25"</f>
        <v>S62.03.25</v>
      </c>
      <c r="M3154" s="7">
        <v>45.71</v>
      </c>
      <c r="N3154" s="7">
        <v>5040000</v>
      </c>
      <c r="O3154" s="7">
        <v>3860784</v>
      </c>
      <c r="P3154" s="7">
        <v>0</v>
      </c>
      <c r="Q3154" s="7" t="str">
        <f t="shared" si="1087"/>
        <v>都市整備部</v>
      </c>
      <c r="R3154" s="7" t="str">
        <f t="shared" si="1084"/>
        <v>住宅建築局住宅経営室</v>
      </c>
    </row>
    <row r="3155" spans="1:18" s="1" customFormat="1" x14ac:dyDescent="0.45">
      <c r="A3155" s="7" t="str">
        <f>"09940003405"</f>
        <v>09940003405</v>
      </c>
      <c r="B3155" s="7" t="str">
        <f>"岸部第１"</f>
        <v>岸部第１</v>
      </c>
      <c r="C3155" s="7" t="str">
        <f t="shared" si="1085"/>
        <v>行政財産</v>
      </c>
      <c r="D3155" s="7" t="str">
        <f t="shared" si="1086"/>
        <v>公営住宅</v>
      </c>
      <c r="E3155" s="7" t="str">
        <f>"大阪府吹田市岸部北２丁目"</f>
        <v>大阪府吹田市岸部北２丁目</v>
      </c>
      <c r="F3155" s="7"/>
      <c r="G3155" s="7" t="str">
        <f t="shared" si="1083"/>
        <v>事業用資産</v>
      </c>
      <c r="H3155" s="7" t="str">
        <f t="shared" si="1100"/>
        <v>棚卸以外</v>
      </c>
      <c r="I3155" s="7">
        <v>3</v>
      </c>
      <c r="J3155" s="7" t="str">
        <f>"電気室"</f>
        <v>電気室</v>
      </c>
      <c r="K3155" s="7" t="str">
        <f t="shared" si="1104"/>
        <v>鉄筋コンクリート造</v>
      </c>
      <c r="L3155" s="7" t="str">
        <f>"S46.05.06"</f>
        <v>S46.05.06</v>
      </c>
      <c r="M3155" s="7">
        <v>113.4</v>
      </c>
      <c r="N3155" s="7">
        <v>14656000</v>
      </c>
      <c r="O3155" s="7">
        <v>14655999</v>
      </c>
      <c r="P3155" s="7">
        <v>0</v>
      </c>
      <c r="Q3155" s="7" t="str">
        <f t="shared" si="1087"/>
        <v>都市整備部</v>
      </c>
      <c r="R3155" s="7" t="str">
        <f t="shared" si="1084"/>
        <v>住宅建築局住宅経営室</v>
      </c>
    </row>
    <row r="3156" spans="1:18" s="1" customFormat="1" x14ac:dyDescent="0.45">
      <c r="A3156" s="7" t="str">
        <f t="shared" ref="A3156:A3165" si="1106">"09940003407"</f>
        <v>09940003407</v>
      </c>
      <c r="B3156" s="7" t="str">
        <f t="shared" ref="B3156:B3165" si="1107">"宮山台第２"</f>
        <v>宮山台第２</v>
      </c>
      <c r="C3156" s="7" t="str">
        <f t="shared" si="1085"/>
        <v>行政財産</v>
      </c>
      <c r="D3156" s="7" t="str">
        <f t="shared" si="1086"/>
        <v>公営住宅</v>
      </c>
      <c r="E3156" s="7" t="str">
        <f t="shared" ref="E3156:E3165" si="1108">"大阪府堺市　南区宮山台２丁"</f>
        <v>大阪府堺市　南区宮山台２丁</v>
      </c>
      <c r="F3156" s="7"/>
      <c r="G3156" s="7" t="str">
        <f t="shared" si="1083"/>
        <v>事業用資産</v>
      </c>
      <c r="H3156" s="7" t="str">
        <f t="shared" si="1100"/>
        <v>棚卸以外</v>
      </c>
      <c r="I3156" s="7">
        <v>1</v>
      </c>
      <c r="J3156" s="7" t="str">
        <f>"１～５・７・８号棟"</f>
        <v>１～５・７・８号棟</v>
      </c>
      <c r="K3156" s="7" t="str">
        <f t="shared" si="1104"/>
        <v>鉄筋コンクリート造</v>
      </c>
      <c r="L3156" s="7" t="str">
        <f>"S44.01.31"</f>
        <v>S44.01.31</v>
      </c>
      <c r="M3156" s="7">
        <v>10006.24</v>
      </c>
      <c r="N3156" s="7">
        <v>376094691</v>
      </c>
      <c r="O3156" s="7">
        <v>344673177</v>
      </c>
      <c r="P3156" s="7">
        <v>0</v>
      </c>
      <c r="Q3156" s="7" t="str">
        <f t="shared" si="1087"/>
        <v>都市整備部</v>
      </c>
      <c r="R3156" s="7" t="str">
        <f t="shared" si="1084"/>
        <v>住宅建築局住宅経営室</v>
      </c>
    </row>
    <row r="3157" spans="1:18" s="1" customFormat="1" x14ac:dyDescent="0.45">
      <c r="A3157" s="7" t="str">
        <f t="shared" si="1106"/>
        <v>09940003407</v>
      </c>
      <c r="B3157" s="7" t="str">
        <f t="shared" si="1107"/>
        <v>宮山台第２</v>
      </c>
      <c r="C3157" s="7" t="str">
        <f t="shared" si="1085"/>
        <v>行政財産</v>
      </c>
      <c r="D3157" s="7" t="str">
        <f t="shared" si="1086"/>
        <v>公営住宅</v>
      </c>
      <c r="E3157" s="7" t="str">
        <f t="shared" si="1108"/>
        <v>大阪府堺市　南区宮山台２丁</v>
      </c>
      <c r="F3157" s="7"/>
      <c r="G3157" s="7" t="str">
        <f t="shared" si="1083"/>
        <v>事業用資産</v>
      </c>
      <c r="H3157" s="7" t="str">
        <f t="shared" si="1100"/>
        <v>棚卸以外</v>
      </c>
      <c r="I3157" s="7">
        <v>2</v>
      </c>
      <c r="J3157" s="7" t="str">
        <f>"１号棟増築"</f>
        <v>１号棟増築</v>
      </c>
      <c r="K3157" s="7" t="str">
        <f t="shared" si="1104"/>
        <v>鉄筋コンクリート造</v>
      </c>
      <c r="L3157" s="7" t="str">
        <f>"S58.07.07"</f>
        <v>S58.07.07</v>
      </c>
      <c r="M3157" s="7">
        <v>444.72</v>
      </c>
      <c r="N3157" s="7">
        <v>61189000</v>
      </c>
      <c r="O3157" s="7">
        <v>51642192</v>
      </c>
      <c r="P3157" s="7">
        <v>0</v>
      </c>
      <c r="Q3157" s="7" t="str">
        <f t="shared" si="1087"/>
        <v>都市整備部</v>
      </c>
      <c r="R3157" s="7" t="str">
        <f t="shared" si="1084"/>
        <v>住宅建築局住宅経営室</v>
      </c>
    </row>
    <row r="3158" spans="1:18" s="1" customFormat="1" x14ac:dyDescent="0.45">
      <c r="A3158" s="7" t="str">
        <f t="shared" si="1106"/>
        <v>09940003407</v>
      </c>
      <c r="B3158" s="7" t="str">
        <f t="shared" si="1107"/>
        <v>宮山台第２</v>
      </c>
      <c r="C3158" s="7" t="str">
        <f t="shared" si="1085"/>
        <v>行政財産</v>
      </c>
      <c r="D3158" s="7" t="str">
        <f t="shared" si="1086"/>
        <v>公営住宅</v>
      </c>
      <c r="E3158" s="7" t="str">
        <f t="shared" si="1108"/>
        <v>大阪府堺市　南区宮山台２丁</v>
      </c>
      <c r="F3158" s="7"/>
      <c r="G3158" s="7" t="str">
        <f t="shared" si="1083"/>
        <v>事業用資産</v>
      </c>
      <c r="H3158" s="7" t="str">
        <f t="shared" si="1100"/>
        <v>棚卸以外</v>
      </c>
      <c r="I3158" s="7">
        <v>3</v>
      </c>
      <c r="J3158" s="7" t="str">
        <f>"５号棟増築"</f>
        <v>５号棟増築</v>
      </c>
      <c r="K3158" s="7" t="str">
        <f t="shared" si="1104"/>
        <v>鉄筋コンクリート造</v>
      </c>
      <c r="L3158" s="7" t="str">
        <f>"S58.07.07"</f>
        <v>S58.07.07</v>
      </c>
      <c r="M3158" s="7">
        <v>667.08</v>
      </c>
      <c r="N3158" s="7">
        <v>91727000</v>
      </c>
      <c r="O3158" s="7">
        <v>77415212</v>
      </c>
      <c r="P3158" s="7">
        <v>0</v>
      </c>
      <c r="Q3158" s="7" t="str">
        <f t="shared" si="1087"/>
        <v>都市整備部</v>
      </c>
      <c r="R3158" s="7" t="str">
        <f t="shared" si="1084"/>
        <v>住宅建築局住宅経営室</v>
      </c>
    </row>
    <row r="3159" spans="1:18" s="1" customFormat="1" x14ac:dyDescent="0.45">
      <c r="A3159" s="7" t="str">
        <f t="shared" si="1106"/>
        <v>09940003407</v>
      </c>
      <c r="B3159" s="7" t="str">
        <f t="shared" si="1107"/>
        <v>宮山台第２</v>
      </c>
      <c r="C3159" s="7" t="str">
        <f t="shared" si="1085"/>
        <v>行政財産</v>
      </c>
      <c r="D3159" s="7" t="str">
        <f t="shared" si="1086"/>
        <v>公営住宅</v>
      </c>
      <c r="E3159" s="7" t="str">
        <f t="shared" si="1108"/>
        <v>大阪府堺市　南区宮山台２丁</v>
      </c>
      <c r="F3159" s="7"/>
      <c r="G3159" s="7" t="str">
        <f t="shared" ref="G3159:G3222" si="1109">"事業用資産"</f>
        <v>事業用資産</v>
      </c>
      <c r="H3159" s="7" t="str">
        <f t="shared" si="1100"/>
        <v>棚卸以外</v>
      </c>
      <c r="I3159" s="7">
        <v>4</v>
      </c>
      <c r="J3159" s="7" t="str">
        <f>"８号棟増築"</f>
        <v>８号棟増築</v>
      </c>
      <c r="K3159" s="7" t="str">
        <f t="shared" si="1104"/>
        <v>鉄筋コンクリート造</v>
      </c>
      <c r="L3159" s="7" t="str">
        <f>"S58.07.07"</f>
        <v>S58.07.07</v>
      </c>
      <c r="M3159" s="7">
        <v>576.1</v>
      </c>
      <c r="N3159" s="7">
        <v>99744000</v>
      </c>
      <c r="O3159" s="7">
        <v>87619183</v>
      </c>
      <c r="P3159" s="7">
        <v>0</v>
      </c>
      <c r="Q3159" s="7" t="str">
        <f t="shared" si="1087"/>
        <v>都市整備部</v>
      </c>
      <c r="R3159" s="7" t="str">
        <f t="shared" si="1084"/>
        <v>住宅建築局住宅経営室</v>
      </c>
    </row>
    <row r="3160" spans="1:18" s="1" customFormat="1" x14ac:dyDescent="0.45">
      <c r="A3160" s="7" t="str">
        <f t="shared" si="1106"/>
        <v>09940003407</v>
      </c>
      <c r="B3160" s="7" t="str">
        <f t="shared" si="1107"/>
        <v>宮山台第２</v>
      </c>
      <c r="C3160" s="7" t="str">
        <f t="shared" si="1085"/>
        <v>行政財産</v>
      </c>
      <c r="D3160" s="7" t="str">
        <f t="shared" si="1086"/>
        <v>公営住宅</v>
      </c>
      <c r="E3160" s="7" t="str">
        <f t="shared" si="1108"/>
        <v>大阪府堺市　南区宮山台２丁</v>
      </c>
      <c r="F3160" s="7"/>
      <c r="G3160" s="7" t="str">
        <f t="shared" si="1109"/>
        <v>事業用資産</v>
      </c>
      <c r="H3160" s="7" t="str">
        <f t="shared" si="1100"/>
        <v>棚卸以外</v>
      </c>
      <c r="I3160" s="7">
        <v>5</v>
      </c>
      <c r="J3160" s="7" t="str">
        <f>"２号棟増築"</f>
        <v>２号棟増築</v>
      </c>
      <c r="K3160" s="7" t="str">
        <f t="shared" si="1104"/>
        <v>鉄筋コンクリート造</v>
      </c>
      <c r="L3160" s="7" t="str">
        <f>"S58.06.24"</f>
        <v>S58.06.24</v>
      </c>
      <c r="M3160" s="7">
        <v>417.94</v>
      </c>
      <c r="N3160" s="7">
        <v>58018000</v>
      </c>
      <c r="O3160" s="7">
        <v>49068513</v>
      </c>
      <c r="P3160" s="7">
        <v>0</v>
      </c>
      <c r="Q3160" s="7" t="str">
        <f t="shared" si="1087"/>
        <v>都市整備部</v>
      </c>
      <c r="R3160" s="7" t="str">
        <f t="shared" ref="R3160:R3223" si="1110">"住宅建築局住宅経営室"</f>
        <v>住宅建築局住宅経営室</v>
      </c>
    </row>
    <row r="3161" spans="1:18" s="1" customFormat="1" x14ac:dyDescent="0.45">
      <c r="A3161" s="7" t="str">
        <f t="shared" si="1106"/>
        <v>09940003407</v>
      </c>
      <c r="B3161" s="7" t="str">
        <f t="shared" si="1107"/>
        <v>宮山台第２</v>
      </c>
      <c r="C3161" s="7" t="str">
        <f t="shared" si="1085"/>
        <v>行政財産</v>
      </c>
      <c r="D3161" s="7" t="str">
        <f t="shared" si="1086"/>
        <v>公営住宅</v>
      </c>
      <c r="E3161" s="7" t="str">
        <f t="shared" si="1108"/>
        <v>大阪府堺市　南区宮山台２丁</v>
      </c>
      <c r="F3161" s="7"/>
      <c r="G3161" s="7" t="str">
        <f t="shared" si="1109"/>
        <v>事業用資産</v>
      </c>
      <c r="H3161" s="7" t="str">
        <f t="shared" si="1100"/>
        <v>棚卸以外</v>
      </c>
      <c r="I3161" s="7">
        <v>6</v>
      </c>
      <c r="J3161" s="7" t="str">
        <f>"４号棟増築"</f>
        <v>４号棟増築</v>
      </c>
      <c r="K3161" s="7" t="str">
        <f t="shared" si="1104"/>
        <v>鉄筋コンクリート造</v>
      </c>
      <c r="L3161" s="7" t="str">
        <f>"S58.06.24"</f>
        <v>S58.06.24</v>
      </c>
      <c r="M3161" s="7">
        <v>435.61</v>
      </c>
      <c r="N3161" s="7">
        <v>56479000</v>
      </c>
      <c r="O3161" s="7">
        <v>47767257</v>
      </c>
      <c r="P3161" s="7">
        <v>0</v>
      </c>
      <c r="Q3161" s="7" t="str">
        <f t="shared" si="1087"/>
        <v>都市整備部</v>
      </c>
      <c r="R3161" s="7" t="str">
        <f t="shared" si="1110"/>
        <v>住宅建築局住宅経営室</v>
      </c>
    </row>
    <row r="3162" spans="1:18" s="1" customFormat="1" x14ac:dyDescent="0.45">
      <c r="A3162" s="7" t="str">
        <f t="shared" si="1106"/>
        <v>09940003407</v>
      </c>
      <c r="B3162" s="7" t="str">
        <f t="shared" si="1107"/>
        <v>宮山台第２</v>
      </c>
      <c r="C3162" s="7" t="str">
        <f t="shared" ref="C3162:C3225" si="1111">"行政財産"</f>
        <v>行政財産</v>
      </c>
      <c r="D3162" s="7" t="str">
        <f t="shared" ref="D3162:D3184" si="1112">"公営住宅"</f>
        <v>公営住宅</v>
      </c>
      <c r="E3162" s="7" t="str">
        <f t="shared" si="1108"/>
        <v>大阪府堺市　南区宮山台２丁</v>
      </c>
      <c r="F3162" s="7"/>
      <c r="G3162" s="7" t="str">
        <f t="shared" si="1109"/>
        <v>事業用資産</v>
      </c>
      <c r="H3162" s="7" t="str">
        <f t="shared" si="1100"/>
        <v>棚卸以外</v>
      </c>
      <c r="I3162" s="7">
        <v>7</v>
      </c>
      <c r="J3162" s="7" t="str">
        <f>"１号棟増築分"</f>
        <v>１号棟増築分</v>
      </c>
      <c r="K3162" s="7" t="str">
        <f t="shared" si="1104"/>
        <v>鉄筋コンクリート造</v>
      </c>
      <c r="L3162" s="7" t="str">
        <f>"H04.05.01"</f>
        <v>H04.05.01</v>
      </c>
      <c r="M3162" s="7">
        <v>327.61</v>
      </c>
      <c r="N3162" s="7">
        <v>65650000</v>
      </c>
      <c r="O3162" s="7">
        <v>43068370</v>
      </c>
      <c r="P3162" s="7">
        <v>0</v>
      </c>
      <c r="Q3162" s="7" t="str">
        <f t="shared" si="1087"/>
        <v>都市整備部</v>
      </c>
      <c r="R3162" s="7" t="str">
        <f t="shared" si="1110"/>
        <v>住宅建築局住宅経営室</v>
      </c>
    </row>
    <row r="3163" spans="1:18" s="1" customFormat="1" x14ac:dyDescent="0.45">
      <c r="A3163" s="7" t="str">
        <f t="shared" si="1106"/>
        <v>09940003407</v>
      </c>
      <c r="B3163" s="7" t="str">
        <f t="shared" si="1107"/>
        <v>宮山台第２</v>
      </c>
      <c r="C3163" s="7" t="str">
        <f t="shared" si="1111"/>
        <v>行政財産</v>
      </c>
      <c r="D3163" s="7" t="str">
        <f t="shared" si="1112"/>
        <v>公営住宅</v>
      </c>
      <c r="E3163" s="7" t="str">
        <f t="shared" si="1108"/>
        <v>大阪府堺市　南区宮山台２丁</v>
      </c>
      <c r="F3163" s="7"/>
      <c r="G3163" s="7" t="str">
        <f t="shared" si="1109"/>
        <v>事業用資産</v>
      </c>
      <c r="H3163" s="7" t="str">
        <f t="shared" si="1100"/>
        <v>棚卸以外</v>
      </c>
      <c r="I3163" s="7">
        <v>8</v>
      </c>
      <c r="J3163" s="7" t="str">
        <f>"２号棟増築分"</f>
        <v>２号棟増築分</v>
      </c>
      <c r="K3163" s="7" t="str">
        <f t="shared" si="1104"/>
        <v>鉄筋コンクリート造</v>
      </c>
      <c r="L3163" s="7" t="str">
        <f>"H04.05.01"</f>
        <v>H04.05.01</v>
      </c>
      <c r="M3163" s="7">
        <v>71.760000000000005</v>
      </c>
      <c r="N3163" s="7">
        <v>18550000</v>
      </c>
      <c r="O3163" s="7">
        <v>12169670</v>
      </c>
      <c r="P3163" s="7">
        <v>0</v>
      </c>
      <c r="Q3163" s="7" t="str">
        <f t="shared" ref="Q3163:Q3226" si="1113">"都市整備部"</f>
        <v>都市整備部</v>
      </c>
      <c r="R3163" s="7" t="str">
        <f t="shared" si="1110"/>
        <v>住宅建築局住宅経営室</v>
      </c>
    </row>
    <row r="3164" spans="1:18" s="1" customFormat="1" x14ac:dyDescent="0.45">
      <c r="A3164" s="7" t="str">
        <f t="shared" si="1106"/>
        <v>09940003407</v>
      </c>
      <c r="B3164" s="7" t="str">
        <f t="shared" si="1107"/>
        <v>宮山台第２</v>
      </c>
      <c r="C3164" s="7" t="str">
        <f t="shared" si="1111"/>
        <v>行政財産</v>
      </c>
      <c r="D3164" s="7" t="str">
        <f t="shared" si="1112"/>
        <v>公営住宅</v>
      </c>
      <c r="E3164" s="7" t="str">
        <f t="shared" si="1108"/>
        <v>大阪府堺市　南区宮山台２丁</v>
      </c>
      <c r="F3164" s="7"/>
      <c r="G3164" s="7" t="str">
        <f t="shared" si="1109"/>
        <v>事業用資産</v>
      </c>
      <c r="H3164" s="7" t="str">
        <f t="shared" si="1100"/>
        <v>棚卸以外</v>
      </c>
      <c r="I3164" s="7">
        <v>9</v>
      </c>
      <c r="J3164" s="7" t="str">
        <f>"３号棟増築分"</f>
        <v>３号棟増築分</v>
      </c>
      <c r="K3164" s="7" t="str">
        <f t="shared" si="1104"/>
        <v>鉄筋コンクリート造</v>
      </c>
      <c r="L3164" s="7" t="str">
        <f>"H04.05.01"</f>
        <v>H04.05.01</v>
      </c>
      <c r="M3164" s="7">
        <v>305.74</v>
      </c>
      <c r="N3164" s="7">
        <v>61870000</v>
      </c>
      <c r="O3164" s="7">
        <v>40588630</v>
      </c>
      <c r="P3164" s="7">
        <v>0</v>
      </c>
      <c r="Q3164" s="7" t="str">
        <f t="shared" si="1113"/>
        <v>都市整備部</v>
      </c>
      <c r="R3164" s="7" t="str">
        <f t="shared" si="1110"/>
        <v>住宅建築局住宅経営室</v>
      </c>
    </row>
    <row r="3165" spans="1:18" s="1" customFormat="1" x14ac:dyDescent="0.45">
      <c r="A3165" s="7" t="str">
        <f t="shared" si="1106"/>
        <v>09940003407</v>
      </c>
      <c r="B3165" s="7" t="str">
        <f t="shared" si="1107"/>
        <v>宮山台第２</v>
      </c>
      <c r="C3165" s="7" t="str">
        <f t="shared" si="1111"/>
        <v>行政財産</v>
      </c>
      <c r="D3165" s="7" t="str">
        <f t="shared" si="1112"/>
        <v>公営住宅</v>
      </c>
      <c r="E3165" s="7" t="str">
        <f t="shared" si="1108"/>
        <v>大阪府堺市　南区宮山台２丁</v>
      </c>
      <c r="F3165" s="7"/>
      <c r="G3165" s="7" t="str">
        <f t="shared" si="1109"/>
        <v>事業用資産</v>
      </c>
      <c r="H3165" s="7" t="str">
        <f t="shared" si="1100"/>
        <v>棚卸以外</v>
      </c>
      <c r="I3165" s="7">
        <v>10</v>
      </c>
      <c r="J3165" s="7" t="str">
        <f>"集会所"</f>
        <v>集会所</v>
      </c>
      <c r="K3165" s="7" t="str">
        <f t="shared" si="1104"/>
        <v>鉄筋コンクリート造</v>
      </c>
      <c r="L3165" s="7" t="str">
        <f>"S44.01.31"</f>
        <v>S44.01.31</v>
      </c>
      <c r="M3165" s="7">
        <v>67.2</v>
      </c>
      <c r="N3165" s="7">
        <v>3167385</v>
      </c>
      <c r="O3165" s="7">
        <v>3167384</v>
      </c>
      <c r="P3165" s="7">
        <v>0</v>
      </c>
      <c r="Q3165" s="7" t="str">
        <f t="shared" si="1113"/>
        <v>都市整備部</v>
      </c>
      <c r="R3165" s="7" t="str">
        <f t="shared" si="1110"/>
        <v>住宅建築局住宅経営室</v>
      </c>
    </row>
    <row r="3166" spans="1:18" s="1" customFormat="1" x14ac:dyDescent="0.45">
      <c r="A3166" s="7" t="str">
        <f>"09940003409"</f>
        <v>09940003409</v>
      </c>
      <c r="B3166" s="7" t="str">
        <f>"羽曳野城山（旧城山）"</f>
        <v>羽曳野城山（旧城山）</v>
      </c>
      <c r="C3166" s="7" t="str">
        <f t="shared" si="1111"/>
        <v>行政財産</v>
      </c>
      <c r="D3166" s="7" t="str">
        <f t="shared" si="1112"/>
        <v>公営住宅</v>
      </c>
      <c r="E3166" s="7" t="str">
        <f>"大阪府羽曳野市古市"</f>
        <v>大阪府羽曳野市古市</v>
      </c>
      <c r="F3166" s="7"/>
      <c r="G3166" s="7" t="str">
        <f t="shared" si="1109"/>
        <v>事業用資産</v>
      </c>
      <c r="H3166" s="7" t="str">
        <f t="shared" si="1100"/>
        <v>棚卸以外</v>
      </c>
      <c r="I3166" s="7">
        <v>1</v>
      </c>
      <c r="J3166" s="7" t="str">
        <f>"１号棟"</f>
        <v>１号棟</v>
      </c>
      <c r="K3166" s="7" t="str">
        <f t="shared" si="1104"/>
        <v>鉄筋コンクリート造</v>
      </c>
      <c r="L3166" s="7" t="str">
        <f>"S63.02.08"</f>
        <v>S63.02.08</v>
      </c>
      <c r="M3166" s="7">
        <v>1334.55</v>
      </c>
      <c r="N3166" s="7">
        <v>123842000</v>
      </c>
      <c r="O3166" s="7">
        <v>92442759</v>
      </c>
      <c r="P3166" s="7">
        <v>0</v>
      </c>
      <c r="Q3166" s="7" t="str">
        <f t="shared" si="1113"/>
        <v>都市整備部</v>
      </c>
      <c r="R3166" s="7" t="str">
        <f t="shared" si="1110"/>
        <v>住宅建築局住宅経営室</v>
      </c>
    </row>
    <row r="3167" spans="1:18" s="1" customFormat="1" x14ac:dyDescent="0.45">
      <c r="A3167" s="7" t="str">
        <f>"09940003409"</f>
        <v>09940003409</v>
      </c>
      <c r="B3167" s="7" t="str">
        <f>"羽曳野城山（旧城山）"</f>
        <v>羽曳野城山（旧城山）</v>
      </c>
      <c r="C3167" s="7" t="str">
        <f t="shared" si="1111"/>
        <v>行政財産</v>
      </c>
      <c r="D3167" s="7" t="str">
        <f t="shared" si="1112"/>
        <v>公営住宅</v>
      </c>
      <c r="E3167" s="7" t="str">
        <f>"大阪府羽曳野市古市"</f>
        <v>大阪府羽曳野市古市</v>
      </c>
      <c r="F3167" s="7"/>
      <c r="G3167" s="7" t="str">
        <f t="shared" si="1109"/>
        <v>事業用資産</v>
      </c>
      <c r="H3167" s="7" t="str">
        <f t="shared" si="1100"/>
        <v>棚卸以外</v>
      </c>
      <c r="I3167" s="7">
        <v>2</v>
      </c>
      <c r="J3167" s="7" t="str">
        <f>"２号棟"</f>
        <v>２号棟</v>
      </c>
      <c r="K3167" s="7" t="str">
        <f t="shared" si="1104"/>
        <v>鉄筋コンクリート造</v>
      </c>
      <c r="L3167" s="7" t="str">
        <f>"S63.02.08"</f>
        <v>S63.02.08</v>
      </c>
      <c r="M3167" s="7">
        <v>1777.65</v>
      </c>
      <c r="N3167" s="7">
        <v>157145000</v>
      </c>
      <c r="O3167" s="7">
        <v>117301546</v>
      </c>
      <c r="P3167" s="7">
        <v>0</v>
      </c>
      <c r="Q3167" s="7" t="str">
        <f t="shared" si="1113"/>
        <v>都市整備部</v>
      </c>
      <c r="R3167" s="7" t="str">
        <f t="shared" si="1110"/>
        <v>住宅建築局住宅経営室</v>
      </c>
    </row>
    <row r="3168" spans="1:18" s="1" customFormat="1" x14ac:dyDescent="0.45">
      <c r="A3168" s="7" t="str">
        <f>"09940003409"</f>
        <v>09940003409</v>
      </c>
      <c r="B3168" s="7" t="str">
        <f>"羽曳野城山（旧城山）"</f>
        <v>羽曳野城山（旧城山）</v>
      </c>
      <c r="C3168" s="7" t="str">
        <f t="shared" si="1111"/>
        <v>行政財産</v>
      </c>
      <c r="D3168" s="7" t="str">
        <f t="shared" si="1112"/>
        <v>公営住宅</v>
      </c>
      <c r="E3168" s="7" t="str">
        <f>"大阪府羽曳野市古市"</f>
        <v>大阪府羽曳野市古市</v>
      </c>
      <c r="F3168" s="7"/>
      <c r="G3168" s="7" t="str">
        <f t="shared" si="1109"/>
        <v>事業用資産</v>
      </c>
      <c r="H3168" s="7" t="str">
        <f t="shared" si="1100"/>
        <v>棚卸以外</v>
      </c>
      <c r="I3168" s="7">
        <v>3</v>
      </c>
      <c r="J3168" s="7" t="str">
        <f>"集会所"</f>
        <v>集会所</v>
      </c>
      <c r="K3168" s="7" t="str">
        <f t="shared" si="1104"/>
        <v>鉄筋コンクリート造</v>
      </c>
      <c r="L3168" s="7" t="str">
        <f>"S63.02.08"</f>
        <v>S63.02.08</v>
      </c>
      <c r="M3168" s="7">
        <v>71.790000000000006</v>
      </c>
      <c r="N3168" s="7">
        <v>12867000</v>
      </c>
      <c r="O3168" s="7">
        <v>9604694</v>
      </c>
      <c r="P3168" s="7">
        <v>0</v>
      </c>
      <c r="Q3168" s="7" t="str">
        <f t="shared" si="1113"/>
        <v>都市整備部</v>
      </c>
      <c r="R3168" s="7" t="str">
        <f t="shared" si="1110"/>
        <v>住宅建築局住宅経営室</v>
      </c>
    </row>
    <row r="3169" spans="1:18" s="1" customFormat="1" x14ac:dyDescent="0.45">
      <c r="A3169" s="7" t="str">
        <f>"09940003409"</f>
        <v>09940003409</v>
      </c>
      <c r="B3169" s="7" t="str">
        <f>"羽曳野城山（旧城山）"</f>
        <v>羽曳野城山（旧城山）</v>
      </c>
      <c r="C3169" s="7" t="str">
        <f t="shared" si="1111"/>
        <v>行政財産</v>
      </c>
      <c r="D3169" s="7" t="str">
        <f t="shared" si="1112"/>
        <v>公営住宅</v>
      </c>
      <c r="E3169" s="7" t="str">
        <f>"大阪府羽曳野市古市"</f>
        <v>大阪府羽曳野市古市</v>
      </c>
      <c r="F3169" s="7"/>
      <c r="G3169" s="7" t="str">
        <f t="shared" si="1109"/>
        <v>事業用資産</v>
      </c>
      <c r="H3169" s="7" t="str">
        <f t="shared" si="1100"/>
        <v>棚卸以外</v>
      </c>
      <c r="I3169" s="7">
        <v>4</v>
      </c>
      <c r="J3169" s="7" t="str">
        <f>"受水槽"</f>
        <v>受水槽</v>
      </c>
      <c r="K3169" s="7" t="str">
        <f t="shared" si="1104"/>
        <v>鉄筋コンクリート造</v>
      </c>
      <c r="L3169" s="7" t="str">
        <f>"S63.02.08"</f>
        <v>S63.02.08</v>
      </c>
      <c r="M3169" s="7">
        <v>14.6</v>
      </c>
      <c r="N3169" s="7">
        <v>10623000</v>
      </c>
      <c r="O3169" s="7">
        <v>7929956</v>
      </c>
      <c r="P3169" s="7">
        <v>0</v>
      </c>
      <c r="Q3169" s="7" t="str">
        <f t="shared" si="1113"/>
        <v>都市整備部</v>
      </c>
      <c r="R3169" s="7" t="str">
        <f t="shared" si="1110"/>
        <v>住宅建築局住宅経営室</v>
      </c>
    </row>
    <row r="3170" spans="1:18" s="1" customFormat="1" x14ac:dyDescent="0.45">
      <c r="A3170" s="7" t="str">
        <f t="shared" ref="A3170:A3176" si="1114">"09940003410"</f>
        <v>09940003410</v>
      </c>
      <c r="B3170" s="7" t="str">
        <f t="shared" ref="B3170:B3176" si="1115">"河内長野三日市"</f>
        <v>河内長野三日市</v>
      </c>
      <c r="C3170" s="7" t="str">
        <f t="shared" si="1111"/>
        <v>行政財産</v>
      </c>
      <c r="D3170" s="7" t="str">
        <f t="shared" si="1112"/>
        <v>公営住宅</v>
      </c>
      <c r="E3170" s="7" t="str">
        <f t="shared" ref="E3170:E3176" si="1116">"大阪府河内長野市三日市町"</f>
        <v>大阪府河内長野市三日市町</v>
      </c>
      <c r="F3170" s="7"/>
      <c r="G3170" s="7" t="str">
        <f t="shared" si="1109"/>
        <v>事業用資産</v>
      </c>
      <c r="H3170" s="7" t="str">
        <f t="shared" si="1100"/>
        <v>棚卸以外</v>
      </c>
      <c r="I3170" s="7">
        <v>1</v>
      </c>
      <c r="J3170" s="7" t="str">
        <f>"４号棟"</f>
        <v>４号棟</v>
      </c>
      <c r="K3170" s="7" t="str">
        <f t="shared" si="1104"/>
        <v>鉄筋コンクリート造</v>
      </c>
      <c r="L3170" s="7" t="str">
        <f t="shared" ref="L3170:L3176" si="1117">"S51.08.19"</f>
        <v>S51.08.19</v>
      </c>
      <c r="M3170" s="7">
        <v>1182</v>
      </c>
      <c r="N3170" s="7">
        <v>76025000</v>
      </c>
      <c r="O3170" s="7">
        <v>75351523</v>
      </c>
      <c r="P3170" s="7">
        <v>0</v>
      </c>
      <c r="Q3170" s="7" t="str">
        <f t="shared" si="1113"/>
        <v>都市整備部</v>
      </c>
      <c r="R3170" s="7" t="str">
        <f t="shared" si="1110"/>
        <v>住宅建築局住宅経営室</v>
      </c>
    </row>
    <row r="3171" spans="1:18" s="1" customFormat="1" x14ac:dyDescent="0.45">
      <c r="A3171" s="7" t="str">
        <f t="shared" si="1114"/>
        <v>09940003410</v>
      </c>
      <c r="B3171" s="7" t="str">
        <f t="shared" si="1115"/>
        <v>河内長野三日市</v>
      </c>
      <c r="C3171" s="7" t="str">
        <f t="shared" si="1111"/>
        <v>行政財産</v>
      </c>
      <c r="D3171" s="7" t="str">
        <f t="shared" si="1112"/>
        <v>公営住宅</v>
      </c>
      <c r="E3171" s="7" t="str">
        <f t="shared" si="1116"/>
        <v>大阪府河内長野市三日市町</v>
      </c>
      <c r="F3171" s="7"/>
      <c r="G3171" s="7" t="str">
        <f t="shared" si="1109"/>
        <v>事業用資産</v>
      </c>
      <c r="H3171" s="7" t="str">
        <f t="shared" si="1100"/>
        <v>棚卸以外</v>
      </c>
      <c r="I3171" s="7">
        <v>2</v>
      </c>
      <c r="J3171" s="7" t="str">
        <f>"２号棟"</f>
        <v>２号棟</v>
      </c>
      <c r="K3171" s="7" t="str">
        <f t="shared" si="1104"/>
        <v>鉄筋コンクリート造</v>
      </c>
      <c r="L3171" s="7" t="str">
        <f t="shared" si="1117"/>
        <v>S51.08.19</v>
      </c>
      <c r="M3171" s="7">
        <v>1228.72</v>
      </c>
      <c r="N3171" s="7">
        <v>93208000</v>
      </c>
      <c r="O3171" s="7">
        <v>92382017</v>
      </c>
      <c r="P3171" s="7">
        <v>0</v>
      </c>
      <c r="Q3171" s="7" t="str">
        <f t="shared" si="1113"/>
        <v>都市整備部</v>
      </c>
      <c r="R3171" s="7" t="str">
        <f t="shared" si="1110"/>
        <v>住宅建築局住宅経営室</v>
      </c>
    </row>
    <row r="3172" spans="1:18" s="1" customFormat="1" x14ac:dyDescent="0.45">
      <c r="A3172" s="7" t="str">
        <f t="shared" si="1114"/>
        <v>09940003410</v>
      </c>
      <c r="B3172" s="7" t="str">
        <f t="shared" si="1115"/>
        <v>河内長野三日市</v>
      </c>
      <c r="C3172" s="7" t="str">
        <f t="shared" si="1111"/>
        <v>行政財産</v>
      </c>
      <c r="D3172" s="7" t="str">
        <f t="shared" si="1112"/>
        <v>公営住宅</v>
      </c>
      <c r="E3172" s="7" t="str">
        <f t="shared" si="1116"/>
        <v>大阪府河内長野市三日市町</v>
      </c>
      <c r="F3172" s="7"/>
      <c r="G3172" s="7" t="str">
        <f t="shared" si="1109"/>
        <v>事業用資産</v>
      </c>
      <c r="H3172" s="7" t="str">
        <f t="shared" si="1100"/>
        <v>棚卸以外</v>
      </c>
      <c r="I3172" s="7">
        <v>3</v>
      </c>
      <c r="J3172" s="7" t="str">
        <f>"１号棟"</f>
        <v>１号棟</v>
      </c>
      <c r="K3172" s="7" t="str">
        <f t="shared" si="1104"/>
        <v>鉄筋コンクリート造</v>
      </c>
      <c r="L3172" s="7" t="str">
        <f t="shared" si="1117"/>
        <v>S51.08.19</v>
      </c>
      <c r="M3172" s="7">
        <v>1197.44</v>
      </c>
      <c r="N3172" s="7">
        <v>77013000</v>
      </c>
      <c r="O3172" s="7">
        <v>76330332</v>
      </c>
      <c r="P3172" s="7">
        <v>0</v>
      </c>
      <c r="Q3172" s="7" t="str">
        <f t="shared" si="1113"/>
        <v>都市整備部</v>
      </c>
      <c r="R3172" s="7" t="str">
        <f t="shared" si="1110"/>
        <v>住宅建築局住宅経営室</v>
      </c>
    </row>
    <row r="3173" spans="1:18" s="1" customFormat="1" x14ac:dyDescent="0.45">
      <c r="A3173" s="7" t="str">
        <f t="shared" si="1114"/>
        <v>09940003410</v>
      </c>
      <c r="B3173" s="7" t="str">
        <f t="shared" si="1115"/>
        <v>河内長野三日市</v>
      </c>
      <c r="C3173" s="7" t="str">
        <f t="shared" si="1111"/>
        <v>行政財産</v>
      </c>
      <c r="D3173" s="7" t="str">
        <f t="shared" si="1112"/>
        <v>公営住宅</v>
      </c>
      <c r="E3173" s="7" t="str">
        <f t="shared" si="1116"/>
        <v>大阪府河内長野市三日市町</v>
      </c>
      <c r="F3173" s="7"/>
      <c r="G3173" s="7" t="str">
        <f t="shared" si="1109"/>
        <v>事業用資産</v>
      </c>
      <c r="H3173" s="7" t="str">
        <f t="shared" si="1100"/>
        <v>棚卸以外</v>
      </c>
      <c r="I3173" s="7">
        <v>4</v>
      </c>
      <c r="J3173" s="7" t="str">
        <f>"３号棟"</f>
        <v>３号棟</v>
      </c>
      <c r="K3173" s="7" t="str">
        <f t="shared" si="1104"/>
        <v>鉄筋コンクリート造</v>
      </c>
      <c r="L3173" s="7" t="str">
        <f t="shared" si="1117"/>
        <v>S51.08.19</v>
      </c>
      <c r="M3173" s="7">
        <v>1061.8</v>
      </c>
      <c r="N3173" s="7">
        <v>80971000</v>
      </c>
      <c r="O3173" s="7">
        <v>80253394</v>
      </c>
      <c r="P3173" s="7">
        <v>0</v>
      </c>
      <c r="Q3173" s="7" t="str">
        <f t="shared" si="1113"/>
        <v>都市整備部</v>
      </c>
      <c r="R3173" s="7" t="str">
        <f t="shared" si="1110"/>
        <v>住宅建築局住宅経営室</v>
      </c>
    </row>
    <row r="3174" spans="1:18" s="1" customFormat="1" x14ac:dyDescent="0.45">
      <c r="A3174" s="7" t="str">
        <f t="shared" si="1114"/>
        <v>09940003410</v>
      </c>
      <c r="B3174" s="7" t="str">
        <f t="shared" si="1115"/>
        <v>河内長野三日市</v>
      </c>
      <c r="C3174" s="7" t="str">
        <f t="shared" si="1111"/>
        <v>行政財産</v>
      </c>
      <c r="D3174" s="7" t="str">
        <f t="shared" si="1112"/>
        <v>公営住宅</v>
      </c>
      <c r="E3174" s="7" t="str">
        <f t="shared" si="1116"/>
        <v>大阪府河内長野市三日市町</v>
      </c>
      <c r="F3174" s="7"/>
      <c r="G3174" s="7" t="str">
        <f t="shared" si="1109"/>
        <v>事業用資産</v>
      </c>
      <c r="H3174" s="7" t="str">
        <f t="shared" si="1100"/>
        <v>棚卸以外</v>
      </c>
      <c r="I3174" s="7">
        <v>5</v>
      </c>
      <c r="J3174" s="7" t="str">
        <f>"集会所"</f>
        <v>集会所</v>
      </c>
      <c r="K3174" s="7" t="str">
        <f>"鉄筋"</f>
        <v>鉄筋</v>
      </c>
      <c r="L3174" s="7" t="str">
        <f t="shared" si="1117"/>
        <v>S51.08.19</v>
      </c>
      <c r="M3174" s="7">
        <v>86.84</v>
      </c>
      <c r="N3174" s="7">
        <v>14062000</v>
      </c>
      <c r="O3174" s="7">
        <v>10685098</v>
      </c>
      <c r="P3174" s="7">
        <v>0</v>
      </c>
      <c r="Q3174" s="7" t="str">
        <f t="shared" si="1113"/>
        <v>都市整備部</v>
      </c>
      <c r="R3174" s="7" t="str">
        <f t="shared" si="1110"/>
        <v>住宅建築局住宅経営室</v>
      </c>
    </row>
    <row r="3175" spans="1:18" s="1" customFormat="1" x14ac:dyDescent="0.45">
      <c r="A3175" s="7" t="str">
        <f t="shared" si="1114"/>
        <v>09940003410</v>
      </c>
      <c r="B3175" s="7" t="str">
        <f t="shared" si="1115"/>
        <v>河内長野三日市</v>
      </c>
      <c r="C3175" s="7" t="str">
        <f t="shared" si="1111"/>
        <v>行政財産</v>
      </c>
      <c r="D3175" s="7" t="str">
        <f t="shared" si="1112"/>
        <v>公営住宅</v>
      </c>
      <c r="E3175" s="7" t="str">
        <f t="shared" si="1116"/>
        <v>大阪府河内長野市三日市町</v>
      </c>
      <c r="F3175" s="7"/>
      <c r="G3175" s="7" t="str">
        <f t="shared" si="1109"/>
        <v>事業用資産</v>
      </c>
      <c r="H3175" s="7" t="str">
        <f t="shared" si="1100"/>
        <v>棚卸以外</v>
      </c>
      <c r="I3175" s="7">
        <v>6</v>
      </c>
      <c r="J3175" s="7" t="str">
        <f>"ポンプ室"</f>
        <v>ポンプ室</v>
      </c>
      <c r="K3175" s="7" t="str">
        <f t="shared" ref="K3175:K3208" si="1118">"鉄筋コンクリート造"</f>
        <v>鉄筋コンクリート造</v>
      </c>
      <c r="L3175" s="7" t="str">
        <f t="shared" si="1117"/>
        <v>S51.08.19</v>
      </c>
      <c r="M3175" s="7">
        <v>52.2</v>
      </c>
      <c r="N3175" s="7">
        <v>3409000</v>
      </c>
      <c r="O3175" s="7">
        <v>3379155</v>
      </c>
      <c r="P3175" s="7">
        <v>0</v>
      </c>
      <c r="Q3175" s="7" t="str">
        <f t="shared" si="1113"/>
        <v>都市整備部</v>
      </c>
      <c r="R3175" s="7" t="str">
        <f t="shared" si="1110"/>
        <v>住宅建築局住宅経営室</v>
      </c>
    </row>
    <row r="3176" spans="1:18" s="1" customFormat="1" x14ac:dyDescent="0.45">
      <c r="A3176" s="7" t="str">
        <f t="shared" si="1114"/>
        <v>09940003410</v>
      </c>
      <c r="B3176" s="7" t="str">
        <f t="shared" si="1115"/>
        <v>河内長野三日市</v>
      </c>
      <c r="C3176" s="7" t="str">
        <f t="shared" si="1111"/>
        <v>行政財産</v>
      </c>
      <c r="D3176" s="7" t="str">
        <f t="shared" si="1112"/>
        <v>公営住宅</v>
      </c>
      <c r="E3176" s="7" t="str">
        <f t="shared" si="1116"/>
        <v>大阪府河内長野市三日市町</v>
      </c>
      <c r="F3176" s="7"/>
      <c r="G3176" s="7" t="str">
        <f t="shared" si="1109"/>
        <v>事業用資産</v>
      </c>
      <c r="H3176" s="7" t="str">
        <f t="shared" si="1100"/>
        <v>棚卸以外</v>
      </c>
      <c r="I3176" s="7">
        <v>7</v>
      </c>
      <c r="J3176" s="7" t="str">
        <f>"浄化槽"</f>
        <v>浄化槽</v>
      </c>
      <c r="K3176" s="7" t="str">
        <f t="shared" si="1118"/>
        <v>鉄筋コンクリート造</v>
      </c>
      <c r="L3176" s="7" t="str">
        <f t="shared" si="1117"/>
        <v>S51.08.19</v>
      </c>
      <c r="M3176" s="7">
        <v>37.630000000000003</v>
      </c>
      <c r="N3176" s="7">
        <v>34356000</v>
      </c>
      <c r="O3176" s="7">
        <v>34051485</v>
      </c>
      <c r="P3176" s="7">
        <v>0</v>
      </c>
      <c r="Q3176" s="7" t="str">
        <f t="shared" si="1113"/>
        <v>都市整備部</v>
      </c>
      <c r="R3176" s="7" t="str">
        <f t="shared" si="1110"/>
        <v>住宅建築局住宅経営室</v>
      </c>
    </row>
    <row r="3177" spans="1:18" s="1" customFormat="1" x14ac:dyDescent="0.45">
      <c r="A3177" s="7" t="str">
        <f t="shared" ref="A3177:A3184" si="1119">"09940003416"</f>
        <v>09940003416</v>
      </c>
      <c r="B3177" s="7" t="str">
        <f t="shared" ref="B3177:B3184" si="1120">"羽曳野野々上"</f>
        <v>羽曳野野々上</v>
      </c>
      <c r="C3177" s="7" t="str">
        <f t="shared" si="1111"/>
        <v>行政財産</v>
      </c>
      <c r="D3177" s="7" t="str">
        <f t="shared" si="1112"/>
        <v>公営住宅</v>
      </c>
      <c r="E3177" s="7" t="str">
        <f t="shared" ref="E3177:E3184" si="1121">"大阪府羽曳野市野々上５丁目"</f>
        <v>大阪府羽曳野市野々上５丁目</v>
      </c>
      <c r="F3177" s="7"/>
      <c r="G3177" s="7" t="str">
        <f t="shared" si="1109"/>
        <v>事業用資産</v>
      </c>
      <c r="H3177" s="7" t="str">
        <f t="shared" si="1100"/>
        <v>棚卸以外</v>
      </c>
      <c r="I3177" s="7">
        <v>1</v>
      </c>
      <c r="J3177" s="7" t="str">
        <f>"１号棟"</f>
        <v>１号棟</v>
      </c>
      <c r="K3177" s="7" t="str">
        <f t="shared" si="1118"/>
        <v>鉄筋コンクリート造</v>
      </c>
      <c r="L3177" s="7" t="str">
        <f>"H10.11.27"</f>
        <v>H10.11.27</v>
      </c>
      <c r="M3177" s="7">
        <v>6845</v>
      </c>
      <c r="N3177" s="7">
        <v>1267793072</v>
      </c>
      <c r="O3177" s="7">
        <v>654533208</v>
      </c>
      <c r="P3177" s="7">
        <v>0</v>
      </c>
      <c r="Q3177" s="7" t="str">
        <f t="shared" si="1113"/>
        <v>都市整備部</v>
      </c>
      <c r="R3177" s="7" t="str">
        <f t="shared" si="1110"/>
        <v>住宅建築局住宅経営室</v>
      </c>
    </row>
    <row r="3178" spans="1:18" s="1" customFormat="1" x14ac:dyDescent="0.45">
      <c r="A3178" s="7" t="str">
        <f t="shared" si="1119"/>
        <v>09940003416</v>
      </c>
      <c r="B3178" s="7" t="str">
        <f t="shared" si="1120"/>
        <v>羽曳野野々上</v>
      </c>
      <c r="C3178" s="7" t="str">
        <f t="shared" si="1111"/>
        <v>行政財産</v>
      </c>
      <c r="D3178" s="7" t="str">
        <f t="shared" si="1112"/>
        <v>公営住宅</v>
      </c>
      <c r="E3178" s="7" t="str">
        <f t="shared" si="1121"/>
        <v>大阪府羽曳野市野々上５丁目</v>
      </c>
      <c r="F3178" s="7"/>
      <c r="G3178" s="7" t="str">
        <f t="shared" si="1109"/>
        <v>事業用資産</v>
      </c>
      <c r="H3178" s="7" t="str">
        <f t="shared" si="1100"/>
        <v>棚卸以外</v>
      </c>
      <c r="I3178" s="7">
        <v>2</v>
      </c>
      <c r="J3178" s="7" t="str">
        <f>"２号棟"</f>
        <v>２号棟</v>
      </c>
      <c r="K3178" s="7" t="str">
        <f t="shared" si="1118"/>
        <v>鉄筋コンクリート造</v>
      </c>
      <c r="L3178" s="7" t="str">
        <f>"H10.11.27"</f>
        <v>H10.11.27</v>
      </c>
      <c r="M3178" s="7">
        <v>7192.09</v>
      </c>
      <c r="N3178" s="7">
        <v>1205177072</v>
      </c>
      <c r="O3178" s="7">
        <v>622115076</v>
      </c>
      <c r="P3178" s="7">
        <v>0</v>
      </c>
      <c r="Q3178" s="7" t="str">
        <f t="shared" si="1113"/>
        <v>都市整備部</v>
      </c>
      <c r="R3178" s="7" t="str">
        <f t="shared" si="1110"/>
        <v>住宅建築局住宅経営室</v>
      </c>
    </row>
    <row r="3179" spans="1:18" s="1" customFormat="1" x14ac:dyDescent="0.45">
      <c r="A3179" s="7" t="str">
        <f t="shared" si="1119"/>
        <v>09940003416</v>
      </c>
      <c r="B3179" s="7" t="str">
        <f t="shared" si="1120"/>
        <v>羽曳野野々上</v>
      </c>
      <c r="C3179" s="7" t="str">
        <f t="shared" si="1111"/>
        <v>行政財産</v>
      </c>
      <c r="D3179" s="7" t="str">
        <f t="shared" si="1112"/>
        <v>公営住宅</v>
      </c>
      <c r="E3179" s="7" t="str">
        <f t="shared" si="1121"/>
        <v>大阪府羽曳野市野々上５丁目</v>
      </c>
      <c r="F3179" s="7"/>
      <c r="G3179" s="7" t="str">
        <f t="shared" si="1109"/>
        <v>事業用資産</v>
      </c>
      <c r="H3179" s="7" t="str">
        <f t="shared" si="1100"/>
        <v>棚卸以外</v>
      </c>
      <c r="I3179" s="7">
        <v>3</v>
      </c>
      <c r="J3179" s="7" t="str">
        <f>"受水槽ポンプ室・電気室"</f>
        <v>受水槽ポンプ室・電気室</v>
      </c>
      <c r="K3179" s="7" t="str">
        <f t="shared" si="1118"/>
        <v>鉄筋コンクリート造</v>
      </c>
      <c r="L3179" s="7" t="str">
        <f>"H10.11.27"</f>
        <v>H10.11.27</v>
      </c>
      <c r="M3179" s="7">
        <v>147.25</v>
      </c>
      <c r="N3179" s="7">
        <v>62081000</v>
      </c>
      <c r="O3179" s="7">
        <v>32141316</v>
      </c>
      <c r="P3179" s="7">
        <v>0</v>
      </c>
      <c r="Q3179" s="7" t="str">
        <f t="shared" si="1113"/>
        <v>都市整備部</v>
      </c>
      <c r="R3179" s="7" t="str">
        <f t="shared" si="1110"/>
        <v>住宅建築局住宅経営室</v>
      </c>
    </row>
    <row r="3180" spans="1:18" s="1" customFormat="1" x14ac:dyDescent="0.45">
      <c r="A3180" s="7" t="str">
        <f t="shared" si="1119"/>
        <v>09940003416</v>
      </c>
      <c r="B3180" s="7" t="str">
        <f t="shared" si="1120"/>
        <v>羽曳野野々上</v>
      </c>
      <c r="C3180" s="7" t="str">
        <f t="shared" si="1111"/>
        <v>行政財産</v>
      </c>
      <c r="D3180" s="7" t="str">
        <f t="shared" si="1112"/>
        <v>公営住宅</v>
      </c>
      <c r="E3180" s="7" t="str">
        <f t="shared" si="1121"/>
        <v>大阪府羽曳野市野々上５丁目</v>
      </c>
      <c r="F3180" s="7"/>
      <c r="G3180" s="7" t="str">
        <f t="shared" si="1109"/>
        <v>事業用資産</v>
      </c>
      <c r="H3180" s="7" t="str">
        <f t="shared" si="1100"/>
        <v>棚卸以外</v>
      </c>
      <c r="I3180" s="7">
        <v>4</v>
      </c>
      <c r="J3180" s="7" t="str">
        <f>"集会所"</f>
        <v>集会所</v>
      </c>
      <c r="K3180" s="7" t="str">
        <f t="shared" si="1118"/>
        <v>鉄筋コンクリート造</v>
      </c>
      <c r="L3180" s="7" t="str">
        <f>"H10.11.27"</f>
        <v>H10.11.27</v>
      </c>
      <c r="M3180" s="7">
        <v>149.94</v>
      </c>
      <c r="N3180" s="7">
        <v>35354000</v>
      </c>
      <c r="O3180" s="7">
        <v>18304020</v>
      </c>
      <c r="P3180" s="7">
        <v>0</v>
      </c>
      <c r="Q3180" s="7" t="str">
        <f t="shared" si="1113"/>
        <v>都市整備部</v>
      </c>
      <c r="R3180" s="7" t="str">
        <f t="shared" si="1110"/>
        <v>住宅建築局住宅経営室</v>
      </c>
    </row>
    <row r="3181" spans="1:18" s="1" customFormat="1" x14ac:dyDescent="0.45">
      <c r="A3181" s="7" t="str">
        <f t="shared" si="1119"/>
        <v>09940003416</v>
      </c>
      <c r="B3181" s="7" t="str">
        <f t="shared" si="1120"/>
        <v>羽曳野野々上</v>
      </c>
      <c r="C3181" s="7" t="str">
        <f t="shared" si="1111"/>
        <v>行政財産</v>
      </c>
      <c r="D3181" s="7" t="str">
        <f t="shared" si="1112"/>
        <v>公営住宅</v>
      </c>
      <c r="E3181" s="7" t="str">
        <f t="shared" si="1121"/>
        <v>大阪府羽曳野市野々上５丁目</v>
      </c>
      <c r="F3181" s="7"/>
      <c r="G3181" s="7" t="str">
        <f t="shared" si="1109"/>
        <v>事業用資産</v>
      </c>
      <c r="H3181" s="7" t="str">
        <f t="shared" si="1100"/>
        <v>棚卸以外</v>
      </c>
      <c r="I3181" s="7">
        <v>5</v>
      </c>
      <c r="J3181" s="7" t="str">
        <f>"３号棟"</f>
        <v>３号棟</v>
      </c>
      <c r="K3181" s="7" t="str">
        <f t="shared" si="1118"/>
        <v>鉄筋コンクリート造</v>
      </c>
      <c r="L3181" s="7" t="str">
        <f>"H13.10.30"</f>
        <v>H13.10.30</v>
      </c>
      <c r="M3181" s="7">
        <v>1961.56</v>
      </c>
      <c r="N3181" s="7">
        <v>329653536</v>
      </c>
      <c r="O3181" s="7">
        <v>149603589</v>
      </c>
      <c r="P3181" s="7">
        <v>0</v>
      </c>
      <c r="Q3181" s="7" t="str">
        <f t="shared" si="1113"/>
        <v>都市整備部</v>
      </c>
      <c r="R3181" s="7" t="str">
        <f t="shared" si="1110"/>
        <v>住宅建築局住宅経営室</v>
      </c>
    </row>
    <row r="3182" spans="1:18" s="1" customFormat="1" x14ac:dyDescent="0.45">
      <c r="A3182" s="7" t="str">
        <f t="shared" si="1119"/>
        <v>09940003416</v>
      </c>
      <c r="B3182" s="7" t="str">
        <f t="shared" si="1120"/>
        <v>羽曳野野々上</v>
      </c>
      <c r="C3182" s="7" t="str">
        <f t="shared" si="1111"/>
        <v>行政財産</v>
      </c>
      <c r="D3182" s="7" t="str">
        <f t="shared" si="1112"/>
        <v>公営住宅</v>
      </c>
      <c r="E3182" s="7" t="str">
        <f t="shared" si="1121"/>
        <v>大阪府羽曳野市野々上５丁目</v>
      </c>
      <c r="F3182" s="7"/>
      <c r="G3182" s="7" t="str">
        <f t="shared" si="1109"/>
        <v>事業用資産</v>
      </c>
      <c r="H3182" s="7" t="str">
        <f t="shared" si="1100"/>
        <v>棚卸以外</v>
      </c>
      <c r="I3182" s="7">
        <v>6</v>
      </c>
      <c r="J3182" s="7" t="str">
        <f>"４号棟"</f>
        <v>４号棟</v>
      </c>
      <c r="K3182" s="7" t="str">
        <f t="shared" si="1118"/>
        <v>鉄筋コンクリート造</v>
      </c>
      <c r="L3182" s="7" t="str">
        <f>"H13.10.30"</f>
        <v>H13.10.30</v>
      </c>
      <c r="M3182" s="7">
        <v>4456.12</v>
      </c>
      <c r="N3182" s="7">
        <v>690367536</v>
      </c>
      <c r="O3182" s="7">
        <v>313971537</v>
      </c>
      <c r="P3182" s="7">
        <v>0</v>
      </c>
      <c r="Q3182" s="7" t="str">
        <f t="shared" si="1113"/>
        <v>都市整備部</v>
      </c>
      <c r="R3182" s="7" t="str">
        <f t="shared" si="1110"/>
        <v>住宅建築局住宅経営室</v>
      </c>
    </row>
    <row r="3183" spans="1:18" s="1" customFormat="1" x14ac:dyDescent="0.45">
      <c r="A3183" s="7" t="str">
        <f t="shared" si="1119"/>
        <v>09940003416</v>
      </c>
      <c r="B3183" s="7" t="str">
        <f t="shared" si="1120"/>
        <v>羽曳野野々上</v>
      </c>
      <c r="C3183" s="7" t="str">
        <f t="shared" si="1111"/>
        <v>行政財産</v>
      </c>
      <c r="D3183" s="7" t="str">
        <f t="shared" si="1112"/>
        <v>公営住宅</v>
      </c>
      <c r="E3183" s="7" t="str">
        <f t="shared" si="1121"/>
        <v>大阪府羽曳野市野々上５丁目</v>
      </c>
      <c r="F3183" s="7"/>
      <c r="G3183" s="7" t="str">
        <f t="shared" si="1109"/>
        <v>事業用資産</v>
      </c>
      <c r="H3183" s="7" t="str">
        <f t="shared" si="1100"/>
        <v>棚卸以外</v>
      </c>
      <c r="I3183" s="7">
        <v>7</v>
      </c>
      <c r="J3183" s="7" t="str">
        <f>"５号棟"</f>
        <v>５号棟</v>
      </c>
      <c r="K3183" s="7" t="str">
        <f t="shared" si="1118"/>
        <v>鉄筋コンクリート造</v>
      </c>
      <c r="L3183" s="7" t="str">
        <f>"H13.10.30"</f>
        <v>H13.10.30</v>
      </c>
      <c r="M3183" s="7">
        <v>1815.56</v>
      </c>
      <c r="N3183" s="7">
        <v>282273536</v>
      </c>
      <c r="O3183" s="7">
        <v>128013790</v>
      </c>
      <c r="P3183" s="7">
        <v>0</v>
      </c>
      <c r="Q3183" s="7" t="str">
        <f t="shared" si="1113"/>
        <v>都市整備部</v>
      </c>
      <c r="R3183" s="7" t="str">
        <f t="shared" si="1110"/>
        <v>住宅建築局住宅経営室</v>
      </c>
    </row>
    <row r="3184" spans="1:18" s="1" customFormat="1" x14ac:dyDescent="0.45">
      <c r="A3184" s="7" t="str">
        <f t="shared" si="1119"/>
        <v>09940003416</v>
      </c>
      <c r="B3184" s="7" t="str">
        <f t="shared" si="1120"/>
        <v>羽曳野野々上</v>
      </c>
      <c r="C3184" s="7" t="str">
        <f t="shared" si="1111"/>
        <v>行政財産</v>
      </c>
      <c r="D3184" s="7" t="str">
        <f t="shared" si="1112"/>
        <v>公営住宅</v>
      </c>
      <c r="E3184" s="7" t="str">
        <f t="shared" si="1121"/>
        <v>大阪府羽曳野市野々上５丁目</v>
      </c>
      <c r="F3184" s="7"/>
      <c r="G3184" s="7" t="str">
        <f t="shared" si="1109"/>
        <v>事業用資産</v>
      </c>
      <c r="H3184" s="7" t="str">
        <f t="shared" si="1100"/>
        <v>棚卸以外</v>
      </c>
      <c r="I3184" s="7">
        <v>8</v>
      </c>
      <c r="J3184" s="7" t="str">
        <f>"受水槽ポンプ室"</f>
        <v>受水槽ポンプ室</v>
      </c>
      <c r="K3184" s="7" t="str">
        <f t="shared" si="1118"/>
        <v>鉄筋コンクリート造</v>
      </c>
      <c r="L3184" s="7" t="str">
        <f>"H13.10.30"</f>
        <v>H13.10.30</v>
      </c>
      <c r="M3184" s="7">
        <v>101.7</v>
      </c>
      <c r="N3184" s="7">
        <v>27540000</v>
      </c>
      <c r="O3184" s="7">
        <v>12549310</v>
      </c>
      <c r="P3184" s="7">
        <v>0</v>
      </c>
      <c r="Q3184" s="7" t="str">
        <f t="shared" si="1113"/>
        <v>都市整備部</v>
      </c>
      <c r="R3184" s="7" t="str">
        <f t="shared" si="1110"/>
        <v>住宅建築局住宅経営室</v>
      </c>
    </row>
    <row r="3185" spans="1:18" s="1" customFormat="1" x14ac:dyDescent="0.45">
      <c r="A3185" s="7" t="str">
        <f>"09940003417"</f>
        <v>09940003417</v>
      </c>
      <c r="B3185" s="7" t="str">
        <f>"長居倉庫"</f>
        <v>長居倉庫</v>
      </c>
      <c r="C3185" s="7" t="str">
        <f t="shared" si="1111"/>
        <v>行政財産</v>
      </c>
      <c r="D3185" s="7" t="str">
        <f>"その他（公共用）の施設"</f>
        <v>その他（公共用）の施設</v>
      </c>
      <c r="E3185" s="7" t="str">
        <f>"大阪府大阪市　住吉区長居西１丁目"</f>
        <v>大阪府大阪市　住吉区長居西１丁目</v>
      </c>
      <c r="F3185" s="7"/>
      <c r="G3185" s="7" t="str">
        <f t="shared" si="1109"/>
        <v>事業用資産</v>
      </c>
      <c r="H3185" s="7" t="str">
        <f t="shared" si="1100"/>
        <v>棚卸以外</v>
      </c>
      <c r="I3185" s="7">
        <v>1</v>
      </c>
      <c r="J3185" s="7" t="str">
        <f>"長居倉庫"</f>
        <v>長居倉庫</v>
      </c>
      <c r="K3185" s="7" t="str">
        <f t="shared" si="1118"/>
        <v>鉄筋コンクリート造</v>
      </c>
      <c r="L3185" s="7" t="str">
        <f>"S56.05.25"</f>
        <v>S56.05.25</v>
      </c>
      <c r="M3185" s="7">
        <v>230.85</v>
      </c>
      <c r="N3185" s="7">
        <v>12414385</v>
      </c>
      <c r="O3185" s="7">
        <v>11050024</v>
      </c>
      <c r="P3185" s="7">
        <v>0</v>
      </c>
      <c r="Q3185" s="7" t="str">
        <f t="shared" si="1113"/>
        <v>都市整備部</v>
      </c>
      <c r="R3185" s="7" t="str">
        <f t="shared" si="1110"/>
        <v>住宅建築局住宅経営室</v>
      </c>
    </row>
    <row r="3186" spans="1:18" s="1" customFormat="1" x14ac:dyDescent="0.45">
      <c r="A3186" s="7" t="str">
        <f t="shared" ref="A3186:A3211" si="1122">"09940003426"</f>
        <v>09940003426</v>
      </c>
      <c r="B3186" s="7" t="str">
        <f t="shared" ref="B3186:B3211" si="1123">"瓜破西（旧瓜破）"</f>
        <v>瓜破西（旧瓜破）</v>
      </c>
      <c r="C3186" s="7" t="str">
        <f t="shared" si="1111"/>
        <v>行政財産</v>
      </c>
      <c r="D3186" s="7" t="str">
        <f t="shared" ref="D3186:D3249" si="1124">"公営住宅"</f>
        <v>公営住宅</v>
      </c>
      <c r="E3186" s="7" t="str">
        <f t="shared" ref="E3186:E3211" si="1125">"大阪府大阪市　平野区瓜破西１丁目"</f>
        <v>大阪府大阪市　平野区瓜破西１丁目</v>
      </c>
      <c r="F3186" s="7"/>
      <c r="G3186" s="7" t="str">
        <f t="shared" si="1109"/>
        <v>事業用資産</v>
      </c>
      <c r="H3186" s="7" t="str">
        <f t="shared" si="1100"/>
        <v>棚卸以外</v>
      </c>
      <c r="I3186" s="7">
        <v>1</v>
      </c>
      <c r="J3186" s="7" t="str">
        <f>"１号棟"</f>
        <v>１号棟</v>
      </c>
      <c r="K3186" s="7" t="str">
        <f t="shared" si="1118"/>
        <v>鉄筋コンクリート造</v>
      </c>
      <c r="L3186" s="7" t="str">
        <f>"H12.12.01"</f>
        <v>H12.12.01</v>
      </c>
      <c r="M3186" s="7">
        <v>5361.05</v>
      </c>
      <c r="N3186" s="7">
        <v>1020460229</v>
      </c>
      <c r="O3186" s="7">
        <v>482795129</v>
      </c>
      <c r="P3186" s="7">
        <v>537665098</v>
      </c>
      <c r="Q3186" s="7" t="str">
        <f t="shared" si="1113"/>
        <v>都市整備部</v>
      </c>
      <c r="R3186" s="7" t="str">
        <f t="shared" si="1110"/>
        <v>住宅建築局住宅経営室</v>
      </c>
    </row>
    <row r="3187" spans="1:18" s="1" customFormat="1" x14ac:dyDescent="0.45">
      <c r="A3187" s="7" t="str">
        <f t="shared" si="1122"/>
        <v>09940003426</v>
      </c>
      <c r="B3187" s="7" t="str">
        <f t="shared" si="1123"/>
        <v>瓜破西（旧瓜破）</v>
      </c>
      <c r="C3187" s="7" t="str">
        <f t="shared" si="1111"/>
        <v>行政財産</v>
      </c>
      <c r="D3187" s="7" t="str">
        <f t="shared" si="1124"/>
        <v>公営住宅</v>
      </c>
      <c r="E3187" s="7" t="str">
        <f t="shared" si="1125"/>
        <v>大阪府大阪市　平野区瓜破西１丁目</v>
      </c>
      <c r="F3187" s="7"/>
      <c r="G3187" s="7" t="str">
        <f t="shared" si="1109"/>
        <v>事業用資産</v>
      </c>
      <c r="H3187" s="7" t="str">
        <f t="shared" si="1100"/>
        <v>棚卸以外</v>
      </c>
      <c r="I3187" s="7">
        <v>2</v>
      </c>
      <c r="J3187" s="7" t="str">
        <f>"２号棟"</f>
        <v>２号棟</v>
      </c>
      <c r="K3187" s="7" t="str">
        <f t="shared" si="1118"/>
        <v>鉄筋コンクリート造</v>
      </c>
      <c r="L3187" s="7" t="str">
        <f>"H12.12.01"</f>
        <v>H12.12.01</v>
      </c>
      <c r="M3187" s="7">
        <v>5884.98</v>
      </c>
      <c r="N3187" s="7">
        <v>1020801866</v>
      </c>
      <c r="O3187" s="7">
        <v>482981355</v>
      </c>
      <c r="P3187" s="7">
        <v>537820509</v>
      </c>
      <c r="Q3187" s="7" t="str">
        <f t="shared" si="1113"/>
        <v>都市整備部</v>
      </c>
      <c r="R3187" s="7" t="str">
        <f t="shared" si="1110"/>
        <v>住宅建築局住宅経営室</v>
      </c>
    </row>
    <row r="3188" spans="1:18" s="1" customFormat="1" x14ac:dyDescent="0.45">
      <c r="A3188" s="7" t="str">
        <f t="shared" si="1122"/>
        <v>09940003426</v>
      </c>
      <c r="B3188" s="7" t="str">
        <f t="shared" si="1123"/>
        <v>瓜破西（旧瓜破）</v>
      </c>
      <c r="C3188" s="7" t="str">
        <f t="shared" si="1111"/>
        <v>行政財産</v>
      </c>
      <c r="D3188" s="7" t="str">
        <f t="shared" si="1124"/>
        <v>公営住宅</v>
      </c>
      <c r="E3188" s="7" t="str">
        <f t="shared" si="1125"/>
        <v>大阪府大阪市　平野区瓜破西１丁目</v>
      </c>
      <c r="F3188" s="7"/>
      <c r="G3188" s="7" t="str">
        <f t="shared" si="1109"/>
        <v>事業用資産</v>
      </c>
      <c r="H3188" s="7" t="str">
        <f t="shared" si="1100"/>
        <v>棚卸以外</v>
      </c>
      <c r="I3188" s="7">
        <v>3</v>
      </c>
      <c r="J3188" s="7" t="str">
        <f>"受水槽ポンプ室（２号棟）"</f>
        <v>受水槽ポンプ室（２号棟）</v>
      </c>
      <c r="K3188" s="7" t="str">
        <f t="shared" si="1118"/>
        <v>鉄筋コンクリート造</v>
      </c>
      <c r="L3188" s="7" t="str">
        <f>"H12.12.01"</f>
        <v>H12.12.01</v>
      </c>
      <c r="M3188" s="7">
        <v>50.6</v>
      </c>
      <c r="N3188" s="7">
        <v>23798000</v>
      </c>
      <c r="O3188" s="7">
        <v>11266332</v>
      </c>
      <c r="P3188" s="7">
        <v>12531667</v>
      </c>
      <c r="Q3188" s="7" t="str">
        <f t="shared" si="1113"/>
        <v>都市整備部</v>
      </c>
      <c r="R3188" s="7" t="str">
        <f t="shared" si="1110"/>
        <v>住宅建築局住宅経営室</v>
      </c>
    </row>
    <row r="3189" spans="1:18" s="1" customFormat="1" x14ac:dyDescent="0.45">
      <c r="A3189" s="7" t="str">
        <f t="shared" si="1122"/>
        <v>09940003426</v>
      </c>
      <c r="B3189" s="7" t="str">
        <f t="shared" si="1123"/>
        <v>瓜破西（旧瓜破）</v>
      </c>
      <c r="C3189" s="7" t="str">
        <f t="shared" si="1111"/>
        <v>行政財産</v>
      </c>
      <c r="D3189" s="7" t="str">
        <f t="shared" si="1124"/>
        <v>公営住宅</v>
      </c>
      <c r="E3189" s="7" t="str">
        <f t="shared" si="1125"/>
        <v>大阪府大阪市　平野区瓜破西１丁目</v>
      </c>
      <c r="F3189" s="7"/>
      <c r="G3189" s="7" t="str">
        <f t="shared" si="1109"/>
        <v>事業用資産</v>
      </c>
      <c r="H3189" s="7" t="str">
        <f t="shared" si="1100"/>
        <v>棚卸以外</v>
      </c>
      <c r="I3189" s="7">
        <v>4</v>
      </c>
      <c r="J3189" s="7" t="str">
        <f>"受水槽ポンプ室（３、４、６、７棟）"</f>
        <v>受水槽ポンプ室（３、４、６、７棟）</v>
      </c>
      <c r="K3189" s="7" t="str">
        <f t="shared" si="1118"/>
        <v>鉄筋コンクリート造</v>
      </c>
      <c r="L3189" s="7" t="str">
        <f>"H17.04.13"</f>
        <v>H17.04.13</v>
      </c>
      <c r="M3189" s="7">
        <v>326.39999999999998</v>
      </c>
      <c r="N3189" s="7">
        <v>64946569</v>
      </c>
      <c r="O3189" s="7">
        <v>23617985</v>
      </c>
      <c r="P3189" s="7">
        <v>41328582</v>
      </c>
      <c r="Q3189" s="7" t="str">
        <f t="shared" si="1113"/>
        <v>都市整備部</v>
      </c>
      <c r="R3189" s="7" t="str">
        <f t="shared" si="1110"/>
        <v>住宅建築局住宅経営室</v>
      </c>
    </row>
    <row r="3190" spans="1:18" s="1" customFormat="1" x14ac:dyDescent="0.45">
      <c r="A3190" s="7" t="str">
        <f t="shared" si="1122"/>
        <v>09940003426</v>
      </c>
      <c r="B3190" s="7" t="str">
        <f t="shared" si="1123"/>
        <v>瓜破西（旧瓜破）</v>
      </c>
      <c r="C3190" s="7" t="str">
        <f t="shared" si="1111"/>
        <v>行政財産</v>
      </c>
      <c r="D3190" s="7" t="str">
        <f t="shared" si="1124"/>
        <v>公営住宅</v>
      </c>
      <c r="E3190" s="7" t="str">
        <f t="shared" si="1125"/>
        <v>大阪府大阪市　平野区瓜破西１丁目</v>
      </c>
      <c r="F3190" s="7"/>
      <c r="G3190" s="7" t="str">
        <f t="shared" si="1109"/>
        <v>事業用資産</v>
      </c>
      <c r="H3190" s="7" t="str">
        <f t="shared" si="1100"/>
        <v>棚卸以外</v>
      </c>
      <c r="I3190" s="7">
        <v>5</v>
      </c>
      <c r="J3190" s="7" t="str">
        <f>"３号棟"</f>
        <v>３号棟</v>
      </c>
      <c r="K3190" s="7" t="str">
        <f t="shared" si="1118"/>
        <v>鉄筋コンクリート造</v>
      </c>
      <c r="L3190" s="7" t="str">
        <f>"H19.03.01"</f>
        <v>H19.03.01</v>
      </c>
      <c r="M3190" s="7">
        <v>15251.58</v>
      </c>
      <c r="N3190" s="7">
        <v>1816860109</v>
      </c>
      <c r="O3190" s="7">
        <v>626600544</v>
      </c>
      <c r="P3190" s="7">
        <v>1190259563</v>
      </c>
      <c r="Q3190" s="7" t="str">
        <f t="shared" si="1113"/>
        <v>都市整備部</v>
      </c>
      <c r="R3190" s="7" t="str">
        <f t="shared" si="1110"/>
        <v>住宅建築局住宅経営室</v>
      </c>
    </row>
    <row r="3191" spans="1:18" s="1" customFormat="1" x14ac:dyDescent="0.45">
      <c r="A3191" s="7" t="str">
        <f t="shared" si="1122"/>
        <v>09940003426</v>
      </c>
      <c r="B3191" s="7" t="str">
        <f t="shared" si="1123"/>
        <v>瓜破西（旧瓜破）</v>
      </c>
      <c r="C3191" s="7" t="str">
        <f t="shared" si="1111"/>
        <v>行政財産</v>
      </c>
      <c r="D3191" s="7" t="str">
        <f t="shared" si="1124"/>
        <v>公営住宅</v>
      </c>
      <c r="E3191" s="7" t="str">
        <f t="shared" si="1125"/>
        <v>大阪府大阪市　平野区瓜破西１丁目</v>
      </c>
      <c r="F3191" s="7"/>
      <c r="G3191" s="7" t="str">
        <f t="shared" si="1109"/>
        <v>事業用資産</v>
      </c>
      <c r="H3191" s="7" t="str">
        <f t="shared" si="1100"/>
        <v>棚卸以外</v>
      </c>
      <c r="I3191" s="7">
        <v>6</v>
      </c>
      <c r="J3191" s="7" t="str">
        <f>"受水槽・ポンプ室（１０～１２棟）"</f>
        <v>受水槽・ポンプ室（１０～１２棟）</v>
      </c>
      <c r="K3191" s="7" t="str">
        <f t="shared" si="1118"/>
        <v>鉄筋コンクリート造</v>
      </c>
      <c r="L3191" s="7" t="str">
        <f>"H19.12.14"</f>
        <v>H19.12.14</v>
      </c>
      <c r="M3191" s="7">
        <v>273.36</v>
      </c>
      <c r="N3191" s="7">
        <v>45707515</v>
      </c>
      <c r="O3191" s="7">
        <v>13982768</v>
      </c>
      <c r="P3191" s="7">
        <v>31724745</v>
      </c>
      <c r="Q3191" s="7" t="str">
        <f t="shared" si="1113"/>
        <v>都市整備部</v>
      </c>
      <c r="R3191" s="7" t="str">
        <f t="shared" si="1110"/>
        <v>住宅建築局住宅経営室</v>
      </c>
    </row>
    <row r="3192" spans="1:18" s="1" customFormat="1" x14ac:dyDescent="0.45">
      <c r="A3192" s="7" t="str">
        <f t="shared" si="1122"/>
        <v>09940003426</v>
      </c>
      <c r="B3192" s="7" t="str">
        <f t="shared" si="1123"/>
        <v>瓜破西（旧瓜破）</v>
      </c>
      <c r="C3192" s="7" t="str">
        <f t="shared" si="1111"/>
        <v>行政財産</v>
      </c>
      <c r="D3192" s="7" t="str">
        <f t="shared" si="1124"/>
        <v>公営住宅</v>
      </c>
      <c r="E3192" s="7" t="str">
        <f t="shared" si="1125"/>
        <v>大阪府大阪市　平野区瓜破西１丁目</v>
      </c>
      <c r="F3192" s="7"/>
      <c r="G3192" s="7" t="str">
        <f t="shared" si="1109"/>
        <v>事業用資産</v>
      </c>
      <c r="H3192" s="7" t="str">
        <f t="shared" si="1100"/>
        <v>棚卸以外</v>
      </c>
      <c r="I3192" s="7">
        <v>7</v>
      </c>
      <c r="J3192" s="7" t="str">
        <f>"４号棟"</f>
        <v>４号棟</v>
      </c>
      <c r="K3192" s="7" t="str">
        <f t="shared" si="1118"/>
        <v>鉄筋コンクリート造</v>
      </c>
      <c r="L3192" s="7" t="str">
        <f>"H22.06.01"</f>
        <v>H22.06.01</v>
      </c>
      <c r="M3192" s="7">
        <v>12301.44</v>
      </c>
      <c r="N3192" s="7">
        <v>1748087670</v>
      </c>
      <c r="O3192" s="7">
        <v>475668475</v>
      </c>
      <c r="P3192" s="7">
        <v>1272419193</v>
      </c>
      <c r="Q3192" s="7" t="str">
        <f t="shared" si="1113"/>
        <v>都市整備部</v>
      </c>
      <c r="R3192" s="7" t="str">
        <f t="shared" si="1110"/>
        <v>住宅建築局住宅経営室</v>
      </c>
    </row>
    <row r="3193" spans="1:18" s="1" customFormat="1" x14ac:dyDescent="0.45">
      <c r="A3193" s="7" t="str">
        <f t="shared" si="1122"/>
        <v>09940003426</v>
      </c>
      <c r="B3193" s="7" t="str">
        <f t="shared" si="1123"/>
        <v>瓜破西（旧瓜破）</v>
      </c>
      <c r="C3193" s="7" t="str">
        <f t="shared" si="1111"/>
        <v>行政財産</v>
      </c>
      <c r="D3193" s="7" t="str">
        <f t="shared" si="1124"/>
        <v>公営住宅</v>
      </c>
      <c r="E3193" s="7" t="str">
        <f t="shared" si="1125"/>
        <v>大阪府大阪市　平野区瓜破西１丁目</v>
      </c>
      <c r="F3193" s="7"/>
      <c r="G3193" s="7" t="str">
        <f t="shared" si="1109"/>
        <v>事業用資産</v>
      </c>
      <c r="H3193" s="7" t="str">
        <f t="shared" si="1100"/>
        <v>棚卸以外</v>
      </c>
      <c r="I3193" s="7">
        <v>8</v>
      </c>
      <c r="J3193" s="7" t="str">
        <f>"電気室（４棟）"</f>
        <v>電気室（４棟）</v>
      </c>
      <c r="K3193" s="7" t="str">
        <f t="shared" si="1118"/>
        <v>鉄筋コンクリート造</v>
      </c>
      <c r="L3193" s="7" t="str">
        <f>"H22.06.01"</f>
        <v>H22.06.01</v>
      </c>
      <c r="M3193" s="7">
        <v>47.6</v>
      </c>
      <c r="N3193" s="7">
        <v>12856000</v>
      </c>
      <c r="O3193" s="7">
        <v>3487635</v>
      </c>
      <c r="P3193" s="7">
        <v>9368364</v>
      </c>
      <c r="Q3193" s="7" t="str">
        <f t="shared" si="1113"/>
        <v>都市整備部</v>
      </c>
      <c r="R3193" s="7" t="str">
        <f t="shared" si="1110"/>
        <v>住宅建築局住宅経営室</v>
      </c>
    </row>
    <row r="3194" spans="1:18" s="1" customFormat="1" x14ac:dyDescent="0.45">
      <c r="A3194" s="7" t="str">
        <f t="shared" si="1122"/>
        <v>09940003426</v>
      </c>
      <c r="B3194" s="7" t="str">
        <f t="shared" si="1123"/>
        <v>瓜破西（旧瓜破）</v>
      </c>
      <c r="C3194" s="7" t="str">
        <f t="shared" si="1111"/>
        <v>行政財産</v>
      </c>
      <c r="D3194" s="7" t="str">
        <f t="shared" si="1124"/>
        <v>公営住宅</v>
      </c>
      <c r="E3194" s="7" t="str">
        <f t="shared" si="1125"/>
        <v>大阪府大阪市　平野区瓜破西１丁目</v>
      </c>
      <c r="F3194" s="7"/>
      <c r="G3194" s="7" t="str">
        <f t="shared" si="1109"/>
        <v>事業用資産</v>
      </c>
      <c r="H3194" s="7" t="str">
        <f t="shared" si="1100"/>
        <v>棚卸以外</v>
      </c>
      <c r="I3194" s="7">
        <v>9</v>
      </c>
      <c r="J3194" s="7" t="str">
        <f>"１０号棟"</f>
        <v>１０号棟</v>
      </c>
      <c r="K3194" s="7" t="str">
        <f t="shared" si="1118"/>
        <v>鉄筋コンクリート造</v>
      </c>
      <c r="L3194" s="7" t="str">
        <f>"H22.08.01"</f>
        <v>H22.08.01</v>
      </c>
      <c r="M3194" s="7">
        <v>8869.44</v>
      </c>
      <c r="N3194" s="7">
        <v>1409210447</v>
      </c>
      <c r="O3194" s="7">
        <v>378269344</v>
      </c>
      <c r="P3194" s="7">
        <v>1030941101</v>
      </c>
      <c r="Q3194" s="7" t="str">
        <f t="shared" si="1113"/>
        <v>都市整備部</v>
      </c>
      <c r="R3194" s="7" t="str">
        <f t="shared" si="1110"/>
        <v>住宅建築局住宅経営室</v>
      </c>
    </row>
    <row r="3195" spans="1:18" s="1" customFormat="1" x14ac:dyDescent="0.45">
      <c r="A3195" s="7" t="str">
        <f t="shared" si="1122"/>
        <v>09940003426</v>
      </c>
      <c r="B3195" s="7" t="str">
        <f t="shared" si="1123"/>
        <v>瓜破西（旧瓜破）</v>
      </c>
      <c r="C3195" s="7" t="str">
        <f t="shared" si="1111"/>
        <v>行政財産</v>
      </c>
      <c r="D3195" s="7" t="str">
        <f t="shared" si="1124"/>
        <v>公営住宅</v>
      </c>
      <c r="E3195" s="7" t="str">
        <f t="shared" si="1125"/>
        <v>大阪府大阪市　平野区瓜破西１丁目</v>
      </c>
      <c r="F3195" s="7"/>
      <c r="G3195" s="7" t="str">
        <f t="shared" si="1109"/>
        <v>事業用資産</v>
      </c>
      <c r="H3195" s="7" t="str">
        <f t="shared" si="1100"/>
        <v>棚卸以外</v>
      </c>
      <c r="I3195" s="7">
        <v>10</v>
      </c>
      <c r="J3195" s="7" t="str">
        <f>"電気室（１０棟）"</f>
        <v>電気室（１０棟）</v>
      </c>
      <c r="K3195" s="7" t="str">
        <f t="shared" si="1118"/>
        <v>鉄筋コンクリート造</v>
      </c>
      <c r="L3195" s="7" t="str">
        <f>"H22.08.01"</f>
        <v>H22.08.01</v>
      </c>
      <c r="M3195" s="7">
        <v>42</v>
      </c>
      <c r="N3195" s="7">
        <v>11418000</v>
      </c>
      <c r="O3195" s="7">
        <v>3056995</v>
      </c>
      <c r="P3195" s="7">
        <v>8361004</v>
      </c>
      <c r="Q3195" s="7" t="str">
        <f t="shared" si="1113"/>
        <v>都市整備部</v>
      </c>
      <c r="R3195" s="7" t="str">
        <f t="shared" si="1110"/>
        <v>住宅建築局住宅経営室</v>
      </c>
    </row>
    <row r="3196" spans="1:18" s="1" customFormat="1" x14ac:dyDescent="0.45">
      <c r="A3196" s="7" t="str">
        <f t="shared" si="1122"/>
        <v>09940003426</v>
      </c>
      <c r="B3196" s="7" t="str">
        <f t="shared" si="1123"/>
        <v>瓜破西（旧瓜破）</v>
      </c>
      <c r="C3196" s="7" t="str">
        <f t="shared" si="1111"/>
        <v>行政財産</v>
      </c>
      <c r="D3196" s="7" t="str">
        <f t="shared" si="1124"/>
        <v>公営住宅</v>
      </c>
      <c r="E3196" s="7" t="str">
        <f t="shared" si="1125"/>
        <v>大阪府大阪市　平野区瓜破西１丁目</v>
      </c>
      <c r="F3196" s="7"/>
      <c r="G3196" s="7" t="str">
        <f t="shared" si="1109"/>
        <v>事業用資産</v>
      </c>
      <c r="H3196" s="7" t="str">
        <f t="shared" si="1100"/>
        <v>棚卸以外</v>
      </c>
      <c r="I3196" s="7">
        <v>11</v>
      </c>
      <c r="J3196" s="7" t="str">
        <f>"ごみ置場"</f>
        <v>ごみ置場</v>
      </c>
      <c r="K3196" s="7" t="str">
        <f t="shared" si="1118"/>
        <v>鉄筋コンクリート造</v>
      </c>
      <c r="L3196" s="7" t="str">
        <f>"H22.06.01"</f>
        <v>H22.06.01</v>
      </c>
      <c r="M3196" s="7">
        <v>38.700000000000003</v>
      </c>
      <c r="N3196" s="7">
        <v>6427000</v>
      </c>
      <c r="O3196" s="7">
        <v>1754984</v>
      </c>
      <c r="P3196" s="7">
        <v>4672015</v>
      </c>
      <c r="Q3196" s="7" t="str">
        <f t="shared" si="1113"/>
        <v>都市整備部</v>
      </c>
      <c r="R3196" s="7" t="str">
        <f t="shared" si="1110"/>
        <v>住宅建築局住宅経営室</v>
      </c>
    </row>
    <row r="3197" spans="1:18" s="1" customFormat="1" x14ac:dyDescent="0.45">
      <c r="A3197" s="7" t="str">
        <f t="shared" si="1122"/>
        <v>09940003426</v>
      </c>
      <c r="B3197" s="7" t="str">
        <f t="shared" si="1123"/>
        <v>瓜破西（旧瓜破）</v>
      </c>
      <c r="C3197" s="7" t="str">
        <f t="shared" si="1111"/>
        <v>行政財産</v>
      </c>
      <c r="D3197" s="7" t="str">
        <f t="shared" si="1124"/>
        <v>公営住宅</v>
      </c>
      <c r="E3197" s="7" t="str">
        <f t="shared" si="1125"/>
        <v>大阪府大阪市　平野区瓜破西１丁目</v>
      </c>
      <c r="F3197" s="7"/>
      <c r="G3197" s="7" t="str">
        <f t="shared" si="1109"/>
        <v>事業用資産</v>
      </c>
      <c r="H3197" s="7" t="str">
        <f t="shared" si="1100"/>
        <v>棚卸以外</v>
      </c>
      <c r="I3197" s="7">
        <v>12</v>
      </c>
      <c r="J3197" s="7" t="str">
        <f>"ごみ置場"</f>
        <v>ごみ置場</v>
      </c>
      <c r="K3197" s="7" t="str">
        <f t="shared" si="1118"/>
        <v>鉄筋コンクリート造</v>
      </c>
      <c r="L3197" s="7" t="str">
        <f>"H22.08.01"</f>
        <v>H22.08.01</v>
      </c>
      <c r="M3197" s="7">
        <v>32.47</v>
      </c>
      <c r="N3197" s="7">
        <v>5633000</v>
      </c>
      <c r="O3197" s="7">
        <v>1508188</v>
      </c>
      <c r="P3197" s="7">
        <v>4124811</v>
      </c>
      <c r="Q3197" s="7" t="str">
        <f t="shared" si="1113"/>
        <v>都市整備部</v>
      </c>
      <c r="R3197" s="7" t="str">
        <f t="shared" si="1110"/>
        <v>住宅建築局住宅経営室</v>
      </c>
    </row>
    <row r="3198" spans="1:18" s="1" customFormat="1" x14ac:dyDescent="0.45">
      <c r="A3198" s="7" t="str">
        <f t="shared" si="1122"/>
        <v>09940003426</v>
      </c>
      <c r="B3198" s="7" t="str">
        <f t="shared" si="1123"/>
        <v>瓜破西（旧瓜破）</v>
      </c>
      <c r="C3198" s="7" t="str">
        <f t="shared" si="1111"/>
        <v>行政財産</v>
      </c>
      <c r="D3198" s="7" t="str">
        <f t="shared" si="1124"/>
        <v>公営住宅</v>
      </c>
      <c r="E3198" s="7" t="str">
        <f t="shared" si="1125"/>
        <v>大阪府大阪市　平野区瓜破西１丁目</v>
      </c>
      <c r="F3198" s="7"/>
      <c r="G3198" s="7" t="str">
        <f t="shared" si="1109"/>
        <v>事業用資産</v>
      </c>
      <c r="H3198" s="7" t="str">
        <f t="shared" si="1100"/>
        <v>棚卸以外</v>
      </c>
      <c r="I3198" s="7">
        <v>13</v>
      </c>
      <c r="J3198" s="7" t="str">
        <f>"１２号棟"</f>
        <v>１２号棟</v>
      </c>
      <c r="K3198" s="7" t="str">
        <f t="shared" si="1118"/>
        <v>鉄筋コンクリート造</v>
      </c>
      <c r="L3198" s="7" t="str">
        <f>"H25.10.01"</f>
        <v>H25.10.01</v>
      </c>
      <c r="M3198" s="7">
        <v>5396.7</v>
      </c>
      <c r="N3198" s="7">
        <v>868406491</v>
      </c>
      <c r="O3198" s="7">
        <v>172272392</v>
      </c>
      <c r="P3198" s="7">
        <v>696134097</v>
      </c>
      <c r="Q3198" s="7" t="str">
        <f t="shared" si="1113"/>
        <v>都市整備部</v>
      </c>
      <c r="R3198" s="7" t="str">
        <f t="shared" si="1110"/>
        <v>住宅建築局住宅経営室</v>
      </c>
    </row>
    <row r="3199" spans="1:18" s="1" customFormat="1" x14ac:dyDescent="0.45">
      <c r="A3199" s="7" t="str">
        <f t="shared" si="1122"/>
        <v>09940003426</v>
      </c>
      <c r="B3199" s="7" t="str">
        <f t="shared" si="1123"/>
        <v>瓜破西（旧瓜破）</v>
      </c>
      <c r="C3199" s="7" t="str">
        <f t="shared" si="1111"/>
        <v>行政財産</v>
      </c>
      <c r="D3199" s="7" t="str">
        <f t="shared" si="1124"/>
        <v>公営住宅</v>
      </c>
      <c r="E3199" s="7" t="str">
        <f t="shared" si="1125"/>
        <v>大阪府大阪市　平野区瓜破西１丁目</v>
      </c>
      <c r="F3199" s="7"/>
      <c r="G3199" s="7" t="str">
        <f t="shared" si="1109"/>
        <v>事業用資産</v>
      </c>
      <c r="H3199" s="7" t="str">
        <f t="shared" si="1100"/>
        <v>棚卸以外</v>
      </c>
      <c r="I3199" s="7">
        <v>14</v>
      </c>
      <c r="J3199" s="7" t="str">
        <f>"ごみ置場"</f>
        <v>ごみ置場</v>
      </c>
      <c r="K3199" s="7" t="str">
        <f t="shared" si="1118"/>
        <v>鉄筋コンクリート造</v>
      </c>
      <c r="L3199" s="7" t="str">
        <f>"H25.10.01"</f>
        <v>H25.10.01</v>
      </c>
      <c r="M3199" s="7">
        <v>22.53</v>
      </c>
      <c r="N3199" s="7">
        <v>4389941</v>
      </c>
      <c r="O3199" s="7">
        <v>871808</v>
      </c>
      <c r="P3199" s="7">
        <v>3518132</v>
      </c>
      <c r="Q3199" s="7" t="str">
        <f t="shared" si="1113"/>
        <v>都市整備部</v>
      </c>
      <c r="R3199" s="7" t="str">
        <f t="shared" si="1110"/>
        <v>住宅建築局住宅経営室</v>
      </c>
    </row>
    <row r="3200" spans="1:18" s="1" customFormat="1" x14ac:dyDescent="0.45">
      <c r="A3200" s="7" t="str">
        <f t="shared" si="1122"/>
        <v>09940003426</v>
      </c>
      <c r="B3200" s="7" t="str">
        <f t="shared" si="1123"/>
        <v>瓜破西（旧瓜破）</v>
      </c>
      <c r="C3200" s="7" t="str">
        <f t="shared" si="1111"/>
        <v>行政財産</v>
      </c>
      <c r="D3200" s="7" t="str">
        <f t="shared" si="1124"/>
        <v>公営住宅</v>
      </c>
      <c r="E3200" s="7" t="str">
        <f t="shared" si="1125"/>
        <v>大阪府大阪市　平野区瓜破西１丁目</v>
      </c>
      <c r="F3200" s="7"/>
      <c r="G3200" s="7" t="str">
        <f t="shared" si="1109"/>
        <v>事業用資産</v>
      </c>
      <c r="H3200" s="7" t="str">
        <f t="shared" si="1100"/>
        <v>棚卸以外</v>
      </c>
      <c r="I3200" s="7">
        <v>16</v>
      </c>
      <c r="J3200" s="7" t="str">
        <f>"電気室（１２棟）"</f>
        <v>電気室（１２棟）</v>
      </c>
      <c r="K3200" s="7" t="str">
        <f t="shared" si="1118"/>
        <v>鉄筋コンクリート造</v>
      </c>
      <c r="L3200" s="7" t="str">
        <f>"H25.10.01"</f>
        <v>H25.10.01</v>
      </c>
      <c r="M3200" s="7">
        <v>33.75</v>
      </c>
      <c r="N3200" s="7">
        <v>9328920</v>
      </c>
      <c r="O3200" s="7">
        <v>1852592</v>
      </c>
      <c r="P3200" s="7">
        <v>7476327</v>
      </c>
      <c r="Q3200" s="7" t="str">
        <f t="shared" si="1113"/>
        <v>都市整備部</v>
      </c>
      <c r="R3200" s="7" t="str">
        <f t="shared" si="1110"/>
        <v>住宅建築局住宅経営室</v>
      </c>
    </row>
    <row r="3201" spans="1:18" s="1" customFormat="1" x14ac:dyDescent="0.45">
      <c r="A3201" s="7" t="str">
        <f t="shared" si="1122"/>
        <v>09940003426</v>
      </c>
      <c r="B3201" s="7" t="str">
        <f t="shared" si="1123"/>
        <v>瓜破西（旧瓜破）</v>
      </c>
      <c r="C3201" s="7" t="str">
        <f t="shared" si="1111"/>
        <v>行政財産</v>
      </c>
      <c r="D3201" s="7" t="str">
        <f t="shared" si="1124"/>
        <v>公営住宅</v>
      </c>
      <c r="E3201" s="7" t="str">
        <f t="shared" si="1125"/>
        <v>大阪府大阪市　平野区瓜破西１丁目</v>
      </c>
      <c r="F3201" s="7"/>
      <c r="G3201" s="7" t="str">
        <f t="shared" si="1109"/>
        <v>事業用資産</v>
      </c>
      <c r="H3201" s="7" t="str">
        <f t="shared" si="1100"/>
        <v>棚卸以外</v>
      </c>
      <c r="I3201" s="7">
        <v>17</v>
      </c>
      <c r="J3201" s="7" t="str">
        <f>"７号棟"</f>
        <v>７号棟</v>
      </c>
      <c r="K3201" s="7" t="str">
        <f t="shared" si="1118"/>
        <v>鉄筋コンクリート造</v>
      </c>
      <c r="L3201" s="7" t="str">
        <f>"H26.02.01"</f>
        <v>H26.02.01</v>
      </c>
      <c r="M3201" s="7">
        <v>14923.14</v>
      </c>
      <c r="N3201" s="7">
        <v>2124422430</v>
      </c>
      <c r="O3201" s="7">
        <v>406328172</v>
      </c>
      <c r="P3201" s="7">
        <v>1718094256</v>
      </c>
      <c r="Q3201" s="7" t="str">
        <f t="shared" si="1113"/>
        <v>都市整備部</v>
      </c>
      <c r="R3201" s="7" t="str">
        <f t="shared" si="1110"/>
        <v>住宅建築局住宅経営室</v>
      </c>
    </row>
    <row r="3202" spans="1:18" s="1" customFormat="1" x14ac:dyDescent="0.45">
      <c r="A3202" s="7" t="str">
        <f t="shared" si="1122"/>
        <v>09940003426</v>
      </c>
      <c r="B3202" s="7" t="str">
        <f t="shared" si="1123"/>
        <v>瓜破西（旧瓜破）</v>
      </c>
      <c r="C3202" s="7" t="str">
        <f t="shared" si="1111"/>
        <v>行政財産</v>
      </c>
      <c r="D3202" s="7" t="str">
        <f t="shared" si="1124"/>
        <v>公営住宅</v>
      </c>
      <c r="E3202" s="7" t="str">
        <f t="shared" si="1125"/>
        <v>大阪府大阪市　平野区瓜破西１丁目</v>
      </c>
      <c r="F3202" s="7"/>
      <c r="G3202" s="7" t="str">
        <f t="shared" si="1109"/>
        <v>事業用資産</v>
      </c>
      <c r="H3202" s="7" t="str">
        <f t="shared" si="1100"/>
        <v>棚卸以外</v>
      </c>
      <c r="I3202" s="7">
        <v>18</v>
      </c>
      <c r="J3202" s="7" t="str">
        <f>"ごみ置場"</f>
        <v>ごみ置場</v>
      </c>
      <c r="K3202" s="7" t="str">
        <f t="shared" si="1118"/>
        <v>鉄筋コンクリート造</v>
      </c>
      <c r="L3202" s="7" t="str">
        <f>"H26.02.01"</f>
        <v>H26.02.01</v>
      </c>
      <c r="M3202" s="7">
        <v>48.33</v>
      </c>
      <c r="N3202" s="7">
        <v>6969991</v>
      </c>
      <c r="O3202" s="7">
        <v>1334772</v>
      </c>
      <c r="P3202" s="7">
        <v>5635218</v>
      </c>
      <c r="Q3202" s="7" t="str">
        <f t="shared" si="1113"/>
        <v>都市整備部</v>
      </c>
      <c r="R3202" s="7" t="str">
        <f t="shared" si="1110"/>
        <v>住宅建築局住宅経営室</v>
      </c>
    </row>
    <row r="3203" spans="1:18" s="1" customFormat="1" x14ac:dyDescent="0.45">
      <c r="A3203" s="7" t="str">
        <f t="shared" si="1122"/>
        <v>09940003426</v>
      </c>
      <c r="B3203" s="7" t="str">
        <f t="shared" si="1123"/>
        <v>瓜破西（旧瓜破）</v>
      </c>
      <c r="C3203" s="7" t="str">
        <f t="shared" si="1111"/>
        <v>行政財産</v>
      </c>
      <c r="D3203" s="7" t="str">
        <f t="shared" si="1124"/>
        <v>公営住宅</v>
      </c>
      <c r="E3203" s="7" t="str">
        <f t="shared" si="1125"/>
        <v>大阪府大阪市　平野区瓜破西１丁目</v>
      </c>
      <c r="F3203" s="7"/>
      <c r="G3203" s="7" t="str">
        <f t="shared" si="1109"/>
        <v>事業用資産</v>
      </c>
      <c r="H3203" s="7" t="str">
        <f t="shared" si="1100"/>
        <v>棚卸以外</v>
      </c>
      <c r="I3203" s="7">
        <v>20</v>
      </c>
      <c r="J3203" s="7" t="str">
        <f>"電気室（７棟）"</f>
        <v>電気室（７棟）</v>
      </c>
      <c r="K3203" s="7" t="str">
        <f t="shared" si="1118"/>
        <v>鉄筋コンクリート造</v>
      </c>
      <c r="L3203" s="7" t="str">
        <f>"H26.02.01"</f>
        <v>H26.02.01</v>
      </c>
      <c r="M3203" s="7">
        <v>43.18</v>
      </c>
      <c r="N3203" s="7">
        <v>12180313</v>
      </c>
      <c r="O3203" s="7">
        <v>2332476</v>
      </c>
      <c r="P3203" s="7">
        <v>9847836</v>
      </c>
      <c r="Q3203" s="7" t="str">
        <f t="shared" si="1113"/>
        <v>都市整備部</v>
      </c>
      <c r="R3203" s="7" t="str">
        <f t="shared" si="1110"/>
        <v>住宅建築局住宅経営室</v>
      </c>
    </row>
    <row r="3204" spans="1:18" s="1" customFormat="1" x14ac:dyDescent="0.45">
      <c r="A3204" s="7" t="str">
        <f t="shared" si="1122"/>
        <v>09940003426</v>
      </c>
      <c r="B3204" s="7" t="str">
        <f t="shared" si="1123"/>
        <v>瓜破西（旧瓜破）</v>
      </c>
      <c r="C3204" s="7" t="str">
        <f t="shared" si="1111"/>
        <v>行政財産</v>
      </c>
      <c r="D3204" s="7" t="str">
        <f t="shared" si="1124"/>
        <v>公営住宅</v>
      </c>
      <c r="E3204" s="7" t="str">
        <f t="shared" si="1125"/>
        <v>大阪府大阪市　平野区瓜破西１丁目</v>
      </c>
      <c r="F3204" s="7"/>
      <c r="G3204" s="7" t="str">
        <f t="shared" si="1109"/>
        <v>事業用資産</v>
      </c>
      <c r="H3204" s="7" t="str">
        <f t="shared" ref="H3204:H3267" si="1126">"棚卸以外"</f>
        <v>棚卸以外</v>
      </c>
      <c r="I3204" s="7">
        <v>22</v>
      </c>
      <c r="J3204" s="7" t="str">
        <f>"ごみ置場"</f>
        <v>ごみ置場</v>
      </c>
      <c r="K3204" s="7" t="str">
        <f t="shared" si="1118"/>
        <v>鉄筋コンクリート造</v>
      </c>
      <c r="L3204" s="7" t="str">
        <f>"H29.09.01"</f>
        <v>H29.09.01</v>
      </c>
      <c r="M3204" s="7">
        <v>37.08</v>
      </c>
      <c r="N3204" s="7">
        <v>6820596</v>
      </c>
      <c r="O3204" s="7">
        <v>786110</v>
      </c>
      <c r="P3204" s="7">
        <v>6034485</v>
      </c>
      <c r="Q3204" s="7" t="str">
        <f t="shared" si="1113"/>
        <v>都市整備部</v>
      </c>
      <c r="R3204" s="7" t="str">
        <f t="shared" si="1110"/>
        <v>住宅建築局住宅経営室</v>
      </c>
    </row>
    <row r="3205" spans="1:18" s="1" customFormat="1" x14ac:dyDescent="0.45">
      <c r="A3205" s="7" t="str">
        <f t="shared" si="1122"/>
        <v>09940003426</v>
      </c>
      <c r="B3205" s="7" t="str">
        <f t="shared" si="1123"/>
        <v>瓜破西（旧瓜破）</v>
      </c>
      <c r="C3205" s="7" t="str">
        <f t="shared" si="1111"/>
        <v>行政財産</v>
      </c>
      <c r="D3205" s="7" t="str">
        <f t="shared" si="1124"/>
        <v>公営住宅</v>
      </c>
      <c r="E3205" s="7" t="str">
        <f t="shared" si="1125"/>
        <v>大阪府大阪市　平野区瓜破西１丁目</v>
      </c>
      <c r="F3205" s="7"/>
      <c r="G3205" s="7" t="str">
        <f t="shared" si="1109"/>
        <v>事業用資産</v>
      </c>
      <c r="H3205" s="7" t="str">
        <f t="shared" si="1126"/>
        <v>棚卸以外</v>
      </c>
      <c r="I3205" s="7">
        <v>25</v>
      </c>
      <c r="J3205" s="7" t="str">
        <f>"ごみ置場"</f>
        <v>ごみ置場</v>
      </c>
      <c r="K3205" s="7" t="str">
        <f t="shared" si="1118"/>
        <v>鉄筋コンクリート造</v>
      </c>
      <c r="L3205" s="7" t="str">
        <f>"H29.08.01"</f>
        <v>H29.08.01</v>
      </c>
      <c r="M3205" s="7">
        <v>20.78</v>
      </c>
      <c r="N3205" s="7">
        <v>5775552</v>
      </c>
      <c r="O3205" s="7">
        <v>675906</v>
      </c>
      <c r="P3205" s="7">
        <v>5099645</v>
      </c>
      <c r="Q3205" s="7" t="str">
        <f t="shared" si="1113"/>
        <v>都市整備部</v>
      </c>
      <c r="R3205" s="7" t="str">
        <f t="shared" si="1110"/>
        <v>住宅建築局住宅経営室</v>
      </c>
    </row>
    <row r="3206" spans="1:18" s="1" customFormat="1" x14ac:dyDescent="0.45">
      <c r="A3206" s="7" t="str">
        <f t="shared" si="1122"/>
        <v>09940003426</v>
      </c>
      <c r="B3206" s="7" t="str">
        <f t="shared" si="1123"/>
        <v>瓜破西（旧瓜破）</v>
      </c>
      <c r="C3206" s="7" t="str">
        <f t="shared" si="1111"/>
        <v>行政財産</v>
      </c>
      <c r="D3206" s="7" t="str">
        <f t="shared" si="1124"/>
        <v>公営住宅</v>
      </c>
      <c r="E3206" s="7" t="str">
        <f t="shared" si="1125"/>
        <v>大阪府大阪市　平野区瓜破西１丁目</v>
      </c>
      <c r="F3206" s="7"/>
      <c r="G3206" s="7" t="str">
        <f t="shared" si="1109"/>
        <v>事業用資産</v>
      </c>
      <c r="H3206" s="7" t="str">
        <f t="shared" si="1126"/>
        <v>棚卸以外</v>
      </c>
      <c r="I3206" s="7">
        <v>31</v>
      </c>
      <c r="J3206" s="7" t="str">
        <f>"６号棟"</f>
        <v>６号棟</v>
      </c>
      <c r="K3206" s="7" t="str">
        <f t="shared" si="1118"/>
        <v>鉄筋コンクリート造</v>
      </c>
      <c r="L3206" s="7" t="str">
        <f>"H29.09.01"</f>
        <v>H29.09.01</v>
      </c>
      <c r="M3206" s="7">
        <v>11404.3</v>
      </c>
      <c r="N3206" s="7">
        <v>2278977848</v>
      </c>
      <c r="O3206" s="7">
        <v>262648165</v>
      </c>
      <c r="P3206" s="7">
        <v>2016329682</v>
      </c>
      <c r="Q3206" s="7" t="str">
        <f t="shared" si="1113"/>
        <v>都市整備部</v>
      </c>
      <c r="R3206" s="7" t="str">
        <f t="shared" si="1110"/>
        <v>住宅建築局住宅経営室</v>
      </c>
    </row>
    <row r="3207" spans="1:18" s="1" customFormat="1" x14ac:dyDescent="0.45">
      <c r="A3207" s="7" t="str">
        <f t="shared" si="1122"/>
        <v>09940003426</v>
      </c>
      <c r="B3207" s="7" t="str">
        <f t="shared" si="1123"/>
        <v>瓜破西（旧瓜破）</v>
      </c>
      <c r="C3207" s="7" t="str">
        <f t="shared" si="1111"/>
        <v>行政財産</v>
      </c>
      <c r="D3207" s="7" t="str">
        <f t="shared" si="1124"/>
        <v>公営住宅</v>
      </c>
      <c r="E3207" s="7" t="str">
        <f t="shared" si="1125"/>
        <v>大阪府大阪市　平野区瓜破西１丁目</v>
      </c>
      <c r="F3207" s="7"/>
      <c r="G3207" s="7" t="str">
        <f t="shared" si="1109"/>
        <v>事業用資産</v>
      </c>
      <c r="H3207" s="7" t="str">
        <f t="shared" si="1126"/>
        <v>棚卸以外</v>
      </c>
      <c r="I3207" s="7">
        <v>32</v>
      </c>
      <c r="J3207" s="7" t="str">
        <f>"電気室（６棟）"</f>
        <v>電気室（６棟）</v>
      </c>
      <c r="K3207" s="7" t="str">
        <f t="shared" si="1118"/>
        <v>鉄筋コンクリート造</v>
      </c>
      <c r="L3207" s="7" t="str">
        <f>"H29.09.01"</f>
        <v>H29.09.01</v>
      </c>
      <c r="M3207" s="7">
        <v>43.15</v>
      </c>
      <c r="N3207" s="7">
        <v>13987542</v>
      </c>
      <c r="O3207" s="7">
        <v>1612065</v>
      </c>
      <c r="P3207" s="7">
        <v>12375476</v>
      </c>
      <c r="Q3207" s="7" t="str">
        <f t="shared" si="1113"/>
        <v>都市整備部</v>
      </c>
      <c r="R3207" s="7" t="str">
        <f t="shared" si="1110"/>
        <v>住宅建築局住宅経営室</v>
      </c>
    </row>
    <row r="3208" spans="1:18" s="1" customFormat="1" x14ac:dyDescent="0.45">
      <c r="A3208" s="7" t="str">
        <f t="shared" si="1122"/>
        <v>09940003426</v>
      </c>
      <c r="B3208" s="7" t="str">
        <f t="shared" si="1123"/>
        <v>瓜破西（旧瓜破）</v>
      </c>
      <c r="C3208" s="7" t="str">
        <f t="shared" si="1111"/>
        <v>行政財産</v>
      </c>
      <c r="D3208" s="7" t="str">
        <f t="shared" si="1124"/>
        <v>公営住宅</v>
      </c>
      <c r="E3208" s="7" t="str">
        <f t="shared" si="1125"/>
        <v>大阪府大阪市　平野区瓜破西１丁目</v>
      </c>
      <c r="F3208" s="7"/>
      <c r="G3208" s="7" t="str">
        <f t="shared" si="1109"/>
        <v>事業用資産</v>
      </c>
      <c r="H3208" s="7" t="str">
        <f t="shared" si="1126"/>
        <v>棚卸以外</v>
      </c>
      <c r="I3208" s="7">
        <v>33</v>
      </c>
      <c r="J3208" s="7" t="str">
        <f>"１１号棟"</f>
        <v>１１号棟</v>
      </c>
      <c r="K3208" s="7" t="str">
        <f t="shared" si="1118"/>
        <v>鉄筋コンクリート造</v>
      </c>
      <c r="L3208" s="7" t="str">
        <f>"H29.08.01"</f>
        <v>H29.08.01</v>
      </c>
      <c r="M3208" s="7">
        <v>4986.75</v>
      </c>
      <c r="N3208" s="7">
        <v>1046111476</v>
      </c>
      <c r="O3208" s="7">
        <v>122417328</v>
      </c>
      <c r="P3208" s="7">
        <v>923694147</v>
      </c>
      <c r="Q3208" s="7" t="str">
        <f t="shared" si="1113"/>
        <v>都市整備部</v>
      </c>
      <c r="R3208" s="7" t="str">
        <f t="shared" si="1110"/>
        <v>住宅建築局住宅経営室</v>
      </c>
    </row>
    <row r="3209" spans="1:18" s="1" customFormat="1" x14ac:dyDescent="0.45">
      <c r="A3209" s="7" t="str">
        <f t="shared" si="1122"/>
        <v>09940003426</v>
      </c>
      <c r="B3209" s="7" t="str">
        <f t="shared" si="1123"/>
        <v>瓜破西（旧瓜破）</v>
      </c>
      <c r="C3209" s="7" t="str">
        <f t="shared" si="1111"/>
        <v>行政財産</v>
      </c>
      <c r="D3209" s="7" t="str">
        <f t="shared" si="1124"/>
        <v>公営住宅</v>
      </c>
      <c r="E3209" s="7" t="str">
        <f t="shared" si="1125"/>
        <v>大阪府大阪市　平野区瓜破西１丁目</v>
      </c>
      <c r="F3209" s="7"/>
      <c r="G3209" s="7" t="str">
        <f t="shared" si="1109"/>
        <v>事業用資産</v>
      </c>
      <c r="H3209" s="7" t="str">
        <f t="shared" si="1126"/>
        <v>棚卸以外</v>
      </c>
      <c r="I3209" s="7">
        <v>34</v>
      </c>
      <c r="J3209" s="7" t="str">
        <f>"巡回管理人室"</f>
        <v>巡回管理人室</v>
      </c>
      <c r="K3209" s="7" t="str">
        <f>"鉄骨造"</f>
        <v>鉄骨造</v>
      </c>
      <c r="L3209" s="7" t="str">
        <f>"H29.08.01"</f>
        <v>H29.08.01</v>
      </c>
      <c r="M3209" s="7">
        <v>33.26</v>
      </c>
      <c r="N3209" s="7">
        <v>7873663</v>
      </c>
      <c r="O3209" s="7">
        <v>921426</v>
      </c>
      <c r="P3209" s="7">
        <v>6952236</v>
      </c>
      <c r="Q3209" s="7" t="str">
        <f t="shared" si="1113"/>
        <v>都市整備部</v>
      </c>
      <c r="R3209" s="7" t="str">
        <f t="shared" si="1110"/>
        <v>住宅建築局住宅経営室</v>
      </c>
    </row>
    <row r="3210" spans="1:18" s="1" customFormat="1" x14ac:dyDescent="0.45">
      <c r="A3210" s="7" t="str">
        <f t="shared" si="1122"/>
        <v>09940003426</v>
      </c>
      <c r="B3210" s="7" t="str">
        <f t="shared" si="1123"/>
        <v>瓜破西（旧瓜破）</v>
      </c>
      <c r="C3210" s="7" t="str">
        <f t="shared" si="1111"/>
        <v>行政財産</v>
      </c>
      <c r="D3210" s="7" t="str">
        <f t="shared" si="1124"/>
        <v>公営住宅</v>
      </c>
      <c r="E3210" s="7" t="str">
        <f t="shared" si="1125"/>
        <v>大阪府大阪市　平野区瓜破西１丁目</v>
      </c>
      <c r="F3210" s="7"/>
      <c r="G3210" s="7" t="str">
        <f t="shared" si="1109"/>
        <v>事業用資産</v>
      </c>
      <c r="H3210" s="7" t="str">
        <f t="shared" si="1126"/>
        <v>棚卸以外</v>
      </c>
      <c r="I3210" s="7">
        <v>35</v>
      </c>
      <c r="J3210" s="7" t="str">
        <f>"電気室（１１棟）"</f>
        <v>電気室（１１棟）</v>
      </c>
      <c r="K3210" s="7" t="str">
        <f t="shared" ref="K3210:K3227" si="1127">"鉄筋コンクリート造"</f>
        <v>鉄筋コンクリート造</v>
      </c>
      <c r="L3210" s="7" t="str">
        <f>"H29.08.01"</f>
        <v>H29.08.01</v>
      </c>
      <c r="M3210" s="7">
        <v>30.92</v>
      </c>
      <c r="N3210" s="7">
        <v>12771537</v>
      </c>
      <c r="O3210" s="7">
        <v>1494570</v>
      </c>
      <c r="P3210" s="7">
        <v>11276966</v>
      </c>
      <c r="Q3210" s="7" t="str">
        <f t="shared" si="1113"/>
        <v>都市整備部</v>
      </c>
      <c r="R3210" s="7" t="str">
        <f t="shared" si="1110"/>
        <v>住宅建築局住宅経営室</v>
      </c>
    </row>
    <row r="3211" spans="1:18" s="1" customFormat="1" x14ac:dyDescent="0.45">
      <c r="A3211" s="7" t="str">
        <f t="shared" si="1122"/>
        <v>09940003426</v>
      </c>
      <c r="B3211" s="7" t="str">
        <f t="shared" si="1123"/>
        <v>瓜破西（旧瓜破）</v>
      </c>
      <c r="C3211" s="7" t="str">
        <f t="shared" si="1111"/>
        <v>行政財産</v>
      </c>
      <c r="D3211" s="7" t="str">
        <f t="shared" si="1124"/>
        <v>公営住宅</v>
      </c>
      <c r="E3211" s="7" t="str">
        <f t="shared" si="1125"/>
        <v>大阪府大阪市　平野区瓜破西１丁目</v>
      </c>
      <c r="F3211" s="7"/>
      <c r="G3211" s="7" t="str">
        <f t="shared" si="1109"/>
        <v>事業用資産</v>
      </c>
      <c r="H3211" s="7" t="str">
        <f t="shared" si="1126"/>
        <v>棚卸以外</v>
      </c>
      <c r="I3211" s="7">
        <v>36</v>
      </c>
      <c r="J3211" s="7" t="str">
        <f>"集会所"</f>
        <v>集会所</v>
      </c>
      <c r="K3211" s="7" t="str">
        <f t="shared" si="1127"/>
        <v>鉄筋コンクリート造</v>
      </c>
      <c r="L3211" s="7" t="str">
        <f>"R03.07.30"</f>
        <v>R03.07.30</v>
      </c>
      <c r="M3211" s="7">
        <v>315.44</v>
      </c>
      <c r="N3211" s="7">
        <v>141533944</v>
      </c>
      <c r="O3211" s="7">
        <v>4767993</v>
      </c>
      <c r="P3211" s="7">
        <v>136765950</v>
      </c>
      <c r="Q3211" s="7" t="str">
        <f t="shared" si="1113"/>
        <v>都市整備部</v>
      </c>
      <c r="R3211" s="7" t="str">
        <f t="shared" si="1110"/>
        <v>住宅建築局住宅経営室</v>
      </c>
    </row>
    <row r="3212" spans="1:18" s="1" customFormat="1" x14ac:dyDescent="0.45">
      <c r="A3212" s="7" t="str">
        <f t="shared" ref="A3212:A3218" si="1128">"09940003427"</f>
        <v>09940003427</v>
      </c>
      <c r="B3212" s="7" t="str">
        <f t="shared" ref="B3212:B3218" si="1129">"堺浜寺"</f>
        <v>堺浜寺</v>
      </c>
      <c r="C3212" s="7" t="str">
        <f t="shared" si="1111"/>
        <v>行政財産</v>
      </c>
      <c r="D3212" s="7" t="str">
        <f t="shared" si="1124"/>
        <v>公営住宅</v>
      </c>
      <c r="E3212" s="7" t="str">
        <f t="shared" ref="E3212:E3218" si="1130">"大阪府堺市　西区浜寺　船尾町西４丁"</f>
        <v>大阪府堺市　西区浜寺　船尾町西４丁</v>
      </c>
      <c r="F3212" s="7"/>
      <c r="G3212" s="7" t="str">
        <f t="shared" si="1109"/>
        <v>事業用資産</v>
      </c>
      <c r="H3212" s="7" t="str">
        <f t="shared" si="1126"/>
        <v>棚卸以外</v>
      </c>
      <c r="I3212" s="7">
        <v>1</v>
      </c>
      <c r="J3212" s="7" t="str">
        <f>"１号棟"</f>
        <v>１号棟</v>
      </c>
      <c r="K3212" s="7" t="str">
        <f t="shared" si="1127"/>
        <v>鉄筋コンクリート造</v>
      </c>
      <c r="L3212" s="7" t="str">
        <f t="shared" ref="L3212:L3218" si="1131">"S62.02.23"</f>
        <v>S62.02.23</v>
      </c>
      <c r="M3212" s="7">
        <v>1718.8</v>
      </c>
      <c r="N3212" s="7">
        <v>187566000</v>
      </c>
      <c r="O3212" s="7">
        <v>144000212</v>
      </c>
      <c r="P3212" s="7">
        <v>0</v>
      </c>
      <c r="Q3212" s="7" t="str">
        <f t="shared" si="1113"/>
        <v>都市整備部</v>
      </c>
      <c r="R3212" s="7" t="str">
        <f t="shared" si="1110"/>
        <v>住宅建築局住宅経営室</v>
      </c>
    </row>
    <row r="3213" spans="1:18" s="1" customFormat="1" x14ac:dyDescent="0.45">
      <c r="A3213" s="7" t="str">
        <f t="shared" si="1128"/>
        <v>09940003427</v>
      </c>
      <c r="B3213" s="7" t="str">
        <f t="shared" si="1129"/>
        <v>堺浜寺</v>
      </c>
      <c r="C3213" s="7" t="str">
        <f t="shared" si="1111"/>
        <v>行政財産</v>
      </c>
      <c r="D3213" s="7" t="str">
        <f t="shared" si="1124"/>
        <v>公営住宅</v>
      </c>
      <c r="E3213" s="7" t="str">
        <f t="shared" si="1130"/>
        <v>大阪府堺市　西区浜寺　船尾町西４丁</v>
      </c>
      <c r="F3213" s="7"/>
      <c r="G3213" s="7" t="str">
        <f t="shared" si="1109"/>
        <v>事業用資産</v>
      </c>
      <c r="H3213" s="7" t="str">
        <f t="shared" si="1126"/>
        <v>棚卸以外</v>
      </c>
      <c r="I3213" s="7">
        <v>2</v>
      </c>
      <c r="J3213" s="7" t="str">
        <f>"集会所"</f>
        <v>集会所</v>
      </c>
      <c r="K3213" s="7" t="str">
        <f t="shared" si="1127"/>
        <v>鉄筋コンクリート造</v>
      </c>
      <c r="L3213" s="7" t="str">
        <f t="shared" si="1131"/>
        <v>S62.02.23</v>
      </c>
      <c r="M3213" s="7">
        <v>71.760000000000005</v>
      </c>
      <c r="N3213" s="7">
        <v>14679000</v>
      </c>
      <c r="O3213" s="7">
        <v>11269691</v>
      </c>
      <c r="P3213" s="7">
        <v>0</v>
      </c>
      <c r="Q3213" s="7" t="str">
        <f t="shared" si="1113"/>
        <v>都市整備部</v>
      </c>
      <c r="R3213" s="7" t="str">
        <f t="shared" si="1110"/>
        <v>住宅建築局住宅経営室</v>
      </c>
    </row>
    <row r="3214" spans="1:18" s="1" customFormat="1" x14ac:dyDescent="0.45">
      <c r="A3214" s="7" t="str">
        <f t="shared" si="1128"/>
        <v>09940003427</v>
      </c>
      <c r="B3214" s="7" t="str">
        <f t="shared" si="1129"/>
        <v>堺浜寺</v>
      </c>
      <c r="C3214" s="7" t="str">
        <f t="shared" si="1111"/>
        <v>行政財産</v>
      </c>
      <c r="D3214" s="7" t="str">
        <f t="shared" si="1124"/>
        <v>公営住宅</v>
      </c>
      <c r="E3214" s="7" t="str">
        <f t="shared" si="1130"/>
        <v>大阪府堺市　西区浜寺　船尾町西４丁</v>
      </c>
      <c r="F3214" s="7"/>
      <c r="G3214" s="7" t="str">
        <f t="shared" si="1109"/>
        <v>事業用資産</v>
      </c>
      <c r="H3214" s="7" t="str">
        <f t="shared" si="1126"/>
        <v>棚卸以外</v>
      </c>
      <c r="I3214" s="7">
        <v>3</v>
      </c>
      <c r="J3214" s="7" t="str">
        <f>"受水槽"</f>
        <v>受水槽</v>
      </c>
      <c r="K3214" s="7" t="str">
        <f t="shared" si="1127"/>
        <v>鉄筋コンクリート造</v>
      </c>
      <c r="L3214" s="7" t="str">
        <f t="shared" si="1131"/>
        <v>S62.02.23</v>
      </c>
      <c r="M3214" s="7">
        <v>17.28</v>
      </c>
      <c r="N3214" s="7">
        <v>7165000</v>
      </c>
      <c r="O3214" s="7">
        <v>5500832</v>
      </c>
      <c r="P3214" s="7">
        <v>0</v>
      </c>
      <c r="Q3214" s="7" t="str">
        <f t="shared" si="1113"/>
        <v>都市整備部</v>
      </c>
      <c r="R3214" s="7" t="str">
        <f t="shared" si="1110"/>
        <v>住宅建築局住宅経営室</v>
      </c>
    </row>
    <row r="3215" spans="1:18" s="1" customFormat="1" x14ac:dyDescent="0.45">
      <c r="A3215" s="7" t="str">
        <f t="shared" si="1128"/>
        <v>09940003427</v>
      </c>
      <c r="B3215" s="7" t="str">
        <f t="shared" si="1129"/>
        <v>堺浜寺</v>
      </c>
      <c r="C3215" s="7" t="str">
        <f t="shared" si="1111"/>
        <v>行政財産</v>
      </c>
      <c r="D3215" s="7" t="str">
        <f t="shared" si="1124"/>
        <v>公営住宅</v>
      </c>
      <c r="E3215" s="7" t="str">
        <f t="shared" si="1130"/>
        <v>大阪府堺市　西区浜寺　船尾町西４丁</v>
      </c>
      <c r="F3215" s="7"/>
      <c r="G3215" s="7" t="str">
        <f t="shared" si="1109"/>
        <v>事業用資産</v>
      </c>
      <c r="H3215" s="7" t="str">
        <f t="shared" si="1126"/>
        <v>棚卸以外</v>
      </c>
      <c r="I3215" s="7">
        <v>4</v>
      </c>
      <c r="J3215" s="7" t="str">
        <f>"２号棟"</f>
        <v>２号棟</v>
      </c>
      <c r="K3215" s="7" t="str">
        <f t="shared" si="1127"/>
        <v>鉄筋コンクリート造</v>
      </c>
      <c r="L3215" s="7" t="str">
        <f t="shared" si="1131"/>
        <v>S62.02.23</v>
      </c>
      <c r="M3215" s="7">
        <v>1289.0999999999999</v>
      </c>
      <c r="N3215" s="7">
        <v>142755000</v>
      </c>
      <c r="O3215" s="7">
        <v>109597496</v>
      </c>
      <c r="P3215" s="7">
        <v>0</v>
      </c>
      <c r="Q3215" s="7" t="str">
        <f t="shared" si="1113"/>
        <v>都市整備部</v>
      </c>
      <c r="R3215" s="7" t="str">
        <f t="shared" si="1110"/>
        <v>住宅建築局住宅経営室</v>
      </c>
    </row>
    <row r="3216" spans="1:18" s="1" customFormat="1" x14ac:dyDescent="0.45">
      <c r="A3216" s="7" t="str">
        <f t="shared" si="1128"/>
        <v>09940003427</v>
      </c>
      <c r="B3216" s="7" t="str">
        <f t="shared" si="1129"/>
        <v>堺浜寺</v>
      </c>
      <c r="C3216" s="7" t="str">
        <f t="shared" si="1111"/>
        <v>行政財産</v>
      </c>
      <c r="D3216" s="7" t="str">
        <f t="shared" si="1124"/>
        <v>公営住宅</v>
      </c>
      <c r="E3216" s="7" t="str">
        <f t="shared" si="1130"/>
        <v>大阪府堺市　西区浜寺　船尾町西４丁</v>
      </c>
      <c r="F3216" s="7"/>
      <c r="G3216" s="7" t="str">
        <f t="shared" si="1109"/>
        <v>事業用資産</v>
      </c>
      <c r="H3216" s="7" t="str">
        <f t="shared" si="1126"/>
        <v>棚卸以外</v>
      </c>
      <c r="I3216" s="7">
        <v>5</v>
      </c>
      <c r="J3216" s="7" t="str">
        <f>"３号棟"</f>
        <v>３号棟</v>
      </c>
      <c r="K3216" s="7" t="str">
        <f t="shared" si="1127"/>
        <v>鉄筋コンクリート造</v>
      </c>
      <c r="L3216" s="7" t="str">
        <f t="shared" si="1131"/>
        <v>S62.02.23</v>
      </c>
      <c r="M3216" s="7">
        <v>827.8</v>
      </c>
      <c r="N3216" s="7">
        <v>94906861</v>
      </c>
      <c r="O3216" s="7">
        <v>72653503</v>
      </c>
      <c r="P3216" s="7">
        <v>0</v>
      </c>
      <c r="Q3216" s="7" t="str">
        <f t="shared" si="1113"/>
        <v>都市整備部</v>
      </c>
      <c r="R3216" s="7" t="str">
        <f t="shared" si="1110"/>
        <v>住宅建築局住宅経営室</v>
      </c>
    </row>
    <row r="3217" spans="1:18" s="1" customFormat="1" x14ac:dyDescent="0.45">
      <c r="A3217" s="7" t="str">
        <f t="shared" si="1128"/>
        <v>09940003427</v>
      </c>
      <c r="B3217" s="7" t="str">
        <f t="shared" si="1129"/>
        <v>堺浜寺</v>
      </c>
      <c r="C3217" s="7" t="str">
        <f t="shared" si="1111"/>
        <v>行政財産</v>
      </c>
      <c r="D3217" s="7" t="str">
        <f t="shared" si="1124"/>
        <v>公営住宅</v>
      </c>
      <c r="E3217" s="7" t="str">
        <f t="shared" si="1130"/>
        <v>大阪府堺市　西区浜寺　船尾町西４丁</v>
      </c>
      <c r="F3217" s="7"/>
      <c r="G3217" s="7" t="str">
        <f t="shared" si="1109"/>
        <v>事業用資産</v>
      </c>
      <c r="H3217" s="7" t="str">
        <f t="shared" si="1126"/>
        <v>棚卸以外</v>
      </c>
      <c r="I3217" s="7">
        <v>6</v>
      </c>
      <c r="J3217" s="7" t="str">
        <f>"４号棟"</f>
        <v>４号棟</v>
      </c>
      <c r="K3217" s="7" t="str">
        <f t="shared" si="1127"/>
        <v>鉄筋コンクリート造</v>
      </c>
      <c r="L3217" s="7" t="str">
        <f t="shared" si="1131"/>
        <v>S62.02.23</v>
      </c>
      <c r="M3217" s="7">
        <v>413.9</v>
      </c>
      <c r="N3217" s="7">
        <v>49746000</v>
      </c>
      <c r="O3217" s="7">
        <v>38191899</v>
      </c>
      <c r="P3217" s="7">
        <v>0</v>
      </c>
      <c r="Q3217" s="7" t="str">
        <f t="shared" si="1113"/>
        <v>都市整備部</v>
      </c>
      <c r="R3217" s="7" t="str">
        <f t="shared" si="1110"/>
        <v>住宅建築局住宅経営室</v>
      </c>
    </row>
    <row r="3218" spans="1:18" s="1" customFormat="1" x14ac:dyDescent="0.45">
      <c r="A3218" s="7" t="str">
        <f t="shared" si="1128"/>
        <v>09940003427</v>
      </c>
      <c r="B3218" s="7" t="str">
        <f t="shared" si="1129"/>
        <v>堺浜寺</v>
      </c>
      <c r="C3218" s="7" t="str">
        <f t="shared" si="1111"/>
        <v>行政財産</v>
      </c>
      <c r="D3218" s="7" t="str">
        <f t="shared" si="1124"/>
        <v>公営住宅</v>
      </c>
      <c r="E3218" s="7" t="str">
        <f t="shared" si="1130"/>
        <v>大阪府堺市　西区浜寺　船尾町西４丁</v>
      </c>
      <c r="F3218" s="7"/>
      <c r="G3218" s="7" t="str">
        <f t="shared" si="1109"/>
        <v>事業用資産</v>
      </c>
      <c r="H3218" s="7" t="str">
        <f t="shared" si="1126"/>
        <v>棚卸以外</v>
      </c>
      <c r="I3218" s="7">
        <v>7</v>
      </c>
      <c r="J3218" s="7" t="str">
        <f>"受水槽"</f>
        <v>受水槽</v>
      </c>
      <c r="K3218" s="7" t="str">
        <f t="shared" si="1127"/>
        <v>鉄筋コンクリート造</v>
      </c>
      <c r="L3218" s="7" t="str">
        <f t="shared" si="1131"/>
        <v>S62.02.23</v>
      </c>
      <c r="M3218" s="7">
        <v>34.56</v>
      </c>
      <c r="N3218" s="7">
        <v>5365000</v>
      </c>
      <c r="O3218" s="7">
        <v>4119129</v>
      </c>
      <c r="P3218" s="7">
        <v>0</v>
      </c>
      <c r="Q3218" s="7" t="str">
        <f t="shared" si="1113"/>
        <v>都市整備部</v>
      </c>
      <c r="R3218" s="7" t="str">
        <f t="shared" si="1110"/>
        <v>住宅建築局住宅経営室</v>
      </c>
    </row>
    <row r="3219" spans="1:18" s="1" customFormat="1" x14ac:dyDescent="0.45">
      <c r="A3219" s="7" t="str">
        <f t="shared" ref="A3219:A3227" si="1132">"09940003429"</f>
        <v>09940003429</v>
      </c>
      <c r="B3219" s="7" t="str">
        <f t="shared" ref="B3219:B3227" si="1133">"摂津正雀"</f>
        <v>摂津正雀</v>
      </c>
      <c r="C3219" s="7" t="str">
        <f t="shared" si="1111"/>
        <v>行政財産</v>
      </c>
      <c r="D3219" s="7" t="str">
        <f t="shared" si="1124"/>
        <v>公営住宅</v>
      </c>
      <c r="E3219" s="7" t="str">
        <f t="shared" ref="E3219:E3227" si="1134">"大阪府摂津市正雀本町１丁目"</f>
        <v>大阪府摂津市正雀本町１丁目</v>
      </c>
      <c r="F3219" s="7"/>
      <c r="G3219" s="7" t="str">
        <f t="shared" si="1109"/>
        <v>事業用資産</v>
      </c>
      <c r="H3219" s="7" t="str">
        <f t="shared" si="1126"/>
        <v>棚卸以外</v>
      </c>
      <c r="I3219" s="7">
        <v>1</v>
      </c>
      <c r="J3219" s="7" t="str">
        <f>"１号棟"</f>
        <v>１号棟</v>
      </c>
      <c r="K3219" s="7" t="str">
        <f t="shared" si="1127"/>
        <v>鉄筋コンクリート造</v>
      </c>
      <c r="L3219" s="7" t="str">
        <f t="shared" ref="L3219:L3227" si="1135">"H03.02.12"</f>
        <v>H03.02.12</v>
      </c>
      <c r="M3219" s="7">
        <v>4004.32</v>
      </c>
      <c r="N3219" s="7">
        <v>605401196</v>
      </c>
      <c r="O3219" s="7">
        <v>411173983</v>
      </c>
      <c r="P3219" s="7">
        <v>0</v>
      </c>
      <c r="Q3219" s="7" t="str">
        <f t="shared" si="1113"/>
        <v>都市整備部</v>
      </c>
      <c r="R3219" s="7" t="str">
        <f t="shared" si="1110"/>
        <v>住宅建築局住宅経営室</v>
      </c>
    </row>
    <row r="3220" spans="1:18" s="1" customFormat="1" x14ac:dyDescent="0.45">
      <c r="A3220" s="7" t="str">
        <f t="shared" si="1132"/>
        <v>09940003429</v>
      </c>
      <c r="B3220" s="7" t="str">
        <f t="shared" si="1133"/>
        <v>摂津正雀</v>
      </c>
      <c r="C3220" s="7" t="str">
        <f t="shared" si="1111"/>
        <v>行政財産</v>
      </c>
      <c r="D3220" s="7" t="str">
        <f t="shared" si="1124"/>
        <v>公営住宅</v>
      </c>
      <c r="E3220" s="7" t="str">
        <f t="shared" si="1134"/>
        <v>大阪府摂津市正雀本町１丁目</v>
      </c>
      <c r="F3220" s="7"/>
      <c r="G3220" s="7" t="str">
        <f t="shared" si="1109"/>
        <v>事業用資産</v>
      </c>
      <c r="H3220" s="7" t="str">
        <f t="shared" si="1126"/>
        <v>棚卸以外</v>
      </c>
      <c r="I3220" s="7">
        <v>2</v>
      </c>
      <c r="J3220" s="7" t="str">
        <f>"２号棟"</f>
        <v>２号棟</v>
      </c>
      <c r="K3220" s="7" t="str">
        <f t="shared" si="1127"/>
        <v>鉄筋コンクリート造</v>
      </c>
      <c r="L3220" s="7" t="str">
        <f t="shared" si="1135"/>
        <v>H03.02.12</v>
      </c>
      <c r="M3220" s="7">
        <v>4010.8</v>
      </c>
      <c r="N3220" s="7">
        <v>603673919</v>
      </c>
      <c r="O3220" s="7">
        <v>409880383</v>
      </c>
      <c r="P3220" s="7">
        <v>0</v>
      </c>
      <c r="Q3220" s="7" t="str">
        <f t="shared" si="1113"/>
        <v>都市整備部</v>
      </c>
      <c r="R3220" s="7" t="str">
        <f t="shared" si="1110"/>
        <v>住宅建築局住宅経営室</v>
      </c>
    </row>
    <row r="3221" spans="1:18" s="1" customFormat="1" x14ac:dyDescent="0.45">
      <c r="A3221" s="7" t="str">
        <f t="shared" si="1132"/>
        <v>09940003429</v>
      </c>
      <c r="B3221" s="7" t="str">
        <f t="shared" si="1133"/>
        <v>摂津正雀</v>
      </c>
      <c r="C3221" s="7" t="str">
        <f t="shared" si="1111"/>
        <v>行政財産</v>
      </c>
      <c r="D3221" s="7" t="str">
        <f t="shared" si="1124"/>
        <v>公営住宅</v>
      </c>
      <c r="E3221" s="7" t="str">
        <f t="shared" si="1134"/>
        <v>大阪府摂津市正雀本町１丁目</v>
      </c>
      <c r="F3221" s="7"/>
      <c r="G3221" s="7" t="str">
        <f t="shared" si="1109"/>
        <v>事業用資産</v>
      </c>
      <c r="H3221" s="7" t="str">
        <f t="shared" si="1126"/>
        <v>棚卸以外</v>
      </c>
      <c r="I3221" s="7">
        <v>3</v>
      </c>
      <c r="J3221" s="7" t="str">
        <f>"３号棟"</f>
        <v>３号棟</v>
      </c>
      <c r="K3221" s="7" t="str">
        <f t="shared" si="1127"/>
        <v>鉄筋コンクリート造</v>
      </c>
      <c r="L3221" s="7" t="str">
        <f t="shared" si="1135"/>
        <v>H03.02.12</v>
      </c>
      <c r="M3221" s="7">
        <v>2243.83</v>
      </c>
      <c r="N3221" s="7">
        <v>284435878</v>
      </c>
      <c r="O3221" s="7">
        <v>193796680</v>
      </c>
      <c r="P3221" s="7">
        <v>0</v>
      </c>
      <c r="Q3221" s="7" t="str">
        <f t="shared" si="1113"/>
        <v>都市整備部</v>
      </c>
      <c r="R3221" s="7" t="str">
        <f t="shared" si="1110"/>
        <v>住宅建築局住宅経営室</v>
      </c>
    </row>
    <row r="3222" spans="1:18" s="1" customFormat="1" x14ac:dyDescent="0.45">
      <c r="A3222" s="7" t="str">
        <f t="shared" si="1132"/>
        <v>09940003429</v>
      </c>
      <c r="B3222" s="7" t="str">
        <f t="shared" si="1133"/>
        <v>摂津正雀</v>
      </c>
      <c r="C3222" s="7" t="str">
        <f t="shared" si="1111"/>
        <v>行政財産</v>
      </c>
      <c r="D3222" s="7" t="str">
        <f t="shared" si="1124"/>
        <v>公営住宅</v>
      </c>
      <c r="E3222" s="7" t="str">
        <f t="shared" si="1134"/>
        <v>大阪府摂津市正雀本町１丁目</v>
      </c>
      <c r="F3222" s="7"/>
      <c r="G3222" s="7" t="str">
        <f t="shared" si="1109"/>
        <v>事業用資産</v>
      </c>
      <c r="H3222" s="7" t="str">
        <f t="shared" si="1126"/>
        <v>棚卸以外</v>
      </c>
      <c r="I3222" s="7">
        <v>4</v>
      </c>
      <c r="J3222" s="7" t="str">
        <f>"４号棟"</f>
        <v>４号棟</v>
      </c>
      <c r="K3222" s="7" t="str">
        <f t="shared" si="1127"/>
        <v>鉄筋コンクリート造</v>
      </c>
      <c r="L3222" s="7" t="str">
        <f t="shared" si="1135"/>
        <v>H03.02.12</v>
      </c>
      <c r="M3222" s="7">
        <v>3340.17</v>
      </c>
      <c r="N3222" s="7">
        <v>511264197</v>
      </c>
      <c r="O3222" s="7">
        <v>345644915</v>
      </c>
      <c r="P3222" s="7">
        <v>0</v>
      </c>
      <c r="Q3222" s="7" t="str">
        <f t="shared" si="1113"/>
        <v>都市整備部</v>
      </c>
      <c r="R3222" s="7" t="str">
        <f t="shared" si="1110"/>
        <v>住宅建築局住宅経営室</v>
      </c>
    </row>
    <row r="3223" spans="1:18" s="1" customFormat="1" x14ac:dyDescent="0.45">
      <c r="A3223" s="7" t="str">
        <f t="shared" si="1132"/>
        <v>09940003429</v>
      </c>
      <c r="B3223" s="7" t="str">
        <f t="shared" si="1133"/>
        <v>摂津正雀</v>
      </c>
      <c r="C3223" s="7" t="str">
        <f t="shared" si="1111"/>
        <v>行政財産</v>
      </c>
      <c r="D3223" s="7" t="str">
        <f t="shared" si="1124"/>
        <v>公営住宅</v>
      </c>
      <c r="E3223" s="7" t="str">
        <f t="shared" si="1134"/>
        <v>大阪府摂津市正雀本町１丁目</v>
      </c>
      <c r="F3223" s="7"/>
      <c r="G3223" s="7" t="str">
        <f t="shared" ref="G3223:G3286" si="1136">"事業用資産"</f>
        <v>事業用資産</v>
      </c>
      <c r="H3223" s="7" t="str">
        <f t="shared" si="1126"/>
        <v>棚卸以外</v>
      </c>
      <c r="I3223" s="7">
        <v>5</v>
      </c>
      <c r="J3223" s="7" t="str">
        <f>"５号棟"</f>
        <v>５号棟</v>
      </c>
      <c r="K3223" s="7" t="str">
        <f t="shared" si="1127"/>
        <v>鉄筋コンクリート造</v>
      </c>
      <c r="L3223" s="7" t="str">
        <f t="shared" si="1135"/>
        <v>H03.02.12</v>
      </c>
      <c r="M3223" s="7">
        <v>3329.04</v>
      </c>
      <c r="N3223" s="7">
        <v>499392923</v>
      </c>
      <c r="O3223" s="7">
        <v>338695808</v>
      </c>
      <c r="P3223" s="7">
        <v>0</v>
      </c>
      <c r="Q3223" s="7" t="str">
        <f t="shared" si="1113"/>
        <v>都市整備部</v>
      </c>
      <c r="R3223" s="7" t="str">
        <f t="shared" si="1110"/>
        <v>住宅建築局住宅経営室</v>
      </c>
    </row>
    <row r="3224" spans="1:18" s="1" customFormat="1" x14ac:dyDescent="0.45">
      <c r="A3224" s="7" t="str">
        <f t="shared" si="1132"/>
        <v>09940003429</v>
      </c>
      <c r="B3224" s="7" t="str">
        <f t="shared" si="1133"/>
        <v>摂津正雀</v>
      </c>
      <c r="C3224" s="7" t="str">
        <f t="shared" si="1111"/>
        <v>行政財産</v>
      </c>
      <c r="D3224" s="7" t="str">
        <f t="shared" si="1124"/>
        <v>公営住宅</v>
      </c>
      <c r="E3224" s="7" t="str">
        <f t="shared" si="1134"/>
        <v>大阪府摂津市正雀本町１丁目</v>
      </c>
      <c r="F3224" s="7"/>
      <c r="G3224" s="7" t="str">
        <f t="shared" si="1136"/>
        <v>事業用資産</v>
      </c>
      <c r="H3224" s="7" t="str">
        <f t="shared" si="1126"/>
        <v>棚卸以外</v>
      </c>
      <c r="I3224" s="7">
        <v>6</v>
      </c>
      <c r="J3224" s="7" t="str">
        <f>"６号棟"</f>
        <v>６号棟</v>
      </c>
      <c r="K3224" s="7" t="str">
        <f t="shared" si="1127"/>
        <v>鉄筋コンクリート造</v>
      </c>
      <c r="L3224" s="7" t="str">
        <f t="shared" si="1135"/>
        <v>H03.02.12</v>
      </c>
      <c r="M3224" s="7">
        <v>1489.99</v>
      </c>
      <c r="N3224" s="7">
        <v>196281000</v>
      </c>
      <c r="O3224" s="7">
        <v>133986160</v>
      </c>
      <c r="P3224" s="7">
        <v>0</v>
      </c>
      <c r="Q3224" s="7" t="str">
        <f t="shared" si="1113"/>
        <v>都市整備部</v>
      </c>
      <c r="R3224" s="7" t="str">
        <f t="shared" ref="R3224:R3287" si="1137">"住宅建築局住宅経営室"</f>
        <v>住宅建築局住宅経営室</v>
      </c>
    </row>
    <row r="3225" spans="1:18" s="1" customFormat="1" x14ac:dyDescent="0.45">
      <c r="A3225" s="7" t="str">
        <f t="shared" si="1132"/>
        <v>09940003429</v>
      </c>
      <c r="B3225" s="7" t="str">
        <f t="shared" si="1133"/>
        <v>摂津正雀</v>
      </c>
      <c r="C3225" s="7" t="str">
        <f t="shared" si="1111"/>
        <v>行政財産</v>
      </c>
      <c r="D3225" s="7" t="str">
        <f t="shared" si="1124"/>
        <v>公営住宅</v>
      </c>
      <c r="E3225" s="7" t="str">
        <f t="shared" si="1134"/>
        <v>大阪府摂津市正雀本町１丁目</v>
      </c>
      <c r="F3225" s="7"/>
      <c r="G3225" s="7" t="str">
        <f t="shared" si="1136"/>
        <v>事業用資産</v>
      </c>
      <c r="H3225" s="7" t="str">
        <f t="shared" si="1126"/>
        <v>棚卸以外</v>
      </c>
      <c r="I3225" s="7">
        <v>7</v>
      </c>
      <c r="J3225" s="7" t="str">
        <f>"７号棟"</f>
        <v>７号棟</v>
      </c>
      <c r="K3225" s="7" t="str">
        <f t="shared" si="1127"/>
        <v>鉄筋コンクリート造</v>
      </c>
      <c r="L3225" s="7" t="str">
        <f t="shared" si="1135"/>
        <v>H03.02.12</v>
      </c>
      <c r="M3225" s="7">
        <v>2214.4899999999998</v>
      </c>
      <c r="N3225" s="7">
        <v>284004000</v>
      </c>
      <c r="O3225" s="7">
        <v>193868290</v>
      </c>
      <c r="P3225" s="7">
        <v>0</v>
      </c>
      <c r="Q3225" s="7" t="str">
        <f t="shared" si="1113"/>
        <v>都市整備部</v>
      </c>
      <c r="R3225" s="7" t="str">
        <f t="shared" si="1137"/>
        <v>住宅建築局住宅経営室</v>
      </c>
    </row>
    <row r="3226" spans="1:18" s="1" customFormat="1" x14ac:dyDescent="0.45">
      <c r="A3226" s="7" t="str">
        <f t="shared" si="1132"/>
        <v>09940003429</v>
      </c>
      <c r="B3226" s="7" t="str">
        <f t="shared" si="1133"/>
        <v>摂津正雀</v>
      </c>
      <c r="C3226" s="7" t="str">
        <f t="shared" ref="C3226:C3289" si="1138">"行政財産"</f>
        <v>行政財産</v>
      </c>
      <c r="D3226" s="7" t="str">
        <f t="shared" si="1124"/>
        <v>公営住宅</v>
      </c>
      <c r="E3226" s="7" t="str">
        <f t="shared" si="1134"/>
        <v>大阪府摂津市正雀本町１丁目</v>
      </c>
      <c r="F3226" s="7"/>
      <c r="G3226" s="7" t="str">
        <f t="shared" si="1136"/>
        <v>事業用資産</v>
      </c>
      <c r="H3226" s="7" t="str">
        <f t="shared" si="1126"/>
        <v>棚卸以外</v>
      </c>
      <c r="I3226" s="7">
        <v>8</v>
      </c>
      <c r="J3226" s="7" t="str">
        <f>"集会所"</f>
        <v>集会所</v>
      </c>
      <c r="K3226" s="7" t="str">
        <f t="shared" si="1127"/>
        <v>鉄筋コンクリート造</v>
      </c>
      <c r="L3226" s="7" t="str">
        <f t="shared" si="1135"/>
        <v>H03.02.12</v>
      </c>
      <c r="M3226" s="7">
        <v>150.33000000000001</v>
      </c>
      <c r="N3226" s="7">
        <v>51108000</v>
      </c>
      <c r="O3226" s="7">
        <v>34887930</v>
      </c>
      <c r="P3226" s="7">
        <v>0</v>
      </c>
      <c r="Q3226" s="7" t="str">
        <f t="shared" si="1113"/>
        <v>都市整備部</v>
      </c>
      <c r="R3226" s="7" t="str">
        <f t="shared" si="1137"/>
        <v>住宅建築局住宅経営室</v>
      </c>
    </row>
    <row r="3227" spans="1:18" s="1" customFormat="1" x14ac:dyDescent="0.45">
      <c r="A3227" s="7" t="str">
        <f t="shared" si="1132"/>
        <v>09940003429</v>
      </c>
      <c r="B3227" s="7" t="str">
        <f t="shared" si="1133"/>
        <v>摂津正雀</v>
      </c>
      <c r="C3227" s="7" t="str">
        <f t="shared" si="1138"/>
        <v>行政財産</v>
      </c>
      <c r="D3227" s="7" t="str">
        <f t="shared" si="1124"/>
        <v>公営住宅</v>
      </c>
      <c r="E3227" s="7" t="str">
        <f t="shared" si="1134"/>
        <v>大阪府摂津市正雀本町１丁目</v>
      </c>
      <c r="F3227" s="7"/>
      <c r="G3227" s="7" t="str">
        <f t="shared" si="1136"/>
        <v>事業用資産</v>
      </c>
      <c r="H3227" s="7" t="str">
        <f t="shared" si="1126"/>
        <v>棚卸以外</v>
      </c>
      <c r="I3227" s="7">
        <v>9</v>
      </c>
      <c r="J3227" s="7" t="str">
        <f>"受水槽・電気室"</f>
        <v>受水槽・電気室</v>
      </c>
      <c r="K3227" s="7" t="str">
        <f t="shared" si="1127"/>
        <v>鉄筋コンクリート造</v>
      </c>
      <c r="L3227" s="7" t="str">
        <f t="shared" si="1135"/>
        <v>H03.02.12</v>
      </c>
      <c r="M3227" s="7">
        <v>137.25</v>
      </c>
      <c r="N3227" s="7">
        <v>42069000</v>
      </c>
      <c r="O3227" s="7">
        <v>28717535</v>
      </c>
      <c r="P3227" s="7">
        <v>0</v>
      </c>
      <c r="Q3227" s="7" t="str">
        <f t="shared" ref="Q3227:Q3290" si="1139">"都市整備部"</f>
        <v>都市整備部</v>
      </c>
      <c r="R3227" s="7" t="str">
        <f t="shared" si="1137"/>
        <v>住宅建築局住宅経営室</v>
      </c>
    </row>
    <row r="3228" spans="1:18" s="1" customFormat="1" ht="26.4" x14ac:dyDescent="0.45">
      <c r="A3228" s="7" t="str">
        <f>"09940003430"</f>
        <v>09940003430</v>
      </c>
      <c r="B3228" s="7" t="str">
        <f>"高石加茂"</f>
        <v>高石加茂</v>
      </c>
      <c r="C3228" s="7" t="str">
        <f t="shared" si="1138"/>
        <v>行政財産</v>
      </c>
      <c r="D3228" s="7" t="str">
        <f t="shared" si="1124"/>
        <v>公営住宅</v>
      </c>
      <c r="E3228" s="7" t="str">
        <f>"大阪府高石市加茂１丁目"</f>
        <v>大阪府高石市加茂１丁目</v>
      </c>
      <c r="F3228" s="7"/>
      <c r="G3228" s="7" t="str">
        <f t="shared" si="1136"/>
        <v>事業用資産</v>
      </c>
      <c r="H3228" s="7" t="str">
        <f t="shared" si="1126"/>
        <v>棚卸以外</v>
      </c>
      <c r="I3228" s="7">
        <v>1</v>
      </c>
      <c r="J3228" s="7" t="str">
        <f>"１号棟"</f>
        <v>１号棟</v>
      </c>
      <c r="K3228" s="7" t="str">
        <f>"鉄骨鉄筋コンクリート造"</f>
        <v>鉄骨鉄筋コンクリート造</v>
      </c>
      <c r="L3228" s="7" t="str">
        <f>"S53.08.22"</f>
        <v>S53.08.22</v>
      </c>
      <c r="M3228" s="7">
        <v>6293.43</v>
      </c>
      <c r="N3228" s="7">
        <v>941730801</v>
      </c>
      <c r="O3228" s="7">
        <v>704985296</v>
      </c>
      <c r="P3228" s="7">
        <v>0</v>
      </c>
      <c r="Q3228" s="7" t="str">
        <f t="shared" si="1139"/>
        <v>都市整備部</v>
      </c>
      <c r="R3228" s="7" t="str">
        <f t="shared" si="1137"/>
        <v>住宅建築局住宅経営室</v>
      </c>
    </row>
    <row r="3229" spans="1:18" s="1" customFormat="1" x14ac:dyDescent="0.45">
      <c r="A3229" s="7" t="str">
        <f t="shared" ref="A3229:A3239" si="1140">"09940003431"</f>
        <v>09940003431</v>
      </c>
      <c r="B3229" s="7" t="str">
        <f t="shared" ref="B3229:B3239" si="1141">"藤井寺道明寺"</f>
        <v>藤井寺道明寺</v>
      </c>
      <c r="C3229" s="7" t="str">
        <f t="shared" si="1138"/>
        <v>行政財産</v>
      </c>
      <c r="D3229" s="7" t="str">
        <f t="shared" si="1124"/>
        <v>公営住宅</v>
      </c>
      <c r="E3229" s="7" t="str">
        <f t="shared" ref="E3229:E3239" si="1142">"大阪府藤井寺市道明寺６丁目"</f>
        <v>大阪府藤井寺市道明寺６丁目</v>
      </c>
      <c r="F3229" s="7"/>
      <c r="G3229" s="7" t="str">
        <f t="shared" si="1136"/>
        <v>事業用資産</v>
      </c>
      <c r="H3229" s="7" t="str">
        <f t="shared" si="1126"/>
        <v>棚卸以外</v>
      </c>
      <c r="I3229" s="7">
        <v>1</v>
      </c>
      <c r="J3229" s="7" t="str">
        <f>"１号棟"</f>
        <v>１号棟</v>
      </c>
      <c r="K3229" s="7" t="str">
        <f t="shared" ref="K3229:K3260" si="1143">"鉄筋コンクリート造"</f>
        <v>鉄筋コンクリート造</v>
      </c>
      <c r="L3229" s="7" t="str">
        <f>"H03.03.29"</f>
        <v>H03.03.29</v>
      </c>
      <c r="M3229" s="7">
        <v>1478.07</v>
      </c>
      <c r="N3229" s="7">
        <v>203353000</v>
      </c>
      <c r="O3229" s="7">
        <v>138453120</v>
      </c>
      <c r="P3229" s="7">
        <v>0</v>
      </c>
      <c r="Q3229" s="7" t="str">
        <f t="shared" si="1139"/>
        <v>都市整備部</v>
      </c>
      <c r="R3229" s="7" t="str">
        <f t="shared" si="1137"/>
        <v>住宅建築局住宅経営室</v>
      </c>
    </row>
    <row r="3230" spans="1:18" s="1" customFormat="1" x14ac:dyDescent="0.45">
      <c r="A3230" s="7" t="str">
        <f t="shared" si="1140"/>
        <v>09940003431</v>
      </c>
      <c r="B3230" s="7" t="str">
        <f t="shared" si="1141"/>
        <v>藤井寺道明寺</v>
      </c>
      <c r="C3230" s="7" t="str">
        <f t="shared" si="1138"/>
        <v>行政財産</v>
      </c>
      <c r="D3230" s="7" t="str">
        <f t="shared" si="1124"/>
        <v>公営住宅</v>
      </c>
      <c r="E3230" s="7" t="str">
        <f t="shared" si="1142"/>
        <v>大阪府藤井寺市道明寺６丁目</v>
      </c>
      <c r="F3230" s="7"/>
      <c r="G3230" s="7" t="str">
        <f t="shared" si="1136"/>
        <v>事業用資産</v>
      </c>
      <c r="H3230" s="7" t="str">
        <f t="shared" si="1126"/>
        <v>棚卸以外</v>
      </c>
      <c r="I3230" s="7">
        <v>2</v>
      </c>
      <c r="J3230" s="7" t="str">
        <f>"２号棟"</f>
        <v>２号棟</v>
      </c>
      <c r="K3230" s="7" t="str">
        <f t="shared" si="1143"/>
        <v>鉄筋コンクリート造</v>
      </c>
      <c r="L3230" s="7" t="str">
        <f>"H03.03.29"</f>
        <v>H03.03.29</v>
      </c>
      <c r="M3230" s="7">
        <v>2035.9</v>
      </c>
      <c r="N3230" s="7">
        <v>289008000</v>
      </c>
      <c r="O3230" s="7">
        <v>196771584</v>
      </c>
      <c r="P3230" s="7">
        <v>0</v>
      </c>
      <c r="Q3230" s="7" t="str">
        <f t="shared" si="1139"/>
        <v>都市整備部</v>
      </c>
      <c r="R3230" s="7" t="str">
        <f t="shared" si="1137"/>
        <v>住宅建築局住宅経営室</v>
      </c>
    </row>
    <row r="3231" spans="1:18" s="1" customFormat="1" x14ac:dyDescent="0.45">
      <c r="A3231" s="7" t="str">
        <f t="shared" si="1140"/>
        <v>09940003431</v>
      </c>
      <c r="B3231" s="7" t="str">
        <f t="shared" si="1141"/>
        <v>藤井寺道明寺</v>
      </c>
      <c r="C3231" s="7" t="str">
        <f t="shared" si="1138"/>
        <v>行政財産</v>
      </c>
      <c r="D3231" s="7" t="str">
        <f t="shared" si="1124"/>
        <v>公営住宅</v>
      </c>
      <c r="E3231" s="7" t="str">
        <f t="shared" si="1142"/>
        <v>大阪府藤井寺市道明寺６丁目</v>
      </c>
      <c r="F3231" s="7"/>
      <c r="G3231" s="7" t="str">
        <f t="shared" si="1136"/>
        <v>事業用資産</v>
      </c>
      <c r="H3231" s="7" t="str">
        <f t="shared" si="1126"/>
        <v>棚卸以外</v>
      </c>
      <c r="I3231" s="7">
        <v>3</v>
      </c>
      <c r="J3231" s="7" t="str">
        <f>"３号棟"</f>
        <v>３号棟</v>
      </c>
      <c r="K3231" s="7" t="str">
        <f t="shared" si="1143"/>
        <v>鉄筋コンクリート造</v>
      </c>
      <c r="L3231" s="7" t="str">
        <f>"H03.03.29"</f>
        <v>H03.03.29</v>
      </c>
      <c r="M3231" s="7">
        <v>1249.8399999999999</v>
      </c>
      <c r="N3231" s="7">
        <v>182833000</v>
      </c>
      <c r="O3231" s="7">
        <v>124482048</v>
      </c>
      <c r="P3231" s="7">
        <v>0</v>
      </c>
      <c r="Q3231" s="7" t="str">
        <f t="shared" si="1139"/>
        <v>都市整備部</v>
      </c>
      <c r="R3231" s="7" t="str">
        <f t="shared" si="1137"/>
        <v>住宅建築局住宅経営室</v>
      </c>
    </row>
    <row r="3232" spans="1:18" s="1" customFormat="1" x14ac:dyDescent="0.45">
      <c r="A3232" s="7" t="str">
        <f t="shared" si="1140"/>
        <v>09940003431</v>
      </c>
      <c r="B3232" s="7" t="str">
        <f t="shared" si="1141"/>
        <v>藤井寺道明寺</v>
      </c>
      <c r="C3232" s="7" t="str">
        <f t="shared" si="1138"/>
        <v>行政財産</v>
      </c>
      <c r="D3232" s="7" t="str">
        <f t="shared" si="1124"/>
        <v>公営住宅</v>
      </c>
      <c r="E3232" s="7" t="str">
        <f t="shared" si="1142"/>
        <v>大阪府藤井寺市道明寺６丁目</v>
      </c>
      <c r="F3232" s="7"/>
      <c r="G3232" s="7" t="str">
        <f t="shared" si="1136"/>
        <v>事業用資産</v>
      </c>
      <c r="H3232" s="7" t="str">
        <f t="shared" si="1126"/>
        <v>棚卸以外</v>
      </c>
      <c r="I3232" s="7">
        <v>4</v>
      </c>
      <c r="J3232" s="7" t="str">
        <f>"４号棟"</f>
        <v>４号棟</v>
      </c>
      <c r="K3232" s="7" t="str">
        <f t="shared" si="1143"/>
        <v>鉄筋コンクリート造</v>
      </c>
      <c r="L3232" s="7" t="str">
        <f>"H03.03.29"</f>
        <v>H03.03.29</v>
      </c>
      <c r="M3232" s="7">
        <v>1011.5</v>
      </c>
      <c r="N3232" s="7">
        <v>155566000</v>
      </c>
      <c r="O3232" s="7">
        <v>105917568</v>
      </c>
      <c r="P3232" s="7">
        <v>0</v>
      </c>
      <c r="Q3232" s="7" t="str">
        <f t="shared" si="1139"/>
        <v>都市整備部</v>
      </c>
      <c r="R3232" s="7" t="str">
        <f t="shared" si="1137"/>
        <v>住宅建築局住宅経営室</v>
      </c>
    </row>
    <row r="3233" spans="1:18" s="1" customFormat="1" x14ac:dyDescent="0.45">
      <c r="A3233" s="7" t="str">
        <f t="shared" si="1140"/>
        <v>09940003431</v>
      </c>
      <c r="B3233" s="7" t="str">
        <f t="shared" si="1141"/>
        <v>藤井寺道明寺</v>
      </c>
      <c r="C3233" s="7" t="str">
        <f t="shared" si="1138"/>
        <v>行政財産</v>
      </c>
      <c r="D3233" s="7" t="str">
        <f t="shared" si="1124"/>
        <v>公営住宅</v>
      </c>
      <c r="E3233" s="7" t="str">
        <f t="shared" si="1142"/>
        <v>大阪府藤井寺市道明寺６丁目</v>
      </c>
      <c r="F3233" s="7"/>
      <c r="G3233" s="7" t="str">
        <f t="shared" si="1136"/>
        <v>事業用資産</v>
      </c>
      <c r="H3233" s="7" t="str">
        <f t="shared" si="1126"/>
        <v>棚卸以外</v>
      </c>
      <c r="I3233" s="7">
        <v>5</v>
      </c>
      <c r="J3233" s="7" t="str">
        <f>"受水槽"</f>
        <v>受水槽</v>
      </c>
      <c r="K3233" s="7" t="str">
        <f t="shared" si="1143"/>
        <v>鉄筋コンクリート造</v>
      </c>
      <c r="L3233" s="7" t="str">
        <f>"H03.03.29"</f>
        <v>H03.03.29</v>
      </c>
      <c r="M3233" s="7">
        <v>95.67</v>
      </c>
      <c r="N3233" s="7">
        <v>50047000</v>
      </c>
      <c r="O3233" s="7">
        <v>34074624</v>
      </c>
      <c r="P3233" s="7">
        <v>0</v>
      </c>
      <c r="Q3233" s="7" t="str">
        <f t="shared" si="1139"/>
        <v>都市整備部</v>
      </c>
      <c r="R3233" s="7" t="str">
        <f t="shared" si="1137"/>
        <v>住宅建築局住宅経営室</v>
      </c>
    </row>
    <row r="3234" spans="1:18" s="1" customFormat="1" x14ac:dyDescent="0.45">
      <c r="A3234" s="7" t="str">
        <f t="shared" si="1140"/>
        <v>09940003431</v>
      </c>
      <c r="B3234" s="7" t="str">
        <f t="shared" si="1141"/>
        <v>藤井寺道明寺</v>
      </c>
      <c r="C3234" s="7" t="str">
        <f t="shared" si="1138"/>
        <v>行政財産</v>
      </c>
      <c r="D3234" s="7" t="str">
        <f t="shared" si="1124"/>
        <v>公営住宅</v>
      </c>
      <c r="E3234" s="7" t="str">
        <f t="shared" si="1142"/>
        <v>大阪府藤井寺市道明寺６丁目</v>
      </c>
      <c r="F3234" s="7"/>
      <c r="G3234" s="7" t="str">
        <f t="shared" si="1136"/>
        <v>事業用資産</v>
      </c>
      <c r="H3234" s="7" t="str">
        <f t="shared" si="1126"/>
        <v>棚卸以外</v>
      </c>
      <c r="I3234" s="7">
        <v>6</v>
      </c>
      <c r="J3234" s="7" t="str">
        <f>"５号棟"</f>
        <v>５号棟</v>
      </c>
      <c r="K3234" s="7" t="str">
        <f t="shared" si="1143"/>
        <v>鉄筋コンクリート造</v>
      </c>
      <c r="L3234" s="7" t="str">
        <f>"H05.06.28"</f>
        <v>H05.06.28</v>
      </c>
      <c r="M3234" s="7">
        <v>1318.32</v>
      </c>
      <c r="N3234" s="7">
        <v>284418000</v>
      </c>
      <c r="O3234" s="7">
        <v>180030816</v>
      </c>
      <c r="P3234" s="7">
        <v>0</v>
      </c>
      <c r="Q3234" s="7" t="str">
        <f t="shared" si="1139"/>
        <v>都市整備部</v>
      </c>
      <c r="R3234" s="7" t="str">
        <f t="shared" si="1137"/>
        <v>住宅建築局住宅経営室</v>
      </c>
    </row>
    <row r="3235" spans="1:18" s="1" customFormat="1" x14ac:dyDescent="0.45">
      <c r="A3235" s="7" t="str">
        <f t="shared" si="1140"/>
        <v>09940003431</v>
      </c>
      <c r="B3235" s="7" t="str">
        <f t="shared" si="1141"/>
        <v>藤井寺道明寺</v>
      </c>
      <c r="C3235" s="7" t="str">
        <f t="shared" si="1138"/>
        <v>行政財産</v>
      </c>
      <c r="D3235" s="7" t="str">
        <f t="shared" si="1124"/>
        <v>公営住宅</v>
      </c>
      <c r="E3235" s="7" t="str">
        <f t="shared" si="1142"/>
        <v>大阪府藤井寺市道明寺６丁目</v>
      </c>
      <c r="F3235" s="7"/>
      <c r="G3235" s="7" t="str">
        <f t="shared" si="1136"/>
        <v>事業用資産</v>
      </c>
      <c r="H3235" s="7" t="str">
        <f t="shared" si="1126"/>
        <v>棚卸以外</v>
      </c>
      <c r="I3235" s="7">
        <v>7</v>
      </c>
      <c r="J3235" s="7" t="str">
        <f>"受水槽・ポンプ室（５号棟）"</f>
        <v>受水槽・ポンプ室（５号棟）</v>
      </c>
      <c r="K3235" s="7" t="str">
        <f t="shared" si="1143"/>
        <v>鉄筋コンクリート造</v>
      </c>
      <c r="L3235" s="7" t="str">
        <f>"H05.06.28"</f>
        <v>H05.06.28</v>
      </c>
      <c r="M3235" s="7">
        <v>39.44</v>
      </c>
      <c r="N3235" s="7">
        <v>14219000</v>
      </c>
      <c r="O3235" s="7">
        <v>9000327</v>
      </c>
      <c r="P3235" s="7">
        <v>0</v>
      </c>
      <c r="Q3235" s="7" t="str">
        <f t="shared" si="1139"/>
        <v>都市整備部</v>
      </c>
      <c r="R3235" s="7" t="str">
        <f t="shared" si="1137"/>
        <v>住宅建築局住宅経営室</v>
      </c>
    </row>
    <row r="3236" spans="1:18" s="1" customFormat="1" x14ac:dyDescent="0.45">
      <c r="A3236" s="7" t="str">
        <f t="shared" si="1140"/>
        <v>09940003431</v>
      </c>
      <c r="B3236" s="7" t="str">
        <f t="shared" si="1141"/>
        <v>藤井寺道明寺</v>
      </c>
      <c r="C3236" s="7" t="str">
        <f t="shared" si="1138"/>
        <v>行政財産</v>
      </c>
      <c r="D3236" s="7" t="str">
        <f t="shared" si="1124"/>
        <v>公営住宅</v>
      </c>
      <c r="E3236" s="7" t="str">
        <f t="shared" si="1142"/>
        <v>大阪府藤井寺市道明寺６丁目</v>
      </c>
      <c r="F3236" s="7"/>
      <c r="G3236" s="7" t="str">
        <f t="shared" si="1136"/>
        <v>事業用資産</v>
      </c>
      <c r="H3236" s="7" t="str">
        <f t="shared" si="1126"/>
        <v>棚卸以外</v>
      </c>
      <c r="I3236" s="7">
        <v>8</v>
      </c>
      <c r="J3236" s="7" t="str">
        <f>"６号棟"</f>
        <v>６号棟</v>
      </c>
      <c r="K3236" s="7" t="str">
        <f t="shared" si="1143"/>
        <v>鉄筋コンクリート造</v>
      </c>
      <c r="L3236" s="7" t="str">
        <f>"H06.12.07"</f>
        <v>H06.12.07</v>
      </c>
      <c r="M3236" s="7">
        <v>1768.54</v>
      </c>
      <c r="N3236" s="7">
        <v>302207000</v>
      </c>
      <c r="O3236" s="7">
        <v>181646031</v>
      </c>
      <c r="P3236" s="7">
        <v>0</v>
      </c>
      <c r="Q3236" s="7" t="str">
        <f t="shared" si="1139"/>
        <v>都市整備部</v>
      </c>
      <c r="R3236" s="7" t="str">
        <f t="shared" si="1137"/>
        <v>住宅建築局住宅経営室</v>
      </c>
    </row>
    <row r="3237" spans="1:18" s="1" customFormat="1" x14ac:dyDescent="0.45">
      <c r="A3237" s="7" t="str">
        <f t="shared" si="1140"/>
        <v>09940003431</v>
      </c>
      <c r="B3237" s="7" t="str">
        <f t="shared" si="1141"/>
        <v>藤井寺道明寺</v>
      </c>
      <c r="C3237" s="7" t="str">
        <f t="shared" si="1138"/>
        <v>行政財産</v>
      </c>
      <c r="D3237" s="7" t="str">
        <f t="shared" si="1124"/>
        <v>公営住宅</v>
      </c>
      <c r="E3237" s="7" t="str">
        <f t="shared" si="1142"/>
        <v>大阪府藤井寺市道明寺６丁目</v>
      </c>
      <c r="F3237" s="7"/>
      <c r="G3237" s="7" t="str">
        <f t="shared" si="1136"/>
        <v>事業用資産</v>
      </c>
      <c r="H3237" s="7" t="str">
        <f t="shared" si="1126"/>
        <v>棚卸以外</v>
      </c>
      <c r="I3237" s="7">
        <v>9</v>
      </c>
      <c r="J3237" s="7" t="str">
        <f>"７号棟"</f>
        <v>７号棟</v>
      </c>
      <c r="K3237" s="7" t="str">
        <f t="shared" si="1143"/>
        <v>鉄筋コンクリート造</v>
      </c>
      <c r="L3237" s="7" t="str">
        <f>"H06.12.07"</f>
        <v>H06.12.07</v>
      </c>
      <c r="M3237" s="7">
        <v>2793.3</v>
      </c>
      <c r="N3237" s="7">
        <v>442838300</v>
      </c>
      <c r="O3237" s="7">
        <v>265940754</v>
      </c>
      <c r="P3237" s="7">
        <v>0</v>
      </c>
      <c r="Q3237" s="7" t="str">
        <f t="shared" si="1139"/>
        <v>都市整備部</v>
      </c>
      <c r="R3237" s="7" t="str">
        <f t="shared" si="1137"/>
        <v>住宅建築局住宅経営室</v>
      </c>
    </row>
    <row r="3238" spans="1:18" s="1" customFormat="1" x14ac:dyDescent="0.45">
      <c r="A3238" s="7" t="str">
        <f t="shared" si="1140"/>
        <v>09940003431</v>
      </c>
      <c r="B3238" s="7" t="str">
        <f t="shared" si="1141"/>
        <v>藤井寺道明寺</v>
      </c>
      <c r="C3238" s="7" t="str">
        <f t="shared" si="1138"/>
        <v>行政財産</v>
      </c>
      <c r="D3238" s="7" t="str">
        <f t="shared" si="1124"/>
        <v>公営住宅</v>
      </c>
      <c r="E3238" s="7" t="str">
        <f t="shared" si="1142"/>
        <v>大阪府藤井寺市道明寺６丁目</v>
      </c>
      <c r="F3238" s="7"/>
      <c r="G3238" s="7" t="str">
        <f t="shared" si="1136"/>
        <v>事業用資産</v>
      </c>
      <c r="H3238" s="7" t="str">
        <f t="shared" si="1126"/>
        <v>棚卸以外</v>
      </c>
      <c r="I3238" s="7">
        <v>10</v>
      </c>
      <c r="J3238" s="7" t="str">
        <f>"集会所"</f>
        <v>集会所</v>
      </c>
      <c r="K3238" s="7" t="str">
        <f t="shared" si="1143"/>
        <v>鉄筋コンクリート造</v>
      </c>
      <c r="L3238" s="7" t="str">
        <f>"H06.12.07"</f>
        <v>H06.12.07</v>
      </c>
      <c r="M3238" s="7">
        <v>99.81</v>
      </c>
      <c r="N3238" s="7">
        <v>28337000</v>
      </c>
      <c r="O3238" s="7">
        <v>17032377</v>
      </c>
      <c r="P3238" s="7">
        <v>0</v>
      </c>
      <c r="Q3238" s="7" t="str">
        <f t="shared" si="1139"/>
        <v>都市整備部</v>
      </c>
      <c r="R3238" s="7" t="str">
        <f t="shared" si="1137"/>
        <v>住宅建築局住宅経営室</v>
      </c>
    </row>
    <row r="3239" spans="1:18" s="1" customFormat="1" x14ac:dyDescent="0.45">
      <c r="A3239" s="7" t="str">
        <f t="shared" si="1140"/>
        <v>09940003431</v>
      </c>
      <c r="B3239" s="7" t="str">
        <f t="shared" si="1141"/>
        <v>藤井寺道明寺</v>
      </c>
      <c r="C3239" s="7" t="str">
        <f t="shared" si="1138"/>
        <v>行政財産</v>
      </c>
      <c r="D3239" s="7" t="str">
        <f t="shared" si="1124"/>
        <v>公営住宅</v>
      </c>
      <c r="E3239" s="7" t="str">
        <f t="shared" si="1142"/>
        <v>大阪府藤井寺市道明寺６丁目</v>
      </c>
      <c r="F3239" s="7"/>
      <c r="G3239" s="7" t="str">
        <f t="shared" si="1136"/>
        <v>事業用資産</v>
      </c>
      <c r="H3239" s="7" t="str">
        <f t="shared" si="1126"/>
        <v>棚卸以外</v>
      </c>
      <c r="I3239" s="7">
        <v>11</v>
      </c>
      <c r="J3239" s="7" t="str">
        <f>"８号棟"</f>
        <v>８号棟</v>
      </c>
      <c r="K3239" s="7" t="str">
        <f t="shared" si="1143"/>
        <v>鉄筋コンクリート造</v>
      </c>
      <c r="L3239" s="7" t="str">
        <f>"H10.07.31"</f>
        <v>H10.07.31</v>
      </c>
      <c r="M3239" s="7">
        <v>5424.96</v>
      </c>
      <c r="N3239" s="7">
        <v>1027932000</v>
      </c>
      <c r="O3239" s="7">
        <v>539482200</v>
      </c>
      <c r="P3239" s="7">
        <v>0</v>
      </c>
      <c r="Q3239" s="7" t="str">
        <f t="shared" si="1139"/>
        <v>都市整備部</v>
      </c>
      <c r="R3239" s="7" t="str">
        <f t="shared" si="1137"/>
        <v>住宅建築局住宅経営室</v>
      </c>
    </row>
    <row r="3240" spans="1:18" s="1" customFormat="1" x14ac:dyDescent="0.45">
      <c r="A3240" s="7" t="str">
        <f t="shared" ref="A3240:A3246" si="1144">"09940003435"</f>
        <v>09940003435</v>
      </c>
      <c r="B3240" s="7" t="str">
        <f t="shared" ref="B3240:B3246" si="1145">"堺大美野"</f>
        <v>堺大美野</v>
      </c>
      <c r="C3240" s="7" t="str">
        <f t="shared" si="1138"/>
        <v>行政財産</v>
      </c>
      <c r="D3240" s="7" t="str">
        <f t="shared" si="1124"/>
        <v>公営住宅</v>
      </c>
      <c r="E3240" s="7" t="str">
        <f t="shared" ref="E3240:E3246" si="1146">"大阪府堺市　東区大美野"</f>
        <v>大阪府堺市　東区大美野</v>
      </c>
      <c r="F3240" s="7"/>
      <c r="G3240" s="7" t="str">
        <f t="shared" si="1136"/>
        <v>事業用資産</v>
      </c>
      <c r="H3240" s="7" t="str">
        <f t="shared" si="1126"/>
        <v>棚卸以外</v>
      </c>
      <c r="I3240" s="7">
        <v>1</v>
      </c>
      <c r="J3240" s="7" t="str">
        <f>"１号棟"</f>
        <v>１号棟</v>
      </c>
      <c r="K3240" s="7" t="str">
        <f t="shared" si="1143"/>
        <v>鉄筋コンクリート造</v>
      </c>
      <c r="L3240" s="7" t="str">
        <f t="shared" ref="L3240:L3252" si="1147">"H04.04.01"</f>
        <v>H04.04.01</v>
      </c>
      <c r="M3240" s="7">
        <v>2191.15</v>
      </c>
      <c r="N3240" s="7">
        <v>328268000</v>
      </c>
      <c r="O3240" s="7">
        <v>215935356</v>
      </c>
      <c r="P3240" s="7">
        <v>0</v>
      </c>
      <c r="Q3240" s="7" t="str">
        <f t="shared" si="1139"/>
        <v>都市整備部</v>
      </c>
      <c r="R3240" s="7" t="str">
        <f t="shared" si="1137"/>
        <v>住宅建築局住宅経営室</v>
      </c>
    </row>
    <row r="3241" spans="1:18" s="1" customFormat="1" x14ac:dyDescent="0.45">
      <c r="A3241" s="7" t="str">
        <f t="shared" si="1144"/>
        <v>09940003435</v>
      </c>
      <c r="B3241" s="7" t="str">
        <f t="shared" si="1145"/>
        <v>堺大美野</v>
      </c>
      <c r="C3241" s="7" t="str">
        <f t="shared" si="1138"/>
        <v>行政財産</v>
      </c>
      <c r="D3241" s="7" t="str">
        <f t="shared" si="1124"/>
        <v>公営住宅</v>
      </c>
      <c r="E3241" s="7" t="str">
        <f t="shared" si="1146"/>
        <v>大阪府堺市　東区大美野</v>
      </c>
      <c r="F3241" s="7"/>
      <c r="G3241" s="7" t="str">
        <f t="shared" si="1136"/>
        <v>事業用資産</v>
      </c>
      <c r="H3241" s="7" t="str">
        <f t="shared" si="1126"/>
        <v>棚卸以外</v>
      </c>
      <c r="I3241" s="7">
        <v>2</v>
      </c>
      <c r="J3241" s="7" t="str">
        <f>"２号棟"</f>
        <v>２号棟</v>
      </c>
      <c r="K3241" s="7" t="str">
        <f t="shared" si="1143"/>
        <v>鉄筋コンクリート造</v>
      </c>
      <c r="L3241" s="7" t="str">
        <f t="shared" si="1147"/>
        <v>H04.04.01</v>
      </c>
      <c r="M3241" s="7">
        <v>2248.5</v>
      </c>
      <c r="N3241" s="7">
        <v>333997000</v>
      </c>
      <c r="O3241" s="7">
        <v>219703974</v>
      </c>
      <c r="P3241" s="7">
        <v>0</v>
      </c>
      <c r="Q3241" s="7" t="str">
        <f t="shared" si="1139"/>
        <v>都市整備部</v>
      </c>
      <c r="R3241" s="7" t="str">
        <f t="shared" si="1137"/>
        <v>住宅建築局住宅経営室</v>
      </c>
    </row>
    <row r="3242" spans="1:18" s="1" customFormat="1" x14ac:dyDescent="0.45">
      <c r="A3242" s="7" t="str">
        <f t="shared" si="1144"/>
        <v>09940003435</v>
      </c>
      <c r="B3242" s="7" t="str">
        <f t="shared" si="1145"/>
        <v>堺大美野</v>
      </c>
      <c r="C3242" s="7" t="str">
        <f t="shared" si="1138"/>
        <v>行政財産</v>
      </c>
      <c r="D3242" s="7" t="str">
        <f t="shared" si="1124"/>
        <v>公営住宅</v>
      </c>
      <c r="E3242" s="7" t="str">
        <f t="shared" si="1146"/>
        <v>大阪府堺市　東区大美野</v>
      </c>
      <c r="F3242" s="7"/>
      <c r="G3242" s="7" t="str">
        <f t="shared" si="1136"/>
        <v>事業用資産</v>
      </c>
      <c r="H3242" s="7" t="str">
        <f t="shared" si="1126"/>
        <v>棚卸以外</v>
      </c>
      <c r="I3242" s="7">
        <v>3</v>
      </c>
      <c r="J3242" s="7" t="str">
        <f>"３号棟"</f>
        <v>３号棟</v>
      </c>
      <c r="K3242" s="7" t="str">
        <f t="shared" si="1143"/>
        <v>鉄筋コンクリート造</v>
      </c>
      <c r="L3242" s="7" t="str">
        <f t="shared" si="1147"/>
        <v>H04.04.01</v>
      </c>
      <c r="M3242" s="7">
        <v>2335.12</v>
      </c>
      <c r="N3242" s="7">
        <v>347084166</v>
      </c>
      <c r="O3242" s="7">
        <v>227957982</v>
      </c>
      <c r="P3242" s="7">
        <v>0</v>
      </c>
      <c r="Q3242" s="7" t="str">
        <f t="shared" si="1139"/>
        <v>都市整備部</v>
      </c>
      <c r="R3242" s="7" t="str">
        <f t="shared" si="1137"/>
        <v>住宅建築局住宅経営室</v>
      </c>
    </row>
    <row r="3243" spans="1:18" s="1" customFormat="1" x14ac:dyDescent="0.45">
      <c r="A3243" s="7" t="str">
        <f t="shared" si="1144"/>
        <v>09940003435</v>
      </c>
      <c r="B3243" s="7" t="str">
        <f t="shared" si="1145"/>
        <v>堺大美野</v>
      </c>
      <c r="C3243" s="7" t="str">
        <f t="shared" si="1138"/>
        <v>行政財産</v>
      </c>
      <c r="D3243" s="7" t="str">
        <f t="shared" si="1124"/>
        <v>公営住宅</v>
      </c>
      <c r="E3243" s="7" t="str">
        <f t="shared" si="1146"/>
        <v>大阪府堺市　東区大美野</v>
      </c>
      <c r="F3243" s="7"/>
      <c r="G3243" s="7" t="str">
        <f t="shared" si="1136"/>
        <v>事業用資産</v>
      </c>
      <c r="H3243" s="7" t="str">
        <f t="shared" si="1126"/>
        <v>棚卸以外</v>
      </c>
      <c r="I3243" s="7">
        <v>4</v>
      </c>
      <c r="J3243" s="7" t="str">
        <f>"４号棟"</f>
        <v>４号棟</v>
      </c>
      <c r="K3243" s="7" t="str">
        <f t="shared" si="1143"/>
        <v>鉄筋コンクリート造</v>
      </c>
      <c r="L3243" s="7" t="str">
        <f t="shared" si="1147"/>
        <v>H04.04.01</v>
      </c>
      <c r="M3243" s="7">
        <v>1167.98</v>
      </c>
      <c r="N3243" s="7">
        <v>177606583</v>
      </c>
      <c r="O3243" s="7">
        <v>115378676</v>
      </c>
      <c r="P3243" s="7">
        <v>0</v>
      </c>
      <c r="Q3243" s="7" t="str">
        <f t="shared" si="1139"/>
        <v>都市整備部</v>
      </c>
      <c r="R3243" s="7" t="str">
        <f t="shared" si="1137"/>
        <v>住宅建築局住宅経営室</v>
      </c>
    </row>
    <row r="3244" spans="1:18" s="1" customFormat="1" x14ac:dyDescent="0.45">
      <c r="A3244" s="7" t="str">
        <f t="shared" si="1144"/>
        <v>09940003435</v>
      </c>
      <c r="B3244" s="7" t="str">
        <f t="shared" si="1145"/>
        <v>堺大美野</v>
      </c>
      <c r="C3244" s="7" t="str">
        <f t="shared" si="1138"/>
        <v>行政財産</v>
      </c>
      <c r="D3244" s="7" t="str">
        <f t="shared" si="1124"/>
        <v>公営住宅</v>
      </c>
      <c r="E3244" s="7" t="str">
        <f t="shared" si="1146"/>
        <v>大阪府堺市　東区大美野</v>
      </c>
      <c r="F3244" s="7"/>
      <c r="G3244" s="7" t="str">
        <f t="shared" si="1136"/>
        <v>事業用資産</v>
      </c>
      <c r="H3244" s="7" t="str">
        <f t="shared" si="1126"/>
        <v>棚卸以外</v>
      </c>
      <c r="I3244" s="7">
        <v>5</v>
      </c>
      <c r="J3244" s="7" t="str">
        <f>"受水槽"</f>
        <v>受水槽</v>
      </c>
      <c r="K3244" s="7" t="str">
        <f t="shared" si="1143"/>
        <v>鉄筋コンクリート造</v>
      </c>
      <c r="L3244" s="7" t="str">
        <f t="shared" si="1147"/>
        <v>H04.04.01</v>
      </c>
      <c r="M3244" s="7">
        <v>65.61</v>
      </c>
      <c r="N3244" s="7">
        <v>22850000</v>
      </c>
      <c r="O3244" s="7">
        <v>15031065</v>
      </c>
      <c r="P3244" s="7">
        <v>0</v>
      </c>
      <c r="Q3244" s="7" t="str">
        <f t="shared" si="1139"/>
        <v>都市整備部</v>
      </c>
      <c r="R3244" s="7" t="str">
        <f t="shared" si="1137"/>
        <v>住宅建築局住宅経営室</v>
      </c>
    </row>
    <row r="3245" spans="1:18" s="1" customFormat="1" x14ac:dyDescent="0.45">
      <c r="A3245" s="7" t="str">
        <f t="shared" si="1144"/>
        <v>09940003435</v>
      </c>
      <c r="B3245" s="7" t="str">
        <f t="shared" si="1145"/>
        <v>堺大美野</v>
      </c>
      <c r="C3245" s="7" t="str">
        <f t="shared" si="1138"/>
        <v>行政財産</v>
      </c>
      <c r="D3245" s="7" t="str">
        <f t="shared" si="1124"/>
        <v>公営住宅</v>
      </c>
      <c r="E3245" s="7" t="str">
        <f t="shared" si="1146"/>
        <v>大阪府堺市　東区大美野</v>
      </c>
      <c r="F3245" s="7"/>
      <c r="G3245" s="7" t="str">
        <f t="shared" si="1136"/>
        <v>事業用資産</v>
      </c>
      <c r="H3245" s="7" t="str">
        <f t="shared" si="1126"/>
        <v>棚卸以外</v>
      </c>
      <c r="I3245" s="7">
        <v>6</v>
      </c>
      <c r="J3245" s="7" t="str">
        <f>"集会所"</f>
        <v>集会所</v>
      </c>
      <c r="K3245" s="7" t="str">
        <f t="shared" si="1143"/>
        <v>鉄筋コンクリート造</v>
      </c>
      <c r="L3245" s="7" t="str">
        <f t="shared" si="1147"/>
        <v>H04.04.01</v>
      </c>
      <c r="M3245" s="7">
        <v>69.98</v>
      </c>
      <c r="N3245" s="7">
        <v>18188000</v>
      </c>
      <c r="O3245" s="7">
        <v>11964379</v>
      </c>
      <c r="P3245" s="7">
        <v>0</v>
      </c>
      <c r="Q3245" s="7" t="str">
        <f t="shared" si="1139"/>
        <v>都市整備部</v>
      </c>
      <c r="R3245" s="7" t="str">
        <f t="shared" si="1137"/>
        <v>住宅建築局住宅経営室</v>
      </c>
    </row>
    <row r="3246" spans="1:18" s="1" customFormat="1" x14ac:dyDescent="0.45">
      <c r="A3246" s="7" t="str">
        <f t="shared" si="1144"/>
        <v>09940003435</v>
      </c>
      <c r="B3246" s="7" t="str">
        <f t="shared" si="1145"/>
        <v>堺大美野</v>
      </c>
      <c r="C3246" s="7" t="str">
        <f t="shared" si="1138"/>
        <v>行政財産</v>
      </c>
      <c r="D3246" s="7" t="str">
        <f t="shared" si="1124"/>
        <v>公営住宅</v>
      </c>
      <c r="E3246" s="7" t="str">
        <f t="shared" si="1146"/>
        <v>大阪府堺市　東区大美野</v>
      </c>
      <c r="F3246" s="7"/>
      <c r="G3246" s="7" t="str">
        <f t="shared" si="1136"/>
        <v>事業用資産</v>
      </c>
      <c r="H3246" s="7" t="str">
        <f t="shared" si="1126"/>
        <v>棚卸以外</v>
      </c>
      <c r="I3246" s="7">
        <v>7</v>
      </c>
      <c r="J3246" s="7" t="str">
        <f>"浄化槽"</f>
        <v>浄化槽</v>
      </c>
      <c r="K3246" s="7" t="str">
        <f t="shared" si="1143"/>
        <v>鉄筋コンクリート造</v>
      </c>
      <c r="L3246" s="7" t="str">
        <f t="shared" si="1147"/>
        <v>H04.04.01</v>
      </c>
      <c r="M3246" s="7">
        <v>101.71</v>
      </c>
      <c r="N3246" s="7">
        <v>89870000</v>
      </c>
      <c r="O3246" s="7">
        <v>59116624</v>
      </c>
      <c r="P3246" s="7">
        <v>0</v>
      </c>
      <c r="Q3246" s="7" t="str">
        <f t="shared" si="1139"/>
        <v>都市整備部</v>
      </c>
      <c r="R3246" s="7" t="str">
        <f t="shared" si="1137"/>
        <v>住宅建築局住宅経営室</v>
      </c>
    </row>
    <row r="3247" spans="1:18" s="1" customFormat="1" x14ac:dyDescent="0.45">
      <c r="A3247" s="7" t="str">
        <f t="shared" ref="A3247:A3258" si="1148">"09940003437"</f>
        <v>09940003437</v>
      </c>
      <c r="B3247" s="7" t="str">
        <f t="shared" ref="B3247:B3258" si="1149">"堺東陶器"</f>
        <v>堺東陶器</v>
      </c>
      <c r="C3247" s="7" t="str">
        <f t="shared" si="1138"/>
        <v>行政財産</v>
      </c>
      <c r="D3247" s="7" t="str">
        <f t="shared" si="1124"/>
        <v>公営住宅</v>
      </c>
      <c r="E3247" s="7" t="str">
        <f t="shared" ref="E3247:E3258" si="1150">"大阪府堺市　中区福田"</f>
        <v>大阪府堺市　中区福田</v>
      </c>
      <c r="F3247" s="7"/>
      <c r="G3247" s="7" t="str">
        <f t="shared" si="1136"/>
        <v>事業用資産</v>
      </c>
      <c r="H3247" s="7" t="str">
        <f t="shared" si="1126"/>
        <v>棚卸以外</v>
      </c>
      <c r="I3247" s="7">
        <v>1</v>
      </c>
      <c r="J3247" s="7" t="str">
        <f>"１号棟"</f>
        <v>１号棟</v>
      </c>
      <c r="K3247" s="7" t="str">
        <f t="shared" si="1143"/>
        <v>鉄筋コンクリート造</v>
      </c>
      <c r="L3247" s="7" t="str">
        <f t="shared" si="1147"/>
        <v>H04.04.01</v>
      </c>
      <c r="M3247" s="7">
        <v>1064.3800000000001</v>
      </c>
      <c r="N3247" s="7">
        <v>174995000</v>
      </c>
      <c r="O3247" s="7">
        <v>115112025</v>
      </c>
      <c r="P3247" s="7">
        <v>0</v>
      </c>
      <c r="Q3247" s="7" t="str">
        <f t="shared" si="1139"/>
        <v>都市整備部</v>
      </c>
      <c r="R3247" s="7" t="str">
        <f t="shared" si="1137"/>
        <v>住宅建築局住宅経営室</v>
      </c>
    </row>
    <row r="3248" spans="1:18" s="1" customFormat="1" x14ac:dyDescent="0.45">
      <c r="A3248" s="7" t="str">
        <f t="shared" si="1148"/>
        <v>09940003437</v>
      </c>
      <c r="B3248" s="7" t="str">
        <f t="shared" si="1149"/>
        <v>堺東陶器</v>
      </c>
      <c r="C3248" s="7" t="str">
        <f t="shared" si="1138"/>
        <v>行政財産</v>
      </c>
      <c r="D3248" s="7" t="str">
        <f t="shared" si="1124"/>
        <v>公営住宅</v>
      </c>
      <c r="E3248" s="7" t="str">
        <f t="shared" si="1150"/>
        <v>大阪府堺市　中区福田</v>
      </c>
      <c r="F3248" s="7"/>
      <c r="G3248" s="7" t="str">
        <f t="shared" si="1136"/>
        <v>事業用資産</v>
      </c>
      <c r="H3248" s="7" t="str">
        <f t="shared" si="1126"/>
        <v>棚卸以外</v>
      </c>
      <c r="I3248" s="7">
        <v>2</v>
      </c>
      <c r="J3248" s="7" t="str">
        <f>"２号棟"</f>
        <v>２号棟</v>
      </c>
      <c r="K3248" s="7" t="str">
        <f t="shared" si="1143"/>
        <v>鉄筋コンクリート造</v>
      </c>
      <c r="L3248" s="7" t="str">
        <f t="shared" si="1147"/>
        <v>H04.04.01</v>
      </c>
      <c r="M3248" s="7">
        <v>1097.68</v>
      </c>
      <c r="N3248" s="7">
        <v>175957000</v>
      </c>
      <c r="O3248" s="7">
        <v>115744951</v>
      </c>
      <c r="P3248" s="7">
        <v>0</v>
      </c>
      <c r="Q3248" s="7" t="str">
        <f t="shared" si="1139"/>
        <v>都市整備部</v>
      </c>
      <c r="R3248" s="7" t="str">
        <f t="shared" si="1137"/>
        <v>住宅建築局住宅経営室</v>
      </c>
    </row>
    <row r="3249" spans="1:18" s="1" customFormat="1" x14ac:dyDescent="0.45">
      <c r="A3249" s="7" t="str">
        <f t="shared" si="1148"/>
        <v>09940003437</v>
      </c>
      <c r="B3249" s="7" t="str">
        <f t="shared" si="1149"/>
        <v>堺東陶器</v>
      </c>
      <c r="C3249" s="7" t="str">
        <f t="shared" si="1138"/>
        <v>行政財産</v>
      </c>
      <c r="D3249" s="7" t="str">
        <f t="shared" si="1124"/>
        <v>公営住宅</v>
      </c>
      <c r="E3249" s="7" t="str">
        <f t="shared" si="1150"/>
        <v>大阪府堺市　中区福田</v>
      </c>
      <c r="F3249" s="7"/>
      <c r="G3249" s="7" t="str">
        <f t="shared" si="1136"/>
        <v>事業用資産</v>
      </c>
      <c r="H3249" s="7" t="str">
        <f t="shared" si="1126"/>
        <v>棚卸以外</v>
      </c>
      <c r="I3249" s="7">
        <v>3</v>
      </c>
      <c r="J3249" s="7" t="str">
        <f>"３号棟"</f>
        <v>３号棟</v>
      </c>
      <c r="K3249" s="7" t="str">
        <f t="shared" si="1143"/>
        <v>鉄筋コンクリート造</v>
      </c>
      <c r="L3249" s="7" t="str">
        <f t="shared" si="1147"/>
        <v>H04.04.01</v>
      </c>
      <c r="M3249" s="7">
        <v>1659.28</v>
      </c>
      <c r="N3249" s="7">
        <v>271761583</v>
      </c>
      <c r="O3249" s="7">
        <v>178587899</v>
      </c>
      <c r="P3249" s="7">
        <v>0</v>
      </c>
      <c r="Q3249" s="7" t="str">
        <f t="shared" si="1139"/>
        <v>都市整備部</v>
      </c>
      <c r="R3249" s="7" t="str">
        <f t="shared" si="1137"/>
        <v>住宅建築局住宅経営室</v>
      </c>
    </row>
    <row r="3250" spans="1:18" s="1" customFormat="1" x14ac:dyDescent="0.45">
      <c r="A3250" s="7" t="str">
        <f t="shared" si="1148"/>
        <v>09940003437</v>
      </c>
      <c r="B3250" s="7" t="str">
        <f t="shared" si="1149"/>
        <v>堺東陶器</v>
      </c>
      <c r="C3250" s="7" t="str">
        <f t="shared" si="1138"/>
        <v>行政財産</v>
      </c>
      <c r="D3250" s="7" t="str">
        <f t="shared" ref="D3250:D3313" si="1151">"公営住宅"</f>
        <v>公営住宅</v>
      </c>
      <c r="E3250" s="7" t="str">
        <f t="shared" si="1150"/>
        <v>大阪府堺市　中区福田</v>
      </c>
      <c r="F3250" s="7"/>
      <c r="G3250" s="7" t="str">
        <f t="shared" si="1136"/>
        <v>事業用資産</v>
      </c>
      <c r="H3250" s="7" t="str">
        <f t="shared" si="1126"/>
        <v>棚卸以外</v>
      </c>
      <c r="I3250" s="7">
        <v>4</v>
      </c>
      <c r="J3250" s="7" t="str">
        <f>"４号棟"</f>
        <v>４号棟</v>
      </c>
      <c r="K3250" s="7" t="str">
        <f t="shared" si="1143"/>
        <v>鉄筋コンクリート造</v>
      </c>
      <c r="L3250" s="7" t="str">
        <f t="shared" si="1147"/>
        <v>H04.04.01</v>
      </c>
      <c r="M3250" s="7">
        <v>1630.28</v>
      </c>
      <c r="N3250" s="7">
        <v>264003000</v>
      </c>
      <c r="O3250" s="7">
        <v>173661761</v>
      </c>
      <c r="P3250" s="7">
        <v>0</v>
      </c>
      <c r="Q3250" s="7" t="str">
        <f t="shared" si="1139"/>
        <v>都市整備部</v>
      </c>
      <c r="R3250" s="7" t="str">
        <f t="shared" si="1137"/>
        <v>住宅建築局住宅経営室</v>
      </c>
    </row>
    <row r="3251" spans="1:18" s="1" customFormat="1" x14ac:dyDescent="0.45">
      <c r="A3251" s="7" t="str">
        <f t="shared" si="1148"/>
        <v>09940003437</v>
      </c>
      <c r="B3251" s="7" t="str">
        <f t="shared" si="1149"/>
        <v>堺東陶器</v>
      </c>
      <c r="C3251" s="7" t="str">
        <f t="shared" si="1138"/>
        <v>行政財産</v>
      </c>
      <c r="D3251" s="7" t="str">
        <f t="shared" si="1151"/>
        <v>公営住宅</v>
      </c>
      <c r="E3251" s="7" t="str">
        <f t="shared" si="1150"/>
        <v>大阪府堺市　中区福田</v>
      </c>
      <c r="F3251" s="7"/>
      <c r="G3251" s="7" t="str">
        <f t="shared" si="1136"/>
        <v>事業用資産</v>
      </c>
      <c r="H3251" s="7" t="str">
        <f t="shared" si="1126"/>
        <v>棚卸以外</v>
      </c>
      <c r="I3251" s="7">
        <v>5</v>
      </c>
      <c r="J3251" s="7" t="str">
        <f>"集会所"</f>
        <v>集会所</v>
      </c>
      <c r="K3251" s="7" t="str">
        <f t="shared" si="1143"/>
        <v>鉄筋コンクリート造</v>
      </c>
      <c r="L3251" s="7" t="str">
        <f t="shared" si="1147"/>
        <v>H04.04.01</v>
      </c>
      <c r="M3251" s="7">
        <v>200.52</v>
      </c>
      <c r="N3251" s="7">
        <v>42517000</v>
      </c>
      <c r="O3251" s="7">
        <v>27967835</v>
      </c>
      <c r="P3251" s="7">
        <v>0</v>
      </c>
      <c r="Q3251" s="7" t="str">
        <f t="shared" si="1139"/>
        <v>都市整備部</v>
      </c>
      <c r="R3251" s="7" t="str">
        <f t="shared" si="1137"/>
        <v>住宅建築局住宅経営室</v>
      </c>
    </row>
    <row r="3252" spans="1:18" s="1" customFormat="1" x14ac:dyDescent="0.45">
      <c r="A3252" s="7" t="str">
        <f t="shared" si="1148"/>
        <v>09940003437</v>
      </c>
      <c r="B3252" s="7" t="str">
        <f t="shared" si="1149"/>
        <v>堺東陶器</v>
      </c>
      <c r="C3252" s="7" t="str">
        <f t="shared" si="1138"/>
        <v>行政財産</v>
      </c>
      <c r="D3252" s="7" t="str">
        <f t="shared" si="1151"/>
        <v>公営住宅</v>
      </c>
      <c r="E3252" s="7" t="str">
        <f t="shared" si="1150"/>
        <v>大阪府堺市　中区福田</v>
      </c>
      <c r="F3252" s="7"/>
      <c r="G3252" s="7" t="str">
        <f t="shared" si="1136"/>
        <v>事業用資産</v>
      </c>
      <c r="H3252" s="7" t="str">
        <f t="shared" si="1126"/>
        <v>棚卸以外</v>
      </c>
      <c r="I3252" s="7">
        <v>6</v>
      </c>
      <c r="J3252" s="7" t="str">
        <f>"浄化槽・受水槽"</f>
        <v>浄化槽・受水槽</v>
      </c>
      <c r="K3252" s="7" t="str">
        <f t="shared" si="1143"/>
        <v>鉄筋コンクリート造</v>
      </c>
      <c r="L3252" s="7" t="str">
        <f t="shared" si="1147"/>
        <v>H04.04.01</v>
      </c>
      <c r="M3252" s="7">
        <v>162.47</v>
      </c>
      <c r="N3252" s="7">
        <v>116777000</v>
      </c>
      <c r="O3252" s="7">
        <v>76816292</v>
      </c>
      <c r="P3252" s="7">
        <v>0</v>
      </c>
      <c r="Q3252" s="7" t="str">
        <f t="shared" si="1139"/>
        <v>都市整備部</v>
      </c>
      <c r="R3252" s="7" t="str">
        <f t="shared" si="1137"/>
        <v>住宅建築局住宅経営室</v>
      </c>
    </row>
    <row r="3253" spans="1:18" s="1" customFormat="1" x14ac:dyDescent="0.45">
      <c r="A3253" s="7" t="str">
        <f t="shared" si="1148"/>
        <v>09940003437</v>
      </c>
      <c r="B3253" s="7" t="str">
        <f t="shared" si="1149"/>
        <v>堺東陶器</v>
      </c>
      <c r="C3253" s="7" t="str">
        <f t="shared" si="1138"/>
        <v>行政財産</v>
      </c>
      <c r="D3253" s="7" t="str">
        <f t="shared" si="1151"/>
        <v>公営住宅</v>
      </c>
      <c r="E3253" s="7" t="str">
        <f t="shared" si="1150"/>
        <v>大阪府堺市　中区福田</v>
      </c>
      <c r="F3253" s="7"/>
      <c r="G3253" s="7" t="str">
        <f t="shared" si="1136"/>
        <v>事業用資産</v>
      </c>
      <c r="H3253" s="7" t="str">
        <f t="shared" si="1126"/>
        <v>棚卸以外</v>
      </c>
      <c r="I3253" s="7">
        <v>7</v>
      </c>
      <c r="J3253" s="7" t="str">
        <f>"５号棟"</f>
        <v>５号棟</v>
      </c>
      <c r="K3253" s="7" t="str">
        <f t="shared" si="1143"/>
        <v>鉄筋コンクリート造</v>
      </c>
      <c r="L3253" s="7" t="str">
        <f t="shared" ref="L3253:L3258" si="1152">"H06.03.04"</f>
        <v>H06.03.04</v>
      </c>
      <c r="M3253" s="7">
        <v>1104.06</v>
      </c>
      <c r="N3253" s="7">
        <v>188242000</v>
      </c>
      <c r="O3253" s="7">
        <v>116149524</v>
      </c>
      <c r="P3253" s="7">
        <v>0</v>
      </c>
      <c r="Q3253" s="7" t="str">
        <f t="shared" si="1139"/>
        <v>都市整備部</v>
      </c>
      <c r="R3253" s="7" t="str">
        <f t="shared" si="1137"/>
        <v>住宅建築局住宅経営室</v>
      </c>
    </row>
    <row r="3254" spans="1:18" s="1" customFormat="1" x14ac:dyDescent="0.45">
      <c r="A3254" s="7" t="str">
        <f t="shared" si="1148"/>
        <v>09940003437</v>
      </c>
      <c r="B3254" s="7" t="str">
        <f t="shared" si="1149"/>
        <v>堺東陶器</v>
      </c>
      <c r="C3254" s="7" t="str">
        <f t="shared" si="1138"/>
        <v>行政財産</v>
      </c>
      <c r="D3254" s="7" t="str">
        <f t="shared" si="1151"/>
        <v>公営住宅</v>
      </c>
      <c r="E3254" s="7" t="str">
        <f t="shared" si="1150"/>
        <v>大阪府堺市　中区福田</v>
      </c>
      <c r="F3254" s="7"/>
      <c r="G3254" s="7" t="str">
        <f t="shared" si="1136"/>
        <v>事業用資産</v>
      </c>
      <c r="H3254" s="7" t="str">
        <f t="shared" si="1126"/>
        <v>棚卸以外</v>
      </c>
      <c r="I3254" s="7">
        <v>8</v>
      </c>
      <c r="J3254" s="7" t="str">
        <f>"６号棟"</f>
        <v>６号棟</v>
      </c>
      <c r="K3254" s="7" t="str">
        <f t="shared" si="1143"/>
        <v>鉄筋コンクリート造</v>
      </c>
      <c r="L3254" s="7" t="str">
        <f t="shared" si="1152"/>
        <v>H06.03.04</v>
      </c>
      <c r="M3254" s="7">
        <v>1104.06</v>
      </c>
      <c r="N3254" s="7">
        <v>190231583</v>
      </c>
      <c r="O3254" s="7">
        <v>117210924</v>
      </c>
      <c r="P3254" s="7">
        <v>0</v>
      </c>
      <c r="Q3254" s="7" t="str">
        <f t="shared" si="1139"/>
        <v>都市整備部</v>
      </c>
      <c r="R3254" s="7" t="str">
        <f t="shared" si="1137"/>
        <v>住宅建築局住宅経営室</v>
      </c>
    </row>
    <row r="3255" spans="1:18" s="1" customFormat="1" x14ac:dyDescent="0.45">
      <c r="A3255" s="7" t="str">
        <f t="shared" si="1148"/>
        <v>09940003437</v>
      </c>
      <c r="B3255" s="7" t="str">
        <f t="shared" si="1149"/>
        <v>堺東陶器</v>
      </c>
      <c r="C3255" s="7" t="str">
        <f t="shared" si="1138"/>
        <v>行政財産</v>
      </c>
      <c r="D3255" s="7" t="str">
        <f t="shared" si="1151"/>
        <v>公営住宅</v>
      </c>
      <c r="E3255" s="7" t="str">
        <f t="shared" si="1150"/>
        <v>大阪府堺市　中区福田</v>
      </c>
      <c r="F3255" s="7"/>
      <c r="G3255" s="7" t="str">
        <f t="shared" si="1136"/>
        <v>事業用資産</v>
      </c>
      <c r="H3255" s="7" t="str">
        <f t="shared" si="1126"/>
        <v>棚卸以外</v>
      </c>
      <c r="I3255" s="7">
        <v>9</v>
      </c>
      <c r="J3255" s="7" t="str">
        <f>"７号棟"</f>
        <v>７号棟</v>
      </c>
      <c r="K3255" s="7" t="str">
        <f t="shared" si="1143"/>
        <v>鉄筋コンクリート造</v>
      </c>
      <c r="L3255" s="7" t="str">
        <f t="shared" si="1152"/>
        <v>H06.03.04</v>
      </c>
      <c r="M3255" s="7">
        <v>1104.06</v>
      </c>
      <c r="N3255" s="7">
        <v>172098000</v>
      </c>
      <c r="O3255" s="7">
        <v>106188372</v>
      </c>
      <c r="P3255" s="7">
        <v>0</v>
      </c>
      <c r="Q3255" s="7" t="str">
        <f t="shared" si="1139"/>
        <v>都市整備部</v>
      </c>
      <c r="R3255" s="7" t="str">
        <f t="shared" si="1137"/>
        <v>住宅建築局住宅経営室</v>
      </c>
    </row>
    <row r="3256" spans="1:18" s="1" customFormat="1" x14ac:dyDescent="0.45">
      <c r="A3256" s="7" t="str">
        <f t="shared" si="1148"/>
        <v>09940003437</v>
      </c>
      <c r="B3256" s="7" t="str">
        <f t="shared" si="1149"/>
        <v>堺東陶器</v>
      </c>
      <c r="C3256" s="7" t="str">
        <f t="shared" si="1138"/>
        <v>行政財産</v>
      </c>
      <c r="D3256" s="7" t="str">
        <f t="shared" si="1151"/>
        <v>公営住宅</v>
      </c>
      <c r="E3256" s="7" t="str">
        <f t="shared" si="1150"/>
        <v>大阪府堺市　中区福田</v>
      </c>
      <c r="F3256" s="7"/>
      <c r="G3256" s="7" t="str">
        <f t="shared" si="1136"/>
        <v>事業用資産</v>
      </c>
      <c r="H3256" s="7" t="str">
        <f t="shared" si="1126"/>
        <v>棚卸以外</v>
      </c>
      <c r="I3256" s="7">
        <v>10</v>
      </c>
      <c r="J3256" s="7" t="str">
        <f>"８号棟"</f>
        <v>８号棟</v>
      </c>
      <c r="K3256" s="7" t="str">
        <f t="shared" si="1143"/>
        <v>鉄筋コンクリート造</v>
      </c>
      <c r="L3256" s="7" t="str">
        <f t="shared" si="1152"/>
        <v>H06.03.04</v>
      </c>
      <c r="M3256" s="7">
        <v>1623.09</v>
      </c>
      <c r="N3256" s="7">
        <v>250753166</v>
      </c>
      <c r="O3256" s="7">
        <v>154387416</v>
      </c>
      <c r="P3256" s="7">
        <v>0</v>
      </c>
      <c r="Q3256" s="7" t="str">
        <f t="shared" si="1139"/>
        <v>都市整備部</v>
      </c>
      <c r="R3256" s="7" t="str">
        <f t="shared" si="1137"/>
        <v>住宅建築局住宅経営室</v>
      </c>
    </row>
    <row r="3257" spans="1:18" s="1" customFormat="1" x14ac:dyDescent="0.45">
      <c r="A3257" s="7" t="str">
        <f t="shared" si="1148"/>
        <v>09940003437</v>
      </c>
      <c r="B3257" s="7" t="str">
        <f t="shared" si="1149"/>
        <v>堺東陶器</v>
      </c>
      <c r="C3257" s="7" t="str">
        <f t="shared" si="1138"/>
        <v>行政財産</v>
      </c>
      <c r="D3257" s="7" t="str">
        <f t="shared" si="1151"/>
        <v>公営住宅</v>
      </c>
      <c r="E3257" s="7" t="str">
        <f t="shared" si="1150"/>
        <v>大阪府堺市　中区福田</v>
      </c>
      <c r="F3257" s="7"/>
      <c r="G3257" s="7" t="str">
        <f t="shared" si="1136"/>
        <v>事業用資産</v>
      </c>
      <c r="H3257" s="7" t="str">
        <f t="shared" si="1126"/>
        <v>棚卸以外</v>
      </c>
      <c r="I3257" s="7">
        <v>11</v>
      </c>
      <c r="J3257" s="7" t="str">
        <f>"９号棟"</f>
        <v>９号棟</v>
      </c>
      <c r="K3257" s="7" t="str">
        <f t="shared" si="1143"/>
        <v>鉄筋コンクリート造</v>
      </c>
      <c r="L3257" s="7" t="str">
        <f t="shared" si="1152"/>
        <v>H06.03.04</v>
      </c>
      <c r="M3257" s="7">
        <v>1722.57</v>
      </c>
      <c r="N3257" s="7">
        <v>288197000</v>
      </c>
      <c r="O3257" s="7">
        <v>177823824</v>
      </c>
      <c r="P3257" s="7">
        <v>0</v>
      </c>
      <c r="Q3257" s="7" t="str">
        <f t="shared" si="1139"/>
        <v>都市整備部</v>
      </c>
      <c r="R3257" s="7" t="str">
        <f t="shared" si="1137"/>
        <v>住宅建築局住宅経営室</v>
      </c>
    </row>
    <row r="3258" spans="1:18" s="1" customFormat="1" x14ac:dyDescent="0.45">
      <c r="A3258" s="7" t="str">
        <f t="shared" si="1148"/>
        <v>09940003437</v>
      </c>
      <c r="B3258" s="7" t="str">
        <f t="shared" si="1149"/>
        <v>堺東陶器</v>
      </c>
      <c r="C3258" s="7" t="str">
        <f t="shared" si="1138"/>
        <v>行政財産</v>
      </c>
      <c r="D3258" s="7" t="str">
        <f t="shared" si="1151"/>
        <v>公営住宅</v>
      </c>
      <c r="E3258" s="7" t="str">
        <f t="shared" si="1150"/>
        <v>大阪府堺市　中区福田</v>
      </c>
      <c r="F3258" s="7"/>
      <c r="G3258" s="7" t="str">
        <f t="shared" si="1136"/>
        <v>事業用資産</v>
      </c>
      <c r="H3258" s="7" t="str">
        <f t="shared" si="1126"/>
        <v>棚卸以外</v>
      </c>
      <c r="I3258" s="7">
        <v>12</v>
      </c>
      <c r="J3258" s="7" t="str">
        <f>"受水槽"</f>
        <v>受水槽</v>
      </c>
      <c r="K3258" s="7" t="str">
        <f t="shared" si="1143"/>
        <v>鉄筋コンクリート造</v>
      </c>
      <c r="L3258" s="7" t="str">
        <f t="shared" si="1152"/>
        <v>H06.03.04</v>
      </c>
      <c r="M3258" s="7">
        <v>40</v>
      </c>
      <c r="N3258" s="7">
        <v>24102000</v>
      </c>
      <c r="O3258" s="7">
        <v>14871780</v>
      </c>
      <c r="P3258" s="7">
        <v>0</v>
      </c>
      <c r="Q3258" s="7" t="str">
        <f t="shared" si="1139"/>
        <v>都市整備部</v>
      </c>
      <c r="R3258" s="7" t="str">
        <f t="shared" si="1137"/>
        <v>住宅建築局住宅経営室</v>
      </c>
    </row>
    <row r="3259" spans="1:18" s="1" customFormat="1" x14ac:dyDescent="0.45">
      <c r="A3259" s="7" t="str">
        <f t="shared" ref="A3259:A3284" si="1153">"09940003438"</f>
        <v>09940003438</v>
      </c>
      <c r="B3259" s="7" t="str">
        <f t="shared" ref="B3259:B3284" si="1154">"城山台２丁"</f>
        <v>城山台２丁</v>
      </c>
      <c r="C3259" s="7" t="str">
        <f t="shared" si="1138"/>
        <v>行政財産</v>
      </c>
      <c r="D3259" s="7" t="str">
        <f t="shared" si="1151"/>
        <v>公営住宅</v>
      </c>
      <c r="E3259" s="7" t="str">
        <f t="shared" ref="E3259:E3284" si="1155">"大阪府堺市　南区城山台２丁"</f>
        <v>大阪府堺市　南区城山台２丁</v>
      </c>
      <c r="F3259" s="7"/>
      <c r="G3259" s="7" t="str">
        <f t="shared" si="1136"/>
        <v>事業用資産</v>
      </c>
      <c r="H3259" s="7" t="str">
        <f t="shared" si="1126"/>
        <v>棚卸以外</v>
      </c>
      <c r="I3259" s="7">
        <v>1</v>
      </c>
      <c r="J3259" s="7" t="str">
        <f>"２２号棟"</f>
        <v>２２号棟</v>
      </c>
      <c r="K3259" s="7" t="str">
        <f t="shared" si="1143"/>
        <v>鉄筋コンクリート造</v>
      </c>
      <c r="L3259" s="7" t="str">
        <f t="shared" ref="L3259:L3272" si="1156">"S52.12.07"</f>
        <v>S52.12.07</v>
      </c>
      <c r="M3259" s="7">
        <v>1926.2</v>
      </c>
      <c r="N3259" s="7">
        <v>132146000</v>
      </c>
      <c r="O3259" s="7">
        <v>127225986</v>
      </c>
      <c r="P3259" s="7">
        <v>0</v>
      </c>
      <c r="Q3259" s="7" t="str">
        <f t="shared" si="1139"/>
        <v>都市整備部</v>
      </c>
      <c r="R3259" s="7" t="str">
        <f t="shared" si="1137"/>
        <v>住宅建築局住宅経営室</v>
      </c>
    </row>
    <row r="3260" spans="1:18" s="1" customFormat="1" x14ac:dyDescent="0.45">
      <c r="A3260" s="7" t="str">
        <f t="shared" si="1153"/>
        <v>09940003438</v>
      </c>
      <c r="B3260" s="7" t="str">
        <f t="shared" si="1154"/>
        <v>城山台２丁</v>
      </c>
      <c r="C3260" s="7" t="str">
        <f t="shared" si="1138"/>
        <v>行政財産</v>
      </c>
      <c r="D3260" s="7" t="str">
        <f t="shared" si="1151"/>
        <v>公営住宅</v>
      </c>
      <c r="E3260" s="7" t="str">
        <f t="shared" si="1155"/>
        <v>大阪府堺市　南区城山台２丁</v>
      </c>
      <c r="F3260" s="7"/>
      <c r="G3260" s="7" t="str">
        <f t="shared" si="1136"/>
        <v>事業用資産</v>
      </c>
      <c r="H3260" s="7" t="str">
        <f t="shared" si="1126"/>
        <v>棚卸以外</v>
      </c>
      <c r="I3260" s="7">
        <v>2</v>
      </c>
      <c r="J3260" s="7" t="str">
        <f>"２３号棟"</f>
        <v>２３号棟</v>
      </c>
      <c r="K3260" s="7" t="str">
        <f t="shared" si="1143"/>
        <v>鉄筋コンクリート造</v>
      </c>
      <c r="L3260" s="7" t="str">
        <f t="shared" si="1156"/>
        <v>S52.12.07</v>
      </c>
      <c r="M3260" s="7">
        <v>1926.2</v>
      </c>
      <c r="N3260" s="7">
        <v>132146000</v>
      </c>
      <c r="O3260" s="7">
        <v>127225986</v>
      </c>
      <c r="P3260" s="7">
        <v>0</v>
      </c>
      <c r="Q3260" s="7" t="str">
        <f t="shared" si="1139"/>
        <v>都市整備部</v>
      </c>
      <c r="R3260" s="7" t="str">
        <f t="shared" si="1137"/>
        <v>住宅建築局住宅経営室</v>
      </c>
    </row>
    <row r="3261" spans="1:18" s="1" customFormat="1" x14ac:dyDescent="0.45">
      <c r="A3261" s="7" t="str">
        <f t="shared" si="1153"/>
        <v>09940003438</v>
      </c>
      <c r="B3261" s="7" t="str">
        <f t="shared" si="1154"/>
        <v>城山台２丁</v>
      </c>
      <c r="C3261" s="7" t="str">
        <f t="shared" si="1138"/>
        <v>行政財産</v>
      </c>
      <c r="D3261" s="7" t="str">
        <f t="shared" si="1151"/>
        <v>公営住宅</v>
      </c>
      <c r="E3261" s="7" t="str">
        <f t="shared" si="1155"/>
        <v>大阪府堺市　南区城山台２丁</v>
      </c>
      <c r="F3261" s="7"/>
      <c r="G3261" s="7" t="str">
        <f t="shared" si="1136"/>
        <v>事業用資産</v>
      </c>
      <c r="H3261" s="7" t="str">
        <f t="shared" si="1126"/>
        <v>棚卸以外</v>
      </c>
      <c r="I3261" s="7">
        <v>3</v>
      </c>
      <c r="J3261" s="7" t="str">
        <f>"２４号棟"</f>
        <v>２４号棟</v>
      </c>
      <c r="K3261" s="7" t="str">
        <f t="shared" ref="K3261:K3292" si="1157">"鉄筋コンクリート造"</f>
        <v>鉄筋コンクリート造</v>
      </c>
      <c r="L3261" s="7" t="str">
        <f t="shared" si="1156"/>
        <v>S52.12.07</v>
      </c>
      <c r="M3261" s="7">
        <v>1926.2</v>
      </c>
      <c r="N3261" s="7">
        <v>132146000</v>
      </c>
      <c r="O3261" s="7">
        <v>127225986</v>
      </c>
      <c r="P3261" s="7">
        <v>0</v>
      </c>
      <c r="Q3261" s="7" t="str">
        <f t="shared" si="1139"/>
        <v>都市整備部</v>
      </c>
      <c r="R3261" s="7" t="str">
        <f t="shared" si="1137"/>
        <v>住宅建築局住宅経営室</v>
      </c>
    </row>
    <row r="3262" spans="1:18" s="1" customFormat="1" x14ac:dyDescent="0.45">
      <c r="A3262" s="7" t="str">
        <f t="shared" si="1153"/>
        <v>09940003438</v>
      </c>
      <c r="B3262" s="7" t="str">
        <f t="shared" si="1154"/>
        <v>城山台２丁</v>
      </c>
      <c r="C3262" s="7" t="str">
        <f t="shared" si="1138"/>
        <v>行政財産</v>
      </c>
      <c r="D3262" s="7" t="str">
        <f t="shared" si="1151"/>
        <v>公営住宅</v>
      </c>
      <c r="E3262" s="7" t="str">
        <f t="shared" si="1155"/>
        <v>大阪府堺市　南区城山台２丁</v>
      </c>
      <c r="F3262" s="7"/>
      <c r="G3262" s="7" t="str">
        <f t="shared" si="1136"/>
        <v>事業用資産</v>
      </c>
      <c r="H3262" s="7" t="str">
        <f t="shared" si="1126"/>
        <v>棚卸以外</v>
      </c>
      <c r="I3262" s="7">
        <v>4</v>
      </c>
      <c r="J3262" s="7" t="str">
        <f>"１１号棟"</f>
        <v>１１号棟</v>
      </c>
      <c r="K3262" s="7" t="str">
        <f t="shared" si="1157"/>
        <v>鉄筋コンクリート造</v>
      </c>
      <c r="L3262" s="7" t="str">
        <f t="shared" si="1156"/>
        <v>S52.12.07</v>
      </c>
      <c r="M3262" s="7">
        <v>1939.73</v>
      </c>
      <c r="N3262" s="7">
        <v>136332000</v>
      </c>
      <c r="O3262" s="7">
        <v>131256132</v>
      </c>
      <c r="P3262" s="7">
        <v>0</v>
      </c>
      <c r="Q3262" s="7" t="str">
        <f t="shared" si="1139"/>
        <v>都市整備部</v>
      </c>
      <c r="R3262" s="7" t="str">
        <f t="shared" si="1137"/>
        <v>住宅建築局住宅経営室</v>
      </c>
    </row>
    <row r="3263" spans="1:18" s="1" customFormat="1" x14ac:dyDescent="0.45">
      <c r="A3263" s="7" t="str">
        <f t="shared" si="1153"/>
        <v>09940003438</v>
      </c>
      <c r="B3263" s="7" t="str">
        <f t="shared" si="1154"/>
        <v>城山台２丁</v>
      </c>
      <c r="C3263" s="7" t="str">
        <f t="shared" si="1138"/>
        <v>行政財産</v>
      </c>
      <c r="D3263" s="7" t="str">
        <f t="shared" si="1151"/>
        <v>公営住宅</v>
      </c>
      <c r="E3263" s="7" t="str">
        <f t="shared" si="1155"/>
        <v>大阪府堺市　南区城山台２丁</v>
      </c>
      <c r="F3263" s="7"/>
      <c r="G3263" s="7" t="str">
        <f t="shared" si="1136"/>
        <v>事業用資産</v>
      </c>
      <c r="H3263" s="7" t="str">
        <f t="shared" si="1126"/>
        <v>棚卸以外</v>
      </c>
      <c r="I3263" s="7">
        <v>5</v>
      </c>
      <c r="J3263" s="7" t="str">
        <f>"１３号棟"</f>
        <v>１３号棟</v>
      </c>
      <c r="K3263" s="7" t="str">
        <f t="shared" si="1157"/>
        <v>鉄筋コンクリート造</v>
      </c>
      <c r="L3263" s="7" t="str">
        <f t="shared" si="1156"/>
        <v>S52.12.07</v>
      </c>
      <c r="M3263" s="7">
        <v>1939.73</v>
      </c>
      <c r="N3263" s="7">
        <v>136332000</v>
      </c>
      <c r="O3263" s="7">
        <v>131256132</v>
      </c>
      <c r="P3263" s="7">
        <v>0</v>
      </c>
      <c r="Q3263" s="7" t="str">
        <f t="shared" si="1139"/>
        <v>都市整備部</v>
      </c>
      <c r="R3263" s="7" t="str">
        <f t="shared" si="1137"/>
        <v>住宅建築局住宅経営室</v>
      </c>
    </row>
    <row r="3264" spans="1:18" s="1" customFormat="1" x14ac:dyDescent="0.45">
      <c r="A3264" s="7" t="str">
        <f t="shared" si="1153"/>
        <v>09940003438</v>
      </c>
      <c r="B3264" s="7" t="str">
        <f t="shared" si="1154"/>
        <v>城山台２丁</v>
      </c>
      <c r="C3264" s="7" t="str">
        <f t="shared" si="1138"/>
        <v>行政財産</v>
      </c>
      <c r="D3264" s="7" t="str">
        <f t="shared" si="1151"/>
        <v>公営住宅</v>
      </c>
      <c r="E3264" s="7" t="str">
        <f t="shared" si="1155"/>
        <v>大阪府堺市　南区城山台２丁</v>
      </c>
      <c r="F3264" s="7"/>
      <c r="G3264" s="7" t="str">
        <f t="shared" si="1136"/>
        <v>事業用資産</v>
      </c>
      <c r="H3264" s="7" t="str">
        <f t="shared" si="1126"/>
        <v>棚卸以外</v>
      </c>
      <c r="I3264" s="7">
        <v>6</v>
      </c>
      <c r="J3264" s="7" t="str">
        <f>"１５号棟"</f>
        <v>１５号棟</v>
      </c>
      <c r="K3264" s="7" t="str">
        <f t="shared" si="1157"/>
        <v>鉄筋コンクリート造</v>
      </c>
      <c r="L3264" s="7" t="str">
        <f t="shared" si="1156"/>
        <v>S52.12.07</v>
      </c>
      <c r="M3264" s="7">
        <v>1939.73</v>
      </c>
      <c r="N3264" s="7">
        <v>136332000</v>
      </c>
      <c r="O3264" s="7">
        <v>131256132</v>
      </c>
      <c r="P3264" s="7">
        <v>0</v>
      </c>
      <c r="Q3264" s="7" t="str">
        <f t="shared" si="1139"/>
        <v>都市整備部</v>
      </c>
      <c r="R3264" s="7" t="str">
        <f t="shared" si="1137"/>
        <v>住宅建築局住宅経営室</v>
      </c>
    </row>
    <row r="3265" spans="1:18" s="1" customFormat="1" x14ac:dyDescent="0.45">
      <c r="A3265" s="7" t="str">
        <f t="shared" si="1153"/>
        <v>09940003438</v>
      </c>
      <c r="B3265" s="7" t="str">
        <f t="shared" si="1154"/>
        <v>城山台２丁</v>
      </c>
      <c r="C3265" s="7" t="str">
        <f t="shared" si="1138"/>
        <v>行政財産</v>
      </c>
      <c r="D3265" s="7" t="str">
        <f t="shared" si="1151"/>
        <v>公営住宅</v>
      </c>
      <c r="E3265" s="7" t="str">
        <f t="shared" si="1155"/>
        <v>大阪府堺市　南区城山台２丁</v>
      </c>
      <c r="F3265" s="7"/>
      <c r="G3265" s="7" t="str">
        <f t="shared" si="1136"/>
        <v>事業用資産</v>
      </c>
      <c r="H3265" s="7" t="str">
        <f t="shared" si="1126"/>
        <v>棚卸以外</v>
      </c>
      <c r="I3265" s="7">
        <v>7</v>
      </c>
      <c r="J3265" s="7" t="str">
        <f>"１６号棟"</f>
        <v>１６号棟</v>
      </c>
      <c r="K3265" s="7" t="str">
        <f t="shared" si="1157"/>
        <v>鉄筋コンクリート造</v>
      </c>
      <c r="L3265" s="7" t="str">
        <f t="shared" si="1156"/>
        <v>S52.12.07</v>
      </c>
      <c r="M3265" s="7">
        <v>1939.73</v>
      </c>
      <c r="N3265" s="7">
        <v>136332000</v>
      </c>
      <c r="O3265" s="7">
        <v>131256132</v>
      </c>
      <c r="P3265" s="7">
        <v>0</v>
      </c>
      <c r="Q3265" s="7" t="str">
        <f t="shared" si="1139"/>
        <v>都市整備部</v>
      </c>
      <c r="R3265" s="7" t="str">
        <f t="shared" si="1137"/>
        <v>住宅建築局住宅経営室</v>
      </c>
    </row>
    <row r="3266" spans="1:18" s="1" customFormat="1" x14ac:dyDescent="0.45">
      <c r="A3266" s="7" t="str">
        <f t="shared" si="1153"/>
        <v>09940003438</v>
      </c>
      <c r="B3266" s="7" t="str">
        <f t="shared" si="1154"/>
        <v>城山台２丁</v>
      </c>
      <c r="C3266" s="7" t="str">
        <f t="shared" si="1138"/>
        <v>行政財産</v>
      </c>
      <c r="D3266" s="7" t="str">
        <f t="shared" si="1151"/>
        <v>公営住宅</v>
      </c>
      <c r="E3266" s="7" t="str">
        <f t="shared" si="1155"/>
        <v>大阪府堺市　南区城山台２丁</v>
      </c>
      <c r="F3266" s="7"/>
      <c r="G3266" s="7" t="str">
        <f t="shared" si="1136"/>
        <v>事業用資産</v>
      </c>
      <c r="H3266" s="7" t="str">
        <f t="shared" si="1126"/>
        <v>棚卸以外</v>
      </c>
      <c r="I3266" s="7">
        <v>8</v>
      </c>
      <c r="J3266" s="7" t="str">
        <f>"１９号棟"</f>
        <v>１９号棟</v>
      </c>
      <c r="K3266" s="7" t="str">
        <f t="shared" si="1157"/>
        <v>鉄筋コンクリート造</v>
      </c>
      <c r="L3266" s="7" t="str">
        <f t="shared" si="1156"/>
        <v>S52.12.07</v>
      </c>
      <c r="M3266" s="7">
        <v>1939.73</v>
      </c>
      <c r="N3266" s="7">
        <v>136332000</v>
      </c>
      <c r="O3266" s="7">
        <v>131256132</v>
      </c>
      <c r="P3266" s="7">
        <v>0</v>
      </c>
      <c r="Q3266" s="7" t="str">
        <f t="shared" si="1139"/>
        <v>都市整備部</v>
      </c>
      <c r="R3266" s="7" t="str">
        <f t="shared" si="1137"/>
        <v>住宅建築局住宅経営室</v>
      </c>
    </row>
    <row r="3267" spans="1:18" s="1" customFormat="1" x14ac:dyDescent="0.45">
      <c r="A3267" s="7" t="str">
        <f t="shared" si="1153"/>
        <v>09940003438</v>
      </c>
      <c r="B3267" s="7" t="str">
        <f t="shared" si="1154"/>
        <v>城山台２丁</v>
      </c>
      <c r="C3267" s="7" t="str">
        <f t="shared" si="1138"/>
        <v>行政財産</v>
      </c>
      <c r="D3267" s="7" t="str">
        <f t="shared" si="1151"/>
        <v>公営住宅</v>
      </c>
      <c r="E3267" s="7" t="str">
        <f t="shared" si="1155"/>
        <v>大阪府堺市　南区城山台２丁</v>
      </c>
      <c r="F3267" s="7"/>
      <c r="G3267" s="7" t="str">
        <f t="shared" si="1136"/>
        <v>事業用資産</v>
      </c>
      <c r="H3267" s="7" t="str">
        <f t="shared" si="1126"/>
        <v>棚卸以外</v>
      </c>
      <c r="I3267" s="7">
        <v>9</v>
      </c>
      <c r="J3267" s="7" t="str">
        <f>"２０号棟"</f>
        <v>２０号棟</v>
      </c>
      <c r="K3267" s="7" t="str">
        <f t="shared" si="1157"/>
        <v>鉄筋コンクリート造</v>
      </c>
      <c r="L3267" s="7" t="str">
        <f t="shared" si="1156"/>
        <v>S52.12.07</v>
      </c>
      <c r="M3267" s="7">
        <v>1939.73</v>
      </c>
      <c r="N3267" s="7">
        <v>136332000</v>
      </c>
      <c r="O3267" s="7">
        <v>131256132</v>
      </c>
      <c r="P3267" s="7">
        <v>0</v>
      </c>
      <c r="Q3267" s="7" t="str">
        <f t="shared" si="1139"/>
        <v>都市整備部</v>
      </c>
      <c r="R3267" s="7" t="str">
        <f t="shared" si="1137"/>
        <v>住宅建築局住宅経営室</v>
      </c>
    </row>
    <row r="3268" spans="1:18" s="1" customFormat="1" x14ac:dyDescent="0.45">
      <c r="A3268" s="7" t="str">
        <f t="shared" si="1153"/>
        <v>09940003438</v>
      </c>
      <c r="B3268" s="7" t="str">
        <f t="shared" si="1154"/>
        <v>城山台２丁</v>
      </c>
      <c r="C3268" s="7" t="str">
        <f t="shared" si="1138"/>
        <v>行政財産</v>
      </c>
      <c r="D3268" s="7" t="str">
        <f t="shared" si="1151"/>
        <v>公営住宅</v>
      </c>
      <c r="E3268" s="7" t="str">
        <f t="shared" si="1155"/>
        <v>大阪府堺市　南区城山台２丁</v>
      </c>
      <c r="F3268" s="7"/>
      <c r="G3268" s="7" t="str">
        <f t="shared" si="1136"/>
        <v>事業用資産</v>
      </c>
      <c r="H3268" s="7" t="str">
        <f t="shared" ref="H3268:H3331" si="1158">"棚卸以外"</f>
        <v>棚卸以外</v>
      </c>
      <c r="I3268" s="7">
        <v>10</v>
      </c>
      <c r="J3268" s="7" t="str">
        <f>"１２号棟"</f>
        <v>１２号棟</v>
      </c>
      <c r="K3268" s="7" t="str">
        <f t="shared" si="1157"/>
        <v>鉄筋コンクリート造</v>
      </c>
      <c r="L3268" s="7" t="str">
        <f t="shared" si="1156"/>
        <v>S52.12.07</v>
      </c>
      <c r="M3268" s="7">
        <v>1293.1600000000001</v>
      </c>
      <c r="N3268" s="7">
        <v>92268000</v>
      </c>
      <c r="O3268" s="7">
        <v>88832628</v>
      </c>
      <c r="P3268" s="7">
        <v>0</v>
      </c>
      <c r="Q3268" s="7" t="str">
        <f t="shared" si="1139"/>
        <v>都市整備部</v>
      </c>
      <c r="R3268" s="7" t="str">
        <f t="shared" si="1137"/>
        <v>住宅建築局住宅経営室</v>
      </c>
    </row>
    <row r="3269" spans="1:18" s="1" customFormat="1" x14ac:dyDescent="0.45">
      <c r="A3269" s="7" t="str">
        <f t="shared" si="1153"/>
        <v>09940003438</v>
      </c>
      <c r="B3269" s="7" t="str">
        <f t="shared" si="1154"/>
        <v>城山台２丁</v>
      </c>
      <c r="C3269" s="7" t="str">
        <f t="shared" si="1138"/>
        <v>行政財産</v>
      </c>
      <c r="D3269" s="7" t="str">
        <f t="shared" si="1151"/>
        <v>公営住宅</v>
      </c>
      <c r="E3269" s="7" t="str">
        <f t="shared" si="1155"/>
        <v>大阪府堺市　南区城山台２丁</v>
      </c>
      <c r="F3269" s="7"/>
      <c r="G3269" s="7" t="str">
        <f t="shared" si="1136"/>
        <v>事業用資産</v>
      </c>
      <c r="H3269" s="7" t="str">
        <f t="shared" si="1158"/>
        <v>棚卸以外</v>
      </c>
      <c r="I3269" s="7">
        <v>11</v>
      </c>
      <c r="J3269" s="7" t="str">
        <f>"１４号棟"</f>
        <v>１４号棟</v>
      </c>
      <c r="K3269" s="7" t="str">
        <f t="shared" si="1157"/>
        <v>鉄筋コンクリート造</v>
      </c>
      <c r="L3269" s="7" t="str">
        <f t="shared" si="1156"/>
        <v>S52.12.07</v>
      </c>
      <c r="M3269" s="7">
        <v>1293.1600000000001</v>
      </c>
      <c r="N3269" s="7">
        <v>92268000</v>
      </c>
      <c r="O3269" s="7">
        <v>88832628</v>
      </c>
      <c r="P3269" s="7">
        <v>0</v>
      </c>
      <c r="Q3269" s="7" t="str">
        <f t="shared" si="1139"/>
        <v>都市整備部</v>
      </c>
      <c r="R3269" s="7" t="str">
        <f t="shared" si="1137"/>
        <v>住宅建築局住宅経営室</v>
      </c>
    </row>
    <row r="3270" spans="1:18" s="1" customFormat="1" x14ac:dyDescent="0.45">
      <c r="A3270" s="7" t="str">
        <f t="shared" si="1153"/>
        <v>09940003438</v>
      </c>
      <c r="B3270" s="7" t="str">
        <f t="shared" si="1154"/>
        <v>城山台２丁</v>
      </c>
      <c r="C3270" s="7" t="str">
        <f t="shared" si="1138"/>
        <v>行政財産</v>
      </c>
      <c r="D3270" s="7" t="str">
        <f t="shared" si="1151"/>
        <v>公営住宅</v>
      </c>
      <c r="E3270" s="7" t="str">
        <f t="shared" si="1155"/>
        <v>大阪府堺市　南区城山台２丁</v>
      </c>
      <c r="F3270" s="7"/>
      <c r="G3270" s="7" t="str">
        <f t="shared" si="1136"/>
        <v>事業用資産</v>
      </c>
      <c r="H3270" s="7" t="str">
        <f t="shared" si="1158"/>
        <v>棚卸以外</v>
      </c>
      <c r="I3270" s="7">
        <v>12</v>
      </c>
      <c r="J3270" s="7" t="str">
        <f>"２１号棟"</f>
        <v>２１号棟</v>
      </c>
      <c r="K3270" s="7" t="str">
        <f t="shared" si="1157"/>
        <v>鉄筋コンクリート造</v>
      </c>
      <c r="L3270" s="7" t="str">
        <f t="shared" si="1156"/>
        <v>S52.12.07</v>
      </c>
      <c r="M3270" s="7">
        <v>1293.1600000000001</v>
      </c>
      <c r="N3270" s="7">
        <v>92268000</v>
      </c>
      <c r="O3270" s="7">
        <v>88832628</v>
      </c>
      <c r="P3270" s="7">
        <v>0</v>
      </c>
      <c r="Q3270" s="7" t="str">
        <f t="shared" si="1139"/>
        <v>都市整備部</v>
      </c>
      <c r="R3270" s="7" t="str">
        <f t="shared" si="1137"/>
        <v>住宅建築局住宅経営室</v>
      </c>
    </row>
    <row r="3271" spans="1:18" s="1" customFormat="1" x14ac:dyDescent="0.45">
      <c r="A3271" s="7" t="str">
        <f t="shared" si="1153"/>
        <v>09940003438</v>
      </c>
      <c r="B3271" s="7" t="str">
        <f t="shared" si="1154"/>
        <v>城山台２丁</v>
      </c>
      <c r="C3271" s="7" t="str">
        <f t="shared" si="1138"/>
        <v>行政財産</v>
      </c>
      <c r="D3271" s="7" t="str">
        <f t="shared" si="1151"/>
        <v>公営住宅</v>
      </c>
      <c r="E3271" s="7" t="str">
        <f t="shared" si="1155"/>
        <v>大阪府堺市　南区城山台２丁</v>
      </c>
      <c r="F3271" s="7"/>
      <c r="G3271" s="7" t="str">
        <f t="shared" si="1136"/>
        <v>事業用資産</v>
      </c>
      <c r="H3271" s="7" t="str">
        <f t="shared" si="1158"/>
        <v>棚卸以外</v>
      </c>
      <c r="I3271" s="7">
        <v>13</v>
      </c>
      <c r="J3271" s="7" t="str">
        <f>"１８号棟"</f>
        <v>１８号棟</v>
      </c>
      <c r="K3271" s="7" t="str">
        <f t="shared" si="1157"/>
        <v>鉄筋コンクリート造</v>
      </c>
      <c r="L3271" s="7" t="str">
        <f t="shared" si="1156"/>
        <v>S52.12.07</v>
      </c>
      <c r="M3271" s="7">
        <v>1181.92</v>
      </c>
      <c r="N3271" s="7">
        <v>97497000</v>
      </c>
      <c r="O3271" s="7">
        <v>93867324</v>
      </c>
      <c r="P3271" s="7">
        <v>0</v>
      </c>
      <c r="Q3271" s="7" t="str">
        <f t="shared" si="1139"/>
        <v>都市整備部</v>
      </c>
      <c r="R3271" s="7" t="str">
        <f t="shared" si="1137"/>
        <v>住宅建築局住宅経営室</v>
      </c>
    </row>
    <row r="3272" spans="1:18" s="1" customFormat="1" x14ac:dyDescent="0.45">
      <c r="A3272" s="7" t="str">
        <f t="shared" si="1153"/>
        <v>09940003438</v>
      </c>
      <c r="B3272" s="7" t="str">
        <f t="shared" si="1154"/>
        <v>城山台２丁</v>
      </c>
      <c r="C3272" s="7" t="str">
        <f t="shared" si="1138"/>
        <v>行政財産</v>
      </c>
      <c r="D3272" s="7" t="str">
        <f t="shared" si="1151"/>
        <v>公営住宅</v>
      </c>
      <c r="E3272" s="7" t="str">
        <f t="shared" si="1155"/>
        <v>大阪府堺市　南区城山台２丁</v>
      </c>
      <c r="F3272" s="7"/>
      <c r="G3272" s="7" t="str">
        <f t="shared" si="1136"/>
        <v>事業用資産</v>
      </c>
      <c r="H3272" s="7" t="str">
        <f t="shared" si="1158"/>
        <v>棚卸以外</v>
      </c>
      <c r="I3272" s="7">
        <v>14</v>
      </c>
      <c r="J3272" s="7" t="str">
        <f>"集会所"</f>
        <v>集会所</v>
      </c>
      <c r="K3272" s="7" t="str">
        <f t="shared" si="1157"/>
        <v>鉄筋コンクリート造</v>
      </c>
      <c r="L3272" s="7" t="str">
        <f t="shared" si="1156"/>
        <v>S52.12.07</v>
      </c>
      <c r="M3272" s="7">
        <v>128.33000000000001</v>
      </c>
      <c r="N3272" s="7">
        <v>21767201</v>
      </c>
      <c r="O3272" s="7">
        <v>14511348</v>
      </c>
      <c r="P3272" s="7">
        <v>0</v>
      </c>
      <c r="Q3272" s="7" t="str">
        <f t="shared" si="1139"/>
        <v>都市整備部</v>
      </c>
      <c r="R3272" s="7" t="str">
        <f t="shared" si="1137"/>
        <v>住宅建築局住宅経営室</v>
      </c>
    </row>
    <row r="3273" spans="1:18" s="1" customFormat="1" x14ac:dyDescent="0.45">
      <c r="A3273" s="7" t="str">
        <f t="shared" si="1153"/>
        <v>09940003438</v>
      </c>
      <c r="B3273" s="7" t="str">
        <f t="shared" si="1154"/>
        <v>城山台２丁</v>
      </c>
      <c r="C3273" s="7" t="str">
        <f t="shared" si="1138"/>
        <v>行政財産</v>
      </c>
      <c r="D3273" s="7" t="str">
        <f t="shared" si="1151"/>
        <v>公営住宅</v>
      </c>
      <c r="E3273" s="7" t="str">
        <f t="shared" si="1155"/>
        <v>大阪府堺市　南区城山台２丁</v>
      </c>
      <c r="F3273" s="7"/>
      <c r="G3273" s="7" t="str">
        <f t="shared" si="1136"/>
        <v>事業用資産</v>
      </c>
      <c r="H3273" s="7" t="str">
        <f t="shared" si="1158"/>
        <v>棚卸以外</v>
      </c>
      <c r="I3273" s="7">
        <v>15</v>
      </c>
      <c r="J3273" s="7" t="str">
        <f>"７号棟"</f>
        <v>７号棟</v>
      </c>
      <c r="K3273" s="7" t="str">
        <f t="shared" si="1157"/>
        <v>鉄筋コンクリート造</v>
      </c>
      <c r="L3273" s="7" t="str">
        <f t="shared" ref="L3273:L3279" si="1159">"S53.08.21"</f>
        <v>S53.08.21</v>
      </c>
      <c r="M3273" s="7">
        <v>1300.5</v>
      </c>
      <c r="N3273" s="7">
        <v>107099000</v>
      </c>
      <c r="O3273" s="7">
        <v>101592220</v>
      </c>
      <c r="P3273" s="7">
        <v>0</v>
      </c>
      <c r="Q3273" s="7" t="str">
        <f t="shared" si="1139"/>
        <v>都市整備部</v>
      </c>
      <c r="R3273" s="7" t="str">
        <f t="shared" si="1137"/>
        <v>住宅建築局住宅経営室</v>
      </c>
    </row>
    <row r="3274" spans="1:18" s="1" customFormat="1" x14ac:dyDescent="0.45">
      <c r="A3274" s="7" t="str">
        <f t="shared" si="1153"/>
        <v>09940003438</v>
      </c>
      <c r="B3274" s="7" t="str">
        <f t="shared" si="1154"/>
        <v>城山台２丁</v>
      </c>
      <c r="C3274" s="7" t="str">
        <f t="shared" si="1138"/>
        <v>行政財産</v>
      </c>
      <c r="D3274" s="7" t="str">
        <f t="shared" si="1151"/>
        <v>公営住宅</v>
      </c>
      <c r="E3274" s="7" t="str">
        <f t="shared" si="1155"/>
        <v>大阪府堺市　南区城山台２丁</v>
      </c>
      <c r="F3274" s="7"/>
      <c r="G3274" s="7" t="str">
        <f t="shared" si="1136"/>
        <v>事業用資産</v>
      </c>
      <c r="H3274" s="7" t="str">
        <f t="shared" si="1158"/>
        <v>棚卸以外</v>
      </c>
      <c r="I3274" s="7">
        <v>16</v>
      </c>
      <c r="J3274" s="7" t="str">
        <f>"８号棟"</f>
        <v>８号棟</v>
      </c>
      <c r="K3274" s="7" t="str">
        <f t="shared" si="1157"/>
        <v>鉄筋コンクリート造</v>
      </c>
      <c r="L3274" s="7" t="str">
        <f t="shared" si="1159"/>
        <v>S53.08.21</v>
      </c>
      <c r="M3274" s="7">
        <v>1300.5</v>
      </c>
      <c r="N3274" s="7">
        <v>99817000</v>
      </c>
      <c r="O3274" s="7">
        <v>94684835</v>
      </c>
      <c r="P3274" s="7">
        <v>0</v>
      </c>
      <c r="Q3274" s="7" t="str">
        <f t="shared" si="1139"/>
        <v>都市整備部</v>
      </c>
      <c r="R3274" s="7" t="str">
        <f t="shared" si="1137"/>
        <v>住宅建築局住宅経営室</v>
      </c>
    </row>
    <row r="3275" spans="1:18" s="1" customFormat="1" x14ac:dyDescent="0.45">
      <c r="A3275" s="7" t="str">
        <f t="shared" si="1153"/>
        <v>09940003438</v>
      </c>
      <c r="B3275" s="7" t="str">
        <f t="shared" si="1154"/>
        <v>城山台２丁</v>
      </c>
      <c r="C3275" s="7" t="str">
        <f t="shared" si="1138"/>
        <v>行政財産</v>
      </c>
      <c r="D3275" s="7" t="str">
        <f t="shared" si="1151"/>
        <v>公営住宅</v>
      </c>
      <c r="E3275" s="7" t="str">
        <f t="shared" si="1155"/>
        <v>大阪府堺市　南区城山台２丁</v>
      </c>
      <c r="F3275" s="7"/>
      <c r="G3275" s="7" t="str">
        <f t="shared" si="1136"/>
        <v>事業用資産</v>
      </c>
      <c r="H3275" s="7" t="str">
        <f t="shared" si="1158"/>
        <v>棚卸以外</v>
      </c>
      <c r="I3275" s="7">
        <v>17</v>
      </c>
      <c r="J3275" s="7" t="str">
        <f>"６号棟"</f>
        <v>６号棟</v>
      </c>
      <c r="K3275" s="7" t="str">
        <f t="shared" si="1157"/>
        <v>鉄筋コンクリート造</v>
      </c>
      <c r="L3275" s="7" t="str">
        <f t="shared" si="1159"/>
        <v>S53.08.21</v>
      </c>
      <c r="M3275" s="7">
        <v>1951</v>
      </c>
      <c r="N3275" s="7">
        <v>156732000</v>
      </c>
      <c r="O3275" s="7">
        <v>148673290</v>
      </c>
      <c r="P3275" s="7">
        <v>0</v>
      </c>
      <c r="Q3275" s="7" t="str">
        <f t="shared" si="1139"/>
        <v>都市整備部</v>
      </c>
      <c r="R3275" s="7" t="str">
        <f t="shared" si="1137"/>
        <v>住宅建築局住宅経営室</v>
      </c>
    </row>
    <row r="3276" spans="1:18" s="1" customFormat="1" x14ac:dyDescent="0.45">
      <c r="A3276" s="7" t="str">
        <f t="shared" si="1153"/>
        <v>09940003438</v>
      </c>
      <c r="B3276" s="7" t="str">
        <f t="shared" si="1154"/>
        <v>城山台２丁</v>
      </c>
      <c r="C3276" s="7" t="str">
        <f t="shared" si="1138"/>
        <v>行政財産</v>
      </c>
      <c r="D3276" s="7" t="str">
        <f t="shared" si="1151"/>
        <v>公営住宅</v>
      </c>
      <c r="E3276" s="7" t="str">
        <f t="shared" si="1155"/>
        <v>大阪府堺市　南区城山台２丁</v>
      </c>
      <c r="F3276" s="7"/>
      <c r="G3276" s="7" t="str">
        <f t="shared" si="1136"/>
        <v>事業用資産</v>
      </c>
      <c r="H3276" s="7" t="str">
        <f t="shared" si="1158"/>
        <v>棚卸以外</v>
      </c>
      <c r="I3276" s="7">
        <v>18</v>
      </c>
      <c r="J3276" s="7" t="str">
        <f>"９号棟"</f>
        <v>９号棟</v>
      </c>
      <c r="K3276" s="7" t="str">
        <f t="shared" si="1157"/>
        <v>鉄筋コンクリート造</v>
      </c>
      <c r="L3276" s="7" t="str">
        <f t="shared" si="1159"/>
        <v>S53.08.21</v>
      </c>
      <c r="M3276" s="7">
        <v>1284.5</v>
      </c>
      <c r="N3276" s="7">
        <v>100841000</v>
      </c>
      <c r="O3276" s="7">
        <v>95656395</v>
      </c>
      <c r="P3276" s="7">
        <v>0</v>
      </c>
      <c r="Q3276" s="7" t="str">
        <f t="shared" si="1139"/>
        <v>都市整備部</v>
      </c>
      <c r="R3276" s="7" t="str">
        <f t="shared" si="1137"/>
        <v>住宅建築局住宅経営室</v>
      </c>
    </row>
    <row r="3277" spans="1:18" s="1" customFormat="1" x14ac:dyDescent="0.45">
      <c r="A3277" s="7" t="str">
        <f t="shared" si="1153"/>
        <v>09940003438</v>
      </c>
      <c r="B3277" s="7" t="str">
        <f t="shared" si="1154"/>
        <v>城山台２丁</v>
      </c>
      <c r="C3277" s="7" t="str">
        <f t="shared" si="1138"/>
        <v>行政財産</v>
      </c>
      <c r="D3277" s="7" t="str">
        <f t="shared" si="1151"/>
        <v>公営住宅</v>
      </c>
      <c r="E3277" s="7" t="str">
        <f t="shared" si="1155"/>
        <v>大阪府堺市　南区城山台２丁</v>
      </c>
      <c r="F3277" s="7"/>
      <c r="G3277" s="7" t="str">
        <f t="shared" si="1136"/>
        <v>事業用資産</v>
      </c>
      <c r="H3277" s="7" t="str">
        <f t="shared" si="1158"/>
        <v>棚卸以外</v>
      </c>
      <c r="I3277" s="7">
        <v>19</v>
      </c>
      <c r="J3277" s="7" t="str">
        <f>"２５号棟"</f>
        <v>２５号棟</v>
      </c>
      <c r="K3277" s="7" t="str">
        <f t="shared" si="1157"/>
        <v>鉄筋コンクリート造</v>
      </c>
      <c r="L3277" s="7" t="str">
        <f t="shared" si="1159"/>
        <v>S53.08.21</v>
      </c>
      <c r="M3277" s="7">
        <v>1926.2</v>
      </c>
      <c r="N3277" s="7">
        <v>152374000</v>
      </c>
      <c r="O3277" s="7">
        <v>144539345</v>
      </c>
      <c r="P3277" s="7">
        <v>0</v>
      </c>
      <c r="Q3277" s="7" t="str">
        <f t="shared" si="1139"/>
        <v>都市整備部</v>
      </c>
      <c r="R3277" s="7" t="str">
        <f t="shared" si="1137"/>
        <v>住宅建築局住宅経営室</v>
      </c>
    </row>
    <row r="3278" spans="1:18" s="1" customFormat="1" x14ac:dyDescent="0.45">
      <c r="A3278" s="7" t="str">
        <f t="shared" si="1153"/>
        <v>09940003438</v>
      </c>
      <c r="B3278" s="7" t="str">
        <f t="shared" si="1154"/>
        <v>城山台２丁</v>
      </c>
      <c r="C3278" s="7" t="str">
        <f t="shared" si="1138"/>
        <v>行政財産</v>
      </c>
      <c r="D3278" s="7" t="str">
        <f t="shared" si="1151"/>
        <v>公営住宅</v>
      </c>
      <c r="E3278" s="7" t="str">
        <f t="shared" si="1155"/>
        <v>大阪府堺市　南区城山台２丁</v>
      </c>
      <c r="F3278" s="7"/>
      <c r="G3278" s="7" t="str">
        <f t="shared" si="1136"/>
        <v>事業用資産</v>
      </c>
      <c r="H3278" s="7" t="str">
        <f t="shared" si="1158"/>
        <v>棚卸以外</v>
      </c>
      <c r="I3278" s="7">
        <v>20</v>
      </c>
      <c r="J3278" s="7" t="str">
        <f>"１０号棟"</f>
        <v>１０号棟</v>
      </c>
      <c r="K3278" s="7" t="str">
        <f t="shared" si="1157"/>
        <v>鉄筋コンクリート造</v>
      </c>
      <c r="L3278" s="7" t="str">
        <f t="shared" si="1159"/>
        <v>S53.08.21</v>
      </c>
      <c r="M3278" s="7">
        <v>1749.5</v>
      </c>
      <c r="N3278" s="7">
        <v>138639000</v>
      </c>
      <c r="O3278" s="7">
        <v>131510490</v>
      </c>
      <c r="P3278" s="7">
        <v>0</v>
      </c>
      <c r="Q3278" s="7" t="str">
        <f t="shared" si="1139"/>
        <v>都市整備部</v>
      </c>
      <c r="R3278" s="7" t="str">
        <f t="shared" si="1137"/>
        <v>住宅建築局住宅経営室</v>
      </c>
    </row>
    <row r="3279" spans="1:18" s="1" customFormat="1" x14ac:dyDescent="0.45">
      <c r="A3279" s="7" t="str">
        <f t="shared" si="1153"/>
        <v>09940003438</v>
      </c>
      <c r="B3279" s="7" t="str">
        <f t="shared" si="1154"/>
        <v>城山台２丁</v>
      </c>
      <c r="C3279" s="7" t="str">
        <f t="shared" si="1138"/>
        <v>行政財産</v>
      </c>
      <c r="D3279" s="7" t="str">
        <f t="shared" si="1151"/>
        <v>公営住宅</v>
      </c>
      <c r="E3279" s="7" t="str">
        <f t="shared" si="1155"/>
        <v>大阪府堺市　南区城山台２丁</v>
      </c>
      <c r="F3279" s="7"/>
      <c r="G3279" s="7" t="str">
        <f t="shared" si="1136"/>
        <v>事業用資産</v>
      </c>
      <c r="H3279" s="7" t="str">
        <f t="shared" si="1158"/>
        <v>棚卸以外</v>
      </c>
      <c r="I3279" s="7">
        <v>21</v>
      </c>
      <c r="J3279" s="7" t="str">
        <f>"集会所"</f>
        <v>集会所</v>
      </c>
      <c r="K3279" s="7" t="str">
        <f t="shared" si="1157"/>
        <v>鉄筋コンクリート造</v>
      </c>
      <c r="L3279" s="7" t="str">
        <f t="shared" si="1159"/>
        <v>S53.08.21</v>
      </c>
      <c r="M3279" s="7">
        <v>70</v>
      </c>
      <c r="N3279" s="7">
        <v>9028000</v>
      </c>
      <c r="O3279" s="7">
        <v>8564280</v>
      </c>
      <c r="P3279" s="7">
        <v>0</v>
      </c>
      <c r="Q3279" s="7" t="str">
        <f t="shared" si="1139"/>
        <v>都市整備部</v>
      </c>
      <c r="R3279" s="7" t="str">
        <f t="shared" si="1137"/>
        <v>住宅建築局住宅経営室</v>
      </c>
    </row>
    <row r="3280" spans="1:18" s="1" customFormat="1" x14ac:dyDescent="0.45">
      <c r="A3280" s="7" t="str">
        <f t="shared" si="1153"/>
        <v>09940003438</v>
      </c>
      <c r="B3280" s="7" t="str">
        <f t="shared" si="1154"/>
        <v>城山台２丁</v>
      </c>
      <c r="C3280" s="7" t="str">
        <f t="shared" si="1138"/>
        <v>行政財産</v>
      </c>
      <c r="D3280" s="7" t="str">
        <f t="shared" si="1151"/>
        <v>公営住宅</v>
      </c>
      <c r="E3280" s="7" t="str">
        <f t="shared" si="1155"/>
        <v>大阪府堺市　南区城山台２丁</v>
      </c>
      <c r="F3280" s="7"/>
      <c r="G3280" s="7" t="str">
        <f t="shared" si="1136"/>
        <v>事業用資産</v>
      </c>
      <c r="H3280" s="7" t="str">
        <f t="shared" si="1158"/>
        <v>棚卸以外</v>
      </c>
      <c r="I3280" s="7">
        <v>22</v>
      </c>
      <c r="J3280" s="7" t="str">
        <f>"３号棟"</f>
        <v>３号棟</v>
      </c>
      <c r="K3280" s="7" t="str">
        <f t="shared" si="1157"/>
        <v>鉄筋コンクリート造</v>
      </c>
      <c r="L3280" s="7" t="str">
        <f>"S54.03.27"</f>
        <v>S54.03.27</v>
      </c>
      <c r="M3280" s="7">
        <v>3656.23</v>
      </c>
      <c r="N3280" s="7">
        <v>381471753</v>
      </c>
      <c r="O3280" s="7">
        <v>268256850</v>
      </c>
      <c r="P3280" s="7">
        <v>0</v>
      </c>
      <c r="Q3280" s="7" t="str">
        <f t="shared" si="1139"/>
        <v>都市整備部</v>
      </c>
      <c r="R3280" s="7" t="str">
        <f t="shared" si="1137"/>
        <v>住宅建築局住宅経営室</v>
      </c>
    </row>
    <row r="3281" spans="1:18" s="1" customFormat="1" x14ac:dyDescent="0.45">
      <c r="A3281" s="7" t="str">
        <f t="shared" si="1153"/>
        <v>09940003438</v>
      </c>
      <c r="B3281" s="7" t="str">
        <f t="shared" si="1154"/>
        <v>城山台２丁</v>
      </c>
      <c r="C3281" s="7" t="str">
        <f t="shared" si="1138"/>
        <v>行政財産</v>
      </c>
      <c r="D3281" s="7" t="str">
        <f t="shared" si="1151"/>
        <v>公営住宅</v>
      </c>
      <c r="E3281" s="7" t="str">
        <f t="shared" si="1155"/>
        <v>大阪府堺市　南区城山台２丁</v>
      </c>
      <c r="F3281" s="7"/>
      <c r="G3281" s="7" t="str">
        <f t="shared" si="1136"/>
        <v>事業用資産</v>
      </c>
      <c r="H3281" s="7" t="str">
        <f t="shared" si="1158"/>
        <v>棚卸以外</v>
      </c>
      <c r="I3281" s="7">
        <v>23</v>
      </c>
      <c r="J3281" s="7" t="str">
        <f>"４号棟"</f>
        <v>４号棟</v>
      </c>
      <c r="K3281" s="7" t="str">
        <f t="shared" si="1157"/>
        <v>鉄筋コンクリート造</v>
      </c>
      <c r="L3281" s="7" t="str">
        <f>"S54.03.27"</f>
        <v>S54.03.27</v>
      </c>
      <c r="M3281" s="7">
        <v>4376.2</v>
      </c>
      <c r="N3281" s="7">
        <v>585046949</v>
      </c>
      <c r="O3281" s="7">
        <v>448795258</v>
      </c>
      <c r="P3281" s="7">
        <v>0</v>
      </c>
      <c r="Q3281" s="7" t="str">
        <f t="shared" si="1139"/>
        <v>都市整備部</v>
      </c>
      <c r="R3281" s="7" t="str">
        <f t="shared" si="1137"/>
        <v>住宅建築局住宅経営室</v>
      </c>
    </row>
    <row r="3282" spans="1:18" s="1" customFormat="1" x14ac:dyDescent="0.45">
      <c r="A3282" s="7" t="str">
        <f t="shared" si="1153"/>
        <v>09940003438</v>
      </c>
      <c r="B3282" s="7" t="str">
        <f t="shared" si="1154"/>
        <v>城山台２丁</v>
      </c>
      <c r="C3282" s="7" t="str">
        <f t="shared" si="1138"/>
        <v>行政財産</v>
      </c>
      <c r="D3282" s="7" t="str">
        <f t="shared" si="1151"/>
        <v>公営住宅</v>
      </c>
      <c r="E3282" s="7" t="str">
        <f t="shared" si="1155"/>
        <v>大阪府堺市　南区城山台２丁</v>
      </c>
      <c r="F3282" s="7"/>
      <c r="G3282" s="7" t="str">
        <f t="shared" si="1136"/>
        <v>事業用資産</v>
      </c>
      <c r="H3282" s="7" t="str">
        <f t="shared" si="1158"/>
        <v>棚卸以外</v>
      </c>
      <c r="I3282" s="7">
        <v>24</v>
      </c>
      <c r="J3282" s="7" t="str">
        <f>"２号棟"</f>
        <v>２号棟</v>
      </c>
      <c r="K3282" s="7" t="str">
        <f t="shared" si="1157"/>
        <v>鉄筋コンクリート造</v>
      </c>
      <c r="L3282" s="7" t="str">
        <f>"S34.04.10"</f>
        <v>S34.04.10</v>
      </c>
      <c r="M3282" s="7">
        <v>6266.1</v>
      </c>
      <c r="N3282" s="7">
        <v>693915771</v>
      </c>
      <c r="O3282" s="7">
        <v>681563511</v>
      </c>
      <c r="P3282" s="7">
        <v>0</v>
      </c>
      <c r="Q3282" s="7" t="str">
        <f t="shared" si="1139"/>
        <v>都市整備部</v>
      </c>
      <c r="R3282" s="7" t="str">
        <f t="shared" si="1137"/>
        <v>住宅建築局住宅経営室</v>
      </c>
    </row>
    <row r="3283" spans="1:18" s="1" customFormat="1" x14ac:dyDescent="0.45">
      <c r="A3283" s="7" t="str">
        <f t="shared" si="1153"/>
        <v>09940003438</v>
      </c>
      <c r="B3283" s="7" t="str">
        <f t="shared" si="1154"/>
        <v>城山台２丁</v>
      </c>
      <c r="C3283" s="7" t="str">
        <f t="shared" si="1138"/>
        <v>行政財産</v>
      </c>
      <c r="D3283" s="7" t="str">
        <f t="shared" si="1151"/>
        <v>公営住宅</v>
      </c>
      <c r="E3283" s="7" t="str">
        <f t="shared" si="1155"/>
        <v>大阪府堺市　南区城山台２丁</v>
      </c>
      <c r="F3283" s="7"/>
      <c r="G3283" s="7" t="str">
        <f t="shared" si="1136"/>
        <v>事業用資産</v>
      </c>
      <c r="H3283" s="7" t="str">
        <f t="shared" si="1158"/>
        <v>棚卸以外</v>
      </c>
      <c r="I3283" s="7">
        <v>25</v>
      </c>
      <c r="J3283" s="7" t="str">
        <f>"電機室"</f>
        <v>電機室</v>
      </c>
      <c r="K3283" s="7" t="str">
        <f t="shared" si="1157"/>
        <v>鉄筋コンクリート造</v>
      </c>
      <c r="L3283" s="7" t="str">
        <f>"S34.03.27"</f>
        <v>S34.03.27</v>
      </c>
      <c r="M3283" s="7">
        <v>94.02</v>
      </c>
      <c r="N3283" s="7">
        <v>7207000</v>
      </c>
      <c r="O3283" s="7">
        <v>7206999</v>
      </c>
      <c r="P3283" s="7">
        <v>0</v>
      </c>
      <c r="Q3283" s="7" t="str">
        <f t="shared" si="1139"/>
        <v>都市整備部</v>
      </c>
      <c r="R3283" s="7" t="str">
        <f t="shared" si="1137"/>
        <v>住宅建築局住宅経営室</v>
      </c>
    </row>
    <row r="3284" spans="1:18" s="1" customFormat="1" x14ac:dyDescent="0.45">
      <c r="A3284" s="7" t="str">
        <f t="shared" si="1153"/>
        <v>09940003438</v>
      </c>
      <c r="B3284" s="7" t="str">
        <f t="shared" si="1154"/>
        <v>城山台２丁</v>
      </c>
      <c r="C3284" s="7" t="str">
        <f t="shared" si="1138"/>
        <v>行政財産</v>
      </c>
      <c r="D3284" s="7" t="str">
        <f t="shared" si="1151"/>
        <v>公営住宅</v>
      </c>
      <c r="E3284" s="7" t="str">
        <f t="shared" si="1155"/>
        <v>大阪府堺市　南区城山台２丁</v>
      </c>
      <c r="F3284" s="7"/>
      <c r="G3284" s="7" t="str">
        <f t="shared" si="1136"/>
        <v>事業用資産</v>
      </c>
      <c r="H3284" s="7" t="str">
        <f t="shared" si="1158"/>
        <v>棚卸以外</v>
      </c>
      <c r="I3284" s="7">
        <v>26</v>
      </c>
      <c r="J3284" s="7" t="str">
        <f>"ポンプ室"</f>
        <v>ポンプ室</v>
      </c>
      <c r="K3284" s="7" t="str">
        <f t="shared" si="1157"/>
        <v>鉄筋コンクリート造</v>
      </c>
      <c r="L3284" s="7" t="str">
        <f>"S34.03.27"</f>
        <v>S34.03.27</v>
      </c>
      <c r="M3284" s="7">
        <v>78</v>
      </c>
      <c r="N3284" s="7">
        <v>28145000</v>
      </c>
      <c r="O3284" s="7">
        <v>28144999</v>
      </c>
      <c r="P3284" s="7">
        <v>0</v>
      </c>
      <c r="Q3284" s="7" t="str">
        <f t="shared" si="1139"/>
        <v>都市整備部</v>
      </c>
      <c r="R3284" s="7" t="str">
        <f t="shared" si="1137"/>
        <v>住宅建築局住宅経営室</v>
      </c>
    </row>
    <row r="3285" spans="1:18" s="1" customFormat="1" x14ac:dyDescent="0.45">
      <c r="A3285" s="7" t="str">
        <f t="shared" ref="A3285:A3302" si="1160">"09940003440"</f>
        <v>09940003440</v>
      </c>
      <c r="B3285" s="7" t="str">
        <f t="shared" ref="B3285:B3302" si="1161">"門真三ツ島"</f>
        <v>門真三ツ島</v>
      </c>
      <c r="C3285" s="7" t="str">
        <f t="shared" si="1138"/>
        <v>行政財産</v>
      </c>
      <c r="D3285" s="7" t="str">
        <f t="shared" si="1151"/>
        <v>公営住宅</v>
      </c>
      <c r="E3285" s="7" t="str">
        <f t="shared" ref="E3285:E3302" si="1162">"大阪府門真市大字三ツ島"</f>
        <v>大阪府門真市大字三ツ島</v>
      </c>
      <c r="F3285" s="7" t="str">
        <f t="shared" ref="F3285:F3302" si="1163">"１０６０"</f>
        <v>１０６０</v>
      </c>
      <c r="G3285" s="7" t="str">
        <f t="shared" si="1136"/>
        <v>事業用資産</v>
      </c>
      <c r="H3285" s="7" t="str">
        <f t="shared" si="1158"/>
        <v>棚卸以外</v>
      </c>
      <c r="I3285" s="7">
        <v>1</v>
      </c>
      <c r="J3285" s="7" t="str">
        <f>"３号棟"</f>
        <v>３号棟</v>
      </c>
      <c r="K3285" s="7" t="str">
        <f t="shared" si="1157"/>
        <v>鉄筋コンクリート造</v>
      </c>
      <c r="L3285" s="7" t="str">
        <f t="shared" ref="L3285:L3298" si="1164">"S54.07.31"</f>
        <v>S54.07.31</v>
      </c>
      <c r="M3285" s="7">
        <v>1293.1600000000001</v>
      </c>
      <c r="N3285" s="7">
        <v>106358000</v>
      </c>
      <c r="O3285" s="7">
        <v>98815396</v>
      </c>
      <c r="P3285" s="7">
        <v>0</v>
      </c>
      <c r="Q3285" s="7" t="str">
        <f t="shared" si="1139"/>
        <v>都市整備部</v>
      </c>
      <c r="R3285" s="7" t="str">
        <f t="shared" si="1137"/>
        <v>住宅建築局住宅経営室</v>
      </c>
    </row>
    <row r="3286" spans="1:18" s="1" customFormat="1" x14ac:dyDescent="0.45">
      <c r="A3286" s="7" t="str">
        <f t="shared" si="1160"/>
        <v>09940003440</v>
      </c>
      <c r="B3286" s="7" t="str">
        <f t="shared" si="1161"/>
        <v>門真三ツ島</v>
      </c>
      <c r="C3286" s="7" t="str">
        <f t="shared" si="1138"/>
        <v>行政財産</v>
      </c>
      <c r="D3286" s="7" t="str">
        <f t="shared" si="1151"/>
        <v>公営住宅</v>
      </c>
      <c r="E3286" s="7" t="str">
        <f t="shared" si="1162"/>
        <v>大阪府門真市大字三ツ島</v>
      </c>
      <c r="F3286" s="7" t="str">
        <f t="shared" si="1163"/>
        <v>１０６０</v>
      </c>
      <c r="G3286" s="7" t="str">
        <f t="shared" si="1136"/>
        <v>事業用資産</v>
      </c>
      <c r="H3286" s="7" t="str">
        <f t="shared" si="1158"/>
        <v>棚卸以外</v>
      </c>
      <c r="I3286" s="7">
        <v>2</v>
      </c>
      <c r="J3286" s="7" t="str">
        <f>"４号棟"</f>
        <v>４号棟</v>
      </c>
      <c r="K3286" s="7" t="str">
        <f t="shared" si="1157"/>
        <v>鉄筋コンクリート造</v>
      </c>
      <c r="L3286" s="7" t="str">
        <f t="shared" si="1164"/>
        <v>S54.07.31</v>
      </c>
      <c r="M3286" s="7">
        <v>1293.1600000000001</v>
      </c>
      <c r="N3286" s="7">
        <v>106358000</v>
      </c>
      <c r="O3286" s="7">
        <v>98815396</v>
      </c>
      <c r="P3286" s="7">
        <v>0</v>
      </c>
      <c r="Q3286" s="7" t="str">
        <f t="shared" si="1139"/>
        <v>都市整備部</v>
      </c>
      <c r="R3286" s="7" t="str">
        <f t="shared" si="1137"/>
        <v>住宅建築局住宅経営室</v>
      </c>
    </row>
    <row r="3287" spans="1:18" s="1" customFormat="1" x14ac:dyDescent="0.45">
      <c r="A3287" s="7" t="str">
        <f t="shared" si="1160"/>
        <v>09940003440</v>
      </c>
      <c r="B3287" s="7" t="str">
        <f t="shared" si="1161"/>
        <v>門真三ツ島</v>
      </c>
      <c r="C3287" s="7" t="str">
        <f t="shared" si="1138"/>
        <v>行政財産</v>
      </c>
      <c r="D3287" s="7" t="str">
        <f t="shared" si="1151"/>
        <v>公営住宅</v>
      </c>
      <c r="E3287" s="7" t="str">
        <f t="shared" si="1162"/>
        <v>大阪府門真市大字三ツ島</v>
      </c>
      <c r="F3287" s="7" t="str">
        <f t="shared" si="1163"/>
        <v>１０６０</v>
      </c>
      <c r="G3287" s="7" t="str">
        <f t="shared" ref="G3287:G3350" si="1165">"事業用資産"</f>
        <v>事業用資産</v>
      </c>
      <c r="H3287" s="7" t="str">
        <f t="shared" si="1158"/>
        <v>棚卸以外</v>
      </c>
      <c r="I3287" s="7">
        <v>3</v>
      </c>
      <c r="J3287" s="7" t="str">
        <f>"１０号棟"</f>
        <v>１０号棟</v>
      </c>
      <c r="K3287" s="7" t="str">
        <f t="shared" si="1157"/>
        <v>鉄筋コンクリート造</v>
      </c>
      <c r="L3287" s="7" t="str">
        <f t="shared" si="1164"/>
        <v>S54.07.31</v>
      </c>
      <c r="M3287" s="7">
        <v>1315.84</v>
      </c>
      <c r="N3287" s="7">
        <v>128599330</v>
      </c>
      <c r="O3287" s="7">
        <v>103667648</v>
      </c>
      <c r="P3287" s="7">
        <v>0</v>
      </c>
      <c r="Q3287" s="7" t="str">
        <f t="shared" si="1139"/>
        <v>都市整備部</v>
      </c>
      <c r="R3287" s="7" t="str">
        <f t="shared" si="1137"/>
        <v>住宅建築局住宅経営室</v>
      </c>
    </row>
    <row r="3288" spans="1:18" s="1" customFormat="1" x14ac:dyDescent="0.45">
      <c r="A3288" s="7" t="str">
        <f t="shared" si="1160"/>
        <v>09940003440</v>
      </c>
      <c r="B3288" s="7" t="str">
        <f t="shared" si="1161"/>
        <v>門真三ツ島</v>
      </c>
      <c r="C3288" s="7" t="str">
        <f t="shared" si="1138"/>
        <v>行政財産</v>
      </c>
      <c r="D3288" s="7" t="str">
        <f t="shared" si="1151"/>
        <v>公営住宅</v>
      </c>
      <c r="E3288" s="7" t="str">
        <f t="shared" si="1162"/>
        <v>大阪府門真市大字三ツ島</v>
      </c>
      <c r="F3288" s="7" t="str">
        <f t="shared" si="1163"/>
        <v>１０６０</v>
      </c>
      <c r="G3288" s="7" t="str">
        <f t="shared" si="1165"/>
        <v>事業用資産</v>
      </c>
      <c r="H3288" s="7" t="str">
        <f t="shared" si="1158"/>
        <v>棚卸以外</v>
      </c>
      <c r="I3288" s="7">
        <v>4</v>
      </c>
      <c r="J3288" s="7" t="str">
        <f>"７号棟"</f>
        <v>７号棟</v>
      </c>
      <c r="K3288" s="7" t="str">
        <f t="shared" si="1157"/>
        <v>鉄筋コンクリート造</v>
      </c>
      <c r="L3288" s="7" t="str">
        <f t="shared" si="1164"/>
        <v>S54.07.31</v>
      </c>
      <c r="M3288" s="7">
        <v>1204.5999999999999</v>
      </c>
      <c r="N3288" s="7">
        <v>122646330</v>
      </c>
      <c r="O3288" s="7">
        <v>98136828</v>
      </c>
      <c r="P3288" s="7">
        <v>0</v>
      </c>
      <c r="Q3288" s="7" t="str">
        <f t="shared" si="1139"/>
        <v>都市整備部</v>
      </c>
      <c r="R3288" s="7" t="str">
        <f t="shared" ref="R3288:R3351" si="1166">"住宅建築局住宅経営室"</f>
        <v>住宅建築局住宅経営室</v>
      </c>
    </row>
    <row r="3289" spans="1:18" s="1" customFormat="1" x14ac:dyDescent="0.45">
      <c r="A3289" s="7" t="str">
        <f t="shared" si="1160"/>
        <v>09940003440</v>
      </c>
      <c r="B3289" s="7" t="str">
        <f t="shared" si="1161"/>
        <v>門真三ツ島</v>
      </c>
      <c r="C3289" s="7" t="str">
        <f t="shared" si="1138"/>
        <v>行政財産</v>
      </c>
      <c r="D3289" s="7" t="str">
        <f t="shared" si="1151"/>
        <v>公営住宅</v>
      </c>
      <c r="E3289" s="7" t="str">
        <f t="shared" si="1162"/>
        <v>大阪府門真市大字三ツ島</v>
      </c>
      <c r="F3289" s="7" t="str">
        <f t="shared" si="1163"/>
        <v>１０６０</v>
      </c>
      <c r="G3289" s="7" t="str">
        <f t="shared" si="1165"/>
        <v>事業用資産</v>
      </c>
      <c r="H3289" s="7" t="str">
        <f t="shared" si="1158"/>
        <v>棚卸以外</v>
      </c>
      <c r="I3289" s="7">
        <v>5</v>
      </c>
      <c r="J3289" s="7" t="str">
        <f>"９号棟"</f>
        <v>９号棟</v>
      </c>
      <c r="K3289" s="7" t="str">
        <f t="shared" si="1157"/>
        <v>鉄筋コンクリート造</v>
      </c>
      <c r="L3289" s="7" t="str">
        <f t="shared" si="1164"/>
        <v>S54.07.31</v>
      </c>
      <c r="M3289" s="7">
        <v>1181.92</v>
      </c>
      <c r="N3289" s="7">
        <v>13617000</v>
      </c>
      <c r="O3289" s="7">
        <v>5770416</v>
      </c>
      <c r="P3289" s="7">
        <v>0</v>
      </c>
      <c r="Q3289" s="7" t="str">
        <f t="shared" si="1139"/>
        <v>都市整備部</v>
      </c>
      <c r="R3289" s="7" t="str">
        <f t="shared" si="1166"/>
        <v>住宅建築局住宅経営室</v>
      </c>
    </row>
    <row r="3290" spans="1:18" s="1" customFormat="1" x14ac:dyDescent="0.45">
      <c r="A3290" s="7" t="str">
        <f t="shared" si="1160"/>
        <v>09940003440</v>
      </c>
      <c r="B3290" s="7" t="str">
        <f t="shared" si="1161"/>
        <v>門真三ツ島</v>
      </c>
      <c r="C3290" s="7" t="str">
        <f t="shared" ref="C3290:C3353" si="1167">"行政財産"</f>
        <v>行政財産</v>
      </c>
      <c r="D3290" s="7" t="str">
        <f t="shared" si="1151"/>
        <v>公営住宅</v>
      </c>
      <c r="E3290" s="7" t="str">
        <f t="shared" si="1162"/>
        <v>大阪府門真市大字三ツ島</v>
      </c>
      <c r="F3290" s="7" t="str">
        <f t="shared" si="1163"/>
        <v>１０６０</v>
      </c>
      <c r="G3290" s="7" t="str">
        <f t="shared" si="1165"/>
        <v>事業用資産</v>
      </c>
      <c r="H3290" s="7" t="str">
        <f t="shared" si="1158"/>
        <v>棚卸以外</v>
      </c>
      <c r="I3290" s="7">
        <v>6</v>
      </c>
      <c r="J3290" s="7" t="str">
        <f>"１号棟"</f>
        <v>１号棟</v>
      </c>
      <c r="K3290" s="7" t="str">
        <f t="shared" si="1157"/>
        <v>鉄筋コンクリート造</v>
      </c>
      <c r="L3290" s="7" t="str">
        <f t="shared" si="1164"/>
        <v>S54.07.31</v>
      </c>
      <c r="M3290" s="7">
        <v>1227.28</v>
      </c>
      <c r="N3290" s="7">
        <v>144887660</v>
      </c>
      <c r="O3290" s="7">
        <v>102989040</v>
      </c>
      <c r="P3290" s="7">
        <v>0</v>
      </c>
      <c r="Q3290" s="7" t="str">
        <f t="shared" si="1139"/>
        <v>都市整備部</v>
      </c>
      <c r="R3290" s="7" t="str">
        <f t="shared" si="1166"/>
        <v>住宅建築局住宅経営室</v>
      </c>
    </row>
    <row r="3291" spans="1:18" s="1" customFormat="1" x14ac:dyDescent="0.45">
      <c r="A3291" s="7" t="str">
        <f t="shared" si="1160"/>
        <v>09940003440</v>
      </c>
      <c r="B3291" s="7" t="str">
        <f t="shared" si="1161"/>
        <v>門真三ツ島</v>
      </c>
      <c r="C3291" s="7" t="str">
        <f t="shared" si="1167"/>
        <v>行政財産</v>
      </c>
      <c r="D3291" s="7" t="str">
        <f t="shared" si="1151"/>
        <v>公営住宅</v>
      </c>
      <c r="E3291" s="7" t="str">
        <f t="shared" si="1162"/>
        <v>大阪府門真市大字三ツ島</v>
      </c>
      <c r="F3291" s="7" t="str">
        <f t="shared" si="1163"/>
        <v>１０６０</v>
      </c>
      <c r="G3291" s="7" t="str">
        <f t="shared" si="1165"/>
        <v>事業用資産</v>
      </c>
      <c r="H3291" s="7" t="str">
        <f t="shared" si="1158"/>
        <v>棚卸以外</v>
      </c>
      <c r="I3291" s="7">
        <v>7</v>
      </c>
      <c r="J3291" s="7" t="str">
        <f>"２号棟"</f>
        <v>２号棟</v>
      </c>
      <c r="K3291" s="7" t="str">
        <f t="shared" si="1157"/>
        <v>鉄筋コンクリート造</v>
      </c>
      <c r="L3291" s="7" t="str">
        <f t="shared" si="1164"/>
        <v>S54.07.31</v>
      </c>
      <c r="M3291" s="7">
        <v>1204.5999999999999</v>
      </c>
      <c r="N3291" s="7">
        <v>122646330</v>
      </c>
      <c r="O3291" s="7">
        <v>98136828</v>
      </c>
      <c r="P3291" s="7">
        <v>0</v>
      </c>
      <c r="Q3291" s="7" t="str">
        <f t="shared" ref="Q3291:Q3354" si="1168">"都市整備部"</f>
        <v>都市整備部</v>
      </c>
      <c r="R3291" s="7" t="str">
        <f t="shared" si="1166"/>
        <v>住宅建築局住宅経営室</v>
      </c>
    </row>
    <row r="3292" spans="1:18" s="1" customFormat="1" x14ac:dyDescent="0.45">
      <c r="A3292" s="7" t="str">
        <f t="shared" si="1160"/>
        <v>09940003440</v>
      </c>
      <c r="B3292" s="7" t="str">
        <f t="shared" si="1161"/>
        <v>門真三ツ島</v>
      </c>
      <c r="C3292" s="7" t="str">
        <f t="shared" si="1167"/>
        <v>行政財産</v>
      </c>
      <c r="D3292" s="7" t="str">
        <f t="shared" si="1151"/>
        <v>公営住宅</v>
      </c>
      <c r="E3292" s="7" t="str">
        <f t="shared" si="1162"/>
        <v>大阪府門真市大字三ツ島</v>
      </c>
      <c r="F3292" s="7" t="str">
        <f t="shared" si="1163"/>
        <v>１０６０</v>
      </c>
      <c r="G3292" s="7" t="str">
        <f t="shared" si="1165"/>
        <v>事業用資産</v>
      </c>
      <c r="H3292" s="7" t="str">
        <f t="shared" si="1158"/>
        <v>棚卸以外</v>
      </c>
      <c r="I3292" s="7">
        <v>8</v>
      </c>
      <c r="J3292" s="7" t="str">
        <f>"８号棟"</f>
        <v>８号棟</v>
      </c>
      <c r="K3292" s="7" t="str">
        <f t="shared" si="1157"/>
        <v>鉄筋コンクリート造</v>
      </c>
      <c r="L3292" s="7" t="str">
        <f t="shared" si="1164"/>
        <v>S54.07.31</v>
      </c>
      <c r="M3292" s="7">
        <v>1939.73</v>
      </c>
      <c r="N3292" s="7">
        <v>160650000</v>
      </c>
      <c r="O3292" s="7">
        <v>149256684</v>
      </c>
      <c r="P3292" s="7">
        <v>0</v>
      </c>
      <c r="Q3292" s="7" t="str">
        <f t="shared" si="1168"/>
        <v>都市整備部</v>
      </c>
      <c r="R3292" s="7" t="str">
        <f t="shared" si="1166"/>
        <v>住宅建築局住宅経営室</v>
      </c>
    </row>
    <row r="3293" spans="1:18" s="1" customFormat="1" x14ac:dyDescent="0.45">
      <c r="A3293" s="7" t="str">
        <f t="shared" si="1160"/>
        <v>09940003440</v>
      </c>
      <c r="B3293" s="7" t="str">
        <f t="shared" si="1161"/>
        <v>門真三ツ島</v>
      </c>
      <c r="C3293" s="7" t="str">
        <f t="shared" si="1167"/>
        <v>行政財産</v>
      </c>
      <c r="D3293" s="7" t="str">
        <f t="shared" si="1151"/>
        <v>公営住宅</v>
      </c>
      <c r="E3293" s="7" t="str">
        <f t="shared" si="1162"/>
        <v>大阪府門真市大字三ツ島</v>
      </c>
      <c r="F3293" s="7" t="str">
        <f t="shared" si="1163"/>
        <v>１０６０</v>
      </c>
      <c r="G3293" s="7" t="str">
        <f t="shared" si="1165"/>
        <v>事業用資産</v>
      </c>
      <c r="H3293" s="7" t="str">
        <f t="shared" si="1158"/>
        <v>棚卸以外</v>
      </c>
      <c r="I3293" s="7">
        <v>9</v>
      </c>
      <c r="J3293" s="7" t="str">
        <f>"６号棟"</f>
        <v>６号棟</v>
      </c>
      <c r="K3293" s="7" t="str">
        <f t="shared" ref="K3293:K3324" si="1169">"鉄筋コンクリート造"</f>
        <v>鉄筋コンクリート造</v>
      </c>
      <c r="L3293" s="7" t="str">
        <f t="shared" si="1164"/>
        <v>S54.07.31</v>
      </c>
      <c r="M3293" s="7">
        <v>1932</v>
      </c>
      <c r="N3293" s="7">
        <v>187412000</v>
      </c>
      <c r="O3293" s="7">
        <v>174120484</v>
      </c>
      <c r="P3293" s="7">
        <v>0</v>
      </c>
      <c r="Q3293" s="7" t="str">
        <f t="shared" si="1168"/>
        <v>都市整備部</v>
      </c>
      <c r="R3293" s="7" t="str">
        <f t="shared" si="1166"/>
        <v>住宅建築局住宅経営室</v>
      </c>
    </row>
    <row r="3294" spans="1:18" s="1" customFormat="1" x14ac:dyDescent="0.45">
      <c r="A3294" s="7" t="str">
        <f t="shared" si="1160"/>
        <v>09940003440</v>
      </c>
      <c r="B3294" s="7" t="str">
        <f t="shared" si="1161"/>
        <v>門真三ツ島</v>
      </c>
      <c r="C3294" s="7" t="str">
        <f t="shared" si="1167"/>
        <v>行政財産</v>
      </c>
      <c r="D3294" s="7" t="str">
        <f t="shared" si="1151"/>
        <v>公営住宅</v>
      </c>
      <c r="E3294" s="7" t="str">
        <f t="shared" si="1162"/>
        <v>大阪府門真市大字三ツ島</v>
      </c>
      <c r="F3294" s="7" t="str">
        <f t="shared" si="1163"/>
        <v>１０６０</v>
      </c>
      <c r="G3294" s="7" t="str">
        <f t="shared" si="1165"/>
        <v>事業用資産</v>
      </c>
      <c r="H3294" s="7" t="str">
        <f t="shared" si="1158"/>
        <v>棚卸以外</v>
      </c>
      <c r="I3294" s="7">
        <v>10</v>
      </c>
      <c r="J3294" s="7" t="str">
        <f>"５号棟"</f>
        <v>５号棟</v>
      </c>
      <c r="K3294" s="7" t="str">
        <f t="shared" si="1169"/>
        <v>鉄筋コンクリート造</v>
      </c>
      <c r="L3294" s="7" t="str">
        <f t="shared" si="1164"/>
        <v>S54.07.31</v>
      </c>
      <c r="M3294" s="7">
        <v>2142.13</v>
      </c>
      <c r="N3294" s="7">
        <v>195896000</v>
      </c>
      <c r="O3294" s="7">
        <v>182003016</v>
      </c>
      <c r="P3294" s="7">
        <v>0</v>
      </c>
      <c r="Q3294" s="7" t="str">
        <f t="shared" si="1168"/>
        <v>都市整備部</v>
      </c>
      <c r="R3294" s="7" t="str">
        <f t="shared" si="1166"/>
        <v>住宅建築局住宅経営室</v>
      </c>
    </row>
    <row r="3295" spans="1:18" s="1" customFormat="1" x14ac:dyDescent="0.45">
      <c r="A3295" s="7" t="str">
        <f t="shared" si="1160"/>
        <v>09940003440</v>
      </c>
      <c r="B3295" s="7" t="str">
        <f t="shared" si="1161"/>
        <v>門真三ツ島</v>
      </c>
      <c r="C3295" s="7" t="str">
        <f t="shared" si="1167"/>
        <v>行政財産</v>
      </c>
      <c r="D3295" s="7" t="str">
        <f t="shared" si="1151"/>
        <v>公営住宅</v>
      </c>
      <c r="E3295" s="7" t="str">
        <f t="shared" si="1162"/>
        <v>大阪府門真市大字三ツ島</v>
      </c>
      <c r="F3295" s="7" t="str">
        <f t="shared" si="1163"/>
        <v>１０６０</v>
      </c>
      <c r="G3295" s="7" t="str">
        <f t="shared" si="1165"/>
        <v>事業用資産</v>
      </c>
      <c r="H3295" s="7" t="str">
        <f t="shared" si="1158"/>
        <v>棚卸以外</v>
      </c>
      <c r="I3295" s="7">
        <v>11</v>
      </c>
      <c r="J3295" s="7" t="str">
        <f>"浄化槽"</f>
        <v>浄化槽</v>
      </c>
      <c r="K3295" s="7" t="str">
        <f t="shared" si="1169"/>
        <v>鉄筋コンクリート造</v>
      </c>
      <c r="L3295" s="7" t="str">
        <f t="shared" si="1164"/>
        <v>S54.07.31</v>
      </c>
      <c r="M3295" s="7">
        <v>374.7</v>
      </c>
      <c r="N3295" s="7">
        <v>168054000</v>
      </c>
      <c r="O3295" s="7">
        <v>156135756</v>
      </c>
      <c r="P3295" s="7">
        <v>0</v>
      </c>
      <c r="Q3295" s="7" t="str">
        <f t="shared" si="1168"/>
        <v>都市整備部</v>
      </c>
      <c r="R3295" s="7" t="str">
        <f t="shared" si="1166"/>
        <v>住宅建築局住宅経営室</v>
      </c>
    </row>
    <row r="3296" spans="1:18" s="1" customFormat="1" x14ac:dyDescent="0.45">
      <c r="A3296" s="7" t="str">
        <f t="shared" si="1160"/>
        <v>09940003440</v>
      </c>
      <c r="B3296" s="7" t="str">
        <f t="shared" si="1161"/>
        <v>門真三ツ島</v>
      </c>
      <c r="C3296" s="7" t="str">
        <f t="shared" si="1167"/>
        <v>行政財産</v>
      </c>
      <c r="D3296" s="7" t="str">
        <f t="shared" si="1151"/>
        <v>公営住宅</v>
      </c>
      <c r="E3296" s="7" t="str">
        <f t="shared" si="1162"/>
        <v>大阪府門真市大字三ツ島</v>
      </c>
      <c r="F3296" s="7" t="str">
        <f t="shared" si="1163"/>
        <v>１０６０</v>
      </c>
      <c r="G3296" s="7" t="str">
        <f t="shared" si="1165"/>
        <v>事業用資産</v>
      </c>
      <c r="H3296" s="7" t="str">
        <f t="shared" si="1158"/>
        <v>棚卸以外</v>
      </c>
      <c r="I3296" s="7">
        <v>12</v>
      </c>
      <c r="J3296" s="7" t="str">
        <f>"浄化槽"</f>
        <v>浄化槽</v>
      </c>
      <c r="K3296" s="7" t="str">
        <f t="shared" si="1169"/>
        <v>鉄筋コンクリート造</v>
      </c>
      <c r="L3296" s="7" t="str">
        <f t="shared" si="1164"/>
        <v>S54.07.31</v>
      </c>
      <c r="M3296" s="7">
        <v>28.03</v>
      </c>
      <c r="N3296" s="7">
        <v>37342000</v>
      </c>
      <c r="O3296" s="7">
        <v>34694040</v>
      </c>
      <c r="P3296" s="7">
        <v>0</v>
      </c>
      <c r="Q3296" s="7" t="str">
        <f t="shared" si="1168"/>
        <v>都市整備部</v>
      </c>
      <c r="R3296" s="7" t="str">
        <f t="shared" si="1166"/>
        <v>住宅建築局住宅経営室</v>
      </c>
    </row>
    <row r="3297" spans="1:18" s="1" customFormat="1" x14ac:dyDescent="0.45">
      <c r="A3297" s="7" t="str">
        <f t="shared" si="1160"/>
        <v>09940003440</v>
      </c>
      <c r="B3297" s="7" t="str">
        <f t="shared" si="1161"/>
        <v>門真三ツ島</v>
      </c>
      <c r="C3297" s="7" t="str">
        <f t="shared" si="1167"/>
        <v>行政財産</v>
      </c>
      <c r="D3297" s="7" t="str">
        <f t="shared" si="1151"/>
        <v>公営住宅</v>
      </c>
      <c r="E3297" s="7" t="str">
        <f t="shared" si="1162"/>
        <v>大阪府門真市大字三ツ島</v>
      </c>
      <c r="F3297" s="7" t="str">
        <f t="shared" si="1163"/>
        <v>１０６０</v>
      </c>
      <c r="G3297" s="7" t="str">
        <f t="shared" si="1165"/>
        <v>事業用資産</v>
      </c>
      <c r="H3297" s="7" t="str">
        <f t="shared" si="1158"/>
        <v>棚卸以外</v>
      </c>
      <c r="I3297" s="7">
        <v>13</v>
      </c>
      <c r="J3297" s="7" t="str">
        <f>"ポンプ室・電気室"</f>
        <v>ポンプ室・電気室</v>
      </c>
      <c r="K3297" s="7" t="str">
        <f t="shared" si="1169"/>
        <v>鉄筋コンクリート造</v>
      </c>
      <c r="L3297" s="7" t="str">
        <f t="shared" si="1164"/>
        <v>S54.07.31</v>
      </c>
      <c r="M3297" s="7">
        <v>204</v>
      </c>
      <c r="N3297" s="7">
        <v>19081000</v>
      </c>
      <c r="O3297" s="7">
        <v>17727968</v>
      </c>
      <c r="P3297" s="7">
        <v>0</v>
      </c>
      <c r="Q3297" s="7" t="str">
        <f t="shared" si="1168"/>
        <v>都市整備部</v>
      </c>
      <c r="R3297" s="7" t="str">
        <f t="shared" si="1166"/>
        <v>住宅建築局住宅経営室</v>
      </c>
    </row>
    <row r="3298" spans="1:18" s="1" customFormat="1" x14ac:dyDescent="0.45">
      <c r="A3298" s="7" t="str">
        <f t="shared" si="1160"/>
        <v>09940003440</v>
      </c>
      <c r="B3298" s="7" t="str">
        <f t="shared" si="1161"/>
        <v>門真三ツ島</v>
      </c>
      <c r="C3298" s="7" t="str">
        <f t="shared" si="1167"/>
        <v>行政財産</v>
      </c>
      <c r="D3298" s="7" t="str">
        <f t="shared" si="1151"/>
        <v>公営住宅</v>
      </c>
      <c r="E3298" s="7" t="str">
        <f t="shared" si="1162"/>
        <v>大阪府門真市大字三ツ島</v>
      </c>
      <c r="F3298" s="7" t="str">
        <f t="shared" si="1163"/>
        <v>１０６０</v>
      </c>
      <c r="G3298" s="7" t="str">
        <f t="shared" si="1165"/>
        <v>事業用資産</v>
      </c>
      <c r="H3298" s="7" t="str">
        <f t="shared" si="1158"/>
        <v>棚卸以外</v>
      </c>
      <c r="I3298" s="7">
        <v>14</v>
      </c>
      <c r="J3298" s="7" t="str">
        <f>"集会所"</f>
        <v>集会所</v>
      </c>
      <c r="K3298" s="7" t="str">
        <f t="shared" si="1169"/>
        <v>鉄筋コンクリート造</v>
      </c>
      <c r="L3298" s="7" t="str">
        <f t="shared" si="1164"/>
        <v>S54.07.31</v>
      </c>
      <c r="M3298" s="7">
        <v>167.04</v>
      </c>
      <c r="N3298" s="7">
        <v>19206753</v>
      </c>
      <c r="O3298" s="7">
        <v>15755676</v>
      </c>
      <c r="P3298" s="7">
        <v>0</v>
      </c>
      <c r="Q3298" s="7" t="str">
        <f t="shared" si="1168"/>
        <v>都市整備部</v>
      </c>
      <c r="R3298" s="7" t="str">
        <f t="shared" si="1166"/>
        <v>住宅建築局住宅経営室</v>
      </c>
    </row>
    <row r="3299" spans="1:18" s="1" customFormat="1" x14ac:dyDescent="0.45">
      <c r="A3299" s="7" t="str">
        <f t="shared" si="1160"/>
        <v>09940003440</v>
      </c>
      <c r="B3299" s="7" t="str">
        <f t="shared" si="1161"/>
        <v>門真三ツ島</v>
      </c>
      <c r="C3299" s="7" t="str">
        <f t="shared" si="1167"/>
        <v>行政財産</v>
      </c>
      <c r="D3299" s="7" t="str">
        <f t="shared" si="1151"/>
        <v>公営住宅</v>
      </c>
      <c r="E3299" s="7" t="str">
        <f t="shared" si="1162"/>
        <v>大阪府門真市大字三ツ島</v>
      </c>
      <c r="F3299" s="7" t="str">
        <f t="shared" si="1163"/>
        <v>１０６０</v>
      </c>
      <c r="G3299" s="7" t="str">
        <f t="shared" si="1165"/>
        <v>事業用資産</v>
      </c>
      <c r="H3299" s="7" t="str">
        <f t="shared" si="1158"/>
        <v>棚卸以外</v>
      </c>
      <c r="I3299" s="7">
        <v>15</v>
      </c>
      <c r="J3299" s="7" t="str">
        <f>"１５号棟"</f>
        <v>１５号棟</v>
      </c>
      <c r="K3299" s="7" t="str">
        <f t="shared" si="1169"/>
        <v>鉄筋コンクリート造</v>
      </c>
      <c r="L3299" s="7" t="str">
        <f>"S55.03.12"</f>
        <v>S55.03.12</v>
      </c>
      <c r="M3299" s="7">
        <v>3188.05</v>
      </c>
      <c r="N3299" s="7">
        <v>459691251</v>
      </c>
      <c r="O3299" s="7">
        <v>324890296</v>
      </c>
      <c r="P3299" s="7">
        <v>0</v>
      </c>
      <c r="Q3299" s="7" t="str">
        <f t="shared" si="1168"/>
        <v>都市整備部</v>
      </c>
      <c r="R3299" s="7" t="str">
        <f t="shared" si="1166"/>
        <v>住宅建築局住宅経営室</v>
      </c>
    </row>
    <row r="3300" spans="1:18" s="1" customFormat="1" x14ac:dyDescent="0.45">
      <c r="A3300" s="7" t="str">
        <f t="shared" si="1160"/>
        <v>09940003440</v>
      </c>
      <c r="B3300" s="7" t="str">
        <f t="shared" si="1161"/>
        <v>門真三ツ島</v>
      </c>
      <c r="C3300" s="7" t="str">
        <f t="shared" si="1167"/>
        <v>行政財産</v>
      </c>
      <c r="D3300" s="7" t="str">
        <f t="shared" si="1151"/>
        <v>公営住宅</v>
      </c>
      <c r="E3300" s="7" t="str">
        <f t="shared" si="1162"/>
        <v>大阪府門真市大字三ツ島</v>
      </c>
      <c r="F3300" s="7" t="str">
        <f t="shared" si="1163"/>
        <v>１０６０</v>
      </c>
      <c r="G3300" s="7" t="str">
        <f t="shared" si="1165"/>
        <v>事業用資産</v>
      </c>
      <c r="H3300" s="7" t="str">
        <f t="shared" si="1158"/>
        <v>棚卸以外</v>
      </c>
      <c r="I3300" s="7">
        <v>16</v>
      </c>
      <c r="J3300" s="7" t="str">
        <f>"１４号棟"</f>
        <v>１４号棟</v>
      </c>
      <c r="K3300" s="7" t="str">
        <f t="shared" si="1169"/>
        <v>鉄筋コンクリート造</v>
      </c>
      <c r="L3300" s="7" t="str">
        <f>"S55.03.12"</f>
        <v>S55.03.12</v>
      </c>
      <c r="M3300" s="7">
        <v>3315.15</v>
      </c>
      <c r="N3300" s="7">
        <v>485344938</v>
      </c>
      <c r="O3300" s="7">
        <v>348864584</v>
      </c>
      <c r="P3300" s="7">
        <v>0</v>
      </c>
      <c r="Q3300" s="7" t="str">
        <f t="shared" si="1168"/>
        <v>都市整備部</v>
      </c>
      <c r="R3300" s="7" t="str">
        <f t="shared" si="1166"/>
        <v>住宅建築局住宅経営室</v>
      </c>
    </row>
    <row r="3301" spans="1:18" s="1" customFormat="1" x14ac:dyDescent="0.45">
      <c r="A3301" s="7" t="str">
        <f t="shared" si="1160"/>
        <v>09940003440</v>
      </c>
      <c r="B3301" s="7" t="str">
        <f t="shared" si="1161"/>
        <v>門真三ツ島</v>
      </c>
      <c r="C3301" s="7" t="str">
        <f t="shared" si="1167"/>
        <v>行政財産</v>
      </c>
      <c r="D3301" s="7" t="str">
        <f t="shared" si="1151"/>
        <v>公営住宅</v>
      </c>
      <c r="E3301" s="7" t="str">
        <f t="shared" si="1162"/>
        <v>大阪府門真市大字三ツ島</v>
      </c>
      <c r="F3301" s="7" t="str">
        <f t="shared" si="1163"/>
        <v>１０６０</v>
      </c>
      <c r="G3301" s="7" t="str">
        <f t="shared" si="1165"/>
        <v>事業用資産</v>
      </c>
      <c r="H3301" s="7" t="str">
        <f t="shared" si="1158"/>
        <v>棚卸以外</v>
      </c>
      <c r="I3301" s="7">
        <v>17</v>
      </c>
      <c r="J3301" s="7" t="str">
        <f>"１３号棟"</f>
        <v>１３号棟</v>
      </c>
      <c r="K3301" s="7" t="str">
        <f t="shared" si="1169"/>
        <v>鉄筋コンクリート造</v>
      </c>
      <c r="L3301" s="7" t="str">
        <f>"S55.03.12"</f>
        <v>S55.03.12</v>
      </c>
      <c r="M3301" s="7">
        <v>3569.75</v>
      </c>
      <c r="N3301" s="7">
        <v>498630877</v>
      </c>
      <c r="O3301" s="7">
        <v>359770900</v>
      </c>
      <c r="P3301" s="7">
        <v>0</v>
      </c>
      <c r="Q3301" s="7" t="str">
        <f t="shared" si="1168"/>
        <v>都市整備部</v>
      </c>
      <c r="R3301" s="7" t="str">
        <f t="shared" si="1166"/>
        <v>住宅建築局住宅経営室</v>
      </c>
    </row>
    <row r="3302" spans="1:18" s="1" customFormat="1" x14ac:dyDescent="0.45">
      <c r="A3302" s="7" t="str">
        <f t="shared" si="1160"/>
        <v>09940003440</v>
      </c>
      <c r="B3302" s="7" t="str">
        <f t="shared" si="1161"/>
        <v>門真三ツ島</v>
      </c>
      <c r="C3302" s="7" t="str">
        <f t="shared" si="1167"/>
        <v>行政財産</v>
      </c>
      <c r="D3302" s="7" t="str">
        <f t="shared" si="1151"/>
        <v>公営住宅</v>
      </c>
      <c r="E3302" s="7" t="str">
        <f t="shared" si="1162"/>
        <v>大阪府門真市大字三ツ島</v>
      </c>
      <c r="F3302" s="7" t="str">
        <f t="shared" si="1163"/>
        <v>１０６０</v>
      </c>
      <c r="G3302" s="7" t="str">
        <f t="shared" si="1165"/>
        <v>事業用資産</v>
      </c>
      <c r="H3302" s="7" t="str">
        <f t="shared" si="1158"/>
        <v>棚卸以外</v>
      </c>
      <c r="I3302" s="7">
        <v>18</v>
      </c>
      <c r="J3302" s="7" t="str">
        <f>"１１・１２号棟"</f>
        <v>１１・１２号棟</v>
      </c>
      <c r="K3302" s="7" t="str">
        <f t="shared" si="1169"/>
        <v>鉄筋コンクリート造</v>
      </c>
      <c r="L3302" s="7" t="str">
        <f>"S55.03.12"</f>
        <v>S55.03.12</v>
      </c>
      <c r="M3302" s="7">
        <v>5670.62</v>
      </c>
      <c r="N3302" s="7">
        <v>795502973</v>
      </c>
      <c r="O3302" s="7">
        <v>562129877</v>
      </c>
      <c r="P3302" s="7">
        <v>0</v>
      </c>
      <c r="Q3302" s="7" t="str">
        <f t="shared" si="1168"/>
        <v>都市整備部</v>
      </c>
      <c r="R3302" s="7" t="str">
        <f t="shared" si="1166"/>
        <v>住宅建築局住宅経営室</v>
      </c>
    </row>
    <row r="3303" spans="1:18" s="1" customFormat="1" x14ac:dyDescent="0.45">
      <c r="A3303" s="7" t="str">
        <f t="shared" ref="A3303:A3314" si="1170">"09940003442"</f>
        <v>09940003442</v>
      </c>
      <c r="B3303" s="7" t="str">
        <f t="shared" ref="B3303:B3314" si="1171">"門真下馬伏"</f>
        <v>門真下馬伏</v>
      </c>
      <c r="C3303" s="7" t="str">
        <f t="shared" si="1167"/>
        <v>行政財産</v>
      </c>
      <c r="D3303" s="7" t="str">
        <f t="shared" si="1151"/>
        <v>公営住宅</v>
      </c>
      <c r="E3303" s="7" t="str">
        <f t="shared" ref="E3303:E3314" si="1172">"大阪府門真市江端町"</f>
        <v>大阪府門真市江端町</v>
      </c>
      <c r="F3303" s="7"/>
      <c r="G3303" s="7" t="str">
        <f t="shared" si="1165"/>
        <v>事業用資産</v>
      </c>
      <c r="H3303" s="7" t="str">
        <f t="shared" si="1158"/>
        <v>棚卸以外</v>
      </c>
      <c r="I3303" s="7">
        <v>1</v>
      </c>
      <c r="J3303" s="7" t="str">
        <f>"５号棟"</f>
        <v>５号棟</v>
      </c>
      <c r="K3303" s="7" t="str">
        <f t="shared" si="1169"/>
        <v>鉄筋コンクリート造</v>
      </c>
      <c r="L3303" s="7" t="str">
        <f t="shared" ref="L3303:L3313" si="1173">"S52.03.28"</f>
        <v>S52.03.28</v>
      </c>
      <c r="M3303" s="7">
        <v>1165.5999999999999</v>
      </c>
      <c r="N3303" s="7">
        <v>98180000</v>
      </c>
      <c r="O3303" s="7">
        <v>96091608</v>
      </c>
      <c r="P3303" s="7">
        <v>0</v>
      </c>
      <c r="Q3303" s="7" t="str">
        <f t="shared" si="1168"/>
        <v>都市整備部</v>
      </c>
      <c r="R3303" s="7" t="str">
        <f t="shared" si="1166"/>
        <v>住宅建築局住宅経営室</v>
      </c>
    </row>
    <row r="3304" spans="1:18" s="1" customFormat="1" x14ac:dyDescent="0.45">
      <c r="A3304" s="7" t="str">
        <f t="shared" si="1170"/>
        <v>09940003442</v>
      </c>
      <c r="B3304" s="7" t="str">
        <f t="shared" si="1171"/>
        <v>門真下馬伏</v>
      </c>
      <c r="C3304" s="7" t="str">
        <f t="shared" si="1167"/>
        <v>行政財産</v>
      </c>
      <c r="D3304" s="7" t="str">
        <f t="shared" si="1151"/>
        <v>公営住宅</v>
      </c>
      <c r="E3304" s="7" t="str">
        <f t="shared" si="1172"/>
        <v>大阪府門真市江端町</v>
      </c>
      <c r="F3304" s="7"/>
      <c r="G3304" s="7" t="str">
        <f t="shared" si="1165"/>
        <v>事業用資産</v>
      </c>
      <c r="H3304" s="7" t="str">
        <f t="shared" si="1158"/>
        <v>棚卸以外</v>
      </c>
      <c r="I3304" s="7">
        <v>2</v>
      </c>
      <c r="J3304" s="7" t="str">
        <f>"３号棟"</f>
        <v>３号棟</v>
      </c>
      <c r="K3304" s="7" t="str">
        <f t="shared" si="1169"/>
        <v>鉄筋コンクリート造</v>
      </c>
      <c r="L3304" s="7" t="str">
        <f t="shared" si="1173"/>
        <v>S52.03.28</v>
      </c>
      <c r="M3304" s="7">
        <v>1748.4</v>
      </c>
      <c r="N3304" s="7">
        <v>147270000</v>
      </c>
      <c r="O3304" s="7">
        <v>144137136</v>
      </c>
      <c r="P3304" s="7">
        <v>0</v>
      </c>
      <c r="Q3304" s="7" t="str">
        <f t="shared" si="1168"/>
        <v>都市整備部</v>
      </c>
      <c r="R3304" s="7" t="str">
        <f t="shared" si="1166"/>
        <v>住宅建築局住宅経営室</v>
      </c>
    </row>
    <row r="3305" spans="1:18" s="1" customFormat="1" x14ac:dyDescent="0.45">
      <c r="A3305" s="7" t="str">
        <f t="shared" si="1170"/>
        <v>09940003442</v>
      </c>
      <c r="B3305" s="7" t="str">
        <f t="shared" si="1171"/>
        <v>門真下馬伏</v>
      </c>
      <c r="C3305" s="7" t="str">
        <f t="shared" si="1167"/>
        <v>行政財産</v>
      </c>
      <c r="D3305" s="7" t="str">
        <f t="shared" si="1151"/>
        <v>公営住宅</v>
      </c>
      <c r="E3305" s="7" t="str">
        <f t="shared" si="1172"/>
        <v>大阪府門真市江端町</v>
      </c>
      <c r="F3305" s="7"/>
      <c r="G3305" s="7" t="str">
        <f t="shared" si="1165"/>
        <v>事業用資産</v>
      </c>
      <c r="H3305" s="7" t="str">
        <f t="shared" si="1158"/>
        <v>棚卸以外</v>
      </c>
      <c r="I3305" s="7">
        <v>3</v>
      </c>
      <c r="J3305" s="7" t="str">
        <f>"４号棟"</f>
        <v>４号棟</v>
      </c>
      <c r="K3305" s="7" t="str">
        <f t="shared" si="1169"/>
        <v>鉄筋コンクリート造</v>
      </c>
      <c r="L3305" s="7" t="str">
        <f t="shared" si="1173"/>
        <v>S52.03.28</v>
      </c>
      <c r="M3305" s="7">
        <v>1748.4</v>
      </c>
      <c r="N3305" s="7">
        <v>147270000</v>
      </c>
      <c r="O3305" s="7">
        <v>144137136</v>
      </c>
      <c r="P3305" s="7">
        <v>0</v>
      </c>
      <c r="Q3305" s="7" t="str">
        <f t="shared" si="1168"/>
        <v>都市整備部</v>
      </c>
      <c r="R3305" s="7" t="str">
        <f t="shared" si="1166"/>
        <v>住宅建築局住宅経営室</v>
      </c>
    </row>
    <row r="3306" spans="1:18" s="1" customFormat="1" x14ac:dyDescent="0.45">
      <c r="A3306" s="7" t="str">
        <f t="shared" si="1170"/>
        <v>09940003442</v>
      </c>
      <c r="B3306" s="7" t="str">
        <f t="shared" si="1171"/>
        <v>門真下馬伏</v>
      </c>
      <c r="C3306" s="7" t="str">
        <f t="shared" si="1167"/>
        <v>行政財産</v>
      </c>
      <c r="D3306" s="7" t="str">
        <f t="shared" si="1151"/>
        <v>公営住宅</v>
      </c>
      <c r="E3306" s="7" t="str">
        <f t="shared" si="1172"/>
        <v>大阪府門真市江端町</v>
      </c>
      <c r="F3306" s="7"/>
      <c r="G3306" s="7" t="str">
        <f t="shared" si="1165"/>
        <v>事業用資産</v>
      </c>
      <c r="H3306" s="7" t="str">
        <f t="shared" si="1158"/>
        <v>棚卸以外</v>
      </c>
      <c r="I3306" s="7">
        <v>4</v>
      </c>
      <c r="J3306" s="7" t="str">
        <f>"１・２号棟"</f>
        <v>１・２号棟</v>
      </c>
      <c r="K3306" s="7" t="str">
        <f t="shared" si="1169"/>
        <v>鉄筋コンクリート造</v>
      </c>
      <c r="L3306" s="7" t="str">
        <f t="shared" si="1173"/>
        <v>S52.03.28</v>
      </c>
      <c r="M3306" s="7">
        <v>2331.1999999999998</v>
      </c>
      <c r="N3306" s="7">
        <v>196360000</v>
      </c>
      <c r="O3306" s="7">
        <v>192182664</v>
      </c>
      <c r="P3306" s="7">
        <v>0</v>
      </c>
      <c r="Q3306" s="7" t="str">
        <f t="shared" si="1168"/>
        <v>都市整備部</v>
      </c>
      <c r="R3306" s="7" t="str">
        <f t="shared" si="1166"/>
        <v>住宅建築局住宅経営室</v>
      </c>
    </row>
    <row r="3307" spans="1:18" s="1" customFormat="1" x14ac:dyDescent="0.45">
      <c r="A3307" s="7" t="str">
        <f t="shared" si="1170"/>
        <v>09940003442</v>
      </c>
      <c r="B3307" s="7" t="str">
        <f t="shared" si="1171"/>
        <v>門真下馬伏</v>
      </c>
      <c r="C3307" s="7" t="str">
        <f t="shared" si="1167"/>
        <v>行政財産</v>
      </c>
      <c r="D3307" s="7" t="str">
        <f t="shared" si="1151"/>
        <v>公営住宅</v>
      </c>
      <c r="E3307" s="7" t="str">
        <f t="shared" si="1172"/>
        <v>大阪府門真市江端町</v>
      </c>
      <c r="F3307" s="7"/>
      <c r="G3307" s="7" t="str">
        <f t="shared" si="1165"/>
        <v>事業用資産</v>
      </c>
      <c r="H3307" s="7" t="str">
        <f t="shared" si="1158"/>
        <v>棚卸以外</v>
      </c>
      <c r="I3307" s="7">
        <v>5</v>
      </c>
      <c r="J3307" s="7" t="str">
        <f>"７号棟"</f>
        <v>７号棟</v>
      </c>
      <c r="K3307" s="7" t="str">
        <f t="shared" si="1169"/>
        <v>鉄筋コンクリート造</v>
      </c>
      <c r="L3307" s="7" t="str">
        <f t="shared" si="1173"/>
        <v>S52.03.28</v>
      </c>
      <c r="M3307" s="7">
        <v>4398.49</v>
      </c>
      <c r="N3307" s="7">
        <v>601957707</v>
      </c>
      <c r="O3307" s="7">
        <v>451828843</v>
      </c>
      <c r="P3307" s="7">
        <v>0</v>
      </c>
      <c r="Q3307" s="7" t="str">
        <f t="shared" si="1168"/>
        <v>都市整備部</v>
      </c>
      <c r="R3307" s="7" t="str">
        <f t="shared" si="1166"/>
        <v>住宅建築局住宅経営室</v>
      </c>
    </row>
    <row r="3308" spans="1:18" s="1" customFormat="1" x14ac:dyDescent="0.45">
      <c r="A3308" s="7" t="str">
        <f t="shared" si="1170"/>
        <v>09940003442</v>
      </c>
      <c r="B3308" s="7" t="str">
        <f t="shared" si="1171"/>
        <v>門真下馬伏</v>
      </c>
      <c r="C3308" s="7" t="str">
        <f t="shared" si="1167"/>
        <v>行政財産</v>
      </c>
      <c r="D3308" s="7" t="str">
        <f t="shared" si="1151"/>
        <v>公営住宅</v>
      </c>
      <c r="E3308" s="7" t="str">
        <f t="shared" si="1172"/>
        <v>大阪府門真市江端町</v>
      </c>
      <c r="F3308" s="7"/>
      <c r="G3308" s="7" t="str">
        <f t="shared" si="1165"/>
        <v>事業用資産</v>
      </c>
      <c r="H3308" s="7" t="str">
        <f t="shared" si="1158"/>
        <v>棚卸以外</v>
      </c>
      <c r="I3308" s="7">
        <v>6</v>
      </c>
      <c r="J3308" s="7" t="str">
        <f>"６号棟"</f>
        <v>６号棟</v>
      </c>
      <c r="K3308" s="7" t="str">
        <f t="shared" si="1169"/>
        <v>鉄筋コンクリート造</v>
      </c>
      <c r="L3308" s="7" t="str">
        <f t="shared" si="1173"/>
        <v>S52.03.28</v>
      </c>
      <c r="M3308" s="7">
        <v>2143.1999999999998</v>
      </c>
      <c r="N3308" s="7">
        <v>179045000</v>
      </c>
      <c r="O3308" s="7">
        <v>175235712</v>
      </c>
      <c r="P3308" s="7">
        <v>0</v>
      </c>
      <c r="Q3308" s="7" t="str">
        <f t="shared" si="1168"/>
        <v>都市整備部</v>
      </c>
      <c r="R3308" s="7" t="str">
        <f t="shared" si="1166"/>
        <v>住宅建築局住宅経営室</v>
      </c>
    </row>
    <row r="3309" spans="1:18" s="1" customFormat="1" x14ac:dyDescent="0.45">
      <c r="A3309" s="7" t="str">
        <f t="shared" si="1170"/>
        <v>09940003442</v>
      </c>
      <c r="B3309" s="7" t="str">
        <f t="shared" si="1171"/>
        <v>門真下馬伏</v>
      </c>
      <c r="C3309" s="7" t="str">
        <f t="shared" si="1167"/>
        <v>行政財産</v>
      </c>
      <c r="D3309" s="7" t="str">
        <f t="shared" si="1151"/>
        <v>公営住宅</v>
      </c>
      <c r="E3309" s="7" t="str">
        <f t="shared" si="1172"/>
        <v>大阪府門真市江端町</v>
      </c>
      <c r="F3309" s="7"/>
      <c r="G3309" s="7" t="str">
        <f t="shared" si="1165"/>
        <v>事業用資産</v>
      </c>
      <c r="H3309" s="7" t="str">
        <f t="shared" si="1158"/>
        <v>棚卸以外</v>
      </c>
      <c r="I3309" s="7">
        <v>7</v>
      </c>
      <c r="J3309" s="7" t="str">
        <f>"集会所"</f>
        <v>集会所</v>
      </c>
      <c r="K3309" s="7" t="str">
        <f t="shared" si="1169"/>
        <v>鉄筋コンクリート造</v>
      </c>
      <c r="L3309" s="7" t="str">
        <f t="shared" si="1173"/>
        <v>S52.03.28</v>
      </c>
      <c r="M3309" s="7">
        <v>65.84</v>
      </c>
      <c r="N3309" s="7">
        <v>10500000</v>
      </c>
      <c r="O3309" s="7">
        <v>10277136</v>
      </c>
      <c r="P3309" s="7">
        <v>0</v>
      </c>
      <c r="Q3309" s="7" t="str">
        <f t="shared" si="1168"/>
        <v>都市整備部</v>
      </c>
      <c r="R3309" s="7" t="str">
        <f t="shared" si="1166"/>
        <v>住宅建築局住宅経営室</v>
      </c>
    </row>
    <row r="3310" spans="1:18" s="1" customFormat="1" x14ac:dyDescent="0.45">
      <c r="A3310" s="7" t="str">
        <f t="shared" si="1170"/>
        <v>09940003442</v>
      </c>
      <c r="B3310" s="7" t="str">
        <f t="shared" si="1171"/>
        <v>門真下馬伏</v>
      </c>
      <c r="C3310" s="7" t="str">
        <f t="shared" si="1167"/>
        <v>行政財産</v>
      </c>
      <c r="D3310" s="7" t="str">
        <f t="shared" si="1151"/>
        <v>公営住宅</v>
      </c>
      <c r="E3310" s="7" t="str">
        <f t="shared" si="1172"/>
        <v>大阪府門真市江端町</v>
      </c>
      <c r="F3310" s="7"/>
      <c r="G3310" s="7" t="str">
        <f t="shared" si="1165"/>
        <v>事業用資産</v>
      </c>
      <c r="H3310" s="7" t="str">
        <f t="shared" si="1158"/>
        <v>棚卸以外</v>
      </c>
      <c r="I3310" s="7">
        <v>8</v>
      </c>
      <c r="J3310" s="7" t="str">
        <f>"ポンプ室"</f>
        <v>ポンプ室</v>
      </c>
      <c r="K3310" s="7" t="str">
        <f t="shared" si="1169"/>
        <v>鉄筋コンクリート造</v>
      </c>
      <c r="L3310" s="7" t="str">
        <f t="shared" si="1173"/>
        <v>S52.03.28</v>
      </c>
      <c r="M3310" s="7">
        <v>28.8</v>
      </c>
      <c r="N3310" s="7">
        <v>2331000</v>
      </c>
      <c r="O3310" s="7">
        <v>2281416</v>
      </c>
      <c r="P3310" s="7">
        <v>0</v>
      </c>
      <c r="Q3310" s="7" t="str">
        <f t="shared" si="1168"/>
        <v>都市整備部</v>
      </c>
      <c r="R3310" s="7" t="str">
        <f t="shared" si="1166"/>
        <v>住宅建築局住宅経営室</v>
      </c>
    </row>
    <row r="3311" spans="1:18" s="1" customFormat="1" x14ac:dyDescent="0.45">
      <c r="A3311" s="7" t="str">
        <f t="shared" si="1170"/>
        <v>09940003442</v>
      </c>
      <c r="B3311" s="7" t="str">
        <f t="shared" si="1171"/>
        <v>門真下馬伏</v>
      </c>
      <c r="C3311" s="7" t="str">
        <f t="shared" si="1167"/>
        <v>行政財産</v>
      </c>
      <c r="D3311" s="7" t="str">
        <f t="shared" si="1151"/>
        <v>公営住宅</v>
      </c>
      <c r="E3311" s="7" t="str">
        <f t="shared" si="1172"/>
        <v>大阪府門真市江端町</v>
      </c>
      <c r="F3311" s="7"/>
      <c r="G3311" s="7" t="str">
        <f t="shared" si="1165"/>
        <v>事業用資産</v>
      </c>
      <c r="H3311" s="7" t="str">
        <f t="shared" si="1158"/>
        <v>棚卸以外</v>
      </c>
      <c r="I3311" s="7">
        <v>9</v>
      </c>
      <c r="J3311" s="7" t="str">
        <f>"ポンプ室"</f>
        <v>ポンプ室</v>
      </c>
      <c r="K3311" s="7" t="str">
        <f t="shared" si="1169"/>
        <v>鉄筋コンクリート造</v>
      </c>
      <c r="L3311" s="7" t="str">
        <f t="shared" si="1173"/>
        <v>S52.03.28</v>
      </c>
      <c r="M3311" s="7">
        <v>22.95</v>
      </c>
      <c r="N3311" s="7">
        <v>2020000</v>
      </c>
      <c r="O3311" s="7">
        <v>1977264</v>
      </c>
      <c r="P3311" s="7">
        <v>0</v>
      </c>
      <c r="Q3311" s="7" t="str">
        <f t="shared" si="1168"/>
        <v>都市整備部</v>
      </c>
      <c r="R3311" s="7" t="str">
        <f t="shared" si="1166"/>
        <v>住宅建築局住宅経営室</v>
      </c>
    </row>
    <row r="3312" spans="1:18" s="1" customFormat="1" x14ac:dyDescent="0.45">
      <c r="A3312" s="7" t="str">
        <f t="shared" si="1170"/>
        <v>09940003442</v>
      </c>
      <c r="B3312" s="7" t="str">
        <f t="shared" si="1171"/>
        <v>門真下馬伏</v>
      </c>
      <c r="C3312" s="7" t="str">
        <f t="shared" si="1167"/>
        <v>行政財産</v>
      </c>
      <c r="D3312" s="7" t="str">
        <f t="shared" si="1151"/>
        <v>公営住宅</v>
      </c>
      <c r="E3312" s="7" t="str">
        <f t="shared" si="1172"/>
        <v>大阪府門真市江端町</v>
      </c>
      <c r="F3312" s="7"/>
      <c r="G3312" s="7" t="str">
        <f t="shared" si="1165"/>
        <v>事業用資産</v>
      </c>
      <c r="H3312" s="7" t="str">
        <f t="shared" si="1158"/>
        <v>棚卸以外</v>
      </c>
      <c r="I3312" s="7">
        <v>10</v>
      </c>
      <c r="J3312" s="7" t="str">
        <f>"ポンプ室"</f>
        <v>ポンプ室</v>
      </c>
      <c r="K3312" s="7" t="str">
        <f t="shared" si="1169"/>
        <v>鉄筋コンクリート造</v>
      </c>
      <c r="L3312" s="7" t="str">
        <f t="shared" si="1173"/>
        <v>S52.03.28</v>
      </c>
      <c r="M3312" s="7">
        <v>22.95</v>
      </c>
      <c r="N3312" s="7">
        <v>2042000</v>
      </c>
      <c r="O3312" s="7">
        <v>1998792</v>
      </c>
      <c r="P3312" s="7">
        <v>0</v>
      </c>
      <c r="Q3312" s="7" t="str">
        <f t="shared" si="1168"/>
        <v>都市整備部</v>
      </c>
      <c r="R3312" s="7" t="str">
        <f t="shared" si="1166"/>
        <v>住宅建築局住宅経営室</v>
      </c>
    </row>
    <row r="3313" spans="1:18" s="1" customFormat="1" x14ac:dyDescent="0.45">
      <c r="A3313" s="7" t="str">
        <f t="shared" si="1170"/>
        <v>09940003442</v>
      </c>
      <c r="B3313" s="7" t="str">
        <f t="shared" si="1171"/>
        <v>門真下馬伏</v>
      </c>
      <c r="C3313" s="7" t="str">
        <f t="shared" si="1167"/>
        <v>行政財産</v>
      </c>
      <c r="D3313" s="7" t="str">
        <f t="shared" si="1151"/>
        <v>公営住宅</v>
      </c>
      <c r="E3313" s="7" t="str">
        <f t="shared" si="1172"/>
        <v>大阪府門真市江端町</v>
      </c>
      <c r="F3313" s="7"/>
      <c r="G3313" s="7" t="str">
        <f t="shared" si="1165"/>
        <v>事業用資産</v>
      </c>
      <c r="H3313" s="7" t="str">
        <f t="shared" si="1158"/>
        <v>棚卸以外</v>
      </c>
      <c r="I3313" s="7">
        <v>11</v>
      </c>
      <c r="J3313" s="7" t="str">
        <f>"ポンプ室"</f>
        <v>ポンプ室</v>
      </c>
      <c r="K3313" s="7" t="str">
        <f t="shared" si="1169"/>
        <v>鉄筋コンクリート造</v>
      </c>
      <c r="L3313" s="7" t="str">
        <f t="shared" si="1173"/>
        <v>S52.03.28</v>
      </c>
      <c r="M3313" s="7">
        <v>28.8</v>
      </c>
      <c r="N3313" s="7">
        <v>2062000</v>
      </c>
      <c r="O3313" s="7">
        <v>2018664</v>
      </c>
      <c r="P3313" s="7">
        <v>0</v>
      </c>
      <c r="Q3313" s="7" t="str">
        <f t="shared" si="1168"/>
        <v>都市整備部</v>
      </c>
      <c r="R3313" s="7" t="str">
        <f t="shared" si="1166"/>
        <v>住宅建築局住宅経営室</v>
      </c>
    </row>
    <row r="3314" spans="1:18" s="1" customFormat="1" x14ac:dyDescent="0.45">
      <c r="A3314" s="7" t="str">
        <f t="shared" si="1170"/>
        <v>09940003442</v>
      </c>
      <c r="B3314" s="7" t="str">
        <f t="shared" si="1171"/>
        <v>門真下馬伏</v>
      </c>
      <c r="C3314" s="7" t="str">
        <f t="shared" si="1167"/>
        <v>行政財産</v>
      </c>
      <c r="D3314" s="7" t="str">
        <f t="shared" ref="D3314:D3377" si="1174">"公営住宅"</f>
        <v>公営住宅</v>
      </c>
      <c r="E3314" s="7" t="str">
        <f t="shared" si="1172"/>
        <v>大阪府門真市江端町</v>
      </c>
      <c r="F3314" s="7"/>
      <c r="G3314" s="7" t="str">
        <f t="shared" si="1165"/>
        <v>事業用資産</v>
      </c>
      <c r="H3314" s="7" t="str">
        <f t="shared" si="1158"/>
        <v>棚卸以外</v>
      </c>
      <c r="I3314" s="7">
        <v>12</v>
      </c>
      <c r="J3314" s="7" t="str">
        <f>"集会所"</f>
        <v>集会所</v>
      </c>
      <c r="K3314" s="7" t="str">
        <f t="shared" si="1169"/>
        <v>鉄筋コンクリート造</v>
      </c>
      <c r="L3314" s="7" t="str">
        <f>"S63.03.22"</f>
        <v>S63.03.22</v>
      </c>
      <c r="M3314" s="7">
        <v>33.79</v>
      </c>
      <c r="N3314" s="7">
        <v>9500000</v>
      </c>
      <c r="O3314" s="7">
        <v>7074480</v>
      </c>
      <c r="P3314" s="7">
        <v>0</v>
      </c>
      <c r="Q3314" s="7" t="str">
        <f t="shared" si="1168"/>
        <v>都市整備部</v>
      </c>
      <c r="R3314" s="7" t="str">
        <f t="shared" si="1166"/>
        <v>住宅建築局住宅経営室</v>
      </c>
    </row>
    <row r="3315" spans="1:18" s="1" customFormat="1" x14ac:dyDescent="0.45">
      <c r="A3315" s="7" t="str">
        <f t="shared" ref="A3315:A3324" si="1175">"09940003443"</f>
        <v>09940003443</v>
      </c>
      <c r="B3315" s="7" t="str">
        <f t="shared" ref="B3315:B3324" si="1176">"門真北岸和田"</f>
        <v>門真北岸和田</v>
      </c>
      <c r="C3315" s="7" t="str">
        <f t="shared" si="1167"/>
        <v>行政財産</v>
      </c>
      <c r="D3315" s="7" t="str">
        <f t="shared" si="1174"/>
        <v>公営住宅</v>
      </c>
      <c r="E3315" s="7" t="str">
        <f t="shared" ref="E3315:E3324" si="1177">"大阪府門真市北岸和田１丁目"</f>
        <v>大阪府門真市北岸和田１丁目</v>
      </c>
      <c r="F3315" s="7" t="str">
        <f t="shared" ref="F3315:F3324" si="1178">"２９－３"</f>
        <v>２９－３</v>
      </c>
      <c r="G3315" s="7" t="str">
        <f t="shared" si="1165"/>
        <v>事業用資産</v>
      </c>
      <c r="H3315" s="7" t="str">
        <f t="shared" si="1158"/>
        <v>棚卸以外</v>
      </c>
      <c r="I3315" s="7">
        <v>1</v>
      </c>
      <c r="J3315" s="7" t="str">
        <f>"１号棟"</f>
        <v>１号棟</v>
      </c>
      <c r="K3315" s="7" t="str">
        <f t="shared" si="1169"/>
        <v>鉄筋コンクリート造</v>
      </c>
      <c r="L3315" s="7" t="str">
        <f t="shared" ref="L3315:L3324" si="1179">"S54.03.28"</f>
        <v>S54.03.28</v>
      </c>
      <c r="M3315" s="7">
        <v>1844.28</v>
      </c>
      <c r="N3315" s="7">
        <v>176295000</v>
      </c>
      <c r="O3315" s="7">
        <v>165042240</v>
      </c>
      <c r="P3315" s="7">
        <v>0</v>
      </c>
      <c r="Q3315" s="7" t="str">
        <f t="shared" si="1168"/>
        <v>都市整備部</v>
      </c>
      <c r="R3315" s="7" t="str">
        <f t="shared" si="1166"/>
        <v>住宅建築局住宅経営室</v>
      </c>
    </row>
    <row r="3316" spans="1:18" s="1" customFormat="1" x14ac:dyDescent="0.45">
      <c r="A3316" s="7" t="str">
        <f t="shared" si="1175"/>
        <v>09940003443</v>
      </c>
      <c r="B3316" s="7" t="str">
        <f t="shared" si="1176"/>
        <v>門真北岸和田</v>
      </c>
      <c r="C3316" s="7" t="str">
        <f t="shared" si="1167"/>
        <v>行政財産</v>
      </c>
      <c r="D3316" s="7" t="str">
        <f t="shared" si="1174"/>
        <v>公営住宅</v>
      </c>
      <c r="E3316" s="7" t="str">
        <f t="shared" si="1177"/>
        <v>大阪府門真市北岸和田１丁目</v>
      </c>
      <c r="F3316" s="7" t="str">
        <f t="shared" si="1178"/>
        <v>２９－３</v>
      </c>
      <c r="G3316" s="7" t="str">
        <f t="shared" si="1165"/>
        <v>事業用資産</v>
      </c>
      <c r="H3316" s="7" t="str">
        <f t="shared" si="1158"/>
        <v>棚卸以外</v>
      </c>
      <c r="I3316" s="7">
        <v>2</v>
      </c>
      <c r="J3316" s="7" t="str">
        <f>"２・３棟"</f>
        <v>２・３棟</v>
      </c>
      <c r="K3316" s="7" t="str">
        <f t="shared" si="1169"/>
        <v>鉄筋コンクリート造</v>
      </c>
      <c r="L3316" s="7" t="str">
        <f t="shared" si="1179"/>
        <v>S54.03.28</v>
      </c>
      <c r="M3316" s="7">
        <v>1609.92</v>
      </c>
      <c r="N3316" s="7">
        <v>166043000</v>
      </c>
      <c r="O3316" s="7">
        <v>155444784</v>
      </c>
      <c r="P3316" s="7">
        <v>0</v>
      </c>
      <c r="Q3316" s="7" t="str">
        <f t="shared" si="1168"/>
        <v>都市整備部</v>
      </c>
      <c r="R3316" s="7" t="str">
        <f t="shared" si="1166"/>
        <v>住宅建築局住宅経営室</v>
      </c>
    </row>
    <row r="3317" spans="1:18" s="1" customFormat="1" x14ac:dyDescent="0.45">
      <c r="A3317" s="7" t="str">
        <f t="shared" si="1175"/>
        <v>09940003443</v>
      </c>
      <c r="B3317" s="7" t="str">
        <f t="shared" si="1176"/>
        <v>門真北岸和田</v>
      </c>
      <c r="C3317" s="7" t="str">
        <f t="shared" si="1167"/>
        <v>行政財産</v>
      </c>
      <c r="D3317" s="7" t="str">
        <f t="shared" si="1174"/>
        <v>公営住宅</v>
      </c>
      <c r="E3317" s="7" t="str">
        <f t="shared" si="1177"/>
        <v>大阪府門真市北岸和田１丁目</v>
      </c>
      <c r="F3317" s="7" t="str">
        <f t="shared" si="1178"/>
        <v>２９－３</v>
      </c>
      <c r="G3317" s="7" t="str">
        <f t="shared" si="1165"/>
        <v>事業用資産</v>
      </c>
      <c r="H3317" s="7" t="str">
        <f t="shared" si="1158"/>
        <v>棚卸以外</v>
      </c>
      <c r="I3317" s="7">
        <v>3</v>
      </c>
      <c r="J3317" s="7" t="str">
        <f>"４号棟"</f>
        <v>４号棟</v>
      </c>
      <c r="K3317" s="7" t="str">
        <f t="shared" si="1169"/>
        <v>鉄筋コンクリート造</v>
      </c>
      <c r="L3317" s="7" t="str">
        <f t="shared" si="1179"/>
        <v>S54.03.28</v>
      </c>
      <c r="M3317" s="7">
        <v>2084.89</v>
      </c>
      <c r="N3317" s="7">
        <v>189994000</v>
      </c>
      <c r="O3317" s="7">
        <v>177866832</v>
      </c>
      <c r="P3317" s="7">
        <v>0</v>
      </c>
      <c r="Q3317" s="7" t="str">
        <f t="shared" si="1168"/>
        <v>都市整備部</v>
      </c>
      <c r="R3317" s="7" t="str">
        <f t="shared" si="1166"/>
        <v>住宅建築局住宅経営室</v>
      </c>
    </row>
    <row r="3318" spans="1:18" s="1" customFormat="1" x14ac:dyDescent="0.45">
      <c r="A3318" s="7" t="str">
        <f t="shared" si="1175"/>
        <v>09940003443</v>
      </c>
      <c r="B3318" s="7" t="str">
        <f t="shared" si="1176"/>
        <v>門真北岸和田</v>
      </c>
      <c r="C3318" s="7" t="str">
        <f t="shared" si="1167"/>
        <v>行政財産</v>
      </c>
      <c r="D3318" s="7" t="str">
        <f t="shared" si="1174"/>
        <v>公営住宅</v>
      </c>
      <c r="E3318" s="7" t="str">
        <f t="shared" si="1177"/>
        <v>大阪府門真市北岸和田１丁目</v>
      </c>
      <c r="F3318" s="7" t="str">
        <f t="shared" si="1178"/>
        <v>２９－３</v>
      </c>
      <c r="G3318" s="7" t="str">
        <f t="shared" si="1165"/>
        <v>事業用資産</v>
      </c>
      <c r="H3318" s="7" t="str">
        <f t="shared" si="1158"/>
        <v>棚卸以外</v>
      </c>
      <c r="I3318" s="7">
        <v>4</v>
      </c>
      <c r="J3318" s="7" t="str">
        <f>"５号棟"</f>
        <v>５号棟</v>
      </c>
      <c r="K3318" s="7" t="str">
        <f t="shared" si="1169"/>
        <v>鉄筋コンクリート造</v>
      </c>
      <c r="L3318" s="7" t="str">
        <f t="shared" si="1179"/>
        <v>S54.03.28</v>
      </c>
      <c r="M3318" s="7">
        <v>838.03</v>
      </c>
      <c r="N3318" s="7">
        <v>92030000</v>
      </c>
      <c r="O3318" s="7">
        <v>86155872</v>
      </c>
      <c r="P3318" s="7">
        <v>0</v>
      </c>
      <c r="Q3318" s="7" t="str">
        <f t="shared" si="1168"/>
        <v>都市整備部</v>
      </c>
      <c r="R3318" s="7" t="str">
        <f t="shared" si="1166"/>
        <v>住宅建築局住宅経営室</v>
      </c>
    </row>
    <row r="3319" spans="1:18" s="1" customFormat="1" x14ac:dyDescent="0.45">
      <c r="A3319" s="7" t="str">
        <f t="shared" si="1175"/>
        <v>09940003443</v>
      </c>
      <c r="B3319" s="7" t="str">
        <f t="shared" si="1176"/>
        <v>門真北岸和田</v>
      </c>
      <c r="C3319" s="7" t="str">
        <f t="shared" si="1167"/>
        <v>行政財産</v>
      </c>
      <c r="D3319" s="7" t="str">
        <f t="shared" si="1174"/>
        <v>公営住宅</v>
      </c>
      <c r="E3319" s="7" t="str">
        <f t="shared" si="1177"/>
        <v>大阪府門真市北岸和田１丁目</v>
      </c>
      <c r="F3319" s="7" t="str">
        <f t="shared" si="1178"/>
        <v>２９－３</v>
      </c>
      <c r="G3319" s="7" t="str">
        <f t="shared" si="1165"/>
        <v>事業用資産</v>
      </c>
      <c r="H3319" s="7" t="str">
        <f t="shared" si="1158"/>
        <v>棚卸以外</v>
      </c>
      <c r="I3319" s="7">
        <v>5</v>
      </c>
      <c r="J3319" s="7" t="str">
        <f>"６号棟"</f>
        <v>６号棟</v>
      </c>
      <c r="K3319" s="7" t="str">
        <f t="shared" si="1169"/>
        <v>鉄筋コンクリート造</v>
      </c>
      <c r="L3319" s="7" t="str">
        <f t="shared" si="1179"/>
        <v>S54.03.28</v>
      </c>
      <c r="M3319" s="7">
        <v>1550.96</v>
      </c>
      <c r="N3319" s="7">
        <v>158824000</v>
      </c>
      <c r="O3319" s="7">
        <v>148686384</v>
      </c>
      <c r="P3319" s="7">
        <v>0</v>
      </c>
      <c r="Q3319" s="7" t="str">
        <f t="shared" si="1168"/>
        <v>都市整備部</v>
      </c>
      <c r="R3319" s="7" t="str">
        <f t="shared" si="1166"/>
        <v>住宅建築局住宅経営室</v>
      </c>
    </row>
    <row r="3320" spans="1:18" s="1" customFormat="1" x14ac:dyDescent="0.45">
      <c r="A3320" s="7" t="str">
        <f t="shared" si="1175"/>
        <v>09940003443</v>
      </c>
      <c r="B3320" s="7" t="str">
        <f t="shared" si="1176"/>
        <v>門真北岸和田</v>
      </c>
      <c r="C3320" s="7" t="str">
        <f t="shared" si="1167"/>
        <v>行政財産</v>
      </c>
      <c r="D3320" s="7" t="str">
        <f t="shared" si="1174"/>
        <v>公営住宅</v>
      </c>
      <c r="E3320" s="7" t="str">
        <f t="shared" si="1177"/>
        <v>大阪府門真市北岸和田１丁目</v>
      </c>
      <c r="F3320" s="7" t="str">
        <f t="shared" si="1178"/>
        <v>２９－３</v>
      </c>
      <c r="G3320" s="7" t="str">
        <f t="shared" si="1165"/>
        <v>事業用資産</v>
      </c>
      <c r="H3320" s="7" t="str">
        <f t="shared" si="1158"/>
        <v>棚卸以外</v>
      </c>
      <c r="I3320" s="7">
        <v>6</v>
      </c>
      <c r="J3320" s="7" t="str">
        <f>"７号棟"</f>
        <v>７号棟</v>
      </c>
      <c r="K3320" s="7" t="str">
        <f t="shared" si="1169"/>
        <v>鉄筋コンクリート造</v>
      </c>
      <c r="L3320" s="7" t="str">
        <f t="shared" si="1179"/>
        <v>S54.03.28</v>
      </c>
      <c r="M3320" s="7">
        <v>1702.41</v>
      </c>
      <c r="N3320" s="7">
        <v>162665000</v>
      </c>
      <c r="O3320" s="7">
        <v>152282592</v>
      </c>
      <c r="P3320" s="7">
        <v>0</v>
      </c>
      <c r="Q3320" s="7" t="str">
        <f t="shared" si="1168"/>
        <v>都市整備部</v>
      </c>
      <c r="R3320" s="7" t="str">
        <f t="shared" si="1166"/>
        <v>住宅建築局住宅経営室</v>
      </c>
    </row>
    <row r="3321" spans="1:18" s="1" customFormat="1" x14ac:dyDescent="0.45">
      <c r="A3321" s="7" t="str">
        <f t="shared" si="1175"/>
        <v>09940003443</v>
      </c>
      <c r="B3321" s="7" t="str">
        <f t="shared" si="1176"/>
        <v>門真北岸和田</v>
      </c>
      <c r="C3321" s="7" t="str">
        <f t="shared" si="1167"/>
        <v>行政財産</v>
      </c>
      <c r="D3321" s="7" t="str">
        <f t="shared" si="1174"/>
        <v>公営住宅</v>
      </c>
      <c r="E3321" s="7" t="str">
        <f t="shared" si="1177"/>
        <v>大阪府門真市北岸和田１丁目</v>
      </c>
      <c r="F3321" s="7" t="str">
        <f t="shared" si="1178"/>
        <v>２９－３</v>
      </c>
      <c r="G3321" s="7" t="str">
        <f t="shared" si="1165"/>
        <v>事業用資産</v>
      </c>
      <c r="H3321" s="7" t="str">
        <f t="shared" si="1158"/>
        <v>棚卸以外</v>
      </c>
      <c r="I3321" s="7">
        <v>7</v>
      </c>
      <c r="J3321" s="7" t="str">
        <f>"８号棟"</f>
        <v>８号棟</v>
      </c>
      <c r="K3321" s="7" t="str">
        <f t="shared" si="1169"/>
        <v>鉄筋コンクリート造</v>
      </c>
      <c r="L3321" s="7" t="str">
        <f t="shared" si="1179"/>
        <v>S54.03.28</v>
      </c>
      <c r="M3321" s="7">
        <v>416.98</v>
      </c>
      <c r="N3321" s="7">
        <v>43004000</v>
      </c>
      <c r="O3321" s="7">
        <v>40259472</v>
      </c>
      <c r="P3321" s="7">
        <v>0</v>
      </c>
      <c r="Q3321" s="7" t="str">
        <f t="shared" si="1168"/>
        <v>都市整備部</v>
      </c>
      <c r="R3321" s="7" t="str">
        <f t="shared" si="1166"/>
        <v>住宅建築局住宅経営室</v>
      </c>
    </row>
    <row r="3322" spans="1:18" s="1" customFormat="1" x14ac:dyDescent="0.45">
      <c r="A3322" s="7" t="str">
        <f t="shared" si="1175"/>
        <v>09940003443</v>
      </c>
      <c r="B3322" s="7" t="str">
        <f t="shared" si="1176"/>
        <v>門真北岸和田</v>
      </c>
      <c r="C3322" s="7" t="str">
        <f t="shared" si="1167"/>
        <v>行政財産</v>
      </c>
      <c r="D3322" s="7" t="str">
        <f t="shared" si="1174"/>
        <v>公営住宅</v>
      </c>
      <c r="E3322" s="7" t="str">
        <f t="shared" si="1177"/>
        <v>大阪府門真市北岸和田１丁目</v>
      </c>
      <c r="F3322" s="7" t="str">
        <f t="shared" si="1178"/>
        <v>２９－３</v>
      </c>
      <c r="G3322" s="7" t="str">
        <f t="shared" si="1165"/>
        <v>事業用資産</v>
      </c>
      <c r="H3322" s="7" t="str">
        <f t="shared" si="1158"/>
        <v>棚卸以外</v>
      </c>
      <c r="I3322" s="7">
        <v>8</v>
      </c>
      <c r="J3322" s="7" t="str">
        <f>"９号棟"</f>
        <v>９号棟</v>
      </c>
      <c r="K3322" s="7" t="str">
        <f t="shared" si="1169"/>
        <v>鉄筋コンクリート造</v>
      </c>
      <c r="L3322" s="7" t="str">
        <f t="shared" si="1179"/>
        <v>S54.03.28</v>
      </c>
      <c r="M3322" s="7">
        <v>3196.83</v>
      </c>
      <c r="N3322" s="7">
        <v>295129000</v>
      </c>
      <c r="O3322" s="7">
        <v>276291312</v>
      </c>
      <c r="P3322" s="7">
        <v>0</v>
      </c>
      <c r="Q3322" s="7" t="str">
        <f t="shared" si="1168"/>
        <v>都市整備部</v>
      </c>
      <c r="R3322" s="7" t="str">
        <f t="shared" si="1166"/>
        <v>住宅建築局住宅経営室</v>
      </c>
    </row>
    <row r="3323" spans="1:18" s="1" customFormat="1" x14ac:dyDescent="0.45">
      <c r="A3323" s="7" t="str">
        <f t="shared" si="1175"/>
        <v>09940003443</v>
      </c>
      <c r="B3323" s="7" t="str">
        <f t="shared" si="1176"/>
        <v>門真北岸和田</v>
      </c>
      <c r="C3323" s="7" t="str">
        <f t="shared" si="1167"/>
        <v>行政財産</v>
      </c>
      <c r="D3323" s="7" t="str">
        <f t="shared" si="1174"/>
        <v>公営住宅</v>
      </c>
      <c r="E3323" s="7" t="str">
        <f t="shared" si="1177"/>
        <v>大阪府門真市北岸和田１丁目</v>
      </c>
      <c r="F3323" s="7" t="str">
        <f t="shared" si="1178"/>
        <v>２９－３</v>
      </c>
      <c r="G3323" s="7" t="str">
        <f t="shared" si="1165"/>
        <v>事業用資産</v>
      </c>
      <c r="H3323" s="7" t="str">
        <f t="shared" si="1158"/>
        <v>棚卸以外</v>
      </c>
      <c r="I3323" s="7">
        <v>9</v>
      </c>
      <c r="J3323" s="7" t="str">
        <f>"集会所"</f>
        <v>集会所</v>
      </c>
      <c r="K3323" s="7" t="str">
        <f t="shared" si="1169"/>
        <v>鉄筋コンクリート造</v>
      </c>
      <c r="L3323" s="7" t="str">
        <f t="shared" si="1179"/>
        <v>S54.03.28</v>
      </c>
      <c r="M3323" s="7">
        <v>101.74</v>
      </c>
      <c r="N3323" s="7">
        <v>21020000</v>
      </c>
      <c r="O3323" s="7">
        <v>15856944</v>
      </c>
      <c r="P3323" s="7">
        <v>0</v>
      </c>
      <c r="Q3323" s="7" t="str">
        <f t="shared" si="1168"/>
        <v>都市整備部</v>
      </c>
      <c r="R3323" s="7" t="str">
        <f t="shared" si="1166"/>
        <v>住宅建築局住宅経営室</v>
      </c>
    </row>
    <row r="3324" spans="1:18" s="1" customFormat="1" x14ac:dyDescent="0.45">
      <c r="A3324" s="7" t="str">
        <f t="shared" si="1175"/>
        <v>09940003443</v>
      </c>
      <c r="B3324" s="7" t="str">
        <f t="shared" si="1176"/>
        <v>門真北岸和田</v>
      </c>
      <c r="C3324" s="7" t="str">
        <f t="shared" si="1167"/>
        <v>行政財産</v>
      </c>
      <c r="D3324" s="7" t="str">
        <f t="shared" si="1174"/>
        <v>公営住宅</v>
      </c>
      <c r="E3324" s="7" t="str">
        <f t="shared" si="1177"/>
        <v>大阪府門真市北岸和田１丁目</v>
      </c>
      <c r="F3324" s="7" t="str">
        <f t="shared" si="1178"/>
        <v>２９－３</v>
      </c>
      <c r="G3324" s="7" t="str">
        <f t="shared" si="1165"/>
        <v>事業用資産</v>
      </c>
      <c r="H3324" s="7" t="str">
        <f t="shared" si="1158"/>
        <v>棚卸以外</v>
      </c>
      <c r="I3324" s="7">
        <v>10</v>
      </c>
      <c r="J3324" s="7" t="str">
        <f>"ポンプ室"</f>
        <v>ポンプ室</v>
      </c>
      <c r="K3324" s="7" t="str">
        <f t="shared" si="1169"/>
        <v>鉄筋コンクリート造</v>
      </c>
      <c r="L3324" s="7" t="str">
        <f t="shared" si="1179"/>
        <v>S54.03.28</v>
      </c>
      <c r="M3324" s="7">
        <v>78</v>
      </c>
      <c r="N3324" s="7">
        <v>21843000</v>
      </c>
      <c r="O3324" s="7">
        <v>20448912</v>
      </c>
      <c r="P3324" s="7">
        <v>0</v>
      </c>
      <c r="Q3324" s="7" t="str">
        <f t="shared" si="1168"/>
        <v>都市整備部</v>
      </c>
      <c r="R3324" s="7" t="str">
        <f t="shared" si="1166"/>
        <v>住宅建築局住宅経営室</v>
      </c>
    </row>
    <row r="3325" spans="1:18" s="1" customFormat="1" x14ac:dyDescent="0.45">
      <c r="A3325" s="7" t="str">
        <f>"09940003448"</f>
        <v>09940003448</v>
      </c>
      <c r="B3325" s="7" t="str">
        <f>"摂津南別府"</f>
        <v>摂津南別府</v>
      </c>
      <c r="C3325" s="7" t="str">
        <f t="shared" si="1167"/>
        <v>行政財産</v>
      </c>
      <c r="D3325" s="7" t="str">
        <f t="shared" si="1174"/>
        <v>公営住宅</v>
      </c>
      <c r="E3325" s="7" t="str">
        <f>"大阪府摂津市大字別府"</f>
        <v>大阪府摂津市大字別府</v>
      </c>
      <c r="F3325" s="7"/>
      <c r="G3325" s="7" t="str">
        <f t="shared" si="1165"/>
        <v>事業用資産</v>
      </c>
      <c r="H3325" s="7" t="str">
        <f t="shared" si="1158"/>
        <v>棚卸以外</v>
      </c>
      <c r="I3325" s="7">
        <v>1</v>
      </c>
      <c r="J3325" s="7" t="str">
        <f>"１～４号棟"</f>
        <v>１～４号棟</v>
      </c>
      <c r="K3325" s="7" t="str">
        <f t="shared" ref="K3325:K3349" si="1180">"鉄筋コンクリート造"</f>
        <v>鉄筋コンクリート造</v>
      </c>
      <c r="L3325" s="7" t="str">
        <f>"S48.08.14"</f>
        <v>S48.08.14</v>
      </c>
      <c r="M3325" s="7">
        <v>39062.89</v>
      </c>
      <c r="N3325" s="7">
        <v>4765187249</v>
      </c>
      <c r="O3325" s="7">
        <v>2715976100</v>
      </c>
      <c r="P3325" s="7">
        <v>0</v>
      </c>
      <c r="Q3325" s="7" t="str">
        <f t="shared" si="1168"/>
        <v>都市整備部</v>
      </c>
      <c r="R3325" s="7" t="str">
        <f t="shared" si="1166"/>
        <v>住宅建築局住宅経営室</v>
      </c>
    </row>
    <row r="3326" spans="1:18" s="1" customFormat="1" x14ac:dyDescent="0.45">
      <c r="A3326" s="7" t="str">
        <f>"09940003448"</f>
        <v>09940003448</v>
      </c>
      <c r="B3326" s="7" t="str">
        <f>"摂津南別府"</f>
        <v>摂津南別府</v>
      </c>
      <c r="C3326" s="7" t="str">
        <f t="shared" si="1167"/>
        <v>行政財産</v>
      </c>
      <c r="D3326" s="7" t="str">
        <f t="shared" si="1174"/>
        <v>公営住宅</v>
      </c>
      <c r="E3326" s="7" t="str">
        <f>"大阪府摂津市大字別府"</f>
        <v>大阪府摂津市大字別府</v>
      </c>
      <c r="F3326" s="7"/>
      <c r="G3326" s="7" t="str">
        <f t="shared" si="1165"/>
        <v>事業用資産</v>
      </c>
      <c r="H3326" s="7" t="str">
        <f t="shared" si="1158"/>
        <v>棚卸以外</v>
      </c>
      <c r="I3326" s="7">
        <v>2</v>
      </c>
      <c r="J3326" s="7" t="str">
        <f>"受水槽（１２５ｔ）"</f>
        <v>受水槽（１２５ｔ）</v>
      </c>
      <c r="K3326" s="7" t="str">
        <f t="shared" si="1180"/>
        <v>鉄筋コンクリート造</v>
      </c>
      <c r="L3326" s="7" t="str">
        <f>"S49.03.18"</f>
        <v>S49.03.18</v>
      </c>
      <c r="M3326" s="7">
        <v>88</v>
      </c>
      <c r="N3326" s="7">
        <v>6946000</v>
      </c>
      <c r="O3326" s="7">
        <v>6945999</v>
      </c>
      <c r="P3326" s="7">
        <v>0</v>
      </c>
      <c r="Q3326" s="7" t="str">
        <f t="shared" si="1168"/>
        <v>都市整備部</v>
      </c>
      <c r="R3326" s="7" t="str">
        <f t="shared" si="1166"/>
        <v>住宅建築局住宅経営室</v>
      </c>
    </row>
    <row r="3327" spans="1:18" s="1" customFormat="1" x14ac:dyDescent="0.45">
      <c r="A3327" s="7" t="str">
        <f>"09940003448"</f>
        <v>09940003448</v>
      </c>
      <c r="B3327" s="7" t="str">
        <f>"摂津南別府"</f>
        <v>摂津南別府</v>
      </c>
      <c r="C3327" s="7" t="str">
        <f t="shared" si="1167"/>
        <v>行政財産</v>
      </c>
      <c r="D3327" s="7" t="str">
        <f t="shared" si="1174"/>
        <v>公営住宅</v>
      </c>
      <c r="E3327" s="7" t="str">
        <f>"大阪府摂津市大字別府"</f>
        <v>大阪府摂津市大字別府</v>
      </c>
      <c r="F3327" s="7"/>
      <c r="G3327" s="7" t="str">
        <f t="shared" si="1165"/>
        <v>事業用資産</v>
      </c>
      <c r="H3327" s="7" t="str">
        <f t="shared" si="1158"/>
        <v>棚卸以外</v>
      </c>
      <c r="I3327" s="7">
        <v>3</v>
      </c>
      <c r="J3327" s="7" t="str">
        <f>"受水槽（１８０ｔ）"</f>
        <v>受水槽（１８０ｔ）</v>
      </c>
      <c r="K3327" s="7" t="str">
        <f t="shared" si="1180"/>
        <v>鉄筋コンクリート造</v>
      </c>
      <c r="L3327" s="7" t="str">
        <f>"S49.03.18"</f>
        <v>S49.03.18</v>
      </c>
      <c r="M3327" s="7">
        <v>115</v>
      </c>
      <c r="N3327" s="7">
        <v>8337000</v>
      </c>
      <c r="O3327" s="7">
        <v>8336999</v>
      </c>
      <c r="P3327" s="7">
        <v>0</v>
      </c>
      <c r="Q3327" s="7" t="str">
        <f t="shared" si="1168"/>
        <v>都市整備部</v>
      </c>
      <c r="R3327" s="7" t="str">
        <f t="shared" si="1166"/>
        <v>住宅建築局住宅経営室</v>
      </c>
    </row>
    <row r="3328" spans="1:18" s="1" customFormat="1" x14ac:dyDescent="0.45">
      <c r="A3328" s="7" t="str">
        <f>"09940003448"</f>
        <v>09940003448</v>
      </c>
      <c r="B3328" s="7" t="str">
        <f>"摂津南別府"</f>
        <v>摂津南別府</v>
      </c>
      <c r="C3328" s="7" t="str">
        <f t="shared" si="1167"/>
        <v>行政財産</v>
      </c>
      <c r="D3328" s="7" t="str">
        <f t="shared" si="1174"/>
        <v>公営住宅</v>
      </c>
      <c r="E3328" s="7" t="str">
        <f>"大阪府摂津市大字別府"</f>
        <v>大阪府摂津市大字別府</v>
      </c>
      <c r="F3328" s="7"/>
      <c r="G3328" s="7" t="str">
        <f t="shared" si="1165"/>
        <v>事業用資産</v>
      </c>
      <c r="H3328" s="7" t="str">
        <f t="shared" si="1158"/>
        <v>棚卸以外</v>
      </c>
      <c r="I3328" s="7">
        <v>4</v>
      </c>
      <c r="J3328" s="7" t="str">
        <f>"電気室"</f>
        <v>電気室</v>
      </c>
      <c r="K3328" s="7" t="str">
        <f t="shared" si="1180"/>
        <v>鉄筋コンクリート造</v>
      </c>
      <c r="L3328" s="7" t="str">
        <f>"S49.03.18"</f>
        <v>S49.03.18</v>
      </c>
      <c r="M3328" s="7">
        <v>112</v>
      </c>
      <c r="N3328" s="7">
        <v>4120000</v>
      </c>
      <c r="O3328" s="7">
        <v>4119999</v>
      </c>
      <c r="P3328" s="7">
        <v>0</v>
      </c>
      <c r="Q3328" s="7" t="str">
        <f t="shared" si="1168"/>
        <v>都市整備部</v>
      </c>
      <c r="R3328" s="7" t="str">
        <f t="shared" si="1166"/>
        <v>住宅建築局住宅経営室</v>
      </c>
    </row>
    <row r="3329" spans="1:18" s="1" customFormat="1" x14ac:dyDescent="0.45">
      <c r="A3329" s="7" t="str">
        <f>"09940003450"</f>
        <v>09940003450</v>
      </c>
      <c r="B3329" s="7" t="str">
        <f>"摂津味生"</f>
        <v>摂津味生</v>
      </c>
      <c r="C3329" s="7" t="str">
        <f t="shared" si="1167"/>
        <v>行政財産</v>
      </c>
      <c r="D3329" s="7" t="str">
        <f t="shared" si="1174"/>
        <v>公営住宅</v>
      </c>
      <c r="E3329" s="7" t="str">
        <f>"大阪府摂津市一津屋１丁目"</f>
        <v>大阪府摂津市一津屋１丁目</v>
      </c>
      <c r="F3329" s="7"/>
      <c r="G3329" s="7" t="str">
        <f t="shared" si="1165"/>
        <v>事業用資産</v>
      </c>
      <c r="H3329" s="7" t="str">
        <f t="shared" si="1158"/>
        <v>棚卸以外</v>
      </c>
      <c r="I3329" s="7">
        <v>1</v>
      </c>
      <c r="J3329" s="7" t="str">
        <f>"１号棟"</f>
        <v>１号棟</v>
      </c>
      <c r="K3329" s="7" t="str">
        <f t="shared" si="1180"/>
        <v>鉄筋コンクリート造</v>
      </c>
      <c r="L3329" s="7" t="str">
        <f>"S52.07.27"</f>
        <v>S52.07.27</v>
      </c>
      <c r="M3329" s="7">
        <v>1773</v>
      </c>
      <c r="N3329" s="7">
        <v>171534000</v>
      </c>
      <c r="O3329" s="7">
        <v>166668172</v>
      </c>
      <c r="P3329" s="7">
        <v>0</v>
      </c>
      <c r="Q3329" s="7" t="str">
        <f t="shared" si="1168"/>
        <v>都市整備部</v>
      </c>
      <c r="R3329" s="7" t="str">
        <f t="shared" si="1166"/>
        <v>住宅建築局住宅経営室</v>
      </c>
    </row>
    <row r="3330" spans="1:18" s="1" customFormat="1" x14ac:dyDescent="0.45">
      <c r="A3330" s="7" t="str">
        <f>"09940003450"</f>
        <v>09940003450</v>
      </c>
      <c r="B3330" s="7" t="str">
        <f>"摂津味生"</f>
        <v>摂津味生</v>
      </c>
      <c r="C3330" s="7" t="str">
        <f t="shared" si="1167"/>
        <v>行政財産</v>
      </c>
      <c r="D3330" s="7" t="str">
        <f t="shared" si="1174"/>
        <v>公営住宅</v>
      </c>
      <c r="E3330" s="7" t="str">
        <f>"大阪府摂津市一津屋１丁目"</f>
        <v>大阪府摂津市一津屋１丁目</v>
      </c>
      <c r="F3330" s="7"/>
      <c r="G3330" s="7" t="str">
        <f t="shared" si="1165"/>
        <v>事業用資産</v>
      </c>
      <c r="H3330" s="7" t="str">
        <f t="shared" si="1158"/>
        <v>棚卸以外</v>
      </c>
      <c r="I3330" s="7">
        <v>2</v>
      </c>
      <c r="J3330" s="7" t="str">
        <f>"２号棟"</f>
        <v>２号棟</v>
      </c>
      <c r="K3330" s="7" t="str">
        <f t="shared" si="1180"/>
        <v>鉄筋コンクリート造</v>
      </c>
      <c r="L3330" s="7" t="str">
        <f>"S52.07.27"</f>
        <v>S52.07.27</v>
      </c>
      <c r="M3330" s="7">
        <v>1773</v>
      </c>
      <c r="N3330" s="7">
        <v>171534000</v>
      </c>
      <c r="O3330" s="7">
        <v>166668172</v>
      </c>
      <c r="P3330" s="7">
        <v>0</v>
      </c>
      <c r="Q3330" s="7" t="str">
        <f t="shared" si="1168"/>
        <v>都市整備部</v>
      </c>
      <c r="R3330" s="7" t="str">
        <f t="shared" si="1166"/>
        <v>住宅建築局住宅経営室</v>
      </c>
    </row>
    <row r="3331" spans="1:18" s="1" customFormat="1" x14ac:dyDescent="0.45">
      <c r="A3331" s="7" t="str">
        <f>"09940003450"</f>
        <v>09940003450</v>
      </c>
      <c r="B3331" s="7" t="str">
        <f>"摂津味生"</f>
        <v>摂津味生</v>
      </c>
      <c r="C3331" s="7" t="str">
        <f t="shared" si="1167"/>
        <v>行政財産</v>
      </c>
      <c r="D3331" s="7" t="str">
        <f t="shared" si="1174"/>
        <v>公営住宅</v>
      </c>
      <c r="E3331" s="7" t="str">
        <f>"大阪府摂津市一津屋１丁目"</f>
        <v>大阪府摂津市一津屋１丁目</v>
      </c>
      <c r="F3331" s="7"/>
      <c r="G3331" s="7" t="str">
        <f t="shared" si="1165"/>
        <v>事業用資産</v>
      </c>
      <c r="H3331" s="7" t="str">
        <f t="shared" si="1158"/>
        <v>棚卸以外</v>
      </c>
      <c r="I3331" s="7">
        <v>3</v>
      </c>
      <c r="J3331" s="7" t="str">
        <f>"集会所"</f>
        <v>集会所</v>
      </c>
      <c r="K3331" s="7" t="str">
        <f t="shared" si="1180"/>
        <v>鉄筋コンクリート造</v>
      </c>
      <c r="L3331" s="7" t="str">
        <f>"S52.07.27"</f>
        <v>S52.07.27</v>
      </c>
      <c r="M3331" s="7">
        <v>84</v>
      </c>
      <c r="N3331" s="7">
        <v>9010580</v>
      </c>
      <c r="O3331" s="7">
        <v>8374834</v>
      </c>
      <c r="P3331" s="7">
        <v>0</v>
      </c>
      <c r="Q3331" s="7" t="str">
        <f t="shared" si="1168"/>
        <v>都市整備部</v>
      </c>
      <c r="R3331" s="7" t="str">
        <f t="shared" si="1166"/>
        <v>住宅建築局住宅経営室</v>
      </c>
    </row>
    <row r="3332" spans="1:18" s="1" customFormat="1" x14ac:dyDescent="0.45">
      <c r="A3332" s="7" t="str">
        <f>"09940003459"</f>
        <v>09940003459</v>
      </c>
      <c r="B3332" s="7" t="str">
        <f>"豊中上新田"</f>
        <v>豊中上新田</v>
      </c>
      <c r="C3332" s="7" t="str">
        <f t="shared" si="1167"/>
        <v>行政財産</v>
      </c>
      <c r="D3332" s="7" t="str">
        <f t="shared" si="1174"/>
        <v>公営住宅</v>
      </c>
      <c r="E3332" s="7" t="str">
        <f>"大阪府豊中市上新田４丁目"</f>
        <v>大阪府豊中市上新田４丁目</v>
      </c>
      <c r="F3332" s="7"/>
      <c r="G3332" s="7" t="str">
        <f t="shared" si="1165"/>
        <v>事業用資産</v>
      </c>
      <c r="H3332" s="7" t="str">
        <f t="shared" ref="H3332:H3395" si="1181">"棚卸以外"</f>
        <v>棚卸以外</v>
      </c>
      <c r="I3332" s="7">
        <v>1</v>
      </c>
      <c r="J3332" s="7" t="str">
        <f>"１号棟"</f>
        <v>１号棟</v>
      </c>
      <c r="K3332" s="7" t="str">
        <f t="shared" si="1180"/>
        <v>鉄筋コンクリート造</v>
      </c>
      <c r="L3332" s="7" t="str">
        <f>"H09.03.27"</f>
        <v>H09.03.27</v>
      </c>
      <c r="M3332" s="7">
        <v>5126.16</v>
      </c>
      <c r="N3332" s="7">
        <v>1158575183</v>
      </c>
      <c r="O3332" s="7">
        <v>637705184</v>
      </c>
      <c r="P3332" s="7">
        <v>0</v>
      </c>
      <c r="Q3332" s="7" t="str">
        <f t="shared" si="1168"/>
        <v>都市整備部</v>
      </c>
      <c r="R3332" s="7" t="str">
        <f t="shared" si="1166"/>
        <v>住宅建築局住宅経営室</v>
      </c>
    </row>
    <row r="3333" spans="1:18" s="1" customFormat="1" x14ac:dyDescent="0.45">
      <c r="A3333" s="7" t="str">
        <f>"09940003459"</f>
        <v>09940003459</v>
      </c>
      <c r="B3333" s="7" t="str">
        <f>"豊中上新田"</f>
        <v>豊中上新田</v>
      </c>
      <c r="C3333" s="7" t="str">
        <f t="shared" si="1167"/>
        <v>行政財産</v>
      </c>
      <c r="D3333" s="7" t="str">
        <f t="shared" si="1174"/>
        <v>公営住宅</v>
      </c>
      <c r="E3333" s="7" t="str">
        <f>"大阪府豊中市上新田４丁目"</f>
        <v>大阪府豊中市上新田４丁目</v>
      </c>
      <c r="F3333" s="7"/>
      <c r="G3333" s="7" t="str">
        <f t="shared" si="1165"/>
        <v>事業用資産</v>
      </c>
      <c r="H3333" s="7" t="str">
        <f t="shared" si="1181"/>
        <v>棚卸以外</v>
      </c>
      <c r="I3333" s="7">
        <v>2</v>
      </c>
      <c r="J3333" s="7" t="str">
        <f>"２号棟"</f>
        <v>２号棟</v>
      </c>
      <c r="K3333" s="7" t="str">
        <f t="shared" si="1180"/>
        <v>鉄筋コンクリート造</v>
      </c>
      <c r="L3333" s="7" t="str">
        <f>"H09.03.27"</f>
        <v>H09.03.27</v>
      </c>
      <c r="M3333" s="7">
        <v>6634.22</v>
      </c>
      <c r="N3333" s="7">
        <v>1787828184</v>
      </c>
      <c r="O3333" s="7">
        <v>985802648</v>
      </c>
      <c r="P3333" s="7">
        <v>0</v>
      </c>
      <c r="Q3333" s="7" t="str">
        <f t="shared" si="1168"/>
        <v>都市整備部</v>
      </c>
      <c r="R3333" s="7" t="str">
        <f t="shared" si="1166"/>
        <v>住宅建築局住宅経営室</v>
      </c>
    </row>
    <row r="3334" spans="1:18" s="1" customFormat="1" x14ac:dyDescent="0.45">
      <c r="A3334" s="7" t="str">
        <f>"09940003459"</f>
        <v>09940003459</v>
      </c>
      <c r="B3334" s="7" t="str">
        <f>"豊中上新田"</f>
        <v>豊中上新田</v>
      </c>
      <c r="C3334" s="7" t="str">
        <f t="shared" si="1167"/>
        <v>行政財産</v>
      </c>
      <c r="D3334" s="7" t="str">
        <f t="shared" si="1174"/>
        <v>公営住宅</v>
      </c>
      <c r="E3334" s="7" t="str">
        <f>"大阪府豊中市上新田４丁目"</f>
        <v>大阪府豊中市上新田４丁目</v>
      </c>
      <c r="F3334" s="7"/>
      <c r="G3334" s="7" t="str">
        <f t="shared" si="1165"/>
        <v>事業用資産</v>
      </c>
      <c r="H3334" s="7" t="str">
        <f t="shared" si="1181"/>
        <v>棚卸以外</v>
      </c>
      <c r="I3334" s="7">
        <v>3</v>
      </c>
      <c r="J3334" s="7" t="str">
        <f>"集会室棟"</f>
        <v>集会室棟</v>
      </c>
      <c r="K3334" s="7" t="str">
        <f t="shared" si="1180"/>
        <v>鉄筋コンクリート造</v>
      </c>
      <c r="L3334" s="7" t="str">
        <f>"H09.03.27"</f>
        <v>H09.03.27</v>
      </c>
      <c r="M3334" s="7">
        <v>233.15</v>
      </c>
      <c r="N3334" s="7">
        <v>76452000</v>
      </c>
      <c r="O3334" s="7">
        <v>42292848</v>
      </c>
      <c r="P3334" s="7">
        <v>0</v>
      </c>
      <c r="Q3334" s="7" t="str">
        <f t="shared" si="1168"/>
        <v>都市整備部</v>
      </c>
      <c r="R3334" s="7" t="str">
        <f t="shared" si="1166"/>
        <v>住宅建築局住宅経営室</v>
      </c>
    </row>
    <row r="3335" spans="1:18" s="1" customFormat="1" x14ac:dyDescent="0.45">
      <c r="A3335" s="7" t="str">
        <f>"09940003459"</f>
        <v>09940003459</v>
      </c>
      <c r="B3335" s="7" t="str">
        <f>"豊中上新田"</f>
        <v>豊中上新田</v>
      </c>
      <c r="C3335" s="7" t="str">
        <f t="shared" si="1167"/>
        <v>行政財産</v>
      </c>
      <c r="D3335" s="7" t="str">
        <f t="shared" si="1174"/>
        <v>公営住宅</v>
      </c>
      <c r="E3335" s="7" t="str">
        <f>"大阪府豊中市上新田４丁目"</f>
        <v>大阪府豊中市上新田４丁目</v>
      </c>
      <c r="F3335" s="7"/>
      <c r="G3335" s="7" t="str">
        <f t="shared" si="1165"/>
        <v>事業用資産</v>
      </c>
      <c r="H3335" s="7" t="str">
        <f t="shared" si="1181"/>
        <v>棚卸以外</v>
      </c>
      <c r="I3335" s="7">
        <v>4</v>
      </c>
      <c r="J3335" s="7" t="str">
        <f>"受水槽ポンプ室"</f>
        <v>受水槽ポンプ室</v>
      </c>
      <c r="K3335" s="7" t="str">
        <f t="shared" si="1180"/>
        <v>鉄筋コンクリート造</v>
      </c>
      <c r="L3335" s="7" t="str">
        <f>"H09.03.27"</f>
        <v>H09.03.27</v>
      </c>
      <c r="M3335" s="7">
        <v>57.6</v>
      </c>
      <c r="N3335" s="7">
        <v>31889000</v>
      </c>
      <c r="O3335" s="7">
        <v>17640792</v>
      </c>
      <c r="P3335" s="7">
        <v>0</v>
      </c>
      <c r="Q3335" s="7" t="str">
        <f t="shared" si="1168"/>
        <v>都市整備部</v>
      </c>
      <c r="R3335" s="7" t="str">
        <f t="shared" si="1166"/>
        <v>住宅建築局住宅経営室</v>
      </c>
    </row>
    <row r="3336" spans="1:18" s="1" customFormat="1" x14ac:dyDescent="0.45">
      <c r="A3336" s="7" t="str">
        <f t="shared" ref="A3336:A3360" si="1182">"09940003461"</f>
        <v>09940003461</v>
      </c>
      <c r="B3336" s="7" t="str">
        <f t="shared" ref="B3336:B3360" si="1183">"堺福田"</f>
        <v>堺福田</v>
      </c>
      <c r="C3336" s="7" t="str">
        <f t="shared" si="1167"/>
        <v>行政財産</v>
      </c>
      <c r="D3336" s="7" t="str">
        <f t="shared" si="1174"/>
        <v>公営住宅</v>
      </c>
      <c r="E3336" s="7" t="str">
        <f t="shared" ref="E3336:E3360" si="1184">"大阪府堺市　中区福田"</f>
        <v>大阪府堺市　中区福田</v>
      </c>
      <c r="F3336" s="7"/>
      <c r="G3336" s="7" t="str">
        <f t="shared" si="1165"/>
        <v>事業用資産</v>
      </c>
      <c r="H3336" s="7" t="str">
        <f t="shared" si="1181"/>
        <v>棚卸以外</v>
      </c>
      <c r="I3336" s="7">
        <v>1</v>
      </c>
      <c r="J3336" s="7" t="str">
        <f>"１号棟"</f>
        <v>１号棟</v>
      </c>
      <c r="K3336" s="7" t="str">
        <f t="shared" si="1180"/>
        <v>鉄筋コンクリート造</v>
      </c>
      <c r="L3336" s="7" t="str">
        <f t="shared" ref="L3336:L3343" si="1185">"H01.08.01"</f>
        <v>H01.08.01</v>
      </c>
      <c r="M3336" s="7">
        <v>943.87</v>
      </c>
      <c r="N3336" s="7">
        <v>101900000</v>
      </c>
      <c r="O3336" s="7">
        <v>72811622</v>
      </c>
      <c r="P3336" s="7">
        <v>0</v>
      </c>
      <c r="Q3336" s="7" t="str">
        <f t="shared" si="1168"/>
        <v>都市整備部</v>
      </c>
      <c r="R3336" s="7" t="str">
        <f t="shared" si="1166"/>
        <v>住宅建築局住宅経営室</v>
      </c>
    </row>
    <row r="3337" spans="1:18" s="1" customFormat="1" x14ac:dyDescent="0.45">
      <c r="A3337" s="7" t="str">
        <f t="shared" si="1182"/>
        <v>09940003461</v>
      </c>
      <c r="B3337" s="7" t="str">
        <f t="shared" si="1183"/>
        <v>堺福田</v>
      </c>
      <c r="C3337" s="7" t="str">
        <f t="shared" si="1167"/>
        <v>行政財産</v>
      </c>
      <c r="D3337" s="7" t="str">
        <f t="shared" si="1174"/>
        <v>公営住宅</v>
      </c>
      <c r="E3337" s="7" t="str">
        <f t="shared" si="1184"/>
        <v>大阪府堺市　中区福田</v>
      </c>
      <c r="F3337" s="7"/>
      <c r="G3337" s="7" t="str">
        <f t="shared" si="1165"/>
        <v>事業用資産</v>
      </c>
      <c r="H3337" s="7" t="str">
        <f t="shared" si="1181"/>
        <v>棚卸以外</v>
      </c>
      <c r="I3337" s="7">
        <v>2</v>
      </c>
      <c r="J3337" s="7" t="str">
        <f>"２号棟"</f>
        <v>２号棟</v>
      </c>
      <c r="K3337" s="7" t="str">
        <f t="shared" si="1180"/>
        <v>鉄筋コンクリート造</v>
      </c>
      <c r="L3337" s="7" t="str">
        <f t="shared" si="1185"/>
        <v>H01.08.01</v>
      </c>
      <c r="M3337" s="7">
        <v>2226.3000000000002</v>
      </c>
      <c r="N3337" s="7">
        <v>231599749</v>
      </c>
      <c r="O3337" s="7">
        <v>165318416</v>
      </c>
      <c r="P3337" s="7">
        <v>0</v>
      </c>
      <c r="Q3337" s="7" t="str">
        <f t="shared" si="1168"/>
        <v>都市整備部</v>
      </c>
      <c r="R3337" s="7" t="str">
        <f t="shared" si="1166"/>
        <v>住宅建築局住宅経営室</v>
      </c>
    </row>
    <row r="3338" spans="1:18" s="1" customFormat="1" x14ac:dyDescent="0.45">
      <c r="A3338" s="7" t="str">
        <f t="shared" si="1182"/>
        <v>09940003461</v>
      </c>
      <c r="B3338" s="7" t="str">
        <f t="shared" si="1183"/>
        <v>堺福田</v>
      </c>
      <c r="C3338" s="7" t="str">
        <f t="shared" si="1167"/>
        <v>行政財産</v>
      </c>
      <c r="D3338" s="7" t="str">
        <f t="shared" si="1174"/>
        <v>公営住宅</v>
      </c>
      <c r="E3338" s="7" t="str">
        <f t="shared" si="1184"/>
        <v>大阪府堺市　中区福田</v>
      </c>
      <c r="F3338" s="7"/>
      <c r="G3338" s="7" t="str">
        <f t="shared" si="1165"/>
        <v>事業用資産</v>
      </c>
      <c r="H3338" s="7" t="str">
        <f t="shared" si="1181"/>
        <v>棚卸以外</v>
      </c>
      <c r="I3338" s="7">
        <v>3</v>
      </c>
      <c r="J3338" s="7" t="str">
        <f>"３号棟"</f>
        <v>３号棟</v>
      </c>
      <c r="K3338" s="7" t="str">
        <f t="shared" si="1180"/>
        <v>鉄筋コンクリート造</v>
      </c>
      <c r="L3338" s="7" t="str">
        <f t="shared" si="1185"/>
        <v>H01.08.01</v>
      </c>
      <c r="M3338" s="7">
        <v>2239.7800000000002</v>
      </c>
      <c r="N3338" s="7">
        <v>228504000</v>
      </c>
      <c r="O3338" s="7">
        <v>163680196</v>
      </c>
      <c r="P3338" s="7">
        <v>0</v>
      </c>
      <c r="Q3338" s="7" t="str">
        <f t="shared" si="1168"/>
        <v>都市整備部</v>
      </c>
      <c r="R3338" s="7" t="str">
        <f t="shared" si="1166"/>
        <v>住宅建築局住宅経営室</v>
      </c>
    </row>
    <row r="3339" spans="1:18" s="1" customFormat="1" x14ac:dyDescent="0.45">
      <c r="A3339" s="7" t="str">
        <f t="shared" si="1182"/>
        <v>09940003461</v>
      </c>
      <c r="B3339" s="7" t="str">
        <f t="shared" si="1183"/>
        <v>堺福田</v>
      </c>
      <c r="C3339" s="7" t="str">
        <f t="shared" si="1167"/>
        <v>行政財産</v>
      </c>
      <c r="D3339" s="7" t="str">
        <f t="shared" si="1174"/>
        <v>公営住宅</v>
      </c>
      <c r="E3339" s="7" t="str">
        <f t="shared" si="1184"/>
        <v>大阪府堺市　中区福田</v>
      </c>
      <c r="F3339" s="7"/>
      <c r="G3339" s="7" t="str">
        <f t="shared" si="1165"/>
        <v>事業用資産</v>
      </c>
      <c r="H3339" s="7" t="str">
        <f t="shared" si="1181"/>
        <v>棚卸以外</v>
      </c>
      <c r="I3339" s="7">
        <v>4</v>
      </c>
      <c r="J3339" s="7" t="str">
        <f>"４号棟"</f>
        <v>４号棟</v>
      </c>
      <c r="K3339" s="7" t="str">
        <f t="shared" si="1180"/>
        <v>鉄筋コンクリート造</v>
      </c>
      <c r="L3339" s="7" t="str">
        <f t="shared" si="1185"/>
        <v>H01.08.01</v>
      </c>
      <c r="M3339" s="7">
        <v>2228.04</v>
      </c>
      <c r="N3339" s="7">
        <v>240549000</v>
      </c>
      <c r="O3339" s="7">
        <v>172308424</v>
      </c>
      <c r="P3339" s="7">
        <v>0</v>
      </c>
      <c r="Q3339" s="7" t="str">
        <f t="shared" si="1168"/>
        <v>都市整備部</v>
      </c>
      <c r="R3339" s="7" t="str">
        <f t="shared" si="1166"/>
        <v>住宅建築局住宅経営室</v>
      </c>
    </row>
    <row r="3340" spans="1:18" s="1" customFormat="1" x14ac:dyDescent="0.45">
      <c r="A3340" s="7" t="str">
        <f t="shared" si="1182"/>
        <v>09940003461</v>
      </c>
      <c r="B3340" s="7" t="str">
        <f t="shared" si="1183"/>
        <v>堺福田</v>
      </c>
      <c r="C3340" s="7" t="str">
        <f t="shared" si="1167"/>
        <v>行政財産</v>
      </c>
      <c r="D3340" s="7" t="str">
        <f t="shared" si="1174"/>
        <v>公営住宅</v>
      </c>
      <c r="E3340" s="7" t="str">
        <f t="shared" si="1184"/>
        <v>大阪府堺市　中区福田</v>
      </c>
      <c r="F3340" s="7"/>
      <c r="G3340" s="7" t="str">
        <f t="shared" si="1165"/>
        <v>事業用資産</v>
      </c>
      <c r="H3340" s="7" t="str">
        <f t="shared" si="1181"/>
        <v>棚卸以外</v>
      </c>
      <c r="I3340" s="7">
        <v>5</v>
      </c>
      <c r="J3340" s="7" t="str">
        <f>"５号棟"</f>
        <v>５号棟</v>
      </c>
      <c r="K3340" s="7" t="str">
        <f t="shared" si="1180"/>
        <v>鉄筋コンクリート造</v>
      </c>
      <c r="L3340" s="7" t="str">
        <f t="shared" si="1185"/>
        <v>H01.08.01</v>
      </c>
      <c r="M3340" s="7">
        <v>1743.27</v>
      </c>
      <c r="N3340" s="7">
        <v>192949000</v>
      </c>
      <c r="O3340" s="7">
        <v>138212036</v>
      </c>
      <c r="P3340" s="7">
        <v>0</v>
      </c>
      <c r="Q3340" s="7" t="str">
        <f t="shared" si="1168"/>
        <v>都市整備部</v>
      </c>
      <c r="R3340" s="7" t="str">
        <f t="shared" si="1166"/>
        <v>住宅建築局住宅経営室</v>
      </c>
    </row>
    <row r="3341" spans="1:18" s="1" customFormat="1" x14ac:dyDescent="0.45">
      <c r="A3341" s="7" t="str">
        <f t="shared" si="1182"/>
        <v>09940003461</v>
      </c>
      <c r="B3341" s="7" t="str">
        <f t="shared" si="1183"/>
        <v>堺福田</v>
      </c>
      <c r="C3341" s="7" t="str">
        <f t="shared" si="1167"/>
        <v>行政財産</v>
      </c>
      <c r="D3341" s="7" t="str">
        <f t="shared" si="1174"/>
        <v>公営住宅</v>
      </c>
      <c r="E3341" s="7" t="str">
        <f t="shared" si="1184"/>
        <v>大阪府堺市　中区福田</v>
      </c>
      <c r="F3341" s="7"/>
      <c r="G3341" s="7" t="str">
        <f t="shared" si="1165"/>
        <v>事業用資産</v>
      </c>
      <c r="H3341" s="7" t="str">
        <f t="shared" si="1181"/>
        <v>棚卸以外</v>
      </c>
      <c r="I3341" s="7">
        <v>6</v>
      </c>
      <c r="J3341" s="7" t="str">
        <f>"６号棟"</f>
        <v>６号棟</v>
      </c>
      <c r="K3341" s="7" t="str">
        <f t="shared" si="1180"/>
        <v>鉄筋コンクリート造</v>
      </c>
      <c r="L3341" s="7" t="str">
        <f t="shared" si="1185"/>
        <v>H01.08.01</v>
      </c>
      <c r="M3341" s="7">
        <v>2023.04</v>
      </c>
      <c r="N3341" s="7">
        <v>208902000</v>
      </c>
      <c r="O3341" s="7">
        <v>149639176</v>
      </c>
      <c r="P3341" s="7">
        <v>0</v>
      </c>
      <c r="Q3341" s="7" t="str">
        <f t="shared" si="1168"/>
        <v>都市整備部</v>
      </c>
      <c r="R3341" s="7" t="str">
        <f t="shared" si="1166"/>
        <v>住宅建築局住宅経営室</v>
      </c>
    </row>
    <row r="3342" spans="1:18" s="1" customFormat="1" x14ac:dyDescent="0.45">
      <c r="A3342" s="7" t="str">
        <f t="shared" si="1182"/>
        <v>09940003461</v>
      </c>
      <c r="B3342" s="7" t="str">
        <f t="shared" si="1183"/>
        <v>堺福田</v>
      </c>
      <c r="C3342" s="7" t="str">
        <f t="shared" si="1167"/>
        <v>行政財産</v>
      </c>
      <c r="D3342" s="7" t="str">
        <f t="shared" si="1174"/>
        <v>公営住宅</v>
      </c>
      <c r="E3342" s="7" t="str">
        <f t="shared" si="1184"/>
        <v>大阪府堺市　中区福田</v>
      </c>
      <c r="F3342" s="7"/>
      <c r="G3342" s="7" t="str">
        <f t="shared" si="1165"/>
        <v>事業用資産</v>
      </c>
      <c r="H3342" s="7" t="str">
        <f t="shared" si="1181"/>
        <v>棚卸以外</v>
      </c>
      <c r="I3342" s="7">
        <v>7</v>
      </c>
      <c r="J3342" s="7" t="str">
        <f>"集会所"</f>
        <v>集会所</v>
      </c>
      <c r="K3342" s="7" t="str">
        <f t="shared" si="1180"/>
        <v>鉄筋コンクリート造</v>
      </c>
      <c r="L3342" s="7" t="str">
        <f t="shared" si="1185"/>
        <v>H01.08.01</v>
      </c>
      <c r="M3342" s="7">
        <v>149.49</v>
      </c>
      <c r="N3342" s="7">
        <v>27393000</v>
      </c>
      <c r="O3342" s="7">
        <v>19622280</v>
      </c>
      <c r="P3342" s="7">
        <v>0</v>
      </c>
      <c r="Q3342" s="7" t="str">
        <f t="shared" si="1168"/>
        <v>都市整備部</v>
      </c>
      <c r="R3342" s="7" t="str">
        <f t="shared" si="1166"/>
        <v>住宅建築局住宅経営室</v>
      </c>
    </row>
    <row r="3343" spans="1:18" s="1" customFormat="1" x14ac:dyDescent="0.45">
      <c r="A3343" s="7" t="str">
        <f t="shared" si="1182"/>
        <v>09940003461</v>
      </c>
      <c r="B3343" s="7" t="str">
        <f t="shared" si="1183"/>
        <v>堺福田</v>
      </c>
      <c r="C3343" s="7" t="str">
        <f t="shared" si="1167"/>
        <v>行政財産</v>
      </c>
      <c r="D3343" s="7" t="str">
        <f t="shared" si="1174"/>
        <v>公営住宅</v>
      </c>
      <c r="E3343" s="7" t="str">
        <f t="shared" si="1184"/>
        <v>大阪府堺市　中区福田</v>
      </c>
      <c r="F3343" s="7"/>
      <c r="G3343" s="7" t="str">
        <f t="shared" si="1165"/>
        <v>事業用資産</v>
      </c>
      <c r="H3343" s="7" t="str">
        <f t="shared" si="1181"/>
        <v>棚卸以外</v>
      </c>
      <c r="I3343" s="7">
        <v>8</v>
      </c>
      <c r="J3343" s="7" t="str">
        <f>"受水槽"</f>
        <v>受水槽</v>
      </c>
      <c r="K3343" s="7" t="str">
        <f t="shared" si="1180"/>
        <v>鉄筋コンクリート造</v>
      </c>
      <c r="L3343" s="7" t="str">
        <f t="shared" si="1185"/>
        <v>H01.08.01</v>
      </c>
      <c r="M3343" s="7">
        <v>101.48</v>
      </c>
      <c r="N3343" s="7">
        <v>33741000</v>
      </c>
      <c r="O3343" s="7">
        <v>24169300</v>
      </c>
      <c r="P3343" s="7">
        <v>0</v>
      </c>
      <c r="Q3343" s="7" t="str">
        <f t="shared" si="1168"/>
        <v>都市整備部</v>
      </c>
      <c r="R3343" s="7" t="str">
        <f t="shared" si="1166"/>
        <v>住宅建築局住宅経営室</v>
      </c>
    </row>
    <row r="3344" spans="1:18" s="1" customFormat="1" x14ac:dyDescent="0.45">
      <c r="A3344" s="7" t="str">
        <f t="shared" si="1182"/>
        <v>09940003461</v>
      </c>
      <c r="B3344" s="7" t="str">
        <f t="shared" si="1183"/>
        <v>堺福田</v>
      </c>
      <c r="C3344" s="7" t="str">
        <f t="shared" si="1167"/>
        <v>行政財産</v>
      </c>
      <c r="D3344" s="7" t="str">
        <f t="shared" si="1174"/>
        <v>公営住宅</v>
      </c>
      <c r="E3344" s="7" t="str">
        <f t="shared" si="1184"/>
        <v>大阪府堺市　中区福田</v>
      </c>
      <c r="F3344" s="7"/>
      <c r="G3344" s="7" t="str">
        <f t="shared" si="1165"/>
        <v>事業用資産</v>
      </c>
      <c r="H3344" s="7" t="str">
        <f t="shared" si="1181"/>
        <v>棚卸以外</v>
      </c>
      <c r="I3344" s="7">
        <v>9</v>
      </c>
      <c r="J3344" s="7" t="str">
        <f>"１２号棟"</f>
        <v>１２号棟</v>
      </c>
      <c r="K3344" s="7" t="str">
        <f t="shared" si="1180"/>
        <v>鉄筋コンクリート造</v>
      </c>
      <c r="L3344" s="7" t="str">
        <f>"H03.05.01"</f>
        <v>H03.05.01</v>
      </c>
      <c r="M3344" s="7">
        <v>1090.3900000000001</v>
      </c>
      <c r="N3344" s="7">
        <v>160240000</v>
      </c>
      <c r="O3344" s="7">
        <v>108531548</v>
      </c>
      <c r="P3344" s="7">
        <v>0</v>
      </c>
      <c r="Q3344" s="7" t="str">
        <f t="shared" si="1168"/>
        <v>都市整備部</v>
      </c>
      <c r="R3344" s="7" t="str">
        <f t="shared" si="1166"/>
        <v>住宅建築局住宅経営室</v>
      </c>
    </row>
    <row r="3345" spans="1:18" s="1" customFormat="1" x14ac:dyDescent="0.45">
      <c r="A3345" s="7" t="str">
        <f t="shared" si="1182"/>
        <v>09940003461</v>
      </c>
      <c r="B3345" s="7" t="str">
        <f t="shared" si="1183"/>
        <v>堺福田</v>
      </c>
      <c r="C3345" s="7" t="str">
        <f t="shared" si="1167"/>
        <v>行政財産</v>
      </c>
      <c r="D3345" s="7" t="str">
        <f t="shared" si="1174"/>
        <v>公営住宅</v>
      </c>
      <c r="E3345" s="7" t="str">
        <f t="shared" si="1184"/>
        <v>大阪府堺市　中区福田</v>
      </c>
      <c r="F3345" s="7"/>
      <c r="G3345" s="7" t="str">
        <f t="shared" si="1165"/>
        <v>事業用資産</v>
      </c>
      <c r="H3345" s="7" t="str">
        <f t="shared" si="1181"/>
        <v>棚卸以外</v>
      </c>
      <c r="I3345" s="7">
        <v>10</v>
      </c>
      <c r="J3345" s="7" t="str">
        <f>"１３号棟"</f>
        <v>１３号棟</v>
      </c>
      <c r="K3345" s="7" t="str">
        <f t="shared" si="1180"/>
        <v>鉄筋コンクリート造</v>
      </c>
      <c r="L3345" s="7" t="str">
        <f>"H03.05.01"</f>
        <v>H03.05.01</v>
      </c>
      <c r="M3345" s="7">
        <v>1042.26</v>
      </c>
      <c r="N3345" s="7">
        <v>149447000</v>
      </c>
      <c r="O3345" s="7">
        <v>101221214</v>
      </c>
      <c r="P3345" s="7">
        <v>0</v>
      </c>
      <c r="Q3345" s="7" t="str">
        <f t="shared" si="1168"/>
        <v>都市整備部</v>
      </c>
      <c r="R3345" s="7" t="str">
        <f t="shared" si="1166"/>
        <v>住宅建築局住宅経営室</v>
      </c>
    </row>
    <row r="3346" spans="1:18" s="1" customFormat="1" x14ac:dyDescent="0.45">
      <c r="A3346" s="7" t="str">
        <f t="shared" si="1182"/>
        <v>09940003461</v>
      </c>
      <c r="B3346" s="7" t="str">
        <f t="shared" si="1183"/>
        <v>堺福田</v>
      </c>
      <c r="C3346" s="7" t="str">
        <f t="shared" si="1167"/>
        <v>行政財産</v>
      </c>
      <c r="D3346" s="7" t="str">
        <f t="shared" si="1174"/>
        <v>公営住宅</v>
      </c>
      <c r="E3346" s="7" t="str">
        <f t="shared" si="1184"/>
        <v>大阪府堺市　中区福田</v>
      </c>
      <c r="F3346" s="7"/>
      <c r="G3346" s="7" t="str">
        <f t="shared" si="1165"/>
        <v>事業用資産</v>
      </c>
      <c r="H3346" s="7" t="str">
        <f t="shared" si="1181"/>
        <v>棚卸以外</v>
      </c>
      <c r="I3346" s="7">
        <v>11</v>
      </c>
      <c r="J3346" s="7" t="str">
        <f>"１４号棟"</f>
        <v>１４号棟</v>
      </c>
      <c r="K3346" s="7" t="str">
        <f t="shared" si="1180"/>
        <v>鉄筋コンクリート造</v>
      </c>
      <c r="L3346" s="7" t="str">
        <f>"H03.05.01"</f>
        <v>H03.05.01</v>
      </c>
      <c r="M3346" s="7">
        <v>1783.2</v>
      </c>
      <c r="N3346" s="7">
        <v>249705000</v>
      </c>
      <c r="O3346" s="7">
        <v>169126680</v>
      </c>
      <c r="P3346" s="7">
        <v>0</v>
      </c>
      <c r="Q3346" s="7" t="str">
        <f t="shared" si="1168"/>
        <v>都市整備部</v>
      </c>
      <c r="R3346" s="7" t="str">
        <f t="shared" si="1166"/>
        <v>住宅建築局住宅経営室</v>
      </c>
    </row>
    <row r="3347" spans="1:18" s="1" customFormat="1" x14ac:dyDescent="0.45">
      <c r="A3347" s="7" t="str">
        <f t="shared" si="1182"/>
        <v>09940003461</v>
      </c>
      <c r="B3347" s="7" t="str">
        <f t="shared" si="1183"/>
        <v>堺福田</v>
      </c>
      <c r="C3347" s="7" t="str">
        <f t="shared" si="1167"/>
        <v>行政財産</v>
      </c>
      <c r="D3347" s="7" t="str">
        <f t="shared" si="1174"/>
        <v>公営住宅</v>
      </c>
      <c r="E3347" s="7" t="str">
        <f t="shared" si="1184"/>
        <v>大阪府堺市　中区福田</v>
      </c>
      <c r="F3347" s="7"/>
      <c r="G3347" s="7" t="str">
        <f t="shared" si="1165"/>
        <v>事業用資産</v>
      </c>
      <c r="H3347" s="7" t="str">
        <f t="shared" si="1181"/>
        <v>棚卸以外</v>
      </c>
      <c r="I3347" s="7">
        <v>12</v>
      </c>
      <c r="J3347" s="7" t="str">
        <f>"１５号棟"</f>
        <v>１５号棟</v>
      </c>
      <c r="K3347" s="7" t="str">
        <f t="shared" si="1180"/>
        <v>鉄筋コンクリート造</v>
      </c>
      <c r="L3347" s="7" t="str">
        <f>"H03.05.01"</f>
        <v>H03.05.01</v>
      </c>
      <c r="M3347" s="7">
        <v>2485.9499999999998</v>
      </c>
      <c r="N3347" s="7">
        <v>347386000</v>
      </c>
      <c r="O3347" s="7">
        <v>235286406</v>
      </c>
      <c r="P3347" s="7">
        <v>0</v>
      </c>
      <c r="Q3347" s="7" t="str">
        <f t="shared" si="1168"/>
        <v>都市整備部</v>
      </c>
      <c r="R3347" s="7" t="str">
        <f t="shared" si="1166"/>
        <v>住宅建築局住宅経営室</v>
      </c>
    </row>
    <row r="3348" spans="1:18" s="1" customFormat="1" x14ac:dyDescent="0.45">
      <c r="A3348" s="7" t="str">
        <f t="shared" si="1182"/>
        <v>09940003461</v>
      </c>
      <c r="B3348" s="7" t="str">
        <f t="shared" si="1183"/>
        <v>堺福田</v>
      </c>
      <c r="C3348" s="7" t="str">
        <f t="shared" si="1167"/>
        <v>行政財産</v>
      </c>
      <c r="D3348" s="7" t="str">
        <f t="shared" si="1174"/>
        <v>公営住宅</v>
      </c>
      <c r="E3348" s="7" t="str">
        <f t="shared" si="1184"/>
        <v>大阪府堺市　中区福田</v>
      </c>
      <c r="F3348" s="7"/>
      <c r="G3348" s="7" t="str">
        <f t="shared" si="1165"/>
        <v>事業用資産</v>
      </c>
      <c r="H3348" s="7" t="str">
        <f t="shared" si="1181"/>
        <v>棚卸以外</v>
      </c>
      <c r="I3348" s="7">
        <v>13</v>
      </c>
      <c r="J3348" s="7" t="str">
        <f>"１６号棟"</f>
        <v>１６号棟</v>
      </c>
      <c r="K3348" s="7" t="str">
        <f t="shared" si="1180"/>
        <v>鉄筋コンクリート造</v>
      </c>
      <c r="L3348" s="7" t="str">
        <f>"H03.05.01"</f>
        <v>H03.05.01</v>
      </c>
      <c r="M3348" s="7">
        <v>1041.0999999999999</v>
      </c>
      <c r="N3348" s="7">
        <v>159206000</v>
      </c>
      <c r="O3348" s="7">
        <v>107831342</v>
      </c>
      <c r="P3348" s="7">
        <v>0</v>
      </c>
      <c r="Q3348" s="7" t="str">
        <f t="shared" si="1168"/>
        <v>都市整備部</v>
      </c>
      <c r="R3348" s="7" t="str">
        <f t="shared" si="1166"/>
        <v>住宅建築局住宅経営室</v>
      </c>
    </row>
    <row r="3349" spans="1:18" s="1" customFormat="1" x14ac:dyDescent="0.45">
      <c r="A3349" s="7" t="str">
        <f t="shared" si="1182"/>
        <v>09940003461</v>
      </c>
      <c r="B3349" s="7" t="str">
        <f t="shared" si="1183"/>
        <v>堺福田</v>
      </c>
      <c r="C3349" s="7" t="str">
        <f t="shared" si="1167"/>
        <v>行政財産</v>
      </c>
      <c r="D3349" s="7" t="str">
        <f t="shared" si="1174"/>
        <v>公営住宅</v>
      </c>
      <c r="E3349" s="7" t="str">
        <f t="shared" si="1184"/>
        <v>大阪府堺市　中区福田</v>
      </c>
      <c r="F3349" s="7"/>
      <c r="G3349" s="7" t="str">
        <f t="shared" si="1165"/>
        <v>事業用資産</v>
      </c>
      <c r="H3349" s="7" t="str">
        <f t="shared" si="1181"/>
        <v>棚卸以外</v>
      </c>
      <c r="I3349" s="7">
        <v>14</v>
      </c>
      <c r="J3349" s="7" t="str">
        <f>"７号棟"</f>
        <v>７号棟</v>
      </c>
      <c r="K3349" s="7" t="str">
        <f t="shared" si="1180"/>
        <v>鉄筋コンクリート造</v>
      </c>
      <c r="L3349" s="7" t="str">
        <f>"H04.10.29"</f>
        <v>H04.10.29</v>
      </c>
      <c r="M3349" s="7">
        <v>2248.7800000000002</v>
      </c>
      <c r="N3349" s="7">
        <v>353106166</v>
      </c>
      <c r="O3349" s="7">
        <v>228168435</v>
      </c>
      <c r="P3349" s="7">
        <v>0</v>
      </c>
      <c r="Q3349" s="7" t="str">
        <f t="shared" si="1168"/>
        <v>都市整備部</v>
      </c>
      <c r="R3349" s="7" t="str">
        <f t="shared" si="1166"/>
        <v>住宅建築局住宅経営室</v>
      </c>
    </row>
    <row r="3350" spans="1:18" s="1" customFormat="1" x14ac:dyDescent="0.45">
      <c r="A3350" s="7" t="str">
        <f t="shared" si="1182"/>
        <v>09940003461</v>
      </c>
      <c r="B3350" s="7" t="str">
        <f t="shared" si="1183"/>
        <v>堺福田</v>
      </c>
      <c r="C3350" s="7" t="str">
        <f t="shared" si="1167"/>
        <v>行政財産</v>
      </c>
      <c r="D3350" s="7" t="str">
        <f t="shared" si="1174"/>
        <v>公営住宅</v>
      </c>
      <c r="E3350" s="7" t="str">
        <f t="shared" si="1184"/>
        <v>大阪府堺市　中区福田</v>
      </c>
      <c r="F3350" s="7"/>
      <c r="G3350" s="7" t="str">
        <f t="shared" si="1165"/>
        <v>事業用資産</v>
      </c>
      <c r="H3350" s="7" t="str">
        <f t="shared" si="1181"/>
        <v>棚卸以外</v>
      </c>
      <c r="I3350" s="7">
        <v>15</v>
      </c>
      <c r="J3350" s="7" t="str">
        <f>"８号棟"</f>
        <v>８号棟</v>
      </c>
      <c r="K3350" s="7" t="str">
        <f>"鉄筋"</f>
        <v>鉄筋</v>
      </c>
      <c r="L3350" s="7" t="str">
        <f>"H04.10.29"</f>
        <v>H04.10.29</v>
      </c>
      <c r="M3350" s="7">
        <v>1560.75</v>
      </c>
      <c r="N3350" s="7">
        <v>230266000</v>
      </c>
      <c r="O3350" s="7">
        <v>149020010</v>
      </c>
      <c r="P3350" s="7">
        <v>0</v>
      </c>
      <c r="Q3350" s="7" t="str">
        <f t="shared" si="1168"/>
        <v>都市整備部</v>
      </c>
      <c r="R3350" s="7" t="str">
        <f t="shared" si="1166"/>
        <v>住宅建築局住宅経営室</v>
      </c>
    </row>
    <row r="3351" spans="1:18" s="1" customFormat="1" x14ac:dyDescent="0.45">
      <c r="A3351" s="7" t="str">
        <f t="shared" si="1182"/>
        <v>09940003461</v>
      </c>
      <c r="B3351" s="7" t="str">
        <f t="shared" si="1183"/>
        <v>堺福田</v>
      </c>
      <c r="C3351" s="7" t="str">
        <f t="shared" si="1167"/>
        <v>行政財産</v>
      </c>
      <c r="D3351" s="7" t="str">
        <f t="shared" si="1174"/>
        <v>公営住宅</v>
      </c>
      <c r="E3351" s="7" t="str">
        <f t="shared" si="1184"/>
        <v>大阪府堺市　中区福田</v>
      </c>
      <c r="F3351" s="7"/>
      <c r="G3351" s="7" t="str">
        <f t="shared" ref="G3351:G3414" si="1186">"事業用資産"</f>
        <v>事業用資産</v>
      </c>
      <c r="H3351" s="7" t="str">
        <f t="shared" si="1181"/>
        <v>棚卸以外</v>
      </c>
      <c r="I3351" s="7">
        <v>16</v>
      </c>
      <c r="J3351" s="7" t="str">
        <f>"９号棟"</f>
        <v>９号棟</v>
      </c>
      <c r="K3351" s="7" t="str">
        <f>"鉄筋"</f>
        <v>鉄筋</v>
      </c>
      <c r="L3351" s="7" t="str">
        <f>"H04.10.29"</f>
        <v>H04.10.29</v>
      </c>
      <c r="M3351" s="7">
        <v>1090.4000000000001</v>
      </c>
      <c r="N3351" s="7">
        <v>157191000</v>
      </c>
      <c r="O3351" s="7">
        <v>101728420</v>
      </c>
      <c r="P3351" s="7">
        <v>0</v>
      </c>
      <c r="Q3351" s="7" t="str">
        <f t="shared" si="1168"/>
        <v>都市整備部</v>
      </c>
      <c r="R3351" s="7" t="str">
        <f t="shared" si="1166"/>
        <v>住宅建築局住宅経営室</v>
      </c>
    </row>
    <row r="3352" spans="1:18" s="1" customFormat="1" x14ac:dyDescent="0.45">
      <c r="A3352" s="7" t="str">
        <f t="shared" si="1182"/>
        <v>09940003461</v>
      </c>
      <c r="B3352" s="7" t="str">
        <f t="shared" si="1183"/>
        <v>堺福田</v>
      </c>
      <c r="C3352" s="7" t="str">
        <f t="shared" si="1167"/>
        <v>行政財産</v>
      </c>
      <c r="D3352" s="7" t="str">
        <f t="shared" si="1174"/>
        <v>公営住宅</v>
      </c>
      <c r="E3352" s="7" t="str">
        <f t="shared" si="1184"/>
        <v>大阪府堺市　中区福田</v>
      </c>
      <c r="F3352" s="7"/>
      <c r="G3352" s="7" t="str">
        <f t="shared" si="1186"/>
        <v>事業用資産</v>
      </c>
      <c r="H3352" s="7" t="str">
        <f t="shared" si="1181"/>
        <v>棚卸以外</v>
      </c>
      <c r="I3352" s="7">
        <v>17</v>
      </c>
      <c r="J3352" s="7" t="str">
        <f>"１０号棟"</f>
        <v>１０号棟</v>
      </c>
      <c r="K3352" s="7" t="str">
        <f>"鉄筋"</f>
        <v>鉄筋</v>
      </c>
      <c r="L3352" s="7" t="str">
        <f>"H04.10.29"</f>
        <v>H04.10.29</v>
      </c>
      <c r="M3352" s="7">
        <v>1509.68</v>
      </c>
      <c r="N3352" s="7">
        <v>261189000</v>
      </c>
      <c r="O3352" s="7">
        <v>169032230</v>
      </c>
      <c r="P3352" s="7">
        <v>0</v>
      </c>
      <c r="Q3352" s="7" t="str">
        <f t="shared" si="1168"/>
        <v>都市整備部</v>
      </c>
      <c r="R3352" s="7" t="str">
        <f t="shared" ref="R3352:R3415" si="1187">"住宅建築局住宅経営室"</f>
        <v>住宅建築局住宅経営室</v>
      </c>
    </row>
    <row r="3353" spans="1:18" s="1" customFormat="1" x14ac:dyDescent="0.45">
      <c r="A3353" s="7" t="str">
        <f t="shared" si="1182"/>
        <v>09940003461</v>
      </c>
      <c r="B3353" s="7" t="str">
        <f t="shared" si="1183"/>
        <v>堺福田</v>
      </c>
      <c r="C3353" s="7" t="str">
        <f t="shared" si="1167"/>
        <v>行政財産</v>
      </c>
      <c r="D3353" s="7" t="str">
        <f t="shared" si="1174"/>
        <v>公営住宅</v>
      </c>
      <c r="E3353" s="7" t="str">
        <f t="shared" si="1184"/>
        <v>大阪府堺市　中区福田</v>
      </c>
      <c r="F3353" s="7"/>
      <c r="G3353" s="7" t="str">
        <f t="shared" si="1186"/>
        <v>事業用資産</v>
      </c>
      <c r="H3353" s="7" t="str">
        <f t="shared" si="1181"/>
        <v>棚卸以外</v>
      </c>
      <c r="I3353" s="7">
        <v>18</v>
      </c>
      <c r="J3353" s="7" t="str">
        <f>"１１号棟"</f>
        <v>１１号棟</v>
      </c>
      <c r="K3353" s="7" t="str">
        <f>"鉄筋"</f>
        <v>鉄筋</v>
      </c>
      <c r="L3353" s="7" t="str">
        <f>"H04.10.29"</f>
        <v>H04.10.29</v>
      </c>
      <c r="M3353" s="7">
        <v>1657.98</v>
      </c>
      <c r="N3353" s="7">
        <v>262563000</v>
      </c>
      <c r="O3353" s="7">
        <v>169921370</v>
      </c>
      <c r="P3353" s="7">
        <v>0</v>
      </c>
      <c r="Q3353" s="7" t="str">
        <f t="shared" si="1168"/>
        <v>都市整備部</v>
      </c>
      <c r="R3353" s="7" t="str">
        <f t="shared" si="1187"/>
        <v>住宅建築局住宅経営室</v>
      </c>
    </row>
    <row r="3354" spans="1:18" s="1" customFormat="1" x14ac:dyDescent="0.45">
      <c r="A3354" s="7" t="str">
        <f t="shared" si="1182"/>
        <v>09940003461</v>
      </c>
      <c r="B3354" s="7" t="str">
        <f t="shared" si="1183"/>
        <v>堺福田</v>
      </c>
      <c r="C3354" s="7" t="str">
        <f t="shared" ref="C3354:C3417" si="1188">"行政財産"</f>
        <v>行政財産</v>
      </c>
      <c r="D3354" s="7" t="str">
        <f t="shared" si="1174"/>
        <v>公営住宅</v>
      </c>
      <c r="E3354" s="7" t="str">
        <f t="shared" si="1184"/>
        <v>大阪府堺市　中区福田</v>
      </c>
      <c r="F3354" s="7"/>
      <c r="G3354" s="7" t="str">
        <f t="shared" si="1186"/>
        <v>事業用資産</v>
      </c>
      <c r="H3354" s="7" t="str">
        <f t="shared" si="1181"/>
        <v>棚卸以外</v>
      </c>
      <c r="I3354" s="7">
        <v>19</v>
      </c>
      <c r="J3354" s="7" t="str">
        <f>"１７号棟"</f>
        <v>１７号棟</v>
      </c>
      <c r="K3354" s="7" t="str">
        <f>"鉄筋"</f>
        <v>鉄筋</v>
      </c>
      <c r="L3354" s="7" t="str">
        <f t="shared" ref="L3354:L3360" si="1189">"H06.11.29"</f>
        <v>H06.11.29</v>
      </c>
      <c r="M3354" s="7">
        <v>1602.41</v>
      </c>
      <c r="N3354" s="7">
        <v>271194000</v>
      </c>
      <c r="O3354" s="7">
        <v>163485940</v>
      </c>
      <c r="P3354" s="7">
        <v>0</v>
      </c>
      <c r="Q3354" s="7" t="str">
        <f t="shared" si="1168"/>
        <v>都市整備部</v>
      </c>
      <c r="R3354" s="7" t="str">
        <f t="shared" si="1187"/>
        <v>住宅建築局住宅経営室</v>
      </c>
    </row>
    <row r="3355" spans="1:18" s="1" customFormat="1" x14ac:dyDescent="0.45">
      <c r="A3355" s="7" t="str">
        <f t="shared" si="1182"/>
        <v>09940003461</v>
      </c>
      <c r="B3355" s="7" t="str">
        <f t="shared" si="1183"/>
        <v>堺福田</v>
      </c>
      <c r="C3355" s="7" t="str">
        <f t="shared" si="1188"/>
        <v>行政財産</v>
      </c>
      <c r="D3355" s="7" t="str">
        <f t="shared" si="1174"/>
        <v>公営住宅</v>
      </c>
      <c r="E3355" s="7" t="str">
        <f t="shared" si="1184"/>
        <v>大阪府堺市　中区福田</v>
      </c>
      <c r="F3355" s="7"/>
      <c r="G3355" s="7" t="str">
        <f t="shared" si="1186"/>
        <v>事業用資産</v>
      </c>
      <c r="H3355" s="7" t="str">
        <f t="shared" si="1181"/>
        <v>棚卸以外</v>
      </c>
      <c r="I3355" s="7">
        <v>20</v>
      </c>
      <c r="J3355" s="7" t="str">
        <f>"１８号棟"</f>
        <v>１８号棟</v>
      </c>
      <c r="K3355" s="7" t="str">
        <f>"鉄筋コンクリート造"</f>
        <v>鉄筋コンクリート造</v>
      </c>
      <c r="L3355" s="7" t="str">
        <f t="shared" si="1189"/>
        <v>H06.11.29</v>
      </c>
      <c r="M3355" s="7">
        <v>1119.6099999999999</v>
      </c>
      <c r="N3355" s="7">
        <v>200616583</v>
      </c>
      <c r="O3355" s="7">
        <v>120776840</v>
      </c>
      <c r="P3355" s="7">
        <v>0</v>
      </c>
      <c r="Q3355" s="7" t="str">
        <f t="shared" ref="Q3355:Q3418" si="1190">"都市整備部"</f>
        <v>都市整備部</v>
      </c>
      <c r="R3355" s="7" t="str">
        <f t="shared" si="1187"/>
        <v>住宅建築局住宅経営室</v>
      </c>
    </row>
    <row r="3356" spans="1:18" s="1" customFormat="1" x14ac:dyDescent="0.45">
      <c r="A3356" s="7" t="str">
        <f t="shared" si="1182"/>
        <v>09940003461</v>
      </c>
      <c r="B3356" s="7" t="str">
        <f t="shared" si="1183"/>
        <v>堺福田</v>
      </c>
      <c r="C3356" s="7" t="str">
        <f t="shared" si="1188"/>
        <v>行政財産</v>
      </c>
      <c r="D3356" s="7" t="str">
        <f t="shared" si="1174"/>
        <v>公営住宅</v>
      </c>
      <c r="E3356" s="7" t="str">
        <f t="shared" si="1184"/>
        <v>大阪府堺市　中区福田</v>
      </c>
      <c r="F3356" s="7"/>
      <c r="G3356" s="7" t="str">
        <f t="shared" si="1186"/>
        <v>事業用資産</v>
      </c>
      <c r="H3356" s="7" t="str">
        <f t="shared" si="1181"/>
        <v>棚卸以外</v>
      </c>
      <c r="I3356" s="7">
        <v>21</v>
      </c>
      <c r="J3356" s="7" t="str">
        <f>"１９号棟"</f>
        <v>１９号棟</v>
      </c>
      <c r="K3356" s="7" t="str">
        <f>"鉄筋コンクリート造"</f>
        <v>鉄筋コンクリート造</v>
      </c>
      <c r="L3356" s="7" t="str">
        <f t="shared" si="1189"/>
        <v>H06.11.29</v>
      </c>
      <c r="M3356" s="7">
        <v>2248.77</v>
      </c>
      <c r="N3356" s="7">
        <v>325118583</v>
      </c>
      <c r="O3356" s="7">
        <v>195831160</v>
      </c>
      <c r="P3356" s="7">
        <v>0</v>
      </c>
      <c r="Q3356" s="7" t="str">
        <f t="shared" si="1190"/>
        <v>都市整備部</v>
      </c>
      <c r="R3356" s="7" t="str">
        <f t="shared" si="1187"/>
        <v>住宅建築局住宅経営室</v>
      </c>
    </row>
    <row r="3357" spans="1:18" s="1" customFormat="1" x14ac:dyDescent="0.45">
      <c r="A3357" s="7" t="str">
        <f t="shared" si="1182"/>
        <v>09940003461</v>
      </c>
      <c r="B3357" s="7" t="str">
        <f t="shared" si="1183"/>
        <v>堺福田</v>
      </c>
      <c r="C3357" s="7" t="str">
        <f t="shared" si="1188"/>
        <v>行政財産</v>
      </c>
      <c r="D3357" s="7" t="str">
        <f t="shared" si="1174"/>
        <v>公営住宅</v>
      </c>
      <c r="E3357" s="7" t="str">
        <f t="shared" si="1184"/>
        <v>大阪府堺市　中区福田</v>
      </c>
      <c r="F3357" s="7"/>
      <c r="G3357" s="7" t="str">
        <f t="shared" si="1186"/>
        <v>事業用資産</v>
      </c>
      <c r="H3357" s="7" t="str">
        <f t="shared" si="1181"/>
        <v>棚卸以外</v>
      </c>
      <c r="I3357" s="7">
        <v>22</v>
      </c>
      <c r="J3357" s="7" t="str">
        <f>"２０号棟"</f>
        <v>２０号棟</v>
      </c>
      <c r="K3357" s="7" t="str">
        <f>"鉄筋"</f>
        <v>鉄筋</v>
      </c>
      <c r="L3357" s="7" t="str">
        <f t="shared" si="1189"/>
        <v>H06.11.29</v>
      </c>
      <c r="M3357" s="7">
        <v>1871.38</v>
      </c>
      <c r="N3357" s="7">
        <v>275027000</v>
      </c>
      <c r="O3357" s="7">
        <v>165796580</v>
      </c>
      <c r="P3357" s="7">
        <v>0</v>
      </c>
      <c r="Q3357" s="7" t="str">
        <f t="shared" si="1190"/>
        <v>都市整備部</v>
      </c>
      <c r="R3357" s="7" t="str">
        <f t="shared" si="1187"/>
        <v>住宅建築局住宅経営室</v>
      </c>
    </row>
    <row r="3358" spans="1:18" s="1" customFormat="1" x14ac:dyDescent="0.45">
      <c r="A3358" s="7" t="str">
        <f t="shared" si="1182"/>
        <v>09940003461</v>
      </c>
      <c r="B3358" s="7" t="str">
        <f t="shared" si="1183"/>
        <v>堺福田</v>
      </c>
      <c r="C3358" s="7" t="str">
        <f t="shared" si="1188"/>
        <v>行政財産</v>
      </c>
      <c r="D3358" s="7" t="str">
        <f t="shared" si="1174"/>
        <v>公営住宅</v>
      </c>
      <c r="E3358" s="7" t="str">
        <f t="shared" si="1184"/>
        <v>大阪府堺市　中区福田</v>
      </c>
      <c r="F3358" s="7"/>
      <c r="G3358" s="7" t="str">
        <f t="shared" si="1186"/>
        <v>事業用資産</v>
      </c>
      <c r="H3358" s="7" t="str">
        <f t="shared" si="1181"/>
        <v>棚卸以外</v>
      </c>
      <c r="I3358" s="7">
        <v>23</v>
      </c>
      <c r="J3358" s="7" t="str">
        <f>"２１号棟"</f>
        <v>２１号棟</v>
      </c>
      <c r="K3358" s="7" t="str">
        <f>"鉄筋コンクリート造"</f>
        <v>鉄筋コンクリート造</v>
      </c>
      <c r="L3358" s="7" t="str">
        <f t="shared" si="1189"/>
        <v>H06.11.29</v>
      </c>
      <c r="M3358" s="7">
        <v>1635.5</v>
      </c>
      <c r="N3358" s="7">
        <v>250881583</v>
      </c>
      <c r="O3358" s="7">
        <v>151078320</v>
      </c>
      <c r="P3358" s="7">
        <v>0</v>
      </c>
      <c r="Q3358" s="7" t="str">
        <f t="shared" si="1190"/>
        <v>都市整備部</v>
      </c>
      <c r="R3358" s="7" t="str">
        <f t="shared" si="1187"/>
        <v>住宅建築局住宅経営室</v>
      </c>
    </row>
    <row r="3359" spans="1:18" s="1" customFormat="1" x14ac:dyDescent="0.45">
      <c r="A3359" s="7" t="str">
        <f t="shared" si="1182"/>
        <v>09940003461</v>
      </c>
      <c r="B3359" s="7" t="str">
        <f t="shared" si="1183"/>
        <v>堺福田</v>
      </c>
      <c r="C3359" s="7" t="str">
        <f t="shared" si="1188"/>
        <v>行政財産</v>
      </c>
      <c r="D3359" s="7" t="str">
        <f t="shared" si="1174"/>
        <v>公営住宅</v>
      </c>
      <c r="E3359" s="7" t="str">
        <f t="shared" si="1184"/>
        <v>大阪府堺市　中区福田</v>
      </c>
      <c r="F3359" s="7"/>
      <c r="G3359" s="7" t="str">
        <f t="shared" si="1186"/>
        <v>事業用資産</v>
      </c>
      <c r="H3359" s="7" t="str">
        <f t="shared" si="1181"/>
        <v>棚卸以外</v>
      </c>
      <c r="I3359" s="7">
        <v>24</v>
      </c>
      <c r="J3359" s="7" t="str">
        <f>"受水槽"</f>
        <v>受水槽</v>
      </c>
      <c r="K3359" s="7" t="str">
        <f>"鉄筋"</f>
        <v>鉄筋</v>
      </c>
      <c r="L3359" s="7" t="str">
        <f t="shared" si="1189"/>
        <v>H06.11.29</v>
      </c>
      <c r="M3359" s="7">
        <v>23.2</v>
      </c>
      <c r="N3359" s="7">
        <v>20406000</v>
      </c>
      <c r="O3359" s="7">
        <v>12301540</v>
      </c>
      <c r="P3359" s="7">
        <v>0</v>
      </c>
      <c r="Q3359" s="7" t="str">
        <f t="shared" si="1190"/>
        <v>都市整備部</v>
      </c>
      <c r="R3359" s="7" t="str">
        <f t="shared" si="1187"/>
        <v>住宅建築局住宅経営室</v>
      </c>
    </row>
    <row r="3360" spans="1:18" s="1" customFormat="1" x14ac:dyDescent="0.45">
      <c r="A3360" s="7" t="str">
        <f t="shared" si="1182"/>
        <v>09940003461</v>
      </c>
      <c r="B3360" s="7" t="str">
        <f t="shared" si="1183"/>
        <v>堺福田</v>
      </c>
      <c r="C3360" s="7" t="str">
        <f t="shared" si="1188"/>
        <v>行政財産</v>
      </c>
      <c r="D3360" s="7" t="str">
        <f t="shared" si="1174"/>
        <v>公営住宅</v>
      </c>
      <c r="E3360" s="7" t="str">
        <f t="shared" si="1184"/>
        <v>大阪府堺市　中区福田</v>
      </c>
      <c r="F3360" s="7"/>
      <c r="G3360" s="7" t="str">
        <f t="shared" si="1186"/>
        <v>事業用資産</v>
      </c>
      <c r="H3360" s="7" t="str">
        <f t="shared" si="1181"/>
        <v>棚卸以外</v>
      </c>
      <c r="I3360" s="7">
        <v>25</v>
      </c>
      <c r="J3360" s="7" t="str">
        <f>"受水槽"</f>
        <v>受水槽</v>
      </c>
      <c r="K3360" s="7" t="str">
        <f>"鉄筋"</f>
        <v>鉄筋</v>
      </c>
      <c r="L3360" s="7" t="str">
        <f t="shared" si="1189"/>
        <v>H06.11.29</v>
      </c>
      <c r="M3360" s="7">
        <v>38</v>
      </c>
      <c r="N3360" s="7">
        <v>24483000</v>
      </c>
      <c r="O3360" s="7">
        <v>14759400</v>
      </c>
      <c r="P3360" s="7">
        <v>0</v>
      </c>
      <c r="Q3360" s="7" t="str">
        <f t="shared" si="1190"/>
        <v>都市整備部</v>
      </c>
      <c r="R3360" s="7" t="str">
        <f t="shared" si="1187"/>
        <v>住宅建築局住宅経営室</v>
      </c>
    </row>
    <row r="3361" spans="1:18" s="1" customFormat="1" x14ac:dyDescent="0.45">
      <c r="A3361" s="7" t="str">
        <f t="shared" ref="A3361:A3386" si="1191">"09940003462"</f>
        <v>09940003462</v>
      </c>
      <c r="B3361" s="7" t="str">
        <f t="shared" ref="B3361:B3386" si="1192">"堺宮園（旧八田荘）"</f>
        <v>堺宮園（旧八田荘）</v>
      </c>
      <c r="C3361" s="7" t="str">
        <f t="shared" si="1188"/>
        <v>行政財産</v>
      </c>
      <c r="D3361" s="7" t="str">
        <f t="shared" si="1174"/>
        <v>公営住宅</v>
      </c>
      <c r="E3361" s="7" t="str">
        <f t="shared" ref="E3361:E3386" si="1193">"大阪府堺市　中区宮園町"</f>
        <v>大阪府堺市　中区宮園町</v>
      </c>
      <c r="F3361" s="7"/>
      <c r="G3361" s="7" t="str">
        <f t="shared" si="1186"/>
        <v>事業用資産</v>
      </c>
      <c r="H3361" s="7" t="str">
        <f t="shared" si="1181"/>
        <v>棚卸以外</v>
      </c>
      <c r="I3361" s="7">
        <v>1</v>
      </c>
      <c r="J3361" s="7" t="str">
        <f>"２４・５１～５４号棟"</f>
        <v>２４・５１～５４号棟</v>
      </c>
      <c r="K3361" s="7" t="str">
        <f t="shared" ref="K3361:K3392" si="1194">"鉄筋コンクリート造"</f>
        <v>鉄筋コンクリート造</v>
      </c>
      <c r="L3361" s="7" t="str">
        <f>"S42.05.20"</f>
        <v>S42.05.20</v>
      </c>
      <c r="M3361" s="7">
        <v>16125.55</v>
      </c>
      <c r="N3361" s="7">
        <v>731147108</v>
      </c>
      <c r="O3361" s="7">
        <v>355395058</v>
      </c>
      <c r="P3361" s="7">
        <v>0</v>
      </c>
      <c r="Q3361" s="7" t="str">
        <f t="shared" si="1190"/>
        <v>都市整備部</v>
      </c>
      <c r="R3361" s="7" t="str">
        <f t="shared" si="1187"/>
        <v>住宅建築局住宅経営室</v>
      </c>
    </row>
    <row r="3362" spans="1:18" s="1" customFormat="1" x14ac:dyDescent="0.45">
      <c r="A3362" s="7" t="str">
        <f t="shared" si="1191"/>
        <v>09940003462</v>
      </c>
      <c r="B3362" s="7" t="str">
        <f t="shared" si="1192"/>
        <v>堺宮園（旧八田荘）</v>
      </c>
      <c r="C3362" s="7" t="str">
        <f t="shared" si="1188"/>
        <v>行政財産</v>
      </c>
      <c r="D3362" s="7" t="str">
        <f t="shared" si="1174"/>
        <v>公営住宅</v>
      </c>
      <c r="E3362" s="7" t="str">
        <f t="shared" si="1193"/>
        <v>大阪府堺市　中区宮園町</v>
      </c>
      <c r="F3362" s="7"/>
      <c r="G3362" s="7" t="str">
        <f t="shared" si="1186"/>
        <v>事業用資産</v>
      </c>
      <c r="H3362" s="7" t="str">
        <f t="shared" si="1181"/>
        <v>棚卸以外</v>
      </c>
      <c r="I3362" s="7">
        <v>2</v>
      </c>
      <c r="J3362" s="7" t="str">
        <f>"１１～１３・３２・３３号棟"</f>
        <v>１１～１３・３２・３３号棟</v>
      </c>
      <c r="K3362" s="7" t="str">
        <f t="shared" si="1194"/>
        <v>鉄筋コンクリート造</v>
      </c>
      <c r="L3362" s="7" t="str">
        <f>"S42.05.20"</f>
        <v>S42.05.20</v>
      </c>
      <c r="M3362" s="7">
        <v>15385.32</v>
      </c>
      <c r="N3362" s="7">
        <v>263928860</v>
      </c>
      <c r="O3362" s="7">
        <v>243135551</v>
      </c>
      <c r="P3362" s="7">
        <v>0</v>
      </c>
      <c r="Q3362" s="7" t="str">
        <f t="shared" si="1190"/>
        <v>都市整備部</v>
      </c>
      <c r="R3362" s="7" t="str">
        <f t="shared" si="1187"/>
        <v>住宅建築局住宅経営室</v>
      </c>
    </row>
    <row r="3363" spans="1:18" s="1" customFormat="1" x14ac:dyDescent="0.45">
      <c r="A3363" s="7" t="str">
        <f t="shared" si="1191"/>
        <v>09940003462</v>
      </c>
      <c r="B3363" s="7" t="str">
        <f t="shared" si="1192"/>
        <v>堺宮園（旧八田荘）</v>
      </c>
      <c r="C3363" s="7" t="str">
        <f t="shared" si="1188"/>
        <v>行政財産</v>
      </c>
      <c r="D3363" s="7" t="str">
        <f t="shared" si="1174"/>
        <v>公営住宅</v>
      </c>
      <c r="E3363" s="7" t="str">
        <f t="shared" si="1193"/>
        <v>大阪府堺市　中区宮園町</v>
      </c>
      <c r="F3363" s="7"/>
      <c r="G3363" s="7" t="str">
        <f t="shared" si="1186"/>
        <v>事業用資産</v>
      </c>
      <c r="H3363" s="7" t="str">
        <f t="shared" si="1181"/>
        <v>棚卸以外</v>
      </c>
      <c r="I3363" s="7">
        <v>4</v>
      </c>
      <c r="J3363" s="7" t="str">
        <f>"２５号棟"</f>
        <v>２５号棟</v>
      </c>
      <c r="K3363" s="7" t="str">
        <f t="shared" si="1194"/>
        <v>鉄筋コンクリート造</v>
      </c>
      <c r="L3363" s="7" t="str">
        <f t="shared" ref="L3363:L3370" si="1195">"S43.03.15"</f>
        <v>S43.03.15</v>
      </c>
      <c r="M3363" s="7">
        <v>2858.1</v>
      </c>
      <c r="N3363" s="7">
        <v>78992992</v>
      </c>
      <c r="O3363" s="7">
        <v>78992991</v>
      </c>
      <c r="P3363" s="7">
        <v>0</v>
      </c>
      <c r="Q3363" s="7" t="str">
        <f t="shared" si="1190"/>
        <v>都市整備部</v>
      </c>
      <c r="R3363" s="7" t="str">
        <f t="shared" si="1187"/>
        <v>住宅建築局住宅経営室</v>
      </c>
    </row>
    <row r="3364" spans="1:18" s="1" customFormat="1" x14ac:dyDescent="0.45">
      <c r="A3364" s="7" t="str">
        <f t="shared" si="1191"/>
        <v>09940003462</v>
      </c>
      <c r="B3364" s="7" t="str">
        <f t="shared" si="1192"/>
        <v>堺宮園（旧八田荘）</v>
      </c>
      <c r="C3364" s="7" t="str">
        <f t="shared" si="1188"/>
        <v>行政財産</v>
      </c>
      <c r="D3364" s="7" t="str">
        <f t="shared" si="1174"/>
        <v>公営住宅</v>
      </c>
      <c r="E3364" s="7" t="str">
        <f t="shared" si="1193"/>
        <v>大阪府堺市　中区宮園町</v>
      </c>
      <c r="F3364" s="7"/>
      <c r="G3364" s="7" t="str">
        <f t="shared" si="1186"/>
        <v>事業用資産</v>
      </c>
      <c r="H3364" s="7" t="str">
        <f t="shared" si="1181"/>
        <v>棚卸以外</v>
      </c>
      <c r="I3364" s="7">
        <v>5</v>
      </c>
      <c r="J3364" s="7" t="str">
        <f>"４３号棟"</f>
        <v>４３号棟</v>
      </c>
      <c r="K3364" s="7" t="str">
        <f t="shared" si="1194"/>
        <v>鉄筋コンクリート造</v>
      </c>
      <c r="L3364" s="7" t="str">
        <f t="shared" si="1195"/>
        <v>S43.03.15</v>
      </c>
      <c r="M3364" s="7">
        <v>3374.87</v>
      </c>
      <c r="N3364" s="7">
        <v>67708278</v>
      </c>
      <c r="O3364" s="7">
        <v>67708277</v>
      </c>
      <c r="P3364" s="7">
        <v>0</v>
      </c>
      <c r="Q3364" s="7" t="str">
        <f t="shared" si="1190"/>
        <v>都市整備部</v>
      </c>
      <c r="R3364" s="7" t="str">
        <f t="shared" si="1187"/>
        <v>住宅建築局住宅経営室</v>
      </c>
    </row>
    <row r="3365" spans="1:18" s="1" customFormat="1" x14ac:dyDescent="0.45">
      <c r="A3365" s="7" t="str">
        <f t="shared" si="1191"/>
        <v>09940003462</v>
      </c>
      <c r="B3365" s="7" t="str">
        <f t="shared" si="1192"/>
        <v>堺宮園（旧八田荘）</v>
      </c>
      <c r="C3365" s="7" t="str">
        <f t="shared" si="1188"/>
        <v>行政財産</v>
      </c>
      <c r="D3365" s="7" t="str">
        <f t="shared" si="1174"/>
        <v>公営住宅</v>
      </c>
      <c r="E3365" s="7" t="str">
        <f t="shared" si="1193"/>
        <v>大阪府堺市　中区宮園町</v>
      </c>
      <c r="F3365" s="7"/>
      <c r="G3365" s="7" t="str">
        <f t="shared" si="1186"/>
        <v>事業用資産</v>
      </c>
      <c r="H3365" s="7" t="str">
        <f t="shared" si="1181"/>
        <v>棚卸以外</v>
      </c>
      <c r="I3365" s="7">
        <v>6</v>
      </c>
      <c r="J3365" s="7" t="str">
        <f>"４２号棟"</f>
        <v>４２号棟</v>
      </c>
      <c r="K3365" s="7" t="str">
        <f t="shared" si="1194"/>
        <v>鉄筋コンクリート造</v>
      </c>
      <c r="L3365" s="7" t="str">
        <f t="shared" si="1195"/>
        <v>S43.03.15</v>
      </c>
      <c r="M3365" s="7">
        <v>3329.25</v>
      </c>
      <c r="N3365" s="7">
        <v>72495230</v>
      </c>
      <c r="O3365" s="7">
        <v>72495229</v>
      </c>
      <c r="P3365" s="7">
        <v>0</v>
      </c>
      <c r="Q3365" s="7" t="str">
        <f t="shared" si="1190"/>
        <v>都市整備部</v>
      </c>
      <c r="R3365" s="7" t="str">
        <f t="shared" si="1187"/>
        <v>住宅建築局住宅経営室</v>
      </c>
    </row>
    <row r="3366" spans="1:18" s="1" customFormat="1" x14ac:dyDescent="0.45">
      <c r="A3366" s="7" t="str">
        <f t="shared" si="1191"/>
        <v>09940003462</v>
      </c>
      <c r="B3366" s="7" t="str">
        <f t="shared" si="1192"/>
        <v>堺宮園（旧八田荘）</v>
      </c>
      <c r="C3366" s="7" t="str">
        <f t="shared" si="1188"/>
        <v>行政財産</v>
      </c>
      <c r="D3366" s="7" t="str">
        <f t="shared" si="1174"/>
        <v>公営住宅</v>
      </c>
      <c r="E3366" s="7" t="str">
        <f t="shared" si="1193"/>
        <v>大阪府堺市　中区宮園町</v>
      </c>
      <c r="F3366" s="7"/>
      <c r="G3366" s="7" t="str">
        <f t="shared" si="1186"/>
        <v>事業用資産</v>
      </c>
      <c r="H3366" s="7" t="str">
        <f t="shared" si="1181"/>
        <v>棚卸以外</v>
      </c>
      <c r="I3366" s="7">
        <v>7</v>
      </c>
      <c r="J3366" s="7" t="str">
        <f>"３４号棟"</f>
        <v>３４号棟</v>
      </c>
      <c r="K3366" s="7" t="str">
        <f t="shared" si="1194"/>
        <v>鉄筋コンクリート造</v>
      </c>
      <c r="L3366" s="7" t="str">
        <f t="shared" si="1195"/>
        <v>S43.03.15</v>
      </c>
      <c r="M3366" s="7">
        <v>1984</v>
      </c>
      <c r="N3366" s="7">
        <v>76169714</v>
      </c>
      <c r="O3366" s="7">
        <v>55376405</v>
      </c>
      <c r="P3366" s="7">
        <v>0</v>
      </c>
      <c r="Q3366" s="7" t="str">
        <f t="shared" si="1190"/>
        <v>都市整備部</v>
      </c>
      <c r="R3366" s="7" t="str">
        <f t="shared" si="1187"/>
        <v>住宅建築局住宅経営室</v>
      </c>
    </row>
    <row r="3367" spans="1:18" s="1" customFormat="1" x14ac:dyDescent="0.45">
      <c r="A3367" s="7" t="str">
        <f t="shared" si="1191"/>
        <v>09940003462</v>
      </c>
      <c r="B3367" s="7" t="str">
        <f t="shared" si="1192"/>
        <v>堺宮園（旧八田荘）</v>
      </c>
      <c r="C3367" s="7" t="str">
        <f t="shared" si="1188"/>
        <v>行政財産</v>
      </c>
      <c r="D3367" s="7" t="str">
        <f t="shared" si="1174"/>
        <v>公営住宅</v>
      </c>
      <c r="E3367" s="7" t="str">
        <f t="shared" si="1193"/>
        <v>大阪府堺市　中区宮園町</v>
      </c>
      <c r="F3367" s="7"/>
      <c r="G3367" s="7" t="str">
        <f t="shared" si="1186"/>
        <v>事業用資産</v>
      </c>
      <c r="H3367" s="7" t="str">
        <f t="shared" si="1181"/>
        <v>棚卸以外</v>
      </c>
      <c r="I3367" s="7">
        <v>8</v>
      </c>
      <c r="J3367" s="7" t="str">
        <f>"３８・３９号棟"</f>
        <v>３８・３９号棟</v>
      </c>
      <c r="K3367" s="7" t="str">
        <f t="shared" si="1194"/>
        <v>鉄筋コンクリート造</v>
      </c>
      <c r="L3367" s="7" t="str">
        <f t="shared" si="1195"/>
        <v>S43.03.15</v>
      </c>
      <c r="M3367" s="7">
        <v>3174.4</v>
      </c>
      <c r="N3367" s="7">
        <v>130858094</v>
      </c>
      <c r="O3367" s="7">
        <v>89271435</v>
      </c>
      <c r="P3367" s="7">
        <v>0</v>
      </c>
      <c r="Q3367" s="7" t="str">
        <f t="shared" si="1190"/>
        <v>都市整備部</v>
      </c>
      <c r="R3367" s="7" t="str">
        <f t="shared" si="1187"/>
        <v>住宅建築局住宅経営室</v>
      </c>
    </row>
    <row r="3368" spans="1:18" s="1" customFormat="1" x14ac:dyDescent="0.45">
      <c r="A3368" s="7" t="str">
        <f t="shared" si="1191"/>
        <v>09940003462</v>
      </c>
      <c r="B3368" s="7" t="str">
        <f t="shared" si="1192"/>
        <v>堺宮園（旧八田荘）</v>
      </c>
      <c r="C3368" s="7" t="str">
        <f t="shared" si="1188"/>
        <v>行政財産</v>
      </c>
      <c r="D3368" s="7" t="str">
        <f t="shared" si="1174"/>
        <v>公営住宅</v>
      </c>
      <c r="E3368" s="7" t="str">
        <f t="shared" si="1193"/>
        <v>大阪府堺市　中区宮園町</v>
      </c>
      <c r="F3368" s="7"/>
      <c r="G3368" s="7" t="str">
        <f t="shared" si="1186"/>
        <v>事業用資産</v>
      </c>
      <c r="H3368" s="7" t="str">
        <f t="shared" si="1181"/>
        <v>棚卸以外</v>
      </c>
      <c r="I3368" s="7">
        <v>9</v>
      </c>
      <c r="J3368" s="7" t="str">
        <f>"３７号棟"</f>
        <v>３７号棟</v>
      </c>
      <c r="K3368" s="7" t="str">
        <f t="shared" si="1194"/>
        <v>鉄筋コンクリート造</v>
      </c>
      <c r="L3368" s="7" t="str">
        <f t="shared" si="1195"/>
        <v>S43.03.15</v>
      </c>
      <c r="M3368" s="7">
        <v>2380.8000000000002</v>
      </c>
      <c r="N3368" s="7">
        <v>86910381</v>
      </c>
      <c r="O3368" s="7">
        <v>66117072</v>
      </c>
      <c r="P3368" s="7">
        <v>0</v>
      </c>
      <c r="Q3368" s="7" t="str">
        <f t="shared" si="1190"/>
        <v>都市整備部</v>
      </c>
      <c r="R3368" s="7" t="str">
        <f t="shared" si="1187"/>
        <v>住宅建築局住宅経営室</v>
      </c>
    </row>
    <row r="3369" spans="1:18" s="1" customFormat="1" x14ac:dyDescent="0.45">
      <c r="A3369" s="7" t="str">
        <f t="shared" si="1191"/>
        <v>09940003462</v>
      </c>
      <c r="B3369" s="7" t="str">
        <f t="shared" si="1192"/>
        <v>堺宮園（旧八田荘）</v>
      </c>
      <c r="C3369" s="7" t="str">
        <f t="shared" si="1188"/>
        <v>行政財産</v>
      </c>
      <c r="D3369" s="7" t="str">
        <f t="shared" si="1174"/>
        <v>公営住宅</v>
      </c>
      <c r="E3369" s="7" t="str">
        <f t="shared" si="1193"/>
        <v>大阪府堺市　中区宮園町</v>
      </c>
      <c r="F3369" s="7"/>
      <c r="G3369" s="7" t="str">
        <f t="shared" si="1186"/>
        <v>事業用資産</v>
      </c>
      <c r="H3369" s="7" t="str">
        <f t="shared" si="1181"/>
        <v>棚卸以外</v>
      </c>
      <c r="I3369" s="7">
        <v>10</v>
      </c>
      <c r="J3369" s="7" t="str">
        <f>"３１号棟"</f>
        <v>３１号棟</v>
      </c>
      <c r="K3369" s="7" t="str">
        <f t="shared" si="1194"/>
        <v>鉄筋コンクリート造</v>
      </c>
      <c r="L3369" s="7" t="str">
        <f t="shared" si="1195"/>
        <v>S43.03.15</v>
      </c>
      <c r="M3369" s="7">
        <v>2975.88</v>
      </c>
      <c r="N3369" s="7">
        <v>74992247</v>
      </c>
      <c r="O3369" s="7">
        <v>54198938</v>
      </c>
      <c r="P3369" s="7">
        <v>0</v>
      </c>
      <c r="Q3369" s="7" t="str">
        <f t="shared" si="1190"/>
        <v>都市整備部</v>
      </c>
      <c r="R3369" s="7" t="str">
        <f t="shared" si="1187"/>
        <v>住宅建築局住宅経営室</v>
      </c>
    </row>
    <row r="3370" spans="1:18" s="1" customFormat="1" x14ac:dyDescent="0.45">
      <c r="A3370" s="7" t="str">
        <f t="shared" si="1191"/>
        <v>09940003462</v>
      </c>
      <c r="B3370" s="7" t="str">
        <f t="shared" si="1192"/>
        <v>堺宮園（旧八田荘）</v>
      </c>
      <c r="C3370" s="7" t="str">
        <f t="shared" si="1188"/>
        <v>行政財産</v>
      </c>
      <c r="D3370" s="7" t="str">
        <f t="shared" si="1174"/>
        <v>公営住宅</v>
      </c>
      <c r="E3370" s="7" t="str">
        <f t="shared" si="1193"/>
        <v>大阪府堺市　中区宮園町</v>
      </c>
      <c r="F3370" s="7"/>
      <c r="G3370" s="7" t="str">
        <f t="shared" si="1186"/>
        <v>事業用資産</v>
      </c>
      <c r="H3370" s="7" t="str">
        <f t="shared" si="1181"/>
        <v>棚卸以外</v>
      </c>
      <c r="I3370" s="7">
        <v>11</v>
      </c>
      <c r="J3370" s="7" t="str">
        <f>"３５・３６号棟"</f>
        <v>３５・３６号棟</v>
      </c>
      <c r="K3370" s="7" t="str">
        <f t="shared" si="1194"/>
        <v>鉄筋コンクリート造</v>
      </c>
      <c r="L3370" s="7" t="str">
        <f t="shared" si="1195"/>
        <v>S43.03.15</v>
      </c>
      <c r="M3370" s="7">
        <v>10957.54</v>
      </c>
      <c r="N3370" s="7">
        <v>223520710</v>
      </c>
      <c r="O3370" s="7">
        <v>181934051</v>
      </c>
      <c r="P3370" s="7">
        <v>0</v>
      </c>
      <c r="Q3370" s="7" t="str">
        <f t="shared" si="1190"/>
        <v>都市整備部</v>
      </c>
      <c r="R3370" s="7" t="str">
        <f t="shared" si="1187"/>
        <v>住宅建築局住宅経営室</v>
      </c>
    </row>
    <row r="3371" spans="1:18" s="1" customFormat="1" x14ac:dyDescent="0.45">
      <c r="A3371" s="7" t="str">
        <f t="shared" si="1191"/>
        <v>09940003462</v>
      </c>
      <c r="B3371" s="7" t="str">
        <f t="shared" si="1192"/>
        <v>堺宮園（旧八田荘）</v>
      </c>
      <c r="C3371" s="7" t="str">
        <f t="shared" si="1188"/>
        <v>行政財産</v>
      </c>
      <c r="D3371" s="7" t="str">
        <f t="shared" si="1174"/>
        <v>公営住宅</v>
      </c>
      <c r="E3371" s="7" t="str">
        <f t="shared" si="1193"/>
        <v>大阪府堺市　中区宮園町</v>
      </c>
      <c r="F3371" s="7"/>
      <c r="G3371" s="7" t="str">
        <f t="shared" si="1186"/>
        <v>事業用資産</v>
      </c>
      <c r="H3371" s="7" t="str">
        <f t="shared" si="1181"/>
        <v>棚卸以外</v>
      </c>
      <c r="I3371" s="7">
        <v>12</v>
      </c>
      <c r="J3371" s="7" t="str">
        <f>"６７・７１～７８号棟"</f>
        <v>６７・７１～７８号棟</v>
      </c>
      <c r="K3371" s="7" t="str">
        <f t="shared" si="1194"/>
        <v>鉄筋コンクリート造</v>
      </c>
      <c r="L3371" s="7" t="str">
        <f>"S44.05.30"</f>
        <v>S44.05.30</v>
      </c>
      <c r="M3371" s="7">
        <v>22808.560000000001</v>
      </c>
      <c r="N3371" s="7">
        <v>680078822</v>
      </c>
      <c r="O3371" s="7">
        <v>460478341</v>
      </c>
      <c r="P3371" s="7">
        <v>0</v>
      </c>
      <c r="Q3371" s="7" t="str">
        <f t="shared" si="1190"/>
        <v>都市整備部</v>
      </c>
      <c r="R3371" s="7" t="str">
        <f t="shared" si="1187"/>
        <v>住宅建築局住宅経営室</v>
      </c>
    </row>
    <row r="3372" spans="1:18" s="1" customFormat="1" x14ac:dyDescent="0.45">
      <c r="A3372" s="7" t="str">
        <f t="shared" si="1191"/>
        <v>09940003462</v>
      </c>
      <c r="B3372" s="7" t="str">
        <f t="shared" si="1192"/>
        <v>堺宮園（旧八田荘）</v>
      </c>
      <c r="C3372" s="7" t="str">
        <f t="shared" si="1188"/>
        <v>行政財産</v>
      </c>
      <c r="D3372" s="7" t="str">
        <f t="shared" si="1174"/>
        <v>公営住宅</v>
      </c>
      <c r="E3372" s="7" t="str">
        <f t="shared" si="1193"/>
        <v>大阪府堺市　中区宮園町</v>
      </c>
      <c r="F3372" s="7"/>
      <c r="G3372" s="7" t="str">
        <f t="shared" si="1186"/>
        <v>事業用資産</v>
      </c>
      <c r="H3372" s="7" t="str">
        <f t="shared" si="1181"/>
        <v>棚卸以外</v>
      </c>
      <c r="I3372" s="7">
        <v>13</v>
      </c>
      <c r="J3372" s="7" t="str">
        <f>"６１～６６号棟増築・改築"</f>
        <v>６１～６６号棟増築・改築</v>
      </c>
      <c r="K3372" s="7" t="str">
        <f t="shared" si="1194"/>
        <v>鉄筋コンクリート造</v>
      </c>
      <c r="L3372" s="7" t="str">
        <f>"S43.09.11"</f>
        <v>S43.09.11</v>
      </c>
      <c r="M3372" s="7">
        <v>21905.27</v>
      </c>
      <c r="N3372" s="7">
        <v>309177848</v>
      </c>
      <c r="O3372" s="7">
        <v>309177847</v>
      </c>
      <c r="P3372" s="7">
        <v>0</v>
      </c>
      <c r="Q3372" s="7" t="str">
        <f t="shared" si="1190"/>
        <v>都市整備部</v>
      </c>
      <c r="R3372" s="7" t="str">
        <f t="shared" si="1187"/>
        <v>住宅建築局住宅経営室</v>
      </c>
    </row>
    <row r="3373" spans="1:18" s="1" customFormat="1" x14ac:dyDescent="0.45">
      <c r="A3373" s="7" t="str">
        <f t="shared" si="1191"/>
        <v>09940003462</v>
      </c>
      <c r="B3373" s="7" t="str">
        <f t="shared" si="1192"/>
        <v>堺宮園（旧八田荘）</v>
      </c>
      <c r="C3373" s="7" t="str">
        <f t="shared" si="1188"/>
        <v>行政財産</v>
      </c>
      <c r="D3373" s="7" t="str">
        <f t="shared" si="1174"/>
        <v>公営住宅</v>
      </c>
      <c r="E3373" s="7" t="str">
        <f t="shared" si="1193"/>
        <v>大阪府堺市　中区宮園町</v>
      </c>
      <c r="F3373" s="7"/>
      <c r="G3373" s="7" t="str">
        <f t="shared" si="1186"/>
        <v>事業用資産</v>
      </c>
      <c r="H3373" s="7" t="str">
        <f t="shared" si="1181"/>
        <v>棚卸以外</v>
      </c>
      <c r="I3373" s="7">
        <v>14</v>
      </c>
      <c r="J3373" s="7" t="str">
        <f>"８１～８６号棟"</f>
        <v>８１～８６号棟</v>
      </c>
      <c r="K3373" s="7" t="str">
        <f t="shared" si="1194"/>
        <v>鉄筋コンクリート造</v>
      </c>
      <c r="L3373" s="7" t="str">
        <f>"S44.03.28"</f>
        <v>S44.03.28</v>
      </c>
      <c r="M3373" s="7">
        <v>12389.73</v>
      </c>
      <c r="N3373" s="7">
        <v>2725355996</v>
      </c>
      <c r="O3373" s="7">
        <v>2600595930</v>
      </c>
      <c r="P3373" s="7">
        <v>0</v>
      </c>
      <c r="Q3373" s="7" t="str">
        <f t="shared" si="1190"/>
        <v>都市整備部</v>
      </c>
      <c r="R3373" s="7" t="str">
        <f t="shared" si="1187"/>
        <v>住宅建築局住宅経営室</v>
      </c>
    </row>
    <row r="3374" spans="1:18" s="1" customFormat="1" x14ac:dyDescent="0.45">
      <c r="A3374" s="7" t="str">
        <f t="shared" si="1191"/>
        <v>09940003462</v>
      </c>
      <c r="B3374" s="7" t="str">
        <f t="shared" si="1192"/>
        <v>堺宮園（旧八田荘）</v>
      </c>
      <c r="C3374" s="7" t="str">
        <f t="shared" si="1188"/>
        <v>行政財産</v>
      </c>
      <c r="D3374" s="7" t="str">
        <f t="shared" si="1174"/>
        <v>公営住宅</v>
      </c>
      <c r="E3374" s="7" t="str">
        <f t="shared" si="1193"/>
        <v>大阪府堺市　中区宮園町</v>
      </c>
      <c r="F3374" s="7"/>
      <c r="G3374" s="7" t="str">
        <f t="shared" si="1186"/>
        <v>事業用資産</v>
      </c>
      <c r="H3374" s="7" t="str">
        <f t="shared" si="1181"/>
        <v>棚卸以外</v>
      </c>
      <c r="I3374" s="7">
        <v>15</v>
      </c>
      <c r="J3374" s="7" t="str">
        <f>"集会所"</f>
        <v>集会所</v>
      </c>
      <c r="K3374" s="7" t="str">
        <f t="shared" si="1194"/>
        <v>鉄筋コンクリート造</v>
      </c>
      <c r="L3374" s="7" t="str">
        <f>"S44.05.30"</f>
        <v>S44.05.30</v>
      </c>
      <c r="M3374" s="7">
        <v>93.16</v>
      </c>
      <c r="N3374" s="7">
        <v>4150000</v>
      </c>
      <c r="O3374" s="7">
        <v>4149999</v>
      </c>
      <c r="P3374" s="7">
        <v>0</v>
      </c>
      <c r="Q3374" s="7" t="str">
        <f t="shared" si="1190"/>
        <v>都市整備部</v>
      </c>
      <c r="R3374" s="7" t="str">
        <f t="shared" si="1187"/>
        <v>住宅建築局住宅経営室</v>
      </c>
    </row>
    <row r="3375" spans="1:18" s="1" customFormat="1" x14ac:dyDescent="0.45">
      <c r="A3375" s="7" t="str">
        <f t="shared" si="1191"/>
        <v>09940003462</v>
      </c>
      <c r="B3375" s="7" t="str">
        <f t="shared" si="1192"/>
        <v>堺宮園（旧八田荘）</v>
      </c>
      <c r="C3375" s="7" t="str">
        <f t="shared" si="1188"/>
        <v>行政財産</v>
      </c>
      <c r="D3375" s="7" t="str">
        <f t="shared" si="1174"/>
        <v>公営住宅</v>
      </c>
      <c r="E3375" s="7" t="str">
        <f t="shared" si="1193"/>
        <v>大阪府堺市　中区宮園町</v>
      </c>
      <c r="F3375" s="7"/>
      <c r="G3375" s="7" t="str">
        <f t="shared" si="1186"/>
        <v>事業用資産</v>
      </c>
      <c r="H3375" s="7" t="str">
        <f t="shared" si="1181"/>
        <v>棚卸以外</v>
      </c>
      <c r="I3375" s="7">
        <v>17</v>
      </c>
      <c r="J3375" s="7" t="str">
        <f>"２４号棟増築"</f>
        <v>２４号棟増築</v>
      </c>
      <c r="K3375" s="7" t="str">
        <f t="shared" si="1194"/>
        <v>鉄筋コンクリート造</v>
      </c>
      <c r="L3375" s="7" t="str">
        <f>"S61.10.27"</f>
        <v>S61.10.27</v>
      </c>
      <c r="M3375" s="7">
        <v>1961.2</v>
      </c>
      <c r="N3375" s="7">
        <v>252032000</v>
      </c>
      <c r="O3375" s="7">
        <v>195280442</v>
      </c>
      <c r="P3375" s="7">
        <v>0</v>
      </c>
      <c r="Q3375" s="7" t="str">
        <f t="shared" si="1190"/>
        <v>都市整備部</v>
      </c>
      <c r="R3375" s="7" t="str">
        <f t="shared" si="1187"/>
        <v>住宅建築局住宅経営室</v>
      </c>
    </row>
    <row r="3376" spans="1:18" s="1" customFormat="1" x14ac:dyDescent="0.45">
      <c r="A3376" s="7" t="str">
        <f t="shared" si="1191"/>
        <v>09940003462</v>
      </c>
      <c r="B3376" s="7" t="str">
        <f t="shared" si="1192"/>
        <v>堺宮園（旧八田荘）</v>
      </c>
      <c r="C3376" s="7" t="str">
        <f t="shared" si="1188"/>
        <v>行政財産</v>
      </c>
      <c r="D3376" s="7" t="str">
        <f t="shared" si="1174"/>
        <v>公営住宅</v>
      </c>
      <c r="E3376" s="7" t="str">
        <f t="shared" si="1193"/>
        <v>大阪府堺市　中区宮園町</v>
      </c>
      <c r="F3376" s="7"/>
      <c r="G3376" s="7" t="str">
        <f t="shared" si="1186"/>
        <v>事業用資産</v>
      </c>
      <c r="H3376" s="7" t="str">
        <f t="shared" si="1181"/>
        <v>棚卸以外</v>
      </c>
      <c r="I3376" s="7">
        <v>18</v>
      </c>
      <c r="J3376" s="7" t="str">
        <f>"３４号棟増築"</f>
        <v>３４号棟増築</v>
      </c>
      <c r="K3376" s="7" t="str">
        <f t="shared" si="1194"/>
        <v>鉄筋コンクリート造</v>
      </c>
      <c r="L3376" s="7" t="str">
        <f>"S61.12.25"</f>
        <v>S61.12.25</v>
      </c>
      <c r="M3376" s="7">
        <v>1281.97</v>
      </c>
      <c r="N3376" s="7">
        <v>157927000</v>
      </c>
      <c r="O3376" s="7">
        <v>121805655</v>
      </c>
      <c r="P3376" s="7">
        <v>0</v>
      </c>
      <c r="Q3376" s="7" t="str">
        <f t="shared" si="1190"/>
        <v>都市整備部</v>
      </c>
      <c r="R3376" s="7" t="str">
        <f t="shared" si="1187"/>
        <v>住宅建築局住宅経営室</v>
      </c>
    </row>
    <row r="3377" spans="1:18" s="1" customFormat="1" x14ac:dyDescent="0.45">
      <c r="A3377" s="7" t="str">
        <f t="shared" si="1191"/>
        <v>09940003462</v>
      </c>
      <c r="B3377" s="7" t="str">
        <f t="shared" si="1192"/>
        <v>堺宮園（旧八田荘）</v>
      </c>
      <c r="C3377" s="7" t="str">
        <f t="shared" si="1188"/>
        <v>行政財産</v>
      </c>
      <c r="D3377" s="7" t="str">
        <f t="shared" si="1174"/>
        <v>公営住宅</v>
      </c>
      <c r="E3377" s="7" t="str">
        <f t="shared" si="1193"/>
        <v>大阪府堺市　中区宮園町</v>
      </c>
      <c r="F3377" s="7"/>
      <c r="G3377" s="7" t="str">
        <f t="shared" si="1186"/>
        <v>事業用資産</v>
      </c>
      <c r="H3377" s="7" t="str">
        <f t="shared" si="1181"/>
        <v>棚卸以外</v>
      </c>
      <c r="I3377" s="7">
        <v>19</v>
      </c>
      <c r="J3377" s="7" t="str">
        <f>"３９号棟増築"</f>
        <v>３９号棟増築</v>
      </c>
      <c r="K3377" s="7" t="str">
        <f t="shared" si="1194"/>
        <v>鉄筋コンクリート造</v>
      </c>
      <c r="L3377" s="7" t="str">
        <f>"S61.12.25"</f>
        <v>S61.12.25</v>
      </c>
      <c r="M3377" s="7">
        <v>1085.97</v>
      </c>
      <c r="N3377" s="7">
        <v>148845000</v>
      </c>
      <c r="O3377" s="7">
        <v>114800850</v>
      </c>
      <c r="P3377" s="7">
        <v>0</v>
      </c>
      <c r="Q3377" s="7" t="str">
        <f t="shared" si="1190"/>
        <v>都市整備部</v>
      </c>
      <c r="R3377" s="7" t="str">
        <f t="shared" si="1187"/>
        <v>住宅建築局住宅経営室</v>
      </c>
    </row>
    <row r="3378" spans="1:18" s="1" customFormat="1" x14ac:dyDescent="0.45">
      <c r="A3378" s="7" t="str">
        <f t="shared" si="1191"/>
        <v>09940003462</v>
      </c>
      <c r="B3378" s="7" t="str">
        <f t="shared" si="1192"/>
        <v>堺宮園（旧八田荘）</v>
      </c>
      <c r="C3378" s="7" t="str">
        <f t="shared" si="1188"/>
        <v>行政財産</v>
      </c>
      <c r="D3378" s="7" t="str">
        <f t="shared" ref="D3378:D3441" si="1196">"公営住宅"</f>
        <v>公営住宅</v>
      </c>
      <c r="E3378" s="7" t="str">
        <f t="shared" si="1193"/>
        <v>大阪府堺市　中区宮園町</v>
      </c>
      <c r="F3378" s="7"/>
      <c r="G3378" s="7" t="str">
        <f t="shared" si="1186"/>
        <v>事業用資産</v>
      </c>
      <c r="H3378" s="7" t="str">
        <f t="shared" si="1181"/>
        <v>棚卸以外</v>
      </c>
      <c r="I3378" s="7">
        <v>20</v>
      </c>
      <c r="J3378" s="7" t="str">
        <f>"３７号棟増築"</f>
        <v>３７号棟増築</v>
      </c>
      <c r="K3378" s="7" t="str">
        <f t="shared" si="1194"/>
        <v>鉄筋コンクリート造</v>
      </c>
      <c r="L3378" s="7" t="str">
        <f>"S61.12.25"</f>
        <v>S61.12.25</v>
      </c>
      <c r="M3378" s="7">
        <v>1655.65</v>
      </c>
      <c r="N3378" s="7">
        <v>201189000</v>
      </c>
      <c r="O3378" s="7">
        <v>155172765</v>
      </c>
      <c r="P3378" s="7">
        <v>0</v>
      </c>
      <c r="Q3378" s="7" t="str">
        <f t="shared" si="1190"/>
        <v>都市整備部</v>
      </c>
      <c r="R3378" s="7" t="str">
        <f t="shared" si="1187"/>
        <v>住宅建築局住宅経営室</v>
      </c>
    </row>
    <row r="3379" spans="1:18" s="1" customFormat="1" x14ac:dyDescent="0.45">
      <c r="A3379" s="7" t="str">
        <f t="shared" si="1191"/>
        <v>09940003462</v>
      </c>
      <c r="B3379" s="7" t="str">
        <f t="shared" si="1192"/>
        <v>堺宮園（旧八田荘）</v>
      </c>
      <c r="C3379" s="7" t="str">
        <f t="shared" si="1188"/>
        <v>行政財産</v>
      </c>
      <c r="D3379" s="7" t="str">
        <f t="shared" si="1196"/>
        <v>公営住宅</v>
      </c>
      <c r="E3379" s="7" t="str">
        <f t="shared" si="1193"/>
        <v>大阪府堺市　中区宮園町</v>
      </c>
      <c r="F3379" s="7"/>
      <c r="G3379" s="7" t="str">
        <f t="shared" si="1186"/>
        <v>事業用資産</v>
      </c>
      <c r="H3379" s="7" t="str">
        <f t="shared" si="1181"/>
        <v>棚卸以外</v>
      </c>
      <c r="I3379" s="7">
        <v>21</v>
      </c>
      <c r="J3379" s="7" t="str">
        <f>"３８号棟増築"</f>
        <v>３８号棟増築</v>
      </c>
      <c r="K3379" s="7" t="str">
        <f t="shared" si="1194"/>
        <v>鉄筋コンクリート造</v>
      </c>
      <c r="L3379" s="7" t="str">
        <f>"S61.12.25"</f>
        <v>S61.12.25</v>
      </c>
      <c r="M3379" s="7">
        <v>1118.08</v>
      </c>
      <c r="N3379" s="7">
        <v>134659000</v>
      </c>
      <c r="O3379" s="7">
        <v>103859730</v>
      </c>
      <c r="P3379" s="7">
        <v>0</v>
      </c>
      <c r="Q3379" s="7" t="str">
        <f t="shared" si="1190"/>
        <v>都市整備部</v>
      </c>
      <c r="R3379" s="7" t="str">
        <f t="shared" si="1187"/>
        <v>住宅建築局住宅経営室</v>
      </c>
    </row>
    <row r="3380" spans="1:18" s="1" customFormat="1" x14ac:dyDescent="0.45">
      <c r="A3380" s="7" t="str">
        <f t="shared" si="1191"/>
        <v>09940003462</v>
      </c>
      <c r="B3380" s="7" t="str">
        <f t="shared" si="1192"/>
        <v>堺宮園（旧八田荘）</v>
      </c>
      <c r="C3380" s="7" t="str">
        <f t="shared" si="1188"/>
        <v>行政財産</v>
      </c>
      <c r="D3380" s="7" t="str">
        <f t="shared" si="1196"/>
        <v>公営住宅</v>
      </c>
      <c r="E3380" s="7" t="str">
        <f t="shared" si="1193"/>
        <v>大阪府堺市　中区宮園町</v>
      </c>
      <c r="F3380" s="7"/>
      <c r="G3380" s="7" t="str">
        <f t="shared" si="1186"/>
        <v>事業用資産</v>
      </c>
      <c r="H3380" s="7" t="str">
        <f t="shared" si="1181"/>
        <v>棚卸以外</v>
      </c>
      <c r="I3380" s="7">
        <v>22</v>
      </c>
      <c r="J3380" s="7" t="str">
        <f>"１３号棟増築"</f>
        <v>１３号棟増築</v>
      </c>
      <c r="K3380" s="7" t="str">
        <f t="shared" si="1194"/>
        <v>鉄筋コンクリート造</v>
      </c>
      <c r="L3380" s="7" t="str">
        <f>"S62.09.28"</f>
        <v>S62.09.28</v>
      </c>
      <c r="M3380" s="7">
        <v>1482.4</v>
      </c>
      <c r="N3380" s="7">
        <v>205637000</v>
      </c>
      <c r="O3380" s="7">
        <v>155321730</v>
      </c>
      <c r="P3380" s="7">
        <v>0</v>
      </c>
      <c r="Q3380" s="7" t="str">
        <f t="shared" si="1190"/>
        <v>都市整備部</v>
      </c>
      <c r="R3380" s="7" t="str">
        <f t="shared" si="1187"/>
        <v>住宅建築局住宅経営室</v>
      </c>
    </row>
    <row r="3381" spans="1:18" s="1" customFormat="1" x14ac:dyDescent="0.45">
      <c r="A3381" s="7" t="str">
        <f t="shared" si="1191"/>
        <v>09940003462</v>
      </c>
      <c r="B3381" s="7" t="str">
        <f t="shared" si="1192"/>
        <v>堺宮園（旧八田荘）</v>
      </c>
      <c r="C3381" s="7" t="str">
        <f t="shared" si="1188"/>
        <v>行政財産</v>
      </c>
      <c r="D3381" s="7" t="str">
        <f t="shared" si="1196"/>
        <v>公営住宅</v>
      </c>
      <c r="E3381" s="7" t="str">
        <f t="shared" si="1193"/>
        <v>大阪府堺市　中区宮園町</v>
      </c>
      <c r="F3381" s="7"/>
      <c r="G3381" s="7" t="str">
        <f t="shared" si="1186"/>
        <v>事業用資産</v>
      </c>
      <c r="H3381" s="7" t="str">
        <f t="shared" si="1181"/>
        <v>棚卸以外</v>
      </c>
      <c r="I3381" s="7">
        <v>24</v>
      </c>
      <c r="J3381" s="7" t="str">
        <f>"５１号棟増築"</f>
        <v>５１号棟増築</v>
      </c>
      <c r="K3381" s="7" t="str">
        <f t="shared" si="1194"/>
        <v>鉄筋コンクリート造</v>
      </c>
      <c r="L3381" s="7" t="str">
        <f>"S62.08.27"</f>
        <v>S62.08.27</v>
      </c>
      <c r="M3381" s="7">
        <v>992.08</v>
      </c>
      <c r="N3381" s="7">
        <v>125218000</v>
      </c>
      <c r="O3381" s="7">
        <v>94801686</v>
      </c>
      <c r="P3381" s="7">
        <v>0</v>
      </c>
      <c r="Q3381" s="7" t="str">
        <f t="shared" si="1190"/>
        <v>都市整備部</v>
      </c>
      <c r="R3381" s="7" t="str">
        <f t="shared" si="1187"/>
        <v>住宅建築局住宅経営室</v>
      </c>
    </row>
    <row r="3382" spans="1:18" s="1" customFormat="1" x14ac:dyDescent="0.45">
      <c r="A3382" s="7" t="str">
        <f t="shared" si="1191"/>
        <v>09940003462</v>
      </c>
      <c r="B3382" s="7" t="str">
        <f t="shared" si="1192"/>
        <v>堺宮園（旧八田荘）</v>
      </c>
      <c r="C3382" s="7" t="str">
        <f t="shared" si="1188"/>
        <v>行政財産</v>
      </c>
      <c r="D3382" s="7" t="str">
        <f t="shared" si="1196"/>
        <v>公営住宅</v>
      </c>
      <c r="E3382" s="7" t="str">
        <f t="shared" si="1193"/>
        <v>大阪府堺市　中区宮園町</v>
      </c>
      <c r="F3382" s="7"/>
      <c r="G3382" s="7" t="str">
        <f t="shared" si="1186"/>
        <v>事業用資産</v>
      </c>
      <c r="H3382" s="7" t="str">
        <f t="shared" si="1181"/>
        <v>棚卸以外</v>
      </c>
      <c r="I3382" s="7">
        <v>25</v>
      </c>
      <c r="J3382" s="7" t="str">
        <f>"５２号棟増築"</f>
        <v>５２号棟増築</v>
      </c>
      <c r="K3382" s="7" t="str">
        <f t="shared" si="1194"/>
        <v>鉄筋コンクリート造</v>
      </c>
      <c r="L3382" s="7" t="str">
        <f>"S62.08.27"</f>
        <v>S62.08.27</v>
      </c>
      <c r="M3382" s="7">
        <v>992.08</v>
      </c>
      <c r="N3382" s="7">
        <v>125382000</v>
      </c>
      <c r="O3382" s="7">
        <v>94925943</v>
      </c>
      <c r="P3382" s="7">
        <v>0</v>
      </c>
      <c r="Q3382" s="7" t="str">
        <f t="shared" si="1190"/>
        <v>都市整備部</v>
      </c>
      <c r="R3382" s="7" t="str">
        <f t="shared" si="1187"/>
        <v>住宅建築局住宅経営室</v>
      </c>
    </row>
    <row r="3383" spans="1:18" s="1" customFormat="1" x14ac:dyDescent="0.45">
      <c r="A3383" s="7" t="str">
        <f t="shared" si="1191"/>
        <v>09940003462</v>
      </c>
      <c r="B3383" s="7" t="str">
        <f t="shared" si="1192"/>
        <v>堺宮園（旧八田荘）</v>
      </c>
      <c r="C3383" s="7" t="str">
        <f t="shared" si="1188"/>
        <v>行政財産</v>
      </c>
      <c r="D3383" s="7" t="str">
        <f t="shared" si="1196"/>
        <v>公営住宅</v>
      </c>
      <c r="E3383" s="7" t="str">
        <f t="shared" si="1193"/>
        <v>大阪府堺市　中区宮園町</v>
      </c>
      <c r="F3383" s="7"/>
      <c r="G3383" s="7" t="str">
        <f t="shared" si="1186"/>
        <v>事業用資産</v>
      </c>
      <c r="H3383" s="7" t="str">
        <f t="shared" si="1181"/>
        <v>棚卸以外</v>
      </c>
      <c r="I3383" s="7">
        <v>26</v>
      </c>
      <c r="J3383" s="7" t="str">
        <f>"堺宮園　3号棟"</f>
        <v>堺宮園　3号棟</v>
      </c>
      <c r="K3383" s="7" t="str">
        <f t="shared" si="1194"/>
        <v>鉄筋コンクリート造</v>
      </c>
      <c r="L3383" s="7" t="str">
        <f>"H30.12.01"</f>
        <v>H30.12.01</v>
      </c>
      <c r="M3383" s="7">
        <v>6372.57</v>
      </c>
      <c r="N3383" s="7">
        <v>1272130703</v>
      </c>
      <c r="O3383" s="7">
        <v>115033101</v>
      </c>
      <c r="P3383" s="7">
        <v>0</v>
      </c>
      <c r="Q3383" s="7" t="str">
        <f t="shared" si="1190"/>
        <v>都市整備部</v>
      </c>
      <c r="R3383" s="7" t="str">
        <f t="shared" si="1187"/>
        <v>住宅建築局住宅経営室</v>
      </c>
    </row>
    <row r="3384" spans="1:18" s="1" customFormat="1" x14ac:dyDescent="0.45">
      <c r="A3384" s="7" t="str">
        <f t="shared" si="1191"/>
        <v>09940003462</v>
      </c>
      <c r="B3384" s="7" t="str">
        <f t="shared" si="1192"/>
        <v>堺宮園（旧八田荘）</v>
      </c>
      <c r="C3384" s="7" t="str">
        <f t="shared" si="1188"/>
        <v>行政財産</v>
      </c>
      <c r="D3384" s="7" t="str">
        <f t="shared" si="1196"/>
        <v>公営住宅</v>
      </c>
      <c r="E3384" s="7" t="str">
        <f t="shared" si="1193"/>
        <v>大阪府堺市　中区宮園町</v>
      </c>
      <c r="F3384" s="7"/>
      <c r="G3384" s="7" t="str">
        <f t="shared" si="1186"/>
        <v>事業用資産</v>
      </c>
      <c r="H3384" s="7" t="str">
        <f t="shared" si="1181"/>
        <v>棚卸以外</v>
      </c>
      <c r="I3384" s="7">
        <v>27</v>
      </c>
      <c r="J3384" s="7" t="str">
        <f>"堺宮園 4号棟"</f>
        <v>堺宮園 4号棟</v>
      </c>
      <c r="K3384" s="7" t="str">
        <f t="shared" si="1194"/>
        <v>鉄筋コンクリート造</v>
      </c>
      <c r="L3384" s="7" t="str">
        <f>"H30.12.01"</f>
        <v>H30.12.01</v>
      </c>
      <c r="M3384" s="7">
        <v>4987.87</v>
      </c>
      <c r="N3384" s="7">
        <v>1010895158</v>
      </c>
      <c r="O3384" s="7">
        <v>91410768</v>
      </c>
      <c r="P3384" s="7">
        <v>0</v>
      </c>
      <c r="Q3384" s="7" t="str">
        <f t="shared" si="1190"/>
        <v>都市整備部</v>
      </c>
      <c r="R3384" s="7" t="str">
        <f t="shared" si="1187"/>
        <v>住宅建築局住宅経営室</v>
      </c>
    </row>
    <row r="3385" spans="1:18" s="1" customFormat="1" x14ac:dyDescent="0.45">
      <c r="A3385" s="7" t="str">
        <f t="shared" si="1191"/>
        <v>09940003462</v>
      </c>
      <c r="B3385" s="7" t="str">
        <f t="shared" si="1192"/>
        <v>堺宮園（旧八田荘）</v>
      </c>
      <c r="C3385" s="7" t="str">
        <f t="shared" si="1188"/>
        <v>行政財産</v>
      </c>
      <c r="D3385" s="7" t="str">
        <f t="shared" si="1196"/>
        <v>公営住宅</v>
      </c>
      <c r="E3385" s="7" t="str">
        <f t="shared" si="1193"/>
        <v>大阪府堺市　中区宮園町</v>
      </c>
      <c r="F3385" s="7"/>
      <c r="G3385" s="7" t="str">
        <f t="shared" si="1186"/>
        <v>事業用資産</v>
      </c>
      <c r="H3385" s="7" t="str">
        <f t="shared" si="1181"/>
        <v>棚卸以外</v>
      </c>
      <c r="I3385" s="7">
        <v>28</v>
      </c>
      <c r="J3385" s="7" t="str">
        <f>"堺宮園　ｺﾞﾐ置き場（3、4棟）"</f>
        <v>堺宮園　ｺﾞﾐ置き場（3、4棟）</v>
      </c>
      <c r="K3385" s="7" t="str">
        <f t="shared" si="1194"/>
        <v>鉄筋コンクリート造</v>
      </c>
      <c r="L3385" s="7" t="str">
        <f>"H30.12.01"</f>
        <v>H30.12.01</v>
      </c>
      <c r="M3385" s="7">
        <v>65.92</v>
      </c>
      <c r="N3385" s="7">
        <v>19505772</v>
      </c>
      <c r="O3385" s="7">
        <v>1763835</v>
      </c>
      <c r="P3385" s="7">
        <v>0</v>
      </c>
      <c r="Q3385" s="7" t="str">
        <f t="shared" si="1190"/>
        <v>都市整備部</v>
      </c>
      <c r="R3385" s="7" t="str">
        <f t="shared" si="1187"/>
        <v>住宅建築局住宅経営室</v>
      </c>
    </row>
    <row r="3386" spans="1:18" s="1" customFormat="1" x14ac:dyDescent="0.45">
      <c r="A3386" s="7" t="str">
        <f t="shared" si="1191"/>
        <v>09940003462</v>
      </c>
      <c r="B3386" s="7" t="str">
        <f t="shared" si="1192"/>
        <v>堺宮園（旧八田荘）</v>
      </c>
      <c r="C3386" s="7" t="str">
        <f t="shared" si="1188"/>
        <v>行政財産</v>
      </c>
      <c r="D3386" s="7" t="str">
        <f t="shared" si="1196"/>
        <v>公営住宅</v>
      </c>
      <c r="E3386" s="7" t="str">
        <f t="shared" si="1193"/>
        <v>大阪府堺市　中区宮園町</v>
      </c>
      <c r="F3386" s="7"/>
      <c r="G3386" s="7" t="str">
        <f t="shared" si="1186"/>
        <v>事業用資産</v>
      </c>
      <c r="H3386" s="7" t="str">
        <f t="shared" si="1181"/>
        <v>棚卸以外</v>
      </c>
      <c r="I3386" s="7">
        <v>29</v>
      </c>
      <c r="J3386" s="7" t="str">
        <f>"堺宮園　設備棟"</f>
        <v>堺宮園　設備棟</v>
      </c>
      <c r="K3386" s="7" t="str">
        <f t="shared" si="1194"/>
        <v>鉄筋コンクリート造</v>
      </c>
      <c r="L3386" s="7" t="str">
        <f>"H30.12.01"</f>
        <v>H30.12.01</v>
      </c>
      <c r="M3386" s="7">
        <v>98.88</v>
      </c>
      <c r="N3386" s="7">
        <v>50503555</v>
      </c>
      <c r="O3386" s="7">
        <v>4566846</v>
      </c>
      <c r="P3386" s="7">
        <v>0</v>
      </c>
      <c r="Q3386" s="7" t="str">
        <f t="shared" si="1190"/>
        <v>都市整備部</v>
      </c>
      <c r="R3386" s="7" t="str">
        <f t="shared" si="1187"/>
        <v>住宅建築局住宅経営室</v>
      </c>
    </row>
    <row r="3387" spans="1:18" s="1" customFormat="1" ht="26.4" x14ac:dyDescent="0.45">
      <c r="A3387" s="7" t="str">
        <f t="shared" ref="A3387:A3402" si="1197">"09940003464"</f>
        <v>09940003464</v>
      </c>
      <c r="B3387" s="7" t="str">
        <f t="shared" ref="B3387:B3402" si="1198">"堺新金岡２丁３番・同２丁６番（旧　金岡東第２）"</f>
        <v>堺新金岡２丁３番・同２丁６番（旧　金岡東第２）</v>
      </c>
      <c r="C3387" s="7" t="str">
        <f t="shared" si="1188"/>
        <v>行政財産</v>
      </c>
      <c r="D3387" s="7" t="str">
        <f t="shared" si="1196"/>
        <v>公営住宅</v>
      </c>
      <c r="E3387" s="7" t="str">
        <f t="shared" ref="E3387:E3402" si="1199">"大阪府堺市　北区新金岡町２丁"</f>
        <v>大阪府堺市　北区新金岡町２丁</v>
      </c>
      <c r="F3387" s="7"/>
      <c r="G3387" s="7" t="str">
        <f t="shared" si="1186"/>
        <v>事業用資産</v>
      </c>
      <c r="H3387" s="7" t="str">
        <f t="shared" si="1181"/>
        <v>棚卸以外</v>
      </c>
      <c r="I3387" s="7">
        <v>14</v>
      </c>
      <c r="J3387" s="7" t="str">
        <f>"堺新金岡２丁３番住宅　２号棟"</f>
        <v>堺新金岡２丁３番住宅　２号棟</v>
      </c>
      <c r="K3387" s="7" t="str">
        <f t="shared" si="1194"/>
        <v>鉄筋コンクリート造</v>
      </c>
      <c r="L3387" s="7" t="str">
        <f t="shared" ref="L3387:L3392" si="1200">"H25.03.01"</f>
        <v>H25.03.01</v>
      </c>
      <c r="M3387" s="7">
        <v>12701.99</v>
      </c>
      <c r="N3387" s="7">
        <v>1742764759</v>
      </c>
      <c r="O3387" s="7">
        <v>370790998</v>
      </c>
      <c r="P3387" s="7">
        <v>0</v>
      </c>
      <c r="Q3387" s="7" t="str">
        <f t="shared" si="1190"/>
        <v>都市整備部</v>
      </c>
      <c r="R3387" s="7" t="str">
        <f t="shared" si="1187"/>
        <v>住宅建築局住宅経営室</v>
      </c>
    </row>
    <row r="3388" spans="1:18" s="1" customFormat="1" ht="26.4" x14ac:dyDescent="0.45">
      <c r="A3388" s="7" t="str">
        <f t="shared" si="1197"/>
        <v>09940003464</v>
      </c>
      <c r="B3388" s="7" t="str">
        <f t="shared" si="1198"/>
        <v>堺新金岡２丁３番・同２丁６番（旧　金岡東第２）</v>
      </c>
      <c r="C3388" s="7" t="str">
        <f t="shared" si="1188"/>
        <v>行政財産</v>
      </c>
      <c r="D3388" s="7" t="str">
        <f t="shared" si="1196"/>
        <v>公営住宅</v>
      </c>
      <c r="E3388" s="7" t="str">
        <f t="shared" si="1199"/>
        <v>大阪府堺市　北区新金岡町２丁</v>
      </c>
      <c r="F3388" s="7"/>
      <c r="G3388" s="7" t="str">
        <f t="shared" si="1186"/>
        <v>事業用資産</v>
      </c>
      <c r="H3388" s="7" t="str">
        <f t="shared" si="1181"/>
        <v>棚卸以外</v>
      </c>
      <c r="I3388" s="7">
        <v>15</v>
      </c>
      <c r="J3388" s="7" t="str">
        <f>"受水槽・ポンプ室"</f>
        <v>受水槽・ポンプ室</v>
      </c>
      <c r="K3388" s="7" t="str">
        <f t="shared" si="1194"/>
        <v>鉄筋コンクリート造</v>
      </c>
      <c r="L3388" s="7" t="str">
        <f t="shared" si="1200"/>
        <v>H25.03.01</v>
      </c>
      <c r="M3388" s="7">
        <v>45</v>
      </c>
      <c r="N3388" s="7">
        <v>20085670</v>
      </c>
      <c r="O3388" s="7">
        <v>4273560</v>
      </c>
      <c r="P3388" s="7">
        <v>0</v>
      </c>
      <c r="Q3388" s="7" t="str">
        <f t="shared" si="1190"/>
        <v>都市整備部</v>
      </c>
      <c r="R3388" s="7" t="str">
        <f t="shared" si="1187"/>
        <v>住宅建築局住宅経営室</v>
      </c>
    </row>
    <row r="3389" spans="1:18" s="1" customFormat="1" ht="26.4" x14ac:dyDescent="0.45">
      <c r="A3389" s="7" t="str">
        <f t="shared" si="1197"/>
        <v>09940003464</v>
      </c>
      <c r="B3389" s="7" t="str">
        <f t="shared" si="1198"/>
        <v>堺新金岡２丁３番・同２丁６番（旧　金岡東第２）</v>
      </c>
      <c r="C3389" s="7" t="str">
        <f t="shared" si="1188"/>
        <v>行政財産</v>
      </c>
      <c r="D3389" s="7" t="str">
        <f t="shared" si="1196"/>
        <v>公営住宅</v>
      </c>
      <c r="E3389" s="7" t="str">
        <f t="shared" si="1199"/>
        <v>大阪府堺市　北区新金岡町２丁</v>
      </c>
      <c r="F3389" s="7"/>
      <c r="G3389" s="7" t="str">
        <f t="shared" si="1186"/>
        <v>事業用資産</v>
      </c>
      <c r="H3389" s="7" t="str">
        <f t="shared" si="1181"/>
        <v>棚卸以外</v>
      </c>
      <c r="I3389" s="7">
        <v>16</v>
      </c>
      <c r="J3389" s="7" t="str">
        <f>"堺新金岡２丁３番住宅　２号棟　　電気室"</f>
        <v>堺新金岡２丁３番住宅　２号棟　　電気室</v>
      </c>
      <c r="K3389" s="7" t="str">
        <f t="shared" si="1194"/>
        <v>鉄筋コンクリート造</v>
      </c>
      <c r="L3389" s="7" t="str">
        <f t="shared" si="1200"/>
        <v>H25.03.01</v>
      </c>
      <c r="M3389" s="7">
        <v>47</v>
      </c>
      <c r="N3389" s="7">
        <v>6067470</v>
      </c>
      <c r="O3389" s="7">
        <v>1290960</v>
      </c>
      <c r="P3389" s="7">
        <v>0</v>
      </c>
      <c r="Q3389" s="7" t="str">
        <f t="shared" si="1190"/>
        <v>都市整備部</v>
      </c>
      <c r="R3389" s="7" t="str">
        <f t="shared" si="1187"/>
        <v>住宅建築局住宅経営室</v>
      </c>
    </row>
    <row r="3390" spans="1:18" s="1" customFormat="1" ht="26.4" x14ac:dyDescent="0.45">
      <c r="A3390" s="7" t="str">
        <f t="shared" si="1197"/>
        <v>09940003464</v>
      </c>
      <c r="B3390" s="7" t="str">
        <f t="shared" si="1198"/>
        <v>堺新金岡２丁３番・同２丁６番（旧　金岡東第２）</v>
      </c>
      <c r="C3390" s="7" t="str">
        <f t="shared" si="1188"/>
        <v>行政財産</v>
      </c>
      <c r="D3390" s="7" t="str">
        <f t="shared" si="1196"/>
        <v>公営住宅</v>
      </c>
      <c r="E3390" s="7" t="str">
        <f t="shared" si="1199"/>
        <v>大阪府堺市　北区新金岡町２丁</v>
      </c>
      <c r="F3390" s="7"/>
      <c r="G3390" s="7" t="str">
        <f t="shared" si="1186"/>
        <v>事業用資産</v>
      </c>
      <c r="H3390" s="7" t="str">
        <f t="shared" si="1181"/>
        <v>棚卸以外</v>
      </c>
      <c r="I3390" s="7">
        <v>17</v>
      </c>
      <c r="J3390" s="7" t="str">
        <f>"堺新金岡２丁６番住宅　１号棟"</f>
        <v>堺新金岡２丁６番住宅　１号棟</v>
      </c>
      <c r="K3390" s="7" t="str">
        <f t="shared" si="1194"/>
        <v>鉄筋コンクリート造</v>
      </c>
      <c r="L3390" s="7" t="str">
        <f t="shared" si="1200"/>
        <v>H25.03.01</v>
      </c>
      <c r="M3390" s="7">
        <v>12341.44</v>
      </c>
      <c r="N3390" s="7">
        <v>1809803320</v>
      </c>
      <c r="O3390" s="7">
        <v>385054558</v>
      </c>
      <c r="P3390" s="7">
        <v>0</v>
      </c>
      <c r="Q3390" s="7" t="str">
        <f t="shared" si="1190"/>
        <v>都市整備部</v>
      </c>
      <c r="R3390" s="7" t="str">
        <f t="shared" si="1187"/>
        <v>住宅建築局住宅経営室</v>
      </c>
    </row>
    <row r="3391" spans="1:18" s="1" customFormat="1" ht="26.4" x14ac:dyDescent="0.45">
      <c r="A3391" s="7" t="str">
        <f t="shared" si="1197"/>
        <v>09940003464</v>
      </c>
      <c r="B3391" s="7" t="str">
        <f t="shared" si="1198"/>
        <v>堺新金岡２丁３番・同２丁６番（旧　金岡東第２）</v>
      </c>
      <c r="C3391" s="7" t="str">
        <f t="shared" si="1188"/>
        <v>行政財産</v>
      </c>
      <c r="D3391" s="7" t="str">
        <f t="shared" si="1196"/>
        <v>公営住宅</v>
      </c>
      <c r="E3391" s="7" t="str">
        <f t="shared" si="1199"/>
        <v>大阪府堺市　北区新金岡町２丁</v>
      </c>
      <c r="F3391" s="7"/>
      <c r="G3391" s="7" t="str">
        <f t="shared" si="1186"/>
        <v>事業用資産</v>
      </c>
      <c r="H3391" s="7" t="str">
        <f t="shared" si="1181"/>
        <v>棚卸以外</v>
      </c>
      <c r="I3391" s="7">
        <v>20</v>
      </c>
      <c r="J3391" s="7" t="str">
        <f>"堺新金岡２丁６番住宅　１号棟　受水槽・ポンプ室"</f>
        <v>堺新金岡２丁６番住宅　１号棟　受水槽・ポンプ室</v>
      </c>
      <c r="K3391" s="7" t="str">
        <f t="shared" si="1194"/>
        <v>鉄筋コンクリート造</v>
      </c>
      <c r="L3391" s="7" t="str">
        <f t="shared" si="1200"/>
        <v>H25.03.01</v>
      </c>
      <c r="M3391" s="7">
        <v>77.61</v>
      </c>
      <c r="N3391" s="7">
        <v>21419783</v>
      </c>
      <c r="O3391" s="7">
        <v>4557480</v>
      </c>
      <c r="P3391" s="7">
        <v>0</v>
      </c>
      <c r="Q3391" s="7" t="str">
        <f t="shared" si="1190"/>
        <v>都市整備部</v>
      </c>
      <c r="R3391" s="7" t="str">
        <f t="shared" si="1187"/>
        <v>住宅建築局住宅経営室</v>
      </c>
    </row>
    <row r="3392" spans="1:18" s="1" customFormat="1" ht="26.4" x14ac:dyDescent="0.45">
      <c r="A3392" s="7" t="str">
        <f t="shared" si="1197"/>
        <v>09940003464</v>
      </c>
      <c r="B3392" s="7" t="str">
        <f t="shared" si="1198"/>
        <v>堺新金岡２丁３番・同２丁６番（旧　金岡東第２）</v>
      </c>
      <c r="C3392" s="7" t="str">
        <f t="shared" si="1188"/>
        <v>行政財産</v>
      </c>
      <c r="D3392" s="7" t="str">
        <f t="shared" si="1196"/>
        <v>公営住宅</v>
      </c>
      <c r="E3392" s="7" t="str">
        <f t="shared" si="1199"/>
        <v>大阪府堺市　北区新金岡町２丁</v>
      </c>
      <c r="F3392" s="7"/>
      <c r="G3392" s="7" t="str">
        <f t="shared" si="1186"/>
        <v>事業用資産</v>
      </c>
      <c r="H3392" s="7" t="str">
        <f t="shared" si="1181"/>
        <v>棚卸以外</v>
      </c>
      <c r="I3392" s="7">
        <v>21</v>
      </c>
      <c r="J3392" s="7" t="str">
        <f>"堺新金岡２丁６番住宅　１号棟　電気室"</f>
        <v>堺新金岡２丁６番住宅　１号棟　電気室</v>
      </c>
      <c r="K3392" s="7" t="str">
        <f t="shared" si="1194"/>
        <v>鉄筋コンクリート造</v>
      </c>
      <c r="L3392" s="7" t="str">
        <f t="shared" si="1200"/>
        <v>H25.03.01</v>
      </c>
      <c r="M3392" s="7">
        <v>23.96</v>
      </c>
      <c r="N3392" s="7">
        <v>6613971</v>
      </c>
      <c r="O3392" s="7">
        <v>1407240</v>
      </c>
      <c r="P3392" s="7">
        <v>0</v>
      </c>
      <c r="Q3392" s="7" t="str">
        <f t="shared" si="1190"/>
        <v>都市整備部</v>
      </c>
      <c r="R3392" s="7" t="str">
        <f t="shared" si="1187"/>
        <v>住宅建築局住宅経営室</v>
      </c>
    </row>
    <row r="3393" spans="1:18" s="1" customFormat="1" ht="26.4" x14ac:dyDescent="0.45">
      <c r="A3393" s="7" t="str">
        <f t="shared" si="1197"/>
        <v>09940003464</v>
      </c>
      <c r="B3393" s="7" t="str">
        <f t="shared" si="1198"/>
        <v>堺新金岡２丁３番・同２丁６番（旧　金岡東第２）</v>
      </c>
      <c r="C3393" s="7" t="str">
        <f t="shared" si="1188"/>
        <v>行政財産</v>
      </c>
      <c r="D3393" s="7" t="str">
        <f t="shared" si="1196"/>
        <v>公営住宅</v>
      </c>
      <c r="E3393" s="7" t="str">
        <f t="shared" si="1199"/>
        <v>大阪府堺市　北区新金岡町２丁</v>
      </c>
      <c r="F3393" s="7"/>
      <c r="G3393" s="7" t="str">
        <f t="shared" si="1186"/>
        <v>事業用資産</v>
      </c>
      <c r="H3393" s="7" t="str">
        <f t="shared" si="1181"/>
        <v>棚卸以外</v>
      </c>
      <c r="I3393" s="7">
        <v>26</v>
      </c>
      <c r="J3393" s="7" t="str">
        <f>"堺新金岡2丁3番　3号棟"</f>
        <v>堺新金岡2丁3番　3号棟</v>
      </c>
      <c r="K3393" s="7" t="str">
        <f t="shared" ref="K3393:K3421" si="1201">"鉄筋コンクリート造"</f>
        <v>鉄筋コンクリート造</v>
      </c>
      <c r="L3393" s="7" t="str">
        <f>"H28.03.01"</f>
        <v>H28.03.01</v>
      </c>
      <c r="M3393" s="7">
        <v>8788.7800000000007</v>
      </c>
      <c r="N3393" s="7">
        <v>1748939806</v>
      </c>
      <c r="O3393" s="7">
        <v>260558844</v>
      </c>
      <c r="P3393" s="7">
        <v>0</v>
      </c>
      <c r="Q3393" s="7" t="str">
        <f t="shared" si="1190"/>
        <v>都市整備部</v>
      </c>
      <c r="R3393" s="7" t="str">
        <f t="shared" si="1187"/>
        <v>住宅建築局住宅経営室</v>
      </c>
    </row>
    <row r="3394" spans="1:18" s="1" customFormat="1" ht="26.4" x14ac:dyDescent="0.45">
      <c r="A3394" s="7" t="str">
        <f t="shared" si="1197"/>
        <v>09940003464</v>
      </c>
      <c r="B3394" s="7" t="str">
        <f t="shared" si="1198"/>
        <v>堺新金岡２丁３番・同２丁６番（旧　金岡東第２）</v>
      </c>
      <c r="C3394" s="7" t="str">
        <f t="shared" si="1188"/>
        <v>行政財産</v>
      </c>
      <c r="D3394" s="7" t="str">
        <f t="shared" si="1196"/>
        <v>公営住宅</v>
      </c>
      <c r="E3394" s="7" t="str">
        <f t="shared" si="1199"/>
        <v>大阪府堺市　北区新金岡町２丁</v>
      </c>
      <c r="F3394" s="7"/>
      <c r="G3394" s="7" t="str">
        <f t="shared" si="1186"/>
        <v>事業用資産</v>
      </c>
      <c r="H3394" s="7" t="str">
        <f t="shared" si="1181"/>
        <v>棚卸以外</v>
      </c>
      <c r="I3394" s="7">
        <v>27</v>
      </c>
      <c r="J3394" s="7" t="str">
        <f>"ポンプ室・電気室（電気室と同一棟）"</f>
        <v>ポンプ室・電気室（電気室と同一棟）</v>
      </c>
      <c r="K3394" s="7" t="str">
        <f t="shared" si="1201"/>
        <v>鉄筋コンクリート造</v>
      </c>
      <c r="L3394" s="7" t="str">
        <f>"H28.03.01"</f>
        <v>H28.03.01</v>
      </c>
      <c r="M3394" s="7">
        <v>52.43</v>
      </c>
      <c r="N3394" s="7">
        <v>20212987</v>
      </c>
      <c r="O3394" s="7">
        <v>3010476</v>
      </c>
      <c r="P3394" s="7">
        <v>0</v>
      </c>
      <c r="Q3394" s="7" t="str">
        <f t="shared" si="1190"/>
        <v>都市整備部</v>
      </c>
      <c r="R3394" s="7" t="str">
        <f t="shared" si="1187"/>
        <v>住宅建築局住宅経営室</v>
      </c>
    </row>
    <row r="3395" spans="1:18" s="1" customFormat="1" ht="26.4" x14ac:dyDescent="0.45">
      <c r="A3395" s="7" t="str">
        <f t="shared" si="1197"/>
        <v>09940003464</v>
      </c>
      <c r="B3395" s="7" t="str">
        <f t="shared" si="1198"/>
        <v>堺新金岡２丁３番・同２丁６番（旧　金岡東第２）</v>
      </c>
      <c r="C3395" s="7" t="str">
        <f t="shared" si="1188"/>
        <v>行政財産</v>
      </c>
      <c r="D3395" s="7" t="str">
        <f t="shared" si="1196"/>
        <v>公営住宅</v>
      </c>
      <c r="E3395" s="7" t="str">
        <f t="shared" si="1199"/>
        <v>大阪府堺市　北区新金岡町２丁</v>
      </c>
      <c r="F3395" s="7"/>
      <c r="G3395" s="7" t="str">
        <f t="shared" si="1186"/>
        <v>事業用資産</v>
      </c>
      <c r="H3395" s="7" t="str">
        <f t="shared" si="1181"/>
        <v>棚卸以外</v>
      </c>
      <c r="I3395" s="7">
        <v>28</v>
      </c>
      <c r="J3395" s="7" t="str">
        <f>"堺新金岡2丁6番　２号棟"</f>
        <v>堺新金岡2丁6番　２号棟</v>
      </c>
      <c r="K3395" s="7" t="str">
        <f t="shared" si="1201"/>
        <v>鉄筋コンクリート造</v>
      </c>
      <c r="L3395" s="7" t="str">
        <f>"H28.03.01"</f>
        <v>H28.03.01</v>
      </c>
      <c r="M3395" s="7">
        <v>7040.82</v>
      </c>
      <c r="N3395" s="7">
        <v>1376880563</v>
      </c>
      <c r="O3395" s="7">
        <v>205145724</v>
      </c>
      <c r="P3395" s="7">
        <v>0</v>
      </c>
      <c r="Q3395" s="7" t="str">
        <f t="shared" si="1190"/>
        <v>都市整備部</v>
      </c>
      <c r="R3395" s="7" t="str">
        <f t="shared" si="1187"/>
        <v>住宅建築局住宅経営室</v>
      </c>
    </row>
    <row r="3396" spans="1:18" s="1" customFormat="1" ht="26.4" x14ac:dyDescent="0.45">
      <c r="A3396" s="7" t="str">
        <f t="shared" si="1197"/>
        <v>09940003464</v>
      </c>
      <c r="B3396" s="7" t="str">
        <f t="shared" si="1198"/>
        <v>堺新金岡２丁３番・同２丁６番（旧　金岡東第２）</v>
      </c>
      <c r="C3396" s="7" t="str">
        <f t="shared" si="1188"/>
        <v>行政財産</v>
      </c>
      <c r="D3396" s="7" t="str">
        <f t="shared" si="1196"/>
        <v>公営住宅</v>
      </c>
      <c r="E3396" s="7" t="str">
        <f t="shared" si="1199"/>
        <v>大阪府堺市　北区新金岡町２丁</v>
      </c>
      <c r="F3396" s="7"/>
      <c r="G3396" s="7" t="str">
        <f t="shared" si="1186"/>
        <v>事業用資産</v>
      </c>
      <c r="H3396" s="7" t="str">
        <f t="shared" ref="H3396:H3459" si="1202">"棚卸以外"</f>
        <v>棚卸以外</v>
      </c>
      <c r="I3396" s="7">
        <v>29</v>
      </c>
      <c r="J3396" s="7" t="str">
        <f>"ポンプ室・電気室（電気室と同一棟）"</f>
        <v>ポンプ室・電気室（電気室と同一棟）</v>
      </c>
      <c r="K3396" s="7" t="str">
        <f t="shared" si="1201"/>
        <v>鉄筋コンクリート造</v>
      </c>
      <c r="L3396" s="7" t="str">
        <f>"H28.03.01"</f>
        <v>H28.03.01</v>
      </c>
      <c r="M3396" s="7">
        <v>55</v>
      </c>
      <c r="N3396" s="7">
        <v>17714010</v>
      </c>
      <c r="O3396" s="7">
        <v>2638272</v>
      </c>
      <c r="P3396" s="7">
        <v>0</v>
      </c>
      <c r="Q3396" s="7" t="str">
        <f t="shared" si="1190"/>
        <v>都市整備部</v>
      </c>
      <c r="R3396" s="7" t="str">
        <f t="shared" si="1187"/>
        <v>住宅建築局住宅経営室</v>
      </c>
    </row>
    <row r="3397" spans="1:18" s="1" customFormat="1" ht="26.4" x14ac:dyDescent="0.45">
      <c r="A3397" s="7" t="str">
        <f t="shared" si="1197"/>
        <v>09940003464</v>
      </c>
      <c r="B3397" s="7" t="str">
        <f t="shared" si="1198"/>
        <v>堺新金岡２丁３番・同２丁６番（旧　金岡東第２）</v>
      </c>
      <c r="C3397" s="7" t="str">
        <f t="shared" si="1188"/>
        <v>行政財産</v>
      </c>
      <c r="D3397" s="7" t="str">
        <f t="shared" si="1196"/>
        <v>公営住宅</v>
      </c>
      <c r="E3397" s="7" t="str">
        <f t="shared" si="1199"/>
        <v>大阪府堺市　北区新金岡町２丁</v>
      </c>
      <c r="F3397" s="7"/>
      <c r="G3397" s="7" t="str">
        <f t="shared" si="1186"/>
        <v>事業用資産</v>
      </c>
      <c r="H3397" s="7" t="str">
        <f t="shared" si="1202"/>
        <v>棚卸以外</v>
      </c>
      <c r="I3397" s="7">
        <v>30</v>
      </c>
      <c r="J3397" s="7" t="str">
        <f>"堺新金岡2丁3番 １号棟（電気室含む）"</f>
        <v>堺新金岡2丁3番 １号棟（電気室含む）</v>
      </c>
      <c r="K3397" s="7" t="str">
        <f t="shared" si="1201"/>
        <v>鉄筋コンクリート造</v>
      </c>
      <c r="L3397" s="7" t="str">
        <f>"H31.03.01"</f>
        <v>H31.03.01</v>
      </c>
      <c r="M3397" s="7">
        <v>12321.6</v>
      </c>
      <c r="N3397" s="7">
        <v>2574041909</v>
      </c>
      <c r="O3397" s="7">
        <v>219067440</v>
      </c>
      <c r="P3397" s="7">
        <v>0</v>
      </c>
      <c r="Q3397" s="7" t="str">
        <f t="shared" si="1190"/>
        <v>都市整備部</v>
      </c>
      <c r="R3397" s="7" t="str">
        <f t="shared" si="1187"/>
        <v>住宅建築局住宅経営室</v>
      </c>
    </row>
    <row r="3398" spans="1:18" s="1" customFormat="1" ht="26.4" x14ac:dyDescent="0.45">
      <c r="A3398" s="7" t="str">
        <f t="shared" si="1197"/>
        <v>09940003464</v>
      </c>
      <c r="B3398" s="7" t="str">
        <f t="shared" si="1198"/>
        <v>堺新金岡２丁３番・同２丁６番（旧　金岡東第２）</v>
      </c>
      <c r="C3398" s="7" t="str">
        <f t="shared" si="1188"/>
        <v>行政財産</v>
      </c>
      <c r="D3398" s="7" t="str">
        <f t="shared" si="1196"/>
        <v>公営住宅</v>
      </c>
      <c r="E3398" s="7" t="str">
        <f t="shared" si="1199"/>
        <v>大阪府堺市　北区新金岡町２丁</v>
      </c>
      <c r="F3398" s="7"/>
      <c r="G3398" s="7" t="str">
        <f t="shared" si="1186"/>
        <v>事業用資産</v>
      </c>
      <c r="H3398" s="7" t="str">
        <f t="shared" si="1202"/>
        <v>棚卸以外</v>
      </c>
      <c r="I3398" s="7">
        <v>32</v>
      </c>
      <c r="J3398" s="7" t="str">
        <f>"堺新金岡2丁6番　3号棟"</f>
        <v>堺新金岡2丁6番　3号棟</v>
      </c>
      <c r="K3398" s="7" t="str">
        <f t="shared" si="1201"/>
        <v>鉄筋コンクリート造</v>
      </c>
      <c r="L3398" s="7" t="str">
        <f>"H31.03.01"</f>
        <v>H31.03.01</v>
      </c>
      <c r="M3398" s="7">
        <v>7632.75</v>
      </c>
      <c r="N3398" s="7">
        <v>1617576932</v>
      </c>
      <c r="O3398" s="7">
        <v>137666160</v>
      </c>
      <c r="P3398" s="7">
        <v>0</v>
      </c>
      <c r="Q3398" s="7" t="str">
        <f t="shared" si="1190"/>
        <v>都市整備部</v>
      </c>
      <c r="R3398" s="7" t="str">
        <f t="shared" si="1187"/>
        <v>住宅建築局住宅経営室</v>
      </c>
    </row>
    <row r="3399" spans="1:18" s="1" customFormat="1" ht="26.4" x14ac:dyDescent="0.45">
      <c r="A3399" s="7" t="str">
        <f t="shared" si="1197"/>
        <v>09940003464</v>
      </c>
      <c r="B3399" s="7" t="str">
        <f t="shared" si="1198"/>
        <v>堺新金岡２丁３番・同２丁６番（旧　金岡東第２）</v>
      </c>
      <c r="C3399" s="7" t="str">
        <f t="shared" si="1188"/>
        <v>行政財産</v>
      </c>
      <c r="D3399" s="7" t="str">
        <f t="shared" si="1196"/>
        <v>公営住宅</v>
      </c>
      <c r="E3399" s="7" t="str">
        <f t="shared" si="1199"/>
        <v>大阪府堺市　北区新金岡町２丁</v>
      </c>
      <c r="F3399" s="7"/>
      <c r="G3399" s="7" t="str">
        <f t="shared" si="1186"/>
        <v>事業用資産</v>
      </c>
      <c r="H3399" s="7" t="str">
        <f t="shared" si="1202"/>
        <v>棚卸以外</v>
      </c>
      <c r="I3399" s="7">
        <v>33</v>
      </c>
      <c r="J3399" s="7" t="str">
        <f>"受水槽・ポンプ室"</f>
        <v>受水槽・ポンプ室</v>
      </c>
      <c r="K3399" s="7" t="str">
        <f t="shared" si="1201"/>
        <v>鉄筋コンクリート造</v>
      </c>
      <c r="L3399" s="7" t="str">
        <f>"H31.03.01"</f>
        <v>H31.03.01</v>
      </c>
      <c r="M3399" s="7">
        <v>92</v>
      </c>
      <c r="N3399" s="7">
        <v>31175074</v>
      </c>
      <c r="O3399" s="7">
        <v>2653200</v>
      </c>
      <c r="P3399" s="7">
        <v>0</v>
      </c>
      <c r="Q3399" s="7" t="str">
        <f t="shared" si="1190"/>
        <v>都市整備部</v>
      </c>
      <c r="R3399" s="7" t="str">
        <f t="shared" si="1187"/>
        <v>住宅建築局住宅経営室</v>
      </c>
    </row>
    <row r="3400" spans="1:18" s="1" customFormat="1" ht="26.4" x14ac:dyDescent="0.45">
      <c r="A3400" s="7" t="str">
        <f t="shared" si="1197"/>
        <v>09940003464</v>
      </c>
      <c r="B3400" s="7" t="str">
        <f t="shared" si="1198"/>
        <v>堺新金岡２丁３番・同２丁６番（旧　金岡東第２）</v>
      </c>
      <c r="C3400" s="7" t="str">
        <f t="shared" si="1188"/>
        <v>行政財産</v>
      </c>
      <c r="D3400" s="7" t="str">
        <f t="shared" si="1196"/>
        <v>公営住宅</v>
      </c>
      <c r="E3400" s="7" t="str">
        <f t="shared" si="1199"/>
        <v>大阪府堺市　北区新金岡町２丁</v>
      </c>
      <c r="F3400" s="7"/>
      <c r="G3400" s="7" t="str">
        <f t="shared" si="1186"/>
        <v>事業用資産</v>
      </c>
      <c r="H3400" s="7" t="str">
        <f t="shared" si="1202"/>
        <v>棚卸以外</v>
      </c>
      <c r="I3400" s="7">
        <v>34</v>
      </c>
      <c r="J3400" s="7" t="str">
        <f>"受水槽・ポンプ室"</f>
        <v>受水槽・ポンプ室</v>
      </c>
      <c r="K3400" s="7" t="str">
        <f t="shared" si="1201"/>
        <v>鉄筋コンクリート造</v>
      </c>
      <c r="L3400" s="7" t="str">
        <f>"H31.03.01"</f>
        <v>H31.03.01</v>
      </c>
      <c r="M3400" s="7">
        <v>48.5</v>
      </c>
      <c r="N3400" s="7">
        <v>26009977</v>
      </c>
      <c r="O3400" s="7">
        <v>2213616</v>
      </c>
      <c r="P3400" s="7">
        <v>0</v>
      </c>
      <c r="Q3400" s="7" t="str">
        <f t="shared" si="1190"/>
        <v>都市整備部</v>
      </c>
      <c r="R3400" s="7" t="str">
        <f t="shared" si="1187"/>
        <v>住宅建築局住宅経営室</v>
      </c>
    </row>
    <row r="3401" spans="1:18" s="1" customFormat="1" ht="26.4" x14ac:dyDescent="0.45">
      <c r="A3401" s="7" t="str">
        <f t="shared" si="1197"/>
        <v>09940003464</v>
      </c>
      <c r="B3401" s="7" t="str">
        <f t="shared" si="1198"/>
        <v>堺新金岡２丁３番・同２丁６番（旧　金岡東第２）</v>
      </c>
      <c r="C3401" s="7" t="str">
        <f t="shared" si="1188"/>
        <v>行政財産</v>
      </c>
      <c r="D3401" s="7" t="str">
        <f t="shared" si="1196"/>
        <v>公営住宅</v>
      </c>
      <c r="E3401" s="7" t="str">
        <f t="shared" si="1199"/>
        <v>大阪府堺市　北区新金岡町２丁</v>
      </c>
      <c r="F3401" s="7"/>
      <c r="G3401" s="7" t="str">
        <f t="shared" si="1186"/>
        <v>事業用資産</v>
      </c>
      <c r="H3401" s="7" t="str">
        <f t="shared" si="1202"/>
        <v>棚卸以外</v>
      </c>
      <c r="I3401" s="7">
        <v>35</v>
      </c>
      <c r="J3401" s="7" t="str">
        <f>"集会所"</f>
        <v>集会所</v>
      </c>
      <c r="K3401" s="7" t="str">
        <f t="shared" si="1201"/>
        <v>鉄筋コンクリート造</v>
      </c>
      <c r="L3401" s="7" t="str">
        <f>"H31.03.01"</f>
        <v>H31.03.01</v>
      </c>
      <c r="M3401" s="7">
        <v>266.26</v>
      </c>
      <c r="N3401" s="7">
        <v>92384636</v>
      </c>
      <c r="O3401" s="7">
        <v>7862544</v>
      </c>
      <c r="P3401" s="7">
        <v>0</v>
      </c>
      <c r="Q3401" s="7" t="str">
        <f t="shared" si="1190"/>
        <v>都市整備部</v>
      </c>
      <c r="R3401" s="7" t="str">
        <f t="shared" si="1187"/>
        <v>住宅建築局住宅経営室</v>
      </c>
    </row>
    <row r="3402" spans="1:18" s="1" customFormat="1" ht="26.4" x14ac:dyDescent="0.45">
      <c r="A3402" s="7" t="str">
        <f t="shared" si="1197"/>
        <v>09940003464</v>
      </c>
      <c r="B3402" s="7" t="str">
        <f t="shared" si="1198"/>
        <v>堺新金岡２丁３番・同２丁６番（旧　金岡東第２）</v>
      </c>
      <c r="C3402" s="7" t="str">
        <f t="shared" si="1188"/>
        <v>行政財産</v>
      </c>
      <c r="D3402" s="7" t="str">
        <f t="shared" si="1196"/>
        <v>公営住宅</v>
      </c>
      <c r="E3402" s="7" t="str">
        <f t="shared" si="1199"/>
        <v>大阪府堺市　北区新金岡町２丁</v>
      </c>
      <c r="F3402" s="7"/>
      <c r="G3402" s="7" t="str">
        <f t="shared" si="1186"/>
        <v>事業用資産</v>
      </c>
      <c r="H3402" s="7" t="str">
        <f t="shared" si="1202"/>
        <v>棚卸以外</v>
      </c>
      <c r="I3402" s="7">
        <v>36</v>
      </c>
      <c r="J3402" s="7" t="str">
        <f>"集会所"</f>
        <v>集会所</v>
      </c>
      <c r="K3402" s="7" t="str">
        <f t="shared" si="1201"/>
        <v>鉄筋コンクリート造</v>
      </c>
      <c r="L3402" s="7" t="str">
        <f>"R02.02.28"</f>
        <v>R02.02.28</v>
      </c>
      <c r="M3402" s="7">
        <v>161.44</v>
      </c>
      <c r="N3402" s="7">
        <v>71170175</v>
      </c>
      <c r="O3402" s="7">
        <v>4668993</v>
      </c>
      <c r="P3402" s="7">
        <v>0</v>
      </c>
      <c r="Q3402" s="7" t="str">
        <f t="shared" si="1190"/>
        <v>都市整備部</v>
      </c>
      <c r="R3402" s="7" t="str">
        <f t="shared" si="1187"/>
        <v>住宅建築局住宅経営室</v>
      </c>
    </row>
    <row r="3403" spans="1:18" s="1" customFormat="1" x14ac:dyDescent="0.45">
      <c r="A3403" s="7" t="str">
        <f t="shared" ref="A3403:A3419" si="1203">"09940003465"</f>
        <v>09940003465</v>
      </c>
      <c r="B3403" s="7" t="str">
        <f t="shared" ref="B3403:B3419" si="1204">"金岡東第３"</f>
        <v>金岡東第３</v>
      </c>
      <c r="C3403" s="7" t="str">
        <f t="shared" si="1188"/>
        <v>行政財産</v>
      </c>
      <c r="D3403" s="7" t="str">
        <f t="shared" si="1196"/>
        <v>公営住宅</v>
      </c>
      <c r="E3403" s="7" t="str">
        <f t="shared" ref="E3403:E3419" si="1205">"大阪府堺市　北区新金岡町３丁"</f>
        <v>大阪府堺市　北区新金岡町３丁</v>
      </c>
      <c r="F3403" s="7"/>
      <c r="G3403" s="7" t="str">
        <f t="shared" si="1186"/>
        <v>事業用資産</v>
      </c>
      <c r="H3403" s="7" t="str">
        <f t="shared" si="1202"/>
        <v>棚卸以外</v>
      </c>
      <c r="I3403" s="7">
        <v>1</v>
      </c>
      <c r="J3403" s="7" t="str">
        <f>"集会所"</f>
        <v>集会所</v>
      </c>
      <c r="K3403" s="7" t="str">
        <f t="shared" si="1201"/>
        <v>鉄筋コンクリート造</v>
      </c>
      <c r="L3403" s="7" t="str">
        <f>"S52.03.31"</f>
        <v>S52.03.31</v>
      </c>
      <c r="M3403" s="7">
        <v>38.880000000000003</v>
      </c>
      <c r="N3403" s="7">
        <v>4870000</v>
      </c>
      <c r="O3403" s="7">
        <v>4766520</v>
      </c>
      <c r="P3403" s="7">
        <v>0</v>
      </c>
      <c r="Q3403" s="7" t="str">
        <f t="shared" si="1190"/>
        <v>都市整備部</v>
      </c>
      <c r="R3403" s="7" t="str">
        <f t="shared" si="1187"/>
        <v>住宅建築局住宅経営室</v>
      </c>
    </row>
    <row r="3404" spans="1:18" s="1" customFormat="1" x14ac:dyDescent="0.45">
      <c r="A3404" s="7" t="str">
        <f t="shared" si="1203"/>
        <v>09940003465</v>
      </c>
      <c r="B3404" s="7" t="str">
        <f t="shared" si="1204"/>
        <v>金岡東第３</v>
      </c>
      <c r="C3404" s="7" t="str">
        <f t="shared" si="1188"/>
        <v>行政財産</v>
      </c>
      <c r="D3404" s="7" t="str">
        <f t="shared" si="1196"/>
        <v>公営住宅</v>
      </c>
      <c r="E3404" s="7" t="str">
        <f t="shared" si="1205"/>
        <v>大阪府堺市　北区新金岡町３丁</v>
      </c>
      <c r="F3404" s="7"/>
      <c r="G3404" s="7" t="str">
        <f t="shared" si="1186"/>
        <v>事業用資産</v>
      </c>
      <c r="H3404" s="7" t="str">
        <f t="shared" si="1202"/>
        <v>棚卸以外</v>
      </c>
      <c r="I3404" s="7">
        <v>3</v>
      </c>
      <c r="J3404" s="7" t="str">
        <f>"集会所"</f>
        <v>集会所</v>
      </c>
      <c r="K3404" s="7" t="str">
        <f t="shared" si="1201"/>
        <v>鉄筋コンクリート造</v>
      </c>
      <c r="L3404" s="7" t="str">
        <f>"S41.05.01"</f>
        <v>S41.05.01</v>
      </c>
      <c r="M3404" s="7">
        <v>107.62</v>
      </c>
      <c r="N3404" s="7">
        <v>14596791</v>
      </c>
      <c r="O3404" s="7">
        <v>6016551</v>
      </c>
      <c r="P3404" s="7">
        <v>0</v>
      </c>
      <c r="Q3404" s="7" t="str">
        <f t="shared" si="1190"/>
        <v>都市整備部</v>
      </c>
      <c r="R3404" s="7" t="str">
        <f t="shared" si="1187"/>
        <v>住宅建築局住宅経営室</v>
      </c>
    </row>
    <row r="3405" spans="1:18" s="1" customFormat="1" x14ac:dyDescent="0.45">
      <c r="A3405" s="7" t="str">
        <f t="shared" si="1203"/>
        <v>09940003465</v>
      </c>
      <c r="B3405" s="7" t="str">
        <f t="shared" si="1204"/>
        <v>金岡東第３</v>
      </c>
      <c r="C3405" s="7" t="str">
        <f t="shared" si="1188"/>
        <v>行政財産</v>
      </c>
      <c r="D3405" s="7" t="str">
        <f t="shared" si="1196"/>
        <v>公営住宅</v>
      </c>
      <c r="E3405" s="7" t="str">
        <f t="shared" si="1205"/>
        <v>大阪府堺市　北区新金岡町３丁</v>
      </c>
      <c r="F3405" s="7"/>
      <c r="G3405" s="7" t="str">
        <f t="shared" si="1186"/>
        <v>事業用資産</v>
      </c>
      <c r="H3405" s="7" t="str">
        <f t="shared" si="1202"/>
        <v>棚卸以外</v>
      </c>
      <c r="I3405" s="7">
        <v>4</v>
      </c>
      <c r="J3405" s="7" t="str">
        <f>"１～３・１３～１６号棟"</f>
        <v>１～３・１３～１６号棟</v>
      </c>
      <c r="K3405" s="7" t="str">
        <f t="shared" si="1201"/>
        <v>鉄筋コンクリート造</v>
      </c>
      <c r="L3405" s="7" t="str">
        <f>"S42.05.30"</f>
        <v>S42.05.30</v>
      </c>
      <c r="M3405" s="7">
        <v>12113.17</v>
      </c>
      <c r="N3405" s="7">
        <v>988594550</v>
      </c>
      <c r="O3405" s="7">
        <v>590113905</v>
      </c>
      <c r="P3405" s="7">
        <v>0</v>
      </c>
      <c r="Q3405" s="7" t="str">
        <f t="shared" si="1190"/>
        <v>都市整備部</v>
      </c>
      <c r="R3405" s="7" t="str">
        <f t="shared" si="1187"/>
        <v>住宅建築局住宅経営室</v>
      </c>
    </row>
    <row r="3406" spans="1:18" s="1" customFormat="1" x14ac:dyDescent="0.45">
      <c r="A3406" s="7" t="str">
        <f t="shared" si="1203"/>
        <v>09940003465</v>
      </c>
      <c r="B3406" s="7" t="str">
        <f t="shared" si="1204"/>
        <v>金岡東第３</v>
      </c>
      <c r="C3406" s="7" t="str">
        <f t="shared" si="1188"/>
        <v>行政財産</v>
      </c>
      <c r="D3406" s="7" t="str">
        <f t="shared" si="1196"/>
        <v>公営住宅</v>
      </c>
      <c r="E3406" s="7" t="str">
        <f t="shared" si="1205"/>
        <v>大阪府堺市　北区新金岡町３丁</v>
      </c>
      <c r="F3406" s="7"/>
      <c r="G3406" s="7" t="str">
        <f t="shared" si="1186"/>
        <v>事業用資産</v>
      </c>
      <c r="H3406" s="7" t="str">
        <f t="shared" si="1202"/>
        <v>棚卸以外</v>
      </c>
      <c r="I3406" s="7">
        <v>5</v>
      </c>
      <c r="J3406" s="7" t="str">
        <f>"１０号棟増築分"</f>
        <v>１０号棟増築分</v>
      </c>
      <c r="K3406" s="7" t="str">
        <f t="shared" si="1201"/>
        <v>鉄筋コンクリート造</v>
      </c>
      <c r="L3406" s="7" t="str">
        <f t="shared" ref="L3406:L3411" si="1206">"H04.11.01"</f>
        <v>H04.11.01</v>
      </c>
      <c r="M3406" s="7">
        <v>635.28</v>
      </c>
      <c r="N3406" s="7">
        <v>108845000</v>
      </c>
      <c r="O3406" s="7">
        <v>70247632</v>
      </c>
      <c r="P3406" s="7">
        <v>0</v>
      </c>
      <c r="Q3406" s="7" t="str">
        <f t="shared" si="1190"/>
        <v>都市整備部</v>
      </c>
      <c r="R3406" s="7" t="str">
        <f t="shared" si="1187"/>
        <v>住宅建築局住宅経営室</v>
      </c>
    </row>
    <row r="3407" spans="1:18" s="1" customFormat="1" x14ac:dyDescent="0.45">
      <c r="A3407" s="7" t="str">
        <f t="shared" si="1203"/>
        <v>09940003465</v>
      </c>
      <c r="B3407" s="7" t="str">
        <f t="shared" si="1204"/>
        <v>金岡東第３</v>
      </c>
      <c r="C3407" s="7" t="str">
        <f t="shared" si="1188"/>
        <v>行政財産</v>
      </c>
      <c r="D3407" s="7" t="str">
        <f t="shared" si="1196"/>
        <v>公営住宅</v>
      </c>
      <c r="E3407" s="7" t="str">
        <f t="shared" si="1205"/>
        <v>大阪府堺市　北区新金岡町３丁</v>
      </c>
      <c r="F3407" s="7"/>
      <c r="G3407" s="7" t="str">
        <f t="shared" si="1186"/>
        <v>事業用資産</v>
      </c>
      <c r="H3407" s="7" t="str">
        <f t="shared" si="1202"/>
        <v>棚卸以外</v>
      </c>
      <c r="I3407" s="7">
        <v>6</v>
      </c>
      <c r="J3407" s="7" t="str">
        <f>"１１号棟増築分"</f>
        <v>１１号棟増築分</v>
      </c>
      <c r="K3407" s="7" t="str">
        <f t="shared" si="1201"/>
        <v>鉄筋コンクリート造</v>
      </c>
      <c r="L3407" s="7" t="str">
        <f t="shared" si="1206"/>
        <v>H04.11.01</v>
      </c>
      <c r="M3407" s="7">
        <v>635.28</v>
      </c>
      <c r="N3407" s="7">
        <v>108910000</v>
      </c>
      <c r="O3407" s="7">
        <v>70289492</v>
      </c>
      <c r="P3407" s="7">
        <v>0</v>
      </c>
      <c r="Q3407" s="7" t="str">
        <f t="shared" si="1190"/>
        <v>都市整備部</v>
      </c>
      <c r="R3407" s="7" t="str">
        <f t="shared" si="1187"/>
        <v>住宅建築局住宅経営室</v>
      </c>
    </row>
    <row r="3408" spans="1:18" s="1" customFormat="1" x14ac:dyDescent="0.45">
      <c r="A3408" s="7" t="str">
        <f t="shared" si="1203"/>
        <v>09940003465</v>
      </c>
      <c r="B3408" s="7" t="str">
        <f t="shared" si="1204"/>
        <v>金岡東第３</v>
      </c>
      <c r="C3408" s="7" t="str">
        <f t="shared" si="1188"/>
        <v>行政財産</v>
      </c>
      <c r="D3408" s="7" t="str">
        <f t="shared" si="1196"/>
        <v>公営住宅</v>
      </c>
      <c r="E3408" s="7" t="str">
        <f t="shared" si="1205"/>
        <v>大阪府堺市　北区新金岡町３丁</v>
      </c>
      <c r="F3408" s="7"/>
      <c r="G3408" s="7" t="str">
        <f t="shared" si="1186"/>
        <v>事業用資産</v>
      </c>
      <c r="H3408" s="7" t="str">
        <f t="shared" si="1202"/>
        <v>棚卸以外</v>
      </c>
      <c r="I3408" s="7">
        <v>7</v>
      </c>
      <c r="J3408" s="7" t="str">
        <f>"１２号棟増築分"</f>
        <v>１２号棟増築分</v>
      </c>
      <c r="K3408" s="7" t="str">
        <f t="shared" si="1201"/>
        <v>鉄筋コンクリート造</v>
      </c>
      <c r="L3408" s="7" t="str">
        <f t="shared" si="1206"/>
        <v>H04.11.01</v>
      </c>
      <c r="M3408" s="7">
        <v>444.3</v>
      </c>
      <c r="N3408" s="7">
        <v>96935000</v>
      </c>
      <c r="O3408" s="7">
        <v>62561044</v>
      </c>
      <c r="P3408" s="7">
        <v>0</v>
      </c>
      <c r="Q3408" s="7" t="str">
        <f t="shared" si="1190"/>
        <v>都市整備部</v>
      </c>
      <c r="R3408" s="7" t="str">
        <f t="shared" si="1187"/>
        <v>住宅建築局住宅経営室</v>
      </c>
    </row>
    <row r="3409" spans="1:18" s="1" customFormat="1" x14ac:dyDescent="0.45">
      <c r="A3409" s="7" t="str">
        <f t="shared" si="1203"/>
        <v>09940003465</v>
      </c>
      <c r="B3409" s="7" t="str">
        <f t="shared" si="1204"/>
        <v>金岡東第３</v>
      </c>
      <c r="C3409" s="7" t="str">
        <f t="shared" si="1188"/>
        <v>行政財産</v>
      </c>
      <c r="D3409" s="7" t="str">
        <f t="shared" si="1196"/>
        <v>公営住宅</v>
      </c>
      <c r="E3409" s="7" t="str">
        <f t="shared" si="1205"/>
        <v>大阪府堺市　北区新金岡町３丁</v>
      </c>
      <c r="F3409" s="7"/>
      <c r="G3409" s="7" t="str">
        <f t="shared" si="1186"/>
        <v>事業用資産</v>
      </c>
      <c r="H3409" s="7" t="str">
        <f t="shared" si="1202"/>
        <v>棚卸以外</v>
      </c>
      <c r="I3409" s="7">
        <v>8</v>
      </c>
      <c r="J3409" s="7" t="str">
        <f>"１４号棟増築分"</f>
        <v>１４号棟増築分</v>
      </c>
      <c r="K3409" s="7" t="str">
        <f t="shared" si="1201"/>
        <v>鉄筋コンクリート造</v>
      </c>
      <c r="L3409" s="7" t="str">
        <f t="shared" si="1206"/>
        <v>H04.11.01</v>
      </c>
      <c r="M3409" s="7">
        <v>444.3</v>
      </c>
      <c r="N3409" s="7">
        <v>93190000</v>
      </c>
      <c r="O3409" s="7">
        <v>60144084</v>
      </c>
      <c r="P3409" s="7">
        <v>0</v>
      </c>
      <c r="Q3409" s="7" t="str">
        <f t="shared" si="1190"/>
        <v>都市整備部</v>
      </c>
      <c r="R3409" s="7" t="str">
        <f t="shared" si="1187"/>
        <v>住宅建築局住宅経営室</v>
      </c>
    </row>
    <row r="3410" spans="1:18" s="1" customFormat="1" x14ac:dyDescent="0.45">
      <c r="A3410" s="7" t="str">
        <f t="shared" si="1203"/>
        <v>09940003465</v>
      </c>
      <c r="B3410" s="7" t="str">
        <f t="shared" si="1204"/>
        <v>金岡東第３</v>
      </c>
      <c r="C3410" s="7" t="str">
        <f t="shared" si="1188"/>
        <v>行政財産</v>
      </c>
      <c r="D3410" s="7" t="str">
        <f t="shared" si="1196"/>
        <v>公営住宅</v>
      </c>
      <c r="E3410" s="7" t="str">
        <f t="shared" si="1205"/>
        <v>大阪府堺市　北区新金岡町３丁</v>
      </c>
      <c r="F3410" s="7"/>
      <c r="G3410" s="7" t="str">
        <f t="shared" si="1186"/>
        <v>事業用資産</v>
      </c>
      <c r="H3410" s="7" t="str">
        <f t="shared" si="1202"/>
        <v>棚卸以外</v>
      </c>
      <c r="I3410" s="7">
        <v>9</v>
      </c>
      <c r="J3410" s="7" t="str">
        <f>"１５号棟増築分"</f>
        <v>１５号棟増築分</v>
      </c>
      <c r="K3410" s="7" t="str">
        <f t="shared" si="1201"/>
        <v>鉄筋コンクリート造</v>
      </c>
      <c r="L3410" s="7" t="str">
        <f t="shared" si="1206"/>
        <v>H04.11.01</v>
      </c>
      <c r="M3410" s="7">
        <v>296.2</v>
      </c>
      <c r="N3410" s="7">
        <v>67788000</v>
      </c>
      <c r="O3410" s="7">
        <v>43749888</v>
      </c>
      <c r="P3410" s="7">
        <v>0</v>
      </c>
      <c r="Q3410" s="7" t="str">
        <f t="shared" si="1190"/>
        <v>都市整備部</v>
      </c>
      <c r="R3410" s="7" t="str">
        <f t="shared" si="1187"/>
        <v>住宅建築局住宅経営室</v>
      </c>
    </row>
    <row r="3411" spans="1:18" s="1" customFormat="1" x14ac:dyDescent="0.45">
      <c r="A3411" s="7" t="str">
        <f t="shared" si="1203"/>
        <v>09940003465</v>
      </c>
      <c r="B3411" s="7" t="str">
        <f t="shared" si="1204"/>
        <v>金岡東第３</v>
      </c>
      <c r="C3411" s="7" t="str">
        <f t="shared" si="1188"/>
        <v>行政財産</v>
      </c>
      <c r="D3411" s="7" t="str">
        <f t="shared" si="1196"/>
        <v>公営住宅</v>
      </c>
      <c r="E3411" s="7" t="str">
        <f t="shared" si="1205"/>
        <v>大阪府堺市　北区新金岡町３丁</v>
      </c>
      <c r="F3411" s="7"/>
      <c r="G3411" s="7" t="str">
        <f t="shared" si="1186"/>
        <v>事業用資産</v>
      </c>
      <c r="H3411" s="7" t="str">
        <f t="shared" si="1202"/>
        <v>棚卸以外</v>
      </c>
      <c r="I3411" s="7">
        <v>10</v>
      </c>
      <c r="J3411" s="7" t="str">
        <f>"１６号棟増築分"</f>
        <v>１６号棟増築分</v>
      </c>
      <c r="K3411" s="7" t="str">
        <f t="shared" si="1201"/>
        <v>鉄筋コンクリート造</v>
      </c>
      <c r="L3411" s="7" t="str">
        <f t="shared" si="1206"/>
        <v>H04.11.01</v>
      </c>
      <c r="M3411" s="7">
        <v>289.56</v>
      </c>
      <c r="N3411" s="7">
        <v>67672000</v>
      </c>
      <c r="O3411" s="7">
        <v>43674904</v>
      </c>
      <c r="P3411" s="7">
        <v>0</v>
      </c>
      <c r="Q3411" s="7" t="str">
        <f t="shared" si="1190"/>
        <v>都市整備部</v>
      </c>
      <c r="R3411" s="7" t="str">
        <f t="shared" si="1187"/>
        <v>住宅建築局住宅経営室</v>
      </c>
    </row>
    <row r="3412" spans="1:18" s="1" customFormat="1" x14ac:dyDescent="0.45">
      <c r="A3412" s="7" t="str">
        <f t="shared" si="1203"/>
        <v>09940003465</v>
      </c>
      <c r="B3412" s="7" t="str">
        <f t="shared" si="1204"/>
        <v>金岡東第３</v>
      </c>
      <c r="C3412" s="7" t="str">
        <f t="shared" si="1188"/>
        <v>行政財産</v>
      </c>
      <c r="D3412" s="7" t="str">
        <f t="shared" si="1196"/>
        <v>公営住宅</v>
      </c>
      <c r="E3412" s="7" t="str">
        <f t="shared" si="1205"/>
        <v>大阪府堺市　北区新金岡町３丁</v>
      </c>
      <c r="F3412" s="7"/>
      <c r="G3412" s="7" t="str">
        <f t="shared" si="1186"/>
        <v>事業用資産</v>
      </c>
      <c r="H3412" s="7" t="str">
        <f t="shared" si="1202"/>
        <v>棚卸以外</v>
      </c>
      <c r="I3412" s="7">
        <v>11</v>
      </c>
      <c r="J3412" s="7" t="str">
        <f>"６号棟増築分"</f>
        <v>６号棟増築分</v>
      </c>
      <c r="K3412" s="7" t="str">
        <f t="shared" si="1201"/>
        <v>鉄筋コンクリート造</v>
      </c>
      <c r="L3412" s="7" t="str">
        <f>"H05.05.25"</f>
        <v>H05.05.25</v>
      </c>
      <c r="M3412" s="7">
        <v>444.3</v>
      </c>
      <c r="N3412" s="7">
        <v>93170000</v>
      </c>
      <c r="O3412" s="7">
        <v>59140168</v>
      </c>
      <c r="P3412" s="7">
        <v>0</v>
      </c>
      <c r="Q3412" s="7" t="str">
        <f t="shared" si="1190"/>
        <v>都市整備部</v>
      </c>
      <c r="R3412" s="7" t="str">
        <f t="shared" si="1187"/>
        <v>住宅建築局住宅経営室</v>
      </c>
    </row>
    <row r="3413" spans="1:18" s="1" customFormat="1" x14ac:dyDescent="0.45">
      <c r="A3413" s="7" t="str">
        <f t="shared" si="1203"/>
        <v>09940003465</v>
      </c>
      <c r="B3413" s="7" t="str">
        <f t="shared" si="1204"/>
        <v>金岡東第３</v>
      </c>
      <c r="C3413" s="7" t="str">
        <f t="shared" si="1188"/>
        <v>行政財産</v>
      </c>
      <c r="D3413" s="7" t="str">
        <f t="shared" si="1196"/>
        <v>公営住宅</v>
      </c>
      <c r="E3413" s="7" t="str">
        <f t="shared" si="1205"/>
        <v>大阪府堺市　北区新金岡町３丁</v>
      </c>
      <c r="F3413" s="7"/>
      <c r="G3413" s="7" t="str">
        <f t="shared" si="1186"/>
        <v>事業用資産</v>
      </c>
      <c r="H3413" s="7" t="str">
        <f t="shared" si="1202"/>
        <v>棚卸以外</v>
      </c>
      <c r="I3413" s="7">
        <v>12</v>
      </c>
      <c r="J3413" s="7" t="str">
        <f>"７号棟増築分"</f>
        <v>７号棟増築分</v>
      </c>
      <c r="K3413" s="7" t="str">
        <f t="shared" si="1201"/>
        <v>鉄筋コンクリート造</v>
      </c>
      <c r="L3413" s="7" t="str">
        <f>"H05.05.25"</f>
        <v>H05.05.25</v>
      </c>
      <c r="M3413" s="7">
        <v>487.18</v>
      </c>
      <c r="N3413" s="7">
        <v>74659000</v>
      </c>
      <c r="O3413" s="7">
        <v>47390250</v>
      </c>
      <c r="P3413" s="7">
        <v>0</v>
      </c>
      <c r="Q3413" s="7" t="str">
        <f t="shared" si="1190"/>
        <v>都市整備部</v>
      </c>
      <c r="R3413" s="7" t="str">
        <f t="shared" si="1187"/>
        <v>住宅建築局住宅経営室</v>
      </c>
    </row>
    <row r="3414" spans="1:18" s="1" customFormat="1" x14ac:dyDescent="0.45">
      <c r="A3414" s="7" t="str">
        <f t="shared" si="1203"/>
        <v>09940003465</v>
      </c>
      <c r="B3414" s="7" t="str">
        <f t="shared" si="1204"/>
        <v>金岡東第３</v>
      </c>
      <c r="C3414" s="7" t="str">
        <f t="shared" si="1188"/>
        <v>行政財産</v>
      </c>
      <c r="D3414" s="7" t="str">
        <f t="shared" si="1196"/>
        <v>公営住宅</v>
      </c>
      <c r="E3414" s="7" t="str">
        <f t="shared" si="1205"/>
        <v>大阪府堺市　北区新金岡町３丁</v>
      </c>
      <c r="F3414" s="7"/>
      <c r="G3414" s="7" t="str">
        <f t="shared" si="1186"/>
        <v>事業用資産</v>
      </c>
      <c r="H3414" s="7" t="str">
        <f t="shared" si="1202"/>
        <v>棚卸以外</v>
      </c>
      <c r="I3414" s="7">
        <v>13</v>
      </c>
      <c r="J3414" s="7" t="str">
        <f>"８号棟増築分"</f>
        <v>８号棟増築分</v>
      </c>
      <c r="K3414" s="7" t="str">
        <f t="shared" si="1201"/>
        <v>鉄筋コンクリート造</v>
      </c>
      <c r="L3414" s="7" t="str">
        <f>"H05.05.25"</f>
        <v>H05.05.25</v>
      </c>
      <c r="M3414" s="7">
        <v>730.77</v>
      </c>
      <c r="N3414" s="7">
        <v>112112000</v>
      </c>
      <c r="O3414" s="7">
        <v>71163598</v>
      </c>
      <c r="P3414" s="7">
        <v>0</v>
      </c>
      <c r="Q3414" s="7" t="str">
        <f t="shared" si="1190"/>
        <v>都市整備部</v>
      </c>
      <c r="R3414" s="7" t="str">
        <f t="shared" si="1187"/>
        <v>住宅建築局住宅経営室</v>
      </c>
    </row>
    <row r="3415" spans="1:18" s="1" customFormat="1" x14ac:dyDescent="0.45">
      <c r="A3415" s="7" t="str">
        <f t="shared" si="1203"/>
        <v>09940003465</v>
      </c>
      <c r="B3415" s="7" t="str">
        <f t="shared" si="1204"/>
        <v>金岡東第３</v>
      </c>
      <c r="C3415" s="7" t="str">
        <f t="shared" si="1188"/>
        <v>行政財産</v>
      </c>
      <c r="D3415" s="7" t="str">
        <f t="shared" si="1196"/>
        <v>公営住宅</v>
      </c>
      <c r="E3415" s="7" t="str">
        <f t="shared" si="1205"/>
        <v>大阪府堺市　北区新金岡町３丁</v>
      </c>
      <c r="F3415" s="7"/>
      <c r="G3415" s="7" t="str">
        <f t="shared" ref="G3415:G3478" si="1207">"事業用資産"</f>
        <v>事業用資産</v>
      </c>
      <c r="H3415" s="7" t="str">
        <f t="shared" si="1202"/>
        <v>棚卸以外</v>
      </c>
      <c r="I3415" s="7">
        <v>14</v>
      </c>
      <c r="J3415" s="7" t="str">
        <f>"９号棟増築分"</f>
        <v>９号棟増築分</v>
      </c>
      <c r="K3415" s="7" t="str">
        <f t="shared" si="1201"/>
        <v>鉄筋コンクリート造</v>
      </c>
      <c r="L3415" s="7" t="str">
        <f>"H05.05.25"</f>
        <v>H05.05.25</v>
      </c>
      <c r="M3415" s="7">
        <v>730.77</v>
      </c>
      <c r="N3415" s="7">
        <v>112210000</v>
      </c>
      <c r="O3415" s="7">
        <v>71225532</v>
      </c>
      <c r="P3415" s="7">
        <v>0</v>
      </c>
      <c r="Q3415" s="7" t="str">
        <f t="shared" si="1190"/>
        <v>都市整備部</v>
      </c>
      <c r="R3415" s="7" t="str">
        <f t="shared" si="1187"/>
        <v>住宅建築局住宅経営室</v>
      </c>
    </row>
    <row r="3416" spans="1:18" s="1" customFormat="1" x14ac:dyDescent="0.45">
      <c r="A3416" s="7" t="str">
        <f t="shared" si="1203"/>
        <v>09940003465</v>
      </c>
      <c r="B3416" s="7" t="str">
        <f t="shared" si="1204"/>
        <v>金岡東第３</v>
      </c>
      <c r="C3416" s="7" t="str">
        <f t="shared" si="1188"/>
        <v>行政財産</v>
      </c>
      <c r="D3416" s="7" t="str">
        <f t="shared" si="1196"/>
        <v>公営住宅</v>
      </c>
      <c r="E3416" s="7" t="str">
        <f t="shared" si="1205"/>
        <v>大阪府堺市　北区新金岡町３丁</v>
      </c>
      <c r="F3416" s="7"/>
      <c r="G3416" s="7" t="str">
        <f t="shared" si="1207"/>
        <v>事業用資産</v>
      </c>
      <c r="H3416" s="7" t="str">
        <f t="shared" si="1202"/>
        <v>棚卸以外</v>
      </c>
      <c r="I3416" s="7">
        <v>15</v>
      </c>
      <c r="J3416" s="7" t="str">
        <f>"２３号棟増築分"</f>
        <v>２３号棟増築分</v>
      </c>
      <c r="K3416" s="7" t="str">
        <f t="shared" si="1201"/>
        <v>鉄筋コンクリート造</v>
      </c>
      <c r="L3416" s="7" t="str">
        <f>"H05.08.27"</f>
        <v>H05.08.27</v>
      </c>
      <c r="M3416" s="7">
        <v>487.18</v>
      </c>
      <c r="N3416" s="7">
        <v>75068000</v>
      </c>
      <c r="O3416" s="7">
        <v>47250500</v>
      </c>
      <c r="P3416" s="7">
        <v>0</v>
      </c>
      <c r="Q3416" s="7" t="str">
        <f t="shared" si="1190"/>
        <v>都市整備部</v>
      </c>
      <c r="R3416" s="7" t="str">
        <f t="shared" ref="R3416:R3479" si="1208">"住宅建築局住宅経営室"</f>
        <v>住宅建築局住宅経営室</v>
      </c>
    </row>
    <row r="3417" spans="1:18" s="1" customFormat="1" x14ac:dyDescent="0.45">
      <c r="A3417" s="7" t="str">
        <f t="shared" si="1203"/>
        <v>09940003465</v>
      </c>
      <c r="B3417" s="7" t="str">
        <f t="shared" si="1204"/>
        <v>金岡東第３</v>
      </c>
      <c r="C3417" s="7" t="str">
        <f t="shared" si="1188"/>
        <v>行政財産</v>
      </c>
      <c r="D3417" s="7" t="str">
        <f t="shared" si="1196"/>
        <v>公営住宅</v>
      </c>
      <c r="E3417" s="7" t="str">
        <f t="shared" si="1205"/>
        <v>大阪府堺市　北区新金岡町３丁</v>
      </c>
      <c r="F3417" s="7"/>
      <c r="G3417" s="7" t="str">
        <f t="shared" si="1207"/>
        <v>事業用資産</v>
      </c>
      <c r="H3417" s="7" t="str">
        <f t="shared" si="1202"/>
        <v>棚卸以外</v>
      </c>
      <c r="I3417" s="7">
        <v>16</v>
      </c>
      <c r="J3417" s="7" t="str">
        <f>"２４号棟増築分"</f>
        <v>２４号棟増築分</v>
      </c>
      <c r="K3417" s="7" t="str">
        <f t="shared" si="1201"/>
        <v>鉄筋コンクリート造</v>
      </c>
      <c r="L3417" s="7" t="str">
        <f>"H05.08.27"</f>
        <v>H05.08.27</v>
      </c>
      <c r="M3417" s="7">
        <v>296.2</v>
      </c>
      <c r="N3417" s="7">
        <v>64146000</v>
      </c>
      <c r="O3417" s="7">
        <v>40375925</v>
      </c>
      <c r="P3417" s="7">
        <v>0</v>
      </c>
      <c r="Q3417" s="7" t="str">
        <f t="shared" si="1190"/>
        <v>都市整備部</v>
      </c>
      <c r="R3417" s="7" t="str">
        <f t="shared" si="1208"/>
        <v>住宅建築局住宅経営室</v>
      </c>
    </row>
    <row r="3418" spans="1:18" s="1" customFormat="1" x14ac:dyDescent="0.45">
      <c r="A3418" s="7" t="str">
        <f t="shared" si="1203"/>
        <v>09940003465</v>
      </c>
      <c r="B3418" s="7" t="str">
        <f t="shared" si="1204"/>
        <v>金岡東第３</v>
      </c>
      <c r="C3418" s="7" t="str">
        <f t="shared" ref="C3418:C3481" si="1209">"行政財産"</f>
        <v>行政財産</v>
      </c>
      <c r="D3418" s="7" t="str">
        <f t="shared" si="1196"/>
        <v>公営住宅</v>
      </c>
      <c r="E3418" s="7" t="str">
        <f t="shared" si="1205"/>
        <v>大阪府堺市　北区新金岡町３丁</v>
      </c>
      <c r="F3418" s="7"/>
      <c r="G3418" s="7" t="str">
        <f t="shared" si="1207"/>
        <v>事業用資産</v>
      </c>
      <c r="H3418" s="7" t="str">
        <f t="shared" si="1202"/>
        <v>棚卸以外</v>
      </c>
      <c r="I3418" s="7">
        <v>17</v>
      </c>
      <c r="J3418" s="7" t="str">
        <f>"２５号棟増築分"</f>
        <v>２５号棟増築分</v>
      </c>
      <c r="K3418" s="7" t="str">
        <f t="shared" si="1201"/>
        <v>鉄筋コンクリート造</v>
      </c>
      <c r="L3418" s="7" t="str">
        <f>"H05.08.27"</f>
        <v>H05.08.27</v>
      </c>
      <c r="M3418" s="7">
        <v>499.74</v>
      </c>
      <c r="N3418" s="7">
        <v>86696000</v>
      </c>
      <c r="O3418" s="7">
        <v>54569535</v>
      </c>
      <c r="P3418" s="7">
        <v>0</v>
      </c>
      <c r="Q3418" s="7" t="str">
        <f t="shared" si="1190"/>
        <v>都市整備部</v>
      </c>
      <c r="R3418" s="7" t="str">
        <f t="shared" si="1208"/>
        <v>住宅建築局住宅経営室</v>
      </c>
    </row>
    <row r="3419" spans="1:18" s="1" customFormat="1" x14ac:dyDescent="0.45">
      <c r="A3419" s="7" t="str">
        <f t="shared" si="1203"/>
        <v>09940003465</v>
      </c>
      <c r="B3419" s="7" t="str">
        <f t="shared" si="1204"/>
        <v>金岡東第３</v>
      </c>
      <c r="C3419" s="7" t="str">
        <f t="shared" si="1209"/>
        <v>行政財産</v>
      </c>
      <c r="D3419" s="7" t="str">
        <f t="shared" si="1196"/>
        <v>公営住宅</v>
      </c>
      <c r="E3419" s="7" t="str">
        <f t="shared" si="1205"/>
        <v>大阪府堺市　北区新金岡町３丁</v>
      </c>
      <c r="F3419" s="7"/>
      <c r="G3419" s="7" t="str">
        <f t="shared" si="1207"/>
        <v>事業用資産</v>
      </c>
      <c r="H3419" s="7" t="str">
        <f t="shared" si="1202"/>
        <v>棚卸以外</v>
      </c>
      <c r="I3419" s="7">
        <v>18</v>
      </c>
      <c r="J3419" s="7" t="str">
        <f>"４～１２・１７～２５号棟"</f>
        <v>４～１２・１７～２５号棟</v>
      </c>
      <c r="K3419" s="7" t="str">
        <f t="shared" si="1201"/>
        <v>鉄筋コンクリート造</v>
      </c>
      <c r="L3419" s="7" t="str">
        <f>"S41.05.01"</f>
        <v>S41.05.01</v>
      </c>
      <c r="M3419" s="7">
        <v>27484.15</v>
      </c>
      <c r="N3419" s="7">
        <v>2513205529</v>
      </c>
      <c r="O3419" s="7">
        <v>1192828473</v>
      </c>
      <c r="P3419" s="7">
        <v>0</v>
      </c>
      <c r="Q3419" s="7" t="str">
        <f t="shared" ref="Q3419:Q3482" si="1210">"都市整備部"</f>
        <v>都市整備部</v>
      </c>
      <c r="R3419" s="7" t="str">
        <f t="shared" si="1208"/>
        <v>住宅建築局住宅経営室</v>
      </c>
    </row>
    <row r="3420" spans="1:18" s="1" customFormat="1" x14ac:dyDescent="0.45">
      <c r="A3420" s="7" t="str">
        <f t="shared" ref="A3420:A3430" si="1211">"09940003467"</f>
        <v>09940003467</v>
      </c>
      <c r="B3420" s="7" t="str">
        <f t="shared" ref="B3420:B3430" si="1212">"金岡東第５・堺新金岡４丁５番"</f>
        <v>金岡東第５・堺新金岡４丁５番</v>
      </c>
      <c r="C3420" s="7" t="str">
        <f t="shared" si="1209"/>
        <v>行政財産</v>
      </c>
      <c r="D3420" s="7" t="str">
        <f t="shared" si="1196"/>
        <v>公営住宅</v>
      </c>
      <c r="E3420" s="7" t="str">
        <f t="shared" ref="E3420:E3430" si="1213">"大阪府堺市　北区新金岡町４丁"</f>
        <v>大阪府堺市　北区新金岡町４丁</v>
      </c>
      <c r="F3420" s="7"/>
      <c r="G3420" s="7" t="str">
        <f t="shared" si="1207"/>
        <v>事業用資産</v>
      </c>
      <c r="H3420" s="7" t="str">
        <f t="shared" si="1202"/>
        <v>棚卸以外</v>
      </c>
      <c r="I3420" s="7">
        <v>1</v>
      </c>
      <c r="J3420" s="7" t="str">
        <f>"６・８～１０号棟"</f>
        <v>６・８～１０号棟</v>
      </c>
      <c r="K3420" s="7" t="str">
        <f t="shared" si="1201"/>
        <v>鉄筋コンクリート造</v>
      </c>
      <c r="L3420" s="7" t="str">
        <f>"S43.03.25"</f>
        <v>S43.03.25</v>
      </c>
      <c r="M3420" s="7">
        <v>8848.42</v>
      </c>
      <c r="N3420" s="7">
        <v>1358483140</v>
      </c>
      <c r="O3420" s="7">
        <v>888937556</v>
      </c>
      <c r="P3420" s="7">
        <v>0</v>
      </c>
      <c r="Q3420" s="7" t="str">
        <f t="shared" si="1210"/>
        <v>都市整備部</v>
      </c>
      <c r="R3420" s="7" t="str">
        <f t="shared" si="1208"/>
        <v>住宅建築局住宅経営室</v>
      </c>
    </row>
    <row r="3421" spans="1:18" s="1" customFormat="1" x14ac:dyDescent="0.45">
      <c r="A3421" s="7" t="str">
        <f t="shared" si="1211"/>
        <v>09940003467</v>
      </c>
      <c r="B3421" s="7" t="str">
        <f t="shared" si="1212"/>
        <v>金岡東第５・堺新金岡４丁５番</v>
      </c>
      <c r="C3421" s="7" t="str">
        <f t="shared" si="1209"/>
        <v>行政財産</v>
      </c>
      <c r="D3421" s="7" t="str">
        <f t="shared" si="1196"/>
        <v>公営住宅</v>
      </c>
      <c r="E3421" s="7" t="str">
        <f t="shared" si="1213"/>
        <v>大阪府堺市　北区新金岡町４丁</v>
      </c>
      <c r="F3421" s="7"/>
      <c r="G3421" s="7" t="str">
        <f t="shared" si="1207"/>
        <v>事業用資産</v>
      </c>
      <c r="H3421" s="7" t="str">
        <f t="shared" si="1202"/>
        <v>棚卸以外</v>
      </c>
      <c r="I3421" s="7">
        <v>2</v>
      </c>
      <c r="J3421" s="7" t="str">
        <f>"１２～２４号棟"</f>
        <v>１２～２４号棟</v>
      </c>
      <c r="K3421" s="7" t="str">
        <f t="shared" si="1201"/>
        <v>鉄筋コンクリート造</v>
      </c>
      <c r="L3421" s="7" t="str">
        <f>"S43.04.01"</f>
        <v>S43.04.01</v>
      </c>
      <c r="M3421" s="7">
        <v>21703.75</v>
      </c>
      <c r="N3421" s="7">
        <v>5352440118</v>
      </c>
      <c r="O3421" s="7">
        <v>4906384522</v>
      </c>
      <c r="P3421" s="7">
        <v>0</v>
      </c>
      <c r="Q3421" s="7" t="str">
        <f t="shared" si="1210"/>
        <v>都市整備部</v>
      </c>
      <c r="R3421" s="7" t="str">
        <f t="shared" si="1208"/>
        <v>住宅建築局住宅経営室</v>
      </c>
    </row>
    <row r="3422" spans="1:18" s="1" customFormat="1" x14ac:dyDescent="0.45">
      <c r="A3422" s="7" t="str">
        <f t="shared" si="1211"/>
        <v>09940003467</v>
      </c>
      <c r="B3422" s="7" t="str">
        <f t="shared" si="1212"/>
        <v>金岡東第５・堺新金岡４丁５番</v>
      </c>
      <c r="C3422" s="7" t="str">
        <f t="shared" si="1209"/>
        <v>行政財産</v>
      </c>
      <c r="D3422" s="7" t="str">
        <f t="shared" si="1196"/>
        <v>公営住宅</v>
      </c>
      <c r="E3422" s="7" t="str">
        <f t="shared" si="1213"/>
        <v>大阪府堺市　北区新金岡町４丁</v>
      </c>
      <c r="F3422" s="7"/>
      <c r="G3422" s="7" t="str">
        <f t="shared" si="1207"/>
        <v>事業用資産</v>
      </c>
      <c r="H3422" s="7" t="str">
        <f t="shared" si="1202"/>
        <v>棚卸以外</v>
      </c>
      <c r="I3422" s="7">
        <v>4</v>
      </c>
      <c r="J3422" s="7" t="str">
        <f>"集会所"</f>
        <v>集会所</v>
      </c>
      <c r="K3422" s="7" t="str">
        <f>"鉄筋"</f>
        <v>鉄筋</v>
      </c>
      <c r="L3422" s="7" t="str">
        <f>"S43.04.01"</f>
        <v>S43.04.01</v>
      </c>
      <c r="M3422" s="7">
        <v>93.16</v>
      </c>
      <c r="N3422" s="7">
        <v>3055199</v>
      </c>
      <c r="O3422" s="7">
        <v>3055198</v>
      </c>
      <c r="P3422" s="7">
        <v>0</v>
      </c>
      <c r="Q3422" s="7" t="str">
        <f t="shared" si="1210"/>
        <v>都市整備部</v>
      </c>
      <c r="R3422" s="7" t="str">
        <f t="shared" si="1208"/>
        <v>住宅建築局住宅経営室</v>
      </c>
    </row>
    <row r="3423" spans="1:18" s="1" customFormat="1" x14ac:dyDescent="0.45">
      <c r="A3423" s="7" t="str">
        <f t="shared" si="1211"/>
        <v>09940003467</v>
      </c>
      <c r="B3423" s="7" t="str">
        <f t="shared" si="1212"/>
        <v>金岡東第５・堺新金岡４丁５番</v>
      </c>
      <c r="C3423" s="7" t="str">
        <f t="shared" si="1209"/>
        <v>行政財産</v>
      </c>
      <c r="D3423" s="7" t="str">
        <f t="shared" si="1196"/>
        <v>公営住宅</v>
      </c>
      <c r="E3423" s="7" t="str">
        <f t="shared" si="1213"/>
        <v>大阪府堺市　北区新金岡町４丁</v>
      </c>
      <c r="F3423" s="7"/>
      <c r="G3423" s="7" t="str">
        <f t="shared" si="1207"/>
        <v>事業用資産</v>
      </c>
      <c r="H3423" s="7" t="str">
        <f t="shared" si="1202"/>
        <v>棚卸以外</v>
      </c>
      <c r="I3423" s="7">
        <v>5</v>
      </c>
      <c r="J3423" s="7" t="str">
        <f>"集会所"</f>
        <v>集会所</v>
      </c>
      <c r="K3423" s="7" t="str">
        <f>"鉄筋"</f>
        <v>鉄筋</v>
      </c>
      <c r="L3423" s="7" t="str">
        <f>"S31.03.31"</f>
        <v>S31.03.31</v>
      </c>
      <c r="M3423" s="7">
        <v>156.02000000000001</v>
      </c>
      <c r="N3423" s="7">
        <v>23200000</v>
      </c>
      <c r="O3423" s="7">
        <v>23199999</v>
      </c>
      <c r="P3423" s="7">
        <v>0</v>
      </c>
      <c r="Q3423" s="7" t="str">
        <f t="shared" si="1210"/>
        <v>都市整備部</v>
      </c>
      <c r="R3423" s="7" t="str">
        <f t="shared" si="1208"/>
        <v>住宅建築局住宅経営室</v>
      </c>
    </row>
    <row r="3424" spans="1:18" s="1" customFormat="1" x14ac:dyDescent="0.45">
      <c r="A3424" s="7" t="str">
        <f t="shared" si="1211"/>
        <v>09940003467</v>
      </c>
      <c r="B3424" s="7" t="str">
        <f t="shared" si="1212"/>
        <v>金岡東第５・堺新金岡４丁５番</v>
      </c>
      <c r="C3424" s="7" t="str">
        <f t="shared" si="1209"/>
        <v>行政財産</v>
      </c>
      <c r="D3424" s="7" t="str">
        <f t="shared" si="1196"/>
        <v>公営住宅</v>
      </c>
      <c r="E3424" s="7" t="str">
        <f t="shared" si="1213"/>
        <v>大阪府堺市　北区新金岡町４丁</v>
      </c>
      <c r="F3424" s="7"/>
      <c r="G3424" s="7" t="str">
        <f t="shared" si="1207"/>
        <v>事業用資産</v>
      </c>
      <c r="H3424" s="7" t="str">
        <f t="shared" si="1202"/>
        <v>棚卸以外</v>
      </c>
      <c r="I3424" s="7">
        <v>7</v>
      </c>
      <c r="J3424" s="7" t="str">
        <f>"２１号棟増築分"</f>
        <v>２１号棟増築分</v>
      </c>
      <c r="K3424" s="7" t="str">
        <f t="shared" ref="K3424:K3455" si="1214">"鉄筋コンクリート造"</f>
        <v>鉄筋コンクリート造</v>
      </c>
      <c r="L3424" s="7" t="str">
        <f>"H04.12.01"</f>
        <v>H04.12.01</v>
      </c>
      <c r="M3424" s="7">
        <v>789.3</v>
      </c>
      <c r="N3424" s="7">
        <v>114518000</v>
      </c>
      <c r="O3424" s="7">
        <v>73706061</v>
      </c>
      <c r="P3424" s="7">
        <v>0</v>
      </c>
      <c r="Q3424" s="7" t="str">
        <f t="shared" si="1210"/>
        <v>都市整備部</v>
      </c>
      <c r="R3424" s="7" t="str">
        <f t="shared" si="1208"/>
        <v>住宅建築局住宅経営室</v>
      </c>
    </row>
    <row r="3425" spans="1:18" s="1" customFormat="1" x14ac:dyDescent="0.45">
      <c r="A3425" s="7" t="str">
        <f t="shared" si="1211"/>
        <v>09940003467</v>
      </c>
      <c r="B3425" s="7" t="str">
        <f t="shared" si="1212"/>
        <v>金岡東第５・堺新金岡４丁５番</v>
      </c>
      <c r="C3425" s="7" t="str">
        <f t="shared" si="1209"/>
        <v>行政財産</v>
      </c>
      <c r="D3425" s="7" t="str">
        <f t="shared" si="1196"/>
        <v>公営住宅</v>
      </c>
      <c r="E3425" s="7" t="str">
        <f t="shared" si="1213"/>
        <v>大阪府堺市　北区新金岡町４丁</v>
      </c>
      <c r="F3425" s="7"/>
      <c r="G3425" s="7" t="str">
        <f t="shared" si="1207"/>
        <v>事業用資産</v>
      </c>
      <c r="H3425" s="7" t="str">
        <f t="shared" si="1202"/>
        <v>棚卸以外</v>
      </c>
      <c r="I3425" s="7">
        <v>8</v>
      </c>
      <c r="J3425" s="7" t="str">
        <f>"２３号棟増築分"</f>
        <v>２３号棟増築分</v>
      </c>
      <c r="K3425" s="7" t="str">
        <f t="shared" si="1214"/>
        <v>鉄筋コンクリート造</v>
      </c>
      <c r="L3425" s="7" t="str">
        <f>"H04.12.01"</f>
        <v>H04.12.01</v>
      </c>
      <c r="M3425" s="7">
        <v>789.3</v>
      </c>
      <c r="N3425" s="7">
        <v>114518000</v>
      </c>
      <c r="O3425" s="7">
        <v>73706061</v>
      </c>
      <c r="P3425" s="7">
        <v>0</v>
      </c>
      <c r="Q3425" s="7" t="str">
        <f t="shared" si="1210"/>
        <v>都市整備部</v>
      </c>
      <c r="R3425" s="7" t="str">
        <f t="shared" si="1208"/>
        <v>住宅建築局住宅経営室</v>
      </c>
    </row>
    <row r="3426" spans="1:18" s="1" customFormat="1" x14ac:dyDescent="0.45">
      <c r="A3426" s="7" t="str">
        <f t="shared" si="1211"/>
        <v>09940003467</v>
      </c>
      <c r="B3426" s="7" t="str">
        <f t="shared" si="1212"/>
        <v>金岡東第５・堺新金岡４丁５番</v>
      </c>
      <c r="C3426" s="7" t="str">
        <f t="shared" si="1209"/>
        <v>行政財産</v>
      </c>
      <c r="D3426" s="7" t="str">
        <f t="shared" si="1196"/>
        <v>公営住宅</v>
      </c>
      <c r="E3426" s="7" t="str">
        <f t="shared" si="1213"/>
        <v>大阪府堺市　北区新金岡町４丁</v>
      </c>
      <c r="F3426" s="7"/>
      <c r="G3426" s="7" t="str">
        <f t="shared" si="1207"/>
        <v>事業用資産</v>
      </c>
      <c r="H3426" s="7" t="str">
        <f t="shared" si="1202"/>
        <v>棚卸以外</v>
      </c>
      <c r="I3426" s="7">
        <v>11</v>
      </c>
      <c r="J3426" s="7" t="str">
        <f>"１号棟　堺新金岡４丁５番"</f>
        <v>１号棟　堺新金岡４丁５番</v>
      </c>
      <c r="K3426" s="7" t="str">
        <f t="shared" si="1214"/>
        <v>鉄筋コンクリート造</v>
      </c>
      <c r="L3426" s="7" t="str">
        <f>"H29.03.01"</f>
        <v>H29.03.01</v>
      </c>
      <c r="M3426" s="7">
        <v>8055.05</v>
      </c>
      <c r="N3426" s="7">
        <v>1624754938</v>
      </c>
      <c r="O3426" s="7">
        <v>207415584</v>
      </c>
      <c r="P3426" s="7">
        <v>0</v>
      </c>
      <c r="Q3426" s="7" t="str">
        <f t="shared" si="1210"/>
        <v>都市整備部</v>
      </c>
      <c r="R3426" s="7" t="str">
        <f t="shared" si="1208"/>
        <v>住宅建築局住宅経営室</v>
      </c>
    </row>
    <row r="3427" spans="1:18" s="1" customFormat="1" x14ac:dyDescent="0.45">
      <c r="A3427" s="7" t="str">
        <f t="shared" si="1211"/>
        <v>09940003467</v>
      </c>
      <c r="B3427" s="7" t="str">
        <f t="shared" si="1212"/>
        <v>金岡東第５・堺新金岡４丁５番</v>
      </c>
      <c r="C3427" s="7" t="str">
        <f t="shared" si="1209"/>
        <v>行政財産</v>
      </c>
      <c r="D3427" s="7" t="str">
        <f t="shared" si="1196"/>
        <v>公営住宅</v>
      </c>
      <c r="E3427" s="7" t="str">
        <f t="shared" si="1213"/>
        <v>大阪府堺市　北区新金岡町４丁</v>
      </c>
      <c r="F3427" s="7"/>
      <c r="G3427" s="7" t="str">
        <f t="shared" si="1207"/>
        <v>事業用資産</v>
      </c>
      <c r="H3427" s="7" t="str">
        <f t="shared" si="1202"/>
        <v>棚卸以外</v>
      </c>
      <c r="I3427" s="7">
        <v>12</v>
      </c>
      <c r="J3427" s="7" t="str">
        <f>"ゴミ置場"</f>
        <v>ゴミ置場</v>
      </c>
      <c r="K3427" s="7" t="str">
        <f t="shared" si="1214"/>
        <v>鉄筋コンクリート造</v>
      </c>
      <c r="L3427" s="7" t="str">
        <f>"H29.03.01"</f>
        <v>H29.03.01</v>
      </c>
      <c r="M3427" s="7">
        <v>14.78</v>
      </c>
      <c r="N3427" s="7">
        <v>5439696</v>
      </c>
      <c r="O3427" s="7">
        <v>694440</v>
      </c>
      <c r="P3427" s="7">
        <v>0</v>
      </c>
      <c r="Q3427" s="7" t="str">
        <f t="shared" si="1210"/>
        <v>都市整備部</v>
      </c>
      <c r="R3427" s="7" t="str">
        <f t="shared" si="1208"/>
        <v>住宅建築局住宅経営室</v>
      </c>
    </row>
    <row r="3428" spans="1:18" s="1" customFormat="1" x14ac:dyDescent="0.45">
      <c r="A3428" s="7" t="str">
        <f t="shared" si="1211"/>
        <v>09940003467</v>
      </c>
      <c r="B3428" s="7" t="str">
        <f t="shared" si="1212"/>
        <v>金岡東第５・堺新金岡４丁５番</v>
      </c>
      <c r="C3428" s="7" t="str">
        <f t="shared" si="1209"/>
        <v>行政財産</v>
      </c>
      <c r="D3428" s="7" t="str">
        <f t="shared" si="1196"/>
        <v>公営住宅</v>
      </c>
      <c r="E3428" s="7" t="str">
        <f t="shared" si="1213"/>
        <v>大阪府堺市　北区新金岡町４丁</v>
      </c>
      <c r="F3428" s="7"/>
      <c r="G3428" s="7" t="str">
        <f t="shared" si="1207"/>
        <v>事業用資産</v>
      </c>
      <c r="H3428" s="7" t="str">
        <f t="shared" si="1202"/>
        <v>棚卸以外</v>
      </c>
      <c r="I3428" s="7">
        <v>13</v>
      </c>
      <c r="J3428" s="7" t="str">
        <f>"受水槽・ポンプ室（電気室と同一棟）"</f>
        <v>受水槽・ポンプ室（電気室と同一棟）</v>
      </c>
      <c r="K3428" s="7" t="str">
        <f t="shared" si="1214"/>
        <v>鉄筋コンクリート造</v>
      </c>
      <c r="L3428" s="7" t="str">
        <f>"H29.03.01"</f>
        <v>H29.03.01</v>
      </c>
      <c r="M3428" s="7">
        <v>62.4</v>
      </c>
      <c r="N3428" s="7">
        <v>21720011</v>
      </c>
      <c r="O3428" s="7">
        <v>2772792</v>
      </c>
      <c r="P3428" s="7">
        <v>0</v>
      </c>
      <c r="Q3428" s="7" t="str">
        <f t="shared" si="1210"/>
        <v>都市整備部</v>
      </c>
      <c r="R3428" s="7" t="str">
        <f t="shared" si="1208"/>
        <v>住宅建築局住宅経営室</v>
      </c>
    </row>
    <row r="3429" spans="1:18" s="1" customFormat="1" x14ac:dyDescent="0.45">
      <c r="A3429" s="7" t="str">
        <f t="shared" si="1211"/>
        <v>09940003467</v>
      </c>
      <c r="B3429" s="7" t="str">
        <f t="shared" si="1212"/>
        <v>金岡東第５・堺新金岡４丁５番</v>
      </c>
      <c r="C3429" s="7" t="str">
        <f t="shared" si="1209"/>
        <v>行政財産</v>
      </c>
      <c r="D3429" s="7" t="str">
        <f t="shared" si="1196"/>
        <v>公営住宅</v>
      </c>
      <c r="E3429" s="7" t="str">
        <f t="shared" si="1213"/>
        <v>大阪府堺市　北区新金岡町４丁</v>
      </c>
      <c r="F3429" s="7"/>
      <c r="G3429" s="7" t="str">
        <f t="shared" si="1207"/>
        <v>事業用資産</v>
      </c>
      <c r="H3429" s="7" t="str">
        <f t="shared" si="1202"/>
        <v>棚卸以外</v>
      </c>
      <c r="I3429" s="7">
        <v>14</v>
      </c>
      <c r="J3429" s="7" t="str">
        <f>"２号棟・３号棟"</f>
        <v>２号棟・３号棟</v>
      </c>
      <c r="K3429" s="7" t="str">
        <f t="shared" si="1214"/>
        <v>鉄筋コンクリート造</v>
      </c>
      <c r="L3429" s="7" t="str">
        <f>"R02.02.01"</f>
        <v>R02.02.01</v>
      </c>
      <c r="M3429" s="7">
        <v>8982.6200000000008</v>
      </c>
      <c r="N3429" s="7">
        <v>1960582320</v>
      </c>
      <c r="O3429" s="7">
        <v>128619770</v>
      </c>
      <c r="P3429" s="7">
        <v>0</v>
      </c>
      <c r="Q3429" s="7" t="str">
        <f t="shared" si="1210"/>
        <v>都市整備部</v>
      </c>
      <c r="R3429" s="7" t="str">
        <f t="shared" si="1208"/>
        <v>住宅建築局住宅経営室</v>
      </c>
    </row>
    <row r="3430" spans="1:18" s="1" customFormat="1" x14ac:dyDescent="0.45">
      <c r="A3430" s="7" t="str">
        <f t="shared" si="1211"/>
        <v>09940003467</v>
      </c>
      <c r="B3430" s="7" t="str">
        <f t="shared" si="1212"/>
        <v>金岡東第５・堺新金岡４丁５番</v>
      </c>
      <c r="C3430" s="7" t="str">
        <f t="shared" si="1209"/>
        <v>行政財産</v>
      </c>
      <c r="D3430" s="7" t="str">
        <f t="shared" si="1196"/>
        <v>公営住宅</v>
      </c>
      <c r="E3430" s="7" t="str">
        <f t="shared" si="1213"/>
        <v>大阪府堺市　北区新金岡町４丁</v>
      </c>
      <c r="F3430" s="7"/>
      <c r="G3430" s="7" t="str">
        <f t="shared" si="1207"/>
        <v>事業用資産</v>
      </c>
      <c r="H3430" s="7" t="str">
        <f t="shared" si="1202"/>
        <v>棚卸以外</v>
      </c>
      <c r="I3430" s="7">
        <v>15</v>
      </c>
      <c r="J3430" s="7" t="str">
        <f>"電気室・ポンプ室"</f>
        <v>電気室・ポンプ室</v>
      </c>
      <c r="K3430" s="7" t="str">
        <f t="shared" si="1214"/>
        <v>鉄筋コンクリート造</v>
      </c>
      <c r="L3430" s="7" t="str">
        <f>"R02.02.01"</f>
        <v>R02.02.01</v>
      </c>
      <c r="M3430" s="7">
        <v>58.96</v>
      </c>
      <c r="N3430" s="7">
        <v>39439074</v>
      </c>
      <c r="O3430" s="7">
        <v>2587336</v>
      </c>
      <c r="P3430" s="7">
        <v>0</v>
      </c>
      <c r="Q3430" s="7" t="str">
        <f t="shared" si="1210"/>
        <v>都市整備部</v>
      </c>
      <c r="R3430" s="7" t="str">
        <f t="shared" si="1208"/>
        <v>住宅建築局住宅経営室</v>
      </c>
    </row>
    <row r="3431" spans="1:18" s="1" customFormat="1" x14ac:dyDescent="0.45">
      <c r="A3431" s="7" t="str">
        <f t="shared" ref="A3431:A3439" si="1215">"09940003468"</f>
        <v>09940003468</v>
      </c>
      <c r="B3431" s="7" t="str">
        <f t="shared" ref="B3431:B3439" si="1216">"堺新金岡３丁８番（旧　金岡東第４）"</f>
        <v>堺新金岡３丁８番（旧　金岡東第４）</v>
      </c>
      <c r="C3431" s="7" t="str">
        <f t="shared" si="1209"/>
        <v>行政財産</v>
      </c>
      <c r="D3431" s="7" t="str">
        <f t="shared" si="1196"/>
        <v>公営住宅</v>
      </c>
      <c r="E3431" s="7" t="str">
        <f t="shared" ref="E3431:E3439" si="1217">"大阪府堺市　北区新金岡町３丁"</f>
        <v>大阪府堺市　北区新金岡町３丁</v>
      </c>
      <c r="F3431" s="7"/>
      <c r="G3431" s="7" t="str">
        <f t="shared" si="1207"/>
        <v>事業用資産</v>
      </c>
      <c r="H3431" s="7" t="str">
        <f t="shared" si="1202"/>
        <v>棚卸以外</v>
      </c>
      <c r="I3431" s="7">
        <v>2</v>
      </c>
      <c r="J3431" s="7" t="str">
        <f>"集会所"</f>
        <v>集会所</v>
      </c>
      <c r="K3431" s="7" t="str">
        <f t="shared" si="1214"/>
        <v>鉄筋コンクリート造</v>
      </c>
      <c r="L3431" s="7" t="str">
        <f>"S46.03.20"</f>
        <v>S46.03.20</v>
      </c>
      <c r="M3431" s="7">
        <v>92.72</v>
      </c>
      <c r="N3431" s="7">
        <v>5950000</v>
      </c>
      <c r="O3431" s="7">
        <v>5949999</v>
      </c>
      <c r="P3431" s="7">
        <v>0</v>
      </c>
      <c r="Q3431" s="7" t="str">
        <f t="shared" si="1210"/>
        <v>都市整備部</v>
      </c>
      <c r="R3431" s="7" t="str">
        <f t="shared" si="1208"/>
        <v>住宅建築局住宅経営室</v>
      </c>
    </row>
    <row r="3432" spans="1:18" s="1" customFormat="1" x14ac:dyDescent="0.45">
      <c r="A3432" s="7" t="str">
        <f t="shared" si="1215"/>
        <v>09940003468</v>
      </c>
      <c r="B3432" s="7" t="str">
        <f t="shared" si="1216"/>
        <v>堺新金岡３丁８番（旧　金岡東第４）</v>
      </c>
      <c r="C3432" s="7" t="str">
        <f t="shared" si="1209"/>
        <v>行政財産</v>
      </c>
      <c r="D3432" s="7" t="str">
        <f t="shared" si="1196"/>
        <v>公営住宅</v>
      </c>
      <c r="E3432" s="7" t="str">
        <f t="shared" si="1217"/>
        <v>大阪府堺市　北区新金岡町３丁</v>
      </c>
      <c r="F3432" s="7"/>
      <c r="G3432" s="7" t="str">
        <f t="shared" si="1207"/>
        <v>事業用資産</v>
      </c>
      <c r="H3432" s="7" t="str">
        <f t="shared" si="1202"/>
        <v>棚卸以外</v>
      </c>
      <c r="I3432" s="7">
        <v>3</v>
      </c>
      <c r="J3432" s="7" t="str">
        <f>"集会所"</f>
        <v>集会所</v>
      </c>
      <c r="K3432" s="7" t="str">
        <f t="shared" si="1214"/>
        <v>鉄筋コンクリート造</v>
      </c>
      <c r="L3432" s="7" t="str">
        <f>"S56.03.20"</f>
        <v>S56.03.20</v>
      </c>
      <c r="M3432" s="7">
        <v>34.68</v>
      </c>
      <c r="N3432" s="7">
        <v>8000000</v>
      </c>
      <c r="O3432" s="7">
        <v>7149240</v>
      </c>
      <c r="P3432" s="7">
        <v>0</v>
      </c>
      <c r="Q3432" s="7" t="str">
        <f t="shared" si="1210"/>
        <v>都市整備部</v>
      </c>
      <c r="R3432" s="7" t="str">
        <f t="shared" si="1208"/>
        <v>住宅建築局住宅経営室</v>
      </c>
    </row>
    <row r="3433" spans="1:18" s="1" customFormat="1" x14ac:dyDescent="0.45">
      <c r="A3433" s="7" t="str">
        <f t="shared" si="1215"/>
        <v>09940003468</v>
      </c>
      <c r="B3433" s="7" t="str">
        <f t="shared" si="1216"/>
        <v>堺新金岡３丁８番（旧　金岡東第４）</v>
      </c>
      <c r="C3433" s="7" t="str">
        <f t="shared" si="1209"/>
        <v>行政財産</v>
      </c>
      <c r="D3433" s="7" t="str">
        <f t="shared" si="1196"/>
        <v>公営住宅</v>
      </c>
      <c r="E3433" s="7" t="str">
        <f t="shared" si="1217"/>
        <v>大阪府堺市　北区新金岡町３丁</v>
      </c>
      <c r="F3433" s="7"/>
      <c r="G3433" s="7" t="str">
        <f t="shared" si="1207"/>
        <v>事業用資産</v>
      </c>
      <c r="H3433" s="7" t="str">
        <f t="shared" si="1202"/>
        <v>棚卸以外</v>
      </c>
      <c r="I3433" s="7">
        <v>10</v>
      </c>
      <c r="J3433" s="7" t="str">
        <f>"受水槽・ポンプ室"</f>
        <v>受水槽・ポンプ室</v>
      </c>
      <c r="K3433" s="7" t="str">
        <f t="shared" si="1214"/>
        <v>鉄筋コンクリート造</v>
      </c>
      <c r="L3433" s="7" t="str">
        <f>"H25.03.01"</f>
        <v>H25.03.01</v>
      </c>
      <c r="M3433" s="7">
        <v>38</v>
      </c>
      <c r="N3433" s="7">
        <v>15135146</v>
      </c>
      <c r="O3433" s="7">
        <v>3220320</v>
      </c>
      <c r="P3433" s="7">
        <v>0</v>
      </c>
      <c r="Q3433" s="7" t="str">
        <f t="shared" si="1210"/>
        <v>都市整備部</v>
      </c>
      <c r="R3433" s="7" t="str">
        <f t="shared" si="1208"/>
        <v>住宅建築局住宅経営室</v>
      </c>
    </row>
    <row r="3434" spans="1:18" s="1" customFormat="1" x14ac:dyDescent="0.45">
      <c r="A3434" s="7" t="str">
        <f t="shared" si="1215"/>
        <v>09940003468</v>
      </c>
      <c r="B3434" s="7" t="str">
        <f t="shared" si="1216"/>
        <v>堺新金岡３丁８番（旧　金岡東第４）</v>
      </c>
      <c r="C3434" s="7" t="str">
        <f t="shared" si="1209"/>
        <v>行政財産</v>
      </c>
      <c r="D3434" s="7" t="str">
        <f t="shared" si="1196"/>
        <v>公営住宅</v>
      </c>
      <c r="E3434" s="7" t="str">
        <f t="shared" si="1217"/>
        <v>大阪府堺市　北区新金岡町３丁</v>
      </c>
      <c r="F3434" s="7"/>
      <c r="G3434" s="7" t="str">
        <f t="shared" si="1207"/>
        <v>事業用資産</v>
      </c>
      <c r="H3434" s="7" t="str">
        <f t="shared" si="1202"/>
        <v>棚卸以外</v>
      </c>
      <c r="I3434" s="7">
        <v>11</v>
      </c>
      <c r="J3434" s="7" t="str">
        <f>"堺新金岡３丁８番　１号棟　電気室"</f>
        <v>堺新金岡３丁８番　１号棟　電気室</v>
      </c>
      <c r="K3434" s="7" t="str">
        <f t="shared" si="1214"/>
        <v>鉄筋コンクリート造</v>
      </c>
      <c r="L3434" s="7" t="str">
        <f>"H25.03.01"</f>
        <v>H25.03.01</v>
      </c>
      <c r="M3434" s="7">
        <v>64.180000000000007</v>
      </c>
      <c r="N3434" s="7">
        <v>7020263</v>
      </c>
      <c r="O3434" s="7">
        <v>1493760</v>
      </c>
      <c r="P3434" s="7">
        <v>0</v>
      </c>
      <c r="Q3434" s="7" t="str">
        <f t="shared" si="1210"/>
        <v>都市整備部</v>
      </c>
      <c r="R3434" s="7" t="str">
        <f t="shared" si="1208"/>
        <v>住宅建築局住宅経営室</v>
      </c>
    </row>
    <row r="3435" spans="1:18" s="1" customFormat="1" x14ac:dyDescent="0.45">
      <c r="A3435" s="7" t="str">
        <f t="shared" si="1215"/>
        <v>09940003468</v>
      </c>
      <c r="B3435" s="7" t="str">
        <f t="shared" si="1216"/>
        <v>堺新金岡３丁８番（旧　金岡東第４）</v>
      </c>
      <c r="C3435" s="7" t="str">
        <f t="shared" si="1209"/>
        <v>行政財産</v>
      </c>
      <c r="D3435" s="7" t="str">
        <f t="shared" si="1196"/>
        <v>公営住宅</v>
      </c>
      <c r="E3435" s="7" t="str">
        <f t="shared" si="1217"/>
        <v>大阪府堺市　北区新金岡町３丁</v>
      </c>
      <c r="F3435" s="7"/>
      <c r="G3435" s="7" t="str">
        <f t="shared" si="1207"/>
        <v>事業用資産</v>
      </c>
      <c r="H3435" s="7" t="str">
        <f t="shared" si="1202"/>
        <v>棚卸以外</v>
      </c>
      <c r="I3435" s="7">
        <v>12</v>
      </c>
      <c r="J3435" s="7" t="str">
        <f>"堺新金岡３丁８番住宅　１号棟"</f>
        <v>堺新金岡３丁８番住宅　１号棟</v>
      </c>
      <c r="K3435" s="7" t="str">
        <f t="shared" si="1214"/>
        <v>鉄筋コンクリート造</v>
      </c>
      <c r="L3435" s="7" t="str">
        <f>"H25.03.01"</f>
        <v>H25.03.01</v>
      </c>
      <c r="M3435" s="7">
        <v>13032.21</v>
      </c>
      <c r="N3435" s="7">
        <v>1811635383</v>
      </c>
      <c r="O3435" s="7">
        <v>385343034</v>
      </c>
      <c r="P3435" s="7">
        <v>0</v>
      </c>
      <c r="Q3435" s="7" t="str">
        <f t="shared" si="1210"/>
        <v>都市整備部</v>
      </c>
      <c r="R3435" s="7" t="str">
        <f t="shared" si="1208"/>
        <v>住宅建築局住宅経営室</v>
      </c>
    </row>
    <row r="3436" spans="1:18" s="1" customFormat="1" x14ac:dyDescent="0.45">
      <c r="A3436" s="7" t="str">
        <f t="shared" si="1215"/>
        <v>09940003468</v>
      </c>
      <c r="B3436" s="7" t="str">
        <f t="shared" si="1216"/>
        <v>堺新金岡３丁８番（旧　金岡東第４）</v>
      </c>
      <c r="C3436" s="7" t="str">
        <f t="shared" si="1209"/>
        <v>行政財産</v>
      </c>
      <c r="D3436" s="7" t="str">
        <f t="shared" si="1196"/>
        <v>公営住宅</v>
      </c>
      <c r="E3436" s="7" t="str">
        <f t="shared" si="1217"/>
        <v>大阪府堺市　北区新金岡町３丁</v>
      </c>
      <c r="F3436" s="7"/>
      <c r="G3436" s="7" t="str">
        <f t="shared" si="1207"/>
        <v>事業用資産</v>
      </c>
      <c r="H3436" s="7" t="str">
        <f t="shared" si="1202"/>
        <v>棚卸以外</v>
      </c>
      <c r="I3436" s="7">
        <v>13</v>
      </c>
      <c r="J3436" s="7" t="str">
        <f>"堺新金岡3丁8番　2号棟"</f>
        <v>堺新金岡3丁8番　2号棟</v>
      </c>
      <c r="K3436" s="7" t="str">
        <f t="shared" si="1214"/>
        <v>鉄筋コンクリート造</v>
      </c>
      <c r="L3436" s="7" t="str">
        <f>"H28.03.01"</f>
        <v>H28.03.01</v>
      </c>
      <c r="M3436" s="7">
        <v>13021.41</v>
      </c>
      <c r="N3436" s="7">
        <v>2509022875</v>
      </c>
      <c r="O3436" s="7">
        <v>373686174</v>
      </c>
      <c r="P3436" s="7">
        <v>0</v>
      </c>
      <c r="Q3436" s="7" t="str">
        <f t="shared" si="1210"/>
        <v>都市整備部</v>
      </c>
      <c r="R3436" s="7" t="str">
        <f t="shared" si="1208"/>
        <v>住宅建築局住宅経営室</v>
      </c>
    </row>
    <row r="3437" spans="1:18" s="1" customFormat="1" x14ac:dyDescent="0.45">
      <c r="A3437" s="7" t="str">
        <f t="shared" si="1215"/>
        <v>09940003468</v>
      </c>
      <c r="B3437" s="7" t="str">
        <f t="shared" si="1216"/>
        <v>堺新金岡３丁８番（旧　金岡東第４）</v>
      </c>
      <c r="C3437" s="7" t="str">
        <f t="shared" si="1209"/>
        <v>行政財産</v>
      </c>
      <c r="D3437" s="7" t="str">
        <f t="shared" si="1196"/>
        <v>公営住宅</v>
      </c>
      <c r="E3437" s="7" t="str">
        <f t="shared" si="1217"/>
        <v>大阪府堺市　北区新金岡町３丁</v>
      </c>
      <c r="F3437" s="7"/>
      <c r="G3437" s="7" t="str">
        <f t="shared" si="1207"/>
        <v>事業用資産</v>
      </c>
      <c r="H3437" s="7" t="str">
        <f t="shared" si="1202"/>
        <v>棚卸以外</v>
      </c>
      <c r="I3437" s="7">
        <v>14</v>
      </c>
      <c r="J3437" s="7" t="str">
        <f>"ゴミ置場"</f>
        <v>ゴミ置場</v>
      </c>
      <c r="K3437" s="7" t="str">
        <f t="shared" si="1214"/>
        <v>鉄筋コンクリート造</v>
      </c>
      <c r="L3437" s="7" t="str">
        <f>"H28.03.01"</f>
        <v>H28.03.01</v>
      </c>
      <c r="M3437" s="7">
        <v>118.68</v>
      </c>
      <c r="N3437" s="7">
        <v>12278737</v>
      </c>
      <c r="O3437" s="7">
        <v>1828764</v>
      </c>
      <c r="P3437" s="7">
        <v>0</v>
      </c>
      <c r="Q3437" s="7" t="str">
        <f t="shared" si="1210"/>
        <v>都市整備部</v>
      </c>
      <c r="R3437" s="7" t="str">
        <f t="shared" si="1208"/>
        <v>住宅建築局住宅経営室</v>
      </c>
    </row>
    <row r="3438" spans="1:18" s="1" customFormat="1" x14ac:dyDescent="0.45">
      <c r="A3438" s="7" t="str">
        <f t="shared" si="1215"/>
        <v>09940003468</v>
      </c>
      <c r="B3438" s="7" t="str">
        <f t="shared" si="1216"/>
        <v>堺新金岡３丁８番（旧　金岡東第４）</v>
      </c>
      <c r="C3438" s="7" t="str">
        <f t="shared" si="1209"/>
        <v>行政財産</v>
      </c>
      <c r="D3438" s="7" t="str">
        <f t="shared" si="1196"/>
        <v>公営住宅</v>
      </c>
      <c r="E3438" s="7" t="str">
        <f t="shared" si="1217"/>
        <v>大阪府堺市　北区新金岡町３丁</v>
      </c>
      <c r="F3438" s="7"/>
      <c r="G3438" s="7" t="str">
        <f t="shared" si="1207"/>
        <v>事業用資産</v>
      </c>
      <c r="H3438" s="7" t="str">
        <f t="shared" si="1202"/>
        <v>棚卸以外</v>
      </c>
      <c r="I3438" s="7">
        <v>15</v>
      </c>
      <c r="J3438" s="7" t="str">
        <f>"受水槽・ポンプ室（電気室と同一棟）"</f>
        <v>受水槽・ポンプ室（電気室と同一棟）</v>
      </c>
      <c r="K3438" s="7" t="str">
        <f t="shared" si="1214"/>
        <v>鉄筋コンクリート造</v>
      </c>
      <c r="L3438" s="7" t="str">
        <f>"H28.03.01"</f>
        <v>H28.03.01</v>
      </c>
      <c r="M3438" s="7">
        <v>82.88</v>
      </c>
      <c r="N3438" s="7">
        <v>33486293</v>
      </c>
      <c r="O3438" s="7">
        <v>4987332</v>
      </c>
      <c r="P3438" s="7">
        <v>0</v>
      </c>
      <c r="Q3438" s="7" t="str">
        <f t="shared" si="1210"/>
        <v>都市整備部</v>
      </c>
      <c r="R3438" s="7" t="str">
        <f t="shared" si="1208"/>
        <v>住宅建築局住宅経営室</v>
      </c>
    </row>
    <row r="3439" spans="1:18" s="1" customFormat="1" x14ac:dyDescent="0.45">
      <c r="A3439" s="7" t="str">
        <f t="shared" si="1215"/>
        <v>09940003468</v>
      </c>
      <c r="B3439" s="7" t="str">
        <f t="shared" si="1216"/>
        <v>堺新金岡３丁８番（旧　金岡東第４）</v>
      </c>
      <c r="C3439" s="7" t="str">
        <f t="shared" si="1209"/>
        <v>行政財産</v>
      </c>
      <c r="D3439" s="7" t="str">
        <f t="shared" si="1196"/>
        <v>公営住宅</v>
      </c>
      <c r="E3439" s="7" t="str">
        <f t="shared" si="1217"/>
        <v>大阪府堺市　北区新金岡町３丁</v>
      </c>
      <c r="F3439" s="7"/>
      <c r="G3439" s="7" t="str">
        <f t="shared" si="1207"/>
        <v>事業用資産</v>
      </c>
      <c r="H3439" s="7" t="str">
        <f t="shared" si="1202"/>
        <v>棚卸以外</v>
      </c>
      <c r="I3439" s="7">
        <v>16</v>
      </c>
      <c r="J3439" s="7" t="str">
        <f>"集会所・巡回員管理人室"</f>
        <v>集会所・巡回員管理人室</v>
      </c>
      <c r="K3439" s="7" t="str">
        <f t="shared" si="1214"/>
        <v>鉄筋コンクリート造</v>
      </c>
      <c r="L3439" s="7" t="str">
        <f>"H30.03.09"</f>
        <v>H30.03.09</v>
      </c>
      <c r="M3439" s="7">
        <v>216.91</v>
      </c>
      <c r="N3439" s="7">
        <v>81073760</v>
      </c>
      <c r="O3439" s="7">
        <v>8624880</v>
      </c>
      <c r="P3439" s="7">
        <v>0</v>
      </c>
      <c r="Q3439" s="7" t="str">
        <f t="shared" si="1210"/>
        <v>都市整備部</v>
      </c>
      <c r="R3439" s="7" t="str">
        <f t="shared" si="1208"/>
        <v>住宅建築局住宅経営室</v>
      </c>
    </row>
    <row r="3440" spans="1:18" s="1" customFormat="1" x14ac:dyDescent="0.45">
      <c r="A3440" s="7" t="str">
        <f t="shared" ref="A3440:A3446" si="1218">"09940003469"</f>
        <v>09940003469</v>
      </c>
      <c r="B3440" s="7" t="str">
        <f t="shared" ref="B3440:B3446" si="1219">"宮山台第１"</f>
        <v>宮山台第１</v>
      </c>
      <c r="C3440" s="7" t="str">
        <f t="shared" si="1209"/>
        <v>行政財産</v>
      </c>
      <c r="D3440" s="7" t="str">
        <f t="shared" si="1196"/>
        <v>公営住宅</v>
      </c>
      <c r="E3440" s="7" t="str">
        <f t="shared" ref="E3440:E3446" si="1220">"大阪府堺市　南区宮山台１丁"</f>
        <v>大阪府堺市　南区宮山台１丁</v>
      </c>
      <c r="F3440" s="7"/>
      <c r="G3440" s="7" t="str">
        <f t="shared" si="1207"/>
        <v>事業用資産</v>
      </c>
      <c r="H3440" s="7" t="str">
        <f t="shared" si="1202"/>
        <v>棚卸以外</v>
      </c>
      <c r="I3440" s="7">
        <v>1</v>
      </c>
      <c r="J3440" s="7" t="str">
        <f>"１２～１５号棟"</f>
        <v>１２～１５号棟</v>
      </c>
      <c r="K3440" s="7" t="str">
        <f t="shared" si="1214"/>
        <v>鉄筋コンクリート造</v>
      </c>
      <c r="L3440" s="7" t="str">
        <f>"S47.03.24"</f>
        <v>S47.03.24</v>
      </c>
      <c r="M3440" s="7">
        <v>6145.42</v>
      </c>
      <c r="N3440" s="7">
        <v>348855845</v>
      </c>
      <c r="O3440" s="7">
        <v>251408440</v>
      </c>
      <c r="P3440" s="7">
        <v>0</v>
      </c>
      <c r="Q3440" s="7" t="str">
        <f t="shared" si="1210"/>
        <v>都市整備部</v>
      </c>
      <c r="R3440" s="7" t="str">
        <f t="shared" si="1208"/>
        <v>住宅建築局住宅経営室</v>
      </c>
    </row>
    <row r="3441" spans="1:18" s="1" customFormat="1" x14ac:dyDescent="0.45">
      <c r="A3441" s="7" t="str">
        <f t="shared" si="1218"/>
        <v>09940003469</v>
      </c>
      <c r="B3441" s="7" t="str">
        <f t="shared" si="1219"/>
        <v>宮山台第１</v>
      </c>
      <c r="C3441" s="7" t="str">
        <f t="shared" si="1209"/>
        <v>行政財産</v>
      </c>
      <c r="D3441" s="7" t="str">
        <f t="shared" si="1196"/>
        <v>公営住宅</v>
      </c>
      <c r="E3441" s="7" t="str">
        <f t="shared" si="1220"/>
        <v>大阪府堺市　南区宮山台１丁</v>
      </c>
      <c r="F3441" s="7"/>
      <c r="G3441" s="7" t="str">
        <f t="shared" si="1207"/>
        <v>事業用資産</v>
      </c>
      <c r="H3441" s="7" t="str">
        <f t="shared" si="1202"/>
        <v>棚卸以外</v>
      </c>
      <c r="I3441" s="7">
        <v>2</v>
      </c>
      <c r="J3441" s="7" t="str">
        <f>"１～１１号棟"</f>
        <v>１～１１号棟</v>
      </c>
      <c r="K3441" s="7" t="str">
        <f t="shared" si="1214"/>
        <v>鉄筋コンクリート造</v>
      </c>
      <c r="L3441" s="7" t="str">
        <f>"S44.01.31"</f>
        <v>S44.01.31</v>
      </c>
      <c r="M3441" s="7">
        <v>18184.259999999998</v>
      </c>
      <c r="N3441" s="7">
        <v>413272872</v>
      </c>
      <c r="O3441" s="7">
        <v>398147991</v>
      </c>
      <c r="P3441" s="7">
        <v>0</v>
      </c>
      <c r="Q3441" s="7" t="str">
        <f t="shared" si="1210"/>
        <v>都市整備部</v>
      </c>
      <c r="R3441" s="7" t="str">
        <f t="shared" si="1208"/>
        <v>住宅建築局住宅経営室</v>
      </c>
    </row>
    <row r="3442" spans="1:18" s="1" customFormat="1" x14ac:dyDescent="0.45">
      <c r="A3442" s="7" t="str">
        <f t="shared" si="1218"/>
        <v>09940003469</v>
      </c>
      <c r="B3442" s="7" t="str">
        <f t="shared" si="1219"/>
        <v>宮山台第１</v>
      </c>
      <c r="C3442" s="7" t="str">
        <f t="shared" si="1209"/>
        <v>行政財産</v>
      </c>
      <c r="D3442" s="7" t="str">
        <f t="shared" ref="D3442:D3505" si="1221">"公営住宅"</f>
        <v>公営住宅</v>
      </c>
      <c r="E3442" s="7" t="str">
        <f t="shared" si="1220"/>
        <v>大阪府堺市　南区宮山台１丁</v>
      </c>
      <c r="F3442" s="7"/>
      <c r="G3442" s="7" t="str">
        <f t="shared" si="1207"/>
        <v>事業用資産</v>
      </c>
      <c r="H3442" s="7" t="str">
        <f t="shared" si="1202"/>
        <v>棚卸以外</v>
      </c>
      <c r="I3442" s="7">
        <v>3</v>
      </c>
      <c r="J3442" s="7" t="str">
        <f>"１号棟増築分"</f>
        <v>１号棟増築分</v>
      </c>
      <c r="K3442" s="7" t="str">
        <f t="shared" si="1214"/>
        <v>鉄筋コンクリート造</v>
      </c>
      <c r="L3442" s="7" t="str">
        <f>"H04.05.01"</f>
        <v>H04.05.01</v>
      </c>
      <c r="M3442" s="7">
        <v>410.11</v>
      </c>
      <c r="N3442" s="7">
        <v>70480000</v>
      </c>
      <c r="O3442" s="7">
        <v>46237050</v>
      </c>
      <c r="P3442" s="7">
        <v>0</v>
      </c>
      <c r="Q3442" s="7" t="str">
        <f t="shared" si="1210"/>
        <v>都市整備部</v>
      </c>
      <c r="R3442" s="7" t="str">
        <f t="shared" si="1208"/>
        <v>住宅建築局住宅経営室</v>
      </c>
    </row>
    <row r="3443" spans="1:18" s="1" customFormat="1" x14ac:dyDescent="0.45">
      <c r="A3443" s="7" t="str">
        <f t="shared" si="1218"/>
        <v>09940003469</v>
      </c>
      <c r="B3443" s="7" t="str">
        <f t="shared" si="1219"/>
        <v>宮山台第１</v>
      </c>
      <c r="C3443" s="7" t="str">
        <f t="shared" si="1209"/>
        <v>行政財産</v>
      </c>
      <c r="D3443" s="7" t="str">
        <f t="shared" si="1221"/>
        <v>公営住宅</v>
      </c>
      <c r="E3443" s="7" t="str">
        <f t="shared" si="1220"/>
        <v>大阪府堺市　南区宮山台１丁</v>
      </c>
      <c r="F3443" s="7"/>
      <c r="G3443" s="7" t="str">
        <f t="shared" si="1207"/>
        <v>事業用資産</v>
      </c>
      <c r="H3443" s="7" t="str">
        <f t="shared" si="1202"/>
        <v>棚卸以外</v>
      </c>
      <c r="I3443" s="7">
        <v>4</v>
      </c>
      <c r="J3443" s="7" t="str">
        <f>"２号棟増築分"</f>
        <v>２号棟増築分</v>
      </c>
      <c r="K3443" s="7" t="str">
        <f t="shared" si="1214"/>
        <v>鉄筋コンクリート造</v>
      </c>
      <c r="L3443" s="7" t="str">
        <f>"H04.05.01"</f>
        <v>H04.05.01</v>
      </c>
      <c r="M3443" s="7">
        <v>956.42</v>
      </c>
      <c r="N3443" s="7">
        <v>151550000</v>
      </c>
      <c r="O3443" s="7">
        <v>99421220</v>
      </c>
      <c r="P3443" s="7">
        <v>0</v>
      </c>
      <c r="Q3443" s="7" t="str">
        <f t="shared" si="1210"/>
        <v>都市整備部</v>
      </c>
      <c r="R3443" s="7" t="str">
        <f t="shared" si="1208"/>
        <v>住宅建築局住宅経営室</v>
      </c>
    </row>
    <row r="3444" spans="1:18" s="1" customFormat="1" x14ac:dyDescent="0.45">
      <c r="A3444" s="7" t="str">
        <f t="shared" si="1218"/>
        <v>09940003469</v>
      </c>
      <c r="B3444" s="7" t="str">
        <f t="shared" si="1219"/>
        <v>宮山台第１</v>
      </c>
      <c r="C3444" s="7" t="str">
        <f t="shared" si="1209"/>
        <v>行政財産</v>
      </c>
      <c r="D3444" s="7" t="str">
        <f t="shared" si="1221"/>
        <v>公営住宅</v>
      </c>
      <c r="E3444" s="7" t="str">
        <f t="shared" si="1220"/>
        <v>大阪府堺市　南区宮山台１丁</v>
      </c>
      <c r="F3444" s="7"/>
      <c r="G3444" s="7" t="str">
        <f t="shared" si="1207"/>
        <v>事業用資産</v>
      </c>
      <c r="H3444" s="7" t="str">
        <f t="shared" si="1202"/>
        <v>棚卸以外</v>
      </c>
      <c r="I3444" s="7">
        <v>5</v>
      </c>
      <c r="J3444" s="7" t="str">
        <f>"１０号棟増築分"</f>
        <v>１０号棟増築分</v>
      </c>
      <c r="K3444" s="7" t="str">
        <f t="shared" si="1214"/>
        <v>鉄筋コンクリート造</v>
      </c>
      <c r="L3444" s="7" t="str">
        <f>"H04.05.01"</f>
        <v>H04.05.01</v>
      </c>
      <c r="M3444" s="7">
        <v>717.18</v>
      </c>
      <c r="N3444" s="7">
        <v>112090000</v>
      </c>
      <c r="O3444" s="7">
        <v>73534540</v>
      </c>
      <c r="P3444" s="7">
        <v>0</v>
      </c>
      <c r="Q3444" s="7" t="str">
        <f t="shared" si="1210"/>
        <v>都市整備部</v>
      </c>
      <c r="R3444" s="7" t="str">
        <f t="shared" si="1208"/>
        <v>住宅建築局住宅経営室</v>
      </c>
    </row>
    <row r="3445" spans="1:18" s="1" customFormat="1" x14ac:dyDescent="0.45">
      <c r="A3445" s="7" t="str">
        <f t="shared" si="1218"/>
        <v>09940003469</v>
      </c>
      <c r="B3445" s="7" t="str">
        <f t="shared" si="1219"/>
        <v>宮山台第１</v>
      </c>
      <c r="C3445" s="7" t="str">
        <f t="shared" si="1209"/>
        <v>行政財産</v>
      </c>
      <c r="D3445" s="7" t="str">
        <f t="shared" si="1221"/>
        <v>公営住宅</v>
      </c>
      <c r="E3445" s="7" t="str">
        <f t="shared" si="1220"/>
        <v>大阪府堺市　南区宮山台１丁</v>
      </c>
      <c r="F3445" s="7"/>
      <c r="G3445" s="7" t="str">
        <f t="shared" si="1207"/>
        <v>事業用資産</v>
      </c>
      <c r="H3445" s="7" t="str">
        <f t="shared" si="1202"/>
        <v>棚卸以外</v>
      </c>
      <c r="I3445" s="7">
        <v>6</v>
      </c>
      <c r="J3445" s="7" t="str">
        <f>"１１号棟増築分"</f>
        <v>１１号棟増築分</v>
      </c>
      <c r="K3445" s="7" t="str">
        <f t="shared" si="1214"/>
        <v>鉄筋コンクリート造</v>
      </c>
      <c r="L3445" s="7" t="str">
        <f>"H04.05.01"</f>
        <v>H04.05.01</v>
      </c>
      <c r="M3445" s="7">
        <v>717.18</v>
      </c>
      <c r="N3445" s="7">
        <v>112090000</v>
      </c>
      <c r="O3445" s="7">
        <v>73534540</v>
      </c>
      <c r="P3445" s="7">
        <v>0</v>
      </c>
      <c r="Q3445" s="7" t="str">
        <f t="shared" si="1210"/>
        <v>都市整備部</v>
      </c>
      <c r="R3445" s="7" t="str">
        <f t="shared" si="1208"/>
        <v>住宅建築局住宅経営室</v>
      </c>
    </row>
    <row r="3446" spans="1:18" s="1" customFormat="1" x14ac:dyDescent="0.45">
      <c r="A3446" s="7" t="str">
        <f t="shared" si="1218"/>
        <v>09940003469</v>
      </c>
      <c r="B3446" s="7" t="str">
        <f t="shared" si="1219"/>
        <v>宮山台第１</v>
      </c>
      <c r="C3446" s="7" t="str">
        <f t="shared" si="1209"/>
        <v>行政財産</v>
      </c>
      <c r="D3446" s="7" t="str">
        <f t="shared" si="1221"/>
        <v>公営住宅</v>
      </c>
      <c r="E3446" s="7" t="str">
        <f t="shared" si="1220"/>
        <v>大阪府堺市　南区宮山台１丁</v>
      </c>
      <c r="F3446" s="7"/>
      <c r="G3446" s="7" t="str">
        <f t="shared" si="1207"/>
        <v>事業用資産</v>
      </c>
      <c r="H3446" s="7" t="str">
        <f t="shared" si="1202"/>
        <v>棚卸以外</v>
      </c>
      <c r="I3446" s="7">
        <v>7</v>
      </c>
      <c r="J3446" s="7" t="str">
        <f>"集会所"</f>
        <v>集会所</v>
      </c>
      <c r="K3446" s="7" t="str">
        <f t="shared" si="1214"/>
        <v>鉄筋コンクリート造</v>
      </c>
      <c r="L3446" s="7" t="str">
        <f>"H07.03.31"</f>
        <v>H07.03.31</v>
      </c>
      <c r="M3446" s="7">
        <v>106.68</v>
      </c>
      <c r="N3446" s="7">
        <v>17581000</v>
      </c>
      <c r="O3446" s="7">
        <v>10473792</v>
      </c>
      <c r="P3446" s="7">
        <v>0</v>
      </c>
      <c r="Q3446" s="7" t="str">
        <f t="shared" si="1210"/>
        <v>都市整備部</v>
      </c>
      <c r="R3446" s="7" t="str">
        <f t="shared" si="1208"/>
        <v>住宅建築局住宅経営室</v>
      </c>
    </row>
    <row r="3447" spans="1:18" s="1" customFormat="1" x14ac:dyDescent="0.45">
      <c r="A3447" s="7" t="str">
        <f t="shared" ref="A3447:A3454" si="1222">"09940003470"</f>
        <v>09940003470</v>
      </c>
      <c r="B3447" s="7" t="str">
        <f t="shared" ref="B3447:B3454" si="1223">"岸和田下池田（旧久米田第４）"</f>
        <v>岸和田下池田（旧久米田第４）</v>
      </c>
      <c r="C3447" s="7" t="str">
        <f t="shared" si="1209"/>
        <v>行政財産</v>
      </c>
      <c r="D3447" s="7" t="str">
        <f t="shared" si="1221"/>
        <v>公営住宅</v>
      </c>
      <c r="E3447" s="7" t="str">
        <f t="shared" ref="E3447:E3454" si="1224">"大阪府岸和田市下池田町３丁目"</f>
        <v>大阪府岸和田市下池田町３丁目</v>
      </c>
      <c r="F3447" s="7"/>
      <c r="G3447" s="7" t="str">
        <f t="shared" si="1207"/>
        <v>事業用資産</v>
      </c>
      <c r="H3447" s="7" t="str">
        <f t="shared" si="1202"/>
        <v>棚卸以外</v>
      </c>
      <c r="I3447" s="7">
        <v>1</v>
      </c>
      <c r="J3447" s="7" t="str">
        <f>"１号棟"</f>
        <v>１号棟</v>
      </c>
      <c r="K3447" s="7" t="str">
        <f t="shared" si="1214"/>
        <v>鉄筋コンクリート造</v>
      </c>
      <c r="L3447" s="7" t="str">
        <f>"H17.11.29"</f>
        <v>H17.11.29</v>
      </c>
      <c r="M3447" s="7">
        <v>11474.27</v>
      </c>
      <c r="N3447" s="7">
        <v>1715532768</v>
      </c>
      <c r="O3447" s="7">
        <v>637231006</v>
      </c>
      <c r="P3447" s="7">
        <v>0</v>
      </c>
      <c r="Q3447" s="7" t="str">
        <f t="shared" si="1210"/>
        <v>都市整備部</v>
      </c>
      <c r="R3447" s="7" t="str">
        <f t="shared" si="1208"/>
        <v>住宅建築局住宅経営室</v>
      </c>
    </row>
    <row r="3448" spans="1:18" s="1" customFormat="1" x14ac:dyDescent="0.45">
      <c r="A3448" s="7" t="str">
        <f t="shared" si="1222"/>
        <v>09940003470</v>
      </c>
      <c r="B3448" s="7" t="str">
        <f t="shared" si="1223"/>
        <v>岸和田下池田（旧久米田第４）</v>
      </c>
      <c r="C3448" s="7" t="str">
        <f t="shared" si="1209"/>
        <v>行政財産</v>
      </c>
      <c r="D3448" s="7" t="str">
        <f t="shared" si="1221"/>
        <v>公営住宅</v>
      </c>
      <c r="E3448" s="7" t="str">
        <f t="shared" si="1224"/>
        <v>大阪府岸和田市下池田町３丁目</v>
      </c>
      <c r="F3448" s="7"/>
      <c r="G3448" s="7" t="str">
        <f t="shared" si="1207"/>
        <v>事業用資産</v>
      </c>
      <c r="H3448" s="7" t="str">
        <f t="shared" si="1202"/>
        <v>棚卸以外</v>
      </c>
      <c r="I3448" s="7">
        <v>2</v>
      </c>
      <c r="J3448" s="7" t="str">
        <f>"受水槽ポンプ室・電気室"</f>
        <v>受水槽ポンプ室・電気室</v>
      </c>
      <c r="K3448" s="7" t="str">
        <f t="shared" si="1214"/>
        <v>鉄筋コンクリート造</v>
      </c>
      <c r="L3448" s="7" t="str">
        <f>"H17.11.29"</f>
        <v>H17.11.29</v>
      </c>
      <c r="M3448" s="7">
        <v>95.63</v>
      </c>
      <c r="N3448" s="7">
        <v>28239000</v>
      </c>
      <c r="O3448" s="7">
        <v>10414560</v>
      </c>
      <c r="P3448" s="7">
        <v>0</v>
      </c>
      <c r="Q3448" s="7" t="str">
        <f t="shared" si="1210"/>
        <v>都市整備部</v>
      </c>
      <c r="R3448" s="7" t="str">
        <f t="shared" si="1208"/>
        <v>住宅建築局住宅経営室</v>
      </c>
    </row>
    <row r="3449" spans="1:18" s="1" customFormat="1" x14ac:dyDescent="0.45">
      <c r="A3449" s="7" t="str">
        <f t="shared" si="1222"/>
        <v>09940003470</v>
      </c>
      <c r="B3449" s="7" t="str">
        <f t="shared" si="1223"/>
        <v>岸和田下池田（旧久米田第４）</v>
      </c>
      <c r="C3449" s="7" t="str">
        <f t="shared" si="1209"/>
        <v>行政財産</v>
      </c>
      <c r="D3449" s="7" t="str">
        <f t="shared" si="1221"/>
        <v>公営住宅</v>
      </c>
      <c r="E3449" s="7" t="str">
        <f t="shared" si="1224"/>
        <v>大阪府岸和田市下池田町３丁目</v>
      </c>
      <c r="F3449" s="7"/>
      <c r="G3449" s="7" t="str">
        <f t="shared" si="1207"/>
        <v>事業用資産</v>
      </c>
      <c r="H3449" s="7" t="str">
        <f t="shared" si="1202"/>
        <v>棚卸以外</v>
      </c>
      <c r="I3449" s="7">
        <v>3</v>
      </c>
      <c r="J3449" s="7" t="str">
        <f>"２号棟"</f>
        <v>２号棟</v>
      </c>
      <c r="K3449" s="7" t="str">
        <f t="shared" si="1214"/>
        <v>鉄筋コンクリート造</v>
      </c>
      <c r="L3449" s="7" t="str">
        <f t="shared" ref="L3449:L3454" si="1225">"H21.11.27"</f>
        <v>H21.11.27</v>
      </c>
      <c r="M3449" s="7">
        <v>7504.6</v>
      </c>
      <c r="N3449" s="7">
        <v>1748838593</v>
      </c>
      <c r="O3449" s="7">
        <v>497015646</v>
      </c>
      <c r="P3449" s="7">
        <v>0</v>
      </c>
      <c r="Q3449" s="7" t="str">
        <f t="shared" si="1210"/>
        <v>都市整備部</v>
      </c>
      <c r="R3449" s="7" t="str">
        <f t="shared" si="1208"/>
        <v>住宅建築局住宅経営室</v>
      </c>
    </row>
    <row r="3450" spans="1:18" s="1" customFormat="1" x14ac:dyDescent="0.45">
      <c r="A3450" s="7" t="str">
        <f t="shared" si="1222"/>
        <v>09940003470</v>
      </c>
      <c r="B3450" s="7" t="str">
        <f t="shared" si="1223"/>
        <v>岸和田下池田（旧久米田第４）</v>
      </c>
      <c r="C3450" s="7" t="str">
        <f t="shared" si="1209"/>
        <v>行政財産</v>
      </c>
      <c r="D3450" s="7" t="str">
        <f t="shared" si="1221"/>
        <v>公営住宅</v>
      </c>
      <c r="E3450" s="7" t="str">
        <f t="shared" si="1224"/>
        <v>大阪府岸和田市下池田町３丁目</v>
      </c>
      <c r="F3450" s="7"/>
      <c r="G3450" s="7" t="str">
        <f t="shared" si="1207"/>
        <v>事業用資産</v>
      </c>
      <c r="H3450" s="7" t="str">
        <f t="shared" si="1202"/>
        <v>棚卸以外</v>
      </c>
      <c r="I3450" s="7">
        <v>4</v>
      </c>
      <c r="J3450" s="7" t="str">
        <f>"３号棟"</f>
        <v>３号棟</v>
      </c>
      <c r="K3450" s="7" t="str">
        <f t="shared" si="1214"/>
        <v>鉄筋コンクリート造</v>
      </c>
      <c r="L3450" s="7" t="str">
        <f t="shared" si="1225"/>
        <v>H21.11.27</v>
      </c>
      <c r="M3450" s="7">
        <v>6357.25</v>
      </c>
      <c r="N3450" s="7">
        <v>1481946593</v>
      </c>
      <c r="O3450" s="7">
        <v>421301566</v>
      </c>
      <c r="P3450" s="7">
        <v>0</v>
      </c>
      <c r="Q3450" s="7" t="str">
        <f t="shared" si="1210"/>
        <v>都市整備部</v>
      </c>
      <c r="R3450" s="7" t="str">
        <f t="shared" si="1208"/>
        <v>住宅建築局住宅経営室</v>
      </c>
    </row>
    <row r="3451" spans="1:18" s="1" customFormat="1" x14ac:dyDescent="0.45">
      <c r="A3451" s="7" t="str">
        <f t="shared" si="1222"/>
        <v>09940003470</v>
      </c>
      <c r="B3451" s="7" t="str">
        <f t="shared" si="1223"/>
        <v>岸和田下池田（旧久米田第４）</v>
      </c>
      <c r="C3451" s="7" t="str">
        <f t="shared" si="1209"/>
        <v>行政財産</v>
      </c>
      <c r="D3451" s="7" t="str">
        <f t="shared" si="1221"/>
        <v>公営住宅</v>
      </c>
      <c r="E3451" s="7" t="str">
        <f t="shared" si="1224"/>
        <v>大阪府岸和田市下池田町３丁目</v>
      </c>
      <c r="F3451" s="7"/>
      <c r="G3451" s="7" t="str">
        <f t="shared" si="1207"/>
        <v>事業用資産</v>
      </c>
      <c r="H3451" s="7" t="str">
        <f t="shared" si="1202"/>
        <v>棚卸以外</v>
      </c>
      <c r="I3451" s="7">
        <v>5</v>
      </c>
      <c r="J3451" s="7" t="str">
        <f>"電気室"</f>
        <v>電気室</v>
      </c>
      <c r="K3451" s="7" t="str">
        <f t="shared" si="1214"/>
        <v>鉄筋コンクリート造</v>
      </c>
      <c r="L3451" s="7" t="str">
        <f t="shared" si="1225"/>
        <v>H21.11.27</v>
      </c>
      <c r="M3451" s="7">
        <v>33</v>
      </c>
      <c r="N3451" s="7">
        <v>7676000</v>
      </c>
      <c r="O3451" s="7">
        <v>2177600</v>
      </c>
      <c r="P3451" s="7">
        <v>0</v>
      </c>
      <c r="Q3451" s="7" t="str">
        <f t="shared" si="1210"/>
        <v>都市整備部</v>
      </c>
      <c r="R3451" s="7" t="str">
        <f t="shared" si="1208"/>
        <v>住宅建築局住宅経営室</v>
      </c>
    </row>
    <row r="3452" spans="1:18" s="1" customFormat="1" x14ac:dyDescent="0.45">
      <c r="A3452" s="7" t="str">
        <f t="shared" si="1222"/>
        <v>09940003470</v>
      </c>
      <c r="B3452" s="7" t="str">
        <f t="shared" si="1223"/>
        <v>岸和田下池田（旧久米田第４）</v>
      </c>
      <c r="C3452" s="7" t="str">
        <f t="shared" si="1209"/>
        <v>行政財産</v>
      </c>
      <c r="D3452" s="7" t="str">
        <f t="shared" si="1221"/>
        <v>公営住宅</v>
      </c>
      <c r="E3452" s="7" t="str">
        <f t="shared" si="1224"/>
        <v>大阪府岸和田市下池田町３丁目</v>
      </c>
      <c r="F3452" s="7"/>
      <c r="G3452" s="7" t="str">
        <f t="shared" si="1207"/>
        <v>事業用資産</v>
      </c>
      <c r="H3452" s="7" t="str">
        <f t="shared" si="1202"/>
        <v>棚卸以外</v>
      </c>
      <c r="I3452" s="7">
        <v>6</v>
      </c>
      <c r="J3452" s="7" t="str">
        <f>"受水槽ポンプ室"</f>
        <v>受水槽ポンプ室</v>
      </c>
      <c r="K3452" s="7" t="str">
        <f t="shared" si="1214"/>
        <v>鉄筋コンクリート造</v>
      </c>
      <c r="L3452" s="7" t="str">
        <f t="shared" si="1225"/>
        <v>H21.11.27</v>
      </c>
      <c r="M3452" s="7">
        <v>36</v>
      </c>
      <c r="N3452" s="7">
        <v>8374000</v>
      </c>
      <c r="O3452" s="7">
        <v>2375680</v>
      </c>
      <c r="P3452" s="7">
        <v>0</v>
      </c>
      <c r="Q3452" s="7" t="str">
        <f t="shared" si="1210"/>
        <v>都市整備部</v>
      </c>
      <c r="R3452" s="7" t="str">
        <f t="shared" si="1208"/>
        <v>住宅建築局住宅経営室</v>
      </c>
    </row>
    <row r="3453" spans="1:18" s="1" customFormat="1" x14ac:dyDescent="0.45">
      <c r="A3453" s="7" t="str">
        <f t="shared" si="1222"/>
        <v>09940003470</v>
      </c>
      <c r="B3453" s="7" t="str">
        <f t="shared" si="1223"/>
        <v>岸和田下池田（旧久米田第４）</v>
      </c>
      <c r="C3453" s="7" t="str">
        <f t="shared" si="1209"/>
        <v>行政財産</v>
      </c>
      <c r="D3453" s="7" t="str">
        <f t="shared" si="1221"/>
        <v>公営住宅</v>
      </c>
      <c r="E3453" s="7" t="str">
        <f t="shared" si="1224"/>
        <v>大阪府岸和田市下池田町３丁目</v>
      </c>
      <c r="F3453" s="7"/>
      <c r="G3453" s="7" t="str">
        <f t="shared" si="1207"/>
        <v>事業用資産</v>
      </c>
      <c r="H3453" s="7" t="str">
        <f t="shared" si="1202"/>
        <v>棚卸以外</v>
      </c>
      <c r="I3453" s="7">
        <v>7</v>
      </c>
      <c r="J3453" s="7" t="str">
        <f>"受水槽ポンプ室"</f>
        <v>受水槽ポンプ室</v>
      </c>
      <c r="K3453" s="7" t="str">
        <f t="shared" si="1214"/>
        <v>鉄筋コンクリート造</v>
      </c>
      <c r="L3453" s="7" t="str">
        <f t="shared" si="1225"/>
        <v>H21.11.27</v>
      </c>
      <c r="M3453" s="7">
        <v>38.5</v>
      </c>
      <c r="N3453" s="7">
        <v>8956000</v>
      </c>
      <c r="O3453" s="7">
        <v>2540800</v>
      </c>
      <c r="P3453" s="7">
        <v>0</v>
      </c>
      <c r="Q3453" s="7" t="str">
        <f t="shared" si="1210"/>
        <v>都市整備部</v>
      </c>
      <c r="R3453" s="7" t="str">
        <f t="shared" si="1208"/>
        <v>住宅建築局住宅経営室</v>
      </c>
    </row>
    <row r="3454" spans="1:18" s="1" customFormat="1" x14ac:dyDescent="0.45">
      <c r="A3454" s="7" t="str">
        <f t="shared" si="1222"/>
        <v>09940003470</v>
      </c>
      <c r="B3454" s="7" t="str">
        <f t="shared" si="1223"/>
        <v>岸和田下池田（旧久米田第４）</v>
      </c>
      <c r="C3454" s="7" t="str">
        <f t="shared" si="1209"/>
        <v>行政財産</v>
      </c>
      <c r="D3454" s="7" t="str">
        <f t="shared" si="1221"/>
        <v>公営住宅</v>
      </c>
      <c r="E3454" s="7" t="str">
        <f t="shared" si="1224"/>
        <v>大阪府岸和田市下池田町３丁目</v>
      </c>
      <c r="F3454" s="7"/>
      <c r="G3454" s="7" t="str">
        <f t="shared" si="1207"/>
        <v>事業用資産</v>
      </c>
      <c r="H3454" s="7" t="str">
        <f t="shared" si="1202"/>
        <v>棚卸以外</v>
      </c>
      <c r="I3454" s="7">
        <v>8</v>
      </c>
      <c r="J3454" s="7" t="str">
        <f>"集会所"</f>
        <v>集会所</v>
      </c>
      <c r="K3454" s="7" t="str">
        <f t="shared" si="1214"/>
        <v>鉄筋コンクリート造</v>
      </c>
      <c r="L3454" s="7" t="str">
        <f t="shared" si="1225"/>
        <v>H21.11.27</v>
      </c>
      <c r="M3454" s="7">
        <v>161.44999999999999</v>
      </c>
      <c r="N3454" s="7">
        <v>37556000</v>
      </c>
      <c r="O3454" s="7">
        <v>10654240</v>
      </c>
      <c r="P3454" s="7">
        <v>0</v>
      </c>
      <c r="Q3454" s="7" t="str">
        <f t="shared" si="1210"/>
        <v>都市整備部</v>
      </c>
      <c r="R3454" s="7" t="str">
        <f t="shared" si="1208"/>
        <v>住宅建築局住宅経営室</v>
      </c>
    </row>
    <row r="3455" spans="1:18" s="1" customFormat="1" x14ac:dyDescent="0.45">
      <c r="A3455" s="7" t="str">
        <f t="shared" ref="A3455:A3464" si="1226">"09940003471"</f>
        <v>09940003471</v>
      </c>
      <c r="B3455" s="7" t="str">
        <f t="shared" ref="B3455:B3464" si="1227">"茨木三島丘"</f>
        <v>茨木三島丘</v>
      </c>
      <c r="C3455" s="7" t="str">
        <f t="shared" si="1209"/>
        <v>行政財産</v>
      </c>
      <c r="D3455" s="7" t="str">
        <f t="shared" si="1221"/>
        <v>公営住宅</v>
      </c>
      <c r="E3455" s="7" t="str">
        <f t="shared" ref="E3455:E3464" si="1228">"大阪府茨木市三島丘２丁目"</f>
        <v>大阪府茨木市三島丘２丁目</v>
      </c>
      <c r="F3455" s="7"/>
      <c r="G3455" s="7" t="str">
        <f t="shared" si="1207"/>
        <v>事業用資産</v>
      </c>
      <c r="H3455" s="7" t="str">
        <f t="shared" si="1202"/>
        <v>棚卸以外</v>
      </c>
      <c r="I3455" s="7">
        <v>1</v>
      </c>
      <c r="J3455" s="7" t="str">
        <f>"１号棟"</f>
        <v>１号棟</v>
      </c>
      <c r="K3455" s="7" t="str">
        <f t="shared" si="1214"/>
        <v>鉄筋コンクリート造</v>
      </c>
      <c r="L3455" s="7" t="str">
        <f>"H09.05.29"</f>
        <v>H09.05.29</v>
      </c>
      <c r="M3455" s="7">
        <v>9292.14</v>
      </c>
      <c r="N3455" s="7">
        <v>1620020001</v>
      </c>
      <c r="O3455" s="7">
        <v>890752450</v>
      </c>
      <c r="P3455" s="7">
        <v>0</v>
      </c>
      <c r="Q3455" s="7" t="str">
        <f t="shared" si="1210"/>
        <v>都市整備部</v>
      </c>
      <c r="R3455" s="7" t="str">
        <f t="shared" si="1208"/>
        <v>住宅建築局住宅経営室</v>
      </c>
    </row>
    <row r="3456" spans="1:18" s="1" customFormat="1" x14ac:dyDescent="0.45">
      <c r="A3456" s="7" t="str">
        <f t="shared" si="1226"/>
        <v>09940003471</v>
      </c>
      <c r="B3456" s="7" t="str">
        <f t="shared" si="1227"/>
        <v>茨木三島丘</v>
      </c>
      <c r="C3456" s="7" t="str">
        <f t="shared" si="1209"/>
        <v>行政財産</v>
      </c>
      <c r="D3456" s="7" t="str">
        <f t="shared" si="1221"/>
        <v>公営住宅</v>
      </c>
      <c r="E3456" s="7" t="str">
        <f t="shared" si="1228"/>
        <v>大阪府茨木市三島丘２丁目</v>
      </c>
      <c r="F3456" s="7"/>
      <c r="G3456" s="7" t="str">
        <f t="shared" si="1207"/>
        <v>事業用資産</v>
      </c>
      <c r="H3456" s="7" t="str">
        <f t="shared" si="1202"/>
        <v>棚卸以外</v>
      </c>
      <c r="I3456" s="7">
        <v>2</v>
      </c>
      <c r="J3456" s="7" t="str">
        <f>"受水槽"</f>
        <v>受水槽</v>
      </c>
      <c r="K3456" s="7" t="str">
        <f t="shared" ref="K3456:K3487" si="1229">"鉄筋コンクリート造"</f>
        <v>鉄筋コンクリート造</v>
      </c>
      <c r="L3456" s="7" t="str">
        <f>"H09.05.29"</f>
        <v>H09.05.29</v>
      </c>
      <c r="M3456" s="7">
        <v>112.19</v>
      </c>
      <c r="N3456" s="7">
        <v>30725000</v>
      </c>
      <c r="O3456" s="7">
        <v>16887870</v>
      </c>
      <c r="P3456" s="7">
        <v>0</v>
      </c>
      <c r="Q3456" s="7" t="str">
        <f t="shared" si="1210"/>
        <v>都市整備部</v>
      </c>
      <c r="R3456" s="7" t="str">
        <f t="shared" si="1208"/>
        <v>住宅建築局住宅経営室</v>
      </c>
    </row>
    <row r="3457" spans="1:18" s="1" customFormat="1" x14ac:dyDescent="0.45">
      <c r="A3457" s="7" t="str">
        <f t="shared" si="1226"/>
        <v>09940003471</v>
      </c>
      <c r="B3457" s="7" t="str">
        <f t="shared" si="1227"/>
        <v>茨木三島丘</v>
      </c>
      <c r="C3457" s="7" t="str">
        <f t="shared" si="1209"/>
        <v>行政財産</v>
      </c>
      <c r="D3457" s="7" t="str">
        <f t="shared" si="1221"/>
        <v>公営住宅</v>
      </c>
      <c r="E3457" s="7" t="str">
        <f t="shared" si="1228"/>
        <v>大阪府茨木市三島丘２丁目</v>
      </c>
      <c r="F3457" s="7"/>
      <c r="G3457" s="7" t="str">
        <f t="shared" si="1207"/>
        <v>事業用資産</v>
      </c>
      <c r="H3457" s="7" t="str">
        <f t="shared" si="1202"/>
        <v>棚卸以外</v>
      </c>
      <c r="I3457" s="7">
        <v>3</v>
      </c>
      <c r="J3457" s="7" t="str">
        <f>"２号棟"</f>
        <v>２号棟</v>
      </c>
      <c r="K3457" s="7" t="str">
        <f t="shared" si="1229"/>
        <v>鉄筋コンクリート造</v>
      </c>
      <c r="L3457" s="7" t="str">
        <f>"H10.06.29"</f>
        <v>H10.06.29</v>
      </c>
      <c r="M3457" s="7">
        <v>7225.72</v>
      </c>
      <c r="N3457" s="7">
        <v>1286714682</v>
      </c>
      <c r="O3457" s="7">
        <v>678220608</v>
      </c>
      <c r="P3457" s="7">
        <v>0</v>
      </c>
      <c r="Q3457" s="7" t="str">
        <f t="shared" si="1210"/>
        <v>都市整備部</v>
      </c>
      <c r="R3457" s="7" t="str">
        <f t="shared" si="1208"/>
        <v>住宅建築局住宅経営室</v>
      </c>
    </row>
    <row r="3458" spans="1:18" s="1" customFormat="1" x14ac:dyDescent="0.45">
      <c r="A3458" s="7" t="str">
        <f t="shared" si="1226"/>
        <v>09940003471</v>
      </c>
      <c r="B3458" s="7" t="str">
        <f t="shared" si="1227"/>
        <v>茨木三島丘</v>
      </c>
      <c r="C3458" s="7" t="str">
        <f t="shared" si="1209"/>
        <v>行政財産</v>
      </c>
      <c r="D3458" s="7" t="str">
        <f t="shared" si="1221"/>
        <v>公営住宅</v>
      </c>
      <c r="E3458" s="7" t="str">
        <f t="shared" si="1228"/>
        <v>大阪府茨木市三島丘２丁目</v>
      </c>
      <c r="F3458" s="7"/>
      <c r="G3458" s="7" t="str">
        <f t="shared" si="1207"/>
        <v>事業用資産</v>
      </c>
      <c r="H3458" s="7" t="str">
        <f t="shared" si="1202"/>
        <v>棚卸以外</v>
      </c>
      <c r="I3458" s="7">
        <v>4</v>
      </c>
      <c r="J3458" s="7" t="str">
        <f>"受水槽ポンプ室・電気室"</f>
        <v>受水槽ポンプ室・電気室</v>
      </c>
      <c r="K3458" s="7" t="str">
        <f t="shared" si="1229"/>
        <v>鉄筋コンクリート造</v>
      </c>
      <c r="L3458" s="7" t="str">
        <f>"H10.06.29"</f>
        <v>H10.06.29</v>
      </c>
      <c r="M3458" s="7">
        <v>173.82</v>
      </c>
      <c r="N3458" s="7">
        <v>42747000</v>
      </c>
      <c r="O3458" s="7">
        <v>22510521</v>
      </c>
      <c r="P3458" s="7">
        <v>0</v>
      </c>
      <c r="Q3458" s="7" t="str">
        <f t="shared" si="1210"/>
        <v>都市整備部</v>
      </c>
      <c r="R3458" s="7" t="str">
        <f t="shared" si="1208"/>
        <v>住宅建築局住宅経営室</v>
      </c>
    </row>
    <row r="3459" spans="1:18" s="1" customFormat="1" x14ac:dyDescent="0.45">
      <c r="A3459" s="7" t="str">
        <f t="shared" si="1226"/>
        <v>09940003471</v>
      </c>
      <c r="B3459" s="7" t="str">
        <f t="shared" si="1227"/>
        <v>茨木三島丘</v>
      </c>
      <c r="C3459" s="7" t="str">
        <f t="shared" si="1209"/>
        <v>行政財産</v>
      </c>
      <c r="D3459" s="7" t="str">
        <f t="shared" si="1221"/>
        <v>公営住宅</v>
      </c>
      <c r="E3459" s="7" t="str">
        <f t="shared" si="1228"/>
        <v>大阪府茨木市三島丘２丁目</v>
      </c>
      <c r="F3459" s="7"/>
      <c r="G3459" s="7" t="str">
        <f t="shared" si="1207"/>
        <v>事業用資産</v>
      </c>
      <c r="H3459" s="7" t="str">
        <f t="shared" si="1202"/>
        <v>棚卸以外</v>
      </c>
      <c r="I3459" s="7">
        <v>5</v>
      </c>
      <c r="J3459" s="7" t="str">
        <f>"集会所"</f>
        <v>集会所</v>
      </c>
      <c r="K3459" s="7" t="str">
        <f t="shared" si="1229"/>
        <v>鉄筋コンクリート造</v>
      </c>
      <c r="L3459" s="7" t="str">
        <f>"H10.06.29"</f>
        <v>H10.06.29</v>
      </c>
      <c r="M3459" s="7">
        <v>149.94</v>
      </c>
      <c r="N3459" s="7">
        <v>35455000</v>
      </c>
      <c r="O3459" s="7">
        <v>18670608</v>
      </c>
      <c r="P3459" s="7">
        <v>0</v>
      </c>
      <c r="Q3459" s="7" t="str">
        <f t="shared" si="1210"/>
        <v>都市整備部</v>
      </c>
      <c r="R3459" s="7" t="str">
        <f t="shared" si="1208"/>
        <v>住宅建築局住宅経営室</v>
      </c>
    </row>
    <row r="3460" spans="1:18" s="1" customFormat="1" x14ac:dyDescent="0.45">
      <c r="A3460" s="7" t="str">
        <f t="shared" si="1226"/>
        <v>09940003471</v>
      </c>
      <c r="B3460" s="7" t="str">
        <f t="shared" si="1227"/>
        <v>茨木三島丘</v>
      </c>
      <c r="C3460" s="7" t="str">
        <f t="shared" si="1209"/>
        <v>行政財産</v>
      </c>
      <c r="D3460" s="7" t="str">
        <f t="shared" si="1221"/>
        <v>公営住宅</v>
      </c>
      <c r="E3460" s="7" t="str">
        <f t="shared" si="1228"/>
        <v>大阪府茨木市三島丘２丁目</v>
      </c>
      <c r="F3460" s="7"/>
      <c r="G3460" s="7" t="str">
        <f t="shared" si="1207"/>
        <v>事業用資産</v>
      </c>
      <c r="H3460" s="7" t="str">
        <f t="shared" ref="H3460:H3523" si="1230">"棚卸以外"</f>
        <v>棚卸以外</v>
      </c>
      <c r="I3460" s="7">
        <v>6</v>
      </c>
      <c r="J3460" s="7" t="str">
        <f>"３号棟"</f>
        <v>３号棟</v>
      </c>
      <c r="K3460" s="7" t="str">
        <f t="shared" si="1229"/>
        <v>鉄筋コンクリート造</v>
      </c>
      <c r="L3460" s="7" t="str">
        <f>"H13.06.29"</f>
        <v>H13.06.29</v>
      </c>
      <c r="M3460" s="7">
        <v>4408.53</v>
      </c>
      <c r="N3460" s="7">
        <v>711109426</v>
      </c>
      <c r="O3460" s="7">
        <v>329654454</v>
      </c>
      <c r="P3460" s="7">
        <v>0</v>
      </c>
      <c r="Q3460" s="7" t="str">
        <f t="shared" si="1210"/>
        <v>都市整備部</v>
      </c>
      <c r="R3460" s="7" t="str">
        <f t="shared" si="1208"/>
        <v>住宅建築局住宅経営室</v>
      </c>
    </row>
    <row r="3461" spans="1:18" s="1" customFormat="1" x14ac:dyDescent="0.45">
      <c r="A3461" s="7" t="str">
        <f t="shared" si="1226"/>
        <v>09940003471</v>
      </c>
      <c r="B3461" s="7" t="str">
        <f t="shared" si="1227"/>
        <v>茨木三島丘</v>
      </c>
      <c r="C3461" s="7" t="str">
        <f t="shared" si="1209"/>
        <v>行政財産</v>
      </c>
      <c r="D3461" s="7" t="str">
        <f t="shared" si="1221"/>
        <v>公営住宅</v>
      </c>
      <c r="E3461" s="7" t="str">
        <f t="shared" si="1228"/>
        <v>大阪府茨木市三島丘２丁目</v>
      </c>
      <c r="F3461" s="7"/>
      <c r="G3461" s="7" t="str">
        <f t="shared" si="1207"/>
        <v>事業用資産</v>
      </c>
      <c r="H3461" s="7" t="str">
        <f t="shared" si="1230"/>
        <v>棚卸以外</v>
      </c>
      <c r="I3461" s="7">
        <v>7</v>
      </c>
      <c r="J3461" s="7" t="str">
        <f>"４号棟"</f>
        <v>４号棟</v>
      </c>
      <c r="K3461" s="7" t="str">
        <f t="shared" si="1229"/>
        <v>鉄筋コンクリート造</v>
      </c>
      <c r="L3461" s="7" t="str">
        <f>"H14.01.08"</f>
        <v>H14.01.08</v>
      </c>
      <c r="M3461" s="7">
        <v>2739</v>
      </c>
      <c r="N3461" s="7">
        <v>435768426</v>
      </c>
      <c r="O3461" s="7">
        <v>196862734</v>
      </c>
      <c r="P3461" s="7">
        <v>0</v>
      </c>
      <c r="Q3461" s="7" t="str">
        <f t="shared" si="1210"/>
        <v>都市整備部</v>
      </c>
      <c r="R3461" s="7" t="str">
        <f t="shared" si="1208"/>
        <v>住宅建築局住宅経営室</v>
      </c>
    </row>
    <row r="3462" spans="1:18" s="1" customFormat="1" x14ac:dyDescent="0.45">
      <c r="A3462" s="7" t="str">
        <f t="shared" si="1226"/>
        <v>09940003471</v>
      </c>
      <c r="B3462" s="7" t="str">
        <f t="shared" si="1227"/>
        <v>茨木三島丘</v>
      </c>
      <c r="C3462" s="7" t="str">
        <f t="shared" si="1209"/>
        <v>行政財産</v>
      </c>
      <c r="D3462" s="7" t="str">
        <f t="shared" si="1221"/>
        <v>公営住宅</v>
      </c>
      <c r="E3462" s="7" t="str">
        <f t="shared" si="1228"/>
        <v>大阪府茨木市三島丘２丁目</v>
      </c>
      <c r="F3462" s="7"/>
      <c r="G3462" s="7" t="str">
        <f t="shared" si="1207"/>
        <v>事業用資産</v>
      </c>
      <c r="H3462" s="7" t="str">
        <f t="shared" si="1230"/>
        <v>棚卸以外</v>
      </c>
      <c r="I3462" s="7">
        <v>8</v>
      </c>
      <c r="J3462" s="7" t="str">
        <f>"受水槽ポンプ室・電気室"</f>
        <v>受水槽ポンプ室・電気室</v>
      </c>
      <c r="K3462" s="7" t="str">
        <f t="shared" si="1229"/>
        <v>鉄筋コンクリート造</v>
      </c>
      <c r="L3462" s="7" t="str">
        <f>"H14.01.08"</f>
        <v>H14.01.08</v>
      </c>
      <c r="M3462" s="7">
        <v>41.68</v>
      </c>
      <c r="N3462" s="7">
        <v>15267000</v>
      </c>
      <c r="O3462" s="7">
        <v>6875780</v>
      </c>
      <c r="P3462" s="7">
        <v>0</v>
      </c>
      <c r="Q3462" s="7" t="str">
        <f t="shared" si="1210"/>
        <v>都市整備部</v>
      </c>
      <c r="R3462" s="7" t="str">
        <f t="shared" si="1208"/>
        <v>住宅建築局住宅経営室</v>
      </c>
    </row>
    <row r="3463" spans="1:18" s="1" customFormat="1" x14ac:dyDescent="0.45">
      <c r="A3463" s="7" t="str">
        <f t="shared" si="1226"/>
        <v>09940003471</v>
      </c>
      <c r="B3463" s="7" t="str">
        <f t="shared" si="1227"/>
        <v>茨木三島丘</v>
      </c>
      <c r="C3463" s="7" t="str">
        <f t="shared" si="1209"/>
        <v>行政財産</v>
      </c>
      <c r="D3463" s="7" t="str">
        <f t="shared" si="1221"/>
        <v>公営住宅</v>
      </c>
      <c r="E3463" s="7" t="str">
        <f t="shared" si="1228"/>
        <v>大阪府茨木市三島丘２丁目</v>
      </c>
      <c r="F3463" s="7"/>
      <c r="G3463" s="7" t="str">
        <f t="shared" si="1207"/>
        <v>事業用資産</v>
      </c>
      <c r="H3463" s="7" t="str">
        <f t="shared" si="1230"/>
        <v>棚卸以外</v>
      </c>
      <c r="I3463" s="7">
        <v>9</v>
      </c>
      <c r="J3463" s="7" t="str">
        <f>"５号棟"</f>
        <v>５号棟</v>
      </c>
      <c r="K3463" s="7" t="str">
        <f t="shared" si="1229"/>
        <v>鉄筋コンクリート造</v>
      </c>
      <c r="L3463" s="7" t="str">
        <f>"H16.07.26"</f>
        <v>H16.07.26</v>
      </c>
      <c r="M3463" s="7">
        <v>1737.39</v>
      </c>
      <c r="N3463" s="7">
        <v>312565171</v>
      </c>
      <c r="O3463" s="7">
        <v>125750280</v>
      </c>
      <c r="P3463" s="7">
        <v>0</v>
      </c>
      <c r="Q3463" s="7" t="str">
        <f t="shared" si="1210"/>
        <v>都市整備部</v>
      </c>
      <c r="R3463" s="7" t="str">
        <f t="shared" si="1208"/>
        <v>住宅建築局住宅経営室</v>
      </c>
    </row>
    <row r="3464" spans="1:18" s="1" customFormat="1" x14ac:dyDescent="0.45">
      <c r="A3464" s="7" t="str">
        <f t="shared" si="1226"/>
        <v>09940003471</v>
      </c>
      <c r="B3464" s="7" t="str">
        <f t="shared" si="1227"/>
        <v>茨木三島丘</v>
      </c>
      <c r="C3464" s="7" t="str">
        <f t="shared" si="1209"/>
        <v>行政財産</v>
      </c>
      <c r="D3464" s="7" t="str">
        <f t="shared" si="1221"/>
        <v>公営住宅</v>
      </c>
      <c r="E3464" s="7" t="str">
        <f t="shared" si="1228"/>
        <v>大阪府茨木市三島丘２丁目</v>
      </c>
      <c r="F3464" s="7"/>
      <c r="G3464" s="7" t="str">
        <f t="shared" si="1207"/>
        <v>事業用資産</v>
      </c>
      <c r="H3464" s="7" t="str">
        <f t="shared" si="1230"/>
        <v>棚卸以外</v>
      </c>
      <c r="I3464" s="7">
        <v>10</v>
      </c>
      <c r="J3464" s="7" t="str">
        <f>"ポンプ室"</f>
        <v>ポンプ室</v>
      </c>
      <c r="K3464" s="7" t="str">
        <f t="shared" si="1229"/>
        <v>鉄筋コンクリート造</v>
      </c>
      <c r="L3464" s="7" t="str">
        <f>"H16.07.26"</f>
        <v>H16.07.26</v>
      </c>
      <c r="M3464" s="7">
        <v>75.08</v>
      </c>
      <c r="N3464" s="7">
        <v>15085000</v>
      </c>
      <c r="O3464" s="7">
        <v>5991328</v>
      </c>
      <c r="P3464" s="7">
        <v>0</v>
      </c>
      <c r="Q3464" s="7" t="str">
        <f t="shared" si="1210"/>
        <v>都市整備部</v>
      </c>
      <c r="R3464" s="7" t="str">
        <f t="shared" si="1208"/>
        <v>住宅建築局住宅経営室</v>
      </c>
    </row>
    <row r="3465" spans="1:18" s="1" customFormat="1" x14ac:dyDescent="0.45">
      <c r="A3465" s="7" t="str">
        <f t="shared" ref="A3465:A3475" si="1231">"09940003472"</f>
        <v>09940003472</v>
      </c>
      <c r="B3465" s="7" t="str">
        <f t="shared" ref="B3465:B3475" si="1232">"尾崎鉄筋"</f>
        <v>尾崎鉄筋</v>
      </c>
      <c r="C3465" s="7" t="str">
        <f t="shared" si="1209"/>
        <v>行政財産</v>
      </c>
      <c r="D3465" s="7" t="str">
        <f t="shared" si="1221"/>
        <v>公営住宅</v>
      </c>
      <c r="E3465" s="7" t="str">
        <f t="shared" ref="E3465:E3475" si="1233">"大阪府阪南市尾崎町"</f>
        <v>大阪府阪南市尾崎町</v>
      </c>
      <c r="F3465" s="7"/>
      <c r="G3465" s="7" t="str">
        <f t="shared" si="1207"/>
        <v>事業用資産</v>
      </c>
      <c r="H3465" s="7" t="str">
        <f t="shared" si="1230"/>
        <v>棚卸以外</v>
      </c>
      <c r="I3465" s="7">
        <v>1</v>
      </c>
      <c r="J3465" s="7" t="str">
        <f>"７～１３号棟"</f>
        <v>７～１３号棟</v>
      </c>
      <c r="K3465" s="7" t="str">
        <f t="shared" si="1229"/>
        <v>鉄筋コンクリート造</v>
      </c>
      <c r="L3465" s="7" t="str">
        <f>"S45.11.09"</f>
        <v>S45.11.09</v>
      </c>
      <c r="M3465" s="7">
        <v>9521.4</v>
      </c>
      <c r="N3465" s="7">
        <v>322846897</v>
      </c>
      <c r="O3465" s="7">
        <v>322846896</v>
      </c>
      <c r="P3465" s="7">
        <v>0</v>
      </c>
      <c r="Q3465" s="7" t="str">
        <f t="shared" si="1210"/>
        <v>都市整備部</v>
      </c>
      <c r="R3465" s="7" t="str">
        <f t="shared" si="1208"/>
        <v>住宅建築局住宅経営室</v>
      </c>
    </row>
    <row r="3466" spans="1:18" s="1" customFormat="1" x14ac:dyDescent="0.45">
      <c r="A3466" s="7" t="str">
        <f t="shared" si="1231"/>
        <v>09940003472</v>
      </c>
      <c r="B3466" s="7" t="str">
        <f t="shared" si="1232"/>
        <v>尾崎鉄筋</v>
      </c>
      <c r="C3466" s="7" t="str">
        <f t="shared" si="1209"/>
        <v>行政財産</v>
      </c>
      <c r="D3466" s="7" t="str">
        <f t="shared" si="1221"/>
        <v>公営住宅</v>
      </c>
      <c r="E3466" s="7" t="str">
        <f t="shared" si="1233"/>
        <v>大阪府阪南市尾崎町</v>
      </c>
      <c r="F3466" s="7"/>
      <c r="G3466" s="7" t="str">
        <f t="shared" si="1207"/>
        <v>事業用資産</v>
      </c>
      <c r="H3466" s="7" t="str">
        <f t="shared" si="1230"/>
        <v>棚卸以外</v>
      </c>
      <c r="I3466" s="7">
        <v>2</v>
      </c>
      <c r="J3466" s="7" t="str">
        <f>"１～６号棟"</f>
        <v>１～６号棟</v>
      </c>
      <c r="K3466" s="7" t="str">
        <f t="shared" si="1229"/>
        <v>鉄筋コンクリート造</v>
      </c>
      <c r="L3466" s="7" t="str">
        <f>"S45.11.09"</f>
        <v>S45.11.09</v>
      </c>
      <c r="M3466" s="7">
        <v>9099.2000000000007</v>
      </c>
      <c r="N3466" s="7">
        <v>350153780</v>
      </c>
      <c r="O3466" s="7">
        <v>336965429</v>
      </c>
      <c r="P3466" s="7">
        <v>0</v>
      </c>
      <c r="Q3466" s="7" t="str">
        <f t="shared" si="1210"/>
        <v>都市整備部</v>
      </c>
      <c r="R3466" s="7" t="str">
        <f t="shared" si="1208"/>
        <v>住宅建築局住宅経営室</v>
      </c>
    </row>
    <row r="3467" spans="1:18" s="1" customFormat="1" x14ac:dyDescent="0.45">
      <c r="A3467" s="7" t="str">
        <f t="shared" si="1231"/>
        <v>09940003472</v>
      </c>
      <c r="B3467" s="7" t="str">
        <f t="shared" si="1232"/>
        <v>尾崎鉄筋</v>
      </c>
      <c r="C3467" s="7" t="str">
        <f t="shared" si="1209"/>
        <v>行政財産</v>
      </c>
      <c r="D3467" s="7" t="str">
        <f t="shared" si="1221"/>
        <v>公営住宅</v>
      </c>
      <c r="E3467" s="7" t="str">
        <f t="shared" si="1233"/>
        <v>大阪府阪南市尾崎町</v>
      </c>
      <c r="F3467" s="7"/>
      <c r="G3467" s="7" t="str">
        <f t="shared" si="1207"/>
        <v>事業用資産</v>
      </c>
      <c r="H3467" s="7" t="str">
        <f t="shared" si="1230"/>
        <v>棚卸以外</v>
      </c>
      <c r="I3467" s="7">
        <v>3</v>
      </c>
      <c r="J3467" s="7" t="str">
        <f>"集会所"</f>
        <v>集会所</v>
      </c>
      <c r="K3467" s="7" t="str">
        <f t="shared" si="1229"/>
        <v>鉄筋コンクリート造</v>
      </c>
      <c r="L3467" s="7" t="str">
        <f>"S45.11.09"</f>
        <v>S45.11.09</v>
      </c>
      <c r="M3467" s="7">
        <v>147.62</v>
      </c>
      <c r="N3467" s="7">
        <v>19265197</v>
      </c>
      <c r="O3467" s="7">
        <v>15664942</v>
      </c>
      <c r="P3467" s="7">
        <v>0</v>
      </c>
      <c r="Q3467" s="7" t="str">
        <f t="shared" si="1210"/>
        <v>都市整備部</v>
      </c>
      <c r="R3467" s="7" t="str">
        <f t="shared" si="1208"/>
        <v>住宅建築局住宅経営室</v>
      </c>
    </row>
    <row r="3468" spans="1:18" s="1" customFormat="1" x14ac:dyDescent="0.45">
      <c r="A3468" s="7" t="str">
        <f t="shared" si="1231"/>
        <v>09940003472</v>
      </c>
      <c r="B3468" s="7" t="str">
        <f t="shared" si="1232"/>
        <v>尾崎鉄筋</v>
      </c>
      <c r="C3468" s="7" t="str">
        <f t="shared" si="1209"/>
        <v>行政財産</v>
      </c>
      <c r="D3468" s="7" t="str">
        <f t="shared" si="1221"/>
        <v>公営住宅</v>
      </c>
      <c r="E3468" s="7" t="str">
        <f t="shared" si="1233"/>
        <v>大阪府阪南市尾崎町</v>
      </c>
      <c r="F3468" s="7"/>
      <c r="G3468" s="7" t="str">
        <f t="shared" si="1207"/>
        <v>事業用資産</v>
      </c>
      <c r="H3468" s="7" t="str">
        <f t="shared" si="1230"/>
        <v>棚卸以外</v>
      </c>
      <c r="I3468" s="7">
        <v>4</v>
      </c>
      <c r="J3468" s="7" t="str">
        <f>"３号棟増築部分"</f>
        <v>３号棟増築部分</v>
      </c>
      <c r="K3468" s="7" t="str">
        <f t="shared" si="1229"/>
        <v>鉄筋コンクリート造</v>
      </c>
      <c r="L3468" s="7" t="str">
        <f>"S61.07.23"</f>
        <v>S61.07.23</v>
      </c>
      <c r="M3468" s="7">
        <v>991.3</v>
      </c>
      <c r="N3468" s="7">
        <v>155233000</v>
      </c>
      <c r="O3468" s="7">
        <v>121103840</v>
      </c>
      <c r="P3468" s="7">
        <v>0</v>
      </c>
      <c r="Q3468" s="7" t="str">
        <f t="shared" si="1210"/>
        <v>都市整備部</v>
      </c>
      <c r="R3468" s="7" t="str">
        <f t="shared" si="1208"/>
        <v>住宅建築局住宅経営室</v>
      </c>
    </row>
    <row r="3469" spans="1:18" s="1" customFormat="1" x14ac:dyDescent="0.45">
      <c r="A3469" s="7" t="str">
        <f t="shared" si="1231"/>
        <v>09940003472</v>
      </c>
      <c r="B3469" s="7" t="str">
        <f t="shared" si="1232"/>
        <v>尾崎鉄筋</v>
      </c>
      <c r="C3469" s="7" t="str">
        <f t="shared" si="1209"/>
        <v>行政財産</v>
      </c>
      <c r="D3469" s="7" t="str">
        <f t="shared" si="1221"/>
        <v>公営住宅</v>
      </c>
      <c r="E3469" s="7" t="str">
        <f t="shared" si="1233"/>
        <v>大阪府阪南市尾崎町</v>
      </c>
      <c r="F3469" s="7"/>
      <c r="G3469" s="7" t="str">
        <f t="shared" si="1207"/>
        <v>事業用資産</v>
      </c>
      <c r="H3469" s="7" t="str">
        <f t="shared" si="1230"/>
        <v>棚卸以外</v>
      </c>
      <c r="I3469" s="7">
        <v>5</v>
      </c>
      <c r="J3469" s="7" t="str">
        <f>"８号棟増築部分"</f>
        <v>８号棟増築部分</v>
      </c>
      <c r="K3469" s="7" t="str">
        <f t="shared" si="1229"/>
        <v>鉄筋コンクリート造</v>
      </c>
      <c r="L3469" s="7" t="str">
        <f>"S61.07.23"</f>
        <v>S61.07.23</v>
      </c>
      <c r="M3469" s="7">
        <v>613.53</v>
      </c>
      <c r="N3469" s="7">
        <v>94326000</v>
      </c>
      <c r="O3469" s="7">
        <v>73587800</v>
      </c>
      <c r="P3469" s="7">
        <v>0</v>
      </c>
      <c r="Q3469" s="7" t="str">
        <f t="shared" si="1210"/>
        <v>都市整備部</v>
      </c>
      <c r="R3469" s="7" t="str">
        <f t="shared" si="1208"/>
        <v>住宅建築局住宅経営室</v>
      </c>
    </row>
    <row r="3470" spans="1:18" s="1" customFormat="1" x14ac:dyDescent="0.45">
      <c r="A3470" s="7" t="str">
        <f t="shared" si="1231"/>
        <v>09940003472</v>
      </c>
      <c r="B3470" s="7" t="str">
        <f t="shared" si="1232"/>
        <v>尾崎鉄筋</v>
      </c>
      <c r="C3470" s="7" t="str">
        <f t="shared" si="1209"/>
        <v>行政財産</v>
      </c>
      <c r="D3470" s="7" t="str">
        <f t="shared" si="1221"/>
        <v>公営住宅</v>
      </c>
      <c r="E3470" s="7" t="str">
        <f t="shared" si="1233"/>
        <v>大阪府阪南市尾崎町</v>
      </c>
      <c r="F3470" s="7"/>
      <c r="G3470" s="7" t="str">
        <f t="shared" si="1207"/>
        <v>事業用資産</v>
      </c>
      <c r="H3470" s="7" t="str">
        <f t="shared" si="1230"/>
        <v>棚卸以外</v>
      </c>
      <c r="I3470" s="7">
        <v>6</v>
      </c>
      <c r="J3470" s="7" t="str">
        <f>"１１号棟増築部分"</f>
        <v>１１号棟増築部分</v>
      </c>
      <c r="K3470" s="7" t="str">
        <f t="shared" si="1229"/>
        <v>鉄筋コンクリート造</v>
      </c>
      <c r="L3470" s="7" t="str">
        <f>"S61.07.23"</f>
        <v>S61.07.23</v>
      </c>
      <c r="M3470" s="7">
        <v>613.53</v>
      </c>
      <c r="N3470" s="7">
        <v>94450000</v>
      </c>
      <c r="O3470" s="7">
        <v>73684600</v>
      </c>
      <c r="P3470" s="7">
        <v>0</v>
      </c>
      <c r="Q3470" s="7" t="str">
        <f t="shared" si="1210"/>
        <v>都市整備部</v>
      </c>
      <c r="R3470" s="7" t="str">
        <f t="shared" si="1208"/>
        <v>住宅建築局住宅経営室</v>
      </c>
    </row>
    <row r="3471" spans="1:18" s="1" customFormat="1" x14ac:dyDescent="0.45">
      <c r="A3471" s="7" t="str">
        <f t="shared" si="1231"/>
        <v>09940003472</v>
      </c>
      <c r="B3471" s="7" t="str">
        <f t="shared" si="1232"/>
        <v>尾崎鉄筋</v>
      </c>
      <c r="C3471" s="7" t="str">
        <f t="shared" si="1209"/>
        <v>行政財産</v>
      </c>
      <c r="D3471" s="7" t="str">
        <f t="shared" si="1221"/>
        <v>公営住宅</v>
      </c>
      <c r="E3471" s="7" t="str">
        <f t="shared" si="1233"/>
        <v>大阪府阪南市尾崎町</v>
      </c>
      <c r="F3471" s="7"/>
      <c r="G3471" s="7" t="str">
        <f t="shared" si="1207"/>
        <v>事業用資産</v>
      </c>
      <c r="H3471" s="7" t="str">
        <f t="shared" si="1230"/>
        <v>棚卸以外</v>
      </c>
      <c r="I3471" s="7">
        <v>7</v>
      </c>
      <c r="J3471" s="7" t="str">
        <f>"９号棟増築部分"</f>
        <v>９号棟増築部分</v>
      </c>
      <c r="K3471" s="7" t="str">
        <f t="shared" si="1229"/>
        <v>鉄筋コンクリート造</v>
      </c>
      <c r="L3471" s="7" t="str">
        <f>"S62.06.23"</f>
        <v>S62.06.23</v>
      </c>
      <c r="M3471" s="7">
        <v>613.53</v>
      </c>
      <c r="N3471" s="7">
        <v>96691000</v>
      </c>
      <c r="O3471" s="7">
        <v>73546902</v>
      </c>
      <c r="P3471" s="7">
        <v>0</v>
      </c>
      <c r="Q3471" s="7" t="str">
        <f t="shared" si="1210"/>
        <v>都市整備部</v>
      </c>
      <c r="R3471" s="7" t="str">
        <f t="shared" si="1208"/>
        <v>住宅建築局住宅経営室</v>
      </c>
    </row>
    <row r="3472" spans="1:18" s="1" customFormat="1" x14ac:dyDescent="0.45">
      <c r="A3472" s="7" t="str">
        <f t="shared" si="1231"/>
        <v>09940003472</v>
      </c>
      <c r="B3472" s="7" t="str">
        <f t="shared" si="1232"/>
        <v>尾崎鉄筋</v>
      </c>
      <c r="C3472" s="7" t="str">
        <f t="shared" si="1209"/>
        <v>行政財産</v>
      </c>
      <c r="D3472" s="7" t="str">
        <f t="shared" si="1221"/>
        <v>公営住宅</v>
      </c>
      <c r="E3472" s="7" t="str">
        <f t="shared" si="1233"/>
        <v>大阪府阪南市尾崎町</v>
      </c>
      <c r="F3472" s="7"/>
      <c r="G3472" s="7" t="str">
        <f t="shared" si="1207"/>
        <v>事業用資産</v>
      </c>
      <c r="H3472" s="7" t="str">
        <f t="shared" si="1230"/>
        <v>棚卸以外</v>
      </c>
      <c r="I3472" s="7">
        <v>8</v>
      </c>
      <c r="J3472" s="7" t="str">
        <f>"１０号棟増築部分"</f>
        <v>１０号棟増築部分</v>
      </c>
      <c r="K3472" s="7" t="str">
        <f t="shared" si="1229"/>
        <v>鉄筋コンクリート造</v>
      </c>
      <c r="L3472" s="7" t="str">
        <f>"S62.06.23"</f>
        <v>S62.06.23</v>
      </c>
      <c r="M3472" s="7">
        <v>613.53</v>
      </c>
      <c r="N3472" s="7">
        <v>95879000</v>
      </c>
      <c r="O3472" s="7">
        <v>72929571</v>
      </c>
      <c r="P3472" s="7">
        <v>0</v>
      </c>
      <c r="Q3472" s="7" t="str">
        <f t="shared" si="1210"/>
        <v>都市整備部</v>
      </c>
      <c r="R3472" s="7" t="str">
        <f t="shared" si="1208"/>
        <v>住宅建築局住宅経営室</v>
      </c>
    </row>
    <row r="3473" spans="1:18" s="1" customFormat="1" x14ac:dyDescent="0.45">
      <c r="A3473" s="7" t="str">
        <f t="shared" si="1231"/>
        <v>09940003472</v>
      </c>
      <c r="B3473" s="7" t="str">
        <f t="shared" si="1232"/>
        <v>尾崎鉄筋</v>
      </c>
      <c r="C3473" s="7" t="str">
        <f t="shared" si="1209"/>
        <v>行政財産</v>
      </c>
      <c r="D3473" s="7" t="str">
        <f t="shared" si="1221"/>
        <v>公営住宅</v>
      </c>
      <c r="E3473" s="7" t="str">
        <f t="shared" si="1233"/>
        <v>大阪府阪南市尾崎町</v>
      </c>
      <c r="F3473" s="7"/>
      <c r="G3473" s="7" t="str">
        <f t="shared" si="1207"/>
        <v>事業用資産</v>
      </c>
      <c r="H3473" s="7" t="str">
        <f t="shared" si="1230"/>
        <v>棚卸以外</v>
      </c>
      <c r="I3473" s="7">
        <v>9</v>
      </c>
      <c r="J3473" s="7" t="str">
        <f>"１号棟増築部分"</f>
        <v>１号棟増築部分</v>
      </c>
      <c r="K3473" s="7" t="str">
        <f t="shared" si="1229"/>
        <v>鉄筋コンクリート造</v>
      </c>
      <c r="L3473" s="7" t="str">
        <f>"S62.06.23"</f>
        <v>S62.06.23</v>
      </c>
      <c r="M3473" s="7">
        <v>594.78</v>
      </c>
      <c r="N3473" s="7">
        <v>94974000</v>
      </c>
      <c r="O3473" s="7">
        <v>72241026</v>
      </c>
      <c r="P3473" s="7">
        <v>0</v>
      </c>
      <c r="Q3473" s="7" t="str">
        <f t="shared" si="1210"/>
        <v>都市整備部</v>
      </c>
      <c r="R3473" s="7" t="str">
        <f t="shared" si="1208"/>
        <v>住宅建築局住宅経営室</v>
      </c>
    </row>
    <row r="3474" spans="1:18" s="1" customFormat="1" x14ac:dyDescent="0.45">
      <c r="A3474" s="7" t="str">
        <f t="shared" si="1231"/>
        <v>09940003472</v>
      </c>
      <c r="B3474" s="7" t="str">
        <f t="shared" si="1232"/>
        <v>尾崎鉄筋</v>
      </c>
      <c r="C3474" s="7" t="str">
        <f t="shared" si="1209"/>
        <v>行政財産</v>
      </c>
      <c r="D3474" s="7" t="str">
        <f t="shared" si="1221"/>
        <v>公営住宅</v>
      </c>
      <c r="E3474" s="7" t="str">
        <f t="shared" si="1233"/>
        <v>大阪府阪南市尾崎町</v>
      </c>
      <c r="F3474" s="7"/>
      <c r="G3474" s="7" t="str">
        <f t="shared" si="1207"/>
        <v>事業用資産</v>
      </c>
      <c r="H3474" s="7" t="str">
        <f t="shared" si="1230"/>
        <v>棚卸以外</v>
      </c>
      <c r="I3474" s="7">
        <v>10</v>
      </c>
      <c r="J3474" s="7" t="str">
        <f>"５号棟（増築部分）"</f>
        <v>５号棟（増築部分）</v>
      </c>
      <c r="K3474" s="7" t="str">
        <f t="shared" si="1229"/>
        <v>鉄筋コンクリート造</v>
      </c>
      <c r="L3474" s="7" t="str">
        <f>"S62.06.23"</f>
        <v>S62.06.23</v>
      </c>
      <c r="M3474" s="7">
        <v>706.14</v>
      </c>
      <c r="N3474" s="7">
        <v>132401536</v>
      </c>
      <c r="O3474" s="7">
        <v>107703965</v>
      </c>
      <c r="P3474" s="7">
        <v>0</v>
      </c>
      <c r="Q3474" s="7" t="str">
        <f t="shared" si="1210"/>
        <v>都市整備部</v>
      </c>
      <c r="R3474" s="7" t="str">
        <f t="shared" si="1208"/>
        <v>住宅建築局住宅経営室</v>
      </c>
    </row>
    <row r="3475" spans="1:18" s="1" customFormat="1" x14ac:dyDescent="0.45">
      <c r="A3475" s="7" t="str">
        <f t="shared" si="1231"/>
        <v>09940003472</v>
      </c>
      <c r="B3475" s="7" t="str">
        <f t="shared" si="1232"/>
        <v>尾崎鉄筋</v>
      </c>
      <c r="C3475" s="7" t="str">
        <f t="shared" si="1209"/>
        <v>行政財産</v>
      </c>
      <c r="D3475" s="7" t="str">
        <f t="shared" si="1221"/>
        <v>公営住宅</v>
      </c>
      <c r="E3475" s="7" t="str">
        <f t="shared" si="1233"/>
        <v>大阪府阪南市尾崎町</v>
      </c>
      <c r="F3475" s="7"/>
      <c r="G3475" s="7" t="str">
        <f t="shared" si="1207"/>
        <v>事業用資産</v>
      </c>
      <c r="H3475" s="7" t="str">
        <f t="shared" si="1230"/>
        <v>棚卸以外</v>
      </c>
      <c r="I3475" s="7">
        <v>11</v>
      </c>
      <c r="J3475" s="7" t="str">
        <f>"６号棟（増築部分）"</f>
        <v>６号棟（増築部分）</v>
      </c>
      <c r="K3475" s="7" t="str">
        <f t="shared" si="1229"/>
        <v>鉄筋コンクリート造</v>
      </c>
      <c r="L3475" s="7" t="str">
        <f>"S62.06.23"</f>
        <v>S62.06.23</v>
      </c>
      <c r="M3475" s="7">
        <v>669.02</v>
      </c>
      <c r="N3475" s="7">
        <v>120654537</v>
      </c>
      <c r="O3475" s="7">
        <v>95956965</v>
      </c>
      <c r="P3475" s="7">
        <v>0</v>
      </c>
      <c r="Q3475" s="7" t="str">
        <f t="shared" si="1210"/>
        <v>都市整備部</v>
      </c>
      <c r="R3475" s="7" t="str">
        <f t="shared" si="1208"/>
        <v>住宅建築局住宅経営室</v>
      </c>
    </row>
    <row r="3476" spans="1:18" s="1" customFormat="1" ht="26.4" x14ac:dyDescent="0.45">
      <c r="A3476" s="7" t="str">
        <f>"09940003474"</f>
        <v>09940003474</v>
      </c>
      <c r="B3476" s="7" t="str">
        <f>"東鳥取石田"</f>
        <v>東鳥取石田</v>
      </c>
      <c r="C3476" s="7" t="str">
        <f t="shared" si="1209"/>
        <v>行政財産</v>
      </c>
      <c r="D3476" s="7" t="str">
        <f t="shared" si="1221"/>
        <v>公営住宅</v>
      </c>
      <c r="E3476" s="7" t="str">
        <f>"大阪府阪南市石田"</f>
        <v>大阪府阪南市石田</v>
      </c>
      <c r="F3476" s="7"/>
      <c r="G3476" s="7" t="str">
        <f t="shared" si="1207"/>
        <v>事業用資産</v>
      </c>
      <c r="H3476" s="7" t="str">
        <f t="shared" si="1230"/>
        <v>棚卸以外</v>
      </c>
      <c r="I3476" s="7">
        <v>1</v>
      </c>
      <c r="J3476" s="7" t="str">
        <f>"１～４、６～１０、１８～３７号等（元１種住宅）"</f>
        <v>１～４、６～１０、１８～３７号等（元１種住宅）</v>
      </c>
      <c r="K3476" s="7" t="str">
        <f t="shared" si="1229"/>
        <v>鉄筋コンクリート造</v>
      </c>
      <c r="L3476" s="7" t="str">
        <f>"S46.05.24"</f>
        <v>S46.05.24</v>
      </c>
      <c r="M3476" s="7">
        <v>56662.61</v>
      </c>
      <c r="N3476" s="7">
        <v>3616054217</v>
      </c>
      <c r="O3476" s="7">
        <v>1683114629</v>
      </c>
      <c r="P3476" s="7">
        <v>0</v>
      </c>
      <c r="Q3476" s="7" t="str">
        <f t="shared" si="1210"/>
        <v>都市整備部</v>
      </c>
      <c r="R3476" s="7" t="str">
        <f t="shared" si="1208"/>
        <v>住宅建築局住宅経営室</v>
      </c>
    </row>
    <row r="3477" spans="1:18" s="1" customFormat="1" x14ac:dyDescent="0.45">
      <c r="A3477" s="7" t="str">
        <f>"09940003474"</f>
        <v>09940003474</v>
      </c>
      <c r="B3477" s="7" t="str">
        <f>"東鳥取石田"</f>
        <v>東鳥取石田</v>
      </c>
      <c r="C3477" s="7" t="str">
        <f t="shared" si="1209"/>
        <v>行政財産</v>
      </c>
      <c r="D3477" s="7" t="str">
        <f t="shared" si="1221"/>
        <v>公営住宅</v>
      </c>
      <c r="E3477" s="7" t="str">
        <f>"大阪府阪南市石田"</f>
        <v>大阪府阪南市石田</v>
      </c>
      <c r="F3477" s="7"/>
      <c r="G3477" s="7" t="str">
        <f t="shared" si="1207"/>
        <v>事業用資産</v>
      </c>
      <c r="H3477" s="7" t="str">
        <f t="shared" si="1230"/>
        <v>棚卸以外</v>
      </c>
      <c r="I3477" s="7">
        <v>2</v>
      </c>
      <c r="J3477" s="7" t="str">
        <f>"１１～１７号等（元２種住宅）"</f>
        <v>１１～１７号等（元２種住宅）</v>
      </c>
      <c r="K3477" s="7" t="str">
        <f t="shared" si="1229"/>
        <v>鉄筋コンクリート造</v>
      </c>
      <c r="L3477" s="7" t="str">
        <f>"S46.05.24"</f>
        <v>S46.05.24</v>
      </c>
      <c r="M3477" s="7">
        <v>15963.37</v>
      </c>
      <c r="N3477" s="7">
        <v>1628060357</v>
      </c>
      <c r="O3477" s="7">
        <v>718181577</v>
      </c>
      <c r="P3477" s="7">
        <v>0</v>
      </c>
      <c r="Q3477" s="7" t="str">
        <f t="shared" si="1210"/>
        <v>都市整備部</v>
      </c>
      <c r="R3477" s="7" t="str">
        <f t="shared" si="1208"/>
        <v>住宅建築局住宅経営室</v>
      </c>
    </row>
    <row r="3478" spans="1:18" s="1" customFormat="1" x14ac:dyDescent="0.45">
      <c r="A3478" s="7" t="str">
        <f>"09940003474"</f>
        <v>09940003474</v>
      </c>
      <c r="B3478" s="7" t="str">
        <f>"東鳥取石田"</f>
        <v>東鳥取石田</v>
      </c>
      <c r="C3478" s="7" t="str">
        <f t="shared" si="1209"/>
        <v>行政財産</v>
      </c>
      <c r="D3478" s="7" t="str">
        <f t="shared" si="1221"/>
        <v>公営住宅</v>
      </c>
      <c r="E3478" s="7" t="str">
        <f>"大阪府阪南市石田"</f>
        <v>大阪府阪南市石田</v>
      </c>
      <c r="F3478" s="7"/>
      <c r="G3478" s="7" t="str">
        <f t="shared" si="1207"/>
        <v>事業用資産</v>
      </c>
      <c r="H3478" s="7" t="str">
        <f t="shared" si="1230"/>
        <v>棚卸以外</v>
      </c>
      <c r="I3478" s="7">
        <v>3</v>
      </c>
      <c r="J3478" s="7" t="str">
        <f>"集会所"</f>
        <v>集会所</v>
      </c>
      <c r="K3478" s="7" t="str">
        <f t="shared" si="1229"/>
        <v>鉄筋コンクリート造</v>
      </c>
      <c r="L3478" s="7" t="str">
        <f>"S46.05.24"</f>
        <v>S46.05.24</v>
      </c>
      <c r="M3478" s="7">
        <v>302.06</v>
      </c>
      <c r="N3478" s="7">
        <v>18230368</v>
      </c>
      <c r="O3478" s="7">
        <v>15930824</v>
      </c>
      <c r="P3478" s="7">
        <v>0</v>
      </c>
      <c r="Q3478" s="7" t="str">
        <f t="shared" si="1210"/>
        <v>都市整備部</v>
      </c>
      <c r="R3478" s="7" t="str">
        <f t="shared" si="1208"/>
        <v>住宅建築局住宅経営室</v>
      </c>
    </row>
    <row r="3479" spans="1:18" s="1" customFormat="1" x14ac:dyDescent="0.45">
      <c r="A3479" s="7" t="str">
        <f>"09940003474"</f>
        <v>09940003474</v>
      </c>
      <c r="B3479" s="7" t="str">
        <f>"東鳥取石田"</f>
        <v>東鳥取石田</v>
      </c>
      <c r="C3479" s="7" t="str">
        <f t="shared" si="1209"/>
        <v>行政財産</v>
      </c>
      <c r="D3479" s="7" t="str">
        <f t="shared" si="1221"/>
        <v>公営住宅</v>
      </c>
      <c r="E3479" s="7" t="str">
        <f>"大阪府阪南市石田"</f>
        <v>大阪府阪南市石田</v>
      </c>
      <c r="F3479" s="7"/>
      <c r="G3479" s="7" t="str">
        <f t="shared" ref="G3479:G3542" si="1234">"事業用資産"</f>
        <v>事業用資産</v>
      </c>
      <c r="H3479" s="7" t="str">
        <f t="shared" si="1230"/>
        <v>棚卸以外</v>
      </c>
      <c r="I3479" s="7">
        <v>4</v>
      </c>
      <c r="J3479" s="7" t="str">
        <f>"汚水処理場"</f>
        <v>汚水処理場</v>
      </c>
      <c r="K3479" s="7" t="str">
        <f t="shared" si="1229"/>
        <v>鉄筋コンクリート造</v>
      </c>
      <c r="L3479" s="7" t="str">
        <f>"S46.05.24"</f>
        <v>S46.05.24</v>
      </c>
      <c r="M3479" s="7">
        <v>316.8</v>
      </c>
      <c r="N3479" s="7">
        <v>103767000</v>
      </c>
      <c r="O3479" s="7">
        <v>103766999</v>
      </c>
      <c r="P3479" s="7">
        <v>0</v>
      </c>
      <c r="Q3479" s="7" t="str">
        <f t="shared" si="1210"/>
        <v>都市整備部</v>
      </c>
      <c r="R3479" s="7" t="str">
        <f t="shared" si="1208"/>
        <v>住宅建築局住宅経営室</v>
      </c>
    </row>
    <row r="3480" spans="1:18" s="1" customFormat="1" x14ac:dyDescent="0.45">
      <c r="A3480" s="7" t="str">
        <f>"09940003476"</f>
        <v>09940003476</v>
      </c>
      <c r="B3480" s="7" t="str">
        <f>"前畑"</f>
        <v>前畑</v>
      </c>
      <c r="C3480" s="7" t="str">
        <f t="shared" si="1209"/>
        <v>行政財産</v>
      </c>
      <c r="D3480" s="7" t="str">
        <f t="shared" si="1221"/>
        <v>公営住宅</v>
      </c>
      <c r="E3480" s="7" t="str">
        <f>"大阪府泉南市樽井"</f>
        <v>大阪府泉南市樽井</v>
      </c>
      <c r="F3480" s="7"/>
      <c r="G3480" s="7" t="str">
        <f t="shared" si="1234"/>
        <v>事業用資産</v>
      </c>
      <c r="H3480" s="7" t="str">
        <f t="shared" si="1230"/>
        <v>棚卸以外</v>
      </c>
      <c r="I3480" s="7">
        <v>1</v>
      </c>
      <c r="J3480" s="7" t="str">
        <f>"住宅"</f>
        <v>住宅</v>
      </c>
      <c r="K3480" s="7" t="str">
        <f t="shared" si="1229"/>
        <v>鉄筋コンクリート造</v>
      </c>
      <c r="L3480" s="7" t="str">
        <f>"S47.11.17"</f>
        <v>S47.11.17</v>
      </c>
      <c r="M3480" s="7">
        <v>20308.32</v>
      </c>
      <c r="N3480" s="7">
        <v>1461548767</v>
      </c>
      <c r="O3480" s="7">
        <v>899737727</v>
      </c>
      <c r="P3480" s="7">
        <v>0</v>
      </c>
      <c r="Q3480" s="7" t="str">
        <f t="shared" si="1210"/>
        <v>都市整備部</v>
      </c>
      <c r="R3480" s="7" t="str">
        <f t="shared" ref="R3480:R3543" si="1235">"住宅建築局住宅経営室"</f>
        <v>住宅建築局住宅経営室</v>
      </c>
    </row>
    <row r="3481" spans="1:18" s="1" customFormat="1" x14ac:dyDescent="0.45">
      <c r="A3481" s="7" t="str">
        <f>"09940003476"</f>
        <v>09940003476</v>
      </c>
      <c r="B3481" s="7" t="str">
        <f>"前畑"</f>
        <v>前畑</v>
      </c>
      <c r="C3481" s="7" t="str">
        <f t="shared" si="1209"/>
        <v>行政財産</v>
      </c>
      <c r="D3481" s="7" t="str">
        <f t="shared" si="1221"/>
        <v>公営住宅</v>
      </c>
      <c r="E3481" s="7" t="str">
        <f>"大阪府泉南市樽井"</f>
        <v>大阪府泉南市樽井</v>
      </c>
      <c r="F3481" s="7"/>
      <c r="G3481" s="7" t="str">
        <f t="shared" si="1234"/>
        <v>事業用資産</v>
      </c>
      <c r="H3481" s="7" t="str">
        <f t="shared" si="1230"/>
        <v>棚卸以外</v>
      </c>
      <c r="I3481" s="7">
        <v>2</v>
      </c>
      <c r="J3481" s="7" t="str">
        <f>"１７～１９号棟"</f>
        <v>１７～１９号棟</v>
      </c>
      <c r="K3481" s="7" t="str">
        <f t="shared" si="1229"/>
        <v>鉄筋コンクリート造</v>
      </c>
      <c r="L3481" s="7" t="str">
        <f>"S47.11.17"</f>
        <v>S47.11.17</v>
      </c>
      <c r="M3481" s="7">
        <v>5726.2</v>
      </c>
      <c r="N3481" s="7">
        <v>606015742</v>
      </c>
      <c r="O3481" s="7">
        <v>251469423</v>
      </c>
      <c r="P3481" s="7">
        <v>0</v>
      </c>
      <c r="Q3481" s="7" t="str">
        <f t="shared" si="1210"/>
        <v>都市整備部</v>
      </c>
      <c r="R3481" s="7" t="str">
        <f t="shared" si="1235"/>
        <v>住宅建築局住宅経営室</v>
      </c>
    </row>
    <row r="3482" spans="1:18" s="1" customFormat="1" x14ac:dyDescent="0.45">
      <c r="A3482" s="7" t="str">
        <f>"09940003476"</f>
        <v>09940003476</v>
      </c>
      <c r="B3482" s="7" t="str">
        <f>"前畑"</f>
        <v>前畑</v>
      </c>
      <c r="C3482" s="7" t="str">
        <f t="shared" ref="C3482:C3545" si="1236">"行政財産"</f>
        <v>行政財産</v>
      </c>
      <c r="D3482" s="7" t="str">
        <f t="shared" si="1221"/>
        <v>公営住宅</v>
      </c>
      <c r="E3482" s="7" t="str">
        <f>"大阪府泉南市樽井"</f>
        <v>大阪府泉南市樽井</v>
      </c>
      <c r="F3482" s="7"/>
      <c r="G3482" s="7" t="str">
        <f t="shared" si="1234"/>
        <v>事業用資産</v>
      </c>
      <c r="H3482" s="7" t="str">
        <f t="shared" si="1230"/>
        <v>棚卸以外</v>
      </c>
      <c r="I3482" s="7">
        <v>3</v>
      </c>
      <c r="J3482" s="7" t="str">
        <f>"集会所"</f>
        <v>集会所</v>
      </c>
      <c r="K3482" s="7" t="str">
        <f t="shared" si="1229"/>
        <v>鉄筋コンクリート造</v>
      </c>
      <c r="L3482" s="7" t="str">
        <f>"H03.03.31"</f>
        <v>H03.03.31</v>
      </c>
      <c r="M3482" s="7">
        <v>60.92</v>
      </c>
      <c r="N3482" s="7">
        <v>18652200</v>
      </c>
      <c r="O3482" s="7">
        <v>12623829</v>
      </c>
      <c r="P3482" s="7">
        <v>0</v>
      </c>
      <c r="Q3482" s="7" t="str">
        <f t="shared" si="1210"/>
        <v>都市整備部</v>
      </c>
      <c r="R3482" s="7" t="str">
        <f t="shared" si="1235"/>
        <v>住宅建築局住宅経営室</v>
      </c>
    </row>
    <row r="3483" spans="1:18" s="1" customFormat="1" x14ac:dyDescent="0.45">
      <c r="A3483" s="7" t="str">
        <f>"09940003476"</f>
        <v>09940003476</v>
      </c>
      <c r="B3483" s="7" t="str">
        <f>"前畑"</f>
        <v>前畑</v>
      </c>
      <c r="C3483" s="7" t="str">
        <f t="shared" si="1236"/>
        <v>行政財産</v>
      </c>
      <c r="D3483" s="7" t="str">
        <f t="shared" si="1221"/>
        <v>公営住宅</v>
      </c>
      <c r="E3483" s="7" t="str">
        <f>"大阪府泉南市樽井"</f>
        <v>大阪府泉南市樽井</v>
      </c>
      <c r="F3483" s="7"/>
      <c r="G3483" s="7" t="str">
        <f t="shared" si="1234"/>
        <v>事業用資産</v>
      </c>
      <c r="H3483" s="7" t="str">
        <f t="shared" si="1230"/>
        <v>棚卸以外</v>
      </c>
      <c r="I3483" s="7">
        <v>4</v>
      </c>
      <c r="J3483" s="7" t="str">
        <f>"受水槽（ポンプ室含）"</f>
        <v>受水槽（ポンプ室含）</v>
      </c>
      <c r="K3483" s="7" t="str">
        <f t="shared" si="1229"/>
        <v>鉄筋コンクリート造</v>
      </c>
      <c r="L3483" s="7" t="str">
        <f>"S47.11.17"</f>
        <v>S47.11.17</v>
      </c>
      <c r="M3483" s="7">
        <v>293</v>
      </c>
      <c r="N3483" s="7">
        <v>33628000</v>
      </c>
      <c r="O3483" s="7">
        <v>33627999</v>
      </c>
      <c r="P3483" s="7">
        <v>0</v>
      </c>
      <c r="Q3483" s="7" t="str">
        <f t="shared" ref="Q3483:Q3546" si="1237">"都市整備部"</f>
        <v>都市整備部</v>
      </c>
      <c r="R3483" s="7" t="str">
        <f t="shared" si="1235"/>
        <v>住宅建築局住宅経営室</v>
      </c>
    </row>
    <row r="3484" spans="1:18" s="1" customFormat="1" x14ac:dyDescent="0.45">
      <c r="A3484" s="7" t="str">
        <f>"09940003477"</f>
        <v>09940003477</v>
      </c>
      <c r="B3484" s="7" t="str">
        <f>"藤井寺大井"</f>
        <v>藤井寺大井</v>
      </c>
      <c r="C3484" s="7" t="str">
        <f t="shared" si="1236"/>
        <v>行政財産</v>
      </c>
      <c r="D3484" s="7" t="str">
        <f t="shared" si="1221"/>
        <v>公営住宅</v>
      </c>
      <c r="E3484" s="7" t="str">
        <f>"大阪府藤井寺市大井５丁目"</f>
        <v>大阪府藤井寺市大井５丁目</v>
      </c>
      <c r="F3484" s="7"/>
      <c r="G3484" s="7" t="str">
        <f t="shared" si="1234"/>
        <v>事業用資産</v>
      </c>
      <c r="H3484" s="7" t="str">
        <f t="shared" si="1230"/>
        <v>棚卸以外</v>
      </c>
      <c r="I3484" s="7">
        <v>1</v>
      </c>
      <c r="J3484" s="7" t="str">
        <f>"１号棟"</f>
        <v>１号棟</v>
      </c>
      <c r="K3484" s="7" t="str">
        <f t="shared" si="1229"/>
        <v>鉄筋コンクリート造</v>
      </c>
      <c r="L3484" s="7" t="str">
        <f>"H11.04.28"</f>
        <v>H11.04.28</v>
      </c>
      <c r="M3484" s="7">
        <v>5764.79</v>
      </c>
      <c r="N3484" s="7">
        <v>1156202868</v>
      </c>
      <c r="O3484" s="7">
        <v>588145634</v>
      </c>
      <c r="P3484" s="7">
        <v>0</v>
      </c>
      <c r="Q3484" s="7" t="str">
        <f t="shared" si="1237"/>
        <v>都市整備部</v>
      </c>
      <c r="R3484" s="7" t="str">
        <f t="shared" si="1235"/>
        <v>住宅建築局住宅経営室</v>
      </c>
    </row>
    <row r="3485" spans="1:18" s="1" customFormat="1" x14ac:dyDescent="0.45">
      <c r="A3485" s="7" t="str">
        <f>"09940003477"</f>
        <v>09940003477</v>
      </c>
      <c r="B3485" s="7" t="str">
        <f>"藤井寺大井"</f>
        <v>藤井寺大井</v>
      </c>
      <c r="C3485" s="7" t="str">
        <f t="shared" si="1236"/>
        <v>行政財産</v>
      </c>
      <c r="D3485" s="7" t="str">
        <f t="shared" si="1221"/>
        <v>公営住宅</v>
      </c>
      <c r="E3485" s="7" t="str">
        <f>"大阪府藤井寺市大井５丁目"</f>
        <v>大阪府藤井寺市大井５丁目</v>
      </c>
      <c r="F3485" s="7"/>
      <c r="G3485" s="7" t="str">
        <f t="shared" si="1234"/>
        <v>事業用資産</v>
      </c>
      <c r="H3485" s="7" t="str">
        <f t="shared" si="1230"/>
        <v>棚卸以外</v>
      </c>
      <c r="I3485" s="7">
        <v>2</v>
      </c>
      <c r="J3485" s="7" t="str">
        <f>"２号棟"</f>
        <v>２号棟</v>
      </c>
      <c r="K3485" s="7" t="str">
        <f t="shared" si="1229"/>
        <v>鉄筋コンクリート造</v>
      </c>
      <c r="L3485" s="7" t="str">
        <f>"H11.04.28"</f>
        <v>H11.04.28</v>
      </c>
      <c r="M3485" s="7">
        <v>4130.3999999999996</v>
      </c>
      <c r="N3485" s="7">
        <v>872523869</v>
      </c>
      <c r="O3485" s="7">
        <v>443791235</v>
      </c>
      <c r="P3485" s="7">
        <v>0</v>
      </c>
      <c r="Q3485" s="7" t="str">
        <f t="shared" si="1237"/>
        <v>都市整備部</v>
      </c>
      <c r="R3485" s="7" t="str">
        <f t="shared" si="1235"/>
        <v>住宅建築局住宅経営室</v>
      </c>
    </row>
    <row r="3486" spans="1:18" s="1" customFormat="1" x14ac:dyDescent="0.45">
      <c r="A3486" s="7" t="str">
        <f>"09940003477"</f>
        <v>09940003477</v>
      </c>
      <c r="B3486" s="7" t="str">
        <f>"藤井寺大井"</f>
        <v>藤井寺大井</v>
      </c>
      <c r="C3486" s="7" t="str">
        <f t="shared" si="1236"/>
        <v>行政財産</v>
      </c>
      <c r="D3486" s="7" t="str">
        <f t="shared" si="1221"/>
        <v>公営住宅</v>
      </c>
      <c r="E3486" s="7" t="str">
        <f>"大阪府藤井寺市大井５丁目"</f>
        <v>大阪府藤井寺市大井５丁目</v>
      </c>
      <c r="F3486" s="7"/>
      <c r="G3486" s="7" t="str">
        <f t="shared" si="1234"/>
        <v>事業用資産</v>
      </c>
      <c r="H3486" s="7" t="str">
        <f t="shared" si="1230"/>
        <v>棚卸以外</v>
      </c>
      <c r="I3486" s="7">
        <v>3</v>
      </c>
      <c r="J3486" s="7" t="str">
        <f>"受水槽ポンプ室・電気室"</f>
        <v>受水槽ポンプ室・電気室</v>
      </c>
      <c r="K3486" s="7" t="str">
        <f t="shared" si="1229"/>
        <v>鉄筋コンクリート造</v>
      </c>
      <c r="L3486" s="7" t="str">
        <f>"H11.04.28"</f>
        <v>H11.04.28</v>
      </c>
      <c r="M3486" s="7">
        <v>175</v>
      </c>
      <c r="N3486" s="7">
        <v>63297000</v>
      </c>
      <c r="O3486" s="7">
        <v>32209723</v>
      </c>
      <c r="P3486" s="7">
        <v>0</v>
      </c>
      <c r="Q3486" s="7" t="str">
        <f t="shared" si="1237"/>
        <v>都市整備部</v>
      </c>
      <c r="R3486" s="7" t="str">
        <f t="shared" si="1235"/>
        <v>住宅建築局住宅経営室</v>
      </c>
    </row>
    <row r="3487" spans="1:18" s="1" customFormat="1" x14ac:dyDescent="0.45">
      <c r="A3487" s="7" t="str">
        <f>"09940003477"</f>
        <v>09940003477</v>
      </c>
      <c r="B3487" s="7" t="str">
        <f>"藤井寺大井"</f>
        <v>藤井寺大井</v>
      </c>
      <c r="C3487" s="7" t="str">
        <f t="shared" si="1236"/>
        <v>行政財産</v>
      </c>
      <c r="D3487" s="7" t="str">
        <f t="shared" si="1221"/>
        <v>公営住宅</v>
      </c>
      <c r="E3487" s="7" t="str">
        <f>"大阪府藤井寺市大井５丁目"</f>
        <v>大阪府藤井寺市大井５丁目</v>
      </c>
      <c r="F3487" s="7"/>
      <c r="G3487" s="7" t="str">
        <f t="shared" si="1234"/>
        <v>事業用資産</v>
      </c>
      <c r="H3487" s="7" t="str">
        <f t="shared" si="1230"/>
        <v>棚卸以外</v>
      </c>
      <c r="I3487" s="7">
        <v>4</v>
      </c>
      <c r="J3487" s="7" t="str">
        <f>"集会所"</f>
        <v>集会所</v>
      </c>
      <c r="K3487" s="7" t="str">
        <f t="shared" si="1229"/>
        <v>鉄筋コンクリート造</v>
      </c>
      <c r="L3487" s="7" t="str">
        <f>"H11.04.28"</f>
        <v>H11.04.28</v>
      </c>
      <c r="M3487" s="7">
        <v>149.94999999999999</v>
      </c>
      <c r="N3487" s="7">
        <v>35633000</v>
      </c>
      <c r="O3487" s="7">
        <v>18132660</v>
      </c>
      <c r="P3487" s="7">
        <v>0</v>
      </c>
      <c r="Q3487" s="7" t="str">
        <f t="shared" si="1237"/>
        <v>都市整備部</v>
      </c>
      <c r="R3487" s="7" t="str">
        <f t="shared" si="1235"/>
        <v>住宅建築局住宅経営室</v>
      </c>
    </row>
    <row r="3488" spans="1:18" s="1" customFormat="1" x14ac:dyDescent="0.45">
      <c r="A3488" s="7" t="str">
        <f>"09940003480"</f>
        <v>09940003480</v>
      </c>
      <c r="B3488" s="7" t="str">
        <f>"岬深日"</f>
        <v>岬深日</v>
      </c>
      <c r="C3488" s="7" t="str">
        <f t="shared" si="1236"/>
        <v>行政財産</v>
      </c>
      <c r="D3488" s="7" t="str">
        <f t="shared" si="1221"/>
        <v>公営住宅</v>
      </c>
      <c r="E3488" s="7" t="str">
        <f>"大阪府泉南郡　岬町深日"</f>
        <v>大阪府泉南郡　岬町深日</v>
      </c>
      <c r="F3488" s="7"/>
      <c r="G3488" s="7" t="str">
        <f t="shared" si="1234"/>
        <v>事業用資産</v>
      </c>
      <c r="H3488" s="7" t="str">
        <f t="shared" si="1230"/>
        <v>棚卸以外</v>
      </c>
      <c r="I3488" s="7">
        <v>1</v>
      </c>
      <c r="J3488" s="7" t="str">
        <f>"１・３・４号棟"</f>
        <v>１・３・４号棟</v>
      </c>
      <c r="K3488" s="7" t="str">
        <f t="shared" ref="K3488:K3514" si="1238">"鉄筋コンクリート造"</f>
        <v>鉄筋コンクリート造</v>
      </c>
      <c r="L3488" s="7" t="str">
        <f>"S48.11.02"</f>
        <v>S48.11.02</v>
      </c>
      <c r="M3488" s="7">
        <v>5637.04</v>
      </c>
      <c r="N3488" s="7">
        <v>450946788</v>
      </c>
      <c r="O3488" s="7">
        <v>292506185</v>
      </c>
      <c r="P3488" s="7">
        <v>0</v>
      </c>
      <c r="Q3488" s="7" t="str">
        <f t="shared" si="1237"/>
        <v>都市整備部</v>
      </c>
      <c r="R3488" s="7" t="str">
        <f t="shared" si="1235"/>
        <v>住宅建築局住宅経営室</v>
      </c>
    </row>
    <row r="3489" spans="1:18" s="1" customFormat="1" x14ac:dyDescent="0.45">
      <c r="A3489" s="7" t="str">
        <f>"09940003480"</f>
        <v>09940003480</v>
      </c>
      <c r="B3489" s="7" t="str">
        <f>"岬深日"</f>
        <v>岬深日</v>
      </c>
      <c r="C3489" s="7" t="str">
        <f t="shared" si="1236"/>
        <v>行政財産</v>
      </c>
      <c r="D3489" s="7" t="str">
        <f t="shared" si="1221"/>
        <v>公営住宅</v>
      </c>
      <c r="E3489" s="7" t="str">
        <f>"大阪府泉南郡　岬町深日"</f>
        <v>大阪府泉南郡　岬町深日</v>
      </c>
      <c r="F3489" s="7"/>
      <c r="G3489" s="7" t="str">
        <f t="shared" si="1234"/>
        <v>事業用資産</v>
      </c>
      <c r="H3489" s="7" t="str">
        <f t="shared" si="1230"/>
        <v>棚卸以外</v>
      </c>
      <c r="I3489" s="7">
        <v>2</v>
      </c>
      <c r="J3489" s="7" t="str">
        <f>"２号棟"</f>
        <v>２号棟</v>
      </c>
      <c r="K3489" s="7" t="str">
        <f t="shared" si="1238"/>
        <v>鉄筋コンクリート造</v>
      </c>
      <c r="L3489" s="7" t="str">
        <f>"S48.11.02"</f>
        <v>S48.11.02</v>
      </c>
      <c r="M3489" s="7">
        <v>1977.24</v>
      </c>
      <c r="N3489" s="7">
        <v>244920289</v>
      </c>
      <c r="O3489" s="7">
        <v>107456405</v>
      </c>
      <c r="P3489" s="7">
        <v>0</v>
      </c>
      <c r="Q3489" s="7" t="str">
        <f t="shared" si="1237"/>
        <v>都市整備部</v>
      </c>
      <c r="R3489" s="7" t="str">
        <f t="shared" si="1235"/>
        <v>住宅建築局住宅経営室</v>
      </c>
    </row>
    <row r="3490" spans="1:18" s="1" customFormat="1" x14ac:dyDescent="0.45">
      <c r="A3490" s="7" t="str">
        <f>"09940003480"</f>
        <v>09940003480</v>
      </c>
      <c r="B3490" s="7" t="str">
        <f>"岬深日"</f>
        <v>岬深日</v>
      </c>
      <c r="C3490" s="7" t="str">
        <f t="shared" si="1236"/>
        <v>行政財産</v>
      </c>
      <c r="D3490" s="7" t="str">
        <f t="shared" si="1221"/>
        <v>公営住宅</v>
      </c>
      <c r="E3490" s="7" t="str">
        <f>"大阪府泉南郡　岬町深日"</f>
        <v>大阪府泉南郡　岬町深日</v>
      </c>
      <c r="F3490" s="7"/>
      <c r="G3490" s="7" t="str">
        <f t="shared" si="1234"/>
        <v>事業用資産</v>
      </c>
      <c r="H3490" s="7" t="str">
        <f t="shared" si="1230"/>
        <v>棚卸以外</v>
      </c>
      <c r="I3490" s="7">
        <v>3</v>
      </c>
      <c r="J3490" s="7" t="str">
        <f>"集会所"</f>
        <v>集会所</v>
      </c>
      <c r="K3490" s="7" t="str">
        <f t="shared" si="1238"/>
        <v>鉄筋コンクリート造</v>
      </c>
      <c r="L3490" s="7" t="str">
        <f>"S48.11.02"</f>
        <v>S48.11.02</v>
      </c>
      <c r="M3490" s="7">
        <v>66.77</v>
      </c>
      <c r="N3490" s="7">
        <v>2460000</v>
      </c>
      <c r="O3490" s="7">
        <v>2459999</v>
      </c>
      <c r="P3490" s="7">
        <v>0</v>
      </c>
      <c r="Q3490" s="7" t="str">
        <f t="shared" si="1237"/>
        <v>都市整備部</v>
      </c>
      <c r="R3490" s="7" t="str">
        <f t="shared" si="1235"/>
        <v>住宅建築局住宅経営室</v>
      </c>
    </row>
    <row r="3491" spans="1:18" s="1" customFormat="1" x14ac:dyDescent="0.45">
      <c r="A3491" s="7" t="str">
        <f>"09940003482"</f>
        <v>09940003482</v>
      </c>
      <c r="B3491" s="7" t="str">
        <f>"熊取朝代"</f>
        <v>熊取朝代</v>
      </c>
      <c r="C3491" s="7" t="str">
        <f t="shared" si="1236"/>
        <v>行政財産</v>
      </c>
      <c r="D3491" s="7" t="str">
        <f t="shared" si="1221"/>
        <v>公営住宅</v>
      </c>
      <c r="E3491" s="7" t="str">
        <f>"大阪府泉南郡　熊取町長池"</f>
        <v>大阪府泉南郡　熊取町長池</v>
      </c>
      <c r="F3491" s="7"/>
      <c r="G3491" s="7" t="str">
        <f t="shared" si="1234"/>
        <v>事業用資産</v>
      </c>
      <c r="H3491" s="7" t="str">
        <f t="shared" si="1230"/>
        <v>棚卸以外</v>
      </c>
      <c r="I3491" s="7">
        <v>1</v>
      </c>
      <c r="J3491" s="7" t="str">
        <f>"１・２・７～１７・１９号棟"</f>
        <v>１・２・７～１７・１９号棟</v>
      </c>
      <c r="K3491" s="7" t="str">
        <f t="shared" si="1238"/>
        <v>鉄筋コンクリート造</v>
      </c>
      <c r="L3491" s="7" t="str">
        <f>"S49.07.30"</f>
        <v>S49.07.30</v>
      </c>
      <c r="M3491" s="7">
        <v>20494.080000000002</v>
      </c>
      <c r="N3491" s="7">
        <v>1413617000</v>
      </c>
      <c r="O3491" s="7">
        <v>1371769440</v>
      </c>
      <c r="P3491" s="7">
        <v>0</v>
      </c>
      <c r="Q3491" s="7" t="str">
        <f t="shared" si="1237"/>
        <v>都市整備部</v>
      </c>
      <c r="R3491" s="7" t="str">
        <f t="shared" si="1235"/>
        <v>住宅建築局住宅経営室</v>
      </c>
    </row>
    <row r="3492" spans="1:18" s="1" customFormat="1" x14ac:dyDescent="0.45">
      <c r="A3492" s="7" t="str">
        <f>"09940003482"</f>
        <v>09940003482</v>
      </c>
      <c r="B3492" s="7" t="str">
        <f>"熊取朝代"</f>
        <v>熊取朝代</v>
      </c>
      <c r="C3492" s="7" t="str">
        <f t="shared" si="1236"/>
        <v>行政財産</v>
      </c>
      <c r="D3492" s="7" t="str">
        <f t="shared" si="1221"/>
        <v>公営住宅</v>
      </c>
      <c r="E3492" s="7" t="str">
        <f>"大阪府泉南郡　熊取町長池"</f>
        <v>大阪府泉南郡　熊取町長池</v>
      </c>
      <c r="F3492" s="7"/>
      <c r="G3492" s="7" t="str">
        <f t="shared" si="1234"/>
        <v>事業用資産</v>
      </c>
      <c r="H3492" s="7" t="str">
        <f t="shared" si="1230"/>
        <v>棚卸以外</v>
      </c>
      <c r="I3492" s="7">
        <v>2</v>
      </c>
      <c r="J3492" s="7" t="str">
        <f>"３～６号棟"</f>
        <v>３～６号棟</v>
      </c>
      <c r="K3492" s="7" t="str">
        <f t="shared" si="1238"/>
        <v>鉄筋コンクリート造</v>
      </c>
      <c r="L3492" s="7" t="str">
        <f>"S49.07.30"</f>
        <v>S49.07.30</v>
      </c>
      <c r="M3492" s="7">
        <v>5728.78</v>
      </c>
      <c r="N3492" s="7">
        <v>468823160</v>
      </c>
      <c r="O3492" s="7">
        <v>358236478</v>
      </c>
      <c r="P3492" s="7">
        <v>0</v>
      </c>
      <c r="Q3492" s="7" t="str">
        <f t="shared" si="1237"/>
        <v>都市整備部</v>
      </c>
      <c r="R3492" s="7" t="str">
        <f t="shared" si="1235"/>
        <v>住宅建築局住宅経営室</v>
      </c>
    </row>
    <row r="3493" spans="1:18" s="1" customFormat="1" x14ac:dyDescent="0.45">
      <c r="A3493" s="7" t="str">
        <f>"09940003482"</f>
        <v>09940003482</v>
      </c>
      <c r="B3493" s="7" t="str">
        <f>"熊取朝代"</f>
        <v>熊取朝代</v>
      </c>
      <c r="C3493" s="7" t="str">
        <f t="shared" si="1236"/>
        <v>行政財産</v>
      </c>
      <c r="D3493" s="7" t="str">
        <f t="shared" si="1221"/>
        <v>公営住宅</v>
      </c>
      <c r="E3493" s="7" t="str">
        <f>"大阪府泉南郡　熊取町長池"</f>
        <v>大阪府泉南郡　熊取町長池</v>
      </c>
      <c r="F3493" s="7"/>
      <c r="G3493" s="7" t="str">
        <f t="shared" si="1234"/>
        <v>事業用資産</v>
      </c>
      <c r="H3493" s="7" t="str">
        <f t="shared" si="1230"/>
        <v>棚卸以外</v>
      </c>
      <c r="I3493" s="7">
        <v>3</v>
      </c>
      <c r="J3493" s="7" t="str">
        <f>"集会所"</f>
        <v>集会所</v>
      </c>
      <c r="K3493" s="7" t="str">
        <f t="shared" si="1238"/>
        <v>鉄筋コンクリート造</v>
      </c>
      <c r="L3493" s="7" t="str">
        <f>"S51.03.31"</f>
        <v>S51.03.31</v>
      </c>
      <c r="M3493" s="7">
        <v>128.33000000000001</v>
      </c>
      <c r="N3493" s="7">
        <v>19143163</v>
      </c>
      <c r="O3493" s="7">
        <v>14037799</v>
      </c>
      <c r="P3493" s="7">
        <v>0</v>
      </c>
      <c r="Q3493" s="7" t="str">
        <f t="shared" si="1237"/>
        <v>都市整備部</v>
      </c>
      <c r="R3493" s="7" t="str">
        <f t="shared" si="1235"/>
        <v>住宅建築局住宅経営室</v>
      </c>
    </row>
    <row r="3494" spans="1:18" s="1" customFormat="1" x14ac:dyDescent="0.45">
      <c r="A3494" s="7" t="str">
        <f>"09940003483"</f>
        <v>09940003483</v>
      </c>
      <c r="B3494" s="7" t="str">
        <f>"岸和田並松（旧岸和田簡耐）"</f>
        <v>岸和田並松（旧岸和田簡耐）</v>
      </c>
      <c r="C3494" s="7" t="str">
        <f t="shared" si="1236"/>
        <v>行政財産</v>
      </c>
      <c r="D3494" s="7" t="str">
        <f t="shared" si="1221"/>
        <v>公営住宅</v>
      </c>
      <c r="E3494" s="7" t="str">
        <f>"大阪府岸和田市並松町"</f>
        <v>大阪府岸和田市並松町</v>
      </c>
      <c r="F3494" s="7"/>
      <c r="G3494" s="7" t="str">
        <f t="shared" si="1234"/>
        <v>事業用資産</v>
      </c>
      <c r="H3494" s="7" t="str">
        <f t="shared" si="1230"/>
        <v>棚卸以外</v>
      </c>
      <c r="I3494" s="7">
        <v>1</v>
      </c>
      <c r="J3494" s="7" t="str">
        <f>"１号棟"</f>
        <v>１号棟</v>
      </c>
      <c r="K3494" s="7" t="str">
        <f t="shared" si="1238"/>
        <v>鉄筋コンクリート造</v>
      </c>
      <c r="L3494" s="7" t="str">
        <f>"H14.04.30"</f>
        <v>H14.04.30</v>
      </c>
      <c r="M3494" s="7">
        <v>3494.47</v>
      </c>
      <c r="N3494" s="7">
        <v>616752946</v>
      </c>
      <c r="O3494" s="7">
        <v>274312232</v>
      </c>
      <c r="P3494" s="7">
        <v>0</v>
      </c>
      <c r="Q3494" s="7" t="str">
        <f t="shared" si="1237"/>
        <v>都市整備部</v>
      </c>
      <c r="R3494" s="7" t="str">
        <f t="shared" si="1235"/>
        <v>住宅建築局住宅経営室</v>
      </c>
    </row>
    <row r="3495" spans="1:18" s="1" customFormat="1" x14ac:dyDescent="0.45">
      <c r="A3495" s="7" t="str">
        <f>"09940003483"</f>
        <v>09940003483</v>
      </c>
      <c r="B3495" s="7" t="str">
        <f>"岸和田並松（旧岸和田簡耐）"</f>
        <v>岸和田並松（旧岸和田簡耐）</v>
      </c>
      <c r="C3495" s="7" t="str">
        <f t="shared" si="1236"/>
        <v>行政財産</v>
      </c>
      <c r="D3495" s="7" t="str">
        <f t="shared" si="1221"/>
        <v>公営住宅</v>
      </c>
      <c r="E3495" s="7" t="str">
        <f>"大阪府岸和田市並松町"</f>
        <v>大阪府岸和田市並松町</v>
      </c>
      <c r="F3495" s="7"/>
      <c r="G3495" s="7" t="str">
        <f t="shared" si="1234"/>
        <v>事業用資産</v>
      </c>
      <c r="H3495" s="7" t="str">
        <f t="shared" si="1230"/>
        <v>棚卸以外</v>
      </c>
      <c r="I3495" s="7">
        <v>2</v>
      </c>
      <c r="J3495" s="7" t="str">
        <f>"２号棟"</f>
        <v>２号棟</v>
      </c>
      <c r="K3495" s="7" t="str">
        <f t="shared" si="1238"/>
        <v>鉄筋コンクリート造</v>
      </c>
      <c r="L3495" s="7" t="str">
        <f>"H14.04.30"</f>
        <v>H14.04.30</v>
      </c>
      <c r="M3495" s="7">
        <v>1897</v>
      </c>
      <c r="N3495" s="7">
        <v>356025945</v>
      </c>
      <c r="O3495" s="7">
        <v>158279450</v>
      </c>
      <c r="P3495" s="7">
        <v>0</v>
      </c>
      <c r="Q3495" s="7" t="str">
        <f t="shared" si="1237"/>
        <v>都市整備部</v>
      </c>
      <c r="R3495" s="7" t="str">
        <f t="shared" si="1235"/>
        <v>住宅建築局住宅経営室</v>
      </c>
    </row>
    <row r="3496" spans="1:18" s="1" customFormat="1" x14ac:dyDescent="0.45">
      <c r="A3496" s="7" t="str">
        <f>"09940003483"</f>
        <v>09940003483</v>
      </c>
      <c r="B3496" s="7" t="str">
        <f>"岸和田並松（旧岸和田簡耐）"</f>
        <v>岸和田並松（旧岸和田簡耐）</v>
      </c>
      <c r="C3496" s="7" t="str">
        <f t="shared" si="1236"/>
        <v>行政財産</v>
      </c>
      <c r="D3496" s="7" t="str">
        <f t="shared" si="1221"/>
        <v>公営住宅</v>
      </c>
      <c r="E3496" s="7" t="str">
        <f>"大阪府岸和田市並松町"</f>
        <v>大阪府岸和田市並松町</v>
      </c>
      <c r="F3496" s="7"/>
      <c r="G3496" s="7" t="str">
        <f t="shared" si="1234"/>
        <v>事業用資産</v>
      </c>
      <c r="H3496" s="7" t="str">
        <f t="shared" si="1230"/>
        <v>棚卸以外</v>
      </c>
      <c r="I3496" s="7">
        <v>3</v>
      </c>
      <c r="J3496" s="7" t="str">
        <f>"受水槽ポンプ室・電気室"</f>
        <v>受水槽ポンプ室・電気室</v>
      </c>
      <c r="K3496" s="7" t="str">
        <f t="shared" si="1238"/>
        <v>鉄筋コンクリート造</v>
      </c>
      <c r="L3496" s="7" t="str">
        <f>"H14.04.30"</f>
        <v>H14.04.30</v>
      </c>
      <c r="M3496" s="7">
        <v>87.18</v>
      </c>
      <c r="N3496" s="7">
        <v>25556000</v>
      </c>
      <c r="O3496" s="7">
        <v>11373563</v>
      </c>
      <c r="P3496" s="7">
        <v>0</v>
      </c>
      <c r="Q3496" s="7" t="str">
        <f t="shared" si="1237"/>
        <v>都市整備部</v>
      </c>
      <c r="R3496" s="7" t="str">
        <f t="shared" si="1235"/>
        <v>住宅建築局住宅経営室</v>
      </c>
    </row>
    <row r="3497" spans="1:18" s="1" customFormat="1" x14ac:dyDescent="0.45">
      <c r="A3497" s="7" t="str">
        <f>"09940003483"</f>
        <v>09940003483</v>
      </c>
      <c r="B3497" s="7" t="str">
        <f>"岸和田並松（旧岸和田簡耐）"</f>
        <v>岸和田並松（旧岸和田簡耐）</v>
      </c>
      <c r="C3497" s="7" t="str">
        <f t="shared" si="1236"/>
        <v>行政財産</v>
      </c>
      <c r="D3497" s="7" t="str">
        <f t="shared" si="1221"/>
        <v>公営住宅</v>
      </c>
      <c r="E3497" s="7" t="str">
        <f>"大阪府岸和田市並松町"</f>
        <v>大阪府岸和田市並松町</v>
      </c>
      <c r="F3497" s="7"/>
      <c r="G3497" s="7" t="str">
        <f t="shared" si="1234"/>
        <v>事業用資産</v>
      </c>
      <c r="H3497" s="7" t="str">
        <f t="shared" si="1230"/>
        <v>棚卸以外</v>
      </c>
      <c r="I3497" s="7">
        <v>4</v>
      </c>
      <c r="J3497" s="7" t="str">
        <f>"集会所"</f>
        <v>集会所</v>
      </c>
      <c r="K3497" s="7" t="str">
        <f t="shared" si="1238"/>
        <v>鉄筋コンクリート造</v>
      </c>
      <c r="L3497" s="7" t="str">
        <f>"H14.04.30"</f>
        <v>H14.04.30</v>
      </c>
      <c r="M3497" s="7">
        <v>92.41</v>
      </c>
      <c r="N3497" s="7">
        <v>29836000</v>
      </c>
      <c r="O3497" s="7">
        <v>13278151</v>
      </c>
      <c r="P3497" s="7">
        <v>0</v>
      </c>
      <c r="Q3497" s="7" t="str">
        <f t="shared" si="1237"/>
        <v>都市整備部</v>
      </c>
      <c r="R3497" s="7" t="str">
        <f t="shared" si="1235"/>
        <v>住宅建築局住宅経営室</v>
      </c>
    </row>
    <row r="3498" spans="1:18" s="1" customFormat="1" x14ac:dyDescent="0.45">
      <c r="A3498" s="7" t="str">
        <f t="shared" ref="A3498:A3510" si="1239">"09940003485"</f>
        <v>09940003485</v>
      </c>
      <c r="B3498" s="7" t="str">
        <f t="shared" ref="B3498:B3510" si="1240">"富木"</f>
        <v>富木</v>
      </c>
      <c r="C3498" s="7" t="str">
        <f t="shared" si="1236"/>
        <v>行政財産</v>
      </c>
      <c r="D3498" s="7" t="str">
        <f t="shared" si="1221"/>
        <v>公営住宅</v>
      </c>
      <c r="E3498" s="7" t="str">
        <f t="shared" ref="E3498:E3510" si="1241">"大阪府高石市西取石１丁目"</f>
        <v>大阪府高石市西取石１丁目</v>
      </c>
      <c r="F3498" s="7"/>
      <c r="G3498" s="7" t="str">
        <f t="shared" si="1234"/>
        <v>事業用資産</v>
      </c>
      <c r="H3498" s="7" t="str">
        <f t="shared" si="1230"/>
        <v>棚卸以外</v>
      </c>
      <c r="I3498" s="7">
        <v>1</v>
      </c>
      <c r="J3498" s="7" t="str">
        <f>"１・２号棟"</f>
        <v>１・２号棟</v>
      </c>
      <c r="K3498" s="7" t="str">
        <f t="shared" si="1238"/>
        <v>鉄筋コンクリート造</v>
      </c>
      <c r="L3498" s="7" t="str">
        <f>"S57.03.26"</f>
        <v>S57.03.26</v>
      </c>
      <c r="M3498" s="7">
        <v>2914</v>
      </c>
      <c r="N3498" s="7">
        <v>236813000</v>
      </c>
      <c r="O3498" s="7">
        <v>206581944</v>
      </c>
      <c r="P3498" s="7">
        <v>0</v>
      </c>
      <c r="Q3498" s="7" t="str">
        <f t="shared" si="1237"/>
        <v>都市整備部</v>
      </c>
      <c r="R3498" s="7" t="str">
        <f t="shared" si="1235"/>
        <v>住宅建築局住宅経営室</v>
      </c>
    </row>
    <row r="3499" spans="1:18" s="1" customFormat="1" x14ac:dyDescent="0.45">
      <c r="A3499" s="7" t="str">
        <f t="shared" si="1239"/>
        <v>09940003485</v>
      </c>
      <c r="B3499" s="7" t="str">
        <f t="shared" si="1240"/>
        <v>富木</v>
      </c>
      <c r="C3499" s="7" t="str">
        <f t="shared" si="1236"/>
        <v>行政財産</v>
      </c>
      <c r="D3499" s="7" t="str">
        <f t="shared" si="1221"/>
        <v>公営住宅</v>
      </c>
      <c r="E3499" s="7" t="str">
        <f t="shared" si="1241"/>
        <v>大阪府高石市西取石１丁目</v>
      </c>
      <c r="F3499" s="7"/>
      <c r="G3499" s="7" t="str">
        <f t="shared" si="1234"/>
        <v>事業用資産</v>
      </c>
      <c r="H3499" s="7" t="str">
        <f t="shared" si="1230"/>
        <v>棚卸以外</v>
      </c>
      <c r="I3499" s="7">
        <v>2</v>
      </c>
      <c r="J3499" s="7" t="str">
        <f>"５号棟"</f>
        <v>５号棟</v>
      </c>
      <c r="K3499" s="7" t="str">
        <f t="shared" si="1238"/>
        <v>鉄筋コンクリート造</v>
      </c>
      <c r="L3499" s="7" t="str">
        <f>"S52.09.07"</f>
        <v>S52.09.07</v>
      </c>
      <c r="M3499" s="7">
        <v>1166.83</v>
      </c>
      <c r="N3499" s="7">
        <v>104243000</v>
      </c>
      <c r="O3499" s="7">
        <v>100916634</v>
      </c>
      <c r="P3499" s="7">
        <v>0</v>
      </c>
      <c r="Q3499" s="7" t="str">
        <f t="shared" si="1237"/>
        <v>都市整備部</v>
      </c>
      <c r="R3499" s="7" t="str">
        <f t="shared" si="1235"/>
        <v>住宅建築局住宅経営室</v>
      </c>
    </row>
    <row r="3500" spans="1:18" s="1" customFormat="1" x14ac:dyDescent="0.45">
      <c r="A3500" s="7" t="str">
        <f t="shared" si="1239"/>
        <v>09940003485</v>
      </c>
      <c r="B3500" s="7" t="str">
        <f t="shared" si="1240"/>
        <v>富木</v>
      </c>
      <c r="C3500" s="7" t="str">
        <f t="shared" si="1236"/>
        <v>行政財産</v>
      </c>
      <c r="D3500" s="7" t="str">
        <f t="shared" si="1221"/>
        <v>公営住宅</v>
      </c>
      <c r="E3500" s="7" t="str">
        <f t="shared" si="1241"/>
        <v>大阪府高石市西取石１丁目</v>
      </c>
      <c r="F3500" s="7"/>
      <c r="G3500" s="7" t="str">
        <f t="shared" si="1234"/>
        <v>事業用資産</v>
      </c>
      <c r="H3500" s="7" t="str">
        <f t="shared" si="1230"/>
        <v>棚卸以外</v>
      </c>
      <c r="I3500" s="7">
        <v>3</v>
      </c>
      <c r="J3500" s="7" t="str">
        <f>"７号棟"</f>
        <v>７号棟</v>
      </c>
      <c r="K3500" s="7" t="str">
        <f t="shared" si="1238"/>
        <v>鉄筋コンクリート造</v>
      </c>
      <c r="L3500" s="7" t="str">
        <f>"S52.09.07"</f>
        <v>S52.09.07</v>
      </c>
      <c r="M3500" s="7">
        <v>1166.83</v>
      </c>
      <c r="N3500" s="7">
        <v>104243000</v>
      </c>
      <c r="O3500" s="7">
        <v>100916634</v>
      </c>
      <c r="P3500" s="7">
        <v>0</v>
      </c>
      <c r="Q3500" s="7" t="str">
        <f t="shared" si="1237"/>
        <v>都市整備部</v>
      </c>
      <c r="R3500" s="7" t="str">
        <f t="shared" si="1235"/>
        <v>住宅建築局住宅経営室</v>
      </c>
    </row>
    <row r="3501" spans="1:18" s="1" customFormat="1" x14ac:dyDescent="0.45">
      <c r="A3501" s="7" t="str">
        <f t="shared" si="1239"/>
        <v>09940003485</v>
      </c>
      <c r="B3501" s="7" t="str">
        <f t="shared" si="1240"/>
        <v>富木</v>
      </c>
      <c r="C3501" s="7" t="str">
        <f t="shared" si="1236"/>
        <v>行政財産</v>
      </c>
      <c r="D3501" s="7" t="str">
        <f t="shared" si="1221"/>
        <v>公営住宅</v>
      </c>
      <c r="E3501" s="7" t="str">
        <f t="shared" si="1241"/>
        <v>大阪府高石市西取石１丁目</v>
      </c>
      <c r="F3501" s="7"/>
      <c r="G3501" s="7" t="str">
        <f t="shared" si="1234"/>
        <v>事業用資産</v>
      </c>
      <c r="H3501" s="7" t="str">
        <f t="shared" si="1230"/>
        <v>棚卸以外</v>
      </c>
      <c r="I3501" s="7">
        <v>4</v>
      </c>
      <c r="J3501" s="7" t="str">
        <f>"６号棟"</f>
        <v>６号棟</v>
      </c>
      <c r="K3501" s="7" t="str">
        <f t="shared" si="1238"/>
        <v>鉄筋コンクリート造</v>
      </c>
      <c r="L3501" s="7" t="str">
        <f>"S52.09.07"</f>
        <v>S52.09.07</v>
      </c>
      <c r="M3501" s="7">
        <v>1072.5</v>
      </c>
      <c r="N3501" s="7">
        <v>92644738</v>
      </c>
      <c r="O3501" s="7">
        <v>89436984</v>
      </c>
      <c r="P3501" s="7">
        <v>0</v>
      </c>
      <c r="Q3501" s="7" t="str">
        <f t="shared" si="1237"/>
        <v>都市整備部</v>
      </c>
      <c r="R3501" s="7" t="str">
        <f t="shared" si="1235"/>
        <v>住宅建築局住宅経営室</v>
      </c>
    </row>
    <row r="3502" spans="1:18" s="1" customFormat="1" x14ac:dyDescent="0.45">
      <c r="A3502" s="7" t="str">
        <f t="shared" si="1239"/>
        <v>09940003485</v>
      </c>
      <c r="B3502" s="7" t="str">
        <f t="shared" si="1240"/>
        <v>富木</v>
      </c>
      <c r="C3502" s="7" t="str">
        <f t="shared" si="1236"/>
        <v>行政財産</v>
      </c>
      <c r="D3502" s="7" t="str">
        <f t="shared" si="1221"/>
        <v>公営住宅</v>
      </c>
      <c r="E3502" s="7" t="str">
        <f t="shared" si="1241"/>
        <v>大阪府高石市西取石１丁目</v>
      </c>
      <c r="F3502" s="7"/>
      <c r="G3502" s="7" t="str">
        <f t="shared" si="1234"/>
        <v>事業用資産</v>
      </c>
      <c r="H3502" s="7" t="str">
        <f t="shared" si="1230"/>
        <v>棚卸以外</v>
      </c>
      <c r="I3502" s="7">
        <v>5</v>
      </c>
      <c r="J3502" s="7" t="str">
        <f>"ポンプ室"</f>
        <v>ポンプ室</v>
      </c>
      <c r="K3502" s="7" t="str">
        <f t="shared" si="1238"/>
        <v>鉄筋コンクリート造</v>
      </c>
      <c r="L3502" s="7" t="str">
        <f>"S52.09.07"</f>
        <v>S52.09.07</v>
      </c>
      <c r="M3502" s="7">
        <v>48</v>
      </c>
      <c r="N3502" s="7">
        <v>3068000</v>
      </c>
      <c r="O3502" s="7">
        <v>2970240</v>
      </c>
      <c r="P3502" s="7">
        <v>0</v>
      </c>
      <c r="Q3502" s="7" t="str">
        <f t="shared" si="1237"/>
        <v>都市整備部</v>
      </c>
      <c r="R3502" s="7" t="str">
        <f t="shared" si="1235"/>
        <v>住宅建築局住宅経営室</v>
      </c>
    </row>
    <row r="3503" spans="1:18" s="1" customFormat="1" x14ac:dyDescent="0.45">
      <c r="A3503" s="7" t="str">
        <f t="shared" si="1239"/>
        <v>09940003485</v>
      </c>
      <c r="B3503" s="7" t="str">
        <f t="shared" si="1240"/>
        <v>富木</v>
      </c>
      <c r="C3503" s="7" t="str">
        <f t="shared" si="1236"/>
        <v>行政財産</v>
      </c>
      <c r="D3503" s="7" t="str">
        <f t="shared" si="1221"/>
        <v>公営住宅</v>
      </c>
      <c r="E3503" s="7" t="str">
        <f t="shared" si="1241"/>
        <v>大阪府高石市西取石１丁目</v>
      </c>
      <c r="F3503" s="7"/>
      <c r="G3503" s="7" t="str">
        <f t="shared" si="1234"/>
        <v>事業用資産</v>
      </c>
      <c r="H3503" s="7" t="str">
        <f t="shared" si="1230"/>
        <v>棚卸以外</v>
      </c>
      <c r="I3503" s="7">
        <v>6</v>
      </c>
      <c r="J3503" s="7" t="str">
        <f>"集会所"</f>
        <v>集会所</v>
      </c>
      <c r="K3503" s="7" t="str">
        <f t="shared" si="1238"/>
        <v>鉄筋コンクリート造</v>
      </c>
      <c r="L3503" s="7" t="str">
        <f>"S53.09.22"</f>
        <v>S53.09.22</v>
      </c>
      <c r="M3503" s="7">
        <v>120</v>
      </c>
      <c r="N3503" s="7">
        <v>13548000</v>
      </c>
      <c r="O3503" s="7">
        <v>12827748</v>
      </c>
      <c r="P3503" s="7">
        <v>0</v>
      </c>
      <c r="Q3503" s="7" t="str">
        <f t="shared" si="1237"/>
        <v>都市整備部</v>
      </c>
      <c r="R3503" s="7" t="str">
        <f t="shared" si="1235"/>
        <v>住宅建築局住宅経営室</v>
      </c>
    </row>
    <row r="3504" spans="1:18" s="1" customFormat="1" x14ac:dyDescent="0.45">
      <c r="A3504" s="7" t="str">
        <f t="shared" si="1239"/>
        <v>09940003485</v>
      </c>
      <c r="B3504" s="7" t="str">
        <f t="shared" si="1240"/>
        <v>富木</v>
      </c>
      <c r="C3504" s="7" t="str">
        <f t="shared" si="1236"/>
        <v>行政財産</v>
      </c>
      <c r="D3504" s="7" t="str">
        <f t="shared" si="1221"/>
        <v>公営住宅</v>
      </c>
      <c r="E3504" s="7" t="str">
        <f t="shared" si="1241"/>
        <v>大阪府高石市西取石１丁目</v>
      </c>
      <c r="F3504" s="7"/>
      <c r="G3504" s="7" t="str">
        <f t="shared" si="1234"/>
        <v>事業用資産</v>
      </c>
      <c r="H3504" s="7" t="str">
        <f t="shared" si="1230"/>
        <v>棚卸以外</v>
      </c>
      <c r="I3504" s="7">
        <v>7</v>
      </c>
      <c r="J3504" s="7" t="str">
        <f>"３号棟"</f>
        <v>３号棟</v>
      </c>
      <c r="K3504" s="7" t="str">
        <f t="shared" si="1238"/>
        <v>鉄筋コンクリート造</v>
      </c>
      <c r="L3504" s="7" t="str">
        <f t="shared" ref="L3504:L3509" si="1242">"S53.11.21"</f>
        <v>S53.11.21</v>
      </c>
      <c r="M3504" s="7">
        <v>1749.5</v>
      </c>
      <c r="N3504" s="7">
        <v>154599861</v>
      </c>
      <c r="O3504" s="7">
        <v>145571160</v>
      </c>
      <c r="P3504" s="7">
        <v>0</v>
      </c>
      <c r="Q3504" s="7" t="str">
        <f t="shared" si="1237"/>
        <v>都市整備部</v>
      </c>
      <c r="R3504" s="7" t="str">
        <f t="shared" si="1235"/>
        <v>住宅建築局住宅経営室</v>
      </c>
    </row>
    <row r="3505" spans="1:18" s="1" customFormat="1" x14ac:dyDescent="0.45">
      <c r="A3505" s="7" t="str">
        <f t="shared" si="1239"/>
        <v>09940003485</v>
      </c>
      <c r="B3505" s="7" t="str">
        <f t="shared" si="1240"/>
        <v>富木</v>
      </c>
      <c r="C3505" s="7" t="str">
        <f t="shared" si="1236"/>
        <v>行政財産</v>
      </c>
      <c r="D3505" s="7" t="str">
        <f t="shared" si="1221"/>
        <v>公営住宅</v>
      </c>
      <c r="E3505" s="7" t="str">
        <f t="shared" si="1241"/>
        <v>大阪府高石市西取石１丁目</v>
      </c>
      <c r="F3505" s="7"/>
      <c r="G3505" s="7" t="str">
        <f t="shared" si="1234"/>
        <v>事業用資産</v>
      </c>
      <c r="H3505" s="7" t="str">
        <f t="shared" si="1230"/>
        <v>棚卸以外</v>
      </c>
      <c r="I3505" s="7">
        <v>8</v>
      </c>
      <c r="J3505" s="7" t="str">
        <f>"４号棟"</f>
        <v>４号棟</v>
      </c>
      <c r="K3505" s="7" t="str">
        <f t="shared" si="1238"/>
        <v>鉄筋コンクリート造</v>
      </c>
      <c r="L3505" s="7" t="str">
        <f t="shared" si="1242"/>
        <v>S53.11.21</v>
      </c>
      <c r="M3505" s="7">
        <v>1749.5</v>
      </c>
      <c r="N3505" s="7">
        <v>150110000</v>
      </c>
      <c r="O3505" s="7">
        <v>141593396</v>
      </c>
      <c r="P3505" s="7">
        <v>0</v>
      </c>
      <c r="Q3505" s="7" t="str">
        <f t="shared" si="1237"/>
        <v>都市整備部</v>
      </c>
      <c r="R3505" s="7" t="str">
        <f t="shared" si="1235"/>
        <v>住宅建築局住宅経営室</v>
      </c>
    </row>
    <row r="3506" spans="1:18" s="1" customFormat="1" x14ac:dyDescent="0.45">
      <c r="A3506" s="7" t="str">
        <f t="shared" si="1239"/>
        <v>09940003485</v>
      </c>
      <c r="B3506" s="7" t="str">
        <f t="shared" si="1240"/>
        <v>富木</v>
      </c>
      <c r="C3506" s="7" t="str">
        <f t="shared" si="1236"/>
        <v>行政財産</v>
      </c>
      <c r="D3506" s="7" t="str">
        <f t="shared" ref="D3506:D3569" si="1243">"公営住宅"</f>
        <v>公営住宅</v>
      </c>
      <c r="E3506" s="7" t="str">
        <f t="shared" si="1241"/>
        <v>大阪府高石市西取石１丁目</v>
      </c>
      <c r="F3506" s="7"/>
      <c r="G3506" s="7" t="str">
        <f t="shared" si="1234"/>
        <v>事業用資産</v>
      </c>
      <c r="H3506" s="7" t="str">
        <f t="shared" si="1230"/>
        <v>棚卸以外</v>
      </c>
      <c r="I3506" s="7">
        <v>9</v>
      </c>
      <c r="J3506" s="7" t="str">
        <f>"８号棟"</f>
        <v>８号棟</v>
      </c>
      <c r="K3506" s="7" t="str">
        <f t="shared" si="1238"/>
        <v>鉄筋コンクリート造</v>
      </c>
      <c r="L3506" s="7" t="str">
        <f t="shared" si="1242"/>
        <v>S53.11.21</v>
      </c>
      <c r="M3506" s="7">
        <v>683.09</v>
      </c>
      <c r="N3506" s="7">
        <v>59723000</v>
      </c>
      <c r="O3506" s="7">
        <v>56334544</v>
      </c>
      <c r="P3506" s="7">
        <v>0</v>
      </c>
      <c r="Q3506" s="7" t="str">
        <f t="shared" si="1237"/>
        <v>都市整備部</v>
      </c>
      <c r="R3506" s="7" t="str">
        <f t="shared" si="1235"/>
        <v>住宅建築局住宅経営室</v>
      </c>
    </row>
    <row r="3507" spans="1:18" s="1" customFormat="1" x14ac:dyDescent="0.45">
      <c r="A3507" s="7" t="str">
        <f t="shared" si="1239"/>
        <v>09940003485</v>
      </c>
      <c r="B3507" s="7" t="str">
        <f t="shared" si="1240"/>
        <v>富木</v>
      </c>
      <c r="C3507" s="7" t="str">
        <f t="shared" si="1236"/>
        <v>行政財産</v>
      </c>
      <c r="D3507" s="7" t="str">
        <f t="shared" si="1243"/>
        <v>公営住宅</v>
      </c>
      <c r="E3507" s="7" t="str">
        <f t="shared" si="1241"/>
        <v>大阪府高石市西取石１丁目</v>
      </c>
      <c r="F3507" s="7"/>
      <c r="G3507" s="7" t="str">
        <f t="shared" si="1234"/>
        <v>事業用資産</v>
      </c>
      <c r="H3507" s="7" t="str">
        <f t="shared" si="1230"/>
        <v>棚卸以外</v>
      </c>
      <c r="I3507" s="7">
        <v>10</v>
      </c>
      <c r="J3507" s="7" t="str">
        <f>"汚水処理場"</f>
        <v>汚水処理場</v>
      </c>
      <c r="K3507" s="7" t="str">
        <f t="shared" si="1238"/>
        <v>鉄筋コンクリート造</v>
      </c>
      <c r="L3507" s="7" t="str">
        <f t="shared" si="1242"/>
        <v>S53.11.21</v>
      </c>
      <c r="M3507" s="7">
        <v>86.52</v>
      </c>
      <c r="N3507" s="7">
        <v>45003000</v>
      </c>
      <c r="O3507" s="7">
        <v>42449876</v>
      </c>
      <c r="P3507" s="7">
        <v>0</v>
      </c>
      <c r="Q3507" s="7" t="str">
        <f t="shared" si="1237"/>
        <v>都市整備部</v>
      </c>
      <c r="R3507" s="7" t="str">
        <f t="shared" si="1235"/>
        <v>住宅建築局住宅経営室</v>
      </c>
    </row>
    <row r="3508" spans="1:18" s="1" customFormat="1" x14ac:dyDescent="0.45">
      <c r="A3508" s="7" t="str">
        <f t="shared" si="1239"/>
        <v>09940003485</v>
      </c>
      <c r="B3508" s="7" t="str">
        <f t="shared" si="1240"/>
        <v>富木</v>
      </c>
      <c r="C3508" s="7" t="str">
        <f t="shared" si="1236"/>
        <v>行政財産</v>
      </c>
      <c r="D3508" s="7" t="str">
        <f t="shared" si="1243"/>
        <v>公営住宅</v>
      </c>
      <c r="E3508" s="7" t="str">
        <f t="shared" si="1241"/>
        <v>大阪府高石市西取石１丁目</v>
      </c>
      <c r="F3508" s="7"/>
      <c r="G3508" s="7" t="str">
        <f t="shared" si="1234"/>
        <v>事業用資産</v>
      </c>
      <c r="H3508" s="7" t="str">
        <f t="shared" si="1230"/>
        <v>棚卸以外</v>
      </c>
      <c r="I3508" s="7">
        <v>11</v>
      </c>
      <c r="J3508" s="7" t="str">
        <f>"ポンプ室"</f>
        <v>ポンプ室</v>
      </c>
      <c r="K3508" s="7" t="str">
        <f t="shared" si="1238"/>
        <v>鉄筋コンクリート造</v>
      </c>
      <c r="L3508" s="7" t="str">
        <f t="shared" si="1242"/>
        <v>S53.11.21</v>
      </c>
      <c r="M3508" s="7">
        <v>23.86</v>
      </c>
      <c r="N3508" s="7">
        <v>4843000</v>
      </c>
      <c r="O3508" s="7">
        <v>4568284</v>
      </c>
      <c r="P3508" s="7">
        <v>0</v>
      </c>
      <c r="Q3508" s="7" t="str">
        <f t="shared" si="1237"/>
        <v>都市整備部</v>
      </c>
      <c r="R3508" s="7" t="str">
        <f t="shared" si="1235"/>
        <v>住宅建築局住宅経営室</v>
      </c>
    </row>
    <row r="3509" spans="1:18" s="1" customFormat="1" x14ac:dyDescent="0.45">
      <c r="A3509" s="7" t="str">
        <f t="shared" si="1239"/>
        <v>09940003485</v>
      </c>
      <c r="B3509" s="7" t="str">
        <f t="shared" si="1240"/>
        <v>富木</v>
      </c>
      <c r="C3509" s="7" t="str">
        <f t="shared" si="1236"/>
        <v>行政財産</v>
      </c>
      <c r="D3509" s="7" t="str">
        <f t="shared" si="1243"/>
        <v>公営住宅</v>
      </c>
      <c r="E3509" s="7" t="str">
        <f t="shared" si="1241"/>
        <v>大阪府高石市西取石１丁目</v>
      </c>
      <c r="F3509" s="7"/>
      <c r="G3509" s="7" t="str">
        <f t="shared" si="1234"/>
        <v>事業用資産</v>
      </c>
      <c r="H3509" s="7" t="str">
        <f t="shared" si="1230"/>
        <v>棚卸以外</v>
      </c>
      <c r="I3509" s="7">
        <v>12</v>
      </c>
      <c r="J3509" s="7" t="str">
        <f>"ポンプ室"</f>
        <v>ポンプ室</v>
      </c>
      <c r="K3509" s="7" t="str">
        <f t="shared" si="1238"/>
        <v>鉄筋コンクリート造</v>
      </c>
      <c r="L3509" s="7" t="str">
        <f t="shared" si="1242"/>
        <v>S53.11.21</v>
      </c>
      <c r="M3509" s="7">
        <v>10.94</v>
      </c>
      <c r="N3509" s="7">
        <v>2052000</v>
      </c>
      <c r="O3509" s="7">
        <v>1935948</v>
      </c>
      <c r="P3509" s="7">
        <v>0</v>
      </c>
      <c r="Q3509" s="7" t="str">
        <f t="shared" si="1237"/>
        <v>都市整備部</v>
      </c>
      <c r="R3509" s="7" t="str">
        <f t="shared" si="1235"/>
        <v>住宅建築局住宅経営室</v>
      </c>
    </row>
    <row r="3510" spans="1:18" s="1" customFormat="1" x14ac:dyDescent="0.45">
      <c r="A3510" s="7" t="str">
        <f t="shared" si="1239"/>
        <v>09940003485</v>
      </c>
      <c r="B3510" s="7" t="str">
        <f t="shared" si="1240"/>
        <v>富木</v>
      </c>
      <c r="C3510" s="7" t="str">
        <f t="shared" si="1236"/>
        <v>行政財産</v>
      </c>
      <c r="D3510" s="7" t="str">
        <f t="shared" si="1243"/>
        <v>公営住宅</v>
      </c>
      <c r="E3510" s="7" t="str">
        <f t="shared" si="1241"/>
        <v>大阪府高石市西取石１丁目</v>
      </c>
      <c r="F3510" s="7"/>
      <c r="G3510" s="7" t="str">
        <f t="shared" si="1234"/>
        <v>事業用資産</v>
      </c>
      <c r="H3510" s="7" t="str">
        <f t="shared" si="1230"/>
        <v>棚卸以外</v>
      </c>
      <c r="I3510" s="7">
        <v>13</v>
      </c>
      <c r="J3510" s="7" t="str">
        <f>"汚水処理場"</f>
        <v>汚水処理場</v>
      </c>
      <c r="K3510" s="7" t="str">
        <f t="shared" si="1238"/>
        <v>鉄筋コンクリート造</v>
      </c>
      <c r="L3510" s="7" t="str">
        <f>"S51.03.26"</f>
        <v>S51.03.26</v>
      </c>
      <c r="M3510" s="7">
        <v>144</v>
      </c>
      <c r="N3510" s="7">
        <v>41399000</v>
      </c>
      <c r="O3510" s="7">
        <v>41398999</v>
      </c>
      <c r="P3510" s="7">
        <v>0</v>
      </c>
      <c r="Q3510" s="7" t="str">
        <f t="shared" si="1237"/>
        <v>都市整備部</v>
      </c>
      <c r="R3510" s="7" t="str">
        <f t="shared" si="1235"/>
        <v>住宅建築局住宅経営室</v>
      </c>
    </row>
    <row r="3511" spans="1:18" s="1" customFormat="1" x14ac:dyDescent="0.45">
      <c r="A3511" s="7" t="str">
        <f>"09940003486"</f>
        <v>09940003486</v>
      </c>
      <c r="B3511" s="7" t="str">
        <f>"岸和田磯之上"</f>
        <v>岸和田磯之上</v>
      </c>
      <c r="C3511" s="7" t="str">
        <f t="shared" si="1236"/>
        <v>行政財産</v>
      </c>
      <c r="D3511" s="7" t="str">
        <f t="shared" si="1243"/>
        <v>公営住宅</v>
      </c>
      <c r="E3511" s="7" t="str">
        <f>"大阪府岸和田市磯上町１丁目"</f>
        <v>大阪府岸和田市磯上町１丁目</v>
      </c>
      <c r="F3511" s="7"/>
      <c r="G3511" s="7" t="str">
        <f t="shared" si="1234"/>
        <v>事業用資産</v>
      </c>
      <c r="H3511" s="7" t="str">
        <f t="shared" si="1230"/>
        <v>棚卸以外</v>
      </c>
      <c r="I3511" s="7">
        <v>1</v>
      </c>
      <c r="J3511" s="7" t="str">
        <f>"１号棟"</f>
        <v>１号棟</v>
      </c>
      <c r="K3511" s="7" t="str">
        <f t="shared" si="1238"/>
        <v>鉄筋コンクリート造</v>
      </c>
      <c r="L3511" s="7" t="str">
        <f>"H14.07.31"</f>
        <v>H14.07.31</v>
      </c>
      <c r="M3511" s="7">
        <v>7968.62</v>
      </c>
      <c r="N3511" s="7">
        <v>899300022</v>
      </c>
      <c r="O3511" s="7">
        <v>394452976</v>
      </c>
      <c r="P3511" s="7">
        <v>0</v>
      </c>
      <c r="Q3511" s="7" t="str">
        <f t="shared" si="1237"/>
        <v>都市整備部</v>
      </c>
      <c r="R3511" s="7" t="str">
        <f t="shared" si="1235"/>
        <v>住宅建築局住宅経営室</v>
      </c>
    </row>
    <row r="3512" spans="1:18" s="1" customFormat="1" x14ac:dyDescent="0.45">
      <c r="A3512" s="7" t="str">
        <f>"09940003486"</f>
        <v>09940003486</v>
      </c>
      <c r="B3512" s="7" t="str">
        <f>"岸和田磯之上"</f>
        <v>岸和田磯之上</v>
      </c>
      <c r="C3512" s="7" t="str">
        <f t="shared" si="1236"/>
        <v>行政財産</v>
      </c>
      <c r="D3512" s="7" t="str">
        <f t="shared" si="1243"/>
        <v>公営住宅</v>
      </c>
      <c r="E3512" s="7" t="str">
        <f>"大阪府岸和田市磯上町１丁目"</f>
        <v>大阪府岸和田市磯上町１丁目</v>
      </c>
      <c r="F3512" s="7"/>
      <c r="G3512" s="7" t="str">
        <f t="shared" si="1234"/>
        <v>事業用資産</v>
      </c>
      <c r="H3512" s="7" t="str">
        <f t="shared" si="1230"/>
        <v>棚卸以外</v>
      </c>
      <c r="I3512" s="7">
        <v>2</v>
      </c>
      <c r="J3512" s="7" t="str">
        <f>"受水槽ポンプ室・電気室"</f>
        <v>受水槽ポンプ室・電気室</v>
      </c>
      <c r="K3512" s="7" t="str">
        <f t="shared" si="1238"/>
        <v>鉄筋コンクリート造</v>
      </c>
      <c r="L3512" s="7" t="str">
        <f>"H14.07.31"</f>
        <v>H14.07.31</v>
      </c>
      <c r="M3512" s="7">
        <v>59.08</v>
      </c>
      <c r="N3512" s="7">
        <v>24248000</v>
      </c>
      <c r="O3512" s="7">
        <v>10662264</v>
      </c>
      <c r="P3512" s="7">
        <v>0</v>
      </c>
      <c r="Q3512" s="7" t="str">
        <f t="shared" si="1237"/>
        <v>都市整備部</v>
      </c>
      <c r="R3512" s="7" t="str">
        <f t="shared" si="1235"/>
        <v>住宅建築局住宅経営室</v>
      </c>
    </row>
    <row r="3513" spans="1:18" s="1" customFormat="1" x14ac:dyDescent="0.45">
      <c r="A3513" s="7" t="str">
        <f>"09940003486"</f>
        <v>09940003486</v>
      </c>
      <c r="B3513" s="7" t="str">
        <f>"岸和田磯之上"</f>
        <v>岸和田磯之上</v>
      </c>
      <c r="C3513" s="7" t="str">
        <f t="shared" si="1236"/>
        <v>行政財産</v>
      </c>
      <c r="D3513" s="7" t="str">
        <f t="shared" si="1243"/>
        <v>公営住宅</v>
      </c>
      <c r="E3513" s="7" t="str">
        <f>"大阪府岸和田市磯上町１丁目"</f>
        <v>大阪府岸和田市磯上町１丁目</v>
      </c>
      <c r="F3513" s="7"/>
      <c r="G3513" s="7" t="str">
        <f t="shared" si="1234"/>
        <v>事業用資産</v>
      </c>
      <c r="H3513" s="7" t="str">
        <f t="shared" si="1230"/>
        <v>棚卸以外</v>
      </c>
      <c r="I3513" s="7">
        <v>3</v>
      </c>
      <c r="J3513" s="7" t="str">
        <f>"集会所"</f>
        <v>集会所</v>
      </c>
      <c r="K3513" s="7" t="str">
        <f t="shared" si="1238"/>
        <v>鉄筋コンクリート造</v>
      </c>
      <c r="L3513" s="7" t="str">
        <f>"H14.07.31"</f>
        <v>H14.07.31</v>
      </c>
      <c r="M3513" s="7">
        <v>70</v>
      </c>
      <c r="N3513" s="7">
        <v>17989000</v>
      </c>
      <c r="O3513" s="7">
        <v>7910208</v>
      </c>
      <c r="P3513" s="7">
        <v>0</v>
      </c>
      <c r="Q3513" s="7" t="str">
        <f t="shared" si="1237"/>
        <v>都市整備部</v>
      </c>
      <c r="R3513" s="7" t="str">
        <f t="shared" si="1235"/>
        <v>住宅建築局住宅経営室</v>
      </c>
    </row>
    <row r="3514" spans="1:18" s="1" customFormat="1" x14ac:dyDescent="0.45">
      <c r="A3514" s="7" t="str">
        <f t="shared" ref="A3514:A3524" si="1244">"09940003487"</f>
        <v>09940003487</v>
      </c>
      <c r="B3514" s="7" t="str">
        <f t="shared" ref="B3514:B3524" si="1245">"岸和田春木"</f>
        <v>岸和田春木</v>
      </c>
      <c r="C3514" s="7" t="str">
        <f t="shared" si="1236"/>
        <v>行政財産</v>
      </c>
      <c r="D3514" s="7" t="str">
        <f t="shared" si="1243"/>
        <v>公営住宅</v>
      </c>
      <c r="E3514" s="7" t="str">
        <f t="shared" ref="E3514:E3524" si="1246">"大阪府岸和田市吉井町１丁目"</f>
        <v>大阪府岸和田市吉井町１丁目</v>
      </c>
      <c r="F3514" s="7"/>
      <c r="G3514" s="7" t="str">
        <f t="shared" si="1234"/>
        <v>事業用資産</v>
      </c>
      <c r="H3514" s="7" t="str">
        <f t="shared" si="1230"/>
        <v>棚卸以外</v>
      </c>
      <c r="I3514" s="7">
        <v>1</v>
      </c>
      <c r="J3514" s="7" t="str">
        <f>"１号棟"</f>
        <v>１号棟</v>
      </c>
      <c r="K3514" s="7" t="str">
        <f t="shared" si="1238"/>
        <v>鉄筋コンクリート造</v>
      </c>
      <c r="L3514" s="7" t="str">
        <f>"H04.08.27"</f>
        <v>H04.08.27</v>
      </c>
      <c r="M3514" s="7">
        <v>872.34</v>
      </c>
      <c r="N3514" s="7">
        <v>155712340</v>
      </c>
      <c r="O3514" s="7">
        <v>101148870</v>
      </c>
      <c r="P3514" s="7">
        <v>0</v>
      </c>
      <c r="Q3514" s="7" t="str">
        <f t="shared" si="1237"/>
        <v>都市整備部</v>
      </c>
      <c r="R3514" s="7" t="str">
        <f t="shared" si="1235"/>
        <v>住宅建築局住宅経営室</v>
      </c>
    </row>
    <row r="3515" spans="1:18" s="1" customFormat="1" x14ac:dyDescent="0.45">
      <c r="A3515" s="7" t="str">
        <f t="shared" si="1244"/>
        <v>09940003487</v>
      </c>
      <c r="B3515" s="7" t="str">
        <f t="shared" si="1245"/>
        <v>岸和田春木</v>
      </c>
      <c r="C3515" s="7" t="str">
        <f t="shared" si="1236"/>
        <v>行政財産</v>
      </c>
      <c r="D3515" s="7" t="str">
        <f t="shared" si="1243"/>
        <v>公営住宅</v>
      </c>
      <c r="E3515" s="7" t="str">
        <f t="shared" si="1246"/>
        <v>大阪府岸和田市吉井町１丁目</v>
      </c>
      <c r="F3515" s="7"/>
      <c r="G3515" s="7" t="str">
        <f t="shared" si="1234"/>
        <v>事業用資産</v>
      </c>
      <c r="H3515" s="7" t="str">
        <f t="shared" si="1230"/>
        <v>棚卸以外</v>
      </c>
      <c r="I3515" s="7">
        <v>2</v>
      </c>
      <c r="J3515" s="7" t="str">
        <f>"集会所"</f>
        <v>集会所</v>
      </c>
      <c r="K3515" s="7" t="str">
        <f>"鉄筋"</f>
        <v>鉄筋</v>
      </c>
      <c r="L3515" s="7" t="str">
        <f>"H04.08.27"</f>
        <v>H04.08.27</v>
      </c>
      <c r="M3515" s="7">
        <v>120.08</v>
      </c>
      <c r="N3515" s="7">
        <v>31510000</v>
      </c>
      <c r="O3515" s="7">
        <v>18194394</v>
      </c>
      <c r="P3515" s="7">
        <v>0</v>
      </c>
      <c r="Q3515" s="7" t="str">
        <f t="shared" si="1237"/>
        <v>都市整備部</v>
      </c>
      <c r="R3515" s="7" t="str">
        <f t="shared" si="1235"/>
        <v>住宅建築局住宅経営室</v>
      </c>
    </row>
    <row r="3516" spans="1:18" s="1" customFormat="1" x14ac:dyDescent="0.45">
      <c r="A3516" s="7" t="str">
        <f t="shared" si="1244"/>
        <v>09940003487</v>
      </c>
      <c r="B3516" s="7" t="str">
        <f t="shared" si="1245"/>
        <v>岸和田春木</v>
      </c>
      <c r="C3516" s="7" t="str">
        <f t="shared" si="1236"/>
        <v>行政財産</v>
      </c>
      <c r="D3516" s="7" t="str">
        <f t="shared" si="1243"/>
        <v>公営住宅</v>
      </c>
      <c r="E3516" s="7" t="str">
        <f t="shared" si="1246"/>
        <v>大阪府岸和田市吉井町１丁目</v>
      </c>
      <c r="F3516" s="7"/>
      <c r="G3516" s="7" t="str">
        <f t="shared" si="1234"/>
        <v>事業用資産</v>
      </c>
      <c r="H3516" s="7" t="str">
        <f t="shared" si="1230"/>
        <v>棚卸以外</v>
      </c>
      <c r="I3516" s="7">
        <v>3</v>
      </c>
      <c r="J3516" s="7" t="str">
        <f>"２号棟"</f>
        <v>２号棟</v>
      </c>
      <c r="K3516" s="7" t="str">
        <f>"鉄筋コンクリート造"</f>
        <v>鉄筋コンクリート造</v>
      </c>
      <c r="L3516" s="7" t="str">
        <f>"H05.02.17"</f>
        <v>H05.02.17</v>
      </c>
      <c r="M3516" s="7">
        <v>2991.9</v>
      </c>
      <c r="N3516" s="7">
        <v>466474340</v>
      </c>
      <c r="O3516" s="7">
        <v>298419206</v>
      </c>
      <c r="P3516" s="7">
        <v>0</v>
      </c>
      <c r="Q3516" s="7" t="str">
        <f t="shared" si="1237"/>
        <v>都市整備部</v>
      </c>
      <c r="R3516" s="7" t="str">
        <f t="shared" si="1235"/>
        <v>住宅建築局住宅経営室</v>
      </c>
    </row>
    <row r="3517" spans="1:18" s="1" customFormat="1" x14ac:dyDescent="0.45">
      <c r="A3517" s="7" t="str">
        <f t="shared" si="1244"/>
        <v>09940003487</v>
      </c>
      <c r="B3517" s="7" t="str">
        <f t="shared" si="1245"/>
        <v>岸和田春木</v>
      </c>
      <c r="C3517" s="7" t="str">
        <f t="shared" si="1236"/>
        <v>行政財産</v>
      </c>
      <c r="D3517" s="7" t="str">
        <f t="shared" si="1243"/>
        <v>公営住宅</v>
      </c>
      <c r="E3517" s="7" t="str">
        <f t="shared" si="1246"/>
        <v>大阪府岸和田市吉井町１丁目</v>
      </c>
      <c r="F3517" s="7"/>
      <c r="G3517" s="7" t="str">
        <f t="shared" si="1234"/>
        <v>事業用資産</v>
      </c>
      <c r="H3517" s="7" t="str">
        <f t="shared" si="1230"/>
        <v>棚卸以外</v>
      </c>
      <c r="I3517" s="7">
        <v>4</v>
      </c>
      <c r="J3517" s="7" t="str">
        <f>"３号棟"</f>
        <v>３号棟</v>
      </c>
      <c r="K3517" s="7" t="str">
        <f>"鉄筋コンクリート造"</f>
        <v>鉄筋コンクリート造</v>
      </c>
      <c r="L3517" s="7" t="str">
        <f>"H05.02.17"</f>
        <v>H05.02.17</v>
      </c>
      <c r="M3517" s="7">
        <v>2193.98</v>
      </c>
      <c r="N3517" s="7">
        <v>378911201</v>
      </c>
      <c r="O3517" s="7">
        <v>227777108</v>
      </c>
      <c r="P3517" s="7">
        <v>0</v>
      </c>
      <c r="Q3517" s="7" t="str">
        <f t="shared" si="1237"/>
        <v>都市整備部</v>
      </c>
      <c r="R3517" s="7" t="str">
        <f t="shared" si="1235"/>
        <v>住宅建築局住宅経営室</v>
      </c>
    </row>
    <row r="3518" spans="1:18" s="1" customFormat="1" x14ac:dyDescent="0.45">
      <c r="A3518" s="7" t="str">
        <f t="shared" si="1244"/>
        <v>09940003487</v>
      </c>
      <c r="B3518" s="7" t="str">
        <f t="shared" si="1245"/>
        <v>岸和田春木</v>
      </c>
      <c r="C3518" s="7" t="str">
        <f t="shared" si="1236"/>
        <v>行政財産</v>
      </c>
      <c r="D3518" s="7" t="str">
        <f t="shared" si="1243"/>
        <v>公営住宅</v>
      </c>
      <c r="E3518" s="7" t="str">
        <f t="shared" si="1246"/>
        <v>大阪府岸和田市吉井町１丁目</v>
      </c>
      <c r="F3518" s="7"/>
      <c r="G3518" s="7" t="str">
        <f t="shared" si="1234"/>
        <v>事業用資産</v>
      </c>
      <c r="H3518" s="7" t="str">
        <f t="shared" si="1230"/>
        <v>棚卸以外</v>
      </c>
      <c r="I3518" s="7">
        <v>5</v>
      </c>
      <c r="J3518" s="7" t="str">
        <f>"４号棟"</f>
        <v>４号棟</v>
      </c>
      <c r="K3518" s="7" t="str">
        <f>"鉄筋コンクリート造"</f>
        <v>鉄筋コンクリート造</v>
      </c>
      <c r="L3518" s="7" t="str">
        <f>"H05.02.17"</f>
        <v>H05.02.17</v>
      </c>
      <c r="M3518" s="7">
        <v>2120.09</v>
      </c>
      <c r="N3518" s="7">
        <v>343582340</v>
      </c>
      <c r="O3518" s="7">
        <v>219759472</v>
      </c>
      <c r="P3518" s="7">
        <v>0</v>
      </c>
      <c r="Q3518" s="7" t="str">
        <f t="shared" si="1237"/>
        <v>都市整備部</v>
      </c>
      <c r="R3518" s="7" t="str">
        <f t="shared" si="1235"/>
        <v>住宅建築局住宅経営室</v>
      </c>
    </row>
    <row r="3519" spans="1:18" s="1" customFormat="1" x14ac:dyDescent="0.45">
      <c r="A3519" s="7" t="str">
        <f t="shared" si="1244"/>
        <v>09940003487</v>
      </c>
      <c r="B3519" s="7" t="str">
        <f t="shared" si="1245"/>
        <v>岸和田春木</v>
      </c>
      <c r="C3519" s="7" t="str">
        <f t="shared" si="1236"/>
        <v>行政財産</v>
      </c>
      <c r="D3519" s="7" t="str">
        <f t="shared" si="1243"/>
        <v>公営住宅</v>
      </c>
      <c r="E3519" s="7" t="str">
        <f t="shared" si="1246"/>
        <v>大阪府岸和田市吉井町１丁目</v>
      </c>
      <c r="F3519" s="7"/>
      <c r="G3519" s="7" t="str">
        <f t="shared" si="1234"/>
        <v>事業用資産</v>
      </c>
      <c r="H3519" s="7" t="str">
        <f t="shared" si="1230"/>
        <v>棚卸以外</v>
      </c>
      <c r="I3519" s="7">
        <v>6</v>
      </c>
      <c r="J3519" s="7" t="str">
        <f>"５号棟"</f>
        <v>５号棟</v>
      </c>
      <c r="K3519" s="7" t="str">
        <f>"鉄筋コンクリート造"</f>
        <v>鉄筋コンクリート造</v>
      </c>
      <c r="L3519" s="7" t="str">
        <f>"H05.02.17"</f>
        <v>H05.02.17</v>
      </c>
      <c r="M3519" s="7">
        <v>2193.98</v>
      </c>
      <c r="N3519" s="7">
        <v>380725861</v>
      </c>
      <c r="O3519" s="7">
        <v>229096202</v>
      </c>
      <c r="P3519" s="7">
        <v>0</v>
      </c>
      <c r="Q3519" s="7" t="str">
        <f t="shared" si="1237"/>
        <v>都市整備部</v>
      </c>
      <c r="R3519" s="7" t="str">
        <f t="shared" si="1235"/>
        <v>住宅建築局住宅経営室</v>
      </c>
    </row>
    <row r="3520" spans="1:18" s="1" customFormat="1" x14ac:dyDescent="0.45">
      <c r="A3520" s="7" t="str">
        <f t="shared" si="1244"/>
        <v>09940003487</v>
      </c>
      <c r="B3520" s="7" t="str">
        <f t="shared" si="1245"/>
        <v>岸和田春木</v>
      </c>
      <c r="C3520" s="7" t="str">
        <f t="shared" si="1236"/>
        <v>行政財産</v>
      </c>
      <c r="D3520" s="7" t="str">
        <f t="shared" si="1243"/>
        <v>公営住宅</v>
      </c>
      <c r="E3520" s="7" t="str">
        <f t="shared" si="1246"/>
        <v>大阪府岸和田市吉井町１丁目</v>
      </c>
      <c r="F3520" s="7"/>
      <c r="G3520" s="7" t="str">
        <f t="shared" si="1234"/>
        <v>事業用資産</v>
      </c>
      <c r="H3520" s="7" t="str">
        <f t="shared" si="1230"/>
        <v>棚卸以外</v>
      </c>
      <c r="I3520" s="7">
        <v>7</v>
      </c>
      <c r="J3520" s="7" t="str">
        <f>"６号棟"</f>
        <v>６号棟</v>
      </c>
      <c r="K3520" s="7" t="str">
        <f>"鉄筋コンクリート造"</f>
        <v>鉄筋コンクリート造</v>
      </c>
      <c r="L3520" s="7" t="str">
        <f>"H03.03.30"</f>
        <v>H03.03.30</v>
      </c>
      <c r="M3520" s="7">
        <v>2378.0300000000002</v>
      </c>
      <c r="N3520" s="7">
        <v>382092582</v>
      </c>
      <c r="O3520" s="7">
        <v>212422013</v>
      </c>
      <c r="P3520" s="7">
        <v>0</v>
      </c>
      <c r="Q3520" s="7" t="str">
        <f t="shared" si="1237"/>
        <v>都市整備部</v>
      </c>
      <c r="R3520" s="7" t="str">
        <f t="shared" si="1235"/>
        <v>住宅建築局住宅経営室</v>
      </c>
    </row>
    <row r="3521" spans="1:18" s="1" customFormat="1" x14ac:dyDescent="0.45">
      <c r="A3521" s="7" t="str">
        <f t="shared" si="1244"/>
        <v>09940003487</v>
      </c>
      <c r="B3521" s="7" t="str">
        <f t="shared" si="1245"/>
        <v>岸和田春木</v>
      </c>
      <c r="C3521" s="7" t="str">
        <f t="shared" si="1236"/>
        <v>行政財産</v>
      </c>
      <c r="D3521" s="7" t="str">
        <f t="shared" si="1243"/>
        <v>公営住宅</v>
      </c>
      <c r="E3521" s="7" t="str">
        <f t="shared" si="1246"/>
        <v>大阪府岸和田市吉井町１丁目</v>
      </c>
      <c r="F3521" s="7"/>
      <c r="G3521" s="7" t="str">
        <f t="shared" si="1234"/>
        <v>事業用資産</v>
      </c>
      <c r="H3521" s="7" t="str">
        <f t="shared" si="1230"/>
        <v>棚卸以外</v>
      </c>
      <c r="I3521" s="7">
        <v>8</v>
      </c>
      <c r="J3521" s="7" t="str">
        <f>"７号棟"</f>
        <v>７号棟</v>
      </c>
      <c r="K3521" s="7" t="str">
        <f>"鉄筋"</f>
        <v>鉄筋</v>
      </c>
      <c r="L3521" s="7" t="str">
        <f>"H03.03.30"</f>
        <v>H03.03.30</v>
      </c>
      <c r="M3521" s="7">
        <v>2900.94</v>
      </c>
      <c r="N3521" s="7">
        <v>365686000</v>
      </c>
      <c r="O3521" s="7">
        <v>248977920</v>
      </c>
      <c r="P3521" s="7">
        <v>0</v>
      </c>
      <c r="Q3521" s="7" t="str">
        <f t="shared" si="1237"/>
        <v>都市整備部</v>
      </c>
      <c r="R3521" s="7" t="str">
        <f t="shared" si="1235"/>
        <v>住宅建築局住宅経営室</v>
      </c>
    </row>
    <row r="3522" spans="1:18" s="1" customFormat="1" x14ac:dyDescent="0.45">
      <c r="A3522" s="7" t="str">
        <f t="shared" si="1244"/>
        <v>09940003487</v>
      </c>
      <c r="B3522" s="7" t="str">
        <f t="shared" si="1245"/>
        <v>岸和田春木</v>
      </c>
      <c r="C3522" s="7" t="str">
        <f t="shared" si="1236"/>
        <v>行政財産</v>
      </c>
      <c r="D3522" s="7" t="str">
        <f t="shared" si="1243"/>
        <v>公営住宅</v>
      </c>
      <c r="E3522" s="7" t="str">
        <f t="shared" si="1246"/>
        <v>大阪府岸和田市吉井町１丁目</v>
      </c>
      <c r="F3522" s="7"/>
      <c r="G3522" s="7" t="str">
        <f t="shared" si="1234"/>
        <v>事業用資産</v>
      </c>
      <c r="H3522" s="7" t="str">
        <f t="shared" si="1230"/>
        <v>棚卸以外</v>
      </c>
      <c r="I3522" s="7">
        <v>9</v>
      </c>
      <c r="J3522" s="7" t="str">
        <f>"８号棟"</f>
        <v>８号棟</v>
      </c>
      <c r="K3522" s="7" t="str">
        <f>"鉄筋コンクリート造"</f>
        <v>鉄筋コンクリート造</v>
      </c>
      <c r="L3522" s="7" t="str">
        <f>"H03.03.30"</f>
        <v>H03.03.30</v>
      </c>
      <c r="M3522" s="7">
        <v>1710.68</v>
      </c>
      <c r="N3522" s="7">
        <v>235845340</v>
      </c>
      <c r="O3522" s="7">
        <v>160407936</v>
      </c>
      <c r="P3522" s="7">
        <v>0</v>
      </c>
      <c r="Q3522" s="7" t="str">
        <f t="shared" si="1237"/>
        <v>都市整備部</v>
      </c>
      <c r="R3522" s="7" t="str">
        <f t="shared" si="1235"/>
        <v>住宅建築局住宅経営室</v>
      </c>
    </row>
    <row r="3523" spans="1:18" s="1" customFormat="1" x14ac:dyDescent="0.45">
      <c r="A3523" s="7" t="str">
        <f t="shared" si="1244"/>
        <v>09940003487</v>
      </c>
      <c r="B3523" s="7" t="str">
        <f t="shared" si="1245"/>
        <v>岸和田春木</v>
      </c>
      <c r="C3523" s="7" t="str">
        <f t="shared" si="1236"/>
        <v>行政財産</v>
      </c>
      <c r="D3523" s="7" t="str">
        <f t="shared" si="1243"/>
        <v>公営住宅</v>
      </c>
      <c r="E3523" s="7" t="str">
        <f t="shared" si="1246"/>
        <v>大阪府岸和田市吉井町１丁目</v>
      </c>
      <c r="F3523" s="7"/>
      <c r="G3523" s="7" t="str">
        <f t="shared" si="1234"/>
        <v>事業用資産</v>
      </c>
      <c r="H3523" s="7" t="str">
        <f t="shared" si="1230"/>
        <v>棚卸以外</v>
      </c>
      <c r="I3523" s="7">
        <v>10</v>
      </c>
      <c r="J3523" s="7" t="str">
        <f>"９号棟"</f>
        <v>９号棟</v>
      </c>
      <c r="K3523" s="7" t="str">
        <f>"鉄筋コンクリート造"</f>
        <v>鉄筋コンクリート造</v>
      </c>
      <c r="L3523" s="7" t="str">
        <f>"H03.03.30"</f>
        <v>H03.03.30</v>
      </c>
      <c r="M3523" s="7">
        <v>1277.82</v>
      </c>
      <c r="N3523" s="7">
        <v>177183583</v>
      </c>
      <c r="O3523" s="7">
        <v>120452352</v>
      </c>
      <c r="P3523" s="7">
        <v>0</v>
      </c>
      <c r="Q3523" s="7" t="str">
        <f t="shared" si="1237"/>
        <v>都市整備部</v>
      </c>
      <c r="R3523" s="7" t="str">
        <f t="shared" si="1235"/>
        <v>住宅建築局住宅経営室</v>
      </c>
    </row>
    <row r="3524" spans="1:18" s="1" customFormat="1" x14ac:dyDescent="0.45">
      <c r="A3524" s="7" t="str">
        <f t="shared" si="1244"/>
        <v>09940003487</v>
      </c>
      <c r="B3524" s="7" t="str">
        <f t="shared" si="1245"/>
        <v>岸和田春木</v>
      </c>
      <c r="C3524" s="7" t="str">
        <f t="shared" si="1236"/>
        <v>行政財産</v>
      </c>
      <c r="D3524" s="7" t="str">
        <f t="shared" si="1243"/>
        <v>公営住宅</v>
      </c>
      <c r="E3524" s="7" t="str">
        <f t="shared" si="1246"/>
        <v>大阪府岸和田市吉井町１丁目</v>
      </c>
      <c r="F3524" s="7"/>
      <c r="G3524" s="7" t="str">
        <f t="shared" si="1234"/>
        <v>事業用資産</v>
      </c>
      <c r="H3524" s="7" t="str">
        <f t="shared" ref="H3524:H3587" si="1247">"棚卸以外"</f>
        <v>棚卸以外</v>
      </c>
      <c r="I3524" s="7">
        <v>11</v>
      </c>
      <c r="J3524" s="7" t="str">
        <f>"受水槽（１２７ｔ）"</f>
        <v>受水槽（１２７ｔ）</v>
      </c>
      <c r="K3524" s="7" t="str">
        <f>"鉄筋"</f>
        <v>鉄筋</v>
      </c>
      <c r="L3524" s="7" t="str">
        <f>"H03.03.30"</f>
        <v>H03.03.30</v>
      </c>
      <c r="M3524" s="7">
        <v>92.73</v>
      </c>
      <c r="N3524" s="7">
        <v>34229000</v>
      </c>
      <c r="O3524" s="7">
        <v>23304960</v>
      </c>
      <c r="P3524" s="7">
        <v>0</v>
      </c>
      <c r="Q3524" s="7" t="str">
        <f t="shared" si="1237"/>
        <v>都市整備部</v>
      </c>
      <c r="R3524" s="7" t="str">
        <f t="shared" si="1235"/>
        <v>住宅建築局住宅経営室</v>
      </c>
    </row>
    <row r="3525" spans="1:18" s="1" customFormat="1" x14ac:dyDescent="0.45">
      <c r="A3525" s="7" t="str">
        <f t="shared" ref="A3525:A3537" si="1248">"09940003488"</f>
        <v>09940003488</v>
      </c>
      <c r="B3525" s="7" t="str">
        <f t="shared" ref="B3525:B3537" si="1249">"岸和田額原"</f>
        <v>岸和田額原</v>
      </c>
      <c r="C3525" s="7" t="str">
        <f t="shared" si="1236"/>
        <v>行政財産</v>
      </c>
      <c r="D3525" s="7" t="str">
        <f t="shared" si="1243"/>
        <v>公営住宅</v>
      </c>
      <c r="E3525" s="7" t="str">
        <f t="shared" ref="E3525:E3537" si="1250">"大阪府岸和田市額原町"</f>
        <v>大阪府岸和田市額原町</v>
      </c>
      <c r="F3525" s="7"/>
      <c r="G3525" s="7" t="str">
        <f t="shared" si="1234"/>
        <v>事業用資産</v>
      </c>
      <c r="H3525" s="7" t="str">
        <f t="shared" si="1247"/>
        <v>棚卸以外</v>
      </c>
      <c r="I3525" s="7">
        <v>1</v>
      </c>
      <c r="J3525" s="7" t="str">
        <f>"５号棟"</f>
        <v>５号棟</v>
      </c>
      <c r="K3525" s="7" t="str">
        <f t="shared" ref="K3525:K3549" si="1251">"鉄筋コンクリート造"</f>
        <v>鉄筋コンクリート造</v>
      </c>
      <c r="L3525" s="7" t="str">
        <f t="shared" ref="L3525:L3533" si="1252">"H06.02.17"</f>
        <v>H06.02.17</v>
      </c>
      <c r="M3525" s="7">
        <v>2535.23</v>
      </c>
      <c r="N3525" s="7">
        <v>447629000</v>
      </c>
      <c r="O3525" s="7">
        <v>276990481</v>
      </c>
      <c r="P3525" s="7">
        <v>0</v>
      </c>
      <c r="Q3525" s="7" t="str">
        <f t="shared" si="1237"/>
        <v>都市整備部</v>
      </c>
      <c r="R3525" s="7" t="str">
        <f t="shared" si="1235"/>
        <v>住宅建築局住宅経営室</v>
      </c>
    </row>
    <row r="3526" spans="1:18" s="1" customFormat="1" x14ac:dyDescent="0.45">
      <c r="A3526" s="7" t="str">
        <f t="shared" si="1248"/>
        <v>09940003488</v>
      </c>
      <c r="B3526" s="7" t="str">
        <f t="shared" si="1249"/>
        <v>岸和田額原</v>
      </c>
      <c r="C3526" s="7" t="str">
        <f t="shared" si="1236"/>
        <v>行政財産</v>
      </c>
      <c r="D3526" s="7" t="str">
        <f t="shared" si="1243"/>
        <v>公営住宅</v>
      </c>
      <c r="E3526" s="7" t="str">
        <f t="shared" si="1250"/>
        <v>大阪府岸和田市額原町</v>
      </c>
      <c r="F3526" s="7"/>
      <c r="G3526" s="7" t="str">
        <f t="shared" si="1234"/>
        <v>事業用資産</v>
      </c>
      <c r="H3526" s="7" t="str">
        <f t="shared" si="1247"/>
        <v>棚卸以外</v>
      </c>
      <c r="I3526" s="7">
        <v>2</v>
      </c>
      <c r="J3526" s="7" t="str">
        <f>"６号棟"</f>
        <v>６号棟</v>
      </c>
      <c r="K3526" s="7" t="str">
        <f t="shared" si="1251"/>
        <v>鉄筋コンクリート造</v>
      </c>
      <c r="L3526" s="7" t="str">
        <f t="shared" si="1252"/>
        <v>H06.02.17</v>
      </c>
      <c r="M3526" s="7">
        <v>1535.04</v>
      </c>
      <c r="N3526" s="7">
        <v>287979000</v>
      </c>
      <c r="O3526" s="7">
        <v>178200098</v>
      </c>
      <c r="P3526" s="7">
        <v>0</v>
      </c>
      <c r="Q3526" s="7" t="str">
        <f t="shared" si="1237"/>
        <v>都市整備部</v>
      </c>
      <c r="R3526" s="7" t="str">
        <f t="shared" si="1235"/>
        <v>住宅建築局住宅経営室</v>
      </c>
    </row>
    <row r="3527" spans="1:18" s="1" customFormat="1" x14ac:dyDescent="0.45">
      <c r="A3527" s="7" t="str">
        <f t="shared" si="1248"/>
        <v>09940003488</v>
      </c>
      <c r="B3527" s="7" t="str">
        <f t="shared" si="1249"/>
        <v>岸和田額原</v>
      </c>
      <c r="C3527" s="7" t="str">
        <f t="shared" si="1236"/>
        <v>行政財産</v>
      </c>
      <c r="D3527" s="7" t="str">
        <f t="shared" si="1243"/>
        <v>公営住宅</v>
      </c>
      <c r="E3527" s="7" t="str">
        <f t="shared" si="1250"/>
        <v>大阪府岸和田市額原町</v>
      </c>
      <c r="F3527" s="7"/>
      <c r="G3527" s="7" t="str">
        <f t="shared" si="1234"/>
        <v>事業用資産</v>
      </c>
      <c r="H3527" s="7" t="str">
        <f t="shared" si="1247"/>
        <v>棚卸以外</v>
      </c>
      <c r="I3527" s="7">
        <v>3</v>
      </c>
      <c r="J3527" s="7" t="str">
        <f>"７号棟"</f>
        <v>７号棟</v>
      </c>
      <c r="K3527" s="7" t="str">
        <f t="shared" si="1251"/>
        <v>鉄筋コンクリート造</v>
      </c>
      <c r="L3527" s="7" t="str">
        <f t="shared" si="1252"/>
        <v>H06.02.17</v>
      </c>
      <c r="M3527" s="7">
        <v>2385.7399999999998</v>
      </c>
      <c r="N3527" s="7">
        <v>413750583</v>
      </c>
      <c r="O3527" s="7">
        <v>255859927</v>
      </c>
      <c r="P3527" s="7">
        <v>0</v>
      </c>
      <c r="Q3527" s="7" t="str">
        <f t="shared" si="1237"/>
        <v>都市整備部</v>
      </c>
      <c r="R3527" s="7" t="str">
        <f t="shared" si="1235"/>
        <v>住宅建築局住宅経営室</v>
      </c>
    </row>
    <row r="3528" spans="1:18" s="1" customFormat="1" x14ac:dyDescent="0.45">
      <c r="A3528" s="7" t="str">
        <f t="shared" si="1248"/>
        <v>09940003488</v>
      </c>
      <c r="B3528" s="7" t="str">
        <f t="shared" si="1249"/>
        <v>岸和田額原</v>
      </c>
      <c r="C3528" s="7" t="str">
        <f t="shared" si="1236"/>
        <v>行政財産</v>
      </c>
      <c r="D3528" s="7" t="str">
        <f t="shared" si="1243"/>
        <v>公営住宅</v>
      </c>
      <c r="E3528" s="7" t="str">
        <f t="shared" si="1250"/>
        <v>大阪府岸和田市額原町</v>
      </c>
      <c r="F3528" s="7"/>
      <c r="G3528" s="7" t="str">
        <f t="shared" si="1234"/>
        <v>事業用資産</v>
      </c>
      <c r="H3528" s="7" t="str">
        <f t="shared" si="1247"/>
        <v>棚卸以外</v>
      </c>
      <c r="I3528" s="7">
        <v>4</v>
      </c>
      <c r="J3528" s="7" t="str">
        <f>"８号棟"</f>
        <v>８号棟</v>
      </c>
      <c r="K3528" s="7" t="str">
        <f t="shared" si="1251"/>
        <v>鉄筋コンクリート造</v>
      </c>
      <c r="L3528" s="7" t="str">
        <f t="shared" si="1252"/>
        <v>H06.02.17</v>
      </c>
      <c r="M3528" s="7">
        <v>1270.8</v>
      </c>
      <c r="N3528" s="7">
        <v>226472000</v>
      </c>
      <c r="O3528" s="7">
        <v>140139903</v>
      </c>
      <c r="P3528" s="7">
        <v>0</v>
      </c>
      <c r="Q3528" s="7" t="str">
        <f t="shared" si="1237"/>
        <v>都市整備部</v>
      </c>
      <c r="R3528" s="7" t="str">
        <f t="shared" si="1235"/>
        <v>住宅建築局住宅経営室</v>
      </c>
    </row>
    <row r="3529" spans="1:18" s="1" customFormat="1" x14ac:dyDescent="0.45">
      <c r="A3529" s="7" t="str">
        <f t="shared" si="1248"/>
        <v>09940003488</v>
      </c>
      <c r="B3529" s="7" t="str">
        <f t="shared" si="1249"/>
        <v>岸和田額原</v>
      </c>
      <c r="C3529" s="7" t="str">
        <f t="shared" si="1236"/>
        <v>行政財産</v>
      </c>
      <c r="D3529" s="7" t="str">
        <f t="shared" si="1243"/>
        <v>公営住宅</v>
      </c>
      <c r="E3529" s="7" t="str">
        <f t="shared" si="1250"/>
        <v>大阪府岸和田市額原町</v>
      </c>
      <c r="F3529" s="7"/>
      <c r="G3529" s="7" t="str">
        <f t="shared" si="1234"/>
        <v>事業用資産</v>
      </c>
      <c r="H3529" s="7" t="str">
        <f t="shared" si="1247"/>
        <v>棚卸以外</v>
      </c>
      <c r="I3529" s="7">
        <v>5</v>
      </c>
      <c r="J3529" s="7" t="str">
        <f>"９号棟"</f>
        <v>９号棟</v>
      </c>
      <c r="K3529" s="7" t="str">
        <f t="shared" si="1251"/>
        <v>鉄筋コンクリート造</v>
      </c>
      <c r="L3529" s="7" t="str">
        <f t="shared" si="1252"/>
        <v>H06.02.17</v>
      </c>
      <c r="M3529" s="7">
        <v>2524.96</v>
      </c>
      <c r="N3529" s="7">
        <v>450310583</v>
      </c>
      <c r="O3529" s="7">
        <v>278483154</v>
      </c>
      <c r="P3529" s="7">
        <v>0</v>
      </c>
      <c r="Q3529" s="7" t="str">
        <f t="shared" si="1237"/>
        <v>都市整備部</v>
      </c>
      <c r="R3529" s="7" t="str">
        <f t="shared" si="1235"/>
        <v>住宅建築局住宅経営室</v>
      </c>
    </row>
    <row r="3530" spans="1:18" s="1" customFormat="1" x14ac:dyDescent="0.45">
      <c r="A3530" s="7" t="str">
        <f t="shared" si="1248"/>
        <v>09940003488</v>
      </c>
      <c r="B3530" s="7" t="str">
        <f t="shared" si="1249"/>
        <v>岸和田額原</v>
      </c>
      <c r="C3530" s="7" t="str">
        <f t="shared" si="1236"/>
        <v>行政財産</v>
      </c>
      <c r="D3530" s="7" t="str">
        <f t="shared" si="1243"/>
        <v>公営住宅</v>
      </c>
      <c r="E3530" s="7" t="str">
        <f t="shared" si="1250"/>
        <v>大阪府岸和田市額原町</v>
      </c>
      <c r="F3530" s="7"/>
      <c r="G3530" s="7" t="str">
        <f t="shared" si="1234"/>
        <v>事業用資産</v>
      </c>
      <c r="H3530" s="7" t="str">
        <f t="shared" si="1247"/>
        <v>棚卸以外</v>
      </c>
      <c r="I3530" s="7">
        <v>6</v>
      </c>
      <c r="J3530" s="7" t="str">
        <f>"１０号棟"</f>
        <v>１０号棟</v>
      </c>
      <c r="K3530" s="7" t="str">
        <f t="shared" si="1251"/>
        <v>鉄筋コンクリート造</v>
      </c>
      <c r="L3530" s="7" t="str">
        <f t="shared" si="1252"/>
        <v>H06.02.17</v>
      </c>
      <c r="M3530" s="7">
        <v>2140.9499999999998</v>
      </c>
      <c r="N3530" s="7">
        <v>348418166</v>
      </c>
      <c r="O3530" s="7">
        <v>215265643</v>
      </c>
      <c r="P3530" s="7">
        <v>0</v>
      </c>
      <c r="Q3530" s="7" t="str">
        <f t="shared" si="1237"/>
        <v>都市整備部</v>
      </c>
      <c r="R3530" s="7" t="str">
        <f t="shared" si="1235"/>
        <v>住宅建築局住宅経営室</v>
      </c>
    </row>
    <row r="3531" spans="1:18" s="1" customFormat="1" x14ac:dyDescent="0.45">
      <c r="A3531" s="7" t="str">
        <f t="shared" si="1248"/>
        <v>09940003488</v>
      </c>
      <c r="B3531" s="7" t="str">
        <f t="shared" si="1249"/>
        <v>岸和田額原</v>
      </c>
      <c r="C3531" s="7" t="str">
        <f t="shared" si="1236"/>
        <v>行政財産</v>
      </c>
      <c r="D3531" s="7" t="str">
        <f t="shared" si="1243"/>
        <v>公営住宅</v>
      </c>
      <c r="E3531" s="7" t="str">
        <f t="shared" si="1250"/>
        <v>大阪府岸和田市額原町</v>
      </c>
      <c r="F3531" s="7"/>
      <c r="G3531" s="7" t="str">
        <f t="shared" si="1234"/>
        <v>事業用資産</v>
      </c>
      <c r="H3531" s="7" t="str">
        <f t="shared" si="1247"/>
        <v>棚卸以外</v>
      </c>
      <c r="I3531" s="7">
        <v>7</v>
      </c>
      <c r="J3531" s="7" t="str">
        <f>"汚水処理場"</f>
        <v>汚水処理場</v>
      </c>
      <c r="K3531" s="7" t="str">
        <f t="shared" si="1251"/>
        <v>鉄筋コンクリート造</v>
      </c>
      <c r="L3531" s="7" t="str">
        <f t="shared" si="1252"/>
        <v>H06.02.17</v>
      </c>
      <c r="M3531" s="7">
        <v>27.72</v>
      </c>
      <c r="N3531" s="7">
        <v>39662000</v>
      </c>
      <c r="O3531" s="7">
        <v>24542727</v>
      </c>
      <c r="P3531" s="7">
        <v>0</v>
      </c>
      <c r="Q3531" s="7" t="str">
        <f t="shared" si="1237"/>
        <v>都市整備部</v>
      </c>
      <c r="R3531" s="7" t="str">
        <f t="shared" si="1235"/>
        <v>住宅建築局住宅経営室</v>
      </c>
    </row>
    <row r="3532" spans="1:18" s="1" customFormat="1" x14ac:dyDescent="0.45">
      <c r="A3532" s="7" t="str">
        <f t="shared" si="1248"/>
        <v>09940003488</v>
      </c>
      <c r="B3532" s="7" t="str">
        <f t="shared" si="1249"/>
        <v>岸和田額原</v>
      </c>
      <c r="C3532" s="7" t="str">
        <f t="shared" si="1236"/>
        <v>行政財産</v>
      </c>
      <c r="D3532" s="7" t="str">
        <f t="shared" si="1243"/>
        <v>公営住宅</v>
      </c>
      <c r="E3532" s="7" t="str">
        <f t="shared" si="1250"/>
        <v>大阪府岸和田市額原町</v>
      </c>
      <c r="F3532" s="7"/>
      <c r="G3532" s="7" t="str">
        <f t="shared" si="1234"/>
        <v>事業用資産</v>
      </c>
      <c r="H3532" s="7" t="str">
        <f t="shared" si="1247"/>
        <v>棚卸以外</v>
      </c>
      <c r="I3532" s="7">
        <v>8</v>
      </c>
      <c r="J3532" s="7" t="str">
        <f>"集会所"</f>
        <v>集会所</v>
      </c>
      <c r="K3532" s="7" t="str">
        <f t="shared" si="1251"/>
        <v>鉄筋コンクリート造</v>
      </c>
      <c r="L3532" s="7" t="str">
        <f t="shared" si="1252"/>
        <v>H06.02.17</v>
      </c>
      <c r="M3532" s="7">
        <v>99.81</v>
      </c>
      <c r="N3532" s="7">
        <v>31336000</v>
      </c>
      <c r="O3532" s="7">
        <v>19390789</v>
      </c>
      <c r="P3532" s="7">
        <v>0</v>
      </c>
      <c r="Q3532" s="7" t="str">
        <f t="shared" si="1237"/>
        <v>都市整備部</v>
      </c>
      <c r="R3532" s="7" t="str">
        <f t="shared" si="1235"/>
        <v>住宅建築局住宅経営室</v>
      </c>
    </row>
    <row r="3533" spans="1:18" s="1" customFormat="1" x14ac:dyDescent="0.45">
      <c r="A3533" s="7" t="str">
        <f t="shared" si="1248"/>
        <v>09940003488</v>
      </c>
      <c r="B3533" s="7" t="str">
        <f t="shared" si="1249"/>
        <v>岸和田額原</v>
      </c>
      <c r="C3533" s="7" t="str">
        <f t="shared" si="1236"/>
        <v>行政財産</v>
      </c>
      <c r="D3533" s="7" t="str">
        <f t="shared" si="1243"/>
        <v>公営住宅</v>
      </c>
      <c r="E3533" s="7" t="str">
        <f t="shared" si="1250"/>
        <v>大阪府岸和田市額原町</v>
      </c>
      <c r="F3533" s="7"/>
      <c r="G3533" s="7" t="str">
        <f t="shared" si="1234"/>
        <v>事業用資産</v>
      </c>
      <c r="H3533" s="7" t="str">
        <f t="shared" si="1247"/>
        <v>棚卸以外</v>
      </c>
      <c r="I3533" s="7">
        <v>9</v>
      </c>
      <c r="J3533" s="7" t="str">
        <f>"受水槽"</f>
        <v>受水槽</v>
      </c>
      <c r="K3533" s="7" t="str">
        <f t="shared" si="1251"/>
        <v>鉄筋コンクリート造</v>
      </c>
      <c r="L3533" s="7" t="str">
        <f t="shared" si="1252"/>
        <v>H06.02.17</v>
      </c>
      <c r="M3533" s="7">
        <v>83</v>
      </c>
      <c r="N3533" s="7">
        <v>56155000</v>
      </c>
      <c r="O3533" s="7">
        <v>34748534</v>
      </c>
      <c r="P3533" s="7">
        <v>0</v>
      </c>
      <c r="Q3533" s="7" t="str">
        <f t="shared" si="1237"/>
        <v>都市整備部</v>
      </c>
      <c r="R3533" s="7" t="str">
        <f t="shared" si="1235"/>
        <v>住宅建築局住宅経営室</v>
      </c>
    </row>
    <row r="3534" spans="1:18" s="1" customFormat="1" x14ac:dyDescent="0.45">
      <c r="A3534" s="7" t="str">
        <f t="shared" si="1248"/>
        <v>09940003488</v>
      </c>
      <c r="B3534" s="7" t="str">
        <f t="shared" si="1249"/>
        <v>岸和田額原</v>
      </c>
      <c r="C3534" s="7" t="str">
        <f t="shared" si="1236"/>
        <v>行政財産</v>
      </c>
      <c r="D3534" s="7" t="str">
        <f t="shared" si="1243"/>
        <v>公営住宅</v>
      </c>
      <c r="E3534" s="7" t="str">
        <f t="shared" si="1250"/>
        <v>大阪府岸和田市額原町</v>
      </c>
      <c r="F3534" s="7"/>
      <c r="G3534" s="7" t="str">
        <f t="shared" si="1234"/>
        <v>事業用資産</v>
      </c>
      <c r="H3534" s="7" t="str">
        <f t="shared" si="1247"/>
        <v>棚卸以外</v>
      </c>
      <c r="I3534" s="7">
        <v>10</v>
      </c>
      <c r="J3534" s="7" t="str">
        <f>"１号棟"</f>
        <v>１号棟</v>
      </c>
      <c r="K3534" s="7" t="str">
        <f t="shared" si="1251"/>
        <v>鉄筋コンクリート造</v>
      </c>
      <c r="L3534" s="7" t="str">
        <f>"H07.10.13"</f>
        <v>H07.10.13</v>
      </c>
      <c r="M3534" s="7">
        <v>954.51</v>
      </c>
      <c r="N3534" s="7">
        <v>171615000</v>
      </c>
      <c r="O3534" s="7">
        <v>100108778</v>
      </c>
      <c r="P3534" s="7">
        <v>0</v>
      </c>
      <c r="Q3534" s="7" t="str">
        <f t="shared" si="1237"/>
        <v>都市整備部</v>
      </c>
      <c r="R3534" s="7" t="str">
        <f t="shared" si="1235"/>
        <v>住宅建築局住宅経営室</v>
      </c>
    </row>
    <row r="3535" spans="1:18" s="1" customFormat="1" x14ac:dyDescent="0.45">
      <c r="A3535" s="7" t="str">
        <f t="shared" si="1248"/>
        <v>09940003488</v>
      </c>
      <c r="B3535" s="7" t="str">
        <f t="shared" si="1249"/>
        <v>岸和田額原</v>
      </c>
      <c r="C3535" s="7" t="str">
        <f t="shared" si="1236"/>
        <v>行政財産</v>
      </c>
      <c r="D3535" s="7" t="str">
        <f t="shared" si="1243"/>
        <v>公営住宅</v>
      </c>
      <c r="E3535" s="7" t="str">
        <f t="shared" si="1250"/>
        <v>大阪府岸和田市額原町</v>
      </c>
      <c r="F3535" s="7"/>
      <c r="G3535" s="7" t="str">
        <f t="shared" si="1234"/>
        <v>事業用資産</v>
      </c>
      <c r="H3535" s="7" t="str">
        <f t="shared" si="1247"/>
        <v>棚卸以外</v>
      </c>
      <c r="I3535" s="7">
        <v>11</v>
      </c>
      <c r="J3535" s="7" t="str">
        <f>"２号棟"</f>
        <v>２号棟</v>
      </c>
      <c r="K3535" s="7" t="str">
        <f t="shared" si="1251"/>
        <v>鉄筋コンクリート造</v>
      </c>
      <c r="L3535" s="7" t="str">
        <f>"H07.10.13"</f>
        <v>H07.10.13</v>
      </c>
      <c r="M3535" s="7">
        <v>921</v>
      </c>
      <c r="N3535" s="7">
        <v>161965000</v>
      </c>
      <c r="O3535" s="7">
        <v>94479588</v>
      </c>
      <c r="P3535" s="7">
        <v>0</v>
      </c>
      <c r="Q3535" s="7" t="str">
        <f t="shared" si="1237"/>
        <v>都市整備部</v>
      </c>
      <c r="R3535" s="7" t="str">
        <f t="shared" si="1235"/>
        <v>住宅建築局住宅経営室</v>
      </c>
    </row>
    <row r="3536" spans="1:18" s="1" customFormat="1" x14ac:dyDescent="0.45">
      <c r="A3536" s="7" t="str">
        <f t="shared" si="1248"/>
        <v>09940003488</v>
      </c>
      <c r="B3536" s="7" t="str">
        <f t="shared" si="1249"/>
        <v>岸和田額原</v>
      </c>
      <c r="C3536" s="7" t="str">
        <f t="shared" si="1236"/>
        <v>行政財産</v>
      </c>
      <c r="D3536" s="7" t="str">
        <f t="shared" si="1243"/>
        <v>公営住宅</v>
      </c>
      <c r="E3536" s="7" t="str">
        <f t="shared" si="1250"/>
        <v>大阪府岸和田市額原町</v>
      </c>
      <c r="F3536" s="7"/>
      <c r="G3536" s="7" t="str">
        <f t="shared" si="1234"/>
        <v>事業用資産</v>
      </c>
      <c r="H3536" s="7" t="str">
        <f t="shared" si="1247"/>
        <v>棚卸以外</v>
      </c>
      <c r="I3536" s="7">
        <v>12</v>
      </c>
      <c r="J3536" s="7" t="str">
        <f>"３号棟"</f>
        <v>３号棟</v>
      </c>
      <c r="K3536" s="7" t="str">
        <f t="shared" si="1251"/>
        <v>鉄筋コンクリート造</v>
      </c>
      <c r="L3536" s="7" t="str">
        <f>"H07.10.13"</f>
        <v>H07.10.13</v>
      </c>
      <c r="M3536" s="7">
        <v>1405.83</v>
      </c>
      <c r="N3536" s="7">
        <v>240188000</v>
      </c>
      <c r="O3536" s="7">
        <v>140109914</v>
      </c>
      <c r="P3536" s="7">
        <v>0</v>
      </c>
      <c r="Q3536" s="7" t="str">
        <f t="shared" si="1237"/>
        <v>都市整備部</v>
      </c>
      <c r="R3536" s="7" t="str">
        <f t="shared" si="1235"/>
        <v>住宅建築局住宅経営室</v>
      </c>
    </row>
    <row r="3537" spans="1:18" s="1" customFormat="1" x14ac:dyDescent="0.45">
      <c r="A3537" s="7" t="str">
        <f t="shared" si="1248"/>
        <v>09940003488</v>
      </c>
      <c r="B3537" s="7" t="str">
        <f t="shared" si="1249"/>
        <v>岸和田額原</v>
      </c>
      <c r="C3537" s="7" t="str">
        <f t="shared" si="1236"/>
        <v>行政財産</v>
      </c>
      <c r="D3537" s="7" t="str">
        <f t="shared" si="1243"/>
        <v>公営住宅</v>
      </c>
      <c r="E3537" s="7" t="str">
        <f t="shared" si="1250"/>
        <v>大阪府岸和田市額原町</v>
      </c>
      <c r="F3537" s="7"/>
      <c r="G3537" s="7" t="str">
        <f t="shared" si="1234"/>
        <v>事業用資産</v>
      </c>
      <c r="H3537" s="7" t="str">
        <f t="shared" si="1247"/>
        <v>棚卸以外</v>
      </c>
      <c r="I3537" s="7">
        <v>13</v>
      </c>
      <c r="J3537" s="7" t="str">
        <f>"４号棟"</f>
        <v>４号棟</v>
      </c>
      <c r="K3537" s="7" t="str">
        <f t="shared" si="1251"/>
        <v>鉄筋コンクリート造</v>
      </c>
      <c r="L3537" s="7" t="str">
        <f>"H07.10.13"</f>
        <v>H07.10.13</v>
      </c>
      <c r="M3537" s="7">
        <v>1184.8499999999999</v>
      </c>
      <c r="N3537" s="7">
        <v>184118000</v>
      </c>
      <c r="O3537" s="7">
        <v>107402379</v>
      </c>
      <c r="P3537" s="7">
        <v>0</v>
      </c>
      <c r="Q3537" s="7" t="str">
        <f t="shared" si="1237"/>
        <v>都市整備部</v>
      </c>
      <c r="R3537" s="7" t="str">
        <f t="shared" si="1235"/>
        <v>住宅建築局住宅経営室</v>
      </c>
    </row>
    <row r="3538" spans="1:18" s="1" customFormat="1" x14ac:dyDescent="0.45">
      <c r="A3538" s="7" t="str">
        <f t="shared" ref="A3538:A3547" si="1253">"09940003489"</f>
        <v>09940003489</v>
      </c>
      <c r="B3538" s="7" t="str">
        <f t="shared" ref="B3538:B3547" si="1254">"泉佐野鶴原"</f>
        <v>泉佐野鶴原</v>
      </c>
      <c r="C3538" s="7" t="str">
        <f t="shared" si="1236"/>
        <v>行政財産</v>
      </c>
      <c r="D3538" s="7" t="str">
        <f t="shared" si="1243"/>
        <v>公営住宅</v>
      </c>
      <c r="E3538" s="7" t="str">
        <f t="shared" ref="E3538:E3547" si="1255">"大阪府泉佐野市鶴原"</f>
        <v>大阪府泉佐野市鶴原</v>
      </c>
      <c r="F3538" s="7"/>
      <c r="G3538" s="7" t="str">
        <f t="shared" si="1234"/>
        <v>事業用資産</v>
      </c>
      <c r="H3538" s="7" t="str">
        <f t="shared" si="1247"/>
        <v>棚卸以外</v>
      </c>
      <c r="I3538" s="7">
        <v>1</v>
      </c>
      <c r="J3538" s="7" t="str">
        <f>"４号棟"</f>
        <v>４号棟</v>
      </c>
      <c r="K3538" s="7" t="str">
        <f t="shared" si="1251"/>
        <v>鉄筋コンクリート造</v>
      </c>
      <c r="L3538" s="7" t="str">
        <f t="shared" ref="L3538:L3544" si="1256">"H08.06.28"</f>
        <v>H08.06.28</v>
      </c>
      <c r="M3538" s="7">
        <v>1213.8599999999999</v>
      </c>
      <c r="N3538" s="7">
        <v>196659000</v>
      </c>
      <c r="O3538" s="7">
        <v>111928527</v>
      </c>
      <c r="P3538" s="7">
        <v>0</v>
      </c>
      <c r="Q3538" s="7" t="str">
        <f t="shared" si="1237"/>
        <v>都市整備部</v>
      </c>
      <c r="R3538" s="7" t="str">
        <f t="shared" si="1235"/>
        <v>住宅建築局住宅経営室</v>
      </c>
    </row>
    <row r="3539" spans="1:18" s="1" customFormat="1" x14ac:dyDescent="0.45">
      <c r="A3539" s="7" t="str">
        <f t="shared" si="1253"/>
        <v>09940003489</v>
      </c>
      <c r="B3539" s="7" t="str">
        <f t="shared" si="1254"/>
        <v>泉佐野鶴原</v>
      </c>
      <c r="C3539" s="7" t="str">
        <f t="shared" si="1236"/>
        <v>行政財産</v>
      </c>
      <c r="D3539" s="7" t="str">
        <f t="shared" si="1243"/>
        <v>公営住宅</v>
      </c>
      <c r="E3539" s="7" t="str">
        <f t="shared" si="1255"/>
        <v>大阪府泉佐野市鶴原</v>
      </c>
      <c r="F3539" s="7"/>
      <c r="G3539" s="7" t="str">
        <f t="shared" si="1234"/>
        <v>事業用資産</v>
      </c>
      <c r="H3539" s="7" t="str">
        <f t="shared" si="1247"/>
        <v>棚卸以外</v>
      </c>
      <c r="I3539" s="7">
        <v>2</v>
      </c>
      <c r="J3539" s="7" t="str">
        <f>"５号棟"</f>
        <v>５号棟</v>
      </c>
      <c r="K3539" s="7" t="str">
        <f t="shared" si="1251"/>
        <v>鉄筋コンクリート造</v>
      </c>
      <c r="L3539" s="7" t="str">
        <f t="shared" si="1256"/>
        <v>H08.06.28</v>
      </c>
      <c r="M3539" s="7">
        <v>828.81</v>
      </c>
      <c r="N3539" s="7">
        <v>128144000</v>
      </c>
      <c r="O3539" s="7">
        <v>72933126</v>
      </c>
      <c r="P3539" s="7">
        <v>0</v>
      </c>
      <c r="Q3539" s="7" t="str">
        <f t="shared" si="1237"/>
        <v>都市整備部</v>
      </c>
      <c r="R3539" s="7" t="str">
        <f t="shared" si="1235"/>
        <v>住宅建築局住宅経営室</v>
      </c>
    </row>
    <row r="3540" spans="1:18" s="1" customFormat="1" x14ac:dyDescent="0.45">
      <c r="A3540" s="7" t="str">
        <f t="shared" si="1253"/>
        <v>09940003489</v>
      </c>
      <c r="B3540" s="7" t="str">
        <f t="shared" si="1254"/>
        <v>泉佐野鶴原</v>
      </c>
      <c r="C3540" s="7" t="str">
        <f t="shared" si="1236"/>
        <v>行政財産</v>
      </c>
      <c r="D3540" s="7" t="str">
        <f t="shared" si="1243"/>
        <v>公営住宅</v>
      </c>
      <c r="E3540" s="7" t="str">
        <f t="shared" si="1255"/>
        <v>大阪府泉佐野市鶴原</v>
      </c>
      <c r="F3540" s="7"/>
      <c r="G3540" s="7" t="str">
        <f t="shared" si="1234"/>
        <v>事業用資産</v>
      </c>
      <c r="H3540" s="7" t="str">
        <f t="shared" si="1247"/>
        <v>棚卸以外</v>
      </c>
      <c r="I3540" s="7">
        <v>3</v>
      </c>
      <c r="J3540" s="7" t="str">
        <f>"６，７号棟"</f>
        <v>６，７号棟</v>
      </c>
      <c r="K3540" s="7" t="str">
        <f t="shared" si="1251"/>
        <v>鉄筋コンクリート造</v>
      </c>
      <c r="L3540" s="7" t="str">
        <f t="shared" si="1256"/>
        <v>H08.06.28</v>
      </c>
      <c r="M3540" s="7">
        <v>1580.12</v>
      </c>
      <c r="N3540" s="7">
        <v>259823340</v>
      </c>
      <c r="O3540" s="7">
        <v>147725484</v>
      </c>
      <c r="P3540" s="7">
        <v>0</v>
      </c>
      <c r="Q3540" s="7" t="str">
        <f t="shared" si="1237"/>
        <v>都市整備部</v>
      </c>
      <c r="R3540" s="7" t="str">
        <f t="shared" si="1235"/>
        <v>住宅建築局住宅経営室</v>
      </c>
    </row>
    <row r="3541" spans="1:18" s="1" customFormat="1" x14ac:dyDescent="0.45">
      <c r="A3541" s="7" t="str">
        <f t="shared" si="1253"/>
        <v>09940003489</v>
      </c>
      <c r="B3541" s="7" t="str">
        <f t="shared" si="1254"/>
        <v>泉佐野鶴原</v>
      </c>
      <c r="C3541" s="7" t="str">
        <f t="shared" si="1236"/>
        <v>行政財産</v>
      </c>
      <c r="D3541" s="7" t="str">
        <f t="shared" si="1243"/>
        <v>公営住宅</v>
      </c>
      <c r="E3541" s="7" t="str">
        <f t="shared" si="1255"/>
        <v>大阪府泉佐野市鶴原</v>
      </c>
      <c r="F3541" s="7"/>
      <c r="G3541" s="7" t="str">
        <f t="shared" si="1234"/>
        <v>事業用資産</v>
      </c>
      <c r="H3541" s="7" t="str">
        <f t="shared" si="1247"/>
        <v>棚卸以外</v>
      </c>
      <c r="I3541" s="7">
        <v>4</v>
      </c>
      <c r="J3541" s="7" t="str">
        <f>"８号棟"</f>
        <v>８号棟</v>
      </c>
      <c r="K3541" s="7" t="str">
        <f t="shared" si="1251"/>
        <v>鉄筋コンクリート造</v>
      </c>
      <c r="L3541" s="7" t="str">
        <f t="shared" si="1256"/>
        <v>H08.06.28</v>
      </c>
      <c r="M3541" s="7">
        <v>1625.05</v>
      </c>
      <c r="N3541" s="7">
        <v>243613000</v>
      </c>
      <c r="O3541" s="7">
        <v>138652098</v>
      </c>
      <c r="P3541" s="7">
        <v>0</v>
      </c>
      <c r="Q3541" s="7" t="str">
        <f t="shared" si="1237"/>
        <v>都市整備部</v>
      </c>
      <c r="R3541" s="7" t="str">
        <f t="shared" si="1235"/>
        <v>住宅建築局住宅経営室</v>
      </c>
    </row>
    <row r="3542" spans="1:18" s="1" customFormat="1" x14ac:dyDescent="0.45">
      <c r="A3542" s="7" t="str">
        <f t="shared" si="1253"/>
        <v>09940003489</v>
      </c>
      <c r="B3542" s="7" t="str">
        <f t="shared" si="1254"/>
        <v>泉佐野鶴原</v>
      </c>
      <c r="C3542" s="7" t="str">
        <f t="shared" si="1236"/>
        <v>行政財産</v>
      </c>
      <c r="D3542" s="7" t="str">
        <f t="shared" si="1243"/>
        <v>公営住宅</v>
      </c>
      <c r="E3542" s="7" t="str">
        <f t="shared" si="1255"/>
        <v>大阪府泉佐野市鶴原</v>
      </c>
      <c r="F3542" s="7"/>
      <c r="G3542" s="7" t="str">
        <f t="shared" si="1234"/>
        <v>事業用資産</v>
      </c>
      <c r="H3542" s="7" t="str">
        <f t="shared" si="1247"/>
        <v>棚卸以外</v>
      </c>
      <c r="I3542" s="7">
        <v>5</v>
      </c>
      <c r="J3542" s="7" t="str">
        <f>"９号棟"</f>
        <v>９号棟</v>
      </c>
      <c r="K3542" s="7" t="str">
        <f t="shared" si="1251"/>
        <v>鉄筋コンクリート造</v>
      </c>
      <c r="L3542" s="7" t="str">
        <f t="shared" si="1256"/>
        <v>H08.06.28</v>
      </c>
      <c r="M3542" s="7">
        <v>1207.8699999999999</v>
      </c>
      <c r="N3542" s="7">
        <v>202207680</v>
      </c>
      <c r="O3542" s="7">
        <v>114780933</v>
      </c>
      <c r="P3542" s="7">
        <v>0</v>
      </c>
      <c r="Q3542" s="7" t="str">
        <f t="shared" si="1237"/>
        <v>都市整備部</v>
      </c>
      <c r="R3542" s="7" t="str">
        <f t="shared" si="1235"/>
        <v>住宅建築局住宅経営室</v>
      </c>
    </row>
    <row r="3543" spans="1:18" s="1" customFormat="1" x14ac:dyDescent="0.45">
      <c r="A3543" s="7" t="str">
        <f t="shared" si="1253"/>
        <v>09940003489</v>
      </c>
      <c r="B3543" s="7" t="str">
        <f t="shared" si="1254"/>
        <v>泉佐野鶴原</v>
      </c>
      <c r="C3543" s="7" t="str">
        <f t="shared" si="1236"/>
        <v>行政財産</v>
      </c>
      <c r="D3543" s="7" t="str">
        <f t="shared" si="1243"/>
        <v>公営住宅</v>
      </c>
      <c r="E3543" s="7" t="str">
        <f t="shared" si="1255"/>
        <v>大阪府泉佐野市鶴原</v>
      </c>
      <c r="F3543" s="7"/>
      <c r="G3543" s="7" t="str">
        <f t="shared" ref="G3543:G3606" si="1257">"事業用資産"</f>
        <v>事業用資産</v>
      </c>
      <c r="H3543" s="7" t="str">
        <f t="shared" si="1247"/>
        <v>棚卸以外</v>
      </c>
      <c r="I3543" s="7">
        <v>6</v>
      </c>
      <c r="J3543" s="7" t="str">
        <f>"集会所"</f>
        <v>集会所</v>
      </c>
      <c r="K3543" s="7" t="str">
        <f t="shared" si="1251"/>
        <v>鉄筋コンクリート造</v>
      </c>
      <c r="L3543" s="7" t="str">
        <f t="shared" si="1256"/>
        <v>H08.06.28</v>
      </c>
      <c r="M3543" s="7">
        <v>99.97</v>
      </c>
      <c r="N3543" s="7">
        <v>25902000</v>
      </c>
      <c r="O3543" s="7">
        <v>14742246</v>
      </c>
      <c r="P3543" s="7">
        <v>0</v>
      </c>
      <c r="Q3543" s="7" t="str">
        <f t="shared" si="1237"/>
        <v>都市整備部</v>
      </c>
      <c r="R3543" s="7" t="str">
        <f t="shared" si="1235"/>
        <v>住宅建築局住宅経営室</v>
      </c>
    </row>
    <row r="3544" spans="1:18" s="1" customFormat="1" x14ac:dyDescent="0.45">
      <c r="A3544" s="7" t="str">
        <f t="shared" si="1253"/>
        <v>09940003489</v>
      </c>
      <c r="B3544" s="7" t="str">
        <f t="shared" si="1254"/>
        <v>泉佐野鶴原</v>
      </c>
      <c r="C3544" s="7" t="str">
        <f t="shared" si="1236"/>
        <v>行政財産</v>
      </c>
      <c r="D3544" s="7" t="str">
        <f t="shared" si="1243"/>
        <v>公営住宅</v>
      </c>
      <c r="E3544" s="7" t="str">
        <f t="shared" si="1255"/>
        <v>大阪府泉佐野市鶴原</v>
      </c>
      <c r="F3544" s="7"/>
      <c r="G3544" s="7" t="str">
        <f t="shared" si="1257"/>
        <v>事業用資産</v>
      </c>
      <c r="H3544" s="7" t="str">
        <f t="shared" si="1247"/>
        <v>棚卸以外</v>
      </c>
      <c r="I3544" s="7">
        <v>7</v>
      </c>
      <c r="J3544" s="7" t="str">
        <f>"受水槽"</f>
        <v>受水槽</v>
      </c>
      <c r="K3544" s="7" t="str">
        <f t="shared" si="1251"/>
        <v>鉄筋コンクリート造</v>
      </c>
      <c r="L3544" s="7" t="str">
        <f t="shared" si="1256"/>
        <v>H08.06.28</v>
      </c>
      <c r="M3544" s="7">
        <v>79.099999999999994</v>
      </c>
      <c r="N3544" s="7">
        <v>44541000</v>
      </c>
      <c r="O3544" s="7">
        <v>25350654</v>
      </c>
      <c r="P3544" s="7">
        <v>0</v>
      </c>
      <c r="Q3544" s="7" t="str">
        <f t="shared" si="1237"/>
        <v>都市整備部</v>
      </c>
      <c r="R3544" s="7" t="str">
        <f t="shared" ref="R3544:R3607" si="1258">"住宅建築局住宅経営室"</f>
        <v>住宅建築局住宅経営室</v>
      </c>
    </row>
    <row r="3545" spans="1:18" s="1" customFormat="1" x14ac:dyDescent="0.45">
      <c r="A3545" s="7" t="str">
        <f t="shared" si="1253"/>
        <v>09940003489</v>
      </c>
      <c r="B3545" s="7" t="str">
        <f t="shared" si="1254"/>
        <v>泉佐野鶴原</v>
      </c>
      <c r="C3545" s="7" t="str">
        <f t="shared" si="1236"/>
        <v>行政財産</v>
      </c>
      <c r="D3545" s="7" t="str">
        <f t="shared" si="1243"/>
        <v>公営住宅</v>
      </c>
      <c r="E3545" s="7" t="str">
        <f t="shared" si="1255"/>
        <v>大阪府泉佐野市鶴原</v>
      </c>
      <c r="F3545" s="7"/>
      <c r="G3545" s="7" t="str">
        <f t="shared" si="1257"/>
        <v>事業用資産</v>
      </c>
      <c r="H3545" s="7" t="str">
        <f t="shared" si="1247"/>
        <v>棚卸以外</v>
      </c>
      <c r="I3545" s="7">
        <v>8</v>
      </c>
      <c r="J3545" s="7" t="str">
        <f>"１号棟"</f>
        <v>１号棟</v>
      </c>
      <c r="K3545" s="7" t="str">
        <f t="shared" si="1251"/>
        <v>鉄筋コンクリート造</v>
      </c>
      <c r="L3545" s="7" t="str">
        <f>"H09.12.05"</f>
        <v>H09.12.05</v>
      </c>
      <c r="M3545" s="7">
        <v>988.24</v>
      </c>
      <c r="N3545" s="7">
        <v>168698000</v>
      </c>
      <c r="O3545" s="7">
        <v>90630330</v>
      </c>
      <c r="P3545" s="7">
        <v>0</v>
      </c>
      <c r="Q3545" s="7" t="str">
        <f t="shared" si="1237"/>
        <v>都市整備部</v>
      </c>
      <c r="R3545" s="7" t="str">
        <f t="shared" si="1258"/>
        <v>住宅建築局住宅経営室</v>
      </c>
    </row>
    <row r="3546" spans="1:18" s="1" customFormat="1" x14ac:dyDescent="0.45">
      <c r="A3546" s="7" t="str">
        <f t="shared" si="1253"/>
        <v>09940003489</v>
      </c>
      <c r="B3546" s="7" t="str">
        <f t="shared" si="1254"/>
        <v>泉佐野鶴原</v>
      </c>
      <c r="C3546" s="7" t="str">
        <f t="shared" ref="C3546:C3609" si="1259">"行政財産"</f>
        <v>行政財産</v>
      </c>
      <c r="D3546" s="7" t="str">
        <f t="shared" si="1243"/>
        <v>公営住宅</v>
      </c>
      <c r="E3546" s="7" t="str">
        <f t="shared" si="1255"/>
        <v>大阪府泉佐野市鶴原</v>
      </c>
      <c r="F3546" s="7"/>
      <c r="G3546" s="7" t="str">
        <f t="shared" si="1257"/>
        <v>事業用資産</v>
      </c>
      <c r="H3546" s="7" t="str">
        <f t="shared" si="1247"/>
        <v>棚卸以外</v>
      </c>
      <c r="I3546" s="7">
        <v>9</v>
      </c>
      <c r="J3546" s="7" t="str">
        <f>"２号棟"</f>
        <v>２号棟</v>
      </c>
      <c r="K3546" s="7" t="str">
        <f t="shared" si="1251"/>
        <v>鉄筋コンクリート造</v>
      </c>
      <c r="L3546" s="7" t="str">
        <f>"H09.12.05"</f>
        <v>H09.12.05</v>
      </c>
      <c r="M3546" s="7">
        <v>1178.07</v>
      </c>
      <c r="N3546" s="7">
        <v>190608000</v>
      </c>
      <c r="O3546" s="7">
        <v>102401274</v>
      </c>
      <c r="P3546" s="7">
        <v>0</v>
      </c>
      <c r="Q3546" s="7" t="str">
        <f t="shared" si="1237"/>
        <v>都市整備部</v>
      </c>
      <c r="R3546" s="7" t="str">
        <f t="shared" si="1258"/>
        <v>住宅建築局住宅経営室</v>
      </c>
    </row>
    <row r="3547" spans="1:18" s="1" customFormat="1" x14ac:dyDescent="0.45">
      <c r="A3547" s="7" t="str">
        <f t="shared" si="1253"/>
        <v>09940003489</v>
      </c>
      <c r="B3547" s="7" t="str">
        <f t="shared" si="1254"/>
        <v>泉佐野鶴原</v>
      </c>
      <c r="C3547" s="7" t="str">
        <f t="shared" si="1259"/>
        <v>行政財産</v>
      </c>
      <c r="D3547" s="7" t="str">
        <f t="shared" si="1243"/>
        <v>公営住宅</v>
      </c>
      <c r="E3547" s="7" t="str">
        <f t="shared" si="1255"/>
        <v>大阪府泉佐野市鶴原</v>
      </c>
      <c r="F3547" s="7"/>
      <c r="G3547" s="7" t="str">
        <f t="shared" si="1257"/>
        <v>事業用資産</v>
      </c>
      <c r="H3547" s="7" t="str">
        <f t="shared" si="1247"/>
        <v>棚卸以外</v>
      </c>
      <c r="I3547" s="7">
        <v>10</v>
      </c>
      <c r="J3547" s="7" t="str">
        <f>"３号棟"</f>
        <v>３号棟</v>
      </c>
      <c r="K3547" s="7" t="str">
        <f t="shared" si="1251"/>
        <v>鉄筋コンクリート造</v>
      </c>
      <c r="L3547" s="7" t="str">
        <f>"H09.12.05"</f>
        <v>H09.12.05</v>
      </c>
      <c r="M3547" s="7">
        <v>1204.47</v>
      </c>
      <c r="N3547" s="7">
        <v>151776000</v>
      </c>
      <c r="O3547" s="7">
        <v>81539421</v>
      </c>
      <c r="P3547" s="7">
        <v>0</v>
      </c>
      <c r="Q3547" s="7" t="str">
        <f t="shared" ref="Q3547:Q3610" si="1260">"都市整備部"</f>
        <v>都市整備部</v>
      </c>
      <c r="R3547" s="7" t="str">
        <f t="shared" si="1258"/>
        <v>住宅建築局住宅経営室</v>
      </c>
    </row>
    <row r="3548" spans="1:18" s="1" customFormat="1" x14ac:dyDescent="0.45">
      <c r="A3548" s="7" t="str">
        <f>"09940003490"</f>
        <v>09940003490</v>
      </c>
      <c r="B3548" s="7" t="str">
        <f>"西緑丘"</f>
        <v>西緑丘</v>
      </c>
      <c r="C3548" s="7" t="str">
        <f t="shared" si="1259"/>
        <v>行政財産</v>
      </c>
      <c r="D3548" s="7" t="str">
        <f t="shared" si="1243"/>
        <v>公営住宅</v>
      </c>
      <c r="E3548" s="7" t="str">
        <f>"大阪府豊中市西緑丘１丁目"</f>
        <v>大阪府豊中市西緑丘１丁目</v>
      </c>
      <c r="F3548" s="7"/>
      <c r="G3548" s="7" t="str">
        <f t="shared" si="1257"/>
        <v>事業用資産</v>
      </c>
      <c r="H3548" s="7" t="str">
        <f t="shared" si="1247"/>
        <v>棚卸以外</v>
      </c>
      <c r="I3548" s="7">
        <v>1</v>
      </c>
      <c r="J3548" s="7" t="str">
        <f>"１～５号棟"</f>
        <v>１～５号棟</v>
      </c>
      <c r="K3548" s="7" t="str">
        <f t="shared" si="1251"/>
        <v>鉄筋コンクリート造</v>
      </c>
      <c r="L3548" s="7" t="str">
        <f>"S50.07.07"</f>
        <v>S50.07.07</v>
      </c>
      <c r="M3548" s="7">
        <v>7565.88</v>
      </c>
      <c r="N3548" s="7">
        <v>584268000</v>
      </c>
      <c r="O3548" s="7">
        <v>584267999</v>
      </c>
      <c r="P3548" s="7">
        <v>0</v>
      </c>
      <c r="Q3548" s="7" t="str">
        <f t="shared" si="1260"/>
        <v>都市整備部</v>
      </c>
      <c r="R3548" s="7" t="str">
        <f t="shared" si="1258"/>
        <v>住宅建築局住宅経営室</v>
      </c>
    </row>
    <row r="3549" spans="1:18" s="1" customFormat="1" x14ac:dyDescent="0.45">
      <c r="A3549" s="7" t="str">
        <f>"09940003490"</f>
        <v>09940003490</v>
      </c>
      <c r="B3549" s="7" t="str">
        <f>"西緑丘"</f>
        <v>西緑丘</v>
      </c>
      <c r="C3549" s="7" t="str">
        <f t="shared" si="1259"/>
        <v>行政財産</v>
      </c>
      <c r="D3549" s="7" t="str">
        <f t="shared" si="1243"/>
        <v>公営住宅</v>
      </c>
      <c r="E3549" s="7" t="str">
        <f>"大阪府豊中市西緑丘１丁目"</f>
        <v>大阪府豊中市西緑丘１丁目</v>
      </c>
      <c r="F3549" s="7"/>
      <c r="G3549" s="7" t="str">
        <f t="shared" si="1257"/>
        <v>事業用資産</v>
      </c>
      <c r="H3549" s="7" t="str">
        <f t="shared" si="1247"/>
        <v>棚卸以外</v>
      </c>
      <c r="I3549" s="7">
        <v>2</v>
      </c>
      <c r="J3549" s="7" t="str">
        <f>"集会所"</f>
        <v>集会所</v>
      </c>
      <c r="K3549" s="7" t="str">
        <f t="shared" si="1251"/>
        <v>鉄筋コンクリート造</v>
      </c>
      <c r="L3549" s="7" t="str">
        <f>"S50.07.07"</f>
        <v>S50.07.07</v>
      </c>
      <c r="M3549" s="7">
        <v>97.34</v>
      </c>
      <c r="N3549" s="7">
        <v>8862000</v>
      </c>
      <c r="O3549" s="7">
        <v>8861999</v>
      </c>
      <c r="P3549" s="7">
        <v>0</v>
      </c>
      <c r="Q3549" s="7" t="str">
        <f t="shared" si="1260"/>
        <v>都市整備部</v>
      </c>
      <c r="R3549" s="7" t="str">
        <f t="shared" si="1258"/>
        <v>住宅建築局住宅経営室</v>
      </c>
    </row>
    <row r="3550" spans="1:18" s="1" customFormat="1" ht="26.4" x14ac:dyDescent="0.45">
      <c r="A3550" s="7" t="str">
        <f t="shared" ref="A3550:A3558" si="1261">"09940003491"</f>
        <v>09940003491</v>
      </c>
      <c r="B3550" s="7" t="str">
        <f t="shared" ref="B3550:B3558" si="1262">"東大阪春宮"</f>
        <v>東大阪春宮</v>
      </c>
      <c r="C3550" s="7" t="str">
        <f t="shared" si="1259"/>
        <v>行政財産</v>
      </c>
      <c r="D3550" s="7" t="str">
        <f t="shared" si="1243"/>
        <v>公営住宅</v>
      </c>
      <c r="E3550" s="7" t="str">
        <f t="shared" ref="E3550:E3558" si="1263">"大阪府東大阪市荒本北"</f>
        <v>大阪府東大阪市荒本北</v>
      </c>
      <c r="F3550" s="7"/>
      <c r="G3550" s="7" t="str">
        <f t="shared" si="1257"/>
        <v>事業用資産</v>
      </c>
      <c r="H3550" s="7" t="str">
        <f t="shared" si="1247"/>
        <v>棚卸以外</v>
      </c>
      <c r="I3550" s="7">
        <v>1</v>
      </c>
      <c r="J3550" s="7" t="str">
        <f>"３号棟"</f>
        <v>３号棟</v>
      </c>
      <c r="K3550" s="7" t="str">
        <f t="shared" ref="K3550:K3558" si="1264">"鉄骨鉄筋コンクリート造"</f>
        <v>鉄骨鉄筋コンクリート造</v>
      </c>
      <c r="L3550" s="7" t="str">
        <f>"H06.03.28"</f>
        <v>H06.03.28</v>
      </c>
      <c r="M3550" s="7">
        <v>9961.7900000000009</v>
      </c>
      <c r="N3550" s="7">
        <v>2740982000</v>
      </c>
      <c r="O3550" s="7">
        <v>1691175516</v>
      </c>
      <c r="P3550" s="7">
        <v>0</v>
      </c>
      <c r="Q3550" s="7" t="str">
        <f t="shared" si="1260"/>
        <v>都市整備部</v>
      </c>
      <c r="R3550" s="7" t="str">
        <f t="shared" si="1258"/>
        <v>住宅建築局住宅経営室</v>
      </c>
    </row>
    <row r="3551" spans="1:18" s="1" customFormat="1" ht="26.4" x14ac:dyDescent="0.45">
      <c r="A3551" s="7" t="str">
        <f t="shared" si="1261"/>
        <v>09940003491</v>
      </c>
      <c r="B3551" s="7" t="str">
        <f t="shared" si="1262"/>
        <v>東大阪春宮</v>
      </c>
      <c r="C3551" s="7" t="str">
        <f t="shared" si="1259"/>
        <v>行政財産</v>
      </c>
      <c r="D3551" s="7" t="str">
        <f t="shared" si="1243"/>
        <v>公営住宅</v>
      </c>
      <c r="E3551" s="7" t="str">
        <f t="shared" si="1263"/>
        <v>大阪府東大阪市荒本北</v>
      </c>
      <c r="F3551" s="7"/>
      <c r="G3551" s="7" t="str">
        <f t="shared" si="1257"/>
        <v>事業用資産</v>
      </c>
      <c r="H3551" s="7" t="str">
        <f t="shared" si="1247"/>
        <v>棚卸以外</v>
      </c>
      <c r="I3551" s="7">
        <v>2</v>
      </c>
      <c r="J3551" s="7" t="str">
        <f>"４号棟・５号棟"</f>
        <v>４号棟・５号棟</v>
      </c>
      <c r="K3551" s="7" t="str">
        <f t="shared" si="1264"/>
        <v>鉄骨鉄筋コンクリート造</v>
      </c>
      <c r="L3551" s="7" t="str">
        <f>"H06.03.28"</f>
        <v>H06.03.28</v>
      </c>
      <c r="M3551" s="7">
        <v>18014.650000000001</v>
      </c>
      <c r="N3551" s="7">
        <v>3675091000</v>
      </c>
      <c r="O3551" s="7">
        <v>2267471784</v>
      </c>
      <c r="P3551" s="7">
        <v>0</v>
      </c>
      <c r="Q3551" s="7" t="str">
        <f t="shared" si="1260"/>
        <v>都市整備部</v>
      </c>
      <c r="R3551" s="7" t="str">
        <f t="shared" si="1258"/>
        <v>住宅建築局住宅経営室</v>
      </c>
    </row>
    <row r="3552" spans="1:18" s="1" customFormat="1" ht="26.4" x14ac:dyDescent="0.45">
      <c r="A3552" s="7" t="str">
        <f t="shared" si="1261"/>
        <v>09940003491</v>
      </c>
      <c r="B3552" s="7" t="str">
        <f t="shared" si="1262"/>
        <v>東大阪春宮</v>
      </c>
      <c r="C3552" s="7" t="str">
        <f t="shared" si="1259"/>
        <v>行政財産</v>
      </c>
      <c r="D3552" s="7" t="str">
        <f t="shared" si="1243"/>
        <v>公営住宅</v>
      </c>
      <c r="E3552" s="7" t="str">
        <f t="shared" si="1263"/>
        <v>大阪府東大阪市荒本北</v>
      </c>
      <c r="F3552" s="7"/>
      <c r="G3552" s="7" t="str">
        <f t="shared" si="1257"/>
        <v>事業用資産</v>
      </c>
      <c r="H3552" s="7" t="str">
        <f t="shared" si="1247"/>
        <v>棚卸以外</v>
      </c>
      <c r="I3552" s="7">
        <v>3</v>
      </c>
      <c r="J3552" s="7" t="str">
        <f>"６号棟"</f>
        <v>６号棟</v>
      </c>
      <c r="K3552" s="7" t="str">
        <f t="shared" si="1264"/>
        <v>鉄骨鉄筋コンクリート造</v>
      </c>
      <c r="L3552" s="7" t="str">
        <f>"H06.03.28"</f>
        <v>H06.03.28</v>
      </c>
      <c r="M3552" s="7">
        <v>10841.77</v>
      </c>
      <c r="N3552" s="7">
        <v>2970892000</v>
      </c>
      <c r="O3552" s="7">
        <v>1833034932</v>
      </c>
      <c r="P3552" s="7">
        <v>0</v>
      </c>
      <c r="Q3552" s="7" t="str">
        <f t="shared" si="1260"/>
        <v>都市整備部</v>
      </c>
      <c r="R3552" s="7" t="str">
        <f t="shared" si="1258"/>
        <v>住宅建築局住宅経営室</v>
      </c>
    </row>
    <row r="3553" spans="1:18" s="1" customFormat="1" ht="26.4" x14ac:dyDescent="0.45">
      <c r="A3553" s="7" t="str">
        <f t="shared" si="1261"/>
        <v>09940003491</v>
      </c>
      <c r="B3553" s="7" t="str">
        <f t="shared" si="1262"/>
        <v>東大阪春宮</v>
      </c>
      <c r="C3553" s="7" t="str">
        <f t="shared" si="1259"/>
        <v>行政財産</v>
      </c>
      <c r="D3553" s="7" t="str">
        <f t="shared" si="1243"/>
        <v>公営住宅</v>
      </c>
      <c r="E3553" s="7" t="str">
        <f t="shared" si="1263"/>
        <v>大阪府東大阪市荒本北</v>
      </c>
      <c r="F3553" s="7"/>
      <c r="G3553" s="7" t="str">
        <f t="shared" si="1257"/>
        <v>事業用資産</v>
      </c>
      <c r="H3553" s="7" t="str">
        <f t="shared" si="1247"/>
        <v>棚卸以外</v>
      </c>
      <c r="I3553" s="7">
        <v>4</v>
      </c>
      <c r="J3553" s="7" t="str">
        <f>"７号棟"</f>
        <v>７号棟</v>
      </c>
      <c r="K3553" s="7" t="str">
        <f t="shared" si="1264"/>
        <v>鉄骨鉄筋コンクリート造</v>
      </c>
      <c r="L3553" s="7" t="str">
        <f>"H06.03.28"</f>
        <v>H06.03.28</v>
      </c>
      <c r="M3553" s="7">
        <v>5672.83</v>
      </c>
      <c r="N3553" s="7">
        <v>1425479000</v>
      </c>
      <c r="O3553" s="7">
        <v>879482220</v>
      </c>
      <c r="P3553" s="7">
        <v>0</v>
      </c>
      <c r="Q3553" s="7" t="str">
        <f t="shared" si="1260"/>
        <v>都市整備部</v>
      </c>
      <c r="R3553" s="7" t="str">
        <f t="shared" si="1258"/>
        <v>住宅建築局住宅経営室</v>
      </c>
    </row>
    <row r="3554" spans="1:18" s="1" customFormat="1" ht="26.4" x14ac:dyDescent="0.45">
      <c r="A3554" s="7" t="str">
        <f t="shared" si="1261"/>
        <v>09940003491</v>
      </c>
      <c r="B3554" s="7" t="str">
        <f t="shared" si="1262"/>
        <v>東大阪春宮</v>
      </c>
      <c r="C3554" s="7" t="str">
        <f t="shared" si="1259"/>
        <v>行政財産</v>
      </c>
      <c r="D3554" s="7" t="str">
        <f t="shared" si="1243"/>
        <v>公営住宅</v>
      </c>
      <c r="E3554" s="7" t="str">
        <f t="shared" si="1263"/>
        <v>大阪府東大阪市荒本北</v>
      </c>
      <c r="F3554" s="7"/>
      <c r="G3554" s="7" t="str">
        <f t="shared" si="1257"/>
        <v>事業用資産</v>
      </c>
      <c r="H3554" s="7" t="str">
        <f t="shared" si="1247"/>
        <v>棚卸以外</v>
      </c>
      <c r="I3554" s="7">
        <v>5</v>
      </c>
      <c r="J3554" s="7" t="str">
        <f>"１号棟"</f>
        <v>１号棟</v>
      </c>
      <c r="K3554" s="7" t="str">
        <f t="shared" si="1264"/>
        <v>鉄骨鉄筋コンクリート造</v>
      </c>
      <c r="L3554" s="7" t="str">
        <f>"H06.10.28"</f>
        <v>H06.10.28</v>
      </c>
      <c r="M3554" s="7">
        <v>8828.7900000000009</v>
      </c>
      <c r="N3554" s="7">
        <v>2550263000</v>
      </c>
      <c r="O3554" s="7">
        <v>1463569796</v>
      </c>
      <c r="P3554" s="7">
        <v>0</v>
      </c>
      <c r="Q3554" s="7" t="str">
        <f t="shared" si="1260"/>
        <v>都市整備部</v>
      </c>
      <c r="R3554" s="7" t="str">
        <f t="shared" si="1258"/>
        <v>住宅建築局住宅経営室</v>
      </c>
    </row>
    <row r="3555" spans="1:18" s="1" customFormat="1" ht="26.4" x14ac:dyDescent="0.45">
      <c r="A3555" s="7" t="str">
        <f t="shared" si="1261"/>
        <v>09940003491</v>
      </c>
      <c r="B3555" s="7" t="str">
        <f t="shared" si="1262"/>
        <v>東大阪春宮</v>
      </c>
      <c r="C3555" s="7" t="str">
        <f t="shared" si="1259"/>
        <v>行政財産</v>
      </c>
      <c r="D3555" s="7" t="str">
        <f t="shared" si="1243"/>
        <v>公営住宅</v>
      </c>
      <c r="E3555" s="7" t="str">
        <f t="shared" si="1263"/>
        <v>大阪府東大阪市荒本北</v>
      </c>
      <c r="F3555" s="7"/>
      <c r="G3555" s="7" t="str">
        <f t="shared" si="1257"/>
        <v>事業用資産</v>
      </c>
      <c r="H3555" s="7" t="str">
        <f t="shared" si="1247"/>
        <v>棚卸以外</v>
      </c>
      <c r="I3555" s="7">
        <v>6</v>
      </c>
      <c r="J3555" s="7" t="str">
        <f>"２号棟"</f>
        <v>２号棟</v>
      </c>
      <c r="K3555" s="7" t="str">
        <f t="shared" si="1264"/>
        <v>鉄骨鉄筋コンクリート造</v>
      </c>
      <c r="L3555" s="7" t="str">
        <f>"H07.03.28"</f>
        <v>H07.03.28</v>
      </c>
      <c r="M3555" s="7">
        <v>20002.91</v>
      </c>
      <c r="N3555" s="7">
        <v>7538970000</v>
      </c>
      <c r="O3555" s="7">
        <v>4491301584</v>
      </c>
      <c r="P3555" s="7">
        <v>0</v>
      </c>
      <c r="Q3555" s="7" t="str">
        <f t="shared" si="1260"/>
        <v>都市整備部</v>
      </c>
      <c r="R3555" s="7" t="str">
        <f t="shared" si="1258"/>
        <v>住宅建築局住宅経営室</v>
      </c>
    </row>
    <row r="3556" spans="1:18" s="1" customFormat="1" ht="26.4" x14ac:dyDescent="0.45">
      <c r="A3556" s="7" t="str">
        <f t="shared" si="1261"/>
        <v>09940003491</v>
      </c>
      <c r="B3556" s="7" t="str">
        <f t="shared" si="1262"/>
        <v>東大阪春宮</v>
      </c>
      <c r="C3556" s="7" t="str">
        <f t="shared" si="1259"/>
        <v>行政財産</v>
      </c>
      <c r="D3556" s="7" t="str">
        <f t="shared" si="1243"/>
        <v>公営住宅</v>
      </c>
      <c r="E3556" s="7" t="str">
        <f t="shared" si="1263"/>
        <v>大阪府東大阪市荒本北</v>
      </c>
      <c r="F3556" s="7"/>
      <c r="G3556" s="7" t="str">
        <f t="shared" si="1257"/>
        <v>事業用資産</v>
      </c>
      <c r="H3556" s="7" t="str">
        <f t="shared" si="1247"/>
        <v>棚卸以外</v>
      </c>
      <c r="I3556" s="7">
        <v>7</v>
      </c>
      <c r="J3556" s="7" t="str">
        <f>"８、９号棟"</f>
        <v>８、９号棟</v>
      </c>
      <c r="K3556" s="7" t="str">
        <f t="shared" si="1264"/>
        <v>鉄骨鉄筋コンクリート造</v>
      </c>
      <c r="L3556" s="7" t="str">
        <f>"H09.03.26"</f>
        <v>H09.03.26</v>
      </c>
      <c r="M3556" s="7">
        <v>16363.26</v>
      </c>
      <c r="N3556" s="7">
        <v>4220125764</v>
      </c>
      <c r="O3556" s="7">
        <v>2310919272</v>
      </c>
      <c r="P3556" s="7">
        <v>0</v>
      </c>
      <c r="Q3556" s="7" t="str">
        <f t="shared" si="1260"/>
        <v>都市整備部</v>
      </c>
      <c r="R3556" s="7" t="str">
        <f t="shared" si="1258"/>
        <v>住宅建築局住宅経営室</v>
      </c>
    </row>
    <row r="3557" spans="1:18" s="1" customFormat="1" ht="26.4" x14ac:dyDescent="0.45">
      <c r="A3557" s="7" t="str">
        <f t="shared" si="1261"/>
        <v>09940003491</v>
      </c>
      <c r="B3557" s="7" t="str">
        <f t="shared" si="1262"/>
        <v>東大阪春宮</v>
      </c>
      <c r="C3557" s="7" t="str">
        <f t="shared" si="1259"/>
        <v>行政財産</v>
      </c>
      <c r="D3557" s="7" t="str">
        <f t="shared" si="1243"/>
        <v>公営住宅</v>
      </c>
      <c r="E3557" s="7" t="str">
        <f t="shared" si="1263"/>
        <v>大阪府東大阪市荒本北</v>
      </c>
      <c r="F3557" s="7"/>
      <c r="G3557" s="7" t="str">
        <f t="shared" si="1257"/>
        <v>事業用資産</v>
      </c>
      <c r="H3557" s="7" t="str">
        <f t="shared" si="1247"/>
        <v>棚卸以外</v>
      </c>
      <c r="I3557" s="7">
        <v>8</v>
      </c>
      <c r="J3557" s="7" t="str">
        <f>"１０号棟"</f>
        <v>１０号棟</v>
      </c>
      <c r="K3557" s="7" t="str">
        <f t="shared" si="1264"/>
        <v>鉄骨鉄筋コンクリート造</v>
      </c>
      <c r="L3557" s="7" t="str">
        <f>"H11.03.10"</f>
        <v>H11.03.10</v>
      </c>
      <c r="M3557" s="7">
        <v>20033.25</v>
      </c>
      <c r="N3557" s="7">
        <v>7252547700</v>
      </c>
      <c r="O3557" s="7">
        <v>3658069392</v>
      </c>
      <c r="P3557" s="7">
        <v>0</v>
      </c>
      <c r="Q3557" s="7" t="str">
        <f t="shared" si="1260"/>
        <v>都市整備部</v>
      </c>
      <c r="R3557" s="7" t="str">
        <f t="shared" si="1258"/>
        <v>住宅建築局住宅経営室</v>
      </c>
    </row>
    <row r="3558" spans="1:18" s="1" customFormat="1" ht="26.4" x14ac:dyDescent="0.45">
      <c r="A3558" s="7" t="str">
        <f t="shared" si="1261"/>
        <v>09940003491</v>
      </c>
      <c r="B3558" s="7" t="str">
        <f t="shared" si="1262"/>
        <v>東大阪春宮</v>
      </c>
      <c r="C3558" s="7" t="str">
        <f t="shared" si="1259"/>
        <v>行政財産</v>
      </c>
      <c r="D3558" s="7" t="str">
        <f t="shared" si="1243"/>
        <v>公営住宅</v>
      </c>
      <c r="E3558" s="7" t="str">
        <f t="shared" si="1263"/>
        <v>大阪府東大阪市荒本北</v>
      </c>
      <c r="F3558" s="7"/>
      <c r="G3558" s="7" t="str">
        <f t="shared" si="1257"/>
        <v>事業用資産</v>
      </c>
      <c r="H3558" s="7" t="str">
        <f t="shared" si="1247"/>
        <v>棚卸以外</v>
      </c>
      <c r="I3558" s="7">
        <v>9</v>
      </c>
      <c r="J3558" s="7" t="str">
        <f>"１１号棟"</f>
        <v>１１号棟</v>
      </c>
      <c r="K3558" s="7" t="str">
        <f t="shared" si="1264"/>
        <v>鉄骨鉄筋コンクリート造</v>
      </c>
      <c r="L3558" s="7" t="str">
        <f>"H11.03.10"</f>
        <v>H11.03.10</v>
      </c>
      <c r="M3558" s="7">
        <v>9185.11</v>
      </c>
      <c r="N3558" s="7">
        <v>2175447882</v>
      </c>
      <c r="O3558" s="7">
        <v>1100480652</v>
      </c>
      <c r="P3558" s="7">
        <v>0</v>
      </c>
      <c r="Q3558" s="7" t="str">
        <f t="shared" si="1260"/>
        <v>都市整備部</v>
      </c>
      <c r="R3558" s="7" t="str">
        <f t="shared" si="1258"/>
        <v>住宅建築局住宅経営室</v>
      </c>
    </row>
    <row r="3559" spans="1:18" s="1" customFormat="1" x14ac:dyDescent="0.45">
      <c r="A3559" s="7" t="str">
        <f>"09940003492"</f>
        <v>09940003492</v>
      </c>
      <c r="B3559" s="7" t="str">
        <f>"美原平尾"</f>
        <v>美原平尾</v>
      </c>
      <c r="C3559" s="7" t="str">
        <f t="shared" si="1259"/>
        <v>行政財産</v>
      </c>
      <c r="D3559" s="7" t="str">
        <f t="shared" si="1243"/>
        <v>公営住宅</v>
      </c>
      <c r="E3559" s="7" t="str">
        <f>"大阪府堺市　美原区平尾"</f>
        <v>大阪府堺市　美原区平尾</v>
      </c>
      <c r="F3559" s="7"/>
      <c r="G3559" s="7" t="str">
        <f t="shared" si="1257"/>
        <v>事業用資産</v>
      </c>
      <c r="H3559" s="7" t="str">
        <f t="shared" si="1247"/>
        <v>棚卸以外</v>
      </c>
      <c r="I3559" s="7">
        <v>1</v>
      </c>
      <c r="J3559" s="7" t="str">
        <f>"１号棟"</f>
        <v>１号棟</v>
      </c>
      <c r="K3559" s="7" t="str">
        <f t="shared" ref="K3559:K3579" si="1265">"鉄筋コンクリート造"</f>
        <v>鉄筋コンクリート造</v>
      </c>
      <c r="L3559" s="7" t="str">
        <f>"H12.06.19"</f>
        <v>H12.06.19</v>
      </c>
      <c r="M3559" s="7">
        <v>1432.13</v>
      </c>
      <c r="N3559" s="7">
        <v>327807039</v>
      </c>
      <c r="O3559" s="7">
        <v>158148225</v>
      </c>
      <c r="P3559" s="7">
        <v>0</v>
      </c>
      <c r="Q3559" s="7" t="str">
        <f t="shared" si="1260"/>
        <v>都市整備部</v>
      </c>
      <c r="R3559" s="7" t="str">
        <f t="shared" si="1258"/>
        <v>住宅建築局住宅経営室</v>
      </c>
    </row>
    <row r="3560" spans="1:18" s="1" customFormat="1" x14ac:dyDescent="0.45">
      <c r="A3560" s="7" t="str">
        <f>"09940003492"</f>
        <v>09940003492</v>
      </c>
      <c r="B3560" s="7" t="str">
        <f>"美原平尾"</f>
        <v>美原平尾</v>
      </c>
      <c r="C3560" s="7" t="str">
        <f t="shared" si="1259"/>
        <v>行政財産</v>
      </c>
      <c r="D3560" s="7" t="str">
        <f t="shared" si="1243"/>
        <v>公営住宅</v>
      </c>
      <c r="E3560" s="7" t="str">
        <f>"大阪府堺市　美原区平尾"</f>
        <v>大阪府堺市　美原区平尾</v>
      </c>
      <c r="F3560" s="7"/>
      <c r="G3560" s="7" t="str">
        <f t="shared" si="1257"/>
        <v>事業用資産</v>
      </c>
      <c r="H3560" s="7" t="str">
        <f t="shared" si="1247"/>
        <v>棚卸以外</v>
      </c>
      <c r="I3560" s="7">
        <v>2</v>
      </c>
      <c r="J3560" s="7" t="str">
        <f>"受水槽ポンプ室"</f>
        <v>受水槽ポンプ室</v>
      </c>
      <c r="K3560" s="7" t="str">
        <f t="shared" si="1265"/>
        <v>鉄筋コンクリート造</v>
      </c>
      <c r="L3560" s="7" t="str">
        <f>"H12.06.19"</f>
        <v>H12.06.19</v>
      </c>
      <c r="M3560" s="7">
        <v>62.1</v>
      </c>
      <c r="N3560" s="7">
        <v>25718000</v>
      </c>
      <c r="O3560" s="7">
        <v>12448800</v>
      </c>
      <c r="P3560" s="7">
        <v>0</v>
      </c>
      <c r="Q3560" s="7" t="str">
        <f t="shared" si="1260"/>
        <v>都市整備部</v>
      </c>
      <c r="R3560" s="7" t="str">
        <f t="shared" si="1258"/>
        <v>住宅建築局住宅経営室</v>
      </c>
    </row>
    <row r="3561" spans="1:18" s="1" customFormat="1" x14ac:dyDescent="0.45">
      <c r="A3561" s="7" t="str">
        <f>"09940003493"</f>
        <v>09940003493</v>
      </c>
      <c r="B3561" s="7" t="str">
        <f>"交野星田"</f>
        <v>交野星田</v>
      </c>
      <c r="C3561" s="7" t="str">
        <f t="shared" si="1259"/>
        <v>行政財産</v>
      </c>
      <c r="D3561" s="7" t="str">
        <f t="shared" si="1243"/>
        <v>公営住宅</v>
      </c>
      <c r="E3561" s="7" t="str">
        <f>"大阪府交野市大字星田"</f>
        <v>大阪府交野市大字星田</v>
      </c>
      <c r="F3561" s="7"/>
      <c r="G3561" s="7" t="str">
        <f t="shared" si="1257"/>
        <v>事業用資産</v>
      </c>
      <c r="H3561" s="7" t="str">
        <f t="shared" si="1247"/>
        <v>棚卸以外</v>
      </c>
      <c r="I3561" s="7">
        <v>1</v>
      </c>
      <c r="J3561" s="7" t="str">
        <f>"１号棟・２号棟"</f>
        <v>１号棟・２号棟</v>
      </c>
      <c r="K3561" s="7" t="str">
        <f t="shared" si="1265"/>
        <v>鉄筋コンクリート造</v>
      </c>
      <c r="L3561" s="7" t="str">
        <f>"H06.04.26"</f>
        <v>H06.04.26</v>
      </c>
      <c r="M3561" s="7">
        <v>3165.71</v>
      </c>
      <c r="N3561" s="7">
        <v>628493295</v>
      </c>
      <c r="O3561" s="7">
        <v>385069908</v>
      </c>
      <c r="P3561" s="7">
        <v>0</v>
      </c>
      <c r="Q3561" s="7" t="str">
        <f t="shared" si="1260"/>
        <v>都市整備部</v>
      </c>
      <c r="R3561" s="7" t="str">
        <f t="shared" si="1258"/>
        <v>住宅建築局住宅経営室</v>
      </c>
    </row>
    <row r="3562" spans="1:18" s="1" customFormat="1" x14ac:dyDescent="0.45">
      <c r="A3562" s="7" t="str">
        <f>"09940003493"</f>
        <v>09940003493</v>
      </c>
      <c r="B3562" s="7" t="str">
        <f>"交野星田"</f>
        <v>交野星田</v>
      </c>
      <c r="C3562" s="7" t="str">
        <f t="shared" si="1259"/>
        <v>行政財産</v>
      </c>
      <c r="D3562" s="7" t="str">
        <f t="shared" si="1243"/>
        <v>公営住宅</v>
      </c>
      <c r="E3562" s="7" t="str">
        <f>"大阪府交野市大字星田"</f>
        <v>大阪府交野市大字星田</v>
      </c>
      <c r="F3562" s="7"/>
      <c r="G3562" s="7" t="str">
        <f t="shared" si="1257"/>
        <v>事業用資産</v>
      </c>
      <c r="H3562" s="7" t="str">
        <f t="shared" si="1247"/>
        <v>棚卸以外</v>
      </c>
      <c r="I3562" s="7">
        <v>2</v>
      </c>
      <c r="J3562" s="7" t="str">
        <f>"３号棟"</f>
        <v>３号棟</v>
      </c>
      <c r="K3562" s="7" t="str">
        <f t="shared" si="1265"/>
        <v>鉄筋コンクリート造</v>
      </c>
      <c r="L3562" s="7" t="str">
        <f>"H06.04.26"</f>
        <v>H06.04.26</v>
      </c>
      <c r="M3562" s="7">
        <v>2214.5500000000002</v>
      </c>
      <c r="N3562" s="7">
        <v>452339104</v>
      </c>
      <c r="O3562" s="7">
        <v>278163181</v>
      </c>
      <c r="P3562" s="7">
        <v>0</v>
      </c>
      <c r="Q3562" s="7" t="str">
        <f t="shared" si="1260"/>
        <v>都市整備部</v>
      </c>
      <c r="R3562" s="7" t="str">
        <f t="shared" si="1258"/>
        <v>住宅建築局住宅経営室</v>
      </c>
    </row>
    <row r="3563" spans="1:18" s="1" customFormat="1" x14ac:dyDescent="0.45">
      <c r="A3563" s="7" t="str">
        <f>"09940003493"</f>
        <v>09940003493</v>
      </c>
      <c r="B3563" s="7" t="str">
        <f>"交野星田"</f>
        <v>交野星田</v>
      </c>
      <c r="C3563" s="7" t="str">
        <f t="shared" si="1259"/>
        <v>行政財産</v>
      </c>
      <c r="D3563" s="7" t="str">
        <f t="shared" si="1243"/>
        <v>公営住宅</v>
      </c>
      <c r="E3563" s="7" t="str">
        <f>"大阪府交野市大字星田"</f>
        <v>大阪府交野市大字星田</v>
      </c>
      <c r="F3563" s="7"/>
      <c r="G3563" s="7" t="str">
        <f t="shared" si="1257"/>
        <v>事業用資産</v>
      </c>
      <c r="H3563" s="7" t="str">
        <f t="shared" si="1247"/>
        <v>棚卸以外</v>
      </c>
      <c r="I3563" s="7">
        <v>3</v>
      </c>
      <c r="J3563" s="7" t="str">
        <f>"集会所"</f>
        <v>集会所</v>
      </c>
      <c r="K3563" s="7" t="str">
        <f t="shared" si="1265"/>
        <v>鉄筋コンクリート造</v>
      </c>
      <c r="L3563" s="7" t="str">
        <f>"H06.04.26"</f>
        <v>H06.04.26</v>
      </c>
      <c r="M3563" s="7">
        <v>70</v>
      </c>
      <c r="N3563" s="7">
        <v>26404000</v>
      </c>
      <c r="O3563" s="7">
        <v>16245152</v>
      </c>
      <c r="P3563" s="7">
        <v>0</v>
      </c>
      <c r="Q3563" s="7" t="str">
        <f t="shared" si="1260"/>
        <v>都市整備部</v>
      </c>
      <c r="R3563" s="7" t="str">
        <f t="shared" si="1258"/>
        <v>住宅建築局住宅経営室</v>
      </c>
    </row>
    <row r="3564" spans="1:18" s="1" customFormat="1" x14ac:dyDescent="0.45">
      <c r="A3564" s="7" t="str">
        <f>"09940003493"</f>
        <v>09940003493</v>
      </c>
      <c r="B3564" s="7" t="str">
        <f>"交野星田"</f>
        <v>交野星田</v>
      </c>
      <c r="C3564" s="7" t="str">
        <f t="shared" si="1259"/>
        <v>行政財産</v>
      </c>
      <c r="D3564" s="7" t="str">
        <f t="shared" si="1243"/>
        <v>公営住宅</v>
      </c>
      <c r="E3564" s="7" t="str">
        <f>"大阪府交野市大字星田"</f>
        <v>大阪府交野市大字星田</v>
      </c>
      <c r="F3564" s="7"/>
      <c r="G3564" s="7" t="str">
        <f t="shared" si="1257"/>
        <v>事業用資産</v>
      </c>
      <c r="H3564" s="7" t="str">
        <f t="shared" si="1247"/>
        <v>棚卸以外</v>
      </c>
      <c r="I3564" s="7">
        <v>4</v>
      </c>
      <c r="J3564" s="7" t="str">
        <f>"受水槽"</f>
        <v>受水槽</v>
      </c>
      <c r="K3564" s="7" t="str">
        <f t="shared" si="1265"/>
        <v>鉄筋コンクリート造</v>
      </c>
      <c r="L3564" s="7" t="str">
        <f>"H06.04.26"</f>
        <v>H06.04.26</v>
      </c>
      <c r="M3564" s="7">
        <v>63</v>
      </c>
      <c r="N3564" s="7">
        <v>32322000</v>
      </c>
      <c r="O3564" s="7">
        <v>19886223</v>
      </c>
      <c r="P3564" s="7">
        <v>0</v>
      </c>
      <c r="Q3564" s="7" t="str">
        <f t="shared" si="1260"/>
        <v>都市整備部</v>
      </c>
      <c r="R3564" s="7" t="str">
        <f t="shared" si="1258"/>
        <v>住宅建築局住宅経営室</v>
      </c>
    </row>
    <row r="3565" spans="1:18" s="1" customFormat="1" x14ac:dyDescent="0.45">
      <c r="A3565" s="7" t="str">
        <f>"09940003493"</f>
        <v>09940003493</v>
      </c>
      <c r="B3565" s="7" t="str">
        <f>"交野星田"</f>
        <v>交野星田</v>
      </c>
      <c r="C3565" s="7" t="str">
        <f t="shared" si="1259"/>
        <v>行政財産</v>
      </c>
      <c r="D3565" s="7" t="str">
        <f t="shared" si="1243"/>
        <v>公営住宅</v>
      </c>
      <c r="E3565" s="7" t="str">
        <f>"大阪府交野市大字星田"</f>
        <v>大阪府交野市大字星田</v>
      </c>
      <c r="F3565" s="7"/>
      <c r="G3565" s="7" t="str">
        <f t="shared" si="1257"/>
        <v>事業用資産</v>
      </c>
      <c r="H3565" s="7" t="str">
        <f t="shared" si="1247"/>
        <v>棚卸以外</v>
      </c>
      <c r="I3565" s="7">
        <v>5</v>
      </c>
      <c r="J3565" s="7" t="str">
        <f>"電気室"</f>
        <v>電気室</v>
      </c>
      <c r="K3565" s="7" t="str">
        <f t="shared" si="1265"/>
        <v>鉄筋コンクリート造</v>
      </c>
      <c r="L3565" s="7" t="str">
        <f>"H06.04.26"</f>
        <v>H06.04.26</v>
      </c>
      <c r="M3565" s="7">
        <v>29.34</v>
      </c>
      <c r="N3565" s="7">
        <v>17371000</v>
      </c>
      <c r="O3565" s="7">
        <v>10687600</v>
      </c>
      <c r="P3565" s="7">
        <v>0</v>
      </c>
      <c r="Q3565" s="7" t="str">
        <f t="shared" si="1260"/>
        <v>都市整備部</v>
      </c>
      <c r="R3565" s="7" t="str">
        <f t="shared" si="1258"/>
        <v>住宅建築局住宅経営室</v>
      </c>
    </row>
    <row r="3566" spans="1:18" s="1" customFormat="1" x14ac:dyDescent="0.45">
      <c r="A3566" s="7" t="str">
        <f t="shared" ref="A3566:A3572" si="1266">"09940003495"</f>
        <v>09940003495</v>
      </c>
      <c r="B3566" s="7" t="str">
        <f t="shared" ref="B3566:B3572" si="1267">"桃山台３丁西"</f>
        <v>桃山台３丁西</v>
      </c>
      <c r="C3566" s="7" t="str">
        <f t="shared" si="1259"/>
        <v>行政財産</v>
      </c>
      <c r="D3566" s="7" t="str">
        <f t="shared" si="1243"/>
        <v>公営住宅</v>
      </c>
      <c r="E3566" s="7" t="str">
        <f t="shared" ref="E3566:E3572" si="1268">"大阪府堺市　南区桃山台３丁"</f>
        <v>大阪府堺市　南区桃山台３丁</v>
      </c>
      <c r="F3566" s="7"/>
      <c r="G3566" s="7" t="str">
        <f t="shared" si="1257"/>
        <v>事業用資産</v>
      </c>
      <c r="H3566" s="7" t="str">
        <f t="shared" si="1247"/>
        <v>棚卸以外</v>
      </c>
      <c r="I3566" s="7">
        <v>1</v>
      </c>
      <c r="J3566" s="7" t="str">
        <f>"２号棟"</f>
        <v>２号棟</v>
      </c>
      <c r="K3566" s="7" t="str">
        <f t="shared" si="1265"/>
        <v>鉄筋コンクリート造</v>
      </c>
      <c r="L3566" s="7" t="str">
        <f t="shared" ref="L3566:L3572" si="1269">"S61.03.25"</f>
        <v>S61.03.25</v>
      </c>
      <c r="M3566" s="7">
        <v>1460.04</v>
      </c>
      <c r="N3566" s="7">
        <v>151621000</v>
      </c>
      <c r="O3566" s="7">
        <v>119361408</v>
      </c>
      <c r="P3566" s="7">
        <v>0</v>
      </c>
      <c r="Q3566" s="7" t="str">
        <f t="shared" si="1260"/>
        <v>都市整備部</v>
      </c>
      <c r="R3566" s="7" t="str">
        <f t="shared" si="1258"/>
        <v>住宅建築局住宅経営室</v>
      </c>
    </row>
    <row r="3567" spans="1:18" s="1" customFormat="1" x14ac:dyDescent="0.45">
      <c r="A3567" s="7" t="str">
        <f t="shared" si="1266"/>
        <v>09940003495</v>
      </c>
      <c r="B3567" s="7" t="str">
        <f t="shared" si="1267"/>
        <v>桃山台３丁西</v>
      </c>
      <c r="C3567" s="7" t="str">
        <f t="shared" si="1259"/>
        <v>行政財産</v>
      </c>
      <c r="D3567" s="7" t="str">
        <f t="shared" si="1243"/>
        <v>公営住宅</v>
      </c>
      <c r="E3567" s="7" t="str">
        <f t="shared" si="1268"/>
        <v>大阪府堺市　南区桃山台３丁</v>
      </c>
      <c r="F3567" s="7"/>
      <c r="G3567" s="7" t="str">
        <f t="shared" si="1257"/>
        <v>事業用資産</v>
      </c>
      <c r="H3567" s="7" t="str">
        <f t="shared" si="1247"/>
        <v>棚卸以外</v>
      </c>
      <c r="I3567" s="7">
        <v>2</v>
      </c>
      <c r="J3567" s="7" t="str">
        <f>"３号棟"</f>
        <v>３号棟</v>
      </c>
      <c r="K3567" s="7" t="str">
        <f t="shared" si="1265"/>
        <v>鉄筋コンクリート造</v>
      </c>
      <c r="L3567" s="7" t="str">
        <f t="shared" si="1269"/>
        <v>S61.03.25</v>
      </c>
      <c r="M3567" s="7">
        <v>2186.13</v>
      </c>
      <c r="N3567" s="7">
        <v>244133939</v>
      </c>
      <c r="O3567" s="7">
        <v>191974944</v>
      </c>
      <c r="P3567" s="7">
        <v>0</v>
      </c>
      <c r="Q3567" s="7" t="str">
        <f t="shared" si="1260"/>
        <v>都市整備部</v>
      </c>
      <c r="R3567" s="7" t="str">
        <f t="shared" si="1258"/>
        <v>住宅建築局住宅経営室</v>
      </c>
    </row>
    <row r="3568" spans="1:18" s="1" customFormat="1" x14ac:dyDescent="0.45">
      <c r="A3568" s="7" t="str">
        <f t="shared" si="1266"/>
        <v>09940003495</v>
      </c>
      <c r="B3568" s="7" t="str">
        <f t="shared" si="1267"/>
        <v>桃山台３丁西</v>
      </c>
      <c r="C3568" s="7" t="str">
        <f t="shared" si="1259"/>
        <v>行政財産</v>
      </c>
      <c r="D3568" s="7" t="str">
        <f t="shared" si="1243"/>
        <v>公営住宅</v>
      </c>
      <c r="E3568" s="7" t="str">
        <f t="shared" si="1268"/>
        <v>大阪府堺市　南区桃山台３丁</v>
      </c>
      <c r="F3568" s="7"/>
      <c r="G3568" s="7" t="str">
        <f t="shared" si="1257"/>
        <v>事業用資産</v>
      </c>
      <c r="H3568" s="7" t="str">
        <f t="shared" si="1247"/>
        <v>棚卸以外</v>
      </c>
      <c r="I3568" s="7">
        <v>3</v>
      </c>
      <c r="J3568" s="7" t="str">
        <f>"４号棟"</f>
        <v>４号棟</v>
      </c>
      <c r="K3568" s="7" t="str">
        <f t="shared" si="1265"/>
        <v>鉄筋コンクリート造</v>
      </c>
      <c r="L3568" s="7" t="str">
        <f t="shared" si="1269"/>
        <v>S61.03.25</v>
      </c>
      <c r="M3568" s="7">
        <v>2186.13</v>
      </c>
      <c r="N3568" s="7">
        <v>198566000</v>
      </c>
      <c r="O3568" s="7">
        <v>156318192</v>
      </c>
      <c r="P3568" s="7">
        <v>0</v>
      </c>
      <c r="Q3568" s="7" t="str">
        <f t="shared" si="1260"/>
        <v>都市整備部</v>
      </c>
      <c r="R3568" s="7" t="str">
        <f t="shared" si="1258"/>
        <v>住宅建築局住宅経営室</v>
      </c>
    </row>
    <row r="3569" spans="1:18" s="1" customFormat="1" x14ac:dyDescent="0.45">
      <c r="A3569" s="7" t="str">
        <f t="shared" si="1266"/>
        <v>09940003495</v>
      </c>
      <c r="B3569" s="7" t="str">
        <f t="shared" si="1267"/>
        <v>桃山台３丁西</v>
      </c>
      <c r="C3569" s="7" t="str">
        <f t="shared" si="1259"/>
        <v>行政財産</v>
      </c>
      <c r="D3569" s="7" t="str">
        <f t="shared" si="1243"/>
        <v>公営住宅</v>
      </c>
      <c r="E3569" s="7" t="str">
        <f t="shared" si="1268"/>
        <v>大阪府堺市　南区桃山台３丁</v>
      </c>
      <c r="F3569" s="7"/>
      <c r="G3569" s="7" t="str">
        <f t="shared" si="1257"/>
        <v>事業用資産</v>
      </c>
      <c r="H3569" s="7" t="str">
        <f t="shared" si="1247"/>
        <v>棚卸以外</v>
      </c>
      <c r="I3569" s="7">
        <v>4</v>
      </c>
      <c r="J3569" s="7" t="str">
        <f>"５号棟"</f>
        <v>５号棟</v>
      </c>
      <c r="K3569" s="7" t="str">
        <f t="shared" si="1265"/>
        <v>鉄筋コンクリート造</v>
      </c>
      <c r="L3569" s="7" t="str">
        <f t="shared" si="1269"/>
        <v>S61.03.25</v>
      </c>
      <c r="M3569" s="7">
        <v>1446.99</v>
      </c>
      <c r="N3569" s="7">
        <v>153808000</v>
      </c>
      <c r="O3569" s="7">
        <v>121083240</v>
      </c>
      <c r="P3569" s="7">
        <v>0</v>
      </c>
      <c r="Q3569" s="7" t="str">
        <f t="shared" si="1260"/>
        <v>都市整備部</v>
      </c>
      <c r="R3569" s="7" t="str">
        <f t="shared" si="1258"/>
        <v>住宅建築局住宅経営室</v>
      </c>
    </row>
    <row r="3570" spans="1:18" s="1" customFormat="1" x14ac:dyDescent="0.45">
      <c r="A3570" s="7" t="str">
        <f t="shared" si="1266"/>
        <v>09940003495</v>
      </c>
      <c r="B3570" s="7" t="str">
        <f t="shared" si="1267"/>
        <v>桃山台３丁西</v>
      </c>
      <c r="C3570" s="7" t="str">
        <f t="shared" si="1259"/>
        <v>行政財産</v>
      </c>
      <c r="D3570" s="7" t="str">
        <f t="shared" ref="D3570:D3633" si="1270">"公営住宅"</f>
        <v>公営住宅</v>
      </c>
      <c r="E3570" s="7" t="str">
        <f t="shared" si="1268"/>
        <v>大阪府堺市　南区桃山台３丁</v>
      </c>
      <c r="F3570" s="7"/>
      <c r="G3570" s="7" t="str">
        <f t="shared" si="1257"/>
        <v>事業用資産</v>
      </c>
      <c r="H3570" s="7" t="str">
        <f t="shared" si="1247"/>
        <v>棚卸以外</v>
      </c>
      <c r="I3570" s="7">
        <v>5</v>
      </c>
      <c r="J3570" s="7" t="str">
        <f>"６号棟"</f>
        <v>６号棟</v>
      </c>
      <c r="K3570" s="7" t="str">
        <f t="shared" si="1265"/>
        <v>鉄筋コンクリート造</v>
      </c>
      <c r="L3570" s="7" t="str">
        <f t="shared" si="1269"/>
        <v>S61.03.25</v>
      </c>
      <c r="M3570" s="7">
        <v>2186.13</v>
      </c>
      <c r="N3570" s="7">
        <v>230892000</v>
      </c>
      <c r="O3570" s="7">
        <v>181766052</v>
      </c>
      <c r="P3570" s="7">
        <v>0</v>
      </c>
      <c r="Q3570" s="7" t="str">
        <f t="shared" si="1260"/>
        <v>都市整備部</v>
      </c>
      <c r="R3570" s="7" t="str">
        <f t="shared" si="1258"/>
        <v>住宅建築局住宅経営室</v>
      </c>
    </row>
    <row r="3571" spans="1:18" s="1" customFormat="1" x14ac:dyDescent="0.45">
      <c r="A3571" s="7" t="str">
        <f t="shared" si="1266"/>
        <v>09940003495</v>
      </c>
      <c r="B3571" s="7" t="str">
        <f t="shared" si="1267"/>
        <v>桃山台３丁西</v>
      </c>
      <c r="C3571" s="7" t="str">
        <f t="shared" si="1259"/>
        <v>行政財産</v>
      </c>
      <c r="D3571" s="7" t="str">
        <f t="shared" si="1270"/>
        <v>公営住宅</v>
      </c>
      <c r="E3571" s="7" t="str">
        <f t="shared" si="1268"/>
        <v>大阪府堺市　南区桃山台３丁</v>
      </c>
      <c r="F3571" s="7"/>
      <c r="G3571" s="7" t="str">
        <f t="shared" si="1257"/>
        <v>事業用資産</v>
      </c>
      <c r="H3571" s="7" t="str">
        <f t="shared" si="1247"/>
        <v>棚卸以外</v>
      </c>
      <c r="I3571" s="7">
        <v>6</v>
      </c>
      <c r="J3571" s="7" t="str">
        <f>"７号棟"</f>
        <v>７号棟</v>
      </c>
      <c r="K3571" s="7" t="str">
        <f t="shared" si="1265"/>
        <v>鉄筋コンクリート造</v>
      </c>
      <c r="L3571" s="7" t="str">
        <f t="shared" si="1269"/>
        <v>S61.03.25</v>
      </c>
      <c r="M3571" s="7">
        <v>1446.99</v>
      </c>
      <c r="N3571" s="7">
        <v>146458939</v>
      </c>
      <c r="O3571" s="7">
        <v>115082136</v>
      </c>
      <c r="P3571" s="7">
        <v>0</v>
      </c>
      <c r="Q3571" s="7" t="str">
        <f t="shared" si="1260"/>
        <v>都市整備部</v>
      </c>
      <c r="R3571" s="7" t="str">
        <f t="shared" si="1258"/>
        <v>住宅建築局住宅経営室</v>
      </c>
    </row>
    <row r="3572" spans="1:18" s="1" customFormat="1" x14ac:dyDescent="0.45">
      <c r="A3572" s="7" t="str">
        <f t="shared" si="1266"/>
        <v>09940003495</v>
      </c>
      <c r="B3572" s="7" t="str">
        <f t="shared" si="1267"/>
        <v>桃山台３丁西</v>
      </c>
      <c r="C3572" s="7" t="str">
        <f t="shared" si="1259"/>
        <v>行政財産</v>
      </c>
      <c r="D3572" s="7" t="str">
        <f t="shared" si="1270"/>
        <v>公営住宅</v>
      </c>
      <c r="E3572" s="7" t="str">
        <f t="shared" si="1268"/>
        <v>大阪府堺市　南区桃山台３丁</v>
      </c>
      <c r="F3572" s="7"/>
      <c r="G3572" s="7" t="str">
        <f t="shared" si="1257"/>
        <v>事業用資産</v>
      </c>
      <c r="H3572" s="7" t="str">
        <f t="shared" si="1247"/>
        <v>棚卸以外</v>
      </c>
      <c r="I3572" s="7">
        <v>7</v>
      </c>
      <c r="J3572" s="7" t="str">
        <f>"集会所"</f>
        <v>集会所</v>
      </c>
      <c r="K3572" s="7" t="str">
        <f t="shared" si="1265"/>
        <v>鉄筋コンクリート造</v>
      </c>
      <c r="L3572" s="7" t="str">
        <f t="shared" si="1269"/>
        <v>S61.03.25</v>
      </c>
      <c r="M3572" s="7">
        <v>99.75</v>
      </c>
      <c r="N3572" s="7">
        <v>19773000</v>
      </c>
      <c r="O3572" s="7">
        <v>15566196</v>
      </c>
      <c r="P3572" s="7">
        <v>0</v>
      </c>
      <c r="Q3572" s="7" t="str">
        <f t="shared" si="1260"/>
        <v>都市整備部</v>
      </c>
      <c r="R3572" s="7" t="str">
        <f t="shared" si="1258"/>
        <v>住宅建築局住宅経営室</v>
      </c>
    </row>
    <row r="3573" spans="1:18" s="1" customFormat="1" x14ac:dyDescent="0.45">
      <c r="A3573" s="7" t="str">
        <f t="shared" ref="A3573:A3579" si="1271">"09940003497"</f>
        <v>09940003497</v>
      </c>
      <c r="B3573" s="7" t="str">
        <f t="shared" ref="B3573:B3579" si="1272">"枚方招提第２（旧枚方東招提）"</f>
        <v>枚方招提第２（旧枚方東招提）</v>
      </c>
      <c r="C3573" s="7" t="str">
        <f t="shared" si="1259"/>
        <v>行政財産</v>
      </c>
      <c r="D3573" s="7" t="str">
        <f t="shared" si="1270"/>
        <v>公営住宅</v>
      </c>
      <c r="E3573" s="7" t="str">
        <f t="shared" ref="E3573:E3579" si="1273">"大阪府枚方市招提大谷３丁目"</f>
        <v>大阪府枚方市招提大谷３丁目</v>
      </c>
      <c r="F3573" s="7"/>
      <c r="G3573" s="7" t="str">
        <f t="shared" si="1257"/>
        <v>事業用資産</v>
      </c>
      <c r="H3573" s="7" t="str">
        <f t="shared" si="1247"/>
        <v>棚卸以外</v>
      </c>
      <c r="I3573" s="7">
        <v>1</v>
      </c>
      <c r="J3573" s="7" t="str">
        <f>"１号棟"</f>
        <v>１号棟</v>
      </c>
      <c r="K3573" s="7" t="str">
        <f t="shared" si="1265"/>
        <v>鉄筋コンクリート造</v>
      </c>
      <c r="L3573" s="7" t="str">
        <f t="shared" ref="L3573:L3579" si="1274">"S53.02.24"</f>
        <v>S53.02.24</v>
      </c>
      <c r="M3573" s="7">
        <v>2364</v>
      </c>
      <c r="N3573" s="7">
        <v>185045874</v>
      </c>
      <c r="O3573" s="7">
        <v>176957854</v>
      </c>
      <c r="P3573" s="7">
        <v>0</v>
      </c>
      <c r="Q3573" s="7" t="str">
        <f t="shared" si="1260"/>
        <v>都市整備部</v>
      </c>
      <c r="R3573" s="7" t="str">
        <f t="shared" si="1258"/>
        <v>住宅建築局住宅経営室</v>
      </c>
    </row>
    <row r="3574" spans="1:18" s="1" customFormat="1" x14ac:dyDescent="0.45">
      <c r="A3574" s="7" t="str">
        <f t="shared" si="1271"/>
        <v>09940003497</v>
      </c>
      <c r="B3574" s="7" t="str">
        <f t="shared" si="1272"/>
        <v>枚方招提第２（旧枚方東招提）</v>
      </c>
      <c r="C3574" s="7" t="str">
        <f t="shared" si="1259"/>
        <v>行政財産</v>
      </c>
      <c r="D3574" s="7" t="str">
        <f t="shared" si="1270"/>
        <v>公営住宅</v>
      </c>
      <c r="E3574" s="7" t="str">
        <f t="shared" si="1273"/>
        <v>大阪府枚方市招提大谷３丁目</v>
      </c>
      <c r="F3574" s="7"/>
      <c r="G3574" s="7" t="str">
        <f t="shared" si="1257"/>
        <v>事業用資産</v>
      </c>
      <c r="H3574" s="7" t="str">
        <f t="shared" si="1247"/>
        <v>棚卸以外</v>
      </c>
      <c r="I3574" s="7">
        <v>2</v>
      </c>
      <c r="J3574" s="7" t="str">
        <f>"２号棟"</f>
        <v>２号棟</v>
      </c>
      <c r="K3574" s="7" t="str">
        <f t="shared" si="1265"/>
        <v>鉄筋コンクリート造</v>
      </c>
      <c r="L3574" s="7" t="str">
        <f t="shared" si="1274"/>
        <v>S53.02.24</v>
      </c>
      <c r="M3574" s="7">
        <v>1182</v>
      </c>
      <c r="N3574" s="7">
        <v>101322000</v>
      </c>
      <c r="O3574" s="7">
        <v>97190109</v>
      </c>
      <c r="P3574" s="7">
        <v>0</v>
      </c>
      <c r="Q3574" s="7" t="str">
        <f t="shared" si="1260"/>
        <v>都市整備部</v>
      </c>
      <c r="R3574" s="7" t="str">
        <f t="shared" si="1258"/>
        <v>住宅建築局住宅経営室</v>
      </c>
    </row>
    <row r="3575" spans="1:18" s="1" customFormat="1" x14ac:dyDescent="0.45">
      <c r="A3575" s="7" t="str">
        <f t="shared" si="1271"/>
        <v>09940003497</v>
      </c>
      <c r="B3575" s="7" t="str">
        <f t="shared" si="1272"/>
        <v>枚方招提第２（旧枚方東招提）</v>
      </c>
      <c r="C3575" s="7" t="str">
        <f t="shared" si="1259"/>
        <v>行政財産</v>
      </c>
      <c r="D3575" s="7" t="str">
        <f t="shared" si="1270"/>
        <v>公営住宅</v>
      </c>
      <c r="E3575" s="7" t="str">
        <f t="shared" si="1273"/>
        <v>大阪府枚方市招提大谷３丁目</v>
      </c>
      <c r="F3575" s="7"/>
      <c r="G3575" s="7" t="str">
        <f t="shared" si="1257"/>
        <v>事業用資産</v>
      </c>
      <c r="H3575" s="7" t="str">
        <f t="shared" si="1247"/>
        <v>棚卸以外</v>
      </c>
      <c r="I3575" s="7">
        <v>3</v>
      </c>
      <c r="J3575" s="7" t="str">
        <f>"３号棟"</f>
        <v>３号棟</v>
      </c>
      <c r="K3575" s="7" t="str">
        <f t="shared" si="1265"/>
        <v>鉄筋コンクリート造</v>
      </c>
      <c r="L3575" s="7" t="str">
        <f t="shared" si="1274"/>
        <v>S53.02.24</v>
      </c>
      <c r="M3575" s="7">
        <v>1182</v>
      </c>
      <c r="N3575" s="7">
        <v>101322000</v>
      </c>
      <c r="O3575" s="7">
        <v>97190109</v>
      </c>
      <c r="P3575" s="7">
        <v>0</v>
      </c>
      <c r="Q3575" s="7" t="str">
        <f t="shared" si="1260"/>
        <v>都市整備部</v>
      </c>
      <c r="R3575" s="7" t="str">
        <f t="shared" si="1258"/>
        <v>住宅建築局住宅経営室</v>
      </c>
    </row>
    <row r="3576" spans="1:18" s="1" customFormat="1" x14ac:dyDescent="0.45">
      <c r="A3576" s="7" t="str">
        <f t="shared" si="1271"/>
        <v>09940003497</v>
      </c>
      <c r="B3576" s="7" t="str">
        <f t="shared" si="1272"/>
        <v>枚方招提第２（旧枚方東招提）</v>
      </c>
      <c r="C3576" s="7" t="str">
        <f t="shared" si="1259"/>
        <v>行政財産</v>
      </c>
      <c r="D3576" s="7" t="str">
        <f t="shared" si="1270"/>
        <v>公営住宅</v>
      </c>
      <c r="E3576" s="7" t="str">
        <f t="shared" si="1273"/>
        <v>大阪府枚方市招提大谷３丁目</v>
      </c>
      <c r="F3576" s="7"/>
      <c r="G3576" s="7" t="str">
        <f t="shared" si="1257"/>
        <v>事業用資産</v>
      </c>
      <c r="H3576" s="7" t="str">
        <f t="shared" si="1247"/>
        <v>棚卸以外</v>
      </c>
      <c r="I3576" s="7">
        <v>4</v>
      </c>
      <c r="J3576" s="7" t="str">
        <f>"４号棟"</f>
        <v>４号棟</v>
      </c>
      <c r="K3576" s="7" t="str">
        <f t="shared" si="1265"/>
        <v>鉄筋コンクリート造</v>
      </c>
      <c r="L3576" s="7" t="str">
        <f t="shared" si="1274"/>
        <v>S53.02.24</v>
      </c>
      <c r="M3576" s="7">
        <v>3296.72</v>
      </c>
      <c r="N3576" s="7">
        <v>373188688</v>
      </c>
      <c r="O3576" s="7">
        <v>288559623</v>
      </c>
      <c r="P3576" s="7">
        <v>0</v>
      </c>
      <c r="Q3576" s="7" t="str">
        <f t="shared" si="1260"/>
        <v>都市整備部</v>
      </c>
      <c r="R3576" s="7" t="str">
        <f t="shared" si="1258"/>
        <v>住宅建築局住宅経営室</v>
      </c>
    </row>
    <row r="3577" spans="1:18" s="1" customFormat="1" x14ac:dyDescent="0.45">
      <c r="A3577" s="7" t="str">
        <f t="shared" si="1271"/>
        <v>09940003497</v>
      </c>
      <c r="B3577" s="7" t="str">
        <f t="shared" si="1272"/>
        <v>枚方招提第２（旧枚方東招提）</v>
      </c>
      <c r="C3577" s="7" t="str">
        <f t="shared" si="1259"/>
        <v>行政財産</v>
      </c>
      <c r="D3577" s="7" t="str">
        <f t="shared" si="1270"/>
        <v>公営住宅</v>
      </c>
      <c r="E3577" s="7" t="str">
        <f t="shared" si="1273"/>
        <v>大阪府枚方市招提大谷３丁目</v>
      </c>
      <c r="F3577" s="7"/>
      <c r="G3577" s="7" t="str">
        <f t="shared" si="1257"/>
        <v>事業用資産</v>
      </c>
      <c r="H3577" s="7" t="str">
        <f t="shared" si="1247"/>
        <v>棚卸以外</v>
      </c>
      <c r="I3577" s="7">
        <v>5</v>
      </c>
      <c r="J3577" s="7" t="str">
        <f>"５号棟"</f>
        <v>５号棟</v>
      </c>
      <c r="K3577" s="7" t="str">
        <f t="shared" si="1265"/>
        <v>鉄筋コンクリート造</v>
      </c>
      <c r="L3577" s="7" t="str">
        <f t="shared" si="1274"/>
        <v>S53.02.24</v>
      </c>
      <c r="M3577" s="7">
        <v>3296.72</v>
      </c>
      <c r="N3577" s="7">
        <v>373753561</v>
      </c>
      <c r="O3577" s="7">
        <v>288559623</v>
      </c>
      <c r="P3577" s="7">
        <v>0</v>
      </c>
      <c r="Q3577" s="7" t="str">
        <f t="shared" si="1260"/>
        <v>都市整備部</v>
      </c>
      <c r="R3577" s="7" t="str">
        <f t="shared" si="1258"/>
        <v>住宅建築局住宅経営室</v>
      </c>
    </row>
    <row r="3578" spans="1:18" s="1" customFormat="1" x14ac:dyDescent="0.45">
      <c r="A3578" s="7" t="str">
        <f t="shared" si="1271"/>
        <v>09940003497</v>
      </c>
      <c r="B3578" s="7" t="str">
        <f t="shared" si="1272"/>
        <v>枚方招提第２（旧枚方東招提）</v>
      </c>
      <c r="C3578" s="7" t="str">
        <f t="shared" si="1259"/>
        <v>行政財産</v>
      </c>
      <c r="D3578" s="7" t="str">
        <f t="shared" si="1270"/>
        <v>公営住宅</v>
      </c>
      <c r="E3578" s="7" t="str">
        <f t="shared" si="1273"/>
        <v>大阪府枚方市招提大谷３丁目</v>
      </c>
      <c r="F3578" s="7"/>
      <c r="G3578" s="7" t="str">
        <f t="shared" si="1257"/>
        <v>事業用資産</v>
      </c>
      <c r="H3578" s="7" t="str">
        <f t="shared" si="1247"/>
        <v>棚卸以外</v>
      </c>
      <c r="I3578" s="7">
        <v>6</v>
      </c>
      <c r="J3578" s="7" t="str">
        <f>"集会所"</f>
        <v>集会所</v>
      </c>
      <c r="K3578" s="7" t="str">
        <f t="shared" si="1265"/>
        <v>鉄筋コンクリート造</v>
      </c>
      <c r="L3578" s="7" t="str">
        <f t="shared" si="1274"/>
        <v>S53.02.24</v>
      </c>
      <c r="M3578" s="7">
        <v>118.13</v>
      </c>
      <c r="N3578" s="7">
        <v>19083000</v>
      </c>
      <c r="O3578" s="7">
        <v>18305276</v>
      </c>
      <c r="P3578" s="7">
        <v>0</v>
      </c>
      <c r="Q3578" s="7" t="str">
        <f t="shared" si="1260"/>
        <v>都市整備部</v>
      </c>
      <c r="R3578" s="7" t="str">
        <f t="shared" si="1258"/>
        <v>住宅建築局住宅経営室</v>
      </c>
    </row>
    <row r="3579" spans="1:18" s="1" customFormat="1" x14ac:dyDescent="0.45">
      <c r="A3579" s="7" t="str">
        <f t="shared" si="1271"/>
        <v>09940003497</v>
      </c>
      <c r="B3579" s="7" t="str">
        <f t="shared" si="1272"/>
        <v>枚方招提第２（旧枚方東招提）</v>
      </c>
      <c r="C3579" s="7" t="str">
        <f t="shared" si="1259"/>
        <v>行政財産</v>
      </c>
      <c r="D3579" s="7" t="str">
        <f t="shared" si="1270"/>
        <v>公営住宅</v>
      </c>
      <c r="E3579" s="7" t="str">
        <f t="shared" si="1273"/>
        <v>大阪府枚方市招提大谷３丁目</v>
      </c>
      <c r="F3579" s="7"/>
      <c r="G3579" s="7" t="str">
        <f t="shared" si="1257"/>
        <v>事業用資産</v>
      </c>
      <c r="H3579" s="7" t="str">
        <f t="shared" si="1247"/>
        <v>棚卸以外</v>
      </c>
      <c r="I3579" s="7">
        <v>7</v>
      </c>
      <c r="J3579" s="7" t="str">
        <f>"ポンプ室"</f>
        <v>ポンプ室</v>
      </c>
      <c r="K3579" s="7" t="str">
        <f t="shared" si="1265"/>
        <v>鉄筋コンクリート造</v>
      </c>
      <c r="L3579" s="7" t="str">
        <f t="shared" si="1274"/>
        <v>S53.02.24</v>
      </c>
      <c r="M3579" s="7">
        <v>88</v>
      </c>
      <c r="N3579" s="7">
        <v>6712000</v>
      </c>
      <c r="O3579" s="7">
        <v>6438441</v>
      </c>
      <c r="P3579" s="7">
        <v>0</v>
      </c>
      <c r="Q3579" s="7" t="str">
        <f t="shared" si="1260"/>
        <v>都市整備部</v>
      </c>
      <c r="R3579" s="7" t="str">
        <f t="shared" si="1258"/>
        <v>住宅建築局住宅経営室</v>
      </c>
    </row>
    <row r="3580" spans="1:18" s="1" customFormat="1" ht="26.4" x14ac:dyDescent="0.45">
      <c r="A3580" s="7" t="str">
        <f>"09940003498"</f>
        <v>09940003498</v>
      </c>
      <c r="B3580" s="7" t="str">
        <f>"八尾二俣"</f>
        <v>八尾二俣</v>
      </c>
      <c r="C3580" s="7" t="str">
        <f t="shared" si="1259"/>
        <v>行政財産</v>
      </c>
      <c r="D3580" s="7" t="str">
        <f t="shared" si="1270"/>
        <v>公営住宅</v>
      </c>
      <c r="E3580" s="7" t="str">
        <f>"大阪府八尾市天王寺屋６丁目"</f>
        <v>大阪府八尾市天王寺屋６丁目</v>
      </c>
      <c r="F3580" s="7" t="str">
        <f>"５４"</f>
        <v>５４</v>
      </c>
      <c r="G3580" s="7" t="str">
        <f t="shared" si="1257"/>
        <v>事業用資産</v>
      </c>
      <c r="H3580" s="7" t="str">
        <f t="shared" si="1247"/>
        <v>棚卸以外</v>
      </c>
      <c r="I3580" s="7">
        <v>1</v>
      </c>
      <c r="J3580" s="7" t="str">
        <f>"２号棟"</f>
        <v>２号棟</v>
      </c>
      <c r="K3580" s="7" t="str">
        <f>"鉄骨鉄筋コンクリート造"</f>
        <v>鉄骨鉄筋コンクリート造</v>
      </c>
      <c r="L3580" s="7" t="str">
        <f>"S51.08.18"</f>
        <v>S51.08.18</v>
      </c>
      <c r="M3580" s="7">
        <v>5587.38</v>
      </c>
      <c r="N3580" s="7">
        <v>643248093</v>
      </c>
      <c r="O3580" s="7">
        <v>632278878</v>
      </c>
      <c r="P3580" s="7">
        <v>0</v>
      </c>
      <c r="Q3580" s="7" t="str">
        <f t="shared" si="1260"/>
        <v>都市整備部</v>
      </c>
      <c r="R3580" s="7" t="str">
        <f t="shared" si="1258"/>
        <v>住宅建築局住宅経営室</v>
      </c>
    </row>
    <row r="3581" spans="1:18" s="1" customFormat="1" ht="26.4" x14ac:dyDescent="0.45">
      <c r="A3581" s="7" t="str">
        <f>"09940003498"</f>
        <v>09940003498</v>
      </c>
      <c r="B3581" s="7" t="str">
        <f>"八尾二俣"</f>
        <v>八尾二俣</v>
      </c>
      <c r="C3581" s="7" t="str">
        <f t="shared" si="1259"/>
        <v>行政財産</v>
      </c>
      <c r="D3581" s="7" t="str">
        <f t="shared" si="1270"/>
        <v>公営住宅</v>
      </c>
      <c r="E3581" s="7" t="str">
        <f>"大阪府八尾市天王寺屋６丁目"</f>
        <v>大阪府八尾市天王寺屋６丁目</v>
      </c>
      <c r="F3581" s="7" t="str">
        <f>"５４"</f>
        <v>５４</v>
      </c>
      <c r="G3581" s="7" t="str">
        <f t="shared" si="1257"/>
        <v>事業用資産</v>
      </c>
      <c r="H3581" s="7" t="str">
        <f t="shared" si="1247"/>
        <v>棚卸以外</v>
      </c>
      <c r="I3581" s="7">
        <v>2</v>
      </c>
      <c r="J3581" s="7" t="str">
        <f>"１号棟"</f>
        <v>１号棟</v>
      </c>
      <c r="K3581" s="7" t="str">
        <f>"鉄骨鉄筋コンクリート造"</f>
        <v>鉄骨鉄筋コンクリート造</v>
      </c>
      <c r="L3581" s="7" t="str">
        <f>"S51.08.18"</f>
        <v>S51.08.18</v>
      </c>
      <c r="M3581" s="7">
        <v>5518.4</v>
      </c>
      <c r="N3581" s="7">
        <v>634327844</v>
      </c>
      <c r="O3581" s="7">
        <v>624198110</v>
      </c>
      <c r="P3581" s="7">
        <v>0</v>
      </c>
      <c r="Q3581" s="7" t="str">
        <f t="shared" si="1260"/>
        <v>都市整備部</v>
      </c>
      <c r="R3581" s="7" t="str">
        <f t="shared" si="1258"/>
        <v>住宅建築局住宅経営室</v>
      </c>
    </row>
    <row r="3582" spans="1:18" s="1" customFormat="1" x14ac:dyDescent="0.45">
      <c r="A3582" s="7" t="str">
        <f>"09940003498"</f>
        <v>09940003498</v>
      </c>
      <c r="B3582" s="7" t="str">
        <f>"八尾二俣"</f>
        <v>八尾二俣</v>
      </c>
      <c r="C3582" s="7" t="str">
        <f t="shared" si="1259"/>
        <v>行政財産</v>
      </c>
      <c r="D3582" s="7" t="str">
        <f t="shared" si="1270"/>
        <v>公営住宅</v>
      </c>
      <c r="E3582" s="7" t="str">
        <f>"大阪府八尾市天王寺屋６丁目"</f>
        <v>大阪府八尾市天王寺屋６丁目</v>
      </c>
      <c r="F3582" s="7" t="str">
        <f>"５４"</f>
        <v>５４</v>
      </c>
      <c r="G3582" s="7" t="str">
        <f t="shared" si="1257"/>
        <v>事業用資産</v>
      </c>
      <c r="H3582" s="7" t="str">
        <f t="shared" si="1247"/>
        <v>棚卸以外</v>
      </c>
      <c r="I3582" s="7">
        <v>3</v>
      </c>
      <c r="J3582" s="7" t="str">
        <f>"ポンプ室"</f>
        <v>ポンプ室</v>
      </c>
      <c r="K3582" s="7" t="str">
        <f>"鉄筋コンクリート造"</f>
        <v>鉄筋コンクリート造</v>
      </c>
      <c r="L3582" s="7" t="str">
        <f>"S51.08.18"</f>
        <v>S51.08.18</v>
      </c>
      <c r="M3582" s="7">
        <v>35.1</v>
      </c>
      <c r="N3582" s="7">
        <v>2074000</v>
      </c>
      <c r="O3582" s="7">
        <v>2056002</v>
      </c>
      <c r="P3582" s="7">
        <v>0</v>
      </c>
      <c r="Q3582" s="7" t="str">
        <f t="shared" si="1260"/>
        <v>都市整備部</v>
      </c>
      <c r="R3582" s="7" t="str">
        <f t="shared" si="1258"/>
        <v>住宅建築局住宅経営室</v>
      </c>
    </row>
    <row r="3583" spans="1:18" s="1" customFormat="1" x14ac:dyDescent="0.45">
      <c r="A3583" s="7" t="str">
        <f>"09940003498"</f>
        <v>09940003498</v>
      </c>
      <c r="B3583" s="7" t="str">
        <f>"八尾二俣"</f>
        <v>八尾二俣</v>
      </c>
      <c r="C3583" s="7" t="str">
        <f t="shared" si="1259"/>
        <v>行政財産</v>
      </c>
      <c r="D3583" s="7" t="str">
        <f t="shared" si="1270"/>
        <v>公営住宅</v>
      </c>
      <c r="E3583" s="7" t="str">
        <f>"大阪府八尾市天王寺屋６丁目"</f>
        <v>大阪府八尾市天王寺屋６丁目</v>
      </c>
      <c r="F3583" s="7" t="str">
        <f>"５４"</f>
        <v>５４</v>
      </c>
      <c r="G3583" s="7" t="str">
        <f t="shared" si="1257"/>
        <v>事業用資産</v>
      </c>
      <c r="H3583" s="7" t="str">
        <f t="shared" si="1247"/>
        <v>棚卸以外</v>
      </c>
      <c r="I3583" s="7">
        <v>4</v>
      </c>
      <c r="J3583" s="7" t="str">
        <f>"浄化槽"</f>
        <v>浄化槽</v>
      </c>
      <c r="K3583" s="7" t="str">
        <f>"鉄筋コンクリート造"</f>
        <v>鉄筋コンクリート造</v>
      </c>
      <c r="L3583" s="7" t="str">
        <f>"S51.08.18"</f>
        <v>S51.08.18</v>
      </c>
      <c r="M3583" s="7">
        <v>206.24</v>
      </c>
      <c r="N3583" s="7">
        <v>49500000</v>
      </c>
      <c r="O3583" s="7">
        <v>49061194</v>
      </c>
      <c r="P3583" s="7">
        <v>0</v>
      </c>
      <c r="Q3583" s="7" t="str">
        <f t="shared" si="1260"/>
        <v>都市整備部</v>
      </c>
      <c r="R3583" s="7" t="str">
        <f t="shared" si="1258"/>
        <v>住宅建築局住宅経営室</v>
      </c>
    </row>
    <row r="3584" spans="1:18" s="1" customFormat="1" x14ac:dyDescent="0.45">
      <c r="A3584" s="7" t="str">
        <f t="shared" ref="A3584:A3605" si="1275">"09940003499"</f>
        <v>09940003499</v>
      </c>
      <c r="B3584" s="7" t="str">
        <f t="shared" ref="B3584:B3605" si="1276">"東大阪吉田"</f>
        <v>東大阪吉田</v>
      </c>
      <c r="C3584" s="7" t="str">
        <f t="shared" si="1259"/>
        <v>行政財産</v>
      </c>
      <c r="D3584" s="7" t="str">
        <f t="shared" si="1270"/>
        <v>公営住宅</v>
      </c>
      <c r="E3584" s="7" t="str">
        <f t="shared" ref="E3584:E3605" si="1277">"大阪府東大阪市島之内１丁目"</f>
        <v>大阪府東大阪市島之内１丁目</v>
      </c>
      <c r="F3584" s="7"/>
      <c r="G3584" s="7" t="str">
        <f t="shared" si="1257"/>
        <v>事業用資産</v>
      </c>
      <c r="H3584" s="7" t="str">
        <f t="shared" si="1247"/>
        <v>棚卸以外</v>
      </c>
      <c r="I3584" s="7">
        <v>1</v>
      </c>
      <c r="J3584" s="7" t="str">
        <f>"１号棟"</f>
        <v>１号棟</v>
      </c>
      <c r="K3584" s="7" t="str">
        <f>"鉄筋コンクリート造"</f>
        <v>鉄筋コンクリート造</v>
      </c>
      <c r="L3584" s="7" t="str">
        <f t="shared" ref="L3584:L3605" si="1278">"H03.03.06"</f>
        <v>H03.03.06</v>
      </c>
      <c r="M3584" s="7">
        <v>1683.48</v>
      </c>
      <c r="N3584" s="7">
        <v>331252000</v>
      </c>
      <c r="O3584" s="7">
        <v>225533568</v>
      </c>
      <c r="P3584" s="7">
        <v>0</v>
      </c>
      <c r="Q3584" s="7" t="str">
        <f t="shared" si="1260"/>
        <v>都市整備部</v>
      </c>
      <c r="R3584" s="7" t="str">
        <f t="shared" si="1258"/>
        <v>住宅建築局住宅経営室</v>
      </c>
    </row>
    <row r="3585" spans="1:18" s="1" customFormat="1" x14ac:dyDescent="0.45">
      <c r="A3585" s="7" t="str">
        <f t="shared" si="1275"/>
        <v>09940003499</v>
      </c>
      <c r="B3585" s="7" t="str">
        <f t="shared" si="1276"/>
        <v>東大阪吉田</v>
      </c>
      <c r="C3585" s="7" t="str">
        <f t="shared" si="1259"/>
        <v>行政財産</v>
      </c>
      <c r="D3585" s="7" t="str">
        <f t="shared" si="1270"/>
        <v>公営住宅</v>
      </c>
      <c r="E3585" s="7" t="str">
        <f t="shared" si="1277"/>
        <v>大阪府東大阪市島之内１丁目</v>
      </c>
      <c r="F3585" s="7"/>
      <c r="G3585" s="7" t="str">
        <f t="shared" si="1257"/>
        <v>事業用資産</v>
      </c>
      <c r="H3585" s="7" t="str">
        <f t="shared" si="1247"/>
        <v>棚卸以外</v>
      </c>
      <c r="I3585" s="7">
        <v>2</v>
      </c>
      <c r="J3585" s="7" t="str">
        <f>"２号棟"</f>
        <v>２号棟</v>
      </c>
      <c r="K3585" s="7" t="str">
        <f>"鉄筋コンクリート造"</f>
        <v>鉄筋コンクリート造</v>
      </c>
      <c r="L3585" s="7" t="str">
        <f t="shared" si="1278"/>
        <v>H03.03.06</v>
      </c>
      <c r="M3585" s="7">
        <v>378.2</v>
      </c>
      <c r="N3585" s="7">
        <v>67131000</v>
      </c>
      <c r="O3585" s="7">
        <v>45706368</v>
      </c>
      <c r="P3585" s="7">
        <v>0</v>
      </c>
      <c r="Q3585" s="7" t="str">
        <f t="shared" si="1260"/>
        <v>都市整備部</v>
      </c>
      <c r="R3585" s="7" t="str">
        <f t="shared" si="1258"/>
        <v>住宅建築局住宅経営室</v>
      </c>
    </row>
    <row r="3586" spans="1:18" s="1" customFormat="1" x14ac:dyDescent="0.45">
      <c r="A3586" s="7" t="str">
        <f t="shared" si="1275"/>
        <v>09940003499</v>
      </c>
      <c r="B3586" s="7" t="str">
        <f t="shared" si="1276"/>
        <v>東大阪吉田</v>
      </c>
      <c r="C3586" s="7" t="str">
        <f t="shared" si="1259"/>
        <v>行政財産</v>
      </c>
      <c r="D3586" s="7" t="str">
        <f t="shared" si="1270"/>
        <v>公営住宅</v>
      </c>
      <c r="E3586" s="7" t="str">
        <f t="shared" si="1277"/>
        <v>大阪府東大阪市島之内１丁目</v>
      </c>
      <c r="F3586" s="7"/>
      <c r="G3586" s="7" t="str">
        <f t="shared" si="1257"/>
        <v>事業用資産</v>
      </c>
      <c r="H3586" s="7" t="str">
        <f t="shared" si="1247"/>
        <v>棚卸以外</v>
      </c>
      <c r="I3586" s="7">
        <v>3</v>
      </c>
      <c r="J3586" s="7" t="str">
        <f>"３号棟"</f>
        <v>３号棟</v>
      </c>
      <c r="K3586" s="7" t="str">
        <f>"鉄筋コンクリート造"</f>
        <v>鉄筋コンクリート造</v>
      </c>
      <c r="L3586" s="7" t="str">
        <f t="shared" si="1278"/>
        <v>H03.03.06</v>
      </c>
      <c r="M3586" s="7">
        <v>906.89</v>
      </c>
      <c r="N3586" s="7">
        <v>177862000</v>
      </c>
      <c r="O3586" s="7">
        <v>121097856</v>
      </c>
      <c r="P3586" s="7">
        <v>0</v>
      </c>
      <c r="Q3586" s="7" t="str">
        <f t="shared" si="1260"/>
        <v>都市整備部</v>
      </c>
      <c r="R3586" s="7" t="str">
        <f t="shared" si="1258"/>
        <v>住宅建築局住宅経営室</v>
      </c>
    </row>
    <row r="3587" spans="1:18" s="1" customFormat="1" ht="26.4" x14ac:dyDescent="0.45">
      <c r="A3587" s="7" t="str">
        <f t="shared" si="1275"/>
        <v>09940003499</v>
      </c>
      <c r="B3587" s="7" t="str">
        <f t="shared" si="1276"/>
        <v>東大阪吉田</v>
      </c>
      <c r="C3587" s="7" t="str">
        <f t="shared" si="1259"/>
        <v>行政財産</v>
      </c>
      <c r="D3587" s="7" t="str">
        <f t="shared" si="1270"/>
        <v>公営住宅</v>
      </c>
      <c r="E3587" s="7" t="str">
        <f t="shared" si="1277"/>
        <v>大阪府東大阪市島之内１丁目</v>
      </c>
      <c r="F3587" s="7"/>
      <c r="G3587" s="7" t="str">
        <f t="shared" si="1257"/>
        <v>事業用資産</v>
      </c>
      <c r="H3587" s="7" t="str">
        <f t="shared" si="1247"/>
        <v>棚卸以外</v>
      </c>
      <c r="I3587" s="7">
        <v>4</v>
      </c>
      <c r="J3587" s="7" t="str">
        <f>"４号棟"</f>
        <v>４号棟</v>
      </c>
      <c r="K3587" s="7" t="str">
        <f>"鉄骨鉄筋コンクリート造"</f>
        <v>鉄骨鉄筋コンクリート造</v>
      </c>
      <c r="L3587" s="7" t="str">
        <f t="shared" si="1278"/>
        <v>H03.03.06</v>
      </c>
      <c r="M3587" s="7">
        <v>5887.35</v>
      </c>
      <c r="N3587" s="7">
        <v>1066046000</v>
      </c>
      <c r="O3587" s="7">
        <v>725818752</v>
      </c>
      <c r="P3587" s="7">
        <v>0</v>
      </c>
      <c r="Q3587" s="7" t="str">
        <f t="shared" si="1260"/>
        <v>都市整備部</v>
      </c>
      <c r="R3587" s="7" t="str">
        <f t="shared" si="1258"/>
        <v>住宅建築局住宅経営室</v>
      </c>
    </row>
    <row r="3588" spans="1:18" s="1" customFormat="1" x14ac:dyDescent="0.45">
      <c r="A3588" s="7" t="str">
        <f t="shared" si="1275"/>
        <v>09940003499</v>
      </c>
      <c r="B3588" s="7" t="str">
        <f t="shared" si="1276"/>
        <v>東大阪吉田</v>
      </c>
      <c r="C3588" s="7" t="str">
        <f t="shared" si="1259"/>
        <v>行政財産</v>
      </c>
      <c r="D3588" s="7" t="str">
        <f t="shared" si="1270"/>
        <v>公営住宅</v>
      </c>
      <c r="E3588" s="7" t="str">
        <f t="shared" si="1277"/>
        <v>大阪府東大阪市島之内１丁目</v>
      </c>
      <c r="F3588" s="7"/>
      <c r="G3588" s="7" t="str">
        <f t="shared" si="1257"/>
        <v>事業用資産</v>
      </c>
      <c r="H3588" s="7" t="str">
        <f t="shared" ref="H3588:H3651" si="1279">"棚卸以外"</f>
        <v>棚卸以外</v>
      </c>
      <c r="I3588" s="7">
        <v>5</v>
      </c>
      <c r="J3588" s="7" t="str">
        <f>"５号棟"</f>
        <v>５号棟</v>
      </c>
      <c r="K3588" s="7" t="str">
        <f t="shared" ref="K3588:K3593" si="1280">"鉄筋コンクリート造"</f>
        <v>鉄筋コンクリート造</v>
      </c>
      <c r="L3588" s="7" t="str">
        <f t="shared" si="1278"/>
        <v>H03.03.06</v>
      </c>
      <c r="M3588" s="7">
        <v>378.2</v>
      </c>
      <c r="N3588" s="7">
        <v>67009000</v>
      </c>
      <c r="O3588" s="7">
        <v>45623424</v>
      </c>
      <c r="P3588" s="7">
        <v>0</v>
      </c>
      <c r="Q3588" s="7" t="str">
        <f t="shared" si="1260"/>
        <v>都市整備部</v>
      </c>
      <c r="R3588" s="7" t="str">
        <f t="shared" si="1258"/>
        <v>住宅建築局住宅経営室</v>
      </c>
    </row>
    <row r="3589" spans="1:18" s="1" customFormat="1" x14ac:dyDescent="0.45">
      <c r="A3589" s="7" t="str">
        <f t="shared" si="1275"/>
        <v>09940003499</v>
      </c>
      <c r="B3589" s="7" t="str">
        <f t="shared" si="1276"/>
        <v>東大阪吉田</v>
      </c>
      <c r="C3589" s="7" t="str">
        <f t="shared" si="1259"/>
        <v>行政財産</v>
      </c>
      <c r="D3589" s="7" t="str">
        <f t="shared" si="1270"/>
        <v>公営住宅</v>
      </c>
      <c r="E3589" s="7" t="str">
        <f t="shared" si="1277"/>
        <v>大阪府東大阪市島之内１丁目</v>
      </c>
      <c r="F3589" s="7"/>
      <c r="G3589" s="7" t="str">
        <f t="shared" si="1257"/>
        <v>事業用資産</v>
      </c>
      <c r="H3589" s="7" t="str">
        <f t="shared" si="1279"/>
        <v>棚卸以外</v>
      </c>
      <c r="I3589" s="7">
        <v>6</v>
      </c>
      <c r="J3589" s="7" t="str">
        <f>"６号棟"</f>
        <v>６号棟</v>
      </c>
      <c r="K3589" s="7" t="str">
        <f t="shared" si="1280"/>
        <v>鉄筋コンクリート造</v>
      </c>
      <c r="L3589" s="7" t="str">
        <f t="shared" si="1278"/>
        <v>H03.03.06</v>
      </c>
      <c r="M3589" s="7">
        <v>378.09</v>
      </c>
      <c r="N3589" s="7">
        <v>67811000</v>
      </c>
      <c r="O3589" s="7">
        <v>46169472</v>
      </c>
      <c r="P3589" s="7">
        <v>0</v>
      </c>
      <c r="Q3589" s="7" t="str">
        <f t="shared" si="1260"/>
        <v>都市整備部</v>
      </c>
      <c r="R3589" s="7" t="str">
        <f t="shared" si="1258"/>
        <v>住宅建築局住宅経営室</v>
      </c>
    </row>
    <row r="3590" spans="1:18" s="1" customFormat="1" x14ac:dyDescent="0.45">
      <c r="A3590" s="7" t="str">
        <f t="shared" si="1275"/>
        <v>09940003499</v>
      </c>
      <c r="B3590" s="7" t="str">
        <f t="shared" si="1276"/>
        <v>東大阪吉田</v>
      </c>
      <c r="C3590" s="7" t="str">
        <f t="shared" si="1259"/>
        <v>行政財産</v>
      </c>
      <c r="D3590" s="7" t="str">
        <f t="shared" si="1270"/>
        <v>公営住宅</v>
      </c>
      <c r="E3590" s="7" t="str">
        <f t="shared" si="1277"/>
        <v>大阪府東大阪市島之内１丁目</v>
      </c>
      <c r="F3590" s="7"/>
      <c r="G3590" s="7" t="str">
        <f t="shared" si="1257"/>
        <v>事業用資産</v>
      </c>
      <c r="H3590" s="7" t="str">
        <f t="shared" si="1279"/>
        <v>棚卸以外</v>
      </c>
      <c r="I3590" s="7">
        <v>7</v>
      </c>
      <c r="J3590" s="7" t="str">
        <f>"７号棟"</f>
        <v>７号棟</v>
      </c>
      <c r="K3590" s="7" t="str">
        <f t="shared" si="1280"/>
        <v>鉄筋コンクリート造</v>
      </c>
      <c r="L3590" s="7" t="str">
        <f t="shared" si="1278"/>
        <v>H03.03.06</v>
      </c>
      <c r="M3590" s="7">
        <v>1687.91</v>
      </c>
      <c r="N3590" s="7">
        <v>326448000</v>
      </c>
      <c r="O3590" s="7">
        <v>222262656</v>
      </c>
      <c r="P3590" s="7">
        <v>0</v>
      </c>
      <c r="Q3590" s="7" t="str">
        <f t="shared" si="1260"/>
        <v>都市整備部</v>
      </c>
      <c r="R3590" s="7" t="str">
        <f t="shared" si="1258"/>
        <v>住宅建築局住宅経営室</v>
      </c>
    </row>
    <row r="3591" spans="1:18" s="1" customFormat="1" x14ac:dyDescent="0.45">
      <c r="A3591" s="7" t="str">
        <f t="shared" si="1275"/>
        <v>09940003499</v>
      </c>
      <c r="B3591" s="7" t="str">
        <f t="shared" si="1276"/>
        <v>東大阪吉田</v>
      </c>
      <c r="C3591" s="7" t="str">
        <f t="shared" si="1259"/>
        <v>行政財産</v>
      </c>
      <c r="D3591" s="7" t="str">
        <f t="shared" si="1270"/>
        <v>公営住宅</v>
      </c>
      <c r="E3591" s="7" t="str">
        <f t="shared" si="1277"/>
        <v>大阪府東大阪市島之内１丁目</v>
      </c>
      <c r="F3591" s="7"/>
      <c r="G3591" s="7" t="str">
        <f t="shared" si="1257"/>
        <v>事業用資産</v>
      </c>
      <c r="H3591" s="7" t="str">
        <f t="shared" si="1279"/>
        <v>棚卸以外</v>
      </c>
      <c r="I3591" s="7">
        <v>8</v>
      </c>
      <c r="J3591" s="7" t="str">
        <f>"８号棟"</f>
        <v>８号棟</v>
      </c>
      <c r="K3591" s="7" t="str">
        <f t="shared" si="1280"/>
        <v>鉄筋コンクリート造</v>
      </c>
      <c r="L3591" s="7" t="str">
        <f t="shared" si="1278"/>
        <v>H03.03.06</v>
      </c>
      <c r="M3591" s="7">
        <v>906.89</v>
      </c>
      <c r="N3591" s="7">
        <v>183753000</v>
      </c>
      <c r="O3591" s="7">
        <v>125108736</v>
      </c>
      <c r="P3591" s="7">
        <v>0</v>
      </c>
      <c r="Q3591" s="7" t="str">
        <f t="shared" si="1260"/>
        <v>都市整備部</v>
      </c>
      <c r="R3591" s="7" t="str">
        <f t="shared" si="1258"/>
        <v>住宅建築局住宅経営室</v>
      </c>
    </row>
    <row r="3592" spans="1:18" s="1" customFormat="1" x14ac:dyDescent="0.45">
      <c r="A3592" s="7" t="str">
        <f t="shared" si="1275"/>
        <v>09940003499</v>
      </c>
      <c r="B3592" s="7" t="str">
        <f t="shared" si="1276"/>
        <v>東大阪吉田</v>
      </c>
      <c r="C3592" s="7" t="str">
        <f t="shared" si="1259"/>
        <v>行政財産</v>
      </c>
      <c r="D3592" s="7" t="str">
        <f t="shared" si="1270"/>
        <v>公営住宅</v>
      </c>
      <c r="E3592" s="7" t="str">
        <f t="shared" si="1277"/>
        <v>大阪府東大阪市島之内１丁目</v>
      </c>
      <c r="F3592" s="7"/>
      <c r="G3592" s="7" t="str">
        <f t="shared" si="1257"/>
        <v>事業用資産</v>
      </c>
      <c r="H3592" s="7" t="str">
        <f t="shared" si="1279"/>
        <v>棚卸以外</v>
      </c>
      <c r="I3592" s="7">
        <v>9</v>
      </c>
      <c r="J3592" s="7" t="str">
        <f>"９号棟"</f>
        <v>９号棟</v>
      </c>
      <c r="K3592" s="7" t="str">
        <f t="shared" si="1280"/>
        <v>鉄筋コンクリート造</v>
      </c>
      <c r="L3592" s="7" t="str">
        <f t="shared" si="1278"/>
        <v>H03.03.06</v>
      </c>
      <c r="M3592" s="7">
        <v>378.2</v>
      </c>
      <c r="N3592" s="7">
        <v>67134273</v>
      </c>
      <c r="O3592" s="7">
        <v>45508224</v>
      </c>
      <c r="P3592" s="7">
        <v>0</v>
      </c>
      <c r="Q3592" s="7" t="str">
        <f t="shared" si="1260"/>
        <v>都市整備部</v>
      </c>
      <c r="R3592" s="7" t="str">
        <f t="shared" si="1258"/>
        <v>住宅建築局住宅経営室</v>
      </c>
    </row>
    <row r="3593" spans="1:18" s="1" customFormat="1" x14ac:dyDescent="0.45">
      <c r="A3593" s="7" t="str">
        <f t="shared" si="1275"/>
        <v>09940003499</v>
      </c>
      <c r="B3593" s="7" t="str">
        <f t="shared" si="1276"/>
        <v>東大阪吉田</v>
      </c>
      <c r="C3593" s="7" t="str">
        <f t="shared" si="1259"/>
        <v>行政財産</v>
      </c>
      <c r="D3593" s="7" t="str">
        <f t="shared" si="1270"/>
        <v>公営住宅</v>
      </c>
      <c r="E3593" s="7" t="str">
        <f t="shared" si="1277"/>
        <v>大阪府東大阪市島之内１丁目</v>
      </c>
      <c r="F3593" s="7"/>
      <c r="G3593" s="7" t="str">
        <f t="shared" si="1257"/>
        <v>事業用資産</v>
      </c>
      <c r="H3593" s="7" t="str">
        <f t="shared" si="1279"/>
        <v>棚卸以外</v>
      </c>
      <c r="I3593" s="7">
        <v>10</v>
      </c>
      <c r="J3593" s="7" t="str">
        <f>"１０号棟"</f>
        <v>１０号棟</v>
      </c>
      <c r="K3593" s="7" t="str">
        <f t="shared" si="1280"/>
        <v>鉄筋コンクリート造</v>
      </c>
      <c r="L3593" s="7" t="str">
        <f t="shared" si="1278"/>
        <v>H03.03.06</v>
      </c>
      <c r="M3593" s="7">
        <v>906.89</v>
      </c>
      <c r="N3593" s="7">
        <v>178251000</v>
      </c>
      <c r="O3593" s="7">
        <v>121362432</v>
      </c>
      <c r="P3593" s="7">
        <v>0</v>
      </c>
      <c r="Q3593" s="7" t="str">
        <f t="shared" si="1260"/>
        <v>都市整備部</v>
      </c>
      <c r="R3593" s="7" t="str">
        <f t="shared" si="1258"/>
        <v>住宅建築局住宅経営室</v>
      </c>
    </row>
    <row r="3594" spans="1:18" s="1" customFormat="1" ht="26.4" x14ac:dyDescent="0.45">
      <c r="A3594" s="7" t="str">
        <f t="shared" si="1275"/>
        <v>09940003499</v>
      </c>
      <c r="B3594" s="7" t="str">
        <f t="shared" si="1276"/>
        <v>東大阪吉田</v>
      </c>
      <c r="C3594" s="7" t="str">
        <f t="shared" si="1259"/>
        <v>行政財産</v>
      </c>
      <c r="D3594" s="7" t="str">
        <f t="shared" si="1270"/>
        <v>公営住宅</v>
      </c>
      <c r="E3594" s="7" t="str">
        <f t="shared" si="1277"/>
        <v>大阪府東大阪市島之内１丁目</v>
      </c>
      <c r="F3594" s="7"/>
      <c r="G3594" s="7" t="str">
        <f t="shared" si="1257"/>
        <v>事業用資産</v>
      </c>
      <c r="H3594" s="7" t="str">
        <f t="shared" si="1279"/>
        <v>棚卸以外</v>
      </c>
      <c r="I3594" s="7">
        <v>11</v>
      </c>
      <c r="J3594" s="7" t="str">
        <f>"１１号棟"</f>
        <v>１１号棟</v>
      </c>
      <c r="K3594" s="7" t="str">
        <f>"鉄骨鉄筋コンクリート造"</f>
        <v>鉄骨鉄筋コンクリート造</v>
      </c>
      <c r="L3594" s="7" t="str">
        <f t="shared" si="1278"/>
        <v>H03.03.06</v>
      </c>
      <c r="M3594" s="7">
        <v>4907.3500000000004</v>
      </c>
      <c r="N3594" s="7">
        <v>883370000</v>
      </c>
      <c r="O3594" s="7">
        <v>601443456</v>
      </c>
      <c r="P3594" s="7">
        <v>0</v>
      </c>
      <c r="Q3594" s="7" t="str">
        <f t="shared" si="1260"/>
        <v>都市整備部</v>
      </c>
      <c r="R3594" s="7" t="str">
        <f t="shared" si="1258"/>
        <v>住宅建築局住宅経営室</v>
      </c>
    </row>
    <row r="3595" spans="1:18" s="1" customFormat="1" x14ac:dyDescent="0.45">
      <c r="A3595" s="7" t="str">
        <f t="shared" si="1275"/>
        <v>09940003499</v>
      </c>
      <c r="B3595" s="7" t="str">
        <f t="shared" si="1276"/>
        <v>東大阪吉田</v>
      </c>
      <c r="C3595" s="7" t="str">
        <f t="shared" si="1259"/>
        <v>行政財産</v>
      </c>
      <c r="D3595" s="7" t="str">
        <f t="shared" si="1270"/>
        <v>公営住宅</v>
      </c>
      <c r="E3595" s="7" t="str">
        <f t="shared" si="1277"/>
        <v>大阪府東大阪市島之内１丁目</v>
      </c>
      <c r="F3595" s="7"/>
      <c r="G3595" s="7" t="str">
        <f t="shared" si="1257"/>
        <v>事業用資産</v>
      </c>
      <c r="H3595" s="7" t="str">
        <f t="shared" si="1279"/>
        <v>棚卸以外</v>
      </c>
      <c r="I3595" s="7">
        <v>12</v>
      </c>
      <c r="J3595" s="7" t="str">
        <f>"１２号棟"</f>
        <v>１２号棟</v>
      </c>
      <c r="K3595" s="7" t="str">
        <f t="shared" ref="K3595:K3626" si="1281">"鉄筋コンクリート造"</f>
        <v>鉄筋コンクリート造</v>
      </c>
      <c r="L3595" s="7" t="str">
        <f t="shared" si="1278"/>
        <v>H03.03.06</v>
      </c>
      <c r="M3595" s="7">
        <v>378.2</v>
      </c>
      <c r="N3595" s="7">
        <v>66853000</v>
      </c>
      <c r="O3595" s="7">
        <v>45517056</v>
      </c>
      <c r="P3595" s="7">
        <v>0</v>
      </c>
      <c r="Q3595" s="7" t="str">
        <f t="shared" si="1260"/>
        <v>都市整備部</v>
      </c>
      <c r="R3595" s="7" t="str">
        <f t="shared" si="1258"/>
        <v>住宅建築局住宅経営室</v>
      </c>
    </row>
    <row r="3596" spans="1:18" s="1" customFormat="1" x14ac:dyDescent="0.45">
      <c r="A3596" s="7" t="str">
        <f t="shared" si="1275"/>
        <v>09940003499</v>
      </c>
      <c r="B3596" s="7" t="str">
        <f t="shared" si="1276"/>
        <v>東大阪吉田</v>
      </c>
      <c r="C3596" s="7" t="str">
        <f t="shared" si="1259"/>
        <v>行政財産</v>
      </c>
      <c r="D3596" s="7" t="str">
        <f t="shared" si="1270"/>
        <v>公営住宅</v>
      </c>
      <c r="E3596" s="7" t="str">
        <f t="shared" si="1277"/>
        <v>大阪府東大阪市島之内１丁目</v>
      </c>
      <c r="F3596" s="7"/>
      <c r="G3596" s="7" t="str">
        <f t="shared" si="1257"/>
        <v>事業用資産</v>
      </c>
      <c r="H3596" s="7" t="str">
        <f t="shared" si="1279"/>
        <v>棚卸以外</v>
      </c>
      <c r="I3596" s="7">
        <v>13</v>
      </c>
      <c r="J3596" s="7" t="str">
        <f>"１３号棟"</f>
        <v>１３号棟</v>
      </c>
      <c r="K3596" s="7" t="str">
        <f t="shared" si="1281"/>
        <v>鉄筋コンクリート造</v>
      </c>
      <c r="L3596" s="7" t="str">
        <f t="shared" si="1278"/>
        <v>H03.03.06</v>
      </c>
      <c r="M3596" s="7">
        <v>1540.05</v>
      </c>
      <c r="N3596" s="7">
        <v>304557000</v>
      </c>
      <c r="O3596" s="7">
        <v>207358080</v>
      </c>
      <c r="P3596" s="7">
        <v>0</v>
      </c>
      <c r="Q3596" s="7" t="str">
        <f t="shared" si="1260"/>
        <v>都市整備部</v>
      </c>
      <c r="R3596" s="7" t="str">
        <f t="shared" si="1258"/>
        <v>住宅建築局住宅経営室</v>
      </c>
    </row>
    <row r="3597" spans="1:18" s="1" customFormat="1" x14ac:dyDescent="0.45">
      <c r="A3597" s="7" t="str">
        <f t="shared" si="1275"/>
        <v>09940003499</v>
      </c>
      <c r="B3597" s="7" t="str">
        <f t="shared" si="1276"/>
        <v>東大阪吉田</v>
      </c>
      <c r="C3597" s="7" t="str">
        <f t="shared" si="1259"/>
        <v>行政財産</v>
      </c>
      <c r="D3597" s="7" t="str">
        <f t="shared" si="1270"/>
        <v>公営住宅</v>
      </c>
      <c r="E3597" s="7" t="str">
        <f t="shared" si="1277"/>
        <v>大阪府東大阪市島之内１丁目</v>
      </c>
      <c r="F3597" s="7"/>
      <c r="G3597" s="7" t="str">
        <f t="shared" si="1257"/>
        <v>事業用資産</v>
      </c>
      <c r="H3597" s="7" t="str">
        <f t="shared" si="1279"/>
        <v>棚卸以外</v>
      </c>
      <c r="I3597" s="7">
        <v>14</v>
      </c>
      <c r="J3597" s="7" t="str">
        <f>"１４号棟"</f>
        <v>１４号棟</v>
      </c>
      <c r="K3597" s="7" t="str">
        <f t="shared" si="1281"/>
        <v>鉄筋コンクリート造</v>
      </c>
      <c r="L3597" s="7" t="str">
        <f t="shared" si="1278"/>
        <v>H03.03.06</v>
      </c>
      <c r="M3597" s="7">
        <v>1270.79</v>
      </c>
      <c r="N3597" s="7">
        <v>235364546</v>
      </c>
      <c r="O3597" s="7">
        <v>159847680</v>
      </c>
      <c r="P3597" s="7">
        <v>0</v>
      </c>
      <c r="Q3597" s="7" t="str">
        <f t="shared" si="1260"/>
        <v>都市整備部</v>
      </c>
      <c r="R3597" s="7" t="str">
        <f t="shared" si="1258"/>
        <v>住宅建築局住宅経営室</v>
      </c>
    </row>
    <row r="3598" spans="1:18" s="1" customFormat="1" x14ac:dyDescent="0.45">
      <c r="A3598" s="7" t="str">
        <f t="shared" si="1275"/>
        <v>09940003499</v>
      </c>
      <c r="B3598" s="7" t="str">
        <f t="shared" si="1276"/>
        <v>東大阪吉田</v>
      </c>
      <c r="C3598" s="7" t="str">
        <f t="shared" si="1259"/>
        <v>行政財産</v>
      </c>
      <c r="D3598" s="7" t="str">
        <f t="shared" si="1270"/>
        <v>公営住宅</v>
      </c>
      <c r="E3598" s="7" t="str">
        <f t="shared" si="1277"/>
        <v>大阪府東大阪市島之内１丁目</v>
      </c>
      <c r="F3598" s="7"/>
      <c r="G3598" s="7" t="str">
        <f t="shared" si="1257"/>
        <v>事業用資産</v>
      </c>
      <c r="H3598" s="7" t="str">
        <f t="shared" si="1279"/>
        <v>棚卸以外</v>
      </c>
      <c r="I3598" s="7">
        <v>15</v>
      </c>
      <c r="J3598" s="7" t="str">
        <f>"１５号棟"</f>
        <v>１５号棟</v>
      </c>
      <c r="K3598" s="7" t="str">
        <f t="shared" si="1281"/>
        <v>鉄筋コンクリート造</v>
      </c>
      <c r="L3598" s="7" t="str">
        <f t="shared" si="1278"/>
        <v>H03.03.06</v>
      </c>
      <c r="M3598" s="7">
        <v>600.35</v>
      </c>
      <c r="N3598" s="7">
        <v>102790000</v>
      </c>
      <c r="O3598" s="7">
        <v>69984768</v>
      </c>
      <c r="P3598" s="7">
        <v>0</v>
      </c>
      <c r="Q3598" s="7" t="str">
        <f t="shared" si="1260"/>
        <v>都市整備部</v>
      </c>
      <c r="R3598" s="7" t="str">
        <f t="shared" si="1258"/>
        <v>住宅建築局住宅経営室</v>
      </c>
    </row>
    <row r="3599" spans="1:18" s="1" customFormat="1" x14ac:dyDescent="0.45">
      <c r="A3599" s="7" t="str">
        <f t="shared" si="1275"/>
        <v>09940003499</v>
      </c>
      <c r="B3599" s="7" t="str">
        <f t="shared" si="1276"/>
        <v>東大阪吉田</v>
      </c>
      <c r="C3599" s="7" t="str">
        <f t="shared" si="1259"/>
        <v>行政財産</v>
      </c>
      <c r="D3599" s="7" t="str">
        <f t="shared" si="1270"/>
        <v>公営住宅</v>
      </c>
      <c r="E3599" s="7" t="str">
        <f t="shared" si="1277"/>
        <v>大阪府東大阪市島之内１丁目</v>
      </c>
      <c r="F3599" s="7"/>
      <c r="G3599" s="7" t="str">
        <f t="shared" si="1257"/>
        <v>事業用資産</v>
      </c>
      <c r="H3599" s="7" t="str">
        <f t="shared" si="1279"/>
        <v>棚卸以外</v>
      </c>
      <c r="I3599" s="7">
        <v>16</v>
      </c>
      <c r="J3599" s="7" t="str">
        <f>"１６号棟"</f>
        <v>１６号棟</v>
      </c>
      <c r="K3599" s="7" t="str">
        <f t="shared" si="1281"/>
        <v>鉄筋コンクリート造</v>
      </c>
      <c r="L3599" s="7" t="str">
        <f t="shared" si="1278"/>
        <v>H03.03.06</v>
      </c>
      <c r="M3599" s="7">
        <v>2182.5300000000002</v>
      </c>
      <c r="N3599" s="7">
        <v>374307000</v>
      </c>
      <c r="O3599" s="7">
        <v>254847360</v>
      </c>
      <c r="P3599" s="7">
        <v>0</v>
      </c>
      <c r="Q3599" s="7" t="str">
        <f t="shared" si="1260"/>
        <v>都市整備部</v>
      </c>
      <c r="R3599" s="7" t="str">
        <f t="shared" si="1258"/>
        <v>住宅建築局住宅経営室</v>
      </c>
    </row>
    <row r="3600" spans="1:18" s="1" customFormat="1" x14ac:dyDescent="0.45">
      <c r="A3600" s="7" t="str">
        <f t="shared" si="1275"/>
        <v>09940003499</v>
      </c>
      <c r="B3600" s="7" t="str">
        <f t="shared" si="1276"/>
        <v>東大阪吉田</v>
      </c>
      <c r="C3600" s="7" t="str">
        <f t="shared" si="1259"/>
        <v>行政財産</v>
      </c>
      <c r="D3600" s="7" t="str">
        <f t="shared" si="1270"/>
        <v>公営住宅</v>
      </c>
      <c r="E3600" s="7" t="str">
        <f t="shared" si="1277"/>
        <v>大阪府東大阪市島之内１丁目</v>
      </c>
      <c r="F3600" s="7"/>
      <c r="G3600" s="7" t="str">
        <f t="shared" si="1257"/>
        <v>事業用資産</v>
      </c>
      <c r="H3600" s="7" t="str">
        <f t="shared" si="1279"/>
        <v>棚卸以外</v>
      </c>
      <c r="I3600" s="7">
        <v>17</v>
      </c>
      <c r="J3600" s="7" t="str">
        <f>"１７号棟"</f>
        <v>１７号棟</v>
      </c>
      <c r="K3600" s="7" t="str">
        <f t="shared" si="1281"/>
        <v>鉄筋コンクリート造</v>
      </c>
      <c r="L3600" s="7" t="str">
        <f t="shared" si="1278"/>
        <v>H03.03.06</v>
      </c>
      <c r="M3600" s="7">
        <v>2779.78</v>
      </c>
      <c r="N3600" s="7">
        <v>461627000</v>
      </c>
      <c r="O3600" s="7">
        <v>314299392</v>
      </c>
      <c r="P3600" s="7">
        <v>0</v>
      </c>
      <c r="Q3600" s="7" t="str">
        <f t="shared" si="1260"/>
        <v>都市整備部</v>
      </c>
      <c r="R3600" s="7" t="str">
        <f t="shared" si="1258"/>
        <v>住宅建築局住宅経営室</v>
      </c>
    </row>
    <row r="3601" spans="1:18" s="1" customFormat="1" x14ac:dyDescent="0.45">
      <c r="A3601" s="7" t="str">
        <f t="shared" si="1275"/>
        <v>09940003499</v>
      </c>
      <c r="B3601" s="7" t="str">
        <f t="shared" si="1276"/>
        <v>東大阪吉田</v>
      </c>
      <c r="C3601" s="7" t="str">
        <f t="shared" si="1259"/>
        <v>行政財産</v>
      </c>
      <c r="D3601" s="7" t="str">
        <f t="shared" si="1270"/>
        <v>公営住宅</v>
      </c>
      <c r="E3601" s="7" t="str">
        <f t="shared" si="1277"/>
        <v>大阪府東大阪市島之内１丁目</v>
      </c>
      <c r="F3601" s="7"/>
      <c r="G3601" s="7" t="str">
        <f t="shared" si="1257"/>
        <v>事業用資産</v>
      </c>
      <c r="H3601" s="7" t="str">
        <f t="shared" si="1279"/>
        <v>棚卸以外</v>
      </c>
      <c r="I3601" s="7">
        <v>18</v>
      </c>
      <c r="J3601" s="7" t="str">
        <f>"１８号棟"</f>
        <v>１８号棟</v>
      </c>
      <c r="K3601" s="7" t="str">
        <f t="shared" si="1281"/>
        <v>鉄筋コンクリート造</v>
      </c>
      <c r="L3601" s="7" t="str">
        <f t="shared" si="1278"/>
        <v>H03.03.06</v>
      </c>
      <c r="M3601" s="7">
        <v>772.21</v>
      </c>
      <c r="N3601" s="7">
        <v>129430000</v>
      </c>
      <c r="O3601" s="7">
        <v>88122624</v>
      </c>
      <c r="P3601" s="7">
        <v>0</v>
      </c>
      <c r="Q3601" s="7" t="str">
        <f t="shared" si="1260"/>
        <v>都市整備部</v>
      </c>
      <c r="R3601" s="7" t="str">
        <f t="shared" si="1258"/>
        <v>住宅建築局住宅経営室</v>
      </c>
    </row>
    <row r="3602" spans="1:18" s="1" customFormat="1" x14ac:dyDescent="0.45">
      <c r="A3602" s="7" t="str">
        <f t="shared" si="1275"/>
        <v>09940003499</v>
      </c>
      <c r="B3602" s="7" t="str">
        <f t="shared" si="1276"/>
        <v>東大阪吉田</v>
      </c>
      <c r="C3602" s="7" t="str">
        <f t="shared" si="1259"/>
        <v>行政財産</v>
      </c>
      <c r="D3602" s="7" t="str">
        <f t="shared" si="1270"/>
        <v>公営住宅</v>
      </c>
      <c r="E3602" s="7" t="str">
        <f t="shared" si="1277"/>
        <v>大阪府東大阪市島之内１丁目</v>
      </c>
      <c r="F3602" s="7"/>
      <c r="G3602" s="7" t="str">
        <f t="shared" si="1257"/>
        <v>事業用資産</v>
      </c>
      <c r="H3602" s="7" t="str">
        <f t="shared" si="1279"/>
        <v>棚卸以外</v>
      </c>
      <c r="I3602" s="7">
        <v>19</v>
      </c>
      <c r="J3602" s="7" t="str">
        <f>"第１受水槽"</f>
        <v>第１受水槽</v>
      </c>
      <c r="K3602" s="7" t="str">
        <f t="shared" si="1281"/>
        <v>鉄筋コンクリート造</v>
      </c>
      <c r="L3602" s="7" t="str">
        <f t="shared" si="1278"/>
        <v>H03.03.06</v>
      </c>
      <c r="M3602" s="7">
        <v>67.709999999999994</v>
      </c>
      <c r="N3602" s="7">
        <v>37661000</v>
      </c>
      <c r="O3602" s="7">
        <v>25641600</v>
      </c>
      <c r="P3602" s="7">
        <v>0</v>
      </c>
      <c r="Q3602" s="7" t="str">
        <f t="shared" si="1260"/>
        <v>都市整備部</v>
      </c>
      <c r="R3602" s="7" t="str">
        <f t="shared" si="1258"/>
        <v>住宅建築局住宅経営室</v>
      </c>
    </row>
    <row r="3603" spans="1:18" s="1" customFormat="1" x14ac:dyDescent="0.45">
      <c r="A3603" s="7" t="str">
        <f t="shared" si="1275"/>
        <v>09940003499</v>
      </c>
      <c r="B3603" s="7" t="str">
        <f t="shared" si="1276"/>
        <v>東大阪吉田</v>
      </c>
      <c r="C3603" s="7" t="str">
        <f t="shared" si="1259"/>
        <v>行政財産</v>
      </c>
      <c r="D3603" s="7" t="str">
        <f t="shared" si="1270"/>
        <v>公営住宅</v>
      </c>
      <c r="E3603" s="7" t="str">
        <f t="shared" si="1277"/>
        <v>大阪府東大阪市島之内１丁目</v>
      </c>
      <c r="F3603" s="7"/>
      <c r="G3603" s="7" t="str">
        <f t="shared" si="1257"/>
        <v>事業用資産</v>
      </c>
      <c r="H3603" s="7" t="str">
        <f t="shared" si="1279"/>
        <v>棚卸以外</v>
      </c>
      <c r="I3603" s="7">
        <v>20</v>
      </c>
      <c r="J3603" s="7" t="str">
        <f>"第１集会所・電気室"</f>
        <v>第１集会所・電気室</v>
      </c>
      <c r="K3603" s="7" t="str">
        <f t="shared" si="1281"/>
        <v>鉄筋コンクリート造</v>
      </c>
      <c r="L3603" s="7" t="str">
        <f t="shared" si="1278"/>
        <v>H03.03.06</v>
      </c>
      <c r="M3603" s="7">
        <v>136.96</v>
      </c>
      <c r="N3603" s="7">
        <v>37344000</v>
      </c>
      <c r="O3603" s="7">
        <v>25425792</v>
      </c>
      <c r="P3603" s="7">
        <v>0</v>
      </c>
      <c r="Q3603" s="7" t="str">
        <f t="shared" si="1260"/>
        <v>都市整備部</v>
      </c>
      <c r="R3603" s="7" t="str">
        <f t="shared" si="1258"/>
        <v>住宅建築局住宅経営室</v>
      </c>
    </row>
    <row r="3604" spans="1:18" s="1" customFormat="1" x14ac:dyDescent="0.45">
      <c r="A3604" s="7" t="str">
        <f t="shared" si="1275"/>
        <v>09940003499</v>
      </c>
      <c r="B3604" s="7" t="str">
        <f t="shared" si="1276"/>
        <v>東大阪吉田</v>
      </c>
      <c r="C3604" s="7" t="str">
        <f t="shared" si="1259"/>
        <v>行政財産</v>
      </c>
      <c r="D3604" s="7" t="str">
        <f t="shared" si="1270"/>
        <v>公営住宅</v>
      </c>
      <c r="E3604" s="7" t="str">
        <f t="shared" si="1277"/>
        <v>大阪府東大阪市島之内１丁目</v>
      </c>
      <c r="F3604" s="7"/>
      <c r="G3604" s="7" t="str">
        <f t="shared" si="1257"/>
        <v>事業用資産</v>
      </c>
      <c r="H3604" s="7" t="str">
        <f t="shared" si="1279"/>
        <v>棚卸以外</v>
      </c>
      <c r="I3604" s="7">
        <v>21</v>
      </c>
      <c r="J3604" s="7" t="str">
        <f>"第２受水槽・電気室"</f>
        <v>第２受水槽・電気室</v>
      </c>
      <c r="K3604" s="7" t="str">
        <f t="shared" si="1281"/>
        <v>鉄筋コンクリート造</v>
      </c>
      <c r="L3604" s="7" t="str">
        <f t="shared" si="1278"/>
        <v>H03.03.06</v>
      </c>
      <c r="M3604" s="7">
        <v>94.76</v>
      </c>
      <c r="N3604" s="7">
        <v>40528000</v>
      </c>
      <c r="O3604" s="7">
        <v>27593856</v>
      </c>
      <c r="P3604" s="7">
        <v>0</v>
      </c>
      <c r="Q3604" s="7" t="str">
        <f t="shared" si="1260"/>
        <v>都市整備部</v>
      </c>
      <c r="R3604" s="7" t="str">
        <f t="shared" si="1258"/>
        <v>住宅建築局住宅経営室</v>
      </c>
    </row>
    <row r="3605" spans="1:18" s="1" customFormat="1" x14ac:dyDescent="0.45">
      <c r="A3605" s="7" t="str">
        <f t="shared" si="1275"/>
        <v>09940003499</v>
      </c>
      <c r="B3605" s="7" t="str">
        <f t="shared" si="1276"/>
        <v>東大阪吉田</v>
      </c>
      <c r="C3605" s="7" t="str">
        <f t="shared" si="1259"/>
        <v>行政財産</v>
      </c>
      <c r="D3605" s="7" t="str">
        <f t="shared" si="1270"/>
        <v>公営住宅</v>
      </c>
      <c r="E3605" s="7" t="str">
        <f t="shared" si="1277"/>
        <v>大阪府東大阪市島之内１丁目</v>
      </c>
      <c r="F3605" s="7"/>
      <c r="G3605" s="7" t="str">
        <f t="shared" si="1257"/>
        <v>事業用資産</v>
      </c>
      <c r="H3605" s="7" t="str">
        <f t="shared" si="1279"/>
        <v>棚卸以外</v>
      </c>
      <c r="I3605" s="7">
        <v>22</v>
      </c>
      <c r="J3605" s="7" t="str">
        <f>"第２集会所・第３受水槽"</f>
        <v>第２集会所・第３受水槽</v>
      </c>
      <c r="K3605" s="7" t="str">
        <f t="shared" si="1281"/>
        <v>鉄筋コンクリート造</v>
      </c>
      <c r="L3605" s="7" t="str">
        <f t="shared" si="1278"/>
        <v>H03.03.06</v>
      </c>
      <c r="M3605" s="7">
        <v>166.08</v>
      </c>
      <c r="N3605" s="7">
        <v>61724000</v>
      </c>
      <c r="O3605" s="7">
        <v>42024960</v>
      </c>
      <c r="P3605" s="7">
        <v>0</v>
      </c>
      <c r="Q3605" s="7" t="str">
        <f t="shared" si="1260"/>
        <v>都市整備部</v>
      </c>
      <c r="R3605" s="7" t="str">
        <f t="shared" si="1258"/>
        <v>住宅建築局住宅経営室</v>
      </c>
    </row>
    <row r="3606" spans="1:18" s="1" customFormat="1" x14ac:dyDescent="0.45">
      <c r="A3606" s="7" t="str">
        <f t="shared" ref="A3606:A3613" si="1282">"09940003500"</f>
        <v>09940003500</v>
      </c>
      <c r="B3606" s="7" t="str">
        <f t="shared" ref="B3606:B3613" si="1283">"吹田岸部"</f>
        <v>吹田岸部</v>
      </c>
      <c r="C3606" s="7" t="str">
        <f t="shared" si="1259"/>
        <v>行政財産</v>
      </c>
      <c r="D3606" s="7" t="str">
        <f t="shared" si="1270"/>
        <v>公営住宅</v>
      </c>
      <c r="E3606" s="7" t="str">
        <f t="shared" ref="E3606:E3613" si="1284">"大阪府吹田市岸部北４丁目"</f>
        <v>大阪府吹田市岸部北４丁目</v>
      </c>
      <c r="F3606" s="7"/>
      <c r="G3606" s="7" t="str">
        <f t="shared" si="1257"/>
        <v>事業用資産</v>
      </c>
      <c r="H3606" s="7" t="str">
        <f t="shared" si="1279"/>
        <v>棚卸以外</v>
      </c>
      <c r="I3606" s="7">
        <v>1</v>
      </c>
      <c r="J3606" s="7" t="str">
        <f>"１号棟"</f>
        <v>１号棟</v>
      </c>
      <c r="K3606" s="7" t="str">
        <f t="shared" si="1281"/>
        <v>鉄筋コンクリート造</v>
      </c>
      <c r="L3606" s="7" t="str">
        <f t="shared" ref="L3606:L3613" si="1285">"H02.04.01"</f>
        <v>H02.04.01</v>
      </c>
      <c r="M3606" s="7">
        <v>2471.41</v>
      </c>
      <c r="N3606" s="7">
        <v>252993000</v>
      </c>
      <c r="O3606" s="7">
        <v>177185150</v>
      </c>
      <c r="P3606" s="7">
        <v>0</v>
      </c>
      <c r="Q3606" s="7" t="str">
        <f t="shared" si="1260"/>
        <v>都市整備部</v>
      </c>
      <c r="R3606" s="7" t="str">
        <f t="shared" si="1258"/>
        <v>住宅建築局住宅経営室</v>
      </c>
    </row>
    <row r="3607" spans="1:18" s="1" customFormat="1" x14ac:dyDescent="0.45">
      <c r="A3607" s="7" t="str">
        <f t="shared" si="1282"/>
        <v>09940003500</v>
      </c>
      <c r="B3607" s="7" t="str">
        <f t="shared" si="1283"/>
        <v>吹田岸部</v>
      </c>
      <c r="C3607" s="7" t="str">
        <f t="shared" si="1259"/>
        <v>行政財産</v>
      </c>
      <c r="D3607" s="7" t="str">
        <f t="shared" si="1270"/>
        <v>公営住宅</v>
      </c>
      <c r="E3607" s="7" t="str">
        <f t="shared" si="1284"/>
        <v>大阪府吹田市岸部北４丁目</v>
      </c>
      <c r="F3607" s="7"/>
      <c r="G3607" s="7" t="str">
        <f t="shared" ref="G3607:G3670" si="1286">"事業用資産"</f>
        <v>事業用資産</v>
      </c>
      <c r="H3607" s="7" t="str">
        <f t="shared" si="1279"/>
        <v>棚卸以外</v>
      </c>
      <c r="I3607" s="7">
        <v>2</v>
      </c>
      <c r="J3607" s="7" t="str">
        <f>"２号棟"</f>
        <v>２号棟</v>
      </c>
      <c r="K3607" s="7" t="str">
        <f t="shared" si="1281"/>
        <v>鉄筋コンクリート造</v>
      </c>
      <c r="L3607" s="7" t="str">
        <f t="shared" si="1285"/>
        <v>H02.04.01</v>
      </c>
      <c r="M3607" s="7">
        <v>2625.06</v>
      </c>
      <c r="N3607" s="7">
        <v>269552939</v>
      </c>
      <c r="O3607" s="7">
        <v>188591170</v>
      </c>
      <c r="P3607" s="7">
        <v>0</v>
      </c>
      <c r="Q3607" s="7" t="str">
        <f t="shared" si="1260"/>
        <v>都市整備部</v>
      </c>
      <c r="R3607" s="7" t="str">
        <f t="shared" si="1258"/>
        <v>住宅建築局住宅経営室</v>
      </c>
    </row>
    <row r="3608" spans="1:18" s="1" customFormat="1" x14ac:dyDescent="0.45">
      <c r="A3608" s="7" t="str">
        <f t="shared" si="1282"/>
        <v>09940003500</v>
      </c>
      <c r="B3608" s="7" t="str">
        <f t="shared" si="1283"/>
        <v>吹田岸部</v>
      </c>
      <c r="C3608" s="7" t="str">
        <f t="shared" si="1259"/>
        <v>行政財産</v>
      </c>
      <c r="D3608" s="7" t="str">
        <f t="shared" si="1270"/>
        <v>公営住宅</v>
      </c>
      <c r="E3608" s="7" t="str">
        <f t="shared" si="1284"/>
        <v>大阪府吹田市岸部北４丁目</v>
      </c>
      <c r="F3608" s="7"/>
      <c r="G3608" s="7" t="str">
        <f t="shared" si="1286"/>
        <v>事業用資産</v>
      </c>
      <c r="H3608" s="7" t="str">
        <f t="shared" si="1279"/>
        <v>棚卸以外</v>
      </c>
      <c r="I3608" s="7">
        <v>3</v>
      </c>
      <c r="J3608" s="7" t="str">
        <f>"３号棟"</f>
        <v>３号棟</v>
      </c>
      <c r="K3608" s="7" t="str">
        <f t="shared" si="1281"/>
        <v>鉄筋コンクリート造</v>
      </c>
      <c r="L3608" s="7" t="str">
        <f t="shared" si="1285"/>
        <v>H02.04.01</v>
      </c>
      <c r="M3608" s="7">
        <v>1315.32</v>
      </c>
      <c r="N3608" s="7">
        <v>133797000</v>
      </c>
      <c r="O3608" s="7">
        <v>93705455</v>
      </c>
      <c r="P3608" s="7">
        <v>0</v>
      </c>
      <c r="Q3608" s="7" t="str">
        <f t="shared" si="1260"/>
        <v>都市整備部</v>
      </c>
      <c r="R3608" s="7" t="str">
        <f t="shared" ref="R3608:R3671" si="1287">"住宅建築局住宅経営室"</f>
        <v>住宅建築局住宅経営室</v>
      </c>
    </row>
    <row r="3609" spans="1:18" s="1" customFormat="1" x14ac:dyDescent="0.45">
      <c r="A3609" s="7" t="str">
        <f t="shared" si="1282"/>
        <v>09940003500</v>
      </c>
      <c r="B3609" s="7" t="str">
        <f t="shared" si="1283"/>
        <v>吹田岸部</v>
      </c>
      <c r="C3609" s="7" t="str">
        <f t="shared" si="1259"/>
        <v>行政財産</v>
      </c>
      <c r="D3609" s="7" t="str">
        <f t="shared" si="1270"/>
        <v>公営住宅</v>
      </c>
      <c r="E3609" s="7" t="str">
        <f t="shared" si="1284"/>
        <v>大阪府吹田市岸部北４丁目</v>
      </c>
      <c r="F3609" s="7"/>
      <c r="G3609" s="7" t="str">
        <f t="shared" si="1286"/>
        <v>事業用資産</v>
      </c>
      <c r="H3609" s="7" t="str">
        <f t="shared" si="1279"/>
        <v>棚卸以外</v>
      </c>
      <c r="I3609" s="7">
        <v>4</v>
      </c>
      <c r="J3609" s="7" t="str">
        <f>"４号棟"</f>
        <v>４号棟</v>
      </c>
      <c r="K3609" s="7" t="str">
        <f t="shared" si="1281"/>
        <v>鉄筋コンクリート造</v>
      </c>
      <c r="L3609" s="7" t="str">
        <f t="shared" si="1285"/>
        <v>H02.04.01</v>
      </c>
      <c r="M3609" s="7">
        <v>1351.52</v>
      </c>
      <c r="N3609" s="7">
        <v>142853000</v>
      </c>
      <c r="O3609" s="7">
        <v>100047970</v>
      </c>
      <c r="P3609" s="7">
        <v>0</v>
      </c>
      <c r="Q3609" s="7" t="str">
        <f t="shared" si="1260"/>
        <v>都市整備部</v>
      </c>
      <c r="R3609" s="7" t="str">
        <f t="shared" si="1287"/>
        <v>住宅建築局住宅経営室</v>
      </c>
    </row>
    <row r="3610" spans="1:18" s="1" customFormat="1" x14ac:dyDescent="0.45">
      <c r="A3610" s="7" t="str">
        <f t="shared" si="1282"/>
        <v>09940003500</v>
      </c>
      <c r="B3610" s="7" t="str">
        <f t="shared" si="1283"/>
        <v>吹田岸部</v>
      </c>
      <c r="C3610" s="7" t="str">
        <f t="shared" ref="C3610:C3673" si="1288">"行政財産"</f>
        <v>行政財産</v>
      </c>
      <c r="D3610" s="7" t="str">
        <f t="shared" si="1270"/>
        <v>公営住宅</v>
      </c>
      <c r="E3610" s="7" t="str">
        <f t="shared" si="1284"/>
        <v>大阪府吹田市岸部北４丁目</v>
      </c>
      <c r="F3610" s="7"/>
      <c r="G3610" s="7" t="str">
        <f t="shared" si="1286"/>
        <v>事業用資産</v>
      </c>
      <c r="H3610" s="7" t="str">
        <f t="shared" si="1279"/>
        <v>棚卸以外</v>
      </c>
      <c r="I3610" s="7">
        <v>5</v>
      </c>
      <c r="J3610" s="7" t="str">
        <f>"５号棟"</f>
        <v>５号棟</v>
      </c>
      <c r="K3610" s="7" t="str">
        <f t="shared" si="1281"/>
        <v>鉄筋コンクリート造</v>
      </c>
      <c r="L3610" s="7" t="str">
        <f t="shared" si="1285"/>
        <v>H02.04.01</v>
      </c>
      <c r="M3610" s="7">
        <v>1486.26</v>
      </c>
      <c r="N3610" s="7">
        <v>152598000</v>
      </c>
      <c r="O3610" s="7">
        <v>106872780</v>
      </c>
      <c r="P3610" s="7">
        <v>0</v>
      </c>
      <c r="Q3610" s="7" t="str">
        <f t="shared" si="1260"/>
        <v>都市整備部</v>
      </c>
      <c r="R3610" s="7" t="str">
        <f t="shared" si="1287"/>
        <v>住宅建築局住宅経営室</v>
      </c>
    </row>
    <row r="3611" spans="1:18" s="1" customFormat="1" x14ac:dyDescent="0.45">
      <c r="A3611" s="7" t="str">
        <f t="shared" si="1282"/>
        <v>09940003500</v>
      </c>
      <c r="B3611" s="7" t="str">
        <f t="shared" si="1283"/>
        <v>吹田岸部</v>
      </c>
      <c r="C3611" s="7" t="str">
        <f t="shared" si="1288"/>
        <v>行政財産</v>
      </c>
      <c r="D3611" s="7" t="str">
        <f t="shared" si="1270"/>
        <v>公営住宅</v>
      </c>
      <c r="E3611" s="7" t="str">
        <f t="shared" si="1284"/>
        <v>大阪府吹田市岸部北４丁目</v>
      </c>
      <c r="F3611" s="7"/>
      <c r="G3611" s="7" t="str">
        <f t="shared" si="1286"/>
        <v>事業用資産</v>
      </c>
      <c r="H3611" s="7" t="str">
        <f t="shared" si="1279"/>
        <v>棚卸以外</v>
      </c>
      <c r="I3611" s="7">
        <v>6</v>
      </c>
      <c r="J3611" s="7" t="str">
        <f>"６号棟"</f>
        <v>６号棟</v>
      </c>
      <c r="K3611" s="7" t="str">
        <f t="shared" si="1281"/>
        <v>鉄筋コンクリート造</v>
      </c>
      <c r="L3611" s="7" t="str">
        <f t="shared" si="1285"/>
        <v>H02.04.01</v>
      </c>
      <c r="M3611" s="7">
        <v>1027.23</v>
      </c>
      <c r="N3611" s="7">
        <v>111156000</v>
      </c>
      <c r="O3611" s="7">
        <v>77848970</v>
      </c>
      <c r="P3611" s="7">
        <v>0</v>
      </c>
      <c r="Q3611" s="7" t="str">
        <f t="shared" ref="Q3611:Q3674" si="1289">"都市整備部"</f>
        <v>都市整備部</v>
      </c>
      <c r="R3611" s="7" t="str">
        <f t="shared" si="1287"/>
        <v>住宅建築局住宅経営室</v>
      </c>
    </row>
    <row r="3612" spans="1:18" s="1" customFormat="1" x14ac:dyDescent="0.45">
      <c r="A3612" s="7" t="str">
        <f t="shared" si="1282"/>
        <v>09940003500</v>
      </c>
      <c r="B3612" s="7" t="str">
        <f t="shared" si="1283"/>
        <v>吹田岸部</v>
      </c>
      <c r="C3612" s="7" t="str">
        <f t="shared" si="1288"/>
        <v>行政財産</v>
      </c>
      <c r="D3612" s="7" t="str">
        <f t="shared" si="1270"/>
        <v>公営住宅</v>
      </c>
      <c r="E3612" s="7" t="str">
        <f t="shared" si="1284"/>
        <v>大阪府吹田市岸部北４丁目</v>
      </c>
      <c r="F3612" s="7"/>
      <c r="G3612" s="7" t="str">
        <f t="shared" si="1286"/>
        <v>事業用資産</v>
      </c>
      <c r="H3612" s="7" t="str">
        <f t="shared" si="1279"/>
        <v>棚卸以外</v>
      </c>
      <c r="I3612" s="7">
        <v>7</v>
      </c>
      <c r="J3612" s="7" t="str">
        <f>"集会所"</f>
        <v>集会所</v>
      </c>
      <c r="K3612" s="7" t="str">
        <f t="shared" si="1281"/>
        <v>鉄筋コンクリート造</v>
      </c>
      <c r="L3612" s="7" t="str">
        <f t="shared" si="1285"/>
        <v>H02.04.01</v>
      </c>
      <c r="M3612" s="7">
        <v>100.94</v>
      </c>
      <c r="N3612" s="7">
        <v>19035000</v>
      </c>
      <c r="O3612" s="7">
        <v>13331250</v>
      </c>
      <c r="P3612" s="7">
        <v>0</v>
      </c>
      <c r="Q3612" s="7" t="str">
        <f t="shared" si="1289"/>
        <v>都市整備部</v>
      </c>
      <c r="R3612" s="7" t="str">
        <f t="shared" si="1287"/>
        <v>住宅建築局住宅経営室</v>
      </c>
    </row>
    <row r="3613" spans="1:18" s="1" customFormat="1" x14ac:dyDescent="0.45">
      <c r="A3613" s="7" t="str">
        <f t="shared" si="1282"/>
        <v>09940003500</v>
      </c>
      <c r="B3613" s="7" t="str">
        <f t="shared" si="1283"/>
        <v>吹田岸部</v>
      </c>
      <c r="C3613" s="7" t="str">
        <f t="shared" si="1288"/>
        <v>行政財産</v>
      </c>
      <c r="D3613" s="7" t="str">
        <f t="shared" si="1270"/>
        <v>公営住宅</v>
      </c>
      <c r="E3613" s="7" t="str">
        <f t="shared" si="1284"/>
        <v>大阪府吹田市岸部北４丁目</v>
      </c>
      <c r="F3613" s="7"/>
      <c r="G3613" s="7" t="str">
        <f t="shared" si="1286"/>
        <v>事業用資産</v>
      </c>
      <c r="H3613" s="7" t="str">
        <f t="shared" si="1279"/>
        <v>棚卸以外</v>
      </c>
      <c r="I3613" s="7">
        <v>8</v>
      </c>
      <c r="J3613" s="7" t="str">
        <f>"受水槽"</f>
        <v>受水槽</v>
      </c>
      <c r="K3613" s="7" t="str">
        <f t="shared" si="1281"/>
        <v>鉄筋コンクリート造</v>
      </c>
      <c r="L3613" s="7" t="str">
        <f t="shared" si="1285"/>
        <v>H02.04.01</v>
      </c>
      <c r="M3613" s="7">
        <v>66</v>
      </c>
      <c r="N3613" s="7">
        <v>20650000</v>
      </c>
      <c r="O3613" s="7">
        <v>14462530</v>
      </c>
      <c r="P3613" s="7">
        <v>0</v>
      </c>
      <c r="Q3613" s="7" t="str">
        <f t="shared" si="1289"/>
        <v>都市整備部</v>
      </c>
      <c r="R3613" s="7" t="str">
        <f t="shared" si="1287"/>
        <v>住宅建築局住宅経営室</v>
      </c>
    </row>
    <row r="3614" spans="1:18" s="1" customFormat="1" x14ac:dyDescent="0.45">
      <c r="A3614" s="7" t="str">
        <f t="shared" ref="A3614:A3640" si="1290">"09940003502"</f>
        <v>09940003502</v>
      </c>
      <c r="B3614" s="7" t="str">
        <f t="shared" ref="B3614:B3640" si="1291">"島本江川"</f>
        <v>島本江川</v>
      </c>
      <c r="C3614" s="7" t="str">
        <f t="shared" si="1288"/>
        <v>行政財産</v>
      </c>
      <c r="D3614" s="7" t="str">
        <f t="shared" si="1270"/>
        <v>公営住宅</v>
      </c>
      <c r="E3614" s="7" t="str">
        <f t="shared" ref="E3614:E3640" si="1292">"大阪府三島郡　島本町江川１丁目"</f>
        <v>大阪府三島郡　島本町江川１丁目</v>
      </c>
      <c r="F3614" s="7"/>
      <c r="G3614" s="7" t="str">
        <f t="shared" si="1286"/>
        <v>事業用資産</v>
      </c>
      <c r="H3614" s="7" t="str">
        <f t="shared" si="1279"/>
        <v>棚卸以外</v>
      </c>
      <c r="I3614" s="7">
        <v>1</v>
      </c>
      <c r="J3614" s="7" t="str">
        <f>"１８号棟"</f>
        <v>１８号棟</v>
      </c>
      <c r="K3614" s="7" t="str">
        <f t="shared" si="1281"/>
        <v>鉄筋コンクリート造</v>
      </c>
      <c r="L3614" s="7" t="str">
        <f t="shared" ref="L3614:L3622" si="1293">"S61.02.28"</f>
        <v>S61.02.28</v>
      </c>
      <c r="M3614" s="7">
        <v>1079.18</v>
      </c>
      <c r="N3614" s="7">
        <v>122904000</v>
      </c>
      <c r="O3614" s="7">
        <v>96972175</v>
      </c>
      <c r="P3614" s="7">
        <v>0</v>
      </c>
      <c r="Q3614" s="7" t="str">
        <f t="shared" si="1289"/>
        <v>都市整備部</v>
      </c>
      <c r="R3614" s="7" t="str">
        <f t="shared" si="1287"/>
        <v>住宅建築局住宅経営室</v>
      </c>
    </row>
    <row r="3615" spans="1:18" s="1" customFormat="1" x14ac:dyDescent="0.45">
      <c r="A3615" s="7" t="str">
        <f t="shared" si="1290"/>
        <v>09940003502</v>
      </c>
      <c r="B3615" s="7" t="str">
        <f t="shared" si="1291"/>
        <v>島本江川</v>
      </c>
      <c r="C3615" s="7" t="str">
        <f t="shared" si="1288"/>
        <v>行政財産</v>
      </c>
      <c r="D3615" s="7" t="str">
        <f t="shared" si="1270"/>
        <v>公営住宅</v>
      </c>
      <c r="E3615" s="7" t="str">
        <f t="shared" si="1292"/>
        <v>大阪府三島郡　島本町江川１丁目</v>
      </c>
      <c r="F3615" s="7"/>
      <c r="G3615" s="7" t="str">
        <f t="shared" si="1286"/>
        <v>事業用資産</v>
      </c>
      <c r="H3615" s="7" t="str">
        <f t="shared" si="1279"/>
        <v>棚卸以外</v>
      </c>
      <c r="I3615" s="7">
        <v>2</v>
      </c>
      <c r="J3615" s="7" t="str">
        <f>"１９号棟"</f>
        <v>１９号棟</v>
      </c>
      <c r="K3615" s="7" t="str">
        <f t="shared" si="1281"/>
        <v>鉄筋コンクリート造</v>
      </c>
      <c r="L3615" s="7" t="str">
        <f t="shared" si="1293"/>
        <v>S61.02.28</v>
      </c>
      <c r="M3615" s="7">
        <v>1216.72</v>
      </c>
      <c r="N3615" s="7">
        <v>138827429</v>
      </c>
      <c r="O3615" s="7">
        <v>109332050</v>
      </c>
      <c r="P3615" s="7">
        <v>0</v>
      </c>
      <c r="Q3615" s="7" t="str">
        <f t="shared" si="1289"/>
        <v>都市整備部</v>
      </c>
      <c r="R3615" s="7" t="str">
        <f t="shared" si="1287"/>
        <v>住宅建築局住宅経営室</v>
      </c>
    </row>
    <row r="3616" spans="1:18" s="1" customFormat="1" x14ac:dyDescent="0.45">
      <c r="A3616" s="7" t="str">
        <f t="shared" si="1290"/>
        <v>09940003502</v>
      </c>
      <c r="B3616" s="7" t="str">
        <f t="shared" si="1291"/>
        <v>島本江川</v>
      </c>
      <c r="C3616" s="7" t="str">
        <f t="shared" si="1288"/>
        <v>行政財産</v>
      </c>
      <c r="D3616" s="7" t="str">
        <f t="shared" si="1270"/>
        <v>公営住宅</v>
      </c>
      <c r="E3616" s="7" t="str">
        <f t="shared" si="1292"/>
        <v>大阪府三島郡　島本町江川１丁目</v>
      </c>
      <c r="F3616" s="7"/>
      <c r="G3616" s="7" t="str">
        <f t="shared" si="1286"/>
        <v>事業用資産</v>
      </c>
      <c r="H3616" s="7" t="str">
        <f t="shared" si="1279"/>
        <v>棚卸以外</v>
      </c>
      <c r="I3616" s="7">
        <v>3</v>
      </c>
      <c r="J3616" s="7" t="str">
        <f>"２１号棟"</f>
        <v>２１号棟</v>
      </c>
      <c r="K3616" s="7" t="str">
        <f t="shared" si="1281"/>
        <v>鉄筋コンクリート造</v>
      </c>
      <c r="L3616" s="7" t="str">
        <f t="shared" si="1293"/>
        <v>S61.02.28</v>
      </c>
      <c r="M3616" s="7">
        <v>1925.4</v>
      </c>
      <c r="N3616" s="7">
        <v>233550549</v>
      </c>
      <c r="O3616" s="7">
        <v>182883742</v>
      </c>
      <c r="P3616" s="7">
        <v>0</v>
      </c>
      <c r="Q3616" s="7" t="str">
        <f t="shared" si="1289"/>
        <v>都市整備部</v>
      </c>
      <c r="R3616" s="7" t="str">
        <f t="shared" si="1287"/>
        <v>住宅建築局住宅経営室</v>
      </c>
    </row>
    <row r="3617" spans="1:18" s="1" customFormat="1" x14ac:dyDescent="0.45">
      <c r="A3617" s="7" t="str">
        <f t="shared" si="1290"/>
        <v>09940003502</v>
      </c>
      <c r="B3617" s="7" t="str">
        <f t="shared" si="1291"/>
        <v>島本江川</v>
      </c>
      <c r="C3617" s="7" t="str">
        <f t="shared" si="1288"/>
        <v>行政財産</v>
      </c>
      <c r="D3617" s="7" t="str">
        <f t="shared" si="1270"/>
        <v>公営住宅</v>
      </c>
      <c r="E3617" s="7" t="str">
        <f t="shared" si="1292"/>
        <v>大阪府三島郡　島本町江川１丁目</v>
      </c>
      <c r="F3617" s="7"/>
      <c r="G3617" s="7" t="str">
        <f t="shared" si="1286"/>
        <v>事業用資産</v>
      </c>
      <c r="H3617" s="7" t="str">
        <f t="shared" si="1279"/>
        <v>棚卸以外</v>
      </c>
      <c r="I3617" s="7">
        <v>4</v>
      </c>
      <c r="J3617" s="7" t="str">
        <f>"２２号棟"</f>
        <v>２２号棟</v>
      </c>
      <c r="K3617" s="7" t="str">
        <f t="shared" si="1281"/>
        <v>鉄筋コンクリート造</v>
      </c>
      <c r="L3617" s="7" t="str">
        <f t="shared" si="1293"/>
        <v>S61.02.28</v>
      </c>
      <c r="M3617" s="7">
        <v>1618.77</v>
      </c>
      <c r="N3617" s="7">
        <v>184873858</v>
      </c>
      <c r="O3617" s="7">
        <v>145459375</v>
      </c>
      <c r="P3617" s="7">
        <v>0</v>
      </c>
      <c r="Q3617" s="7" t="str">
        <f t="shared" si="1289"/>
        <v>都市整備部</v>
      </c>
      <c r="R3617" s="7" t="str">
        <f t="shared" si="1287"/>
        <v>住宅建築局住宅経営室</v>
      </c>
    </row>
    <row r="3618" spans="1:18" s="1" customFormat="1" x14ac:dyDescent="0.45">
      <c r="A3618" s="7" t="str">
        <f t="shared" si="1290"/>
        <v>09940003502</v>
      </c>
      <c r="B3618" s="7" t="str">
        <f t="shared" si="1291"/>
        <v>島本江川</v>
      </c>
      <c r="C3618" s="7" t="str">
        <f t="shared" si="1288"/>
        <v>行政財産</v>
      </c>
      <c r="D3618" s="7" t="str">
        <f t="shared" si="1270"/>
        <v>公営住宅</v>
      </c>
      <c r="E3618" s="7" t="str">
        <f t="shared" si="1292"/>
        <v>大阪府三島郡　島本町江川１丁目</v>
      </c>
      <c r="F3618" s="7"/>
      <c r="G3618" s="7" t="str">
        <f t="shared" si="1286"/>
        <v>事業用資産</v>
      </c>
      <c r="H3618" s="7" t="str">
        <f t="shared" si="1279"/>
        <v>棚卸以外</v>
      </c>
      <c r="I3618" s="7">
        <v>5</v>
      </c>
      <c r="J3618" s="7" t="str">
        <f>"２３号棟"</f>
        <v>２３号棟</v>
      </c>
      <c r="K3618" s="7" t="str">
        <f t="shared" si="1281"/>
        <v>鉄筋コンクリート造</v>
      </c>
      <c r="L3618" s="7" t="str">
        <f t="shared" si="1293"/>
        <v>S61.02.28</v>
      </c>
      <c r="M3618" s="7">
        <v>1618.77</v>
      </c>
      <c r="N3618" s="7">
        <v>184859932</v>
      </c>
      <c r="O3618" s="7">
        <v>145459375</v>
      </c>
      <c r="P3618" s="7">
        <v>0</v>
      </c>
      <c r="Q3618" s="7" t="str">
        <f t="shared" si="1289"/>
        <v>都市整備部</v>
      </c>
      <c r="R3618" s="7" t="str">
        <f t="shared" si="1287"/>
        <v>住宅建築局住宅経営室</v>
      </c>
    </row>
    <row r="3619" spans="1:18" s="1" customFormat="1" x14ac:dyDescent="0.45">
      <c r="A3619" s="7" t="str">
        <f t="shared" si="1290"/>
        <v>09940003502</v>
      </c>
      <c r="B3619" s="7" t="str">
        <f t="shared" si="1291"/>
        <v>島本江川</v>
      </c>
      <c r="C3619" s="7" t="str">
        <f t="shared" si="1288"/>
        <v>行政財産</v>
      </c>
      <c r="D3619" s="7" t="str">
        <f t="shared" si="1270"/>
        <v>公営住宅</v>
      </c>
      <c r="E3619" s="7" t="str">
        <f t="shared" si="1292"/>
        <v>大阪府三島郡　島本町江川１丁目</v>
      </c>
      <c r="F3619" s="7"/>
      <c r="G3619" s="7" t="str">
        <f t="shared" si="1286"/>
        <v>事業用資産</v>
      </c>
      <c r="H3619" s="7" t="str">
        <f t="shared" si="1279"/>
        <v>棚卸以外</v>
      </c>
      <c r="I3619" s="7">
        <v>6</v>
      </c>
      <c r="J3619" s="7" t="str">
        <f>"２４号棟"</f>
        <v>２４号棟</v>
      </c>
      <c r="K3619" s="7" t="str">
        <f t="shared" si="1281"/>
        <v>鉄筋コンクリート造</v>
      </c>
      <c r="L3619" s="7" t="str">
        <f t="shared" si="1293"/>
        <v>S61.02.28</v>
      </c>
      <c r="M3619" s="7">
        <v>852.02</v>
      </c>
      <c r="N3619" s="7">
        <v>97034000</v>
      </c>
      <c r="O3619" s="7">
        <v>76560915</v>
      </c>
      <c r="P3619" s="7">
        <v>0</v>
      </c>
      <c r="Q3619" s="7" t="str">
        <f t="shared" si="1289"/>
        <v>都市整備部</v>
      </c>
      <c r="R3619" s="7" t="str">
        <f t="shared" si="1287"/>
        <v>住宅建築局住宅経営室</v>
      </c>
    </row>
    <row r="3620" spans="1:18" s="1" customFormat="1" x14ac:dyDescent="0.45">
      <c r="A3620" s="7" t="str">
        <f t="shared" si="1290"/>
        <v>09940003502</v>
      </c>
      <c r="B3620" s="7" t="str">
        <f t="shared" si="1291"/>
        <v>島本江川</v>
      </c>
      <c r="C3620" s="7" t="str">
        <f t="shared" si="1288"/>
        <v>行政財産</v>
      </c>
      <c r="D3620" s="7" t="str">
        <f t="shared" si="1270"/>
        <v>公営住宅</v>
      </c>
      <c r="E3620" s="7" t="str">
        <f t="shared" si="1292"/>
        <v>大阪府三島郡　島本町江川１丁目</v>
      </c>
      <c r="F3620" s="7"/>
      <c r="G3620" s="7" t="str">
        <f t="shared" si="1286"/>
        <v>事業用資産</v>
      </c>
      <c r="H3620" s="7" t="str">
        <f t="shared" si="1279"/>
        <v>棚卸以外</v>
      </c>
      <c r="I3620" s="7">
        <v>7</v>
      </c>
      <c r="J3620" s="7" t="str">
        <f>"２５号棟"</f>
        <v>２５号棟</v>
      </c>
      <c r="K3620" s="7" t="str">
        <f t="shared" si="1281"/>
        <v>鉄筋コンクリート造</v>
      </c>
      <c r="L3620" s="7" t="str">
        <f t="shared" si="1293"/>
        <v>S61.02.28</v>
      </c>
      <c r="M3620" s="7">
        <v>1216.02</v>
      </c>
      <c r="N3620" s="7">
        <v>138747429</v>
      </c>
      <c r="O3620" s="7">
        <v>109268860</v>
      </c>
      <c r="P3620" s="7">
        <v>0</v>
      </c>
      <c r="Q3620" s="7" t="str">
        <f t="shared" si="1289"/>
        <v>都市整備部</v>
      </c>
      <c r="R3620" s="7" t="str">
        <f t="shared" si="1287"/>
        <v>住宅建築局住宅経営室</v>
      </c>
    </row>
    <row r="3621" spans="1:18" s="1" customFormat="1" x14ac:dyDescent="0.45">
      <c r="A3621" s="7" t="str">
        <f t="shared" si="1290"/>
        <v>09940003502</v>
      </c>
      <c r="B3621" s="7" t="str">
        <f t="shared" si="1291"/>
        <v>島本江川</v>
      </c>
      <c r="C3621" s="7" t="str">
        <f t="shared" si="1288"/>
        <v>行政財産</v>
      </c>
      <c r="D3621" s="7" t="str">
        <f t="shared" si="1270"/>
        <v>公営住宅</v>
      </c>
      <c r="E3621" s="7" t="str">
        <f t="shared" si="1292"/>
        <v>大阪府三島郡　島本町江川１丁目</v>
      </c>
      <c r="F3621" s="7"/>
      <c r="G3621" s="7" t="str">
        <f t="shared" si="1286"/>
        <v>事業用資産</v>
      </c>
      <c r="H3621" s="7" t="str">
        <f t="shared" si="1279"/>
        <v>棚卸以外</v>
      </c>
      <c r="I3621" s="7">
        <v>8</v>
      </c>
      <c r="J3621" s="7" t="str">
        <f>"集会所"</f>
        <v>集会所</v>
      </c>
      <c r="K3621" s="7" t="str">
        <f t="shared" si="1281"/>
        <v>鉄筋コンクリート造</v>
      </c>
      <c r="L3621" s="7" t="str">
        <f t="shared" si="1293"/>
        <v>S61.02.28</v>
      </c>
      <c r="M3621" s="7">
        <v>266.8</v>
      </c>
      <c r="N3621" s="7">
        <v>31668000</v>
      </c>
      <c r="O3621" s="7">
        <v>24986305</v>
      </c>
      <c r="P3621" s="7">
        <v>0</v>
      </c>
      <c r="Q3621" s="7" t="str">
        <f t="shared" si="1289"/>
        <v>都市整備部</v>
      </c>
      <c r="R3621" s="7" t="str">
        <f t="shared" si="1287"/>
        <v>住宅建築局住宅経営室</v>
      </c>
    </row>
    <row r="3622" spans="1:18" s="1" customFormat="1" x14ac:dyDescent="0.45">
      <c r="A3622" s="7" t="str">
        <f t="shared" si="1290"/>
        <v>09940003502</v>
      </c>
      <c r="B3622" s="7" t="str">
        <f t="shared" si="1291"/>
        <v>島本江川</v>
      </c>
      <c r="C3622" s="7" t="str">
        <f t="shared" si="1288"/>
        <v>行政財産</v>
      </c>
      <c r="D3622" s="7" t="str">
        <f t="shared" si="1270"/>
        <v>公営住宅</v>
      </c>
      <c r="E3622" s="7" t="str">
        <f t="shared" si="1292"/>
        <v>大阪府三島郡　島本町江川１丁目</v>
      </c>
      <c r="F3622" s="7"/>
      <c r="G3622" s="7" t="str">
        <f t="shared" si="1286"/>
        <v>事業用資産</v>
      </c>
      <c r="H3622" s="7" t="str">
        <f t="shared" si="1279"/>
        <v>棚卸以外</v>
      </c>
      <c r="I3622" s="7">
        <v>9</v>
      </c>
      <c r="J3622" s="7" t="str">
        <f>"受水槽"</f>
        <v>受水槽</v>
      </c>
      <c r="K3622" s="7" t="str">
        <f t="shared" si="1281"/>
        <v>鉄筋コンクリート造</v>
      </c>
      <c r="L3622" s="7" t="str">
        <f t="shared" si="1293"/>
        <v>S61.02.28</v>
      </c>
      <c r="M3622" s="7">
        <v>146.4</v>
      </c>
      <c r="N3622" s="7">
        <v>43139000</v>
      </c>
      <c r="O3622" s="7">
        <v>34037160</v>
      </c>
      <c r="P3622" s="7">
        <v>0</v>
      </c>
      <c r="Q3622" s="7" t="str">
        <f t="shared" si="1289"/>
        <v>都市整備部</v>
      </c>
      <c r="R3622" s="7" t="str">
        <f t="shared" si="1287"/>
        <v>住宅建築局住宅経営室</v>
      </c>
    </row>
    <row r="3623" spans="1:18" s="1" customFormat="1" x14ac:dyDescent="0.45">
      <c r="A3623" s="7" t="str">
        <f t="shared" si="1290"/>
        <v>09940003502</v>
      </c>
      <c r="B3623" s="7" t="str">
        <f t="shared" si="1291"/>
        <v>島本江川</v>
      </c>
      <c r="C3623" s="7" t="str">
        <f t="shared" si="1288"/>
        <v>行政財産</v>
      </c>
      <c r="D3623" s="7" t="str">
        <f t="shared" si="1270"/>
        <v>公営住宅</v>
      </c>
      <c r="E3623" s="7" t="str">
        <f t="shared" si="1292"/>
        <v>大阪府三島郡　島本町江川１丁目</v>
      </c>
      <c r="F3623" s="7"/>
      <c r="G3623" s="7" t="str">
        <f t="shared" si="1286"/>
        <v>事業用資産</v>
      </c>
      <c r="H3623" s="7" t="str">
        <f t="shared" si="1279"/>
        <v>棚卸以外</v>
      </c>
      <c r="I3623" s="7">
        <v>10</v>
      </c>
      <c r="J3623" s="7" t="str">
        <f>"７号棟"</f>
        <v>７号棟</v>
      </c>
      <c r="K3623" s="7" t="str">
        <f t="shared" si="1281"/>
        <v>鉄筋コンクリート造</v>
      </c>
      <c r="L3623" s="7" t="str">
        <f t="shared" ref="L3623:L3630" si="1294">"S62.09.28"</f>
        <v>S62.09.28</v>
      </c>
      <c r="M3623" s="7">
        <v>2157.7800000000002</v>
      </c>
      <c r="N3623" s="7">
        <v>204094115</v>
      </c>
      <c r="O3623" s="7">
        <v>153588955</v>
      </c>
      <c r="P3623" s="7">
        <v>0</v>
      </c>
      <c r="Q3623" s="7" t="str">
        <f t="shared" si="1289"/>
        <v>都市整備部</v>
      </c>
      <c r="R3623" s="7" t="str">
        <f t="shared" si="1287"/>
        <v>住宅建築局住宅経営室</v>
      </c>
    </row>
    <row r="3624" spans="1:18" s="1" customFormat="1" x14ac:dyDescent="0.45">
      <c r="A3624" s="7" t="str">
        <f t="shared" si="1290"/>
        <v>09940003502</v>
      </c>
      <c r="B3624" s="7" t="str">
        <f t="shared" si="1291"/>
        <v>島本江川</v>
      </c>
      <c r="C3624" s="7" t="str">
        <f t="shared" si="1288"/>
        <v>行政財産</v>
      </c>
      <c r="D3624" s="7" t="str">
        <f t="shared" si="1270"/>
        <v>公営住宅</v>
      </c>
      <c r="E3624" s="7" t="str">
        <f t="shared" si="1292"/>
        <v>大阪府三島郡　島本町江川１丁目</v>
      </c>
      <c r="F3624" s="7"/>
      <c r="G3624" s="7" t="str">
        <f t="shared" si="1286"/>
        <v>事業用資産</v>
      </c>
      <c r="H3624" s="7" t="str">
        <f t="shared" si="1279"/>
        <v>棚卸以外</v>
      </c>
      <c r="I3624" s="7">
        <v>11</v>
      </c>
      <c r="J3624" s="7" t="str">
        <f>"８号棟"</f>
        <v>８号棟</v>
      </c>
      <c r="K3624" s="7" t="str">
        <f t="shared" si="1281"/>
        <v>鉄筋コンクリート造</v>
      </c>
      <c r="L3624" s="7" t="str">
        <f t="shared" si="1294"/>
        <v>S62.09.28</v>
      </c>
      <c r="M3624" s="7">
        <v>990.73</v>
      </c>
      <c r="N3624" s="7">
        <v>96032932</v>
      </c>
      <c r="O3624" s="7">
        <v>72155880</v>
      </c>
      <c r="P3624" s="7">
        <v>0</v>
      </c>
      <c r="Q3624" s="7" t="str">
        <f t="shared" si="1289"/>
        <v>都市整備部</v>
      </c>
      <c r="R3624" s="7" t="str">
        <f t="shared" si="1287"/>
        <v>住宅建築局住宅経営室</v>
      </c>
    </row>
    <row r="3625" spans="1:18" s="1" customFormat="1" x14ac:dyDescent="0.45">
      <c r="A3625" s="7" t="str">
        <f t="shared" si="1290"/>
        <v>09940003502</v>
      </c>
      <c r="B3625" s="7" t="str">
        <f t="shared" si="1291"/>
        <v>島本江川</v>
      </c>
      <c r="C3625" s="7" t="str">
        <f t="shared" si="1288"/>
        <v>行政財産</v>
      </c>
      <c r="D3625" s="7" t="str">
        <f t="shared" si="1270"/>
        <v>公営住宅</v>
      </c>
      <c r="E3625" s="7" t="str">
        <f t="shared" si="1292"/>
        <v>大阪府三島郡　島本町江川１丁目</v>
      </c>
      <c r="F3625" s="7"/>
      <c r="G3625" s="7" t="str">
        <f t="shared" si="1286"/>
        <v>事業用資産</v>
      </c>
      <c r="H3625" s="7" t="str">
        <f t="shared" si="1279"/>
        <v>棚卸以外</v>
      </c>
      <c r="I3625" s="7">
        <v>12</v>
      </c>
      <c r="J3625" s="7" t="str">
        <f>"９号棟"</f>
        <v>９号棟</v>
      </c>
      <c r="K3625" s="7" t="str">
        <f t="shared" si="1281"/>
        <v>鉄筋コンクリート造</v>
      </c>
      <c r="L3625" s="7" t="str">
        <f t="shared" si="1294"/>
        <v>S62.09.28</v>
      </c>
      <c r="M3625" s="7">
        <v>849.94</v>
      </c>
      <c r="N3625" s="7">
        <v>83858858</v>
      </c>
      <c r="O3625" s="7">
        <v>62950020</v>
      </c>
      <c r="P3625" s="7">
        <v>0</v>
      </c>
      <c r="Q3625" s="7" t="str">
        <f t="shared" si="1289"/>
        <v>都市整備部</v>
      </c>
      <c r="R3625" s="7" t="str">
        <f t="shared" si="1287"/>
        <v>住宅建築局住宅経営室</v>
      </c>
    </row>
    <row r="3626" spans="1:18" s="1" customFormat="1" x14ac:dyDescent="0.45">
      <c r="A3626" s="7" t="str">
        <f t="shared" si="1290"/>
        <v>09940003502</v>
      </c>
      <c r="B3626" s="7" t="str">
        <f t="shared" si="1291"/>
        <v>島本江川</v>
      </c>
      <c r="C3626" s="7" t="str">
        <f t="shared" si="1288"/>
        <v>行政財産</v>
      </c>
      <c r="D3626" s="7" t="str">
        <f t="shared" si="1270"/>
        <v>公営住宅</v>
      </c>
      <c r="E3626" s="7" t="str">
        <f t="shared" si="1292"/>
        <v>大阪府三島郡　島本町江川１丁目</v>
      </c>
      <c r="F3626" s="7"/>
      <c r="G3626" s="7" t="str">
        <f t="shared" si="1286"/>
        <v>事業用資産</v>
      </c>
      <c r="H3626" s="7" t="str">
        <f t="shared" si="1279"/>
        <v>棚卸以外</v>
      </c>
      <c r="I3626" s="7">
        <v>13</v>
      </c>
      <c r="J3626" s="7" t="str">
        <f>"１０号棟"</f>
        <v>１０号棟</v>
      </c>
      <c r="K3626" s="7" t="str">
        <f t="shared" si="1281"/>
        <v>鉄筋コンクリート造</v>
      </c>
      <c r="L3626" s="7" t="str">
        <f t="shared" si="1294"/>
        <v>S62.09.28</v>
      </c>
      <c r="M3626" s="7">
        <v>1274.9100000000001</v>
      </c>
      <c r="N3626" s="7">
        <v>123280000</v>
      </c>
      <c r="O3626" s="7">
        <v>93115932</v>
      </c>
      <c r="P3626" s="7">
        <v>0</v>
      </c>
      <c r="Q3626" s="7" t="str">
        <f t="shared" si="1289"/>
        <v>都市整備部</v>
      </c>
      <c r="R3626" s="7" t="str">
        <f t="shared" si="1287"/>
        <v>住宅建築局住宅経営室</v>
      </c>
    </row>
    <row r="3627" spans="1:18" s="1" customFormat="1" x14ac:dyDescent="0.45">
      <c r="A3627" s="7" t="str">
        <f t="shared" si="1290"/>
        <v>09940003502</v>
      </c>
      <c r="B3627" s="7" t="str">
        <f t="shared" si="1291"/>
        <v>島本江川</v>
      </c>
      <c r="C3627" s="7" t="str">
        <f t="shared" si="1288"/>
        <v>行政財産</v>
      </c>
      <c r="D3627" s="7" t="str">
        <f t="shared" si="1270"/>
        <v>公営住宅</v>
      </c>
      <c r="E3627" s="7" t="str">
        <f t="shared" si="1292"/>
        <v>大阪府三島郡　島本町江川１丁目</v>
      </c>
      <c r="F3627" s="7"/>
      <c r="G3627" s="7" t="str">
        <f t="shared" si="1286"/>
        <v>事業用資産</v>
      </c>
      <c r="H3627" s="7" t="str">
        <f t="shared" si="1279"/>
        <v>棚卸以外</v>
      </c>
      <c r="I3627" s="7">
        <v>14</v>
      </c>
      <c r="J3627" s="7" t="str">
        <f>"１１号棟"</f>
        <v>１１号棟</v>
      </c>
      <c r="K3627" s="7" t="str">
        <f t="shared" ref="K3627:K3646" si="1295">"鉄筋コンクリート造"</f>
        <v>鉄筋コンクリート造</v>
      </c>
      <c r="L3627" s="7" t="str">
        <f t="shared" si="1294"/>
        <v>S62.09.28</v>
      </c>
      <c r="M3627" s="7">
        <v>1274.9100000000001</v>
      </c>
      <c r="N3627" s="7">
        <v>123455429</v>
      </c>
      <c r="O3627" s="7">
        <v>93053310</v>
      </c>
      <c r="P3627" s="7">
        <v>0</v>
      </c>
      <c r="Q3627" s="7" t="str">
        <f t="shared" si="1289"/>
        <v>都市整備部</v>
      </c>
      <c r="R3627" s="7" t="str">
        <f t="shared" si="1287"/>
        <v>住宅建築局住宅経営室</v>
      </c>
    </row>
    <row r="3628" spans="1:18" s="1" customFormat="1" x14ac:dyDescent="0.45">
      <c r="A3628" s="7" t="str">
        <f t="shared" si="1290"/>
        <v>09940003502</v>
      </c>
      <c r="B3628" s="7" t="str">
        <f t="shared" si="1291"/>
        <v>島本江川</v>
      </c>
      <c r="C3628" s="7" t="str">
        <f t="shared" si="1288"/>
        <v>行政財産</v>
      </c>
      <c r="D3628" s="7" t="str">
        <f t="shared" si="1270"/>
        <v>公営住宅</v>
      </c>
      <c r="E3628" s="7" t="str">
        <f t="shared" si="1292"/>
        <v>大阪府三島郡　島本町江川１丁目</v>
      </c>
      <c r="F3628" s="7"/>
      <c r="G3628" s="7" t="str">
        <f t="shared" si="1286"/>
        <v>事業用資産</v>
      </c>
      <c r="H3628" s="7" t="str">
        <f t="shared" si="1279"/>
        <v>棚卸以外</v>
      </c>
      <c r="I3628" s="7">
        <v>15</v>
      </c>
      <c r="J3628" s="7" t="str">
        <f>"１２号棟"</f>
        <v>１２号棟</v>
      </c>
      <c r="K3628" s="7" t="str">
        <f t="shared" si="1295"/>
        <v>鉄筋コンクリート造</v>
      </c>
      <c r="L3628" s="7" t="str">
        <f t="shared" si="1294"/>
        <v>S62.09.28</v>
      </c>
      <c r="M3628" s="7">
        <v>849.94</v>
      </c>
      <c r="N3628" s="7">
        <v>83222000</v>
      </c>
      <c r="O3628" s="7">
        <v>62859282</v>
      </c>
      <c r="P3628" s="7">
        <v>0</v>
      </c>
      <c r="Q3628" s="7" t="str">
        <f t="shared" si="1289"/>
        <v>都市整備部</v>
      </c>
      <c r="R3628" s="7" t="str">
        <f t="shared" si="1287"/>
        <v>住宅建築局住宅経営室</v>
      </c>
    </row>
    <row r="3629" spans="1:18" s="1" customFormat="1" x14ac:dyDescent="0.45">
      <c r="A3629" s="7" t="str">
        <f t="shared" si="1290"/>
        <v>09940003502</v>
      </c>
      <c r="B3629" s="7" t="str">
        <f t="shared" si="1291"/>
        <v>島本江川</v>
      </c>
      <c r="C3629" s="7" t="str">
        <f t="shared" si="1288"/>
        <v>行政財産</v>
      </c>
      <c r="D3629" s="7" t="str">
        <f t="shared" si="1270"/>
        <v>公営住宅</v>
      </c>
      <c r="E3629" s="7" t="str">
        <f t="shared" si="1292"/>
        <v>大阪府三島郡　島本町江川１丁目</v>
      </c>
      <c r="F3629" s="7"/>
      <c r="G3629" s="7" t="str">
        <f t="shared" si="1286"/>
        <v>事業用資産</v>
      </c>
      <c r="H3629" s="7" t="str">
        <f t="shared" si="1279"/>
        <v>棚卸以外</v>
      </c>
      <c r="I3629" s="7">
        <v>16</v>
      </c>
      <c r="J3629" s="7" t="str">
        <f>"１３号棟"</f>
        <v>１３号棟</v>
      </c>
      <c r="K3629" s="7" t="str">
        <f t="shared" si="1295"/>
        <v>鉄筋コンクリート造</v>
      </c>
      <c r="L3629" s="7" t="str">
        <f t="shared" si="1294"/>
        <v>S62.09.28</v>
      </c>
      <c r="M3629" s="7">
        <v>1178.28</v>
      </c>
      <c r="N3629" s="7">
        <v>107721000</v>
      </c>
      <c r="O3629" s="7">
        <v>81363870</v>
      </c>
      <c r="P3629" s="7">
        <v>0</v>
      </c>
      <c r="Q3629" s="7" t="str">
        <f t="shared" si="1289"/>
        <v>都市整備部</v>
      </c>
      <c r="R3629" s="7" t="str">
        <f t="shared" si="1287"/>
        <v>住宅建築局住宅経営室</v>
      </c>
    </row>
    <row r="3630" spans="1:18" s="1" customFormat="1" x14ac:dyDescent="0.45">
      <c r="A3630" s="7" t="str">
        <f t="shared" si="1290"/>
        <v>09940003502</v>
      </c>
      <c r="B3630" s="7" t="str">
        <f t="shared" si="1291"/>
        <v>島本江川</v>
      </c>
      <c r="C3630" s="7" t="str">
        <f t="shared" si="1288"/>
        <v>行政財産</v>
      </c>
      <c r="D3630" s="7" t="str">
        <f t="shared" si="1270"/>
        <v>公営住宅</v>
      </c>
      <c r="E3630" s="7" t="str">
        <f t="shared" si="1292"/>
        <v>大阪府三島郡　島本町江川１丁目</v>
      </c>
      <c r="F3630" s="7"/>
      <c r="G3630" s="7" t="str">
        <f t="shared" si="1286"/>
        <v>事業用資産</v>
      </c>
      <c r="H3630" s="7" t="str">
        <f t="shared" si="1279"/>
        <v>棚卸以外</v>
      </c>
      <c r="I3630" s="7">
        <v>17</v>
      </c>
      <c r="J3630" s="7" t="str">
        <f>"１４号棟"</f>
        <v>１４号棟</v>
      </c>
      <c r="K3630" s="7" t="str">
        <f t="shared" si="1295"/>
        <v>鉄筋コンクリート造</v>
      </c>
      <c r="L3630" s="7" t="str">
        <f t="shared" si="1294"/>
        <v>S62.09.28</v>
      </c>
      <c r="M3630" s="7">
        <v>1131.52</v>
      </c>
      <c r="N3630" s="7">
        <v>104612000</v>
      </c>
      <c r="O3630" s="7">
        <v>79015758</v>
      </c>
      <c r="P3630" s="7">
        <v>0</v>
      </c>
      <c r="Q3630" s="7" t="str">
        <f t="shared" si="1289"/>
        <v>都市整備部</v>
      </c>
      <c r="R3630" s="7" t="str">
        <f t="shared" si="1287"/>
        <v>住宅建築局住宅経営室</v>
      </c>
    </row>
    <row r="3631" spans="1:18" s="1" customFormat="1" x14ac:dyDescent="0.45">
      <c r="A3631" s="7" t="str">
        <f t="shared" si="1290"/>
        <v>09940003502</v>
      </c>
      <c r="B3631" s="7" t="str">
        <f t="shared" si="1291"/>
        <v>島本江川</v>
      </c>
      <c r="C3631" s="7" t="str">
        <f t="shared" si="1288"/>
        <v>行政財産</v>
      </c>
      <c r="D3631" s="7" t="str">
        <f t="shared" si="1270"/>
        <v>公営住宅</v>
      </c>
      <c r="E3631" s="7" t="str">
        <f t="shared" si="1292"/>
        <v>大阪府三島郡　島本町江川１丁目</v>
      </c>
      <c r="F3631" s="7"/>
      <c r="G3631" s="7" t="str">
        <f t="shared" si="1286"/>
        <v>事業用資産</v>
      </c>
      <c r="H3631" s="7" t="str">
        <f t="shared" si="1279"/>
        <v>棚卸以外</v>
      </c>
      <c r="I3631" s="7">
        <v>18</v>
      </c>
      <c r="J3631" s="7" t="str">
        <f>"５号棟"</f>
        <v>５号棟</v>
      </c>
      <c r="K3631" s="7" t="str">
        <f t="shared" si="1295"/>
        <v>鉄筋コンクリート造</v>
      </c>
      <c r="L3631" s="7" t="str">
        <f>"H01.05.29"</f>
        <v>H01.05.29</v>
      </c>
      <c r="M3631" s="7">
        <v>2844.8</v>
      </c>
      <c r="N3631" s="7">
        <v>144864000</v>
      </c>
      <c r="O3631" s="7">
        <v>104281912</v>
      </c>
      <c r="P3631" s="7">
        <v>0</v>
      </c>
      <c r="Q3631" s="7" t="str">
        <f t="shared" si="1289"/>
        <v>都市整備部</v>
      </c>
      <c r="R3631" s="7" t="str">
        <f t="shared" si="1287"/>
        <v>住宅建築局住宅経営室</v>
      </c>
    </row>
    <row r="3632" spans="1:18" s="1" customFormat="1" x14ac:dyDescent="0.45">
      <c r="A3632" s="7" t="str">
        <f t="shared" si="1290"/>
        <v>09940003502</v>
      </c>
      <c r="B3632" s="7" t="str">
        <f t="shared" si="1291"/>
        <v>島本江川</v>
      </c>
      <c r="C3632" s="7" t="str">
        <f t="shared" si="1288"/>
        <v>行政財産</v>
      </c>
      <c r="D3632" s="7" t="str">
        <f t="shared" si="1270"/>
        <v>公営住宅</v>
      </c>
      <c r="E3632" s="7" t="str">
        <f t="shared" si="1292"/>
        <v>大阪府三島郡　島本町江川１丁目</v>
      </c>
      <c r="F3632" s="7"/>
      <c r="G3632" s="7" t="str">
        <f t="shared" si="1286"/>
        <v>事業用資産</v>
      </c>
      <c r="H3632" s="7" t="str">
        <f t="shared" si="1279"/>
        <v>棚卸以外</v>
      </c>
      <c r="I3632" s="7">
        <v>19</v>
      </c>
      <c r="J3632" s="7" t="str">
        <f>"６号棟"</f>
        <v>６号棟</v>
      </c>
      <c r="K3632" s="7" t="str">
        <f t="shared" si="1295"/>
        <v>鉄筋コンクリート造</v>
      </c>
      <c r="L3632" s="7" t="str">
        <f>"H01.05.29"</f>
        <v>H01.05.29</v>
      </c>
      <c r="M3632" s="7">
        <v>2785.7</v>
      </c>
      <c r="N3632" s="7">
        <v>135324000</v>
      </c>
      <c r="O3632" s="7">
        <v>97414422</v>
      </c>
      <c r="P3632" s="7">
        <v>0</v>
      </c>
      <c r="Q3632" s="7" t="str">
        <f t="shared" si="1289"/>
        <v>都市整備部</v>
      </c>
      <c r="R3632" s="7" t="str">
        <f t="shared" si="1287"/>
        <v>住宅建築局住宅経営室</v>
      </c>
    </row>
    <row r="3633" spans="1:18" s="1" customFormat="1" x14ac:dyDescent="0.45">
      <c r="A3633" s="7" t="str">
        <f t="shared" si="1290"/>
        <v>09940003502</v>
      </c>
      <c r="B3633" s="7" t="str">
        <f t="shared" si="1291"/>
        <v>島本江川</v>
      </c>
      <c r="C3633" s="7" t="str">
        <f t="shared" si="1288"/>
        <v>行政財産</v>
      </c>
      <c r="D3633" s="7" t="str">
        <f t="shared" si="1270"/>
        <v>公営住宅</v>
      </c>
      <c r="E3633" s="7" t="str">
        <f t="shared" si="1292"/>
        <v>大阪府三島郡　島本町江川１丁目</v>
      </c>
      <c r="F3633" s="7"/>
      <c r="G3633" s="7" t="str">
        <f t="shared" si="1286"/>
        <v>事業用資産</v>
      </c>
      <c r="H3633" s="7" t="str">
        <f t="shared" si="1279"/>
        <v>棚卸以外</v>
      </c>
      <c r="I3633" s="7">
        <v>20</v>
      </c>
      <c r="J3633" s="7" t="str">
        <f>"１５号棟"</f>
        <v>１５号棟</v>
      </c>
      <c r="K3633" s="7" t="str">
        <f t="shared" si="1295"/>
        <v>鉄筋コンクリート造</v>
      </c>
      <c r="L3633" s="7" t="str">
        <f>"H01.07.07"</f>
        <v>H01.07.07</v>
      </c>
      <c r="M3633" s="7">
        <v>2059.65</v>
      </c>
      <c r="N3633" s="7">
        <v>235426115</v>
      </c>
      <c r="O3633" s="7">
        <v>168787261</v>
      </c>
      <c r="P3633" s="7">
        <v>0</v>
      </c>
      <c r="Q3633" s="7" t="str">
        <f t="shared" si="1289"/>
        <v>都市整備部</v>
      </c>
      <c r="R3633" s="7" t="str">
        <f t="shared" si="1287"/>
        <v>住宅建築局住宅経営室</v>
      </c>
    </row>
    <row r="3634" spans="1:18" s="1" customFormat="1" x14ac:dyDescent="0.45">
      <c r="A3634" s="7" t="str">
        <f t="shared" si="1290"/>
        <v>09940003502</v>
      </c>
      <c r="B3634" s="7" t="str">
        <f t="shared" si="1291"/>
        <v>島本江川</v>
      </c>
      <c r="C3634" s="7" t="str">
        <f t="shared" si="1288"/>
        <v>行政財産</v>
      </c>
      <c r="D3634" s="7" t="str">
        <f t="shared" ref="D3634:D3697" si="1296">"公営住宅"</f>
        <v>公営住宅</v>
      </c>
      <c r="E3634" s="7" t="str">
        <f t="shared" si="1292"/>
        <v>大阪府三島郡　島本町江川１丁目</v>
      </c>
      <c r="F3634" s="7"/>
      <c r="G3634" s="7" t="str">
        <f t="shared" si="1286"/>
        <v>事業用資産</v>
      </c>
      <c r="H3634" s="7" t="str">
        <f t="shared" si="1279"/>
        <v>棚卸以外</v>
      </c>
      <c r="I3634" s="7">
        <v>21</v>
      </c>
      <c r="J3634" s="7" t="str">
        <f>"１６号棟"</f>
        <v>１６号棟</v>
      </c>
      <c r="K3634" s="7" t="str">
        <f t="shared" si="1295"/>
        <v>鉄筋コンクリート造</v>
      </c>
      <c r="L3634" s="7" t="str">
        <f>"H01.07.07"</f>
        <v>H01.07.07</v>
      </c>
      <c r="M3634" s="7">
        <v>2021.52</v>
      </c>
      <c r="N3634" s="7">
        <v>190747932</v>
      </c>
      <c r="O3634" s="7">
        <v>136274856</v>
      </c>
      <c r="P3634" s="7">
        <v>0</v>
      </c>
      <c r="Q3634" s="7" t="str">
        <f t="shared" si="1289"/>
        <v>都市整備部</v>
      </c>
      <c r="R3634" s="7" t="str">
        <f t="shared" si="1287"/>
        <v>住宅建築局住宅経営室</v>
      </c>
    </row>
    <row r="3635" spans="1:18" s="1" customFormat="1" x14ac:dyDescent="0.45">
      <c r="A3635" s="7" t="str">
        <f t="shared" si="1290"/>
        <v>09940003502</v>
      </c>
      <c r="B3635" s="7" t="str">
        <f t="shared" si="1291"/>
        <v>島本江川</v>
      </c>
      <c r="C3635" s="7" t="str">
        <f t="shared" si="1288"/>
        <v>行政財産</v>
      </c>
      <c r="D3635" s="7" t="str">
        <f t="shared" si="1296"/>
        <v>公営住宅</v>
      </c>
      <c r="E3635" s="7" t="str">
        <f t="shared" si="1292"/>
        <v>大阪府三島郡　島本町江川１丁目</v>
      </c>
      <c r="F3635" s="7"/>
      <c r="G3635" s="7" t="str">
        <f t="shared" si="1286"/>
        <v>事業用資産</v>
      </c>
      <c r="H3635" s="7" t="str">
        <f t="shared" si="1279"/>
        <v>棚卸以外</v>
      </c>
      <c r="I3635" s="7">
        <v>23</v>
      </c>
      <c r="J3635" s="7" t="str">
        <f>"受水槽"</f>
        <v>受水槽</v>
      </c>
      <c r="K3635" s="7" t="str">
        <f t="shared" si="1295"/>
        <v>鉄筋コンクリート造</v>
      </c>
      <c r="L3635" s="7" t="str">
        <f>"H01.07.07"</f>
        <v>H01.07.07</v>
      </c>
      <c r="M3635" s="7">
        <v>97.6</v>
      </c>
      <c r="N3635" s="7">
        <v>19534000</v>
      </c>
      <c r="O3635" s="7">
        <v>13992540</v>
      </c>
      <c r="P3635" s="7">
        <v>0</v>
      </c>
      <c r="Q3635" s="7" t="str">
        <f t="shared" si="1289"/>
        <v>都市整備部</v>
      </c>
      <c r="R3635" s="7" t="str">
        <f t="shared" si="1287"/>
        <v>住宅建築局住宅経営室</v>
      </c>
    </row>
    <row r="3636" spans="1:18" s="1" customFormat="1" x14ac:dyDescent="0.45">
      <c r="A3636" s="7" t="str">
        <f t="shared" si="1290"/>
        <v>09940003502</v>
      </c>
      <c r="B3636" s="7" t="str">
        <f t="shared" si="1291"/>
        <v>島本江川</v>
      </c>
      <c r="C3636" s="7" t="str">
        <f t="shared" si="1288"/>
        <v>行政財産</v>
      </c>
      <c r="D3636" s="7" t="str">
        <f t="shared" si="1296"/>
        <v>公営住宅</v>
      </c>
      <c r="E3636" s="7" t="str">
        <f t="shared" si="1292"/>
        <v>大阪府三島郡　島本町江川１丁目</v>
      </c>
      <c r="F3636" s="7"/>
      <c r="G3636" s="7" t="str">
        <f t="shared" si="1286"/>
        <v>事業用資産</v>
      </c>
      <c r="H3636" s="7" t="str">
        <f t="shared" si="1279"/>
        <v>棚卸以外</v>
      </c>
      <c r="I3636" s="7">
        <v>24</v>
      </c>
      <c r="J3636" s="7" t="str">
        <f>"１号棟"</f>
        <v>１号棟</v>
      </c>
      <c r="K3636" s="7" t="str">
        <f t="shared" si="1295"/>
        <v>鉄筋コンクリート造</v>
      </c>
      <c r="L3636" s="7" t="str">
        <f>"H03.08.22"</f>
        <v>H03.08.22</v>
      </c>
      <c r="M3636" s="7">
        <v>1552.51</v>
      </c>
      <c r="N3636" s="7">
        <v>283516150</v>
      </c>
      <c r="O3636" s="7">
        <v>188612975</v>
      </c>
      <c r="P3636" s="7">
        <v>0</v>
      </c>
      <c r="Q3636" s="7" t="str">
        <f t="shared" si="1289"/>
        <v>都市整備部</v>
      </c>
      <c r="R3636" s="7" t="str">
        <f t="shared" si="1287"/>
        <v>住宅建築局住宅経営室</v>
      </c>
    </row>
    <row r="3637" spans="1:18" s="1" customFormat="1" x14ac:dyDescent="0.45">
      <c r="A3637" s="7" t="str">
        <f t="shared" si="1290"/>
        <v>09940003502</v>
      </c>
      <c r="B3637" s="7" t="str">
        <f t="shared" si="1291"/>
        <v>島本江川</v>
      </c>
      <c r="C3637" s="7" t="str">
        <f t="shared" si="1288"/>
        <v>行政財産</v>
      </c>
      <c r="D3637" s="7" t="str">
        <f t="shared" si="1296"/>
        <v>公営住宅</v>
      </c>
      <c r="E3637" s="7" t="str">
        <f t="shared" si="1292"/>
        <v>大阪府三島郡　島本町江川１丁目</v>
      </c>
      <c r="F3637" s="7"/>
      <c r="G3637" s="7" t="str">
        <f t="shared" si="1286"/>
        <v>事業用資産</v>
      </c>
      <c r="H3637" s="7" t="str">
        <f t="shared" si="1279"/>
        <v>棚卸以外</v>
      </c>
      <c r="I3637" s="7">
        <v>25</v>
      </c>
      <c r="J3637" s="7" t="str">
        <f>"２号棟"</f>
        <v>２号棟</v>
      </c>
      <c r="K3637" s="7" t="str">
        <f t="shared" si="1295"/>
        <v>鉄筋コンクリート造</v>
      </c>
      <c r="L3637" s="7" t="str">
        <f>"H03.08.22"</f>
        <v>H03.08.22</v>
      </c>
      <c r="M3637" s="7">
        <v>3125.17</v>
      </c>
      <c r="N3637" s="7">
        <v>547209150</v>
      </c>
      <c r="O3637" s="7">
        <v>365810635</v>
      </c>
      <c r="P3637" s="7">
        <v>0</v>
      </c>
      <c r="Q3637" s="7" t="str">
        <f t="shared" si="1289"/>
        <v>都市整備部</v>
      </c>
      <c r="R3637" s="7" t="str">
        <f t="shared" si="1287"/>
        <v>住宅建築局住宅経営室</v>
      </c>
    </row>
    <row r="3638" spans="1:18" s="1" customFormat="1" x14ac:dyDescent="0.45">
      <c r="A3638" s="7" t="str">
        <f t="shared" si="1290"/>
        <v>09940003502</v>
      </c>
      <c r="B3638" s="7" t="str">
        <f t="shared" si="1291"/>
        <v>島本江川</v>
      </c>
      <c r="C3638" s="7" t="str">
        <f t="shared" si="1288"/>
        <v>行政財産</v>
      </c>
      <c r="D3638" s="7" t="str">
        <f t="shared" si="1296"/>
        <v>公営住宅</v>
      </c>
      <c r="E3638" s="7" t="str">
        <f t="shared" si="1292"/>
        <v>大阪府三島郡　島本町江川１丁目</v>
      </c>
      <c r="F3638" s="7"/>
      <c r="G3638" s="7" t="str">
        <f t="shared" si="1286"/>
        <v>事業用資産</v>
      </c>
      <c r="H3638" s="7" t="str">
        <f t="shared" si="1279"/>
        <v>棚卸以外</v>
      </c>
      <c r="I3638" s="7">
        <v>26</v>
      </c>
      <c r="J3638" s="7" t="str">
        <f>"３号棟"</f>
        <v>３号棟</v>
      </c>
      <c r="K3638" s="7" t="str">
        <f t="shared" si="1295"/>
        <v>鉄筋コンクリート造</v>
      </c>
      <c r="L3638" s="7" t="str">
        <f>"H03.08.22"</f>
        <v>H03.08.22</v>
      </c>
      <c r="M3638" s="7">
        <v>2402.0700000000002</v>
      </c>
      <c r="N3638" s="7">
        <v>398448000</v>
      </c>
      <c r="O3638" s="7">
        <v>267751751</v>
      </c>
      <c r="P3638" s="7">
        <v>0</v>
      </c>
      <c r="Q3638" s="7" t="str">
        <f t="shared" si="1289"/>
        <v>都市整備部</v>
      </c>
      <c r="R3638" s="7" t="str">
        <f t="shared" si="1287"/>
        <v>住宅建築局住宅経営室</v>
      </c>
    </row>
    <row r="3639" spans="1:18" s="1" customFormat="1" x14ac:dyDescent="0.45">
      <c r="A3639" s="7" t="str">
        <f t="shared" si="1290"/>
        <v>09940003502</v>
      </c>
      <c r="B3639" s="7" t="str">
        <f t="shared" si="1291"/>
        <v>島本江川</v>
      </c>
      <c r="C3639" s="7" t="str">
        <f t="shared" si="1288"/>
        <v>行政財産</v>
      </c>
      <c r="D3639" s="7" t="str">
        <f t="shared" si="1296"/>
        <v>公営住宅</v>
      </c>
      <c r="E3639" s="7" t="str">
        <f t="shared" si="1292"/>
        <v>大阪府三島郡　島本町江川１丁目</v>
      </c>
      <c r="F3639" s="7"/>
      <c r="G3639" s="7" t="str">
        <f t="shared" si="1286"/>
        <v>事業用資産</v>
      </c>
      <c r="H3639" s="7" t="str">
        <f t="shared" si="1279"/>
        <v>棚卸以外</v>
      </c>
      <c r="I3639" s="7">
        <v>27</v>
      </c>
      <c r="J3639" s="7" t="str">
        <f>"４号棟"</f>
        <v>４号棟</v>
      </c>
      <c r="K3639" s="7" t="str">
        <f t="shared" si="1295"/>
        <v>鉄筋コンクリート造</v>
      </c>
      <c r="L3639" s="7" t="str">
        <f>"H03.08.22"</f>
        <v>H03.08.22</v>
      </c>
      <c r="M3639" s="7">
        <v>3201.81</v>
      </c>
      <c r="N3639" s="7">
        <v>565012149</v>
      </c>
      <c r="O3639" s="7">
        <v>377774149</v>
      </c>
      <c r="P3639" s="7">
        <v>0</v>
      </c>
      <c r="Q3639" s="7" t="str">
        <f t="shared" si="1289"/>
        <v>都市整備部</v>
      </c>
      <c r="R3639" s="7" t="str">
        <f t="shared" si="1287"/>
        <v>住宅建築局住宅経営室</v>
      </c>
    </row>
    <row r="3640" spans="1:18" s="1" customFormat="1" x14ac:dyDescent="0.45">
      <c r="A3640" s="7" t="str">
        <f t="shared" si="1290"/>
        <v>09940003502</v>
      </c>
      <c r="B3640" s="7" t="str">
        <f t="shared" si="1291"/>
        <v>島本江川</v>
      </c>
      <c r="C3640" s="7" t="str">
        <f t="shared" si="1288"/>
        <v>行政財産</v>
      </c>
      <c r="D3640" s="7" t="str">
        <f t="shared" si="1296"/>
        <v>公営住宅</v>
      </c>
      <c r="E3640" s="7" t="str">
        <f t="shared" si="1292"/>
        <v>大阪府三島郡　島本町江川１丁目</v>
      </c>
      <c r="F3640" s="7"/>
      <c r="G3640" s="7" t="str">
        <f t="shared" si="1286"/>
        <v>事業用資産</v>
      </c>
      <c r="H3640" s="7" t="str">
        <f t="shared" si="1279"/>
        <v>棚卸以外</v>
      </c>
      <c r="I3640" s="7">
        <v>28</v>
      </c>
      <c r="J3640" s="7" t="str">
        <f>"１７号棟"</f>
        <v>１７号棟</v>
      </c>
      <c r="K3640" s="7" t="str">
        <f t="shared" si="1295"/>
        <v>鉄筋コンクリート造</v>
      </c>
      <c r="L3640" s="7" t="str">
        <f>"H01.07.07"</f>
        <v>H01.07.07</v>
      </c>
      <c r="M3640" s="7">
        <v>2059.65</v>
      </c>
      <c r="N3640" s="7">
        <v>222822115</v>
      </c>
      <c r="O3640" s="7">
        <v>158697973</v>
      </c>
      <c r="P3640" s="7">
        <v>0</v>
      </c>
      <c r="Q3640" s="7" t="str">
        <f t="shared" si="1289"/>
        <v>都市整備部</v>
      </c>
      <c r="R3640" s="7" t="str">
        <f t="shared" si="1287"/>
        <v>住宅建築局住宅経営室</v>
      </c>
    </row>
    <row r="3641" spans="1:18" s="1" customFormat="1" x14ac:dyDescent="0.45">
      <c r="A3641" s="7" t="str">
        <f t="shared" ref="A3641:A3646" si="1297">"09940003503"</f>
        <v>09940003503</v>
      </c>
      <c r="B3641" s="7" t="str">
        <f t="shared" ref="B3641:B3646" si="1298">"富木南"</f>
        <v>富木南</v>
      </c>
      <c r="C3641" s="7" t="str">
        <f t="shared" si="1288"/>
        <v>行政財産</v>
      </c>
      <c r="D3641" s="7" t="str">
        <f t="shared" si="1296"/>
        <v>公営住宅</v>
      </c>
      <c r="E3641" s="7" t="str">
        <f t="shared" ref="E3641:E3646" si="1299">"大阪府高石市取石７丁目"</f>
        <v>大阪府高石市取石７丁目</v>
      </c>
      <c r="F3641" s="7"/>
      <c r="G3641" s="7" t="str">
        <f t="shared" si="1286"/>
        <v>事業用資産</v>
      </c>
      <c r="H3641" s="7" t="str">
        <f t="shared" si="1279"/>
        <v>棚卸以外</v>
      </c>
      <c r="I3641" s="7">
        <v>1</v>
      </c>
      <c r="J3641" s="7" t="str">
        <f>"１号棟"</f>
        <v>１号棟</v>
      </c>
      <c r="K3641" s="7" t="str">
        <f t="shared" si="1295"/>
        <v>鉄筋コンクリート造</v>
      </c>
      <c r="L3641" s="7" t="str">
        <f>"S56.12.19"</f>
        <v>S56.12.19</v>
      </c>
      <c r="M3641" s="7">
        <v>1259.5</v>
      </c>
      <c r="N3641" s="7">
        <v>114356000</v>
      </c>
      <c r="O3641" s="7">
        <v>100365705</v>
      </c>
      <c r="P3641" s="7">
        <v>0</v>
      </c>
      <c r="Q3641" s="7" t="str">
        <f t="shared" si="1289"/>
        <v>都市整備部</v>
      </c>
      <c r="R3641" s="7" t="str">
        <f t="shared" si="1287"/>
        <v>住宅建築局住宅経営室</v>
      </c>
    </row>
    <row r="3642" spans="1:18" s="1" customFormat="1" x14ac:dyDescent="0.45">
      <c r="A3642" s="7" t="str">
        <f t="shared" si="1297"/>
        <v>09940003503</v>
      </c>
      <c r="B3642" s="7" t="str">
        <f t="shared" si="1298"/>
        <v>富木南</v>
      </c>
      <c r="C3642" s="7" t="str">
        <f t="shared" si="1288"/>
        <v>行政財産</v>
      </c>
      <c r="D3642" s="7" t="str">
        <f t="shared" si="1296"/>
        <v>公営住宅</v>
      </c>
      <c r="E3642" s="7" t="str">
        <f t="shared" si="1299"/>
        <v>大阪府高石市取石７丁目</v>
      </c>
      <c r="F3642" s="7"/>
      <c r="G3642" s="7" t="str">
        <f t="shared" si="1286"/>
        <v>事業用資産</v>
      </c>
      <c r="H3642" s="7" t="str">
        <f t="shared" si="1279"/>
        <v>棚卸以外</v>
      </c>
      <c r="I3642" s="7">
        <v>2</v>
      </c>
      <c r="J3642" s="7" t="str">
        <f>"２号棟"</f>
        <v>２号棟</v>
      </c>
      <c r="K3642" s="7" t="str">
        <f t="shared" si="1295"/>
        <v>鉄筋コンクリート造</v>
      </c>
      <c r="L3642" s="7" t="str">
        <f>"S56.12.19"</f>
        <v>S56.12.19</v>
      </c>
      <c r="M3642" s="7">
        <v>1259.5</v>
      </c>
      <c r="N3642" s="7">
        <v>108986000</v>
      </c>
      <c r="O3642" s="7">
        <v>95652810</v>
      </c>
      <c r="P3642" s="7">
        <v>0</v>
      </c>
      <c r="Q3642" s="7" t="str">
        <f t="shared" si="1289"/>
        <v>都市整備部</v>
      </c>
      <c r="R3642" s="7" t="str">
        <f t="shared" si="1287"/>
        <v>住宅建築局住宅経営室</v>
      </c>
    </row>
    <row r="3643" spans="1:18" s="1" customFormat="1" x14ac:dyDescent="0.45">
      <c r="A3643" s="7" t="str">
        <f t="shared" si="1297"/>
        <v>09940003503</v>
      </c>
      <c r="B3643" s="7" t="str">
        <f t="shared" si="1298"/>
        <v>富木南</v>
      </c>
      <c r="C3643" s="7" t="str">
        <f t="shared" si="1288"/>
        <v>行政財産</v>
      </c>
      <c r="D3643" s="7" t="str">
        <f t="shared" si="1296"/>
        <v>公営住宅</v>
      </c>
      <c r="E3643" s="7" t="str">
        <f t="shared" si="1299"/>
        <v>大阪府高石市取石７丁目</v>
      </c>
      <c r="F3643" s="7"/>
      <c r="G3643" s="7" t="str">
        <f t="shared" si="1286"/>
        <v>事業用資産</v>
      </c>
      <c r="H3643" s="7" t="str">
        <f t="shared" si="1279"/>
        <v>棚卸以外</v>
      </c>
      <c r="I3643" s="7">
        <v>3</v>
      </c>
      <c r="J3643" s="7" t="str">
        <f>"集会所"</f>
        <v>集会所</v>
      </c>
      <c r="K3643" s="7" t="str">
        <f t="shared" si="1295"/>
        <v>鉄筋コンクリート造</v>
      </c>
      <c r="L3643" s="7" t="str">
        <f>"S56.12.19"</f>
        <v>S56.12.19</v>
      </c>
      <c r="M3643" s="7">
        <v>69.7</v>
      </c>
      <c r="N3643" s="7">
        <v>15367000</v>
      </c>
      <c r="O3643" s="7">
        <v>13487265</v>
      </c>
      <c r="P3643" s="7">
        <v>0</v>
      </c>
      <c r="Q3643" s="7" t="str">
        <f t="shared" si="1289"/>
        <v>都市整備部</v>
      </c>
      <c r="R3643" s="7" t="str">
        <f t="shared" si="1287"/>
        <v>住宅建築局住宅経営室</v>
      </c>
    </row>
    <row r="3644" spans="1:18" s="1" customFormat="1" x14ac:dyDescent="0.45">
      <c r="A3644" s="7" t="str">
        <f t="shared" si="1297"/>
        <v>09940003503</v>
      </c>
      <c r="B3644" s="7" t="str">
        <f t="shared" si="1298"/>
        <v>富木南</v>
      </c>
      <c r="C3644" s="7" t="str">
        <f t="shared" si="1288"/>
        <v>行政財産</v>
      </c>
      <c r="D3644" s="7" t="str">
        <f t="shared" si="1296"/>
        <v>公営住宅</v>
      </c>
      <c r="E3644" s="7" t="str">
        <f t="shared" si="1299"/>
        <v>大阪府高石市取石７丁目</v>
      </c>
      <c r="F3644" s="7"/>
      <c r="G3644" s="7" t="str">
        <f t="shared" si="1286"/>
        <v>事業用資産</v>
      </c>
      <c r="H3644" s="7" t="str">
        <f t="shared" si="1279"/>
        <v>棚卸以外</v>
      </c>
      <c r="I3644" s="7">
        <v>4</v>
      </c>
      <c r="J3644" s="7" t="str">
        <f>"３号棟"</f>
        <v>３号棟</v>
      </c>
      <c r="K3644" s="7" t="str">
        <f t="shared" si="1295"/>
        <v>鉄筋コンクリート造</v>
      </c>
      <c r="L3644" s="7" t="str">
        <f>"S57.12.23"</f>
        <v>S57.12.23</v>
      </c>
      <c r="M3644" s="7">
        <v>1829.66</v>
      </c>
      <c r="N3644" s="7">
        <v>169857000</v>
      </c>
      <c r="O3644" s="7">
        <v>145462695</v>
      </c>
      <c r="P3644" s="7">
        <v>0</v>
      </c>
      <c r="Q3644" s="7" t="str">
        <f t="shared" si="1289"/>
        <v>都市整備部</v>
      </c>
      <c r="R3644" s="7" t="str">
        <f t="shared" si="1287"/>
        <v>住宅建築局住宅経営室</v>
      </c>
    </row>
    <row r="3645" spans="1:18" s="1" customFormat="1" x14ac:dyDescent="0.45">
      <c r="A3645" s="7" t="str">
        <f t="shared" si="1297"/>
        <v>09940003503</v>
      </c>
      <c r="B3645" s="7" t="str">
        <f t="shared" si="1298"/>
        <v>富木南</v>
      </c>
      <c r="C3645" s="7" t="str">
        <f t="shared" si="1288"/>
        <v>行政財産</v>
      </c>
      <c r="D3645" s="7" t="str">
        <f t="shared" si="1296"/>
        <v>公営住宅</v>
      </c>
      <c r="E3645" s="7" t="str">
        <f t="shared" si="1299"/>
        <v>大阪府高石市取石７丁目</v>
      </c>
      <c r="F3645" s="7"/>
      <c r="G3645" s="7" t="str">
        <f t="shared" si="1286"/>
        <v>事業用資産</v>
      </c>
      <c r="H3645" s="7" t="str">
        <f t="shared" si="1279"/>
        <v>棚卸以外</v>
      </c>
      <c r="I3645" s="7">
        <v>5</v>
      </c>
      <c r="J3645" s="7" t="str">
        <f>"汚水処理場"</f>
        <v>汚水処理場</v>
      </c>
      <c r="K3645" s="7" t="str">
        <f t="shared" si="1295"/>
        <v>鉄筋コンクリート造</v>
      </c>
      <c r="L3645" s="7" t="str">
        <f>"S56.12.18"</f>
        <v>S56.12.18</v>
      </c>
      <c r="M3645" s="7">
        <v>135.85</v>
      </c>
      <c r="N3645" s="7">
        <v>48428000</v>
      </c>
      <c r="O3645" s="7">
        <v>42503670</v>
      </c>
      <c r="P3645" s="7">
        <v>0</v>
      </c>
      <c r="Q3645" s="7" t="str">
        <f t="shared" si="1289"/>
        <v>都市整備部</v>
      </c>
      <c r="R3645" s="7" t="str">
        <f t="shared" si="1287"/>
        <v>住宅建築局住宅経営室</v>
      </c>
    </row>
    <row r="3646" spans="1:18" s="1" customFormat="1" x14ac:dyDescent="0.45">
      <c r="A3646" s="7" t="str">
        <f t="shared" si="1297"/>
        <v>09940003503</v>
      </c>
      <c r="B3646" s="7" t="str">
        <f t="shared" si="1298"/>
        <v>富木南</v>
      </c>
      <c r="C3646" s="7" t="str">
        <f t="shared" si="1288"/>
        <v>行政財産</v>
      </c>
      <c r="D3646" s="7" t="str">
        <f t="shared" si="1296"/>
        <v>公営住宅</v>
      </c>
      <c r="E3646" s="7" t="str">
        <f t="shared" si="1299"/>
        <v>大阪府高石市取石７丁目</v>
      </c>
      <c r="F3646" s="7"/>
      <c r="G3646" s="7" t="str">
        <f t="shared" si="1286"/>
        <v>事業用資産</v>
      </c>
      <c r="H3646" s="7" t="str">
        <f t="shared" si="1279"/>
        <v>棚卸以外</v>
      </c>
      <c r="I3646" s="7">
        <v>6</v>
      </c>
      <c r="J3646" s="7" t="str">
        <f>"受水槽"</f>
        <v>受水槽</v>
      </c>
      <c r="K3646" s="7" t="str">
        <f t="shared" si="1295"/>
        <v>鉄筋コンクリート造</v>
      </c>
      <c r="L3646" s="7" t="str">
        <f>"S56.12.18"</f>
        <v>S56.12.18</v>
      </c>
      <c r="M3646" s="7">
        <v>23.86</v>
      </c>
      <c r="N3646" s="7">
        <v>2700000</v>
      </c>
      <c r="O3646" s="7">
        <v>2370060</v>
      </c>
      <c r="P3646" s="7">
        <v>0</v>
      </c>
      <c r="Q3646" s="7" t="str">
        <f t="shared" si="1289"/>
        <v>都市整備部</v>
      </c>
      <c r="R3646" s="7" t="str">
        <f t="shared" si="1287"/>
        <v>住宅建築局住宅経営室</v>
      </c>
    </row>
    <row r="3647" spans="1:18" s="1" customFormat="1" ht="26.4" x14ac:dyDescent="0.45">
      <c r="A3647" s="7" t="str">
        <f>"09940003504"</f>
        <v>09940003504</v>
      </c>
      <c r="B3647" s="7" t="str">
        <f>"八尾北久宝寺"</f>
        <v>八尾北久宝寺</v>
      </c>
      <c r="C3647" s="7" t="str">
        <f t="shared" si="1288"/>
        <v>行政財産</v>
      </c>
      <c r="D3647" s="7" t="str">
        <f t="shared" si="1296"/>
        <v>公営住宅</v>
      </c>
      <c r="E3647" s="7" t="str">
        <f>"大阪府八尾市北久宝寺２丁目"</f>
        <v>大阪府八尾市北久宝寺２丁目</v>
      </c>
      <c r="F3647" s="7"/>
      <c r="G3647" s="7" t="str">
        <f t="shared" si="1286"/>
        <v>事業用資産</v>
      </c>
      <c r="H3647" s="7" t="str">
        <f t="shared" si="1279"/>
        <v>棚卸以外</v>
      </c>
      <c r="I3647" s="7">
        <v>1</v>
      </c>
      <c r="J3647" s="7" t="str">
        <f>"３号棟"</f>
        <v>３号棟</v>
      </c>
      <c r="K3647" s="7" t="str">
        <f>"鉄骨鉄筋コンクリート造"</f>
        <v>鉄骨鉄筋コンクリート造</v>
      </c>
      <c r="L3647" s="7" t="str">
        <f>"S54.08.08"</f>
        <v>S54.08.08</v>
      </c>
      <c r="M3647" s="7">
        <v>8234.9699999999993</v>
      </c>
      <c r="N3647" s="7">
        <v>839932897</v>
      </c>
      <c r="O3647" s="7">
        <v>776131314</v>
      </c>
      <c r="P3647" s="7">
        <v>0</v>
      </c>
      <c r="Q3647" s="7" t="str">
        <f t="shared" si="1289"/>
        <v>都市整備部</v>
      </c>
      <c r="R3647" s="7" t="str">
        <f t="shared" si="1287"/>
        <v>住宅建築局住宅経営室</v>
      </c>
    </row>
    <row r="3648" spans="1:18" s="1" customFormat="1" ht="26.4" x14ac:dyDescent="0.45">
      <c r="A3648" s="7" t="str">
        <f>"09940003504"</f>
        <v>09940003504</v>
      </c>
      <c r="B3648" s="7" t="str">
        <f>"八尾北久宝寺"</f>
        <v>八尾北久宝寺</v>
      </c>
      <c r="C3648" s="7" t="str">
        <f t="shared" si="1288"/>
        <v>行政財産</v>
      </c>
      <c r="D3648" s="7" t="str">
        <f t="shared" si="1296"/>
        <v>公営住宅</v>
      </c>
      <c r="E3648" s="7" t="str">
        <f>"大阪府八尾市北久宝寺２丁目"</f>
        <v>大阪府八尾市北久宝寺２丁目</v>
      </c>
      <c r="F3648" s="7"/>
      <c r="G3648" s="7" t="str">
        <f t="shared" si="1286"/>
        <v>事業用資産</v>
      </c>
      <c r="H3648" s="7" t="str">
        <f t="shared" si="1279"/>
        <v>棚卸以外</v>
      </c>
      <c r="I3648" s="7">
        <v>2</v>
      </c>
      <c r="J3648" s="7" t="str">
        <f>"２号棟"</f>
        <v>２号棟</v>
      </c>
      <c r="K3648" s="7" t="str">
        <f>"鉄骨鉄筋コンクリート造"</f>
        <v>鉄骨鉄筋コンクリート造</v>
      </c>
      <c r="L3648" s="7" t="str">
        <f>"S54.08.08"</f>
        <v>S54.08.08</v>
      </c>
      <c r="M3648" s="7">
        <v>2703.58</v>
      </c>
      <c r="N3648" s="7">
        <v>284776947</v>
      </c>
      <c r="O3648" s="7">
        <v>262616882</v>
      </c>
      <c r="P3648" s="7">
        <v>0</v>
      </c>
      <c r="Q3648" s="7" t="str">
        <f t="shared" si="1289"/>
        <v>都市整備部</v>
      </c>
      <c r="R3648" s="7" t="str">
        <f t="shared" si="1287"/>
        <v>住宅建築局住宅経営室</v>
      </c>
    </row>
    <row r="3649" spans="1:18" s="1" customFormat="1" ht="26.4" x14ac:dyDescent="0.45">
      <c r="A3649" s="7" t="str">
        <f>"09940003504"</f>
        <v>09940003504</v>
      </c>
      <c r="B3649" s="7" t="str">
        <f>"八尾北久宝寺"</f>
        <v>八尾北久宝寺</v>
      </c>
      <c r="C3649" s="7" t="str">
        <f t="shared" si="1288"/>
        <v>行政財産</v>
      </c>
      <c r="D3649" s="7" t="str">
        <f t="shared" si="1296"/>
        <v>公営住宅</v>
      </c>
      <c r="E3649" s="7" t="str">
        <f>"大阪府八尾市北久宝寺２丁目"</f>
        <v>大阪府八尾市北久宝寺２丁目</v>
      </c>
      <c r="F3649" s="7"/>
      <c r="G3649" s="7" t="str">
        <f t="shared" si="1286"/>
        <v>事業用資産</v>
      </c>
      <c r="H3649" s="7" t="str">
        <f t="shared" si="1279"/>
        <v>棚卸以外</v>
      </c>
      <c r="I3649" s="7">
        <v>3</v>
      </c>
      <c r="J3649" s="7" t="str">
        <f>"１号棟"</f>
        <v>１号棟</v>
      </c>
      <c r="K3649" s="7" t="str">
        <f>"鉄骨鉄筋コンクリート造"</f>
        <v>鉄骨鉄筋コンクリート造</v>
      </c>
      <c r="L3649" s="7" t="str">
        <f>"S54.08.08"</f>
        <v>S54.08.08</v>
      </c>
      <c r="M3649" s="7">
        <v>5317.02</v>
      </c>
      <c r="N3649" s="7">
        <v>558312501</v>
      </c>
      <c r="O3649" s="7">
        <v>510472596</v>
      </c>
      <c r="P3649" s="7">
        <v>0</v>
      </c>
      <c r="Q3649" s="7" t="str">
        <f t="shared" si="1289"/>
        <v>都市整備部</v>
      </c>
      <c r="R3649" s="7" t="str">
        <f t="shared" si="1287"/>
        <v>住宅建築局住宅経営室</v>
      </c>
    </row>
    <row r="3650" spans="1:18" s="1" customFormat="1" x14ac:dyDescent="0.45">
      <c r="A3650" s="7" t="str">
        <f>"09940003504"</f>
        <v>09940003504</v>
      </c>
      <c r="B3650" s="7" t="str">
        <f>"八尾北久宝寺"</f>
        <v>八尾北久宝寺</v>
      </c>
      <c r="C3650" s="7" t="str">
        <f t="shared" si="1288"/>
        <v>行政財産</v>
      </c>
      <c r="D3650" s="7" t="str">
        <f t="shared" si="1296"/>
        <v>公営住宅</v>
      </c>
      <c r="E3650" s="7" t="str">
        <f>"大阪府八尾市北久宝寺２丁目"</f>
        <v>大阪府八尾市北久宝寺２丁目</v>
      </c>
      <c r="F3650" s="7"/>
      <c r="G3650" s="7" t="str">
        <f t="shared" si="1286"/>
        <v>事業用資産</v>
      </c>
      <c r="H3650" s="7" t="str">
        <f t="shared" si="1279"/>
        <v>棚卸以外</v>
      </c>
      <c r="I3650" s="7">
        <v>4</v>
      </c>
      <c r="J3650" s="7" t="str">
        <f>"ポンプ室"</f>
        <v>ポンプ室</v>
      </c>
      <c r="K3650" s="7" t="str">
        <f t="shared" ref="K3650:K3713" si="1300">"鉄筋コンクリート造"</f>
        <v>鉄筋コンクリート造</v>
      </c>
      <c r="L3650" s="7" t="str">
        <f>"S54.08.08"</f>
        <v>S54.08.08</v>
      </c>
      <c r="M3650" s="7">
        <v>55.13</v>
      </c>
      <c r="N3650" s="7">
        <v>18373000</v>
      </c>
      <c r="O3650" s="7">
        <v>17037771</v>
      </c>
      <c r="P3650" s="7">
        <v>0</v>
      </c>
      <c r="Q3650" s="7" t="str">
        <f t="shared" si="1289"/>
        <v>都市整備部</v>
      </c>
      <c r="R3650" s="7" t="str">
        <f t="shared" si="1287"/>
        <v>住宅建築局住宅経営室</v>
      </c>
    </row>
    <row r="3651" spans="1:18" s="1" customFormat="1" x14ac:dyDescent="0.45">
      <c r="A3651" s="7" t="str">
        <f>"09940003510"</f>
        <v>09940003510</v>
      </c>
      <c r="B3651" s="7" t="str">
        <f>"高槻八丁畷"</f>
        <v>高槻八丁畷</v>
      </c>
      <c r="C3651" s="7" t="str">
        <f t="shared" si="1288"/>
        <v>行政財産</v>
      </c>
      <c r="D3651" s="7" t="str">
        <f t="shared" si="1296"/>
        <v>公営住宅</v>
      </c>
      <c r="E3651" s="7" t="str">
        <f>"大阪府高槻市八丁畷町"</f>
        <v>大阪府高槻市八丁畷町</v>
      </c>
      <c r="F3651" s="7"/>
      <c r="G3651" s="7" t="str">
        <f t="shared" si="1286"/>
        <v>事業用資産</v>
      </c>
      <c r="H3651" s="7" t="str">
        <f t="shared" si="1279"/>
        <v>棚卸以外</v>
      </c>
      <c r="I3651" s="7">
        <v>1</v>
      </c>
      <c r="J3651" s="7" t="str">
        <f>"１号棟"</f>
        <v>１号棟</v>
      </c>
      <c r="K3651" s="7" t="str">
        <f t="shared" si="1300"/>
        <v>鉄筋コンクリート造</v>
      </c>
      <c r="L3651" s="7" t="str">
        <f>"H24.07.07"</f>
        <v>H24.07.07</v>
      </c>
      <c r="M3651" s="7">
        <v>2762.39</v>
      </c>
      <c r="N3651" s="7">
        <v>578320739</v>
      </c>
      <c r="O3651" s="7">
        <v>131203888</v>
      </c>
      <c r="P3651" s="7">
        <v>0</v>
      </c>
      <c r="Q3651" s="7" t="str">
        <f t="shared" si="1289"/>
        <v>都市整備部</v>
      </c>
      <c r="R3651" s="7" t="str">
        <f t="shared" si="1287"/>
        <v>住宅建築局住宅経営室</v>
      </c>
    </row>
    <row r="3652" spans="1:18" s="1" customFormat="1" x14ac:dyDescent="0.45">
      <c r="A3652" s="7" t="str">
        <f>"09940003510"</f>
        <v>09940003510</v>
      </c>
      <c r="B3652" s="7" t="str">
        <f>"高槻八丁畷"</f>
        <v>高槻八丁畷</v>
      </c>
      <c r="C3652" s="7" t="str">
        <f t="shared" si="1288"/>
        <v>行政財産</v>
      </c>
      <c r="D3652" s="7" t="str">
        <f t="shared" si="1296"/>
        <v>公営住宅</v>
      </c>
      <c r="E3652" s="7" t="str">
        <f>"大阪府高槻市八丁畷町"</f>
        <v>大阪府高槻市八丁畷町</v>
      </c>
      <c r="F3652" s="7"/>
      <c r="G3652" s="7" t="str">
        <f t="shared" si="1286"/>
        <v>事業用資産</v>
      </c>
      <c r="H3652" s="7" t="str">
        <f t="shared" ref="H3652:H3715" si="1301">"棚卸以外"</f>
        <v>棚卸以外</v>
      </c>
      <c r="I3652" s="7">
        <v>2</v>
      </c>
      <c r="J3652" s="7" t="str">
        <f>"電気室"</f>
        <v>電気室</v>
      </c>
      <c r="K3652" s="7" t="str">
        <f t="shared" si="1300"/>
        <v>鉄筋コンクリート造</v>
      </c>
      <c r="L3652" s="7" t="str">
        <f>"H24.07.07"</f>
        <v>H24.07.07</v>
      </c>
      <c r="M3652" s="7">
        <v>27</v>
      </c>
      <c r="N3652" s="7">
        <v>9787958</v>
      </c>
      <c r="O3652" s="7">
        <v>2221440</v>
      </c>
      <c r="P3652" s="7">
        <v>0</v>
      </c>
      <c r="Q3652" s="7" t="str">
        <f t="shared" si="1289"/>
        <v>都市整備部</v>
      </c>
      <c r="R3652" s="7" t="str">
        <f t="shared" si="1287"/>
        <v>住宅建築局住宅経営室</v>
      </c>
    </row>
    <row r="3653" spans="1:18" s="1" customFormat="1" x14ac:dyDescent="0.45">
      <c r="A3653" s="7" t="str">
        <f t="shared" ref="A3653:A3668" si="1302">"09940003514"</f>
        <v>09940003514</v>
      </c>
      <c r="B3653" s="7" t="str">
        <f t="shared" ref="B3653:B3668" si="1303">"宮山台第４・堺宮山台４丁"</f>
        <v>宮山台第４・堺宮山台４丁</v>
      </c>
      <c r="C3653" s="7" t="str">
        <f t="shared" si="1288"/>
        <v>行政財産</v>
      </c>
      <c r="D3653" s="7" t="str">
        <f t="shared" si="1296"/>
        <v>公営住宅</v>
      </c>
      <c r="E3653" s="7" t="str">
        <f t="shared" ref="E3653:E3668" si="1304">"大阪府堺市　南区宮山台４丁"</f>
        <v>大阪府堺市　南区宮山台４丁</v>
      </c>
      <c r="F3653" s="7"/>
      <c r="G3653" s="7" t="str">
        <f t="shared" si="1286"/>
        <v>事業用資産</v>
      </c>
      <c r="H3653" s="7" t="str">
        <f t="shared" si="1301"/>
        <v>棚卸以外</v>
      </c>
      <c r="I3653" s="7">
        <v>1</v>
      </c>
      <c r="J3653" s="7" t="str">
        <f>"１～５・７～１２号棟"</f>
        <v>１～５・７～１２号棟</v>
      </c>
      <c r="K3653" s="7" t="str">
        <f t="shared" si="1300"/>
        <v>鉄筋コンクリート造</v>
      </c>
      <c r="L3653" s="7" t="str">
        <f>"S42.11.30"</f>
        <v>S42.11.30</v>
      </c>
      <c r="M3653" s="7">
        <v>14989.81</v>
      </c>
      <c r="N3653" s="7">
        <v>1152265458</v>
      </c>
      <c r="O3653" s="7">
        <v>1152265457</v>
      </c>
      <c r="P3653" s="7">
        <v>0</v>
      </c>
      <c r="Q3653" s="7" t="str">
        <f t="shared" si="1289"/>
        <v>都市整備部</v>
      </c>
      <c r="R3653" s="7" t="str">
        <f t="shared" si="1287"/>
        <v>住宅建築局住宅経営室</v>
      </c>
    </row>
    <row r="3654" spans="1:18" s="1" customFormat="1" x14ac:dyDescent="0.45">
      <c r="A3654" s="7" t="str">
        <f t="shared" si="1302"/>
        <v>09940003514</v>
      </c>
      <c r="B3654" s="7" t="str">
        <f t="shared" si="1303"/>
        <v>宮山台第４・堺宮山台４丁</v>
      </c>
      <c r="C3654" s="7" t="str">
        <f t="shared" si="1288"/>
        <v>行政財産</v>
      </c>
      <c r="D3654" s="7" t="str">
        <f t="shared" si="1296"/>
        <v>公営住宅</v>
      </c>
      <c r="E3654" s="7" t="str">
        <f t="shared" si="1304"/>
        <v>大阪府堺市　南区宮山台４丁</v>
      </c>
      <c r="F3654" s="7"/>
      <c r="G3654" s="7" t="str">
        <f t="shared" si="1286"/>
        <v>事業用資産</v>
      </c>
      <c r="H3654" s="7" t="str">
        <f t="shared" si="1301"/>
        <v>棚卸以外</v>
      </c>
      <c r="I3654" s="7">
        <v>2</v>
      </c>
      <c r="J3654" s="7" t="str">
        <f>"２０～２７号棟"</f>
        <v>２０～２７号棟</v>
      </c>
      <c r="K3654" s="7" t="str">
        <f t="shared" si="1300"/>
        <v>鉄筋コンクリート造</v>
      </c>
      <c r="L3654" s="7" t="str">
        <f>"S42.11.30"</f>
        <v>S42.11.30</v>
      </c>
      <c r="M3654" s="7">
        <v>13614.48</v>
      </c>
      <c r="N3654" s="7">
        <v>974517600</v>
      </c>
      <c r="O3654" s="7">
        <v>920875379</v>
      </c>
      <c r="P3654" s="7">
        <v>0</v>
      </c>
      <c r="Q3654" s="7" t="str">
        <f t="shared" si="1289"/>
        <v>都市整備部</v>
      </c>
      <c r="R3654" s="7" t="str">
        <f t="shared" si="1287"/>
        <v>住宅建築局住宅経営室</v>
      </c>
    </row>
    <row r="3655" spans="1:18" s="1" customFormat="1" x14ac:dyDescent="0.45">
      <c r="A3655" s="7" t="str">
        <f t="shared" si="1302"/>
        <v>09940003514</v>
      </c>
      <c r="B3655" s="7" t="str">
        <f t="shared" si="1303"/>
        <v>宮山台第４・堺宮山台４丁</v>
      </c>
      <c r="C3655" s="7" t="str">
        <f t="shared" si="1288"/>
        <v>行政財産</v>
      </c>
      <c r="D3655" s="7" t="str">
        <f t="shared" si="1296"/>
        <v>公営住宅</v>
      </c>
      <c r="E3655" s="7" t="str">
        <f t="shared" si="1304"/>
        <v>大阪府堺市　南区宮山台４丁</v>
      </c>
      <c r="F3655" s="7"/>
      <c r="G3655" s="7" t="str">
        <f t="shared" si="1286"/>
        <v>事業用資産</v>
      </c>
      <c r="H3655" s="7" t="str">
        <f t="shared" si="1301"/>
        <v>棚卸以外</v>
      </c>
      <c r="I3655" s="7">
        <v>3</v>
      </c>
      <c r="J3655" s="7" t="str">
        <f>"集会所"</f>
        <v>集会所</v>
      </c>
      <c r="K3655" s="7" t="str">
        <f t="shared" si="1300"/>
        <v>鉄筋コンクリート造</v>
      </c>
      <c r="L3655" s="7" t="str">
        <f>"S42.11.30"</f>
        <v>S42.11.30</v>
      </c>
      <c r="M3655" s="7">
        <v>127.99</v>
      </c>
      <c r="N3655" s="7">
        <v>14367430</v>
      </c>
      <c r="O3655" s="7">
        <v>9365464</v>
      </c>
      <c r="P3655" s="7">
        <v>0</v>
      </c>
      <c r="Q3655" s="7" t="str">
        <f t="shared" si="1289"/>
        <v>都市整備部</v>
      </c>
      <c r="R3655" s="7" t="str">
        <f t="shared" si="1287"/>
        <v>住宅建築局住宅経営室</v>
      </c>
    </row>
    <row r="3656" spans="1:18" s="1" customFormat="1" x14ac:dyDescent="0.45">
      <c r="A3656" s="7" t="str">
        <f t="shared" si="1302"/>
        <v>09940003514</v>
      </c>
      <c r="B3656" s="7" t="str">
        <f t="shared" si="1303"/>
        <v>宮山台第４・堺宮山台４丁</v>
      </c>
      <c r="C3656" s="7" t="str">
        <f t="shared" si="1288"/>
        <v>行政財産</v>
      </c>
      <c r="D3656" s="7" t="str">
        <f t="shared" si="1296"/>
        <v>公営住宅</v>
      </c>
      <c r="E3656" s="7" t="str">
        <f t="shared" si="1304"/>
        <v>大阪府堺市　南区宮山台４丁</v>
      </c>
      <c r="F3656" s="7"/>
      <c r="G3656" s="7" t="str">
        <f t="shared" si="1286"/>
        <v>事業用資産</v>
      </c>
      <c r="H3656" s="7" t="str">
        <f t="shared" si="1301"/>
        <v>棚卸以外</v>
      </c>
      <c r="I3656" s="7">
        <v>4</v>
      </c>
      <c r="J3656" s="7" t="str">
        <f>"１３・１４号棟"</f>
        <v>１３・１４号棟</v>
      </c>
      <c r="K3656" s="7" t="str">
        <f t="shared" si="1300"/>
        <v>鉄筋コンクリート造</v>
      </c>
      <c r="L3656" s="7" t="str">
        <f>"S45.06.25"</f>
        <v>S45.06.25</v>
      </c>
      <c r="M3656" s="7">
        <v>2210.59</v>
      </c>
      <c r="N3656" s="7">
        <v>169225018</v>
      </c>
      <c r="O3656" s="7">
        <v>169225017</v>
      </c>
      <c r="P3656" s="7">
        <v>0</v>
      </c>
      <c r="Q3656" s="7" t="str">
        <f t="shared" si="1289"/>
        <v>都市整備部</v>
      </c>
      <c r="R3656" s="7" t="str">
        <f t="shared" si="1287"/>
        <v>住宅建築局住宅経営室</v>
      </c>
    </row>
    <row r="3657" spans="1:18" s="1" customFormat="1" x14ac:dyDescent="0.45">
      <c r="A3657" s="7" t="str">
        <f t="shared" si="1302"/>
        <v>09940003514</v>
      </c>
      <c r="B3657" s="7" t="str">
        <f t="shared" si="1303"/>
        <v>宮山台第４・堺宮山台４丁</v>
      </c>
      <c r="C3657" s="7" t="str">
        <f t="shared" si="1288"/>
        <v>行政財産</v>
      </c>
      <c r="D3657" s="7" t="str">
        <f t="shared" si="1296"/>
        <v>公営住宅</v>
      </c>
      <c r="E3657" s="7" t="str">
        <f t="shared" si="1304"/>
        <v>大阪府堺市　南区宮山台４丁</v>
      </c>
      <c r="F3657" s="7"/>
      <c r="G3657" s="7" t="str">
        <f t="shared" si="1286"/>
        <v>事業用資産</v>
      </c>
      <c r="H3657" s="7" t="str">
        <f t="shared" si="1301"/>
        <v>棚卸以外</v>
      </c>
      <c r="I3657" s="7">
        <v>5</v>
      </c>
      <c r="J3657" s="7" t="str">
        <f>"１４号棟"</f>
        <v>１４号棟</v>
      </c>
      <c r="K3657" s="7" t="str">
        <f t="shared" si="1300"/>
        <v>鉄筋コンクリート造</v>
      </c>
      <c r="L3657" s="7" t="str">
        <f>"S45.06.25"</f>
        <v>S45.06.25</v>
      </c>
      <c r="M3657" s="7">
        <v>2042.47</v>
      </c>
      <c r="N3657" s="7">
        <v>187299160</v>
      </c>
      <c r="O3657" s="7">
        <v>187299159</v>
      </c>
      <c r="P3657" s="7">
        <v>0</v>
      </c>
      <c r="Q3657" s="7" t="str">
        <f t="shared" si="1289"/>
        <v>都市整備部</v>
      </c>
      <c r="R3657" s="7" t="str">
        <f t="shared" si="1287"/>
        <v>住宅建築局住宅経営室</v>
      </c>
    </row>
    <row r="3658" spans="1:18" s="1" customFormat="1" x14ac:dyDescent="0.45">
      <c r="A3658" s="7" t="str">
        <f t="shared" si="1302"/>
        <v>09940003514</v>
      </c>
      <c r="B3658" s="7" t="str">
        <f t="shared" si="1303"/>
        <v>宮山台第４・堺宮山台４丁</v>
      </c>
      <c r="C3658" s="7" t="str">
        <f t="shared" si="1288"/>
        <v>行政財産</v>
      </c>
      <c r="D3658" s="7" t="str">
        <f t="shared" si="1296"/>
        <v>公営住宅</v>
      </c>
      <c r="E3658" s="7" t="str">
        <f t="shared" si="1304"/>
        <v>大阪府堺市　南区宮山台４丁</v>
      </c>
      <c r="F3658" s="7"/>
      <c r="G3658" s="7" t="str">
        <f t="shared" si="1286"/>
        <v>事業用資産</v>
      </c>
      <c r="H3658" s="7" t="str">
        <f t="shared" si="1301"/>
        <v>棚卸以外</v>
      </c>
      <c r="I3658" s="7">
        <v>6</v>
      </c>
      <c r="J3658" s="7" t="str">
        <f>"集会所"</f>
        <v>集会所</v>
      </c>
      <c r="K3658" s="7" t="str">
        <f t="shared" si="1300"/>
        <v>鉄筋コンクリート造</v>
      </c>
      <c r="L3658" s="7" t="str">
        <f>"S45.06.25"</f>
        <v>S45.06.25</v>
      </c>
      <c r="M3658" s="7">
        <v>66.77</v>
      </c>
      <c r="N3658" s="7">
        <v>3599066</v>
      </c>
      <c r="O3658" s="7">
        <v>3599065</v>
      </c>
      <c r="P3658" s="7">
        <v>0</v>
      </c>
      <c r="Q3658" s="7" t="str">
        <f t="shared" si="1289"/>
        <v>都市整備部</v>
      </c>
      <c r="R3658" s="7" t="str">
        <f t="shared" si="1287"/>
        <v>住宅建築局住宅経営室</v>
      </c>
    </row>
    <row r="3659" spans="1:18" s="1" customFormat="1" x14ac:dyDescent="0.45">
      <c r="A3659" s="7" t="str">
        <f t="shared" si="1302"/>
        <v>09940003514</v>
      </c>
      <c r="B3659" s="7" t="str">
        <f t="shared" si="1303"/>
        <v>宮山台第４・堺宮山台４丁</v>
      </c>
      <c r="C3659" s="7" t="str">
        <f t="shared" si="1288"/>
        <v>行政財産</v>
      </c>
      <c r="D3659" s="7" t="str">
        <f t="shared" si="1296"/>
        <v>公営住宅</v>
      </c>
      <c r="E3659" s="7" t="str">
        <f t="shared" si="1304"/>
        <v>大阪府堺市　南区宮山台４丁</v>
      </c>
      <c r="F3659" s="7"/>
      <c r="G3659" s="7" t="str">
        <f t="shared" si="1286"/>
        <v>事業用資産</v>
      </c>
      <c r="H3659" s="7" t="str">
        <f t="shared" si="1301"/>
        <v>棚卸以外</v>
      </c>
      <c r="I3659" s="7">
        <v>7</v>
      </c>
      <c r="J3659" s="7" t="str">
        <f>"集会所"</f>
        <v>集会所</v>
      </c>
      <c r="K3659" s="7" t="str">
        <f t="shared" si="1300"/>
        <v>鉄筋コンクリート造</v>
      </c>
      <c r="L3659" s="7" t="str">
        <f>"S58.07.21"</f>
        <v>S58.07.21</v>
      </c>
      <c r="M3659" s="7">
        <v>39.909999999999997</v>
      </c>
      <c r="N3659" s="7">
        <v>7800000</v>
      </c>
      <c r="O3659" s="7">
        <v>6583080</v>
      </c>
      <c r="P3659" s="7">
        <v>0</v>
      </c>
      <c r="Q3659" s="7" t="str">
        <f t="shared" si="1289"/>
        <v>都市整備部</v>
      </c>
      <c r="R3659" s="7" t="str">
        <f t="shared" si="1287"/>
        <v>住宅建築局住宅経営室</v>
      </c>
    </row>
    <row r="3660" spans="1:18" s="1" customFormat="1" x14ac:dyDescent="0.45">
      <c r="A3660" s="7" t="str">
        <f t="shared" si="1302"/>
        <v>09940003514</v>
      </c>
      <c r="B3660" s="7" t="str">
        <f t="shared" si="1303"/>
        <v>宮山台第４・堺宮山台４丁</v>
      </c>
      <c r="C3660" s="7" t="str">
        <f t="shared" si="1288"/>
        <v>行政財産</v>
      </c>
      <c r="D3660" s="7" t="str">
        <f t="shared" si="1296"/>
        <v>公営住宅</v>
      </c>
      <c r="E3660" s="7" t="str">
        <f t="shared" si="1304"/>
        <v>大阪府堺市　南区宮山台４丁</v>
      </c>
      <c r="F3660" s="7"/>
      <c r="G3660" s="7" t="str">
        <f t="shared" si="1286"/>
        <v>事業用資産</v>
      </c>
      <c r="H3660" s="7" t="str">
        <f t="shared" si="1301"/>
        <v>棚卸以外</v>
      </c>
      <c r="I3660" s="7">
        <v>8</v>
      </c>
      <c r="J3660" s="7" t="str">
        <f>"５号棟増築分"</f>
        <v>５号棟増築分</v>
      </c>
      <c r="K3660" s="7" t="str">
        <f t="shared" si="1300"/>
        <v>鉄筋コンクリート造</v>
      </c>
      <c r="L3660" s="7" t="str">
        <f t="shared" ref="L3660:L3666" si="1305">"H04.08.01"</f>
        <v>H04.08.01</v>
      </c>
      <c r="M3660" s="7">
        <v>987.4</v>
      </c>
      <c r="N3660" s="7">
        <v>160742000</v>
      </c>
      <c r="O3660" s="7">
        <v>104596468</v>
      </c>
      <c r="P3660" s="7">
        <v>0</v>
      </c>
      <c r="Q3660" s="7" t="str">
        <f t="shared" si="1289"/>
        <v>都市整備部</v>
      </c>
      <c r="R3660" s="7" t="str">
        <f t="shared" si="1287"/>
        <v>住宅建築局住宅経営室</v>
      </c>
    </row>
    <row r="3661" spans="1:18" s="1" customFormat="1" x14ac:dyDescent="0.45">
      <c r="A3661" s="7" t="str">
        <f t="shared" si="1302"/>
        <v>09940003514</v>
      </c>
      <c r="B3661" s="7" t="str">
        <f t="shared" si="1303"/>
        <v>宮山台第４・堺宮山台４丁</v>
      </c>
      <c r="C3661" s="7" t="str">
        <f t="shared" si="1288"/>
        <v>行政財産</v>
      </c>
      <c r="D3661" s="7" t="str">
        <f t="shared" si="1296"/>
        <v>公営住宅</v>
      </c>
      <c r="E3661" s="7" t="str">
        <f t="shared" si="1304"/>
        <v>大阪府堺市　南区宮山台４丁</v>
      </c>
      <c r="F3661" s="7"/>
      <c r="G3661" s="7" t="str">
        <f t="shared" si="1286"/>
        <v>事業用資産</v>
      </c>
      <c r="H3661" s="7" t="str">
        <f t="shared" si="1301"/>
        <v>棚卸以外</v>
      </c>
      <c r="I3661" s="7">
        <v>9</v>
      </c>
      <c r="J3661" s="7" t="str">
        <f>"７号棟増築分"</f>
        <v>７号棟増築分</v>
      </c>
      <c r="K3661" s="7" t="str">
        <f t="shared" si="1300"/>
        <v>鉄筋コンクリート造</v>
      </c>
      <c r="L3661" s="7" t="str">
        <f t="shared" si="1305"/>
        <v>H04.08.01</v>
      </c>
      <c r="M3661" s="7">
        <v>482.53</v>
      </c>
      <c r="N3661" s="7">
        <v>112351000</v>
      </c>
      <c r="O3661" s="7">
        <v>73107868</v>
      </c>
      <c r="P3661" s="7">
        <v>0</v>
      </c>
      <c r="Q3661" s="7" t="str">
        <f t="shared" si="1289"/>
        <v>都市整備部</v>
      </c>
      <c r="R3661" s="7" t="str">
        <f t="shared" si="1287"/>
        <v>住宅建築局住宅経営室</v>
      </c>
    </row>
    <row r="3662" spans="1:18" s="1" customFormat="1" x14ac:dyDescent="0.45">
      <c r="A3662" s="7" t="str">
        <f t="shared" si="1302"/>
        <v>09940003514</v>
      </c>
      <c r="B3662" s="7" t="str">
        <f t="shared" si="1303"/>
        <v>宮山台第４・堺宮山台４丁</v>
      </c>
      <c r="C3662" s="7" t="str">
        <f t="shared" si="1288"/>
        <v>行政財産</v>
      </c>
      <c r="D3662" s="7" t="str">
        <f t="shared" si="1296"/>
        <v>公営住宅</v>
      </c>
      <c r="E3662" s="7" t="str">
        <f t="shared" si="1304"/>
        <v>大阪府堺市　南区宮山台４丁</v>
      </c>
      <c r="F3662" s="7"/>
      <c r="G3662" s="7" t="str">
        <f t="shared" si="1286"/>
        <v>事業用資産</v>
      </c>
      <c r="H3662" s="7" t="str">
        <f t="shared" si="1301"/>
        <v>棚卸以外</v>
      </c>
      <c r="I3662" s="7">
        <v>10</v>
      </c>
      <c r="J3662" s="7" t="str">
        <f>"８号棟増築分"</f>
        <v>８号棟増築分</v>
      </c>
      <c r="K3662" s="7" t="str">
        <f t="shared" si="1300"/>
        <v>鉄筋コンクリート造</v>
      </c>
      <c r="L3662" s="7" t="str">
        <f t="shared" si="1305"/>
        <v>H04.08.01</v>
      </c>
      <c r="M3662" s="7">
        <v>211.44</v>
      </c>
      <c r="N3662" s="7">
        <v>51169000</v>
      </c>
      <c r="O3662" s="7">
        <v>33296442</v>
      </c>
      <c r="P3662" s="7">
        <v>0</v>
      </c>
      <c r="Q3662" s="7" t="str">
        <f t="shared" si="1289"/>
        <v>都市整備部</v>
      </c>
      <c r="R3662" s="7" t="str">
        <f t="shared" si="1287"/>
        <v>住宅建築局住宅経営室</v>
      </c>
    </row>
    <row r="3663" spans="1:18" s="1" customFormat="1" x14ac:dyDescent="0.45">
      <c r="A3663" s="7" t="str">
        <f t="shared" si="1302"/>
        <v>09940003514</v>
      </c>
      <c r="B3663" s="7" t="str">
        <f t="shared" si="1303"/>
        <v>宮山台第４・堺宮山台４丁</v>
      </c>
      <c r="C3663" s="7" t="str">
        <f t="shared" si="1288"/>
        <v>行政財産</v>
      </c>
      <c r="D3663" s="7" t="str">
        <f t="shared" si="1296"/>
        <v>公営住宅</v>
      </c>
      <c r="E3663" s="7" t="str">
        <f t="shared" si="1304"/>
        <v>大阪府堺市　南区宮山台４丁</v>
      </c>
      <c r="F3663" s="7"/>
      <c r="G3663" s="7" t="str">
        <f t="shared" si="1286"/>
        <v>事業用資産</v>
      </c>
      <c r="H3663" s="7" t="str">
        <f t="shared" si="1301"/>
        <v>棚卸以外</v>
      </c>
      <c r="I3663" s="7">
        <v>11</v>
      </c>
      <c r="J3663" s="7" t="str">
        <f>"９号棟増築分"</f>
        <v>９号棟増築分</v>
      </c>
      <c r="K3663" s="7" t="str">
        <f t="shared" si="1300"/>
        <v>鉄筋コンクリート造</v>
      </c>
      <c r="L3663" s="7" t="str">
        <f t="shared" si="1305"/>
        <v>H04.08.01</v>
      </c>
      <c r="M3663" s="7">
        <v>211.44</v>
      </c>
      <c r="N3663" s="7">
        <v>50771000</v>
      </c>
      <c r="O3663" s="7">
        <v>33037340</v>
      </c>
      <c r="P3663" s="7">
        <v>0</v>
      </c>
      <c r="Q3663" s="7" t="str">
        <f t="shared" si="1289"/>
        <v>都市整備部</v>
      </c>
      <c r="R3663" s="7" t="str">
        <f t="shared" si="1287"/>
        <v>住宅建築局住宅経営室</v>
      </c>
    </row>
    <row r="3664" spans="1:18" s="1" customFormat="1" x14ac:dyDescent="0.45">
      <c r="A3664" s="7" t="str">
        <f t="shared" si="1302"/>
        <v>09940003514</v>
      </c>
      <c r="B3664" s="7" t="str">
        <f t="shared" si="1303"/>
        <v>宮山台第４・堺宮山台４丁</v>
      </c>
      <c r="C3664" s="7" t="str">
        <f t="shared" si="1288"/>
        <v>行政財産</v>
      </c>
      <c r="D3664" s="7" t="str">
        <f t="shared" si="1296"/>
        <v>公営住宅</v>
      </c>
      <c r="E3664" s="7" t="str">
        <f t="shared" si="1304"/>
        <v>大阪府堺市　南区宮山台４丁</v>
      </c>
      <c r="F3664" s="7"/>
      <c r="G3664" s="7" t="str">
        <f t="shared" si="1286"/>
        <v>事業用資産</v>
      </c>
      <c r="H3664" s="7" t="str">
        <f t="shared" si="1301"/>
        <v>棚卸以外</v>
      </c>
      <c r="I3664" s="7">
        <v>14</v>
      </c>
      <c r="J3664" s="7" t="str">
        <f>"２０号棟増築分"</f>
        <v>２０号棟増築分</v>
      </c>
      <c r="K3664" s="7" t="str">
        <f t="shared" si="1300"/>
        <v>鉄筋コンクリート造</v>
      </c>
      <c r="L3664" s="7" t="str">
        <f t="shared" si="1305"/>
        <v>H04.08.01</v>
      </c>
      <c r="M3664" s="7">
        <v>767.45</v>
      </c>
      <c r="N3664" s="7">
        <v>149402000</v>
      </c>
      <c r="O3664" s="7">
        <v>97217566</v>
      </c>
      <c r="P3664" s="7">
        <v>0</v>
      </c>
      <c r="Q3664" s="7" t="str">
        <f t="shared" si="1289"/>
        <v>都市整備部</v>
      </c>
      <c r="R3664" s="7" t="str">
        <f t="shared" si="1287"/>
        <v>住宅建築局住宅経営室</v>
      </c>
    </row>
    <row r="3665" spans="1:18" s="1" customFormat="1" x14ac:dyDescent="0.45">
      <c r="A3665" s="7" t="str">
        <f t="shared" si="1302"/>
        <v>09940003514</v>
      </c>
      <c r="B3665" s="7" t="str">
        <f t="shared" si="1303"/>
        <v>宮山台第４・堺宮山台４丁</v>
      </c>
      <c r="C3665" s="7" t="str">
        <f t="shared" si="1288"/>
        <v>行政財産</v>
      </c>
      <c r="D3665" s="7" t="str">
        <f t="shared" si="1296"/>
        <v>公営住宅</v>
      </c>
      <c r="E3665" s="7" t="str">
        <f t="shared" si="1304"/>
        <v>大阪府堺市　南区宮山台４丁</v>
      </c>
      <c r="F3665" s="7"/>
      <c r="G3665" s="7" t="str">
        <f t="shared" si="1286"/>
        <v>事業用資産</v>
      </c>
      <c r="H3665" s="7" t="str">
        <f t="shared" si="1301"/>
        <v>棚卸以外</v>
      </c>
      <c r="I3665" s="7">
        <v>15</v>
      </c>
      <c r="J3665" s="7" t="str">
        <f>"２４号棟増築分"</f>
        <v>２４号棟増築分</v>
      </c>
      <c r="K3665" s="7" t="str">
        <f t="shared" si="1300"/>
        <v>鉄筋コンクリート造</v>
      </c>
      <c r="L3665" s="7" t="str">
        <f t="shared" si="1305"/>
        <v>H04.08.01</v>
      </c>
      <c r="M3665" s="7">
        <v>440.91</v>
      </c>
      <c r="N3665" s="7">
        <v>102994000</v>
      </c>
      <c r="O3665" s="7">
        <v>67019338</v>
      </c>
      <c r="P3665" s="7">
        <v>0</v>
      </c>
      <c r="Q3665" s="7" t="str">
        <f t="shared" si="1289"/>
        <v>都市整備部</v>
      </c>
      <c r="R3665" s="7" t="str">
        <f t="shared" si="1287"/>
        <v>住宅建築局住宅経営室</v>
      </c>
    </row>
    <row r="3666" spans="1:18" s="1" customFormat="1" x14ac:dyDescent="0.45">
      <c r="A3666" s="7" t="str">
        <f t="shared" si="1302"/>
        <v>09940003514</v>
      </c>
      <c r="B3666" s="7" t="str">
        <f t="shared" si="1303"/>
        <v>宮山台第４・堺宮山台４丁</v>
      </c>
      <c r="C3666" s="7" t="str">
        <f t="shared" si="1288"/>
        <v>行政財産</v>
      </c>
      <c r="D3666" s="7" t="str">
        <f t="shared" si="1296"/>
        <v>公営住宅</v>
      </c>
      <c r="E3666" s="7" t="str">
        <f t="shared" si="1304"/>
        <v>大阪府堺市　南区宮山台４丁</v>
      </c>
      <c r="F3666" s="7"/>
      <c r="G3666" s="7" t="str">
        <f t="shared" si="1286"/>
        <v>事業用資産</v>
      </c>
      <c r="H3666" s="7" t="str">
        <f t="shared" si="1301"/>
        <v>棚卸以外</v>
      </c>
      <c r="I3666" s="7">
        <v>16</v>
      </c>
      <c r="J3666" s="7" t="str">
        <f>"２５号棟増築分"</f>
        <v>２５号棟増築分</v>
      </c>
      <c r="K3666" s="7" t="str">
        <f t="shared" si="1300"/>
        <v>鉄筋コンクリート造</v>
      </c>
      <c r="L3666" s="7" t="str">
        <f t="shared" si="1305"/>
        <v>H04.08.01</v>
      </c>
      <c r="M3666" s="7">
        <v>440.91</v>
      </c>
      <c r="N3666" s="7">
        <v>100927000</v>
      </c>
      <c r="O3666" s="7">
        <v>65674283</v>
      </c>
      <c r="P3666" s="7">
        <v>0</v>
      </c>
      <c r="Q3666" s="7" t="str">
        <f t="shared" si="1289"/>
        <v>都市整備部</v>
      </c>
      <c r="R3666" s="7" t="str">
        <f t="shared" si="1287"/>
        <v>住宅建築局住宅経営室</v>
      </c>
    </row>
    <row r="3667" spans="1:18" s="1" customFormat="1" x14ac:dyDescent="0.45">
      <c r="A3667" s="7" t="str">
        <f t="shared" si="1302"/>
        <v>09940003514</v>
      </c>
      <c r="B3667" s="7" t="str">
        <f t="shared" si="1303"/>
        <v>宮山台第４・堺宮山台４丁</v>
      </c>
      <c r="C3667" s="7" t="str">
        <f t="shared" si="1288"/>
        <v>行政財産</v>
      </c>
      <c r="D3667" s="7" t="str">
        <f t="shared" si="1296"/>
        <v>公営住宅</v>
      </c>
      <c r="E3667" s="7" t="str">
        <f t="shared" si="1304"/>
        <v>大阪府堺市　南区宮山台４丁</v>
      </c>
      <c r="F3667" s="7"/>
      <c r="G3667" s="7" t="str">
        <f t="shared" si="1286"/>
        <v>事業用資産</v>
      </c>
      <c r="H3667" s="7" t="str">
        <f t="shared" si="1301"/>
        <v>棚卸以外</v>
      </c>
      <c r="I3667" s="7">
        <v>17</v>
      </c>
      <c r="J3667" s="7" t="str">
        <f>"堺宮山台４丁（３号棟）"</f>
        <v>堺宮山台４丁（３号棟）</v>
      </c>
      <c r="K3667" s="7" t="str">
        <f t="shared" si="1300"/>
        <v>鉄筋コンクリート造</v>
      </c>
      <c r="L3667" s="7" t="str">
        <f>"H29.10.01"</f>
        <v>H29.10.01</v>
      </c>
      <c r="M3667" s="7">
        <v>9327.61</v>
      </c>
      <c r="N3667" s="7">
        <v>1888025574</v>
      </c>
      <c r="O3667" s="7">
        <v>217591660</v>
      </c>
      <c r="P3667" s="7">
        <v>0</v>
      </c>
      <c r="Q3667" s="7" t="str">
        <f t="shared" si="1289"/>
        <v>都市整備部</v>
      </c>
      <c r="R3667" s="7" t="str">
        <f t="shared" si="1287"/>
        <v>住宅建築局住宅経営室</v>
      </c>
    </row>
    <row r="3668" spans="1:18" s="1" customFormat="1" x14ac:dyDescent="0.45">
      <c r="A3668" s="7" t="str">
        <f t="shared" si="1302"/>
        <v>09940003514</v>
      </c>
      <c r="B3668" s="7" t="str">
        <f t="shared" si="1303"/>
        <v>宮山台第４・堺宮山台４丁</v>
      </c>
      <c r="C3668" s="7" t="str">
        <f t="shared" si="1288"/>
        <v>行政財産</v>
      </c>
      <c r="D3668" s="7" t="str">
        <f t="shared" si="1296"/>
        <v>公営住宅</v>
      </c>
      <c r="E3668" s="7" t="str">
        <f t="shared" si="1304"/>
        <v>大阪府堺市　南区宮山台４丁</v>
      </c>
      <c r="F3668" s="7"/>
      <c r="G3668" s="7" t="str">
        <f t="shared" si="1286"/>
        <v>事業用資産</v>
      </c>
      <c r="H3668" s="7" t="str">
        <f t="shared" si="1301"/>
        <v>棚卸以外</v>
      </c>
      <c r="I3668" s="7">
        <v>18</v>
      </c>
      <c r="J3668" s="7" t="str">
        <f>"電気室・ポンプ室"</f>
        <v>電気室・ポンプ室</v>
      </c>
      <c r="K3668" s="7" t="str">
        <f t="shared" si="1300"/>
        <v>鉄筋コンクリート造</v>
      </c>
      <c r="L3668" s="7" t="str">
        <f>"H29.10.01"</f>
        <v>H29.10.01</v>
      </c>
      <c r="M3668" s="7">
        <v>65.52</v>
      </c>
      <c r="N3668" s="7">
        <v>27252350</v>
      </c>
      <c r="O3668" s="7">
        <v>3140800</v>
      </c>
      <c r="P3668" s="7">
        <v>0</v>
      </c>
      <c r="Q3668" s="7" t="str">
        <f t="shared" si="1289"/>
        <v>都市整備部</v>
      </c>
      <c r="R3668" s="7" t="str">
        <f t="shared" si="1287"/>
        <v>住宅建築局住宅経営室</v>
      </c>
    </row>
    <row r="3669" spans="1:18" s="1" customFormat="1" x14ac:dyDescent="0.45">
      <c r="A3669" s="7" t="str">
        <f>"09940003515"</f>
        <v>09940003515</v>
      </c>
      <c r="B3669" s="7" t="str">
        <f>"交野梅が枝第２"</f>
        <v>交野梅が枝第２</v>
      </c>
      <c r="C3669" s="7" t="str">
        <f t="shared" si="1288"/>
        <v>行政財産</v>
      </c>
      <c r="D3669" s="7" t="str">
        <f t="shared" si="1296"/>
        <v>公営住宅</v>
      </c>
      <c r="E3669" s="7" t="str">
        <f>"大阪府交野市梅が枝"</f>
        <v>大阪府交野市梅が枝</v>
      </c>
      <c r="F3669" s="7"/>
      <c r="G3669" s="7" t="str">
        <f t="shared" si="1286"/>
        <v>事業用資産</v>
      </c>
      <c r="H3669" s="7" t="str">
        <f t="shared" si="1301"/>
        <v>棚卸以外</v>
      </c>
      <c r="I3669" s="7">
        <v>1</v>
      </c>
      <c r="J3669" s="7" t="str">
        <f>"１号棟"</f>
        <v>１号棟</v>
      </c>
      <c r="K3669" s="7" t="str">
        <f t="shared" si="1300"/>
        <v>鉄筋コンクリート造</v>
      </c>
      <c r="L3669" s="7" t="str">
        <f>"H15.11.27"</f>
        <v>H15.11.27</v>
      </c>
      <c r="M3669" s="7">
        <v>7435.25</v>
      </c>
      <c r="N3669" s="7">
        <v>1152144802</v>
      </c>
      <c r="O3669" s="7">
        <v>473537532</v>
      </c>
      <c r="P3669" s="7">
        <v>0</v>
      </c>
      <c r="Q3669" s="7" t="str">
        <f t="shared" si="1289"/>
        <v>都市整備部</v>
      </c>
      <c r="R3669" s="7" t="str">
        <f t="shared" si="1287"/>
        <v>住宅建築局住宅経営室</v>
      </c>
    </row>
    <row r="3670" spans="1:18" s="1" customFormat="1" x14ac:dyDescent="0.45">
      <c r="A3670" s="7" t="str">
        <f>"09940003515"</f>
        <v>09940003515</v>
      </c>
      <c r="B3670" s="7" t="str">
        <f>"交野梅が枝第２"</f>
        <v>交野梅が枝第２</v>
      </c>
      <c r="C3670" s="7" t="str">
        <f t="shared" si="1288"/>
        <v>行政財産</v>
      </c>
      <c r="D3670" s="7" t="str">
        <f t="shared" si="1296"/>
        <v>公営住宅</v>
      </c>
      <c r="E3670" s="7" t="str">
        <f>"大阪府交野市梅が枝"</f>
        <v>大阪府交野市梅が枝</v>
      </c>
      <c r="F3670" s="7"/>
      <c r="G3670" s="7" t="str">
        <f t="shared" si="1286"/>
        <v>事業用資産</v>
      </c>
      <c r="H3670" s="7" t="str">
        <f t="shared" si="1301"/>
        <v>棚卸以外</v>
      </c>
      <c r="I3670" s="7">
        <v>2</v>
      </c>
      <c r="J3670" s="7" t="str">
        <f>"３号棟"</f>
        <v>３号棟</v>
      </c>
      <c r="K3670" s="7" t="str">
        <f t="shared" si="1300"/>
        <v>鉄筋コンクリート造</v>
      </c>
      <c r="L3670" s="7" t="str">
        <f>"H17.11.29"</f>
        <v>H17.11.29</v>
      </c>
      <c r="M3670" s="7">
        <v>2304.34</v>
      </c>
      <c r="N3670" s="7">
        <v>391482401</v>
      </c>
      <c r="O3670" s="7">
        <v>144206302</v>
      </c>
      <c r="P3670" s="7">
        <v>0</v>
      </c>
      <c r="Q3670" s="7" t="str">
        <f t="shared" si="1289"/>
        <v>都市整備部</v>
      </c>
      <c r="R3670" s="7" t="str">
        <f t="shared" si="1287"/>
        <v>住宅建築局住宅経営室</v>
      </c>
    </row>
    <row r="3671" spans="1:18" s="1" customFormat="1" x14ac:dyDescent="0.45">
      <c r="A3671" s="7" t="str">
        <f>"09940003515"</f>
        <v>09940003515</v>
      </c>
      <c r="B3671" s="7" t="str">
        <f>"交野梅が枝第２"</f>
        <v>交野梅が枝第２</v>
      </c>
      <c r="C3671" s="7" t="str">
        <f t="shared" si="1288"/>
        <v>行政財産</v>
      </c>
      <c r="D3671" s="7" t="str">
        <f t="shared" si="1296"/>
        <v>公営住宅</v>
      </c>
      <c r="E3671" s="7" t="str">
        <f>"大阪府交野市梅が枝"</f>
        <v>大阪府交野市梅が枝</v>
      </c>
      <c r="F3671" s="7"/>
      <c r="G3671" s="7" t="str">
        <f t="shared" ref="G3671:G3734" si="1306">"事業用資産"</f>
        <v>事業用資産</v>
      </c>
      <c r="H3671" s="7" t="str">
        <f t="shared" si="1301"/>
        <v>棚卸以外</v>
      </c>
      <c r="I3671" s="7">
        <v>3</v>
      </c>
      <c r="J3671" s="7" t="str">
        <f>"２号棟"</f>
        <v>２号棟</v>
      </c>
      <c r="K3671" s="7" t="str">
        <f t="shared" si="1300"/>
        <v>鉄筋コンクリート造</v>
      </c>
      <c r="L3671" s="7" t="str">
        <f>"H15.11.27"</f>
        <v>H15.11.27</v>
      </c>
      <c r="M3671" s="7">
        <v>4920.51</v>
      </c>
      <c r="N3671" s="7">
        <v>769899401</v>
      </c>
      <c r="O3671" s="7">
        <v>316499046</v>
      </c>
      <c r="P3671" s="7">
        <v>0</v>
      </c>
      <c r="Q3671" s="7" t="str">
        <f t="shared" si="1289"/>
        <v>都市整備部</v>
      </c>
      <c r="R3671" s="7" t="str">
        <f t="shared" si="1287"/>
        <v>住宅建築局住宅経営室</v>
      </c>
    </row>
    <row r="3672" spans="1:18" s="1" customFormat="1" x14ac:dyDescent="0.45">
      <c r="A3672" s="7" t="str">
        <f t="shared" ref="A3672:A3692" si="1307">"09940003517"</f>
        <v>09940003517</v>
      </c>
      <c r="B3672" s="7" t="str">
        <f t="shared" ref="B3672:B3692" si="1308">"吹田川園"</f>
        <v>吹田川園</v>
      </c>
      <c r="C3672" s="7" t="str">
        <f t="shared" si="1288"/>
        <v>行政財産</v>
      </c>
      <c r="D3672" s="7" t="str">
        <f t="shared" si="1296"/>
        <v>公営住宅</v>
      </c>
      <c r="E3672" s="7" t="str">
        <f t="shared" ref="E3672:E3692" si="1309">"大阪府吹田市川園町"</f>
        <v>大阪府吹田市川園町</v>
      </c>
      <c r="F3672" s="7"/>
      <c r="G3672" s="7" t="str">
        <f t="shared" si="1306"/>
        <v>事業用資産</v>
      </c>
      <c r="H3672" s="7" t="str">
        <f t="shared" si="1301"/>
        <v>棚卸以外</v>
      </c>
      <c r="I3672" s="7">
        <v>1</v>
      </c>
      <c r="J3672" s="7" t="str">
        <f>"７号棟"</f>
        <v>７号棟</v>
      </c>
      <c r="K3672" s="7" t="str">
        <f t="shared" si="1300"/>
        <v>鉄筋コンクリート造</v>
      </c>
      <c r="L3672" s="7" t="str">
        <f>"H04.06.26"</f>
        <v>H04.06.26</v>
      </c>
      <c r="M3672" s="7">
        <v>6618.92</v>
      </c>
      <c r="N3672" s="7">
        <v>1129810218</v>
      </c>
      <c r="O3672" s="7">
        <v>733730753</v>
      </c>
      <c r="P3672" s="7">
        <v>0</v>
      </c>
      <c r="Q3672" s="7" t="str">
        <f t="shared" si="1289"/>
        <v>都市整備部</v>
      </c>
      <c r="R3672" s="7" t="str">
        <f t="shared" ref="R3672:R3735" si="1310">"住宅建築局住宅経営室"</f>
        <v>住宅建築局住宅経営室</v>
      </c>
    </row>
    <row r="3673" spans="1:18" s="1" customFormat="1" x14ac:dyDescent="0.45">
      <c r="A3673" s="7" t="str">
        <f t="shared" si="1307"/>
        <v>09940003517</v>
      </c>
      <c r="B3673" s="7" t="str">
        <f t="shared" si="1308"/>
        <v>吹田川園</v>
      </c>
      <c r="C3673" s="7" t="str">
        <f t="shared" si="1288"/>
        <v>行政財産</v>
      </c>
      <c r="D3673" s="7" t="str">
        <f t="shared" si="1296"/>
        <v>公営住宅</v>
      </c>
      <c r="E3673" s="7" t="str">
        <f t="shared" si="1309"/>
        <v>大阪府吹田市川園町</v>
      </c>
      <c r="F3673" s="7"/>
      <c r="G3673" s="7" t="str">
        <f t="shared" si="1306"/>
        <v>事業用資産</v>
      </c>
      <c r="H3673" s="7" t="str">
        <f t="shared" si="1301"/>
        <v>棚卸以外</v>
      </c>
      <c r="I3673" s="7">
        <v>2</v>
      </c>
      <c r="J3673" s="7" t="str">
        <f>"８～９号棟"</f>
        <v>８～９号棟</v>
      </c>
      <c r="K3673" s="7" t="str">
        <f t="shared" si="1300"/>
        <v>鉄筋コンクリート造</v>
      </c>
      <c r="L3673" s="7" t="str">
        <f>"H04.06.26"</f>
        <v>H04.06.26</v>
      </c>
      <c r="M3673" s="7">
        <v>4613.51</v>
      </c>
      <c r="N3673" s="7">
        <v>758520832</v>
      </c>
      <c r="O3673" s="7">
        <v>493429830</v>
      </c>
      <c r="P3673" s="7">
        <v>0</v>
      </c>
      <c r="Q3673" s="7" t="str">
        <f t="shared" si="1289"/>
        <v>都市整備部</v>
      </c>
      <c r="R3673" s="7" t="str">
        <f t="shared" si="1310"/>
        <v>住宅建築局住宅経営室</v>
      </c>
    </row>
    <row r="3674" spans="1:18" s="1" customFormat="1" x14ac:dyDescent="0.45">
      <c r="A3674" s="7" t="str">
        <f t="shared" si="1307"/>
        <v>09940003517</v>
      </c>
      <c r="B3674" s="7" t="str">
        <f t="shared" si="1308"/>
        <v>吹田川園</v>
      </c>
      <c r="C3674" s="7" t="str">
        <f t="shared" ref="C3674:C3737" si="1311">"行政財産"</f>
        <v>行政財産</v>
      </c>
      <c r="D3674" s="7" t="str">
        <f t="shared" si="1296"/>
        <v>公営住宅</v>
      </c>
      <c r="E3674" s="7" t="str">
        <f t="shared" si="1309"/>
        <v>大阪府吹田市川園町</v>
      </c>
      <c r="F3674" s="7"/>
      <c r="G3674" s="7" t="str">
        <f t="shared" si="1306"/>
        <v>事業用資産</v>
      </c>
      <c r="H3674" s="7" t="str">
        <f t="shared" si="1301"/>
        <v>棚卸以外</v>
      </c>
      <c r="I3674" s="7">
        <v>3</v>
      </c>
      <c r="J3674" s="7" t="str">
        <f>"１０～１１号棟"</f>
        <v>１０～１１号棟</v>
      </c>
      <c r="K3674" s="7" t="str">
        <f t="shared" si="1300"/>
        <v>鉄筋コンクリート造</v>
      </c>
      <c r="L3674" s="7" t="str">
        <f>"H04.06.26"</f>
        <v>H04.06.26</v>
      </c>
      <c r="M3674" s="7">
        <v>3987.72</v>
      </c>
      <c r="N3674" s="7">
        <v>668677170</v>
      </c>
      <c r="O3674" s="7">
        <v>434938164</v>
      </c>
      <c r="P3674" s="7">
        <v>0</v>
      </c>
      <c r="Q3674" s="7" t="str">
        <f t="shared" si="1289"/>
        <v>都市整備部</v>
      </c>
      <c r="R3674" s="7" t="str">
        <f t="shared" si="1310"/>
        <v>住宅建築局住宅経営室</v>
      </c>
    </row>
    <row r="3675" spans="1:18" s="1" customFormat="1" x14ac:dyDescent="0.45">
      <c r="A3675" s="7" t="str">
        <f t="shared" si="1307"/>
        <v>09940003517</v>
      </c>
      <c r="B3675" s="7" t="str">
        <f t="shared" si="1308"/>
        <v>吹田川園</v>
      </c>
      <c r="C3675" s="7" t="str">
        <f t="shared" si="1311"/>
        <v>行政財産</v>
      </c>
      <c r="D3675" s="7" t="str">
        <f t="shared" si="1296"/>
        <v>公営住宅</v>
      </c>
      <c r="E3675" s="7" t="str">
        <f t="shared" si="1309"/>
        <v>大阪府吹田市川園町</v>
      </c>
      <c r="F3675" s="7"/>
      <c r="G3675" s="7" t="str">
        <f t="shared" si="1306"/>
        <v>事業用資産</v>
      </c>
      <c r="H3675" s="7" t="str">
        <f t="shared" si="1301"/>
        <v>棚卸以外</v>
      </c>
      <c r="I3675" s="7">
        <v>4</v>
      </c>
      <c r="J3675" s="7" t="str">
        <f>"１２号棟"</f>
        <v>１２号棟</v>
      </c>
      <c r="K3675" s="7" t="str">
        <f t="shared" si="1300"/>
        <v>鉄筋コンクリート造</v>
      </c>
      <c r="L3675" s="7" t="str">
        <f>"H04.06.26"</f>
        <v>H04.06.26</v>
      </c>
      <c r="M3675" s="7">
        <v>6618.92</v>
      </c>
      <c r="N3675" s="7">
        <v>1150557318</v>
      </c>
      <c r="O3675" s="7">
        <v>746973425</v>
      </c>
      <c r="P3675" s="7">
        <v>0</v>
      </c>
      <c r="Q3675" s="7" t="str">
        <f t="shared" ref="Q3675:Q3738" si="1312">"都市整備部"</f>
        <v>都市整備部</v>
      </c>
      <c r="R3675" s="7" t="str">
        <f t="shared" si="1310"/>
        <v>住宅建築局住宅経営室</v>
      </c>
    </row>
    <row r="3676" spans="1:18" s="1" customFormat="1" x14ac:dyDescent="0.45">
      <c r="A3676" s="7" t="str">
        <f t="shared" si="1307"/>
        <v>09940003517</v>
      </c>
      <c r="B3676" s="7" t="str">
        <f t="shared" si="1308"/>
        <v>吹田川園</v>
      </c>
      <c r="C3676" s="7" t="str">
        <f t="shared" si="1311"/>
        <v>行政財産</v>
      </c>
      <c r="D3676" s="7" t="str">
        <f t="shared" si="1296"/>
        <v>公営住宅</v>
      </c>
      <c r="E3676" s="7" t="str">
        <f t="shared" si="1309"/>
        <v>大阪府吹田市川園町</v>
      </c>
      <c r="F3676" s="7"/>
      <c r="G3676" s="7" t="str">
        <f t="shared" si="1306"/>
        <v>事業用資産</v>
      </c>
      <c r="H3676" s="7" t="str">
        <f t="shared" si="1301"/>
        <v>棚卸以外</v>
      </c>
      <c r="I3676" s="7">
        <v>5</v>
      </c>
      <c r="J3676" s="7" t="str">
        <f>"受水槽（１２号棟）"</f>
        <v>受水槽（１２号棟）</v>
      </c>
      <c r="K3676" s="7" t="str">
        <f t="shared" si="1300"/>
        <v>鉄筋コンクリート造</v>
      </c>
      <c r="L3676" s="7" t="str">
        <f>"H04.06.26"</f>
        <v>H04.06.26</v>
      </c>
      <c r="M3676" s="7">
        <v>72.38</v>
      </c>
      <c r="N3676" s="7">
        <v>25585000</v>
      </c>
      <c r="O3676" s="7">
        <v>16739316</v>
      </c>
      <c r="P3676" s="7">
        <v>0</v>
      </c>
      <c r="Q3676" s="7" t="str">
        <f t="shared" si="1312"/>
        <v>都市整備部</v>
      </c>
      <c r="R3676" s="7" t="str">
        <f t="shared" si="1310"/>
        <v>住宅建築局住宅経営室</v>
      </c>
    </row>
    <row r="3677" spans="1:18" s="1" customFormat="1" x14ac:dyDescent="0.45">
      <c r="A3677" s="7" t="str">
        <f t="shared" si="1307"/>
        <v>09940003517</v>
      </c>
      <c r="B3677" s="7" t="str">
        <f t="shared" si="1308"/>
        <v>吹田川園</v>
      </c>
      <c r="C3677" s="7" t="str">
        <f t="shared" si="1311"/>
        <v>行政財産</v>
      </c>
      <c r="D3677" s="7" t="str">
        <f t="shared" si="1296"/>
        <v>公営住宅</v>
      </c>
      <c r="E3677" s="7" t="str">
        <f t="shared" si="1309"/>
        <v>大阪府吹田市川園町</v>
      </c>
      <c r="F3677" s="7"/>
      <c r="G3677" s="7" t="str">
        <f t="shared" si="1306"/>
        <v>事業用資産</v>
      </c>
      <c r="H3677" s="7" t="str">
        <f t="shared" si="1301"/>
        <v>棚卸以外</v>
      </c>
      <c r="I3677" s="7">
        <v>6</v>
      </c>
      <c r="J3677" s="7" t="str">
        <f>"５・６号棟"</f>
        <v>５・６号棟</v>
      </c>
      <c r="K3677" s="7" t="str">
        <f t="shared" si="1300"/>
        <v>鉄筋コンクリート造</v>
      </c>
      <c r="L3677" s="7" t="str">
        <f>"H06.08.26"</f>
        <v>H06.08.26</v>
      </c>
      <c r="M3677" s="7">
        <v>4016.41</v>
      </c>
      <c r="N3677" s="7">
        <v>691628170</v>
      </c>
      <c r="O3677" s="7">
        <v>418542553</v>
      </c>
      <c r="P3677" s="7">
        <v>0</v>
      </c>
      <c r="Q3677" s="7" t="str">
        <f t="shared" si="1312"/>
        <v>都市整備部</v>
      </c>
      <c r="R3677" s="7" t="str">
        <f t="shared" si="1310"/>
        <v>住宅建築局住宅経営室</v>
      </c>
    </row>
    <row r="3678" spans="1:18" s="1" customFormat="1" x14ac:dyDescent="0.45">
      <c r="A3678" s="7" t="str">
        <f t="shared" si="1307"/>
        <v>09940003517</v>
      </c>
      <c r="B3678" s="7" t="str">
        <f t="shared" si="1308"/>
        <v>吹田川園</v>
      </c>
      <c r="C3678" s="7" t="str">
        <f t="shared" si="1311"/>
        <v>行政財産</v>
      </c>
      <c r="D3678" s="7" t="str">
        <f t="shared" si="1296"/>
        <v>公営住宅</v>
      </c>
      <c r="E3678" s="7" t="str">
        <f t="shared" si="1309"/>
        <v>大阪府吹田市川園町</v>
      </c>
      <c r="F3678" s="7"/>
      <c r="G3678" s="7" t="str">
        <f t="shared" si="1306"/>
        <v>事業用資産</v>
      </c>
      <c r="H3678" s="7" t="str">
        <f t="shared" si="1301"/>
        <v>棚卸以外</v>
      </c>
      <c r="I3678" s="7">
        <v>7</v>
      </c>
      <c r="J3678" s="7" t="str">
        <f>"１３－１４号棟"</f>
        <v>１３－１４号棟</v>
      </c>
      <c r="K3678" s="7" t="str">
        <f t="shared" si="1300"/>
        <v>鉄筋コンクリート造</v>
      </c>
      <c r="L3678" s="7" t="str">
        <f>"H06.08.26"</f>
        <v>H06.08.26</v>
      </c>
      <c r="M3678" s="7">
        <v>9234.9699999999993</v>
      </c>
      <c r="N3678" s="7">
        <v>1865907725</v>
      </c>
      <c r="O3678" s="7">
        <v>1130241645</v>
      </c>
      <c r="P3678" s="7">
        <v>0</v>
      </c>
      <c r="Q3678" s="7" t="str">
        <f t="shared" si="1312"/>
        <v>都市整備部</v>
      </c>
      <c r="R3678" s="7" t="str">
        <f t="shared" si="1310"/>
        <v>住宅建築局住宅経営室</v>
      </c>
    </row>
    <row r="3679" spans="1:18" s="1" customFormat="1" x14ac:dyDescent="0.45">
      <c r="A3679" s="7" t="str">
        <f t="shared" si="1307"/>
        <v>09940003517</v>
      </c>
      <c r="B3679" s="7" t="str">
        <f t="shared" si="1308"/>
        <v>吹田川園</v>
      </c>
      <c r="C3679" s="7" t="str">
        <f t="shared" si="1311"/>
        <v>行政財産</v>
      </c>
      <c r="D3679" s="7" t="str">
        <f t="shared" si="1296"/>
        <v>公営住宅</v>
      </c>
      <c r="E3679" s="7" t="str">
        <f t="shared" si="1309"/>
        <v>大阪府吹田市川園町</v>
      </c>
      <c r="F3679" s="7"/>
      <c r="G3679" s="7" t="str">
        <f t="shared" si="1306"/>
        <v>事業用資産</v>
      </c>
      <c r="H3679" s="7" t="str">
        <f t="shared" si="1301"/>
        <v>棚卸以外</v>
      </c>
      <c r="I3679" s="7">
        <v>8</v>
      </c>
      <c r="J3679" s="7" t="str">
        <f>"集会所"</f>
        <v>集会所</v>
      </c>
      <c r="K3679" s="7" t="str">
        <f t="shared" si="1300"/>
        <v>鉄筋コンクリート造</v>
      </c>
      <c r="L3679" s="7" t="str">
        <f>"H06.08.26"</f>
        <v>H06.08.26</v>
      </c>
      <c r="M3679" s="7">
        <v>102.67</v>
      </c>
      <c r="N3679" s="7">
        <v>32458000</v>
      </c>
      <c r="O3679" s="7">
        <v>19739650</v>
      </c>
      <c r="P3679" s="7">
        <v>0</v>
      </c>
      <c r="Q3679" s="7" t="str">
        <f t="shared" si="1312"/>
        <v>都市整備部</v>
      </c>
      <c r="R3679" s="7" t="str">
        <f t="shared" si="1310"/>
        <v>住宅建築局住宅経営室</v>
      </c>
    </row>
    <row r="3680" spans="1:18" s="1" customFormat="1" x14ac:dyDescent="0.45">
      <c r="A3680" s="7" t="str">
        <f t="shared" si="1307"/>
        <v>09940003517</v>
      </c>
      <c r="B3680" s="7" t="str">
        <f t="shared" si="1308"/>
        <v>吹田川園</v>
      </c>
      <c r="C3680" s="7" t="str">
        <f t="shared" si="1311"/>
        <v>行政財産</v>
      </c>
      <c r="D3680" s="7" t="str">
        <f t="shared" si="1296"/>
        <v>公営住宅</v>
      </c>
      <c r="E3680" s="7" t="str">
        <f t="shared" si="1309"/>
        <v>大阪府吹田市川園町</v>
      </c>
      <c r="F3680" s="7"/>
      <c r="G3680" s="7" t="str">
        <f t="shared" si="1306"/>
        <v>事業用資産</v>
      </c>
      <c r="H3680" s="7" t="str">
        <f t="shared" si="1301"/>
        <v>棚卸以外</v>
      </c>
      <c r="I3680" s="7">
        <v>9</v>
      </c>
      <c r="J3680" s="7" t="str">
        <f>"集会所"</f>
        <v>集会所</v>
      </c>
      <c r="K3680" s="7" t="str">
        <f t="shared" si="1300"/>
        <v>鉄筋コンクリート造</v>
      </c>
      <c r="L3680" s="7" t="str">
        <f>"H06.08.26"</f>
        <v>H06.08.26</v>
      </c>
      <c r="M3680" s="7">
        <v>199.89</v>
      </c>
      <c r="N3680" s="7">
        <v>42725000</v>
      </c>
      <c r="O3680" s="7">
        <v>25883513</v>
      </c>
      <c r="P3680" s="7">
        <v>0</v>
      </c>
      <c r="Q3680" s="7" t="str">
        <f t="shared" si="1312"/>
        <v>都市整備部</v>
      </c>
      <c r="R3680" s="7" t="str">
        <f t="shared" si="1310"/>
        <v>住宅建築局住宅経営室</v>
      </c>
    </row>
    <row r="3681" spans="1:18" s="1" customFormat="1" x14ac:dyDescent="0.45">
      <c r="A3681" s="7" t="str">
        <f t="shared" si="1307"/>
        <v>09940003517</v>
      </c>
      <c r="B3681" s="7" t="str">
        <f t="shared" si="1308"/>
        <v>吹田川園</v>
      </c>
      <c r="C3681" s="7" t="str">
        <f t="shared" si="1311"/>
        <v>行政財産</v>
      </c>
      <c r="D3681" s="7" t="str">
        <f t="shared" si="1296"/>
        <v>公営住宅</v>
      </c>
      <c r="E3681" s="7" t="str">
        <f t="shared" si="1309"/>
        <v>大阪府吹田市川園町</v>
      </c>
      <c r="F3681" s="7"/>
      <c r="G3681" s="7" t="str">
        <f t="shared" si="1306"/>
        <v>事業用資産</v>
      </c>
      <c r="H3681" s="7" t="str">
        <f t="shared" si="1301"/>
        <v>棚卸以外</v>
      </c>
      <c r="I3681" s="7">
        <v>10</v>
      </c>
      <c r="J3681" s="7" t="str">
        <f>"受水槽・電気室"</f>
        <v>受水槽・電気室</v>
      </c>
      <c r="K3681" s="7" t="str">
        <f t="shared" si="1300"/>
        <v>鉄筋コンクリート造</v>
      </c>
      <c r="L3681" s="7" t="str">
        <f>"H06.08.26"</f>
        <v>H06.08.26</v>
      </c>
      <c r="M3681" s="7">
        <v>162.25</v>
      </c>
      <c r="N3681" s="7">
        <v>52455000</v>
      </c>
      <c r="O3681" s="7">
        <v>31626174</v>
      </c>
      <c r="P3681" s="7">
        <v>0</v>
      </c>
      <c r="Q3681" s="7" t="str">
        <f t="shared" si="1312"/>
        <v>都市整備部</v>
      </c>
      <c r="R3681" s="7" t="str">
        <f t="shared" si="1310"/>
        <v>住宅建築局住宅経営室</v>
      </c>
    </row>
    <row r="3682" spans="1:18" s="1" customFormat="1" x14ac:dyDescent="0.45">
      <c r="A3682" s="7" t="str">
        <f t="shared" si="1307"/>
        <v>09940003517</v>
      </c>
      <c r="B3682" s="7" t="str">
        <f t="shared" si="1308"/>
        <v>吹田川園</v>
      </c>
      <c r="C3682" s="7" t="str">
        <f t="shared" si="1311"/>
        <v>行政財産</v>
      </c>
      <c r="D3682" s="7" t="str">
        <f t="shared" si="1296"/>
        <v>公営住宅</v>
      </c>
      <c r="E3682" s="7" t="str">
        <f t="shared" si="1309"/>
        <v>大阪府吹田市川園町</v>
      </c>
      <c r="F3682" s="7"/>
      <c r="G3682" s="7" t="str">
        <f t="shared" si="1306"/>
        <v>事業用資産</v>
      </c>
      <c r="H3682" s="7" t="str">
        <f t="shared" si="1301"/>
        <v>棚卸以外</v>
      </c>
      <c r="I3682" s="7">
        <v>11</v>
      </c>
      <c r="J3682" s="7" t="str">
        <f>"１号棟"</f>
        <v>１号棟</v>
      </c>
      <c r="K3682" s="7" t="str">
        <f t="shared" si="1300"/>
        <v>鉄筋コンクリート造</v>
      </c>
      <c r="L3682" s="7" t="str">
        <f>"H08.11.07"</f>
        <v>H08.11.07</v>
      </c>
      <c r="M3682" s="7">
        <v>6848.37</v>
      </c>
      <c r="N3682" s="7">
        <v>1307563064</v>
      </c>
      <c r="O3682" s="7">
        <v>729342225</v>
      </c>
      <c r="P3682" s="7">
        <v>0</v>
      </c>
      <c r="Q3682" s="7" t="str">
        <f t="shared" si="1312"/>
        <v>都市整備部</v>
      </c>
      <c r="R3682" s="7" t="str">
        <f t="shared" si="1310"/>
        <v>住宅建築局住宅経営室</v>
      </c>
    </row>
    <row r="3683" spans="1:18" s="1" customFormat="1" x14ac:dyDescent="0.45">
      <c r="A3683" s="7" t="str">
        <f t="shared" si="1307"/>
        <v>09940003517</v>
      </c>
      <c r="B3683" s="7" t="str">
        <f t="shared" si="1308"/>
        <v>吹田川園</v>
      </c>
      <c r="C3683" s="7" t="str">
        <f t="shared" si="1311"/>
        <v>行政財産</v>
      </c>
      <c r="D3683" s="7" t="str">
        <f t="shared" si="1296"/>
        <v>公営住宅</v>
      </c>
      <c r="E3683" s="7" t="str">
        <f t="shared" si="1309"/>
        <v>大阪府吹田市川園町</v>
      </c>
      <c r="F3683" s="7"/>
      <c r="G3683" s="7" t="str">
        <f t="shared" si="1306"/>
        <v>事業用資産</v>
      </c>
      <c r="H3683" s="7" t="str">
        <f t="shared" si="1301"/>
        <v>棚卸以外</v>
      </c>
      <c r="I3683" s="7">
        <v>12</v>
      </c>
      <c r="J3683" s="7" t="str">
        <f>"２号棟"</f>
        <v>２号棟</v>
      </c>
      <c r="K3683" s="7" t="str">
        <f t="shared" si="1300"/>
        <v>鉄筋コンクリート造</v>
      </c>
      <c r="L3683" s="7" t="str">
        <f>"H08.11.07"</f>
        <v>H08.11.07</v>
      </c>
      <c r="M3683" s="7">
        <v>8066.88</v>
      </c>
      <c r="N3683" s="7">
        <v>1536533341</v>
      </c>
      <c r="O3683" s="7">
        <v>857724809</v>
      </c>
      <c r="P3683" s="7">
        <v>0</v>
      </c>
      <c r="Q3683" s="7" t="str">
        <f t="shared" si="1312"/>
        <v>都市整備部</v>
      </c>
      <c r="R3683" s="7" t="str">
        <f t="shared" si="1310"/>
        <v>住宅建築局住宅経営室</v>
      </c>
    </row>
    <row r="3684" spans="1:18" s="1" customFormat="1" x14ac:dyDescent="0.45">
      <c r="A3684" s="7" t="str">
        <f t="shared" si="1307"/>
        <v>09940003517</v>
      </c>
      <c r="B3684" s="7" t="str">
        <f t="shared" si="1308"/>
        <v>吹田川園</v>
      </c>
      <c r="C3684" s="7" t="str">
        <f t="shared" si="1311"/>
        <v>行政財産</v>
      </c>
      <c r="D3684" s="7" t="str">
        <f t="shared" si="1296"/>
        <v>公営住宅</v>
      </c>
      <c r="E3684" s="7" t="str">
        <f t="shared" si="1309"/>
        <v>大阪府吹田市川園町</v>
      </c>
      <c r="F3684" s="7"/>
      <c r="G3684" s="7" t="str">
        <f t="shared" si="1306"/>
        <v>事業用資産</v>
      </c>
      <c r="H3684" s="7" t="str">
        <f t="shared" si="1301"/>
        <v>棚卸以外</v>
      </c>
      <c r="I3684" s="7">
        <v>13</v>
      </c>
      <c r="J3684" s="7" t="str">
        <f>"３号棟"</f>
        <v>３号棟</v>
      </c>
      <c r="K3684" s="7" t="str">
        <f t="shared" si="1300"/>
        <v>鉄筋コンクリート造</v>
      </c>
      <c r="L3684" s="7" t="str">
        <f>"H08.10.24"</f>
        <v>H08.10.24</v>
      </c>
      <c r="M3684" s="7">
        <v>7997.79</v>
      </c>
      <c r="N3684" s="7">
        <v>1797429786</v>
      </c>
      <c r="O3684" s="7">
        <v>1006862712</v>
      </c>
      <c r="P3684" s="7">
        <v>0</v>
      </c>
      <c r="Q3684" s="7" t="str">
        <f t="shared" si="1312"/>
        <v>都市整備部</v>
      </c>
      <c r="R3684" s="7" t="str">
        <f t="shared" si="1310"/>
        <v>住宅建築局住宅経営室</v>
      </c>
    </row>
    <row r="3685" spans="1:18" s="1" customFormat="1" x14ac:dyDescent="0.45">
      <c r="A3685" s="7" t="str">
        <f t="shared" si="1307"/>
        <v>09940003517</v>
      </c>
      <c r="B3685" s="7" t="str">
        <f t="shared" si="1308"/>
        <v>吹田川園</v>
      </c>
      <c r="C3685" s="7" t="str">
        <f t="shared" si="1311"/>
        <v>行政財産</v>
      </c>
      <c r="D3685" s="7" t="str">
        <f t="shared" si="1296"/>
        <v>公営住宅</v>
      </c>
      <c r="E3685" s="7" t="str">
        <f t="shared" si="1309"/>
        <v>大阪府吹田市川園町</v>
      </c>
      <c r="F3685" s="7"/>
      <c r="G3685" s="7" t="str">
        <f t="shared" si="1306"/>
        <v>事業用資産</v>
      </c>
      <c r="H3685" s="7" t="str">
        <f t="shared" si="1301"/>
        <v>棚卸以外</v>
      </c>
      <c r="I3685" s="7">
        <v>14</v>
      </c>
      <c r="J3685" s="7" t="str">
        <f>"４号棟"</f>
        <v>４号棟</v>
      </c>
      <c r="K3685" s="7" t="str">
        <f t="shared" si="1300"/>
        <v>鉄筋コンクリート造</v>
      </c>
      <c r="L3685" s="7" t="str">
        <f>"H08.10.24"</f>
        <v>H08.10.24</v>
      </c>
      <c r="M3685" s="7">
        <v>4963.24</v>
      </c>
      <c r="N3685" s="7">
        <v>915857170</v>
      </c>
      <c r="O3685" s="7">
        <v>513160598</v>
      </c>
      <c r="P3685" s="7">
        <v>0</v>
      </c>
      <c r="Q3685" s="7" t="str">
        <f t="shared" si="1312"/>
        <v>都市整備部</v>
      </c>
      <c r="R3685" s="7" t="str">
        <f t="shared" si="1310"/>
        <v>住宅建築局住宅経営室</v>
      </c>
    </row>
    <row r="3686" spans="1:18" s="1" customFormat="1" x14ac:dyDescent="0.45">
      <c r="A3686" s="7" t="str">
        <f t="shared" si="1307"/>
        <v>09940003517</v>
      </c>
      <c r="B3686" s="7" t="str">
        <f t="shared" si="1308"/>
        <v>吹田川園</v>
      </c>
      <c r="C3686" s="7" t="str">
        <f t="shared" si="1311"/>
        <v>行政財産</v>
      </c>
      <c r="D3686" s="7" t="str">
        <f t="shared" si="1296"/>
        <v>公営住宅</v>
      </c>
      <c r="E3686" s="7" t="str">
        <f t="shared" si="1309"/>
        <v>大阪府吹田市川園町</v>
      </c>
      <c r="F3686" s="7"/>
      <c r="G3686" s="7" t="str">
        <f t="shared" si="1306"/>
        <v>事業用資産</v>
      </c>
      <c r="H3686" s="7" t="str">
        <f t="shared" si="1301"/>
        <v>棚卸以外</v>
      </c>
      <c r="I3686" s="7">
        <v>15</v>
      </c>
      <c r="J3686" s="7" t="str">
        <f>"受水槽・ポンプ室"</f>
        <v>受水槽・ポンプ室</v>
      </c>
      <c r="K3686" s="7" t="str">
        <f t="shared" si="1300"/>
        <v>鉄筋コンクリート造</v>
      </c>
      <c r="L3686" s="7" t="str">
        <f>"H08.11.07"</f>
        <v>H08.11.07</v>
      </c>
      <c r="M3686" s="7">
        <v>114</v>
      </c>
      <c r="N3686" s="7">
        <v>39447000</v>
      </c>
      <c r="O3686" s="7">
        <v>22101672</v>
      </c>
      <c r="P3686" s="7">
        <v>0</v>
      </c>
      <c r="Q3686" s="7" t="str">
        <f t="shared" si="1312"/>
        <v>都市整備部</v>
      </c>
      <c r="R3686" s="7" t="str">
        <f t="shared" si="1310"/>
        <v>住宅建築局住宅経営室</v>
      </c>
    </row>
    <row r="3687" spans="1:18" s="1" customFormat="1" x14ac:dyDescent="0.45">
      <c r="A3687" s="7" t="str">
        <f t="shared" si="1307"/>
        <v>09940003517</v>
      </c>
      <c r="B3687" s="7" t="str">
        <f t="shared" si="1308"/>
        <v>吹田川園</v>
      </c>
      <c r="C3687" s="7" t="str">
        <f t="shared" si="1311"/>
        <v>行政財産</v>
      </c>
      <c r="D3687" s="7" t="str">
        <f t="shared" si="1296"/>
        <v>公営住宅</v>
      </c>
      <c r="E3687" s="7" t="str">
        <f t="shared" si="1309"/>
        <v>大阪府吹田市川園町</v>
      </c>
      <c r="F3687" s="7"/>
      <c r="G3687" s="7" t="str">
        <f t="shared" si="1306"/>
        <v>事業用資産</v>
      </c>
      <c r="H3687" s="7" t="str">
        <f t="shared" si="1301"/>
        <v>棚卸以外</v>
      </c>
      <c r="I3687" s="7">
        <v>16</v>
      </c>
      <c r="J3687" s="7" t="str">
        <f>"電気室（１号室）"</f>
        <v>電気室（１号室）</v>
      </c>
      <c r="K3687" s="7" t="str">
        <f t="shared" si="1300"/>
        <v>鉄筋コンクリート造</v>
      </c>
      <c r="L3687" s="7" t="str">
        <f>"H08.11.07"</f>
        <v>H08.11.07</v>
      </c>
      <c r="M3687" s="7">
        <v>41.6</v>
      </c>
      <c r="N3687" s="7">
        <v>12949000</v>
      </c>
      <c r="O3687" s="7">
        <v>7255360</v>
      </c>
      <c r="P3687" s="7">
        <v>0</v>
      </c>
      <c r="Q3687" s="7" t="str">
        <f t="shared" si="1312"/>
        <v>都市整備部</v>
      </c>
      <c r="R3687" s="7" t="str">
        <f t="shared" si="1310"/>
        <v>住宅建築局住宅経営室</v>
      </c>
    </row>
    <row r="3688" spans="1:18" s="1" customFormat="1" x14ac:dyDescent="0.45">
      <c r="A3688" s="7" t="str">
        <f t="shared" si="1307"/>
        <v>09940003517</v>
      </c>
      <c r="B3688" s="7" t="str">
        <f t="shared" si="1308"/>
        <v>吹田川園</v>
      </c>
      <c r="C3688" s="7" t="str">
        <f t="shared" si="1311"/>
        <v>行政財産</v>
      </c>
      <c r="D3688" s="7" t="str">
        <f t="shared" si="1296"/>
        <v>公営住宅</v>
      </c>
      <c r="E3688" s="7" t="str">
        <f t="shared" si="1309"/>
        <v>大阪府吹田市川園町</v>
      </c>
      <c r="F3688" s="7"/>
      <c r="G3688" s="7" t="str">
        <f t="shared" si="1306"/>
        <v>事業用資産</v>
      </c>
      <c r="H3688" s="7" t="str">
        <f t="shared" si="1301"/>
        <v>棚卸以外</v>
      </c>
      <c r="I3688" s="7">
        <v>17</v>
      </c>
      <c r="J3688" s="7" t="str">
        <f>"電気室（２号室）"</f>
        <v>電気室（２号室）</v>
      </c>
      <c r="K3688" s="7" t="str">
        <f t="shared" si="1300"/>
        <v>鉄筋コンクリート造</v>
      </c>
      <c r="L3688" s="7" t="str">
        <f>"H08.11.07"</f>
        <v>H08.11.07</v>
      </c>
      <c r="M3688" s="7">
        <v>41.6</v>
      </c>
      <c r="N3688" s="7">
        <v>13632000</v>
      </c>
      <c r="O3688" s="7">
        <v>7638036</v>
      </c>
      <c r="P3688" s="7">
        <v>0</v>
      </c>
      <c r="Q3688" s="7" t="str">
        <f t="shared" si="1312"/>
        <v>都市整備部</v>
      </c>
      <c r="R3688" s="7" t="str">
        <f t="shared" si="1310"/>
        <v>住宅建築局住宅経営室</v>
      </c>
    </row>
    <row r="3689" spans="1:18" s="1" customFormat="1" x14ac:dyDescent="0.45">
      <c r="A3689" s="7" t="str">
        <f t="shared" si="1307"/>
        <v>09940003517</v>
      </c>
      <c r="B3689" s="7" t="str">
        <f t="shared" si="1308"/>
        <v>吹田川園</v>
      </c>
      <c r="C3689" s="7" t="str">
        <f t="shared" si="1311"/>
        <v>行政財産</v>
      </c>
      <c r="D3689" s="7" t="str">
        <f t="shared" si="1296"/>
        <v>公営住宅</v>
      </c>
      <c r="E3689" s="7" t="str">
        <f t="shared" si="1309"/>
        <v>大阪府吹田市川園町</v>
      </c>
      <c r="F3689" s="7"/>
      <c r="G3689" s="7" t="str">
        <f t="shared" si="1306"/>
        <v>事業用資産</v>
      </c>
      <c r="H3689" s="7" t="str">
        <f t="shared" si="1301"/>
        <v>棚卸以外</v>
      </c>
      <c r="I3689" s="7">
        <v>18</v>
      </c>
      <c r="J3689" s="7" t="str">
        <f>"電気室（３号室）"</f>
        <v>電気室（３号室）</v>
      </c>
      <c r="K3689" s="7" t="str">
        <f t="shared" si="1300"/>
        <v>鉄筋コンクリート造</v>
      </c>
      <c r="L3689" s="7" t="str">
        <f>"H08.10.24"</f>
        <v>H08.10.24</v>
      </c>
      <c r="M3689" s="7">
        <v>52</v>
      </c>
      <c r="N3689" s="7">
        <v>8086000</v>
      </c>
      <c r="O3689" s="7">
        <v>4544829</v>
      </c>
      <c r="P3689" s="7">
        <v>0</v>
      </c>
      <c r="Q3689" s="7" t="str">
        <f t="shared" si="1312"/>
        <v>都市整備部</v>
      </c>
      <c r="R3689" s="7" t="str">
        <f t="shared" si="1310"/>
        <v>住宅建築局住宅経営室</v>
      </c>
    </row>
    <row r="3690" spans="1:18" s="1" customFormat="1" x14ac:dyDescent="0.45">
      <c r="A3690" s="7" t="str">
        <f t="shared" si="1307"/>
        <v>09940003517</v>
      </c>
      <c r="B3690" s="7" t="str">
        <f t="shared" si="1308"/>
        <v>吹田川園</v>
      </c>
      <c r="C3690" s="7" t="str">
        <f t="shared" si="1311"/>
        <v>行政財産</v>
      </c>
      <c r="D3690" s="7" t="str">
        <f t="shared" si="1296"/>
        <v>公営住宅</v>
      </c>
      <c r="E3690" s="7" t="str">
        <f t="shared" si="1309"/>
        <v>大阪府吹田市川園町</v>
      </c>
      <c r="F3690" s="7"/>
      <c r="G3690" s="7" t="str">
        <f t="shared" si="1306"/>
        <v>事業用資産</v>
      </c>
      <c r="H3690" s="7" t="str">
        <f t="shared" si="1301"/>
        <v>棚卸以外</v>
      </c>
      <c r="I3690" s="7">
        <v>19</v>
      </c>
      <c r="J3690" s="7" t="str">
        <f>"受水槽"</f>
        <v>受水槽</v>
      </c>
      <c r="K3690" s="7" t="str">
        <f t="shared" si="1300"/>
        <v>鉄筋コンクリート造</v>
      </c>
      <c r="L3690" s="7" t="str">
        <f>"H04.06.26"</f>
        <v>H04.06.26</v>
      </c>
      <c r="M3690" s="7">
        <v>151.5</v>
      </c>
      <c r="N3690" s="7">
        <v>59496000</v>
      </c>
      <c r="O3690" s="7">
        <v>38925810</v>
      </c>
      <c r="P3690" s="7">
        <v>0</v>
      </c>
      <c r="Q3690" s="7" t="str">
        <f t="shared" si="1312"/>
        <v>都市整備部</v>
      </c>
      <c r="R3690" s="7" t="str">
        <f t="shared" si="1310"/>
        <v>住宅建築局住宅経営室</v>
      </c>
    </row>
    <row r="3691" spans="1:18" s="1" customFormat="1" x14ac:dyDescent="0.45">
      <c r="A3691" s="7" t="str">
        <f t="shared" si="1307"/>
        <v>09940003517</v>
      </c>
      <c r="B3691" s="7" t="str">
        <f t="shared" si="1308"/>
        <v>吹田川園</v>
      </c>
      <c r="C3691" s="7" t="str">
        <f t="shared" si="1311"/>
        <v>行政財産</v>
      </c>
      <c r="D3691" s="7" t="str">
        <f t="shared" si="1296"/>
        <v>公営住宅</v>
      </c>
      <c r="E3691" s="7" t="str">
        <f t="shared" si="1309"/>
        <v>大阪府吹田市川園町</v>
      </c>
      <c r="F3691" s="7"/>
      <c r="G3691" s="7" t="str">
        <f t="shared" si="1306"/>
        <v>事業用資産</v>
      </c>
      <c r="H3691" s="7" t="str">
        <f t="shared" si="1301"/>
        <v>棚卸以外</v>
      </c>
      <c r="I3691" s="7">
        <v>20</v>
      </c>
      <c r="J3691" s="7" t="str">
        <f>"電気室（８、９号棟）"</f>
        <v>電気室（８、９号棟）</v>
      </c>
      <c r="K3691" s="7" t="str">
        <f t="shared" si="1300"/>
        <v>鉄筋コンクリート造</v>
      </c>
      <c r="L3691" s="7" t="str">
        <f>"H04.06.26"</f>
        <v>H04.06.26</v>
      </c>
      <c r="M3691" s="7">
        <v>43.89</v>
      </c>
      <c r="N3691" s="7">
        <v>10937000</v>
      </c>
      <c r="O3691" s="7">
        <v>7155648</v>
      </c>
      <c r="P3691" s="7">
        <v>0</v>
      </c>
      <c r="Q3691" s="7" t="str">
        <f t="shared" si="1312"/>
        <v>都市整備部</v>
      </c>
      <c r="R3691" s="7" t="str">
        <f t="shared" si="1310"/>
        <v>住宅建築局住宅経営室</v>
      </c>
    </row>
    <row r="3692" spans="1:18" s="1" customFormat="1" x14ac:dyDescent="0.45">
      <c r="A3692" s="7" t="str">
        <f t="shared" si="1307"/>
        <v>09940003517</v>
      </c>
      <c r="B3692" s="7" t="str">
        <f t="shared" si="1308"/>
        <v>吹田川園</v>
      </c>
      <c r="C3692" s="7" t="str">
        <f t="shared" si="1311"/>
        <v>行政財産</v>
      </c>
      <c r="D3692" s="7" t="str">
        <f t="shared" si="1296"/>
        <v>公営住宅</v>
      </c>
      <c r="E3692" s="7" t="str">
        <f t="shared" si="1309"/>
        <v>大阪府吹田市川園町</v>
      </c>
      <c r="F3692" s="7"/>
      <c r="G3692" s="7" t="str">
        <f t="shared" si="1306"/>
        <v>事業用資産</v>
      </c>
      <c r="H3692" s="7" t="str">
        <f t="shared" si="1301"/>
        <v>棚卸以外</v>
      </c>
      <c r="I3692" s="7">
        <v>21</v>
      </c>
      <c r="J3692" s="7" t="str">
        <f>"電気室（１０・１１号棟）"</f>
        <v>電気室（１０・１１号棟）</v>
      </c>
      <c r="K3692" s="7" t="str">
        <f t="shared" si="1300"/>
        <v>鉄筋コンクリート造</v>
      </c>
      <c r="L3692" s="7" t="str">
        <f>"H04.06.26"</f>
        <v>H04.06.26</v>
      </c>
      <c r="M3692" s="7">
        <v>43.89</v>
      </c>
      <c r="N3692" s="7">
        <v>13534000</v>
      </c>
      <c r="O3692" s="7">
        <v>8854893</v>
      </c>
      <c r="P3692" s="7">
        <v>0</v>
      </c>
      <c r="Q3692" s="7" t="str">
        <f t="shared" si="1312"/>
        <v>都市整備部</v>
      </c>
      <c r="R3692" s="7" t="str">
        <f t="shared" si="1310"/>
        <v>住宅建築局住宅経営室</v>
      </c>
    </row>
    <row r="3693" spans="1:18" s="1" customFormat="1" x14ac:dyDescent="0.45">
      <c r="A3693" s="7" t="str">
        <f>"09940003519"</f>
        <v>09940003519</v>
      </c>
      <c r="B3693" s="7" t="str">
        <f>"取石"</f>
        <v>取石</v>
      </c>
      <c r="C3693" s="7" t="str">
        <f t="shared" si="1311"/>
        <v>行政財産</v>
      </c>
      <c r="D3693" s="7" t="str">
        <f t="shared" si="1296"/>
        <v>公営住宅</v>
      </c>
      <c r="E3693" s="7" t="str">
        <f>"大阪府高石市取石７丁目"</f>
        <v>大阪府高石市取石７丁目</v>
      </c>
      <c r="F3693" s="7"/>
      <c r="G3693" s="7" t="str">
        <f t="shared" si="1306"/>
        <v>事業用資産</v>
      </c>
      <c r="H3693" s="7" t="str">
        <f t="shared" si="1301"/>
        <v>棚卸以外</v>
      </c>
      <c r="I3693" s="7">
        <v>1</v>
      </c>
      <c r="J3693" s="7" t="str">
        <f>"４～７号棟"</f>
        <v>４～７号棟</v>
      </c>
      <c r="K3693" s="7" t="str">
        <f t="shared" si="1300"/>
        <v>鉄筋コンクリート造</v>
      </c>
      <c r="L3693" s="7" t="str">
        <f>"S45.06.20"</f>
        <v>S45.06.20</v>
      </c>
      <c r="M3693" s="7">
        <v>5470.3</v>
      </c>
      <c r="N3693" s="7">
        <v>273452791</v>
      </c>
      <c r="O3693" s="7">
        <v>217903350</v>
      </c>
      <c r="P3693" s="7">
        <v>0</v>
      </c>
      <c r="Q3693" s="7" t="str">
        <f t="shared" si="1312"/>
        <v>都市整備部</v>
      </c>
      <c r="R3693" s="7" t="str">
        <f t="shared" si="1310"/>
        <v>住宅建築局住宅経営室</v>
      </c>
    </row>
    <row r="3694" spans="1:18" s="1" customFormat="1" x14ac:dyDescent="0.45">
      <c r="A3694" s="7" t="str">
        <f>"09940003519"</f>
        <v>09940003519</v>
      </c>
      <c r="B3694" s="7" t="str">
        <f>"取石"</f>
        <v>取石</v>
      </c>
      <c r="C3694" s="7" t="str">
        <f t="shared" si="1311"/>
        <v>行政財産</v>
      </c>
      <c r="D3694" s="7" t="str">
        <f t="shared" si="1296"/>
        <v>公営住宅</v>
      </c>
      <c r="E3694" s="7" t="str">
        <f>"大阪府高石市取石７丁目"</f>
        <v>大阪府高石市取石７丁目</v>
      </c>
      <c r="F3694" s="7"/>
      <c r="G3694" s="7" t="str">
        <f t="shared" si="1306"/>
        <v>事業用資産</v>
      </c>
      <c r="H3694" s="7" t="str">
        <f t="shared" si="1301"/>
        <v>棚卸以外</v>
      </c>
      <c r="I3694" s="7">
        <v>2</v>
      </c>
      <c r="J3694" s="7" t="str">
        <f>"１～３・８号棟"</f>
        <v>１～３・８号棟</v>
      </c>
      <c r="K3694" s="7" t="str">
        <f t="shared" si="1300"/>
        <v>鉄筋コンクリート造</v>
      </c>
      <c r="L3694" s="7" t="str">
        <f>"S45.06.20"</f>
        <v>S45.06.20</v>
      </c>
      <c r="M3694" s="7">
        <v>7579.35</v>
      </c>
      <c r="N3694" s="7">
        <v>526086617</v>
      </c>
      <c r="O3694" s="7">
        <v>387827635</v>
      </c>
      <c r="P3694" s="7">
        <v>0</v>
      </c>
      <c r="Q3694" s="7" t="str">
        <f t="shared" si="1312"/>
        <v>都市整備部</v>
      </c>
      <c r="R3694" s="7" t="str">
        <f t="shared" si="1310"/>
        <v>住宅建築局住宅経営室</v>
      </c>
    </row>
    <row r="3695" spans="1:18" s="1" customFormat="1" x14ac:dyDescent="0.45">
      <c r="A3695" s="7" t="str">
        <f>"09940003519"</f>
        <v>09940003519</v>
      </c>
      <c r="B3695" s="7" t="str">
        <f>"取石"</f>
        <v>取石</v>
      </c>
      <c r="C3695" s="7" t="str">
        <f t="shared" si="1311"/>
        <v>行政財産</v>
      </c>
      <c r="D3695" s="7" t="str">
        <f t="shared" si="1296"/>
        <v>公営住宅</v>
      </c>
      <c r="E3695" s="7" t="str">
        <f>"大阪府高石市取石７丁目"</f>
        <v>大阪府高石市取石７丁目</v>
      </c>
      <c r="F3695" s="7"/>
      <c r="G3695" s="7" t="str">
        <f t="shared" si="1306"/>
        <v>事業用資産</v>
      </c>
      <c r="H3695" s="7" t="str">
        <f t="shared" si="1301"/>
        <v>棚卸以外</v>
      </c>
      <c r="I3695" s="7">
        <v>3</v>
      </c>
      <c r="J3695" s="7" t="str">
        <f>"集会所"</f>
        <v>集会所</v>
      </c>
      <c r="K3695" s="7" t="str">
        <f t="shared" si="1300"/>
        <v>鉄筋コンクリート造</v>
      </c>
      <c r="L3695" s="7" t="str">
        <f>"S45.06.20"</f>
        <v>S45.06.20</v>
      </c>
      <c r="M3695" s="7">
        <v>105.44</v>
      </c>
      <c r="N3695" s="7">
        <v>14393363</v>
      </c>
      <c r="O3695" s="7">
        <v>14393362</v>
      </c>
      <c r="P3695" s="7">
        <v>0</v>
      </c>
      <c r="Q3695" s="7" t="str">
        <f t="shared" si="1312"/>
        <v>都市整備部</v>
      </c>
      <c r="R3695" s="7" t="str">
        <f t="shared" si="1310"/>
        <v>住宅建築局住宅経営室</v>
      </c>
    </row>
    <row r="3696" spans="1:18" s="1" customFormat="1" x14ac:dyDescent="0.45">
      <c r="A3696" s="7" t="str">
        <f t="shared" ref="A3696:A3702" si="1313">"09940003521"</f>
        <v>09940003521</v>
      </c>
      <c r="B3696" s="7" t="str">
        <f t="shared" ref="B3696:B3702" si="1314">"高石綾井（旧高石）"</f>
        <v>高石綾井（旧高石）</v>
      </c>
      <c r="C3696" s="7" t="str">
        <f t="shared" si="1311"/>
        <v>行政財産</v>
      </c>
      <c r="D3696" s="7" t="str">
        <f t="shared" si="1296"/>
        <v>公営住宅</v>
      </c>
      <c r="E3696" s="7" t="str">
        <f t="shared" ref="E3696:E3702" si="1315">"大阪府高石市加茂３丁目"</f>
        <v>大阪府高石市加茂３丁目</v>
      </c>
      <c r="F3696" s="7"/>
      <c r="G3696" s="7" t="str">
        <f t="shared" si="1306"/>
        <v>事業用資産</v>
      </c>
      <c r="H3696" s="7" t="str">
        <f t="shared" si="1301"/>
        <v>棚卸以外</v>
      </c>
      <c r="I3696" s="7">
        <v>1</v>
      </c>
      <c r="J3696" s="7" t="str">
        <f>"３号棟"</f>
        <v>３号棟</v>
      </c>
      <c r="K3696" s="7" t="str">
        <f t="shared" si="1300"/>
        <v>鉄筋コンクリート造</v>
      </c>
      <c r="L3696" s="7" t="str">
        <f t="shared" ref="L3696:L3702" si="1316">"S56.06.01"</f>
        <v>S56.06.01</v>
      </c>
      <c r="M3696" s="7">
        <v>1033.97</v>
      </c>
      <c r="N3696" s="7">
        <v>108171000</v>
      </c>
      <c r="O3696" s="7">
        <v>96088293</v>
      </c>
      <c r="P3696" s="7">
        <v>0</v>
      </c>
      <c r="Q3696" s="7" t="str">
        <f t="shared" si="1312"/>
        <v>都市整備部</v>
      </c>
      <c r="R3696" s="7" t="str">
        <f t="shared" si="1310"/>
        <v>住宅建築局住宅経営室</v>
      </c>
    </row>
    <row r="3697" spans="1:18" s="1" customFormat="1" x14ac:dyDescent="0.45">
      <c r="A3697" s="7" t="str">
        <f t="shared" si="1313"/>
        <v>09940003521</v>
      </c>
      <c r="B3697" s="7" t="str">
        <f t="shared" si="1314"/>
        <v>高石綾井（旧高石）</v>
      </c>
      <c r="C3697" s="7" t="str">
        <f t="shared" si="1311"/>
        <v>行政財産</v>
      </c>
      <c r="D3697" s="7" t="str">
        <f t="shared" si="1296"/>
        <v>公営住宅</v>
      </c>
      <c r="E3697" s="7" t="str">
        <f t="shared" si="1315"/>
        <v>大阪府高石市加茂３丁目</v>
      </c>
      <c r="F3697" s="7"/>
      <c r="G3697" s="7" t="str">
        <f t="shared" si="1306"/>
        <v>事業用資産</v>
      </c>
      <c r="H3697" s="7" t="str">
        <f t="shared" si="1301"/>
        <v>棚卸以外</v>
      </c>
      <c r="I3697" s="7">
        <v>2</v>
      </c>
      <c r="J3697" s="7" t="str">
        <f>"２号棟"</f>
        <v>２号棟</v>
      </c>
      <c r="K3697" s="7" t="str">
        <f t="shared" si="1300"/>
        <v>鉄筋コンクリート造</v>
      </c>
      <c r="L3697" s="7" t="str">
        <f t="shared" si="1316"/>
        <v>S56.06.01</v>
      </c>
      <c r="M3697" s="7">
        <v>1990.62</v>
      </c>
      <c r="N3697" s="7">
        <v>211429000</v>
      </c>
      <c r="O3697" s="7">
        <v>187812375</v>
      </c>
      <c r="P3697" s="7">
        <v>0</v>
      </c>
      <c r="Q3697" s="7" t="str">
        <f t="shared" si="1312"/>
        <v>都市整備部</v>
      </c>
      <c r="R3697" s="7" t="str">
        <f t="shared" si="1310"/>
        <v>住宅建築局住宅経営室</v>
      </c>
    </row>
    <row r="3698" spans="1:18" s="1" customFormat="1" x14ac:dyDescent="0.45">
      <c r="A3698" s="7" t="str">
        <f t="shared" si="1313"/>
        <v>09940003521</v>
      </c>
      <c r="B3698" s="7" t="str">
        <f t="shared" si="1314"/>
        <v>高石綾井（旧高石）</v>
      </c>
      <c r="C3698" s="7" t="str">
        <f t="shared" si="1311"/>
        <v>行政財産</v>
      </c>
      <c r="D3698" s="7" t="str">
        <f t="shared" ref="D3698:D3761" si="1317">"公営住宅"</f>
        <v>公営住宅</v>
      </c>
      <c r="E3698" s="7" t="str">
        <f t="shared" si="1315"/>
        <v>大阪府高石市加茂３丁目</v>
      </c>
      <c r="F3698" s="7"/>
      <c r="G3698" s="7" t="str">
        <f t="shared" si="1306"/>
        <v>事業用資産</v>
      </c>
      <c r="H3698" s="7" t="str">
        <f t="shared" si="1301"/>
        <v>棚卸以外</v>
      </c>
      <c r="I3698" s="7">
        <v>3</v>
      </c>
      <c r="J3698" s="7" t="str">
        <f>"１号棟"</f>
        <v>１号棟</v>
      </c>
      <c r="K3698" s="7" t="str">
        <f t="shared" si="1300"/>
        <v>鉄筋コンクリート造</v>
      </c>
      <c r="L3698" s="7" t="str">
        <f t="shared" si="1316"/>
        <v>S56.06.01</v>
      </c>
      <c r="M3698" s="7">
        <v>1550.96</v>
      </c>
      <c r="N3698" s="7">
        <v>161242000</v>
      </c>
      <c r="O3698" s="7">
        <v>143231391</v>
      </c>
      <c r="P3698" s="7">
        <v>0</v>
      </c>
      <c r="Q3698" s="7" t="str">
        <f t="shared" si="1312"/>
        <v>都市整備部</v>
      </c>
      <c r="R3698" s="7" t="str">
        <f t="shared" si="1310"/>
        <v>住宅建築局住宅経営室</v>
      </c>
    </row>
    <row r="3699" spans="1:18" s="1" customFormat="1" x14ac:dyDescent="0.45">
      <c r="A3699" s="7" t="str">
        <f t="shared" si="1313"/>
        <v>09940003521</v>
      </c>
      <c r="B3699" s="7" t="str">
        <f t="shared" si="1314"/>
        <v>高石綾井（旧高石）</v>
      </c>
      <c r="C3699" s="7" t="str">
        <f t="shared" si="1311"/>
        <v>行政財産</v>
      </c>
      <c r="D3699" s="7" t="str">
        <f t="shared" si="1317"/>
        <v>公営住宅</v>
      </c>
      <c r="E3699" s="7" t="str">
        <f t="shared" si="1315"/>
        <v>大阪府高石市加茂３丁目</v>
      </c>
      <c r="F3699" s="7"/>
      <c r="G3699" s="7" t="str">
        <f t="shared" si="1306"/>
        <v>事業用資産</v>
      </c>
      <c r="H3699" s="7" t="str">
        <f t="shared" si="1301"/>
        <v>棚卸以外</v>
      </c>
      <c r="I3699" s="7">
        <v>4</v>
      </c>
      <c r="J3699" s="7" t="str">
        <f>"４号棟"</f>
        <v>４号棟</v>
      </c>
      <c r="K3699" s="7" t="str">
        <f t="shared" si="1300"/>
        <v>鉄筋コンクリート造</v>
      </c>
      <c r="L3699" s="7" t="str">
        <f t="shared" si="1316"/>
        <v>S56.06.01</v>
      </c>
      <c r="M3699" s="7">
        <v>1033.97</v>
      </c>
      <c r="N3699" s="7">
        <v>97306000</v>
      </c>
      <c r="O3699" s="7">
        <v>86437029</v>
      </c>
      <c r="P3699" s="7">
        <v>0</v>
      </c>
      <c r="Q3699" s="7" t="str">
        <f t="shared" si="1312"/>
        <v>都市整備部</v>
      </c>
      <c r="R3699" s="7" t="str">
        <f t="shared" si="1310"/>
        <v>住宅建築局住宅経営室</v>
      </c>
    </row>
    <row r="3700" spans="1:18" s="1" customFormat="1" x14ac:dyDescent="0.45">
      <c r="A3700" s="7" t="str">
        <f t="shared" si="1313"/>
        <v>09940003521</v>
      </c>
      <c r="B3700" s="7" t="str">
        <f t="shared" si="1314"/>
        <v>高石綾井（旧高石）</v>
      </c>
      <c r="C3700" s="7" t="str">
        <f t="shared" si="1311"/>
        <v>行政財産</v>
      </c>
      <c r="D3700" s="7" t="str">
        <f t="shared" si="1317"/>
        <v>公営住宅</v>
      </c>
      <c r="E3700" s="7" t="str">
        <f t="shared" si="1315"/>
        <v>大阪府高石市加茂３丁目</v>
      </c>
      <c r="F3700" s="7"/>
      <c r="G3700" s="7" t="str">
        <f t="shared" si="1306"/>
        <v>事業用資産</v>
      </c>
      <c r="H3700" s="7" t="str">
        <f t="shared" si="1301"/>
        <v>棚卸以外</v>
      </c>
      <c r="I3700" s="7">
        <v>5</v>
      </c>
      <c r="J3700" s="7" t="str">
        <f>"集会所"</f>
        <v>集会所</v>
      </c>
      <c r="K3700" s="7" t="str">
        <f t="shared" si="1300"/>
        <v>鉄筋コンクリート造</v>
      </c>
      <c r="L3700" s="7" t="str">
        <f t="shared" si="1316"/>
        <v>S56.06.01</v>
      </c>
      <c r="M3700" s="7">
        <v>100.64</v>
      </c>
      <c r="N3700" s="7">
        <v>15266000</v>
      </c>
      <c r="O3700" s="7">
        <v>13561068</v>
      </c>
      <c r="P3700" s="7">
        <v>0</v>
      </c>
      <c r="Q3700" s="7" t="str">
        <f t="shared" si="1312"/>
        <v>都市整備部</v>
      </c>
      <c r="R3700" s="7" t="str">
        <f t="shared" si="1310"/>
        <v>住宅建築局住宅経営室</v>
      </c>
    </row>
    <row r="3701" spans="1:18" s="1" customFormat="1" x14ac:dyDescent="0.45">
      <c r="A3701" s="7" t="str">
        <f t="shared" si="1313"/>
        <v>09940003521</v>
      </c>
      <c r="B3701" s="7" t="str">
        <f t="shared" si="1314"/>
        <v>高石綾井（旧高石）</v>
      </c>
      <c r="C3701" s="7" t="str">
        <f t="shared" si="1311"/>
        <v>行政財産</v>
      </c>
      <c r="D3701" s="7" t="str">
        <f t="shared" si="1317"/>
        <v>公営住宅</v>
      </c>
      <c r="E3701" s="7" t="str">
        <f t="shared" si="1315"/>
        <v>大阪府高石市加茂３丁目</v>
      </c>
      <c r="F3701" s="7"/>
      <c r="G3701" s="7" t="str">
        <f t="shared" si="1306"/>
        <v>事業用資産</v>
      </c>
      <c r="H3701" s="7" t="str">
        <f t="shared" si="1301"/>
        <v>棚卸以外</v>
      </c>
      <c r="I3701" s="7">
        <v>6</v>
      </c>
      <c r="J3701" s="7" t="str">
        <f>"汚水処理場"</f>
        <v>汚水処理場</v>
      </c>
      <c r="K3701" s="7" t="str">
        <f t="shared" si="1300"/>
        <v>鉄筋コンクリート造</v>
      </c>
      <c r="L3701" s="7" t="str">
        <f t="shared" si="1316"/>
        <v>S56.06.01</v>
      </c>
      <c r="M3701" s="7">
        <v>111.42</v>
      </c>
      <c r="N3701" s="7">
        <v>51031000</v>
      </c>
      <c r="O3701" s="7">
        <v>45330981</v>
      </c>
      <c r="P3701" s="7">
        <v>0</v>
      </c>
      <c r="Q3701" s="7" t="str">
        <f t="shared" si="1312"/>
        <v>都市整備部</v>
      </c>
      <c r="R3701" s="7" t="str">
        <f t="shared" si="1310"/>
        <v>住宅建築局住宅経営室</v>
      </c>
    </row>
    <row r="3702" spans="1:18" s="1" customFormat="1" x14ac:dyDescent="0.45">
      <c r="A3702" s="7" t="str">
        <f t="shared" si="1313"/>
        <v>09940003521</v>
      </c>
      <c r="B3702" s="7" t="str">
        <f t="shared" si="1314"/>
        <v>高石綾井（旧高石）</v>
      </c>
      <c r="C3702" s="7" t="str">
        <f t="shared" si="1311"/>
        <v>行政財産</v>
      </c>
      <c r="D3702" s="7" t="str">
        <f t="shared" si="1317"/>
        <v>公営住宅</v>
      </c>
      <c r="E3702" s="7" t="str">
        <f t="shared" si="1315"/>
        <v>大阪府高石市加茂３丁目</v>
      </c>
      <c r="F3702" s="7"/>
      <c r="G3702" s="7" t="str">
        <f t="shared" si="1306"/>
        <v>事業用資産</v>
      </c>
      <c r="H3702" s="7" t="str">
        <f t="shared" si="1301"/>
        <v>棚卸以外</v>
      </c>
      <c r="I3702" s="7">
        <v>7</v>
      </c>
      <c r="J3702" s="7" t="str">
        <f>"受水槽"</f>
        <v>受水槽</v>
      </c>
      <c r="K3702" s="7" t="str">
        <f t="shared" si="1300"/>
        <v>鉄筋コンクリート造</v>
      </c>
      <c r="L3702" s="7" t="str">
        <f t="shared" si="1316"/>
        <v>S56.06.01</v>
      </c>
      <c r="M3702" s="7">
        <v>31.07</v>
      </c>
      <c r="N3702" s="7">
        <v>11951000</v>
      </c>
      <c r="O3702" s="7">
        <v>10616190</v>
      </c>
      <c r="P3702" s="7">
        <v>0</v>
      </c>
      <c r="Q3702" s="7" t="str">
        <f t="shared" si="1312"/>
        <v>都市整備部</v>
      </c>
      <c r="R3702" s="7" t="str">
        <f t="shared" si="1310"/>
        <v>住宅建築局住宅経営室</v>
      </c>
    </row>
    <row r="3703" spans="1:18" s="1" customFormat="1" x14ac:dyDescent="0.45">
      <c r="A3703" s="7" t="str">
        <f>"09940003526"</f>
        <v>09940003526</v>
      </c>
      <c r="B3703" s="7" t="str">
        <f>"藤井寺小山藤美（旧藤井寺小山）"</f>
        <v>藤井寺小山藤美（旧藤井寺小山）</v>
      </c>
      <c r="C3703" s="7" t="str">
        <f t="shared" si="1311"/>
        <v>行政財産</v>
      </c>
      <c r="D3703" s="7" t="str">
        <f t="shared" si="1317"/>
        <v>公営住宅</v>
      </c>
      <c r="E3703" s="7" t="str">
        <f>"大阪府藤井寺市小山藤美町"</f>
        <v>大阪府藤井寺市小山藤美町</v>
      </c>
      <c r="F3703" s="7"/>
      <c r="G3703" s="7" t="str">
        <f t="shared" si="1306"/>
        <v>事業用資産</v>
      </c>
      <c r="H3703" s="7" t="str">
        <f t="shared" si="1301"/>
        <v>棚卸以外</v>
      </c>
      <c r="I3703" s="7">
        <v>1</v>
      </c>
      <c r="J3703" s="7" t="str">
        <f>"1号棟"</f>
        <v>1号棟</v>
      </c>
      <c r="K3703" s="7" t="str">
        <f t="shared" si="1300"/>
        <v>鉄筋コンクリート造</v>
      </c>
      <c r="L3703" s="7" t="str">
        <f>"H16.02.27"</f>
        <v>H16.02.27</v>
      </c>
      <c r="M3703" s="7">
        <v>8727.5300000000007</v>
      </c>
      <c r="N3703" s="7">
        <v>1078247603</v>
      </c>
      <c r="O3703" s="7">
        <v>440284014</v>
      </c>
      <c r="P3703" s="7">
        <v>0</v>
      </c>
      <c r="Q3703" s="7" t="str">
        <f t="shared" si="1312"/>
        <v>都市整備部</v>
      </c>
      <c r="R3703" s="7" t="str">
        <f t="shared" si="1310"/>
        <v>住宅建築局住宅経営室</v>
      </c>
    </row>
    <row r="3704" spans="1:18" s="1" customFormat="1" x14ac:dyDescent="0.45">
      <c r="A3704" s="7" t="str">
        <f>"09940003526"</f>
        <v>09940003526</v>
      </c>
      <c r="B3704" s="7" t="str">
        <f>"藤井寺小山藤美（旧藤井寺小山）"</f>
        <v>藤井寺小山藤美（旧藤井寺小山）</v>
      </c>
      <c r="C3704" s="7" t="str">
        <f t="shared" si="1311"/>
        <v>行政財産</v>
      </c>
      <c r="D3704" s="7" t="str">
        <f t="shared" si="1317"/>
        <v>公営住宅</v>
      </c>
      <c r="E3704" s="7" t="str">
        <f>"大阪府藤井寺市小山藤美町"</f>
        <v>大阪府藤井寺市小山藤美町</v>
      </c>
      <c r="F3704" s="7"/>
      <c r="G3704" s="7" t="str">
        <f t="shared" si="1306"/>
        <v>事業用資産</v>
      </c>
      <c r="H3704" s="7" t="str">
        <f t="shared" si="1301"/>
        <v>棚卸以外</v>
      </c>
      <c r="I3704" s="7">
        <v>2</v>
      </c>
      <c r="J3704" s="7" t="str">
        <f>"受水槽ポンプ室・電気室"</f>
        <v>受水槽ポンプ室・電気室</v>
      </c>
      <c r="K3704" s="7" t="str">
        <f t="shared" si="1300"/>
        <v>鉄筋コンクリート造</v>
      </c>
      <c r="L3704" s="7" t="str">
        <f>"H16.02.27"</f>
        <v>H16.02.27</v>
      </c>
      <c r="M3704" s="7">
        <v>131.15</v>
      </c>
      <c r="N3704" s="7">
        <v>27643000</v>
      </c>
      <c r="O3704" s="7">
        <v>11223977</v>
      </c>
      <c r="P3704" s="7">
        <v>0</v>
      </c>
      <c r="Q3704" s="7" t="str">
        <f t="shared" si="1312"/>
        <v>都市整備部</v>
      </c>
      <c r="R3704" s="7" t="str">
        <f t="shared" si="1310"/>
        <v>住宅建築局住宅経営室</v>
      </c>
    </row>
    <row r="3705" spans="1:18" s="1" customFormat="1" x14ac:dyDescent="0.45">
      <c r="A3705" s="7" t="str">
        <f>"09940003527"</f>
        <v>09940003527</v>
      </c>
      <c r="B3705" s="7" t="str">
        <f>"桜塚"</f>
        <v>桜塚</v>
      </c>
      <c r="C3705" s="7" t="str">
        <f t="shared" si="1311"/>
        <v>行政財産</v>
      </c>
      <c r="D3705" s="7" t="str">
        <f t="shared" si="1317"/>
        <v>公営住宅</v>
      </c>
      <c r="E3705" s="7" t="str">
        <f>"大阪府豊中市中桜塚５丁目"</f>
        <v>大阪府豊中市中桜塚５丁目</v>
      </c>
      <c r="F3705" s="7"/>
      <c r="G3705" s="7" t="str">
        <f t="shared" si="1306"/>
        <v>事業用資産</v>
      </c>
      <c r="H3705" s="7" t="str">
        <f t="shared" si="1301"/>
        <v>棚卸以外</v>
      </c>
      <c r="I3705" s="7">
        <v>1</v>
      </c>
      <c r="J3705" s="7" t="str">
        <f>"１～３・７～１６号棟"</f>
        <v>１～３・７～１６号棟</v>
      </c>
      <c r="K3705" s="7" t="str">
        <f t="shared" si="1300"/>
        <v>鉄筋コンクリート造</v>
      </c>
      <c r="L3705" s="7" t="str">
        <f>"S46.03.24"</f>
        <v>S46.03.24</v>
      </c>
      <c r="M3705" s="7">
        <v>28320.94</v>
      </c>
      <c r="N3705" s="7">
        <v>901311905</v>
      </c>
      <c r="O3705" s="7">
        <v>692696208</v>
      </c>
      <c r="P3705" s="7">
        <v>0</v>
      </c>
      <c r="Q3705" s="7" t="str">
        <f t="shared" si="1312"/>
        <v>都市整備部</v>
      </c>
      <c r="R3705" s="7" t="str">
        <f t="shared" si="1310"/>
        <v>住宅建築局住宅経営室</v>
      </c>
    </row>
    <row r="3706" spans="1:18" s="1" customFormat="1" x14ac:dyDescent="0.45">
      <c r="A3706" s="7" t="str">
        <f>"09940003527"</f>
        <v>09940003527</v>
      </c>
      <c r="B3706" s="7" t="str">
        <f>"桜塚"</f>
        <v>桜塚</v>
      </c>
      <c r="C3706" s="7" t="str">
        <f t="shared" si="1311"/>
        <v>行政財産</v>
      </c>
      <c r="D3706" s="7" t="str">
        <f t="shared" si="1317"/>
        <v>公営住宅</v>
      </c>
      <c r="E3706" s="7" t="str">
        <f>"大阪府豊中市中桜塚５丁目"</f>
        <v>大阪府豊中市中桜塚５丁目</v>
      </c>
      <c r="F3706" s="7"/>
      <c r="G3706" s="7" t="str">
        <f t="shared" si="1306"/>
        <v>事業用資産</v>
      </c>
      <c r="H3706" s="7" t="str">
        <f t="shared" si="1301"/>
        <v>棚卸以外</v>
      </c>
      <c r="I3706" s="7">
        <v>2</v>
      </c>
      <c r="J3706" s="7" t="str">
        <f>"４・５号棟"</f>
        <v>４・５号棟</v>
      </c>
      <c r="K3706" s="7" t="str">
        <f t="shared" si="1300"/>
        <v>鉄筋コンクリート造</v>
      </c>
      <c r="L3706" s="7" t="str">
        <f>"S47.03.25"</f>
        <v>S47.03.25</v>
      </c>
      <c r="M3706" s="7">
        <v>2170</v>
      </c>
      <c r="N3706" s="7">
        <v>96231915</v>
      </c>
      <c r="O3706" s="7">
        <v>96231914</v>
      </c>
      <c r="P3706" s="7">
        <v>0</v>
      </c>
      <c r="Q3706" s="7" t="str">
        <f t="shared" si="1312"/>
        <v>都市整備部</v>
      </c>
      <c r="R3706" s="7" t="str">
        <f t="shared" si="1310"/>
        <v>住宅建築局住宅経営室</v>
      </c>
    </row>
    <row r="3707" spans="1:18" s="1" customFormat="1" x14ac:dyDescent="0.45">
      <c r="A3707" s="7" t="str">
        <f>"09940003527"</f>
        <v>09940003527</v>
      </c>
      <c r="B3707" s="7" t="str">
        <f>"桜塚"</f>
        <v>桜塚</v>
      </c>
      <c r="C3707" s="7" t="str">
        <f t="shared" si="1311"/>
        <v>行政財産</v>
      </c>
      <c r="D3707" s="7" t="str">
        <f t="shared" si="1317"/>
        <v>公営住宅</v>
      </c>
      <c r="E3707" s="7" t="str">
        <f>"大阪府豊中市中桜塚５丁目"</f>
        <v>大阪府豊中市中桜塚５丁目</v>
      </c>
      <c r="F3707" s="7"/>
      <c r="G3707" s="7" t="str">
        <f t="shared" si="1306"/>
        <v>事業用資産</v>
      </c>
      <c r="H3707" s="7" t="str">
        <f t="shared" si="1301"/>
        <v>棚卸以外</v>
      </c>
      <c r="I3707" s="7">
        <v>3</v>
      </c>
      <c r="J3707" s="7" t="str">
        <f>"集会所"</f>
        <v>集会所</v>
      </c>
      <c r="K3707" s="7" t="str">
        <f t="shared" si="1300"/>
        <v>鉄筋コンクリート造</v>
      </c>
      <c r="L3707" s="7" t="str">
        <f>"S48.05.20"</f>
        <v>S48.05.20</v>
      </c>
      <c r="M3707" s="7">
        <v>180.14</v>
      </c>
      <c r="N3707" s="7">
        <v>27547540</v>
      </c>
      <c r="O3707" s="7">
        <v>11428985</v>
      </c>
      <c r="P3707" s="7">
        <v>0</v>
      </c>
      <c r="Q3707" s="7" t="str">
        <f t="shared" si="1312"/>
        <v>都市整備部</v>
      </c>
      <c r="R3707" s="7" t="str">
        <f t="shared" si="1310"/>
        <v>住宅建築局住宅経営室</v>
      </c>
    </row>
    <row r="3708" spans="1:18" s="1" customFormat="1" x14ac:dyDescent="0.45">
      <c r="A3708" s="7" t="str">
        <f>"09940003527"</f>
        <v>09940003527</v>
      </c>
      <c r="B3708" s="7" t="str">
        <f>"桜塚"</f>
        <v>桜塚</v>
      </c>
      <c r="C3708" s="7" t="str">
        <f t="shared" si="1311"/>
        <v>行政財産</v>
      </c>
      <c r="D3708" s="7" t="str">
        <f t="shared" si="1317"/>
        <v>公営住宅</v>
      </c>
      <c r="E3708" s="7" t="str">
        <f>"大阪府豊中市中桜塚５丁目"</f>
        <v>大阪府豊中市中桜塚５丁目</v>
      </c>
      <c r="F3708" s="7"/>
      <c r="G3708" s="7" t="str">
        <f t="shared" si="1306"/>
        <v>事業用資産</v>
      </c>
      <c r="H3708" s="7" t="str">
        <f t="shared" si="1301"/>
        <v>棚卸以外</v>
      </c>
      <c r="I3708" s="7">
        <v>4</v>
      </c>
      <c r="J3708" s="7" t="str">
        <f>"１７～２３棟"</f>
        <v>１７～２３棟</v>
      </c>
      <c r="K3708" s="7" t="str">
        <f t="shared" si="1300"/>
        <v>鉄筋コンクリート造</v>
      </c>
      <c r="L3708" s="7" t="str">
        <f>"S48.05.01"</f>
        <v>S48.05.01</v>
      </c>
      <c r="M3708" s="7">
        <v>9530.4</v>
      </c>
      <c r="N3708" s="7">
        <v>578311000</v>
      </c>
      <c r="O3708" s="7">
        <v>472421447</v>
      </c>
      <c r="P3708" s="7">
        <v>0</v>
      </c>
      <c r="Q3708" s="7" t="str">
        <f t="shared" si="1312"/>
        <v>都市整備部</v>
      </c>
      <c r="R3708" s="7" t="str">
        <f t="shared" si="1310"/>
        <v>住宅建築局住宅経営室</v>
      </c>
    </row>
    <row r="3709" spans="1:18" s="1" customFormat="1" x14ac:dyDescent="0.45">
      <c r="A3709" s="7" t="str">
        <f t="shared" ref="A3709:A3715" si="1318">"09940003528"</f>
        <v>09940003528</v>
      </c>
      <c r="B3709" s="7" t="str">
        <f t="shared" ref="B3709:B3715" si="1319">"泉大津小松（旧泉大津）"</f>
        <v>泉大津小松（旧泉大津）</v>
      </c>
      <c r="C3709" s="7" t="str">
        <f t="shared" si="1311"/>
        <v>行政財産</v>
      </c>
      <c r="D3709" s="7" t="str">
        <f t="shared" si="1317"/>
        <v>公営住宅</v>
      </c>
      <c r="E3709" s="7" t="str">
        <f t="shared" ref="E3709:E3715" si="1320">"大阪府泉大津市小松町"</f>
        <v>大阪府泉大津市小松町</v>
      </c>
      <c r="F3709" s="7"/>
      <c r="G3709" s="7" t="str">
        <f t="shared" si="1306"/>
        <v>事業用資産</v>
      </c>
      <c r="H3709" s="7" t="str">
        <f t="shared" si="1301"/>
        <v>棚卸以外</v>
      </c>
      <c r="I3709" s="7">
        <v>1</v>
      </c>
      <c r="J3709" s="7" t="str">
        <f>"１号棟"</f>
        <v>１号棟</v>
      </c>
      <c r="K3709" s="7" t="str">
        <f t="shared" si="1300"/>
        <v>鉄筋コンクリート造</v>
      </c>
      <c r="L3709" s="7" t="str">
        <f>"S62.01.28"</f>
        <v>S62.01.28</v>
      </c>
      <c r="M3709" s="7">
        <v>706.65</v>
      </c>
      <c r="N3709" s="7">
        <v>70930000</v>
      </c>
      <c r="O3709" s="7">
        <v>54581142</v>
      </c>
      <c r="P3709" s="7">
        <v>0</v>
      </c>
      <c r="Q3709" s="7" t="str">
        <f t="shared" si="1312"/>
        <v>都市整備部</v>
      </c>
      <c r="R3709" s="7" t="str">
        <f t="shared" si="1310"/>
        <v>住宅建築局住宅経営室</v>
      </c>
    </row>
    <row r="3710" spans="1:18" s="1" customFormat="1" x14ac:dyDescent="0.45">
      <c r="A3710" s="7" t="str">
        <f t="shared" si="1318"/>
        <v>09940003528</v>
      </c>
      <c r="B3710" s="7" t="str">
        <f t="shared" si="1319"/>
        <v>泉大津小松（旧泉大津）</v>
      </c>
      <c r="C3710" s="7" t="str">
        <f t="shared" si="1311"/>
        <v>行政財産</v>
      </c>
      <c r="D3710" s="7" t="str">
        <f t="shared" si="1317"/>
        <v>公営住宅</v>
      </c>
      <c r="E3710" s="7" t="str">
        <f t="shared" si="1320"/>
        <v>大阪府泉大津市小松町</v>
      </c>
      <c r="F3710" s="7"/>
      <c r="G3710" s="7" t="str">
        <f t="shared" si="1306"/>
        <v>事業用資産</v>
      </c>
      <c r="H3710" s="7" t="str">
        <f t="shared" si="1301"/>
        <v>棚卸以外</v>
      </c>
      <c r="I3710" s="7">
        <v>2</v>
      </c>
      <c r="J3710" s="7" t="str">
        <f>"２号棟"</f>
        <v>２号棟</v>
      </c>
      <c r="K3710" s="7" t="str">
        <f t="shared" si="1300"/>
        <v>鉄筋コンクリート造</v>
      </c>
      <c r="L3710" s="7" t="str">
        <f>"S62.01.28"</f>
        <v>S62.01.28</v>
      </c>
      <c r="M3710" s="7">
        <v>2826.15</v>
      </c>
      <c r="N3710" s="7">
        <v>265865000</v>
      </c>
      <c r="O3710" s="7">
        <v>204584128</v>
      </c>
      <c r="P3710" s="7">
        <v>0</v>
      </c>
      <c r="Q3710" s="7" t="str">
        <f t="shared" si="1312"/>
        <v>都市整備部</v>
      </c>
      <c r="R3710" s="7" t="str">
        <f t="shared" si="1310"/>
        <v>住宅建築局住宅経営室</v>
      </c>
    </row>
    <row r="3711" spans="1:18" s="1" customFormat="1" x14ac:dyDescent="0.45">
      <c r="A3711" s="7" t="str">
        <f t="shared" si="1318"/>
        <v>09940003528</v>
      </c>
      <c r="B3711" s="7" t="str">
        <f t="shared" si="1319"/>
        <v>泉大津小松（旧泉大津）</v>
      </c>
      <c r="C3711" s="7" t="str">
        <f t="shared" si="1311"/>
        <v>行政財産</v>
      </c>
      <c r="D3711" s="7" t="str">
        <f t="shared" si="1317"/>
        <v>公営住宅</v>
      </c>
      <c r="E3711" s="7" t="str">
        <f t="shared" si="1320"/>
        <v>大阪府泉大津市小松町</v>
      </c>
      <c r="F3711" s="7"/>
      <c r="G3711" s="7" t="str">
        <f t="shared" si="1306"/>
        <v>事業用資産</v>
      </c>
      <c r="H3711" s="7" t="str">
        <f t="shared" si="1301"/>
        <v>棚卸以外</v>
      </c>
      <c r="I3711" s="7">
        <v>3</v>
      </c>
      <c r="J3711" s="7" t="str">
        <f>"受水槽"</f>
        <v>受水槽</v>
      </c>
      <c r="K3711" s="7" t="str">
        <f t="shared" si="1300"/>
        <v>鉄筋コンクリート造</v>
      </c>
      <c r="L3711" s="7" t="str">
        <f>"S62.01.28"</f>
        <v>S62.01.28</v>
      </c>
      <c r="M3711" s="7">
        <v>26.68</v>
      </c>
      <c r="N3711" s="7">
        <v>8172000</v>
      </c>
      <c r="O3711" s="7">
        <v>6288660</v>
      </c>
      <c r="P3711" s="7">
        <v>0</v>
      </c>
      <c r="Q3711" s="7" t="str">
        <f t="shared" si="1312"/>
        <v>都市整備部</v>
      </c>
      <c r="R3711" s="7" t="str">
        <f t="shared" si="1310"/>
        <v>住宅建築局住宅経営室</v>
      </c>
    </row>
    <row r="3712" spans="1:18" s="1" customFormat="1" x14ac:dyDescent="0.45">
      <c r="A3712" s="7" t="str">
        <f t="shared" si="1318"/>
        <v>09940003528</v>
      </c>
      <c r="B3712" s="7" t="str">
        <f t="shared" si="1319"/>
        <v>泉大津小松（旧泉大津）</v>
      </c>
      <c r="C3712" s="7" t="str">
        <f t="shared" si="1311"/>
        <v>行政財産</v>
      </c>
      <c r="D3712" s="7" t="str">
        <f t="shared" si="1317"/>
        <v>公営住宅</v>
      </c>
      <c r="E3712" s="7" t="str">
        <f t="shared" si="1320"/>
        <v>大阪府泉大津市小松町</v>
      </c>
      <c r="F3712" s="7"/>
      <c r="G3712" s="7" t="str">
        <f t="shared" si="1306"/>
        <v>事業用資産</v>
      </c>
      <c r="H3712" s="7" t="str">
        <f t="shared" si="1301"/>
        <v>棚卸以外</v>
      </c>
      <c r="I3712" s="7">
        <v>4</v>
      </c>
      <c r="J3712" s="7" t="str">
        <f>"集会所"</f>
        <v>集会所</v>
      </c>
      <c r="K3712" s="7" t="str">
        <f t="shared" si="1300"/>
        <v>鉄筋コンクリート造</v>
      </c>
      <c r="L3712" s="7" t="str">
        <f>"S63.08.17"</f>
        <v>S63.08.17</v>
      </c>
      <c r="M3712" s="7">
        <v>99.75</v>
      </c>
      <c r="N3712" s="7">
        <v>14165000</v>
      </c>
      <c r="O3712" s="7">
        <v>10423140</v>
      </c>
      <c r="P3712" s="7">
        <v>0</v>
      </c>
      <c r="Q3712" s="7" t="str">
        <f t="shared" si="1312"/>
        <v>都市整備部</v>
      </c>
      <c r="R3712" s="7" t="str">
        <f t="shared" si="1310"/>
        <v>住宅建築局住宅経営室</v>
      </c>
    </row>
    <row r="3713" spans="1:18" s="1" customFormat="1" x14ac:dyDescent="0.45">
      <c r="A3713" s="7" t="str">
        <f t="shared" si="1318"/>
        <v>09940003528</v>
      </c>
      <c r="B3713" s="7" t="str">
        <f t="shared" si="1319"/>
        <v>泉大津小松（旧泉大津）</v>
      </c>
      <c r="C3713" s="7" t="str">
        <f t="shared" si="1311"/>
        <v>行政財産</v>
      </c>
      <c r="D3713" s="7" t="str">
        <f t="shared" si="1317"/>
        <v>公営住宅</v>
      </c>
      <c r="E3713" s="7" t="str">
        <f t="shared" si="1320"/>
        <v>大阪府泉大津市小松町</v>
      </c>
      <c r="F3713" s="7"/>
      <c r="G3713" s="7" t="str">
        <f t="shared" si="1306"/>
        <v>事業用資産</v>
      </c>
      <c r="H3713" s="7" t="str">
        <f t="shared" si="1301"/>
        <v>棚卸以外</v>
      </c>
      <c r="I3713" s="7">
        <v>5</v>
      </c>
      <c r="J3713" s="7" t="str">
        <f>"３号棟"</f>
        <v>３号棟</v>
      </c>
      <c r="K3713" s="7" t="str">
        <f t="shared" si="1300"/>
        <v>鉄筋コンクリート造</v>
      </c>
      <c r="L3713" s="7" t="str">
        <f>"S63.12.08"</f>
        <v>S63.12.08</v>
      </c>
      <c r="M3713" s="7">
        <v>1099.08</v>
      </c>
      <c r="N3713" s="7">
        <v>129504000</v>
      </c>
      <c r="O3713" s="7">
        <v>94372998</v>
      </c>
      <c r="P3713" s="7">
        <v>0</v>
      </c>
      <c r="Q3713" s="7" t="str">
        <f t="shared" si="1312"/>
        <v>都市整備部</v>
      </c>
      <c r="R3713" s="7" t="str">
        <f t="shared" si="1310"/>
        <v>住宅建築局住宅経営室</v>
      </c>
    </row>
    <row r="3714" spans="1:18" s="1" customFormat="1" x14ac:dyDescent="0.45">
      <c r="A3714" s="7" t="str">
        <f t="shared" si="1318"/>
        <v>09940003528</v>
      </c>
      <c r="B3714" s="7" t="str">
        <f t="shared" si="1319"/>
        <v>泉大津小松（旧泉大津）</v>
      </c>
      <c r="C3714" s="7" t="str">
        <f t="shared" si="1311"/>
        <v>行政財産</v>
      </c>
      <c r="D3714" s="7" t="str">
        <f t="shared" si="1317"/>
        <v>公営住宅</v>
      </c>
      <c r="E3714" s="7" t="str">
        <f t="shared" si="1320"/>
        <v>大阪府泉大津市小松町</v>
      </c>
      <c r="F3714" s="7"/>
      <c r="G3714" s="7" t="str">
        <f t="shared" si="1306"/>
        <v>事業用資産</v>
      </c>
      <c r="H3714" s="7" t="str">
        <f t="shared" si="1301"/>
        <v>棚卸以外</v>
      </c>
      <c r="I3714" s="7">
        <v>6</v>
      </c>
      <c r="J3714" s="7" t="str">
        <f>"４号棟"</f>
        <v>４号棟</v>
      </c>
      <c r="K3714" s="7" t="str">
        <f t="shared" ref="K3714:K3777" si="1321">"鉄筋コンクリート造"</f>
        <v>鉄筋コンクリート造</v>
      </c>
      <c r="L3714" s="7" t="str">
        <f>"S63.12.08"</f>
        <v>S63.12.08</v>
      </c>
      <c r="M3714" s="7">
        <v>1107.3</v>
      </c>
      <c r="N3714" s="7">
        <v>116910000</v>
      </c>
      <c r="O3714" s="7">
        <v>85195368</v>
      </c>
      <c r="P3714" s="7">
        <v>0</v>
      </c>
      <c r="Q3714" s="7" t="str">
        <f t="shared" si="1312"/>
        <v>都市整備部</v>
      </c>
      <c r="R3714" s="7" t="str">
        <f t="shared" si="1310"/>
        <v>住宅建築局住宅経営室</v>
      </c>
    </row>
    <row r="3715" spans="1:18" s="1" customFormat="1" x14ac:dyDescent="0.45">
      <c r="A3715" s="7" t="str">
        <f t="shared" si="1318"/>
        <v>09940003528</v>
      </c>
      <c r="B3715" s="7" t="str">
        <f t="shared" si="1319"/>
        <v>泉大津小松（旧泉大津）</v>
      </c>
      <c r="C3715" s="7" t="str">
        <f t="shared" si="1311"/>
        <v>行政財産</v>
      </c>
      <c r="D3715" s="7" t="str">
        <f t="shared" si="1317"/>
        <v>公営住宅</v>
      </c>
      <c r="E3715" s="7" t="str">
        <f t="shared" si="1320"/>
        <v>大阪府泉大津市小松町</v>
      </c>
      <c r="F3715" s="7"/>
      <c r="G3715" s="7" t="str">
        <f t="shared" si="1306"/>
        <v>事業用資産</v>
      </c>
      <c r="H3715" s="7" t="str">
        <f t="shared" si="1301"/>
        <v>棚卸以外</v>
      </c>
      <c r="I3715" s="7">
        <v>7</v>
      </c>
      <c r="J3715" s="7" t="str">
        <f>"受水槽"</f>
        <v>受水槽</v>
      </c>
      <c r="K3715" s="7" t="str">
        <f t="shared" si="1321"/>
        <v>鉄筋コンクリート造</v>
      </c>
      <c r="L3715" s="7" t="str">
        <f>"S63.12.08"</f>
        <v>S63.12.08</v>
      </c>
      <c r="M3715" s="7">
        <v>15.3</v>
      </c>
      <c r="N3715" s="7">
        <v>3199000</v>
      </c>
      <c r="O3715" s="7">
        <v>2331192</v>
      </c>
      <c r="P3715" s="7">
        <v>0</v>
      </c>
      <c r="Q3715" s="7" t="str">
        <f t="shared" si="1312"/>
        <v>都市整備部</v>
      </c>
      <c r="R3715" s="7" t="str">
        <f t="shared" si="1310"/>
        <v>住宅建築局住宅経営室</v>
      </c>
    </row>
    <row r="3716" spans="1:18" s="1" customFormat="1" x14ac:dyDescent="0.45">
      <c r="A3716" s="7" t="str">
        <f>"09940003529"</f>
        <v>09940003529</v>
      </c>
      <c r="B3716" s="7" t="str">
        <f>"泉大津助松"</f>
        <v>泉大津助松</v>
      </c>
      <c r="C3716" s="7" t="str">
        <f t="shared" si="1311"/>
        <v>行政財産</v>
      </c>
      <c r="D3716" s="7" t="str">
        <f t="shared" si="1317"/>
        <v>公営住宅</v>
      </c>
      <c r="E3716" s="7" t="str">
        <f>"大阪府泉大津市助松町３丁目"</f>
        <v>大阪府泉大津市助松町３丁目</v>
      </c>
      <c r="F3716" s="7"/>
      <c r="G3716" s="7" t="str">
        <f t="shared" si="1306"/>
        <v>事業用資産</v>
      </c>
      <c r="H3716" s="7" t="str">
        <f t="shared" ref="H3716:H3779" si="1322">"棚卸以外"</f>
        <v>棚卸以外</v>
      </c>
      <c r="I3716" s="7">
        <v>1</v>
      </c>
      <c r="J3716" s="7" t="str">
        <f>"１号棟"</f>
        <v>１号棟</v>
      </c>
      <c r="K3716" s="7" t="str">
        <f t="shared" si="1321"/>
        <v>鉄筋コンクリート造</v>
      </c>
      <c r="L3716" s="7" t="str">
        <f>"H07.02.24"</f>
        <v>H07.02.24</v>
      </c>
      <c r="M3716" s="7">
        <v>891.82</v>
      </c>
      <c r="N3716" s="7">
        <v>253445000</v>
      </c>
      <c r="O3716" s="7">
        <v>151438027</v>
      </c>
      <c r="P3716" s="7">
        <v>0</v>
      </c>
      <c r="Q3716" s="7" t="str">
        <f t="shared" si="1312"/>
        <v>都市整備部</v>
      </c>
      <c r="R3716" s="7" t="str">
        <f t="shared" si="1310"/>
        <v>住宅建築局住宅経営室</v>
      </c>
    </row>
    <row r="3717" spans="1:18" s="1" customFormat="1" x14ac:dyDescent="0.45">
      <c r="A3717" s="7" t="str">
        <f>"09940003529"</f>
        <v>09940003529</v>
      </c>
      <c r="B3717" s="7" t="str">
        <f>"泉大津助松"</f>
        <v>泉大津助松</v>
      </c>
      <c r="C3717" s="7" t="str">
        <f t="shared" si="1311"/>
        <v>行政財産</v>
      </c>
      <c r="D3717" s="7" t="str">
        <f t="shared" si="1317"/>
        <v>公営住宅</v>
      </c>
      <c r="E3717" s="7" t="str">
        <f>"大阪府泉大津市助松町３丁目"</f>
        <v>大阪府泉大津市助松町３丁目</v>
      </c>
      <c r="F3717" s="7"/>
      <c r="G3717" s="7" t="str">
        <f t="shared" si="1306"/>
        <v>事業用資産</v>
      </c>
      <c r="H3717" s="7" t="str">
        <f t="shared" si="1322"/>
        <v>棚卸以外</v>
      </c>
      <c r="I3717" s="7">
        <v>2</v>
      </c>
      <c r="J3717" s="7" t="str">
        <f>"２号棟"</f>
        <v>２号棟</v>
      </c>
      <c r="K3717" s="7" t="str">
        <f t="shared" si="1321"/>
        <v>鉄筋コンクリート造</v>
      </c>
      <c r="L3717" s="7" t="str">
        <f>"H07.02.24"</f>
        <v>H07.02.24</v>
      </c>
      <c r="M3717" s="7">
        <v>1422.49</v>
      </c>
      <c r="N3717" s="7">
        <v>164439000</v>
      </c>
      <c r="O3717" s="7">
        <v>98255383</v>
      </c>
      <c r="P3717" s="7">
        <v>0</v>
      </c>
      <c r="Q3717" s="7" t="str">
        <f t="shared" si="1312"/>
        <v>都市整備部</v>
      </c>
      <c r="R3717" s="7" t="str">
        <f t="shared" si="1310"/>
        <v>住宅建築局住宅経営室</v>
      </c>
    </row>
    <row r="3718" spans="1:18" s="1" customFormat="1" x14ac:dyDescent="0.45">
      <c r="A3718" s="7" t="str">
        <f>"09940003529"</f>
        <v>09940003529</v>
      </c>
      <c r="B3718" s="7" t="str">
        <f>"泉大津助松"</f>
        <v>泉大津助松</v>
      </c>
      <c r="C3718" s="7" t="str">
        <f t="shared" si="1311"/>
        <v>行政財産</v>
      </c>
      <c r="D3718" s="7" t="str">
        <f t="shared" si="1317"/>
        <v>公営住宅</v>
      </c>
      <c r="E3718" s="7" t="str">
        <f>"大阪府泉大津市助松町３丁目"</f>
        <v>大阪府泉大津市助松町３丁目</v>
      </c>
      <c r="F3718" s="7"/>
      <c r="G3718" s="7" t="str">
        <f t="shared" si="1306"/>
        <v>事業用資産</v>
      </c>
      <c r="H3718" s="7" t="str">
        <f t="shared" si="1322"/>
        <v>棚卸以外</v>
      </c>
      <c r="I3718" s="7">
        <v>3</v>
      </c>
      <c r="J3718" s="7" t="str">
        <f>"集会所"</f>
        <v>集会所</v>
      </c>
      <c r="K3718" s="7" t="str">
        <f t="shared" si="1321"/>
        <v>鉄筋コンクリート造</v>
      </c>
      <c r="L3718" s="7" t="str">
        <f>"H07.02.24"</f>
        <v>H07.02.24</v>
      </c>
      <c r="M3718" s="7">
        <v>105.48</v>
      </c>
      <c r="N3718" s="7">
        <v>20739000</v>
      </c>
      <c r="O3718" s="7">
        <v>12392164</v>
      </c>
      <c r="P3718" s="7">
        <v>0</v>
      </c>
      <c r="Q3718" s="7" t="str">
        <f t="shared" si="1312"/>
        <v>都市整備部</v>
      </c>
      <c r="R3718" s="7" t="str">
        <f t="shared" si="1310"/>
        <v>住宅建築局住宅経営室</v>
      </c>
    </row>
    <row r="3719" spans="1:18" s="1" customFormat="1" x14ac:dyDescent="0.45">
      <c r="A3719" s="7" t="str">
        <f>"09940003529"</f>
        <v>09940003529</v>
      </c>
      <c r="B3719" s="7" t="str">
        <f>"泉大津助松"</f>
        <v>泉大津助松</v>
      </c>
      <c r="C3719" s="7" t="str">
        <f t="shared" si="1311"/>
        <v>行政財産</v>
      </c>
      <c r="D3719" s="7" t="str">
        <f t="shared" si="1317"/>
        <v>公営住宅</v>
      </c>
      <c r="E3719" s="7" t="str">
        <f>"大阪府泉大津市助松町３丁目"</f>
        <v>大阪府泉大津市助松町３丁目</v>
      </c>
      <c r="F3719" s="7"/>
      <c r="G3719" s="7" t="str">
        <f t="shared" si="1306"/>
        <v>事業用資産</v>
      </c>
      <c r="H3719" s="7" t="str">
        <f t="shared" si="1322"/>
        <v>棚卸以外</v>
      </c>
      <c r="I3719" s="7">
        <v>4</v>
      </c>
      <c r="J3719" s="7" t="str">
        <f>"受水槽"</f>
        <v>受水槽</v>
      </c>
      <c r="K3719" s="7" t="str">
        <f t="shared" si="1321"/>
        <v>鉄筋コンクリート造</v>
      </c>
      <c r="L3719" s="7" t="str">
        <f>"H07.02.24"</f>
        <v>H07.02.24</v>
      </c>
      <c r="M3719" s="7">
        <v>38.92</v>
      </c>
      <c r="N3719" s="7">
        <v>20253000</v>
      </c>
      <c r="O3719" s="7">
        <v>12101670</v>
      </c>
      <c r="P3719" s="7">
        <v>0</v>
      </c>
      <c r="Q3719" s="7" t="str">
        <f t="shared" si="1312"/>
        <v>都市整備部</v>
      </c>
      <c r="R3719" s="7" t="str">
        <f t="shared" si="1310"/>
        <v>住宅建築局住宅経営室</v>
      </c>
    </row>
    <row r="3720" spans="1:18" s="1" customFormat="1" x14ac:dyDescent="0.45">
      <c r="A3720" s="7" t="str">
        <f t="shared" ref="A3720:A3725" si="1323">"09940003530"</f>
        <v>09940003530</v>
      </c>
      <c r="B3720" s="7" t="str">
        <f t="shared" ref="B3720:B3725" si="1324">"摂津鳥飼西"</f>
        <v>摂津鳥飼西</v>
      </c>
      <c r="C3720" s="7" t="str">
        <f t="shared" si="1311"/>
        <v>行政財産</v>
      </c>
      <c r="D3720" s="7" t="str">
        <f t="shared" si="1317"/>
        <v>公営住宅</v>
      </c>
      <c r="E3720" s="7" t="str">
        <f t="shared" ref="E3720:E3725" si="1325">"大阪府摂津市鳥飼西２丁目"</f>
        <v>大阪府摂津市鳥飼西２丁目</v>
      </c>
      <c r="F3720" s="7"/>
      <c r="G3720" s="7" t="str">
        <f t="shared" si="1306"/>
        <v>事業用資産</v>
      </c>
      <c r="H3720" s="7" t="str">
        <f t="shared" si="1322"/>
        <v>棚卸以外</v>
      </c>
      <c r="I3720" s="7">
        <v>1</v>
      </c>
      <c r="J3720" s="7" t="str">
        <f>"１号棟"</f>
        <v>１号棟</v>
      </c>
      <c r="K3720" s="7" t="str">
        <f t="shared" si="1321"/>
        <v>鉄筋コンクリート造</v>
      </c>
      <c r="L3720" s="7" t="str">
        <f t="shared" ref="L3720:L3725" si="1326">"H08.09.30"</f>
        <v>H08.09.30</v>
      </c>
      <c r="M3720" s="7">
        <v>2321.17</v>
      </c>
      <c r="N3720" s="7">
        <v>378208000</v>
      </c>
      <c r="O3720" s="7">
        <v>213245076</v>
      </c>
      <c r="P3720" s="7">
        <v>0</v>
      </c>
      <c r="Q3720" s="7" t="str">
        <f t="shared" si="1312"/>
        <v>都市整備部</v>
      </c>
      <c r="R3720" s="7" t="str">
        <f t="shared" si="1310"/>
        <v>住宅建築局住宅経営室</v>
      </c>
    </row>
    <row r="3721" spans="1:18" s="1" customFormat="1" x14ac:dyDescent="0.45">
      <c r="A3721" s="7" t="str">
        <f t="shared" si="1323"/>
        <v>09940003530</v>
      </c>
      <c r="B3721" s="7" t="str">
        <f t="shared" si="1324"/>
        <v>摂津鳥飼西</v>
      </c>
      <c r="C3721" s="7" t="str">
        <f t="shared" si="1311"/>
        <v>行政財産</v>
      </c>
      <c r="D3721" s="7" t="str">
        <f t="shared" si="1317"/>
        <v>公営住宅</v>
      </c>
      <c r="E3721" s="7" t="str">
        <f t="shared" si="1325"/>
        <v>大阪府摂津市鳥飼西２丁目</v>
      </c>
      <c r="F3721" s="7"/>
      <c r="G3721" s="7" t="str">
        <f t="shared" si="1306"/>
        <v>事業用資産</v>
      </c>
      <c r="H3721" s="7" t="str">
        <f t="shared" si="1322"/>
        <v>棚卸以外</v>
      </c>
      <c r="I3721" s="7">
        <v>2</v>
      </c>
      <c r="J3721" s="7" t="str">
        <f>"２号棟"</f>
        <v>２号棟</v>
      </c>
      <c r="K3721" s="7" t="str">
        <f t="shared" si="1321"/>
        <v>鉄筋コンクリート造</v>
      </c>
      <c r="L3721" s="7" t="str">
        <f t="shared" si="1326"/>
        <v>H08.09.30</v>
      </c>
      <c r="M3721" s="7">
        <v>1896.85</v>
      </c>
      <c r="N3721" s="7">
        <v>452395000</v>
      </c>
      <c r="O3721" s="7">
        <v>255032400</v>
      </c>
      <c r="P3721" s="7">
        <v>0</v>
      </c>
      <c r="Q3721" s="7" t="str">
        <f t="shared" si="1312"/>
        <v>都市整備部</v>
      </c>
      <c r="R3721" s="7" t="str">
        <f t="shared" si="1310"/>
        <v>住宅建築局住宅経営室</v>
      </c>
    </row>
    <row r="3722" spans="1:18" s="1" customFormat="1" x14ac:dyDescent="0.45">
      <c r="A3722" s="7" t="str">
        <f t="shared" si="1323"/>
        <v>09940003530</v>
      </c>
      <c r="B3722" s="7" t="str">
        <f t="shared" si="1324"/>
        <v>摂津鳥飼西</v>
      </c>
      <c r="C3722" s="7" t="str">
        <f t="shared" si="1311"/>
        <v>行政財産</v>
      </c>
      <c r="D3722" s="7" t="str">
        <f t="shared" si="1317"/>
        <v>公営住宅</v>
      </c>
      <c r="E3722" s="7" t="str">
        <f t="shared" si="1325"/>
        <v>大阪府摂津市鳥飼西２丁目</v>
      </c>
      <c r="F3722" s="7"/>
      <c r="G3722" s="7" t="str">
        <f t="shared" si="1306"/>
        <v>事業用資産</v>
      </c>
      <c r="H3722" s="7" t="str">
        <f t="shared" si="1322"/>
        <v>棚卸以外</v>
      </c>
      <c r="I3722" s="7">
        <v>3</v>
      </c>
      <c r="J3722" s="7" t="str">
        <f>"３号棟"</f>
        <v>３号棟</v>
      </c>
      <c r="K3722" s="7" t="str">
        <f t="shared" si="1321"/>
        <v>鉄筋コンクリート造</v>
      </c>
      <c r="L3722" s="7" t="str">
        <f t="shared" si="1326"/>
        <v>H08.09.30</v>
      </c>
      <c r="M3722" s="7">
        <v>1993.94</v>
      </c>
      <c r="N3722" s="7">
        <v>375640000</v>
      </c>
      <c r="O3722" s="7">
        <v>211755780</v>
      </c>
      <c r="P3722" s="7">
        <v>0</v>
      </c>
      <c r="Q3722" s="7" t="str">
        <f t="shared" si="1312"/>
        <v>都市整備部</v>
      </c>
      <c r="R3722" s="7" t="str">
        <f t="shared" si="1310"/>
        <v>住宅建築局住宅経営室</v>
      </c>
    </row>
    <row r="3723" spans="1:18" s="1" customFormat="1" x14ac:dyDescent="0.45">
      <c r="A3723" s="7" t="str">
        <f t="shared" si="1323"/>
        <v>09940003530</v>
      </c>
      <c r="B3723" s="7" t="str">
        <f t="shared" si="1324"/>
        <v>摂津鳥飼西</v>
      </c>
      <c r="C3723" s="7" t="str">
        <f t="shared" si="1311"/>
        <v>行政財産</v>
      </c>
      <c r="D3723" s="7" t="str">
        <f t="shared" si="1317"/>
        <v>公営住宅</v>
      </c>
      <c r="E3723" s="7" t="str">
        <f t="shared" si="1325"/>
        <v>大阪府摂津市鳥飼西２丁目</v>
      </c>
      <c r="F3723" s="7"/>
      <c r="G3723" s="7" t="str">
        <f t="shared" si="1306"/>
        <v>事業用資産</v>
      </c>
      <c r="H3723" s="7" t="str">
        <f t="shared" si="1322"/>
        <v>棚卸以外</v>
      </c>
      <c r="I3723" s="7">
        <v>4</v>
      </c>
      <c r="J3723" s="7" t="str">
        <f>"４号棟"</f>
        <v>４号棟</v>
      </c>
      <c r="K3723" s="7" t="str">
        <f t="shared" si="1321"/>
        <v>鉄筋コンクリート造</v>
      </c>
      <c r="L3723" s="7" t="str">
        <f t="shared" si="1326"/>
        <v>H08.09.30</v>
      </c>
      <c r="M3723" s="7">
        <v>1471.08</v>
      </c>
      <c r="N3723" s="7">
        <v>312728000</v>
      </c>
      <c r="O3723" s="7">
        <v>176325594</v>
      </c>
      <c r="P3723" s="7">
        <v>0</v>
      </c>
      <c r="Q3723" s="7" t="str">
        <f t="shared" si="1312"/>
        <v>都市整備部</v>
      </c>
      <c r="R3723" s="7" t="str">
        <f t="shared" si="1310"/>
        <v>住宅建築局住宅経営室</v>
      </c>
    </row>
    <row r="3724" spans="1:18" s="1" customFormat="1" x14ac:dyDescent="0.45">
      <c r="A3724" s="7" t="str">
        <f t="shared" si="1323"/>
        <v>09940003530</v>
      </c>
      <c r="B3724" s="7" t="str">
        <f t="shared" si="1324"/>
        <v>摂津鳥飼西</v>
      </c>
      <c r="C3724" s="7" t="str">
        <f t="shared" si="1311"/>
        <v>行政財産</v>
      </c>
      <c r="D3724" s="7" t="str">
        <f t="shared" si="1317"/>
        <v>公営住宅</v>
      </c>
      <c r="E3724" s="7" t="str">
        <f t="shared" si="1325"/>
        <v>大阪府摂津市鳥飼西２丁目</v>
      </c>
      <c r="F3724" s="7"/>
      <c r="G3724" s="7" t="str">
        <f t="shared" si="1306"/>
        <v>事業用資産</v>
      </c>
      <c r="H3724" s="7" t="str">
        <f t="shared" si="1322"/>
        <v>棚卸以外</v>
      </c>
      <c r="I3724" s="7">
        <v>5</v>
      </c>
      <c r="J3724" s="7" t="str">
        <f>"電気室"</f>
        <v>電気室</v>
      </c>
      <c r="K3724" s="7" t="str">
        <f t="shared" si="1321"/>
        <v>鉄筋コンクリート造</v>
      </c>
      <c r="L3724" s="7" t="str">
        <f t="shared" si="1326"/>
        <v>H08.09.30</v>
      </c>
      <c r="M3724" s="7">
        <v>34.85</v>
      </c>
      <c r="N3724" s="7">
        <v>7365000</v>
      </c>
      <c r="O3724" s="7">
        <v>4152762</v>
      </c>
      <c r="P3724" s="7">
        <v>0</v>
      </c>
      <c r="Q3724" s="7" t="str">
        <f t="shared" si="1312"/>
        <v>都市整備部</v>
      </c>
      <c r="R3724" s="7" t="str">
        <f t="shared" si="1310"/>
        <v>住宅建築局住宅経営室</v>
      </c>
    </row>
    <row r="3725" spans="1:18" s="1" customFormat="1" x14ac:dyDescent="0.45">
      <c r="A3725" s="7" t="str">
        <f t="shared" si="1323"/>
        <v>09940003530</v>
      </c>
      <c r="B3725" s="7" t="str">
        <f t="shared" si="1324"/>
        <v>摂津鳥飼西</v>
      </c>
      <c r="C3725" s="7" t="str">
        <f t="shared" si="1311"/>
        <v>行政財産</v>
      </c>
      <c r="D3725" s="7" t="str">
        <f t="shared" si="1317"/>
        <v>公営住宅</v>
      </c>
      <c r="E3725" s="7" t="str">
        <f t="shared" si="1325"/>
        <v>大阪府摂津市鳥飼西２丁目</v>
      </c>
      <c r="F3725" s="7"/>
      <c r="G3725" s="7" t="str">
        <f t="shared" si="1306"/>
        <v>事業用資産</v>
      </c>
      <c r="H3725" s="7" t="str">
        <f t="shared" si="1322"/>
        <v>棚卸以外</v>
      </c>
      <c r="I3725" s="7">
        <v>6</v>
      </c>
      <c r="J3725" s="7" t="str">
        <f>"集会所"</f>
        <v>集会所</v>
      </c>
      <c r="K3725" s="7" t="str">
        <f t="shared" si="1321"/>
        <v>鉄筋コンクリート造</v>
      </c>
      <c r="L3725" s="7" t="str">
        <f t="shared" si="1326"/>
        <v>H08.09.30</v>
      </c>
      <c r="M3725" s="7">
        <v>69.86</v>
      </c>
      <c r="N3725" s="7">
        <v>21280000</v>
      </c>
      <c r="O3725" s="7">
        <v>11998458</v>
      </c>
      <c r="P3725" s="7">
        <v>0</v>
      </c>
      <c r="Q3725" s="7" t="str">
        <f t="shared" si="1312"/>
        <v>都市整備部</v>
      </c>
      <c r="R3725" s="7" t="str">
        <f t="shared" si="1310"/>
        <v>住宅建築局住宅経営室</v>
      </c>
    </row>
    <row r="3726" spans="1:18" s="1" customFormat="1" x14ac:dyDescent="0.45">
      <c r="A3726" s="7" t="str">
        <f t="shared" ref="A3726:A3732" si="1327">"09940003531"</f>
        <v>09940003531</v>
      </c>
      <c r="B3726" s="7" t="str">
        <f t="shared" ref="B3726:B3732" si="1328">"豊中上津島"</f>
        <v>豊中上津島</v>
      </c>
      <c r="C3726" s="7" t="str">
        <f t="shared" si="1311"/>
        <v>行政財産</v>
      </c>
      <c r="D3726" s="7" t="str">
        <f t="shared" si="1317"/>
        <v>公営住宅</v>
      </c>
      <c r="E3726" s="7" t="str">
        <f t="shared" ref="E3726:E3732" si="1329">"大阪府豊中市上津島１丁目"</f>
        <v>大阪府豊中市上津島１丁目</v>
      </c>
      <c r="F3726" s="7"/>
      <c r="G3726" s="7" t="str">
        <f t="shared" si="1306"/>
        <v>事業用資産</v>
      </c>
      <c r="H3726" s="7" t="str">
        <f t="shared" si="1322"/>
        <v>棚卸以外</v>
      </c>
      <c r="I3726" s="7">
        <v>1</v>
      </c>
      <c r="J3726" s="7" t="str">
        <f>"１号棟"</f>
        <v>１号棟</v>
      </c>
      <c r="K3726" s="7" t="str">
        <f t="shared" si="1321"/>
        <v>鉄筋コンクリート造</v>
      </c>
      <c r="L3726" s="7" t="str">
        <f>"S54.08.27"</f>
        <v>S54.08.27</v>
      </c>
      <c r="M3726" s="7">
        <v>1953</v>
      </c>
      <c r="N3726" s="7">
        <v>173048000</v>
      </c>
      <c r="O3726" s="7">
        <v>142059049</v>
      </c>
      <c r="P3726" s="7">
        <v>0</v>
      </c>
      <c r="Q3726" s="7" t="str">
        <f t="shared" si="1312"/>
        <v>都市整備部</v>
      </c>
      <c r="R3726" s="7" t="str">
        <f t="shared" si="1310"/>
        <v>住宅建築局住宅経営室</v>
      </c>
    </row>
    <row r="3727" spans="1:18" s="1" customFormat="1" x14ac:dyDescent="0.45">
      <c r="A3727" s="7" t="str">
        <f t="shared" si="1327"/>
        <v>09940003531</v>
      </c>
      <c r="B3727" s="7" t="str">
        <f t="shared" si="1328"/>
        <v>豊中上津島</v>
      </c>
      <c r="C3727" s="7" t="str">
        <f t="shared" si="1311"/>
        <v>行政財産</v>
      </c>
      <c r="D3727" s="7" t="str">
        <f t="shared" si="1317"/>
        <v>公営住宅</v>
      </c>
      <c r="E3727" s="7" t="str">
        <f t="shared" si="1329"/>
        <v>大阪府豊中市上津島１丁目</v>
      </c>
      <c r="F3727" s="7"/>
      <c r="G3727" s="7" t="str">
        <f t="shared" si="1306"/>
        <v>事業用資産</v>
      </c>
      <c r="H3727" s="7" t="str">
        <f t="shared" si="1322"/>
        <v>棚卸以外</v>
      </c>
      <c r="I3727" s="7">
        <v>2</v>
      </c>
      <c r="J3727" s="7" t="str">
        <f>"２号棟"</f>
        <v>２号棟</v>
      </c>
      <c r="K3727" s="7" t="str">
        <f t="shared" si="1321"/>
        <v>鉄筋コンクリート造</v>
      </c>
      <c r="L3727" s="7" t="str">
        <f>"S54.08.27"</f>
        <v>S54.08.27</v>
      </c>
      <c r="M3727" s="7">
        <v>1302</v>
      </c>
      <c r="N3727" s="7">
        <v>133986000</v>
      </c>
      <c r="O3727" s="7">
        <v>109992132</v>
      </c>
      <c r="P3727" s="7">
        <v>0</v>
      </c>
      <c r="Q3727" s="7" t="str">
        <f t="shared" si="1312"/>
        <v>都市整備部</v>
      </c>
      <c r="R3727" s="7" t="str">
        <f t="shared" si="1310"/>
        <v>住宅建築局住宅経営室</v>
      </c>
    </row>
    <row r="3728" spans="1:18" s="1" customFormat="1" x14ac:dyDescent="0.45">
      <c r="A3728" s="7" t="str">
        <f t="shared" si="1327"/>
        <v>09940003531</v>
      </c>
      <c r="B3728" s="7" t="str">
        <f t="shared" si="1328"/>
        <v>豊中上津島</v>
      </c>
      <c r="C3728" s="7" t="str">
        <f t="shared" si="1311"/>
        <v>行政財産</v>
      </c>
      <c r="D3728" s="7" t="str">
        <f t="shared" si="1317"/>
        <v>公営住宅</v>
      </c>
      <c r="E3728" s="7" t="str">
        <f t="shared" si="1329"/>
        <v>大阪府豊中市上津島１丁目</v>
      </c>
      <c r="F3728" s="7"/>
      <c r="G3728" s="7" t="str">
        <f t="shared" si="1306"/>
        <v>事業用資産</v>
      </c>
      <c r="H3728" s="7" t="str">
        <f t="shared" si="1322"/>
        <v>棚卸以外</v>
      </c>
      <c r="I3728" s="7">
        <v>3</v>
      </c>
      <c r="J3728" s="7" t="str">
        <f>"３号棟"</f>
        <v>３号棟</v>
      </c>
      <c r="K3728" s="7" t="str">
        <f t="shared" si="1321"/>
        <v>鉄筋コンクリート造</v>
      </c>
      <c r="L3728" s="7" t="str">
        <f>"S54.08.27"</f>
        <v>S54.08.27</v>
      </c>
      <c r="M3728" s="7">
        <v>1302</v>
      </c>
      <c r="N3728" s="7">
        <v>133986000</v>
      </c>
      <c r="O3728" s="7">
        <v>109992132</v>
      </c>
      <c r="P3728" s="7">
        <v>0</v>
      </c>
      <c r="Q3728" s="7" t="str">
        <f t="shared" si="1312"/>
        <v>都市整備部</v>
      </c>
      <c r="R3728" s="7" t="str">
        <f t="shared" si="1310"/>
        <v>住宅建築局住宅経営室</v>
      </c>
    </row>
    <row r="3729" spans="1:18" s="1" customFormat="1" x14ac:dyDescent="0.45">
      <c r="A3729" s="7" t="str">
        <f t="shared" si="1327"/>
        <v>09940003531</v>
      </c>
      <c r="B3729" s="7" t="str">
        <f t="shared" si="1328"/>
        <v>豊中上津島</v>
      </c>
      <c r="C3729" s="7" t="str">
        <f t="shared" si="1311"/>
        <v>行政財産</v>
      </c>
      <c r="D3729" s="7" t="str">
        <f t="shared" si="1317"/>
        <v>公営住宅</v>
      </c>
      <c r="E3729" s="7" t="str">
        <f t="shared" si="1329"/>
        <v>大阪府豊中市上津島１丁目</v>
      </c>
      <c r="F3729" s="7"/>
      <c r="G3729" s="7" t="str">
        <f t="shared" si="1306"/>
        <v>事業用資産</v>
      </c>
      <c r="H3729" s="7" t="str">
        <f t="shared" si="1322"/>
        <v>棚卸以外</v>
      </c>
      <c r="I3729" s="7">
        <v>4</v>
      </c>
      <c r="J3729" s="7" t="str">
        <f>"受水槽"</f>
        <v>受水槽</v>
      </c>
      <c r="K3729" s="7" t="str">
        <f t="shared" si="1321"/>
        <v>鉄筋コンクリート造</v>
      </c>
      <c r="L3729" s="7" t="str">
        <f>"S54.08.27"</f>
        <v>S54.08.27</v>
      </c>
      <c r="M3729" s="7">
        <v>78</v>
      </c>
      <c r="N3729" s="7">
        <v>16683000</v>
      </c>
      <c r="O3729" s="7">
        <v>13695540</v>
      </c>
      <c r="P3729" s="7">
        <v>0</v>
      </c>
      <c r="Q3729" s="7" t="str">
        <f t="shared" si="1312"/>
        <v>都市整備部</v>
      </c>
      <c r="R3729" s="7" t="str">
        <f t="shared" si="1310"/>
        <v>住宅建築局住宅経営室</v>
      </c>
    </row>
    <row r="3730" spans="1:18" s="1" customFormat="1" x14ac:dyDescent="0.45">
      <c r="A3730" s="7" t="str">
        <f t="shared" si="1327"/>
        <v>09940003531</v>
      </c>
      <c r="B3730" s="7" t="str">
        <f t="shared" si="1328"/>
        <v>豊中上津島</v>
      </c>
      <c r="C3730" s="7" t="str">
        <f t="shared" si="1311"/>
        <v>行政財産</v>
      </c>
      <c r="D3730" s="7" t="str">
        <f t="shared" si="1317"/>
        <v>公営住宅</v>
      </c>
      <c r="E3730" s="7" t="str">
        <f t="shared" si="1329"/>
        <v>大阪府豊中市上津島１丁目</v>
      </c>
      <c r="F3730" s="7"/>
      <c r="G3730" s="7" t="str">
        <f t="shared" si="1306"/>
        <v>事業用資産</v>
      </c>
      <c r="H3730" s="7" t="str">
        <f t="shared" si="1322"/>
        <v>棚卸以外</v>
      </c>
      <c r="I3730" s="7">
        <v>5</v>
      </c>
      <c r="J3730" s="7" t="str">
        <f>"４号棟"</f>
        <v>４号棟</v>
      </c>
      <c r="K3730" s="7" t="str">
        <f t="shared" si="1321"/>
        <v>鉄筋コンクリート造</v>
      </c>
      <c r="L3730" s="7" t="str">
        <f>"S62.02.10"</f>
        <v>S62.02.10</v>
      </c>
      <c r="M3730" s="7">
        <v>1891.67</v>
      </c>
      <c r="N3730" s="7">
        <v>197845924</v>
      </c>
      <c r="O3730" s="7">
        <v>151487215</v>
      </c>
      <c r="P3730" s="7">
        <v>0</v>
      </c>
      <c r="Q3730" s="7" t="str">
        <f t="shared" si="1312"/>
        <v>都市整備部</v>
      </c>
      <c r="R3730" s="7" t="str">
        <f t="shared" si="1310"/>
        <v>住宅建築局住宅経営室</v>
      </c>
    </row>
    <row r="3731" spans="1:18" s="1" customFormat="1" x14ac:dyDescent="0.45">
      <c r="A3731" s="7" t="str">
        <f t="shared" si="1327"/>
        <v>09940003531</v>
      </c>
      <c r="B3731" s="7" t="str">
        <f t="shared" si="1328"/>
        <v>豊中上津島</v>
      </c>
      <c r="C3731" s="7" t="str">
        <f t="shared" si="1311"/>
        <v>行政財産</v>
      </c>
      <c r="D3731" s="7" t="str">
        <f t="shared" si="1317"/>
        <v>公営住宅</v>
      </c>
      <c r="E3731" s="7" t="str">
        <f t="shared" si="1329"/>
        <v>大阪府豊中市上津島１丁目</v>
      </c>
      <c r="F3731" s="7"/>
      <c r="G3731" s="7" t="str">
        <f t="shared" si="1306"/>
        <v>事業用資産</v>
      </c>
      <c r="H3731" s="7" t="str">
        <f t="shared" si="1322"/>
        <v>棚卸以外</v>
      </c>
      <c r="I3731" s="7">
        <v>6</v>
      </c>
      <c r="J3731" s="7" t="str">
        <f>"５号棟"</f>
        <v>５号棟</v>
      </c>
      <c r="K3731" s="7" t="str">
        <f t="shared" si="1321"/>
        <v>鉄筋コンクリート造</v>
      </c>
      <c r="L3731" s="7" t="str">
        <f>"S62.02.10"</f>
        <v>S62.02.10</v>
      </c>
      <c r="M3731" s="7">
        <v>1887.68</v>
      </c>
      <c r="N3731" s="7">
        <v>193212000</v>
      </c>
      <c r="O3731" s="7">
        <v>148334975</v>
      </c>
      <c r="P3731" s="7">
        <v>0</v>
      </c>
      <c r="Q3731" s="7" t="str">
        <f t="shared" si="1312"/>
        <v>都市整備部</v>
      </c>
      <c r="R3731" s="7" t="str">
        <f t="shared" si="1310"/>
        <v>住宅建築局住宅経営室</v>
      </c>
    </row>
    <row r="3732" spans="1:18" s="1" customFormat="1" x14ac:dyDescent="0.45">
      <c r="A3732" s="7" t="str">
        <f t="shared" si="1327"/>
        <v>09940003531</v>
      </c>
      <c r="B3732" s="7" t="str">
        <f t="shared" si="1328"/>
        <v>豊中上津島</v>
      </c>
      <c r="C3732" s="7" t="str">
        <f t="shared" si="1311"/>
        <v>行政財産</v>
      </c>
      <c r="D3732" s="7" t="str">
        <f t="shared" si="1317"/>
        <v>公営住宅</v>
      </c>
      <c r="E3732" s="7" t="str">
        <f t="shared" si="1329"/>
        <v>大阪府豊中市上津島１丁目</v>
      </c>
      <c r="F3732" s="7"/>
      <c r="G3732" s="7" t="str">
        <f t="shared" si="1306"/>
        <v>事業用資産</v>
      </c>
      <c r="H3732" s="7" t="str">
        <f t="shared" si="1322"/>
        <v>棚卸以外</v>
      </c>
      <c r="I3732" s="7">
        <v>7</v>
      </c>
      <c r="J3732" s="7" t="str">
        <f>"集会所"</f>
        <v>集会所</v>
      </c>
      <c r="K3732" s="7" t="str">
        <f t="shared" si="1321"/>
        <v>鉄筋コンクリート造</v>
      </c>
      <c r="L3732" s="7" t="str">
        <f>"S62.02.10"</f>
        <v>S62.02.10</v>
      </c>
      <c r="M3732" s="7">
        <v>71.8</v>
      </c>
      <c r="N3732" s="7">
        <v>17425000</v>
      </c>
      <c r="O3732" s="7">
        <v>13377968</v>
      </c>
      <c r="P3732" s="7">
        <v>0</v>
      </c>
      <c r="Q3732" s="7" t="str">
        <f t="shared" si="1312"/>
        <v>都市整備部</v>
      </c>
      <c r="R3732" s="7" t="str">
        <f t="shared" si="1310"/>
        <v>住宅建築局住宅経営室</v>
      </c>
    </row>
    <row r="3733" spans="1:18" s="1" customFormat="1" x14ac:dyDescent="0.45">
      <c r="A3733" s="7" t="str">
        <f t="shared" ref="A3733:A3751" si="1330">"09940003532"</f>
        <v>09940003532</v>
      </c>
      <c r="B3733" s="7" t="str">
        <f t="shared" ref="B3733:B3751" si="1331">"豊中春日"</f>
        <v>豊中春日</v>
      </c>
      <c r="C3733" s="7" t="str">
        <f t="shared" si="1311"/>
        <v>行政財産</v>
      </c>
      <c r="D3733" s="7" t="str">
        <f t="shared" si="1317"/>
        <v>公営住宅</v>
      </c>
      <c r="E3733" s="7" t="str">
        <f t="shared" ref="E3733:E3751" si="1332">"大阪府豊中市春日町４丁目"</f>
        <v>大阪府豊中市春日町４丁目</v>
      </c>
      <c r="F3733" s="7"/>
      <c r="G3733" s="7" t="str">
        <f t="shared" si="1306"/>
        <v>事業用資産</v>
      </c>
      <c r="H3733" s="7" t="str">
        <f t="shared" si="1322"/>
        <v>棚卸以外</v>
      </c>
      <c r="I3733" s="7">
        <v>1</v>
      </c>
      <c r="J3733" s="7" t="str">
        <f>"８号棟"</f>
        <v>８号棟</v>
      </c>
      <c r="K3733" s="7" t="str">
        <f t="shared" si="1321"/>
        <v>鉄筋コンクリート造</v>
      </c>
      <c r="L3733" s="7" t="str">
        <f>"S58.11.28"</f>
        <v>S58.11.28</v>
      </c>
      <c r="M3733" s="7">
        <v>2151.56</v>
      </c>
      <c r="N3733" s="7">
        <v>249100041</v>
      </c>
      <c r="O3733" s="7">
        <v>206965048</v>
      </c>
      <c r="P3733" s="7">
        <v>0</v>
      </c>
      <c r="Q3733" s="7" t="str">
        <f t="shared" si="1312"/>
        <v>都市整備部</v>
      </c>
      <c r="R3733" s="7" t="str">
        <f t="shared" si="1310"/>
        <v>住宅建築局住宅経営室</v>
      </c>
    </row>
    <row r="3734" spans="1:18" s="1" customFormat="1" x14ac:dyDescent="0.45">
      <c r="A3734" s="7" t="str">
        <f t="shared" si="1330"/>
        <v>09940003532</v>
      </c>
      <c r="B3734" s="7" t="str">
        <f t="shared" si="1331"/>
        <v>豊中春日</v>
      </c>
      <c r="C3734" s="7" t="str">
        <f t="shared" si="1311"/>
        <v>行政財産</v>
      </c>
      <c r="D3734" s="7" t="str">
        <f t="shared" si="1317"/>
        <v>公営住宅</v>
      </c>
      <c r="E3734" s="7" t="str">
        <f t="shared" si="1332"/>
        <v>大阪府豊中市春日町４丁目</v>
      </c>
      <c r="F3734" s="7"/>
      <c r="G3734" s="7" t="str">
        <f t="shared" si="1306"/>
        <v>事業用資産</v>
      </c>
      <c r="H3734" s="7" t="str">
        <f t="shared" si="1322"/>
        <v>棚卸以外</v>
      </c>
      <c r="I3734" s="7">
        <v>2</v>
      </c>
      <c r="J3734" s="7" t="str">
        <f>"７号棟"</f>
        <v>７号棟</v>
      </c>
      <c r="K3734" s="7" t="str">
        <f t="shared" si="1321"/>
        <v>鉄筋コンクリート造</v>
      </c>
      <c r="L3734" s="7" t="str">
        <f>"S58.11.28"</f>
        <v>S58.11.28</v>
      </c>
      <c r="M3734" s="7">
        <v>1403.85</v>
      </c>
      <c r="N3734" s="7">
        <v>147159000</v>
      </c>
      <c r="O3734" s="7">
        <v>123154712</v>
      </c>
      <c r="P3734" s="7">
        <v>0</v>
      </c>
      <c r="Q3734" s="7" t="str">
        <f t="shared" si="1312"/>
        <v>都市整備部</v>
      </c>
      <c r="R3734" s="7" t="str">
        <f t="shared" si="1310"/>
        <v>住宅建築局住宅経営室</v>
      </c>
    </row>
    <row r="3735" spans="1:18" s="1" customFormat="1" x14ac:dyDescent="0.45">
      <c r="A3735" s="7" t="str">
        <f t="shared" si="1330"/>
        <v>09940003532</v>
      </c>
      <c r="B3735" s="7" t="str">
        <f t="shared" si="1331"/>
        <v>豊中春日</v>
      </c>
      <c r="C3735" s="7" t="str">
        <f t="shared" si="1311"/>
        <v>行政財産</v>
      </c>
      <c r="D3735" s="7" t="str">
        <f t="shared" si="1317"/>
        <v>公営住宅</v>
      </c>
      <c r="E3735" s="7" t="str">
        <f t="shared" si="1332"/>
        <v>大阪府豊中市春日町４丁目</v>
      </c>
      <c r="F3735" s="7"/>
      <c r="G3735" s="7" t="str">
        <f t="shared" ref="G3735:G3798" si="1333">"事業用資産"</f>
        <v>事業用資産</v>
      </c>
      <c r="H3735" s="7" t="str">
        <f t="shared" si="1322"/>
        <v>棚卸以外</v>
      </c>
      <c r="I3735" s="7">
        <v>3</v>
      </c>
      <c r="J3735" s="7" t="str">
        <f>"受水槽"</f>
        <v>受水槽</v>
      </c>
      <c r="K3735" s="7" t="str">
        <f t="shared" si="1321"/>
        <v>鉄筋コンクリート造</v>
      </c>
      <c r="L3735" s="7" t="str">
        <f>"S58.11.28"</f>
        <v>S58.11.28</v>
      </c>
      <c r="M3735" s="7">
        <v>80</v>
      </c>
      <c r="N3735" s="7">
        <v>20127000</v>
      </c>
      <c r="O3735" s="7">
        <v>16844264</v>
      </c>
      <c r="P3735" s="7">
        <v>0</v>
      </c>
      <c r="Q3735" s="7" t="str">
        <f t="shared" si="1312"/>
        <v>都市整備部</v>
      </c>
      <c r="R3735" s="7" t="str">
        <f t="shared" si="1310"/>
        <v>住宅建築局住宅経営室</v>
      </c>
    </row>
    <row r="3736" spans="1:18" s="1" customFormat="1" x14ac:dyDescent="0.45">
      <c r="A3736" s="7" t="str">
        <f t="shared" si="1330"/>
        <v>09940003532</v>
      </c>
      <c r="B3736" s="7" t="str">
        <f t="shared" si="1331"/>
        <v>豊中春日</v>
      </c>
      <c r="C3736" s="7" t="str">
        <f t="shared" si="1311"/>
        <v>行政財産</v>
      </c>
      <c r="D3736" s="7" t="str">
        <f t="shared" si="1317"/>
        <v>公営住宅</v>
      </c>
      <c r="E3736" s="7" t="str">
        <f t="shared" si="1332"/>
        <v>大阪府豊中市春日町４丁目</v>
      </c>
      <c r="F3736" s="7"/>
      <c r="G3736" s="7" t="str">
        <f t="shared" si="1333"/>
        <v>事業用資産</v>
      </c>
      <c r="H3736" s="7" t="str">
        <f t="shared" si="1322"/>
        <v>棚卸以外</v>
      </c>
      <c r="I3736" s="7">
        <v>4</v>
      </c>
      <c r="J3736" s="7" t="str">
        <f>"６号棟"</f>
        <v>６号棟</v>
      </c>
      <c r="K3736" s="7" t="str">
        <f t="shared" si="1321"/>
        <v>鉄筋コンクリート造</v>
      </c>
      <c r="L3736" s="7" t="str">
        <f>"S59.01.30"</f>
        <v>S59.01.30</v>
      </c>
      <c r="M3736" s="7">
        <v>1466.32</v>
      </c>
      <c r="N3736" s="7">
        <v>158111000</v>
      </c>
      <c r="O3736" s="7">
        <v>131759330</v>
      </c>
      <c r="P3736" s="7">
        <v>0</v>
      </c>
      <c r="Q3736" s="7" t="str">
        <f t="shared" si="1312"/>
        <v>都市整備部</v>
      </c>
      <c r="R3736" s="7" t="str">
        <f t="shared" ref="R3736:R3799" si="1334">"住宅建築局住宅経営室"</f>
        <v>住宅建築局住宅経営室</v>
      </c>
    </row>
    <row r="3737" spans="1:18" s="1" customFormat="1" x14ac:dyDescent="0.45">
      <c r="A3737" s="7" t="str">
        <f t="shared" si="1330"/>
        <v>09940003532</v>
      </c>
      <c r="B3737" s="7" t="str">
        <f t="shared" si="1331"/>
        <v>豊中春日</v>
      </c>
      <c r="C3737" s="7" t="str">
        <f t="shared" si="1311"/>
        <v>行政財産</v>
      </c>
      <c r="D3737" s="7" t="str">
        <f t="shared" si="1317"/>
        <v>公営住宅</v>
      </c>
      <c r="E3737" s="7" t="str">
        <f t="shared" si="1332"/>
        <v>大阪府豊中市春日町４丁目</v>
      </c>
      <c r="F3737" s="7"/>
      <c r="G3737" s="7" t="str">
        <f t="shared" si="1333"/>
        <v>事業用資産</v>
      </c>
      <c r="H3737" s="7" t="str">
        <f t="shared" si="1322"/>
        <v>棚卸以外</v>
      </c>
      <c r="I3737" s="7">
        <v>5</v>
      </c>
      <c r="J3737" s="7" t="str">
        <f>"５号棟"</f>
        <v>５号棟</v>
      </c>
      <c r="K3737" s="7" t="str">
        <f t="shared" si="1321"/>
        <v>鉄筋コンクリート造</v>
      </c>
      <c r="L3737" s="7" t="str">
        <f>"S59.01.30"</f>
        <v>S59.01.30</v>
      </c>
      <c r="M3737" s="7">
        <v>1403.85</v>
      </c>
      <c r="N3737" s="7">
        <v>163086000</v>
      </c>
      <c r="O3737" s="7">
        <v>135905200</v>
      </c>
      <c r="P3737" s="7">
        <v>0</v>
      </c>
      <c r="Q3737" s="7" t="str">
        <f t="shared" si="1312"/>
        <v>都市整備部</v>
      </c>
      <c r="R3737" s="7" t="str">
        <f t="shared" si="1334"/>
        <v>住宅建築局住宅経営室</v>
      </c>
    </row>
    <row r="3738" spans="1:18" s="1" customFormat="1" x14ac:dyDescent="0.45">
      <c r="A3738" s="7" t="str">
        <f t="shared" si="1330"/>
        <v>09940003532</v>
      </c>
      <c r="B3738" s="7" t="str">
        <f t="shared" si="1331"/>
        <v>豊中春日</v>
      </c>
      <c r="C3738" s="7" t="str">
        <f t="shared" ref="C3738:C3801" si="1335">"行政財産"</f>
        <v>行政財産</v>
      </c>
      <c r="D3738" s="7" t="str">
        <f t="shared" si="1317"/>
        <v>公営住宅</v>
      </c>
      <c r="E3738" s="7" t="str">
        <f t="shared" si="1332"/>
        <v>大阪府豊中市春日町４丁目</v>
      </c>
      <c r="F3738" s="7"/>
      <c r="G3738" s="7" t="str">
        <f t="shared" si="1333"/>
        <v>事業用資産</v>
      </c>
      <c r="H3738" s="7" t="str">
        <f t="shared" si="1322"/>
        <v>棚卸以外</v>
      </c>
      <c r="I3738" s="7">
        <v>6</v>
      </c>
      <c r="J3738" s="7" t="str">
        <f>"１号棟"</f>
        <v>１号棟</v>
      </c>
      <c r="K3738" s="7" t="str">
        <f t="shared" si="1321"/>
        <v>鉄筋コンクリート造</v>
      </c>
      <c r="L3738" s="7" t="str">
        <f>"S60.08.30"</f>
        <v>S60.08.30</v>
      </c>
      <c r="M3738" s="7">
        <v>1425.73</v>
      </c>
      <c r="N3738" s="7">
        <v>164935707</v>
      </c>
      <c r="O3738" s="7">
        <v>131455286</v>
      </c>
      <c r="P3738" s="7">
        <v>0</v>
      </c>
      <c r="Q3738" s="7" t="str">
        <f t="shared" si="1312"/>
        <v>都市整備部</v>
      </c>
      <c r="R3738" s="7" t="str">
        <f t="shared" si="1334"/>
        <v>住宅建築局住宅経営室</v>
      </c>
    </row>
    <row r="3739" spans="1:18" s="1" customFormat="1" x14ac:dyDescent="0.45">
      <c r="A3739" s="7" t="str">
        <f t="shared" si="1330"/>
        <v>09940003532</v>
      </c>
      <c r="B3739" s="7" t="str">
        <f t="shared" si="1331"/>
        <v>豊中春日</v>
      </c>
      <c r="C3739" s="7" t="str">
        <f t="shared" si="1335"/>
        <v>行政財産</v>
      </c>
      <c r="D3739" s="7" t="str">
        <f t="shared" si="1317"/>
        <v>公営住宅</v>
      </c>
      <c r="E3739" s="7" t="str">
        <f t="shared" si="1332"/>
        <v>大阪府豊中市春日町４丁目</v>
      </c>
      <c r="F3739" s="7"/>
      <c r="G3739" s="7" t="str">
        <f t="shared" si="1333"/>
        <v>事業用資産</v>
      </c>
      <c r="H3739" s="7" t="str">
        <f t="shared" si="1322"/>
        <v>棚卸以外</v>
      </c>
      <c r="I3739" s="7">
        <v>7</v>
      </c>
      <c r="J3739" s="7" t="str">
        <f>"２号棟"</f>
        <v>２号棟</v>
      </c>
      <c r="K3739" s="7" t="str">
        <f t="shared" si="1321"/>
        <v>鉄筋コンクリート造</v>
      </c>
      <c r="L3739" s="7" t="str">
        <f>"S60.08.30"</f>
        <v>S60.08.30</v>
      </c>
      <c r="M3739" s="7">
        <v>1451.56</v>
      </c>
      <c r="N3739" s="7">
        <v>180685979</v>
      </c>
      <c r="O3739" s="7">
        <v>144007577</v>
      </c>
      <c r="P3739" s="7">
        <v>0</v>
      </c>
      <c r="Q3739" s="7" t="str">
        <f t="shared" ref="Q3739:Q3802" si="1336">"都市整備部"</f>
        <v>都市整備部</v>
      </c>
      <c r="R3739" s="7" t="str">
        <f t="shared" si="1334"/>
        <v>住宅建築局住宅経営室</v>
      </c>
    </row>
    <row r="3740" spans="1:18" s="1" customFormat="1" x14ac:dyDescent="0.45">
      <c r="A3740" s="7" t="str">
        <f t="shared" si="1330"/>
        <v>09940003532</v>
      </c>
      <c r="B3740" s="7" t="str">
        <f t="shared" si="1331"/>
        <v>豊中春日</v>
      </c>
      <c r="C3740" s="7" t="str">
        <f t="shared" si="1335"/>
        <v>行政財産</v>
      </c>
      <c r="D3740" s="7" t="str">
        <f t="shared" si="1317"/>
        <v>公営住宅</v>
      </c>
      <c r="E3740" s="7" t="str">
        <f t="shared" si="1332"/>
        <v>大阪府豊中市春日町４丁目</v>
      </c>
      <c r="F3740" s="7"/>
      <c r="G3740" s="7" t="str">
        <f t="shared" si="1333"/>
        <v>事業用資産</v>
      </c>
      <c r="H3740" s="7" t="str">
        <f t="shared" si="1322"/>
        <v>棚卸以外</v>
      </c>
      <c r="I3740" s="7">
        <v>8</v>
      </c>
      <c r="J3740" s="7" t="str">
        <f>"３号棟"</f>
        <v>３号棟</v>
      </c>
      <c r="K3740" s="7" t="str">
        <f t="shared" si="1321"/>
        <v>鉄筋コンクリート造</v>
      </c>
      <c r="L3740" s="7" t="str">
        <f>"S60.08.30"</f>
        <v>S60.08.30</v>
      </c>
      <c r="M3740" s="7">
        <v>1504.34</v>
      </c>
      <c r="N3740" s="7">
        <v>155462878</v>
      </c>
      <c r="O3740" s="7">
        <v>123877072</v>
      </c>
      <c r="P3740" s="7">
        <v>0</v>
      </c>
      <c r="Q3740" s="7" t="str">
        <f t="shared" si="1336"/>
        <v>都市整備部</v>
      </c>
      <c r="R3740" s="7" t="str">
        <f t="shared" si="1334"/>
        <v>住宅建築局住宅経営室</v>
      </c>
    </row>
    <row r="3741" spans="1:18" s="1" customFormat="1" x14ac:dyDescent="0.45">
      <c r="A3741" s="7" t="str">
        <f t="shared" si="1330"/>
        <v>09940003532</v>
      </c>
      <c r="B3741" s="7" t="str">
        <f t="shared" si="1331"/>
        <v>豊中春日</v>
      </c>
      <c r="C3741" s="7" t="str">
        <f t="shared" si="1335"/>
        <v>行政財産</v>
      </c>
      <c r="D3741" s="7" t="str">
        <f t="shared" si="1317"/>
        <v>公営住宅</v>
      </c>
      <c r="E3741" s="7" t="str">
        <f t="shared" si="1332"/>
        <v>大阪府豊中市春日町４丁目</v>
      </c>
      <c r="F3741" s="7"/>
      <c r="G3741" s="7" t="str">
        <f t="shared" si="1333"/>
        <v>事業用資産</v>
      </c>
      <c r="H3741" s="7" t="str">
        <f t="shared" si="1322"/>
        <v>棚卸以外</v>
      </c>
      <c r="I3741" s="7">
        <v>9</v>
      </c>
      <c r="J3741" s="7" t="str">
        <f>"１１号棟"</f>
        <v>１１号棟</v>
      </c>
      <c r="K3741" s="7" t="str">
        <f t="shared" si="1321"/>
        <v>鉄筋コンクリート造</v>
      </c>
      <c r="L3741" s="7" t="str">
        <f>"S60.08.30"</f>
        <v>S60.08.30</v>
      </c>
      <c r="M3741" s="7">
        <v>1411.05</v>
      </c>
      <c r="N3741" s="7">
        <v>150370000</v>
      </c>
      <c r="O3741" s="7">
        <v>120242914</v>
      </c>
      <c r="P3741" s="7">
        <v>0</v>
      </c>
      <c r="Q3741" s="7" t="str">
        <f t="shared" si="1336"/>
        <v>都市整備部</v>
      </c>
      <c r="R3741" s="7" t="str">
        <f t="shared" si="1334"/>
        <v>住宅建築局住宅経営室</v>
      </c>
    </row>
    <row r="3742" spans="1:18" s="1" customFormat="1" x14ac:dyDescent="0.45">
      <c r="A3742" s="7" t="str">
        <f t="shared" si="1330"/>
        <v>09940003532</v>
      </c>
      <c r="B3742" s="7" t="str">
        <f t="shared" si="1331"/>
        <v>豊中春日</v>
      </c>
      <c r="C3742" s="7" t="str">
        <f t="shared" si="1335"/>
        <v>行政財産</v>
      </c>
      <c r="D3742" s="7" t="str">
        <f t="shared" si="1317"/>
        <v>公営住宅</v>
      </c>
      <c r="E3742" s="7" t="str">
        <f t="shared" si="1332"/>
        <v>大阪府豊中市春日町４丁目</v>
      </c>
      <c r="F3742" s="7"/>
      <c r="G3742" s="7" t="str">
        <f t="shared" si="1333"/>
        <v>事業用資産</v>
      </c>
      <c r="H3742" s="7" t="str">
        <f t="shared" si="1322"/>
        <v>棚卸以外</v>
      </c>
      <c r="I3742" s="7">
        <v>10</v>
      </c>
      <c r="J3742" s="7" t="str">
        <f>"１２号棟"</f>
        <v>１２号棟</v>
      </c>
      <c r="K3742" s="7" t="str">
        <f t="shared" si="1321"/>
        <v>鉄筋コンクリート造</v>
      </c>
      <c r="L3742" s="7" t="str">
        <f>"S60.08.30"</f>
        <v>S60.08.30</v>
      </c>
      <c r="M3742" s="7">
        <v>2107.8000000000002</v>
      </c>
      <c r="N3742" s="7">
        <v>214192000</v>
      </c>
      <c r="O3742" s="7">
        <v>171278074</v>
      </c>
      <c r="P3742" s="7">
        <v>0</v>
      </c>
      <c r="Q3742" s="7" t="str">
        <f t="shared" si="1336"/>
        <v>都市整備部</v>
      </c>
      <c r="R3742" s="7" t="str">
        <f t="shared" si="1334"/>
        <v>住宅建築局住宅経営室</v>
      </c>
    </row>
    <row r="3743" spans="1:18" s="1" customFormat="1" x14ac:dyDescent="0.45">
      <c r="A3743" s="7" t="str">
        <f t="shared" si="1330"/>
        <v>09940003532</v>
      </c>
      <c r="B3743" s="7" t="str">
        <f t="shared" si="1331"/>
        <v>豊中春日</v>
      </c>
      <c r="C3743" s="7" t="str">
        <f t="shared" si="1335"/>
        <v>行政財産</v>
      </c>
      <c r="D3743" s="7" t="str">
        <f t="shared" si="1317"/>
        <v>公営住宅</v>
      </c>
      <c r="E3743" s="7" t="str">
        <f t="shared" si="1332"/>
        <v>大阪府豊中市春日町４丁目</v>
      </c>
      <c r="F3743" s="7"/>
      <c r="G3743" s="7" t="str">
        <f t="shared" si="1333"/>
        <v>事業用資産</v>
      </c>
      <c r="H3743" s="7" t="str">
        <f t="shared" si="1322"/>
        <v>棚卸以外</v>
      </c>
      <c r="I3743" s="7">
        <v>11</v>
      </c>
      <c r="J3743" s="7" t="str">
        <f>"４号棟"</f>
        <v>４号棟</v>
      </c>
      <c r="K3743" s="7" t="str">
        <f t="shared" si="1321"/>
        <v>鉄筋コンクリート造</v>
      </c>
      <c r="L3743" s="7" t="str">
        <f>"S62.07.13"</f>
        <v>S62.07.13</v>
      </c>
      <c r="M3743" s="7">
        <v>1202.24</v>
      </c>
      <c r="N3743" s="7">
        <v>132718939</v>
      </c>
      <c r="O3743" s="7">
        <v>100508096</v>
      </c>
      <c r="P3743" s="7">
        <v>0</v>
      </c>
      <c r="Q3743" s="7" t="str">
        <f t="shared" si="1336"/>
        <v>都市整備部</v>
      </c>
      <c r="R3743" s="7" t="str">
        <f t="shared" si="1334"/>
        <v>住宅建築局住宅経営室</v>
      </c>
    </row>
    <row r="3744" spans="1:18" s="1" customFormat="1" x14ac:dyDescent="0.45">
      <c r="A3744" s="7" t="str">
        <f t="shared" si="1330"/>
        <v>09940003532</v>
      </c>
      <c r="B3744" s="7" t="str">
        <f t="shared" si="1331"/>
        <v>豊中春日</v>
      </c>
      <c r="C3744" s="7" t="str">
        <f t="shared" si="1335"/>
        <v>行政財産</v>
      </c>
      <c r="D3744" s="7" t="str">
        <f t="shared" si="1317"/>
        <v>公営住宅</v>
      </c>
      <c r="E3744" s="7" t="str">
        <f t="shared" si="1332"/>
        <v>大阪府豊中市春日町４丁目</v>
      </c>
      <c r="F3744" s="7"/>
      <c r="G3744" s="7" t="str">
        <f t="shared" si="1333"/>
        <v>事業用資産</v>
      </c>
      <c r="H3744" s="7" t="str">
        <f t="shared" si="1322"/>
        <v>棚卸以外</v>
      </c>
      <c r="I3744" s="7">
        <v>12</v>
      </c>
      <c r="J3744" s="7" t="str">
        <f>"９号棟"</f>
        <v>９号棟</v>
      </c>
      <c r="K3744" s="7" t="str">
        <f t="shared" si="1321"/>
        <v>鉄筋コンクリート造</v>
      </c>
      <c r="L3744" s="7" t="str">
        <f>"S62.07.13"</f>
        <v>S62.07.13</v>
      </c>
      <c r="M3744" s="7">
        <v>1342.5</v>
      </c>
      <c r="N3744" s="7">
        <v>125328000</v>
      </c>
      <c r="O3744" s="7">
        <v>95107164</v>
      </c>
      <c r="P3744" s="7">
        <v>0</v>
      </c>
      <c r="Q3744" s="7" t="str">
        <f t="shared" si="1336"/>
        <v>都市整備部</v>
      </c>
      <c r="R3744" s="7" t="str">
        <f t="shared" si="1334"/>
        <v>住宅建築局住宅経営室</v>
      </c>
    </row>
    <row r="3745" spans="1:18" s="1" customFormat="1" x14ac:dyDescent="0.45">
      <c r="A3745" s="7" t="str">
        <f t="shared" si="1330"/>
        <v>09940003532</v>
      </c>
      <c r="B3745" s="7" t="str">
        <f t="shared" si="1331"/>
        <v>豊中春日</v>
      </c>
      <c r="C3745" s="7" t="str">
        <f t="shared" si="1335"/>
        <v>行政財産</v>
      </c>
      <c r="D3745" s="7" t="str">
        <f t="shared" si="1317"/>
        <v>公営住宅</v>
      </c>
      <c r="E3745" s="7" t="str">
        <f t="shared" si="1332"/>
        <v>大阪府豊中市春日町４丁目</v>
      </c>
      <c r="F3745" s="7"/>
      <c r="G3745" s="7" t="str">
        <f t="shared" si="1333"/>
        <v>事業用資産</v>
      </c>
      <c r="H3745" s="7" t="str">
        <f t="shared" si="1322"/>
        <v>棚卸以外</v>
      </c>
      <c r="I3745" s="7">
        <v>13</v>
      </c>
      <c r="J3745" s="7" t="str">
        <f>"１０号棟"</f>
        <v>１０号棟</v>
      </c>
      <c r="K3745" s="7" t="str">
        <f t="shared" si="1321"/>
        <v>鉄筋コンクリート造</v>
      </c>
      <c r="L3745" s="7" t="str">
        <f>"S62.07.13"</f>
        <v>S62.07.13</v>
      </c>
      <c r="M3745" s="7">
        <v>1983.77</v>
      </c>
      <c r="N3745" s="7">
        <v>189545000</v>
      </c>
      <c r="O3745" s="7">
        <v>143839244</v>
      </c>
      <c r="P3745" s="7">
        <v>0</v>
      </c>
      <c r="Q3745" s="7" t="str">
        <f t="shared" si="1336"/>
        <v>都市整備部</v>
      </c>
      <c r="R3745" s="7" t="str">
        <f t="shared" si="1334"/>
        <v>住宅建築局住宅経営室</v>
      </c>
    </row>
    <row r="3746" spans="1:18" s="1" customFormat="1" x14ac:dyDescent="0.45">
      <c r="A3746" s="7" t="str">
        <f t="shared" si="1330"/>
        <v>09940003532</v>
      </c>
      <c r="B3746" s="7" t="str">
        <f t="shared" si="1331"/>
        <v>豊中春日</v>
      </c>
      <c r="C3746" s="7" t="str">
        <f t="shared" si="1335"/>
        <v>行政財産</v>
      </c>
      <c r="D3746" s="7" t="str">
        <f t="shared" si="1317"/>
        <v>公営住宅</v>
      </c>
      <c r="E3746" s="7" t="str">
        <f t="shared" si="1332"/>
        <v>大阪府豊中市春日町４丁目</v>
      </c>
      <c r="F3746" s="7"/>
      <c r="G3746" s="7" t="str">
        <f t="shared" si="1333"/>
        <v>事業用資産</v>
      </c>
      <c r="H3746" s="7" t="str">
        <f t="shared" si="1322"/>
        <v>棚卸以外</v>
      </c>
      <c r="I3746" s="7">
        <v>14</v>
      </c>
      <c r="J3746" s="7" t="str">
        <f>"１３号棟"</f>
        <v>１３号棟</v>
      </c>
      <c r="K3746" s="7" t="str">
        <f t="shared" si="1321"/>
        <v>鉄筋コンクリート造</v>
      </c>
      <c r="L3746" s="7" t="str">
        <f>"S62.07.13"</f>
        <v>S62.07.13</v>
      </c>
      <c r="M3746" s="7">
        <v>1336.45</v>
      </c>
      <c r="N3746" s="7">
        <v>125392013</v>
      </c>
      <c r="O3746" s="7">
        <v>94958648</v>
      </c>
      <c r="P3746" s="7">
        <v>0</v>
      </c>
      <c r="Q3746" s="7" t="str">
        <f t="shared" si="1336"/>
        <v>都市整備部</v>
      </c>
      <c r="R3746" s="7" t="str">
        <f t="shared" si="1334"/>
        <v>住宅建築局住宅経営室</v>
      </c>
    </row>
    <row r="3747" spans="1:18" s="1" customFormat="1" x14ac:dyDescent="0.45">
      <c r="A3747" s="7" t="str">
        <f t="shared" si="1330"/>
        <v>09940003532</v>
      </c>
      <c r="B3747" s="7" t="str">
        <f t="shared" si="1331"/>
        <v>豊中春日</v>
      </c>
      <c r="C3747" s="7" t="str">
        <f t="shared" si="1335"/>
        <v>行政財産</v>
      </c>
      <c r="D3747" s="7" t="str">
        <f t="shared" si="1317"/>
        <v>公営住宅</v>
      </c>
      <c r="E3747" s="7" t="str">
        <f t="shared" si="1332"/>
        <v>大阪府豊中市春日町４丁目</v>
      </c>
      <c r="F3747" s="7"/>
      <c r="G3747" s="7" t="str">
        <f t="shared" si="1333"/>
        <v>事業用資産</v>
      </c>
      <c r="H3747" s="7" t="str">
        <f t="shared" si="1322"/>
        <v>棚卸以外</v>
      </c>
      <c r="I3747" s="7">
        <v>15</v>
      </c>
      <c r="J3747" s="7" t="str">
        <f>"受水槽"</f>
        <v>受水槽</v>
      </c>
      <c r="K3747" s="7" t="str">
        <f t="shared" si="1321"/>
        <v>鉄筋コンクリート造</v>
      </c>
      <c r="L3747" s="7" t="str">
        <f>"S62.07.13"</f>
        <v>S62.07.13</v>
      </c>
      <c r="M3747" s="7">
        <v>40.64</v>
      </c>
      <c r="N3747" s="7">
        <v>21707000</v>
      </c>
      <c r="O3747" s="7">
        <v>16472864</v>
      </c>
      <c r="P3747" s="7">
        <v>0</v>
      </c>
      <c r="Q3747" s="7" t="str">
        <f t="shared" si="1336"/>
        <v>都市整備部</v>
      </c>
      <c r="R3747" s="7" t="str">
        <f t="shared" si="1334"/>
        <v>住宅建築局住宅経営室</v>
      </c>
    </row>
    <row r="3748" spans="1:18" s="1" customFormat="1" x14ac:dyDescent="0.45">
      <c r="A3748" s="7" t="str">
        <f t="shared" si="1330"/>
        <v>09940003532</v>
      </c>
      <c r="B3748" s="7" t="str">
        <f t="shared" si="1331"/>
        <v>豊中春日</v>
      </c>
      <c r="C3748" s="7" t="str">
        <f t="shared" si="1335"/>
        <v>行政財産</v>
      </c>
      <c r="D3748" s="7" t="str">
        <f t="shared" si="1317"/>
        <v>公営住宅</v>
      </c>
      <c r="E3748" s="7" t="str">
        <f t="shared" si="1332"/>
        <v>大阪府豊中市春日町４丁目</v>
      </c>
      <c r="F3748" s="7"/>
      <c r="G3748" s="7" t="str">
        <f t="shared" si="1333"/>
        <v>事業用資産</v>
      </c>
      <c r="H3748" s="7" t="str">
        <f t="shared" si="1322"/>
        <v>棚卸以外</v>
      </c>
      <c r="I3748" s="7">
        <v>16</v>
      </c>
      <c r="J3748" s="7" t="str">
        <f>"集会所"</f>
        <v>集会所</v>
      </c>
      <c r="K3748" s="7" t="str">
        <f t="shared" si="1321"/>
        <v>鉄筋コンクリート造</v>
      </c>
      <c r="L3748" s="7" t="str">
        <f>"S63.04.01"</f>
        <v>S63.04.01</v>
      </c>
      <c r="M3748" s="7">
        <v>199.34</v>
      </c>
      <c r="N3748" s="7">
        <v>34078000</v>
      </c>
      <c r="O3748" s="7">
        <v>25316818</v>
      </c>
      <c r="P3748" s="7">
        <v>0</v>
      </c>
      <c r="Q3748" s="7" t="str">
        <f t="shared" si="1336"/>
        <v>都市整備部</v>
      </c>
      <c r="R3748" s="7" t="str">
        <f t="shared" si="1334"/>
        <v>住宅建築局住宅経営室</v>
      </c>
    </row>
    <row r="3749" spans="1:18" s="1" customFormat="1" x14ac:dyDescent="0.45">
      <c r="A3749" s="7" t="str">
        <f t="shared" si="1330"/>
        <v>09940003532</v>
      </c>
      <c r="B3749" s="7" t="str">
        <f t="shared" si="1331"/>
        <v>豊中春日</v>
      </c>
      <c r="C3749" s="7" t="str">
        <f t="shared" si="1335"/>
        <v>行政財産</v>
      </c>
      <c r="D3749" s="7" t="str">
        <f t="shared" si="1317"/>
        <v>公営住宅</v>
      </c>
      <c r="E3749" s="7" t="str">
        <f t="shared" si="1332"/>
        <v>大阪府豊中市春日町４丁目</v>
      </c>
      <c r="F3749" s="7"/>
      <c r="G3749" s="7" t="str">
        <f t="shared" si="1333"/>
        <v>事業用資産</v>
      </c>
      <c r="H3749" s="7" t="str">
        <f t="shared" si="1322"/>
        <v>棚卸以外</v>
      </c>
      <c r="I3749" s="7">
        <v>17</v>
      </c>
      <c r="J3749" s="7" t="str">
        <f>"１４号棟"</f>
        <v>１４号棟</v>
      </c>
      <c r="K3749" s="7" t="str">
        <f t="shared" si="1321"/>
        <v>鉄筋コンクリート造</v>
      </c>
      <c r="L3749" s="7" t="str">
        <f>"H01.06.06"</f>
        <v>H01.06.06</v>
      </c>
      <c r="M3749" s="7">
        <v>1380.88</v>
      </c>
      <c r="N3749" s="7">
        <v>150331000</v>
      </c>
      <c r="O3749" s="7">
        <v>107950725</v>
      </c>
      <c r="P3749" s="7">
        <v>0</v>
      </c>
      <c r="Q3749" s="7" t="str">
        <f t="shared" si="1336"/>
        <v>都市整備部</v>
      </c>
      <c r="R3749" s="7" t="str">
        <f t="shared" si="1334"/>
        <v>住宅建築局住宅経営室</v>
      </c>
    </row>
    <row r="3750" spans="1:18" s="1" customFormat="1" x14ac:dyDescent="0.45">
      <c r="A3750" s="7" t="str">
        <f t="shared" si="1330"/>
        <v>09940003532</v>
      </c>
      <c r="B3750" s="7" t="str">
        <f t="shared" si="1331"/>
        <v>豊中春日</v>
      </c>
      <c r="C3750" s="7" t="str">
        <f t="shared" si="1335"/>
        <v>行政財産</v>
      </c>
      <c r="D3750" s="7" t="str">
        <f t="shared" si="1317"/>
        <v>公営住宅</v>
      </c>
      <c r="E3750" s="7" t="str">
        <f t="shared" si="1332"/>
        <v>大阪府豊中市春日町４丁目</v>
      </c>
      <c r="F3750" s="7"/>
      <c r="G3750" s="7" t="str">
        <f t="shared" si="1333"/>
        <v>事業用資産</v>
      </c>
      <c r="H3750" s="7" t="str">
        <f t="shared" si="1322"/>
        <v>棚卸以外</v>
      </c>
      <c r="I3750" s="7">
        <v>18</v>
      </c>
      <c r="J3750" s="7" t="str">
        <f>"１５号棟"</f>
        <v>１５号棟</v>
      </c>
      <c r="K3750" s="7" t="str">
        <f t="shared" si="1321"/>
        <v>鉄筋コンクリート造</v>
      </c>
      <c r="L3750" s="7" t="str">
        <f>"H01.06.06"</f>
        <v>H01.06.06</v>
      </c>
      <c r="M3750" s="7">
        <v>1342.5</v>
      </c>
      <c r="N3750" s="7">
        <v>140429000</v>
      </c>
      <c r="O3750" s="7">
        <v>100840140</v>
      </c>
      <c r="P3750" s="7">
        <v>0</v>
      </c>
      <c r="Q3750" s="7" t="str">
        <f t="shared" si="1336"/>
        <v>都市整備部</v>
      </c>
      <c r="R3750" s="7" t="str">
        <f t="shared" si="1334"/>
        <v>住宅建築局住宅経営室</v>
      </c>
    </row>
    <row r="3751" spans="1:18" s="1" customFormat="1" x14ac:dyDescent="0.45">
      <c r="A3751" s="7" t="str">
        <f t="shared" si="1330"/>
        <v>09940003532</v>
      </c>
      <c r="B3751" s="7" t="str">
        <f t="shared" si="1331"/>
        <v>豊中春日</v>
      </c>
      <c r="C3751" s="7" t="str">
        <f t="shared" si="1335"/>
        <v>行政財産</v>
      </c>
      <c r="D3751" s="7" t="str">
        <f t="shared" si="1317"/>
        <v>公営住宅</v>
      </c>
      <c r="E3751" s="7" t="str">
        <f t="shared" si="1332"/>
        <v>大阪府豊中市春日町４丁目</v>
      </c>
      <c r="F3751" s="7"/>
      <c r="G3751" s="7" t="str">
        <f t="shared" si="1333"/>
        <v>事業用資産</v>
      </c>
      <c r="H3751" s="7" t="str">
        <f t="shared" si="1322"/>
        <v>棚卸以外</v>
      </c>
      <c r="I3751" s="7">
        <v>19</v>
      </c>
      <c r="J3751" s="7" t="str">
        <f>"１６号棟"</f>
        <v>１６号棟</v>
      </c>
      <c r="K3751" s="7" t="str">
        <f t="shared" si="1321"/>
        <v>鉄筋コンクリート造</v>
      </c>
      <c r="L3751" s="7" t="str">
        <f>"H01.06.06"</f>
        <v>H01.06.06</v>
      </c>
      <c r="M3751" s="7">
        <v>1611</v>
      </c>
      <c r="N3751" s="7">
        <v>167598000</v>
      </c>
      <c r="O3751" s="7">
        <v>120349800</v>
      </c>
      <c r="P3751" s="7">
        <v>0</v>
      </c>
      <c r="Q3751" s="7" t="str">
        <f t="shared" si="1336"/>
        <v>都市整備部</v>
      </c>
      <c r="R3751" s="7" t="str">
        <f t="shared" si="1334"/>
        <v>住宅建築局住宅経営室</v>
      </c>
    </row>
    <row r="3752" spans="1:18" s="1" customFormat="1" x14ac:dyDescent="0.45">
      <c r="A3752" s="7" t="str">
        <f t="shared" ref="A3752:A3759" si="1337">"09940003533"</f>
        <v>09940003533</v>
      </c>
      <c r="B3752" s="7" t="str">
        <f t="shared" ref="B3752:B3759" si="1338">"新千里南・豊中新千里南"</f>
        <v>新千里南・豊中新千里南</v>
      </c>
      <c r="C3752" s="7" t="str">
        <f t="shared" si="1335"/>
        <v>行政財産</v>
      </c>
      <c r="D3752" s="7" t="str">
        <f t="shared" si="1317"/>
        <v>公営住宅</v>
      </c>
      <c r="E3752" s="7" t="str">
        <f t="shared" ref="E3752:E3759" si="1339">"大阪府豊中市新千里南町１丁目"</f>
        <v>大阪府豊中市新千里南町１丁目</v>
      </c>
      <c r="F3752" s="7"/>
      <c r="G3752" s="7" t="str">
        <f t="shared" si="1333"/>
        <v>事業用資産</v>
      </c>
      <c r="H3752" s="7" t="str">
        <f t="shared" si="1322"/>
        <v>棚卸以外</v>
      </c>
      <c r="I3752" s="7">
        <v>1</v>
      </c>
      <c r="J3752" s="7" t="str">
        <f>"１２・１３・２０～２９号棟"</f>
        <v>１２・１３・２０～２９号棟</v>
      </c>
      <c r="K3752" s="7" t="str">
        <f t="shared" si="1321"/>
        <v>鉄筋コンクリート造</v>
      </c>
      <c r="L3752" s="7" t="str">
        <f>"S44.06.11"</f>
        <v>S44.06.11</v>
      </c>
      <c r="M3752" s="7">
        <v>27550.66</v>
      </c>
      <c r="N3752" s="7">
        <v>1914976645</v>
      </c>
      <c r="O3752" s="7">
        <v>1914976644</v>
      </c>
      <c r="P3752" s="7">
        <v>0</v>
      </c>
      <c r="Q3752" s="7" t="str">
        <f t="shared" si="1336"/>
        <v>都市整備部</v>
      </c>
      <c r="R3752" s="7" t="str">
        <f t="shared" si="1334"/>
        <v>住宅建築局住宅経営室</v>
      </c>
    </row>
    <row r="3753" spans="1:18" s="1" customFormat="1" x14ac:dyDescent="0.45">
      <c r="A3753" s="7" t="str">
        <f t="shared" si="1337"/>
        <v>09940003533</v>
      </c>
      <c r="B3753" s="7" t="str">
        <f t="shared" si="1338"/>
        <v>新千里南・豊中新千里南</v>
      </c>
      <c r="C3753" s="7" t="str">
        <f t="shared" si="1335"/>
        <v>行政財産</v>
      </c>
      <c r="D3753" s="7" t="str">
        <f t="shared" si="1317"/>
        <v>公営住宅</v>
      </c>
      <c r="E3753" s="7" t="str">
        <f t="shared" si="1339"/>
        <v>大阪府豊中市新千里南町１丁目</v>
      </c>
      <c r="F3753" s="7"/>
      <c r="G3753" s="7" t="str">
        <f t="shared" si="1333"/>
        <v>事業用資産</v>
      </c>
      <c r="H3753" s="7" t="str">
        <f t="shared" si="1322"/>
        <v>棚卸以外</v>
      </c>
      <c r="I3753" s="7">
        <v>2</v>
      </c>
      <c r="J3753" s="7" t="str">
        <f>"３０・３１号棟"</f>
        <v>３０・３１号棟</v>
      </c>
      <c r="K3753" s="7" t="str">
        <f t="shared" si="1321"/>
        <v>鉄筋コンクリート造</v>
      </c>
      <c r="L3753" s="7" t="str">
        <f>"S44.03.26"</f>
        <v>S44.03.26</v>
      </c>
      <c r="M3753" s="7">
        <v>6314.57</v>
      </c>
      <c r="N3753" s="7">
        <v>329758154</v>
      </c>
      <c r="O3753" s="7">
        <v>329758153</v>
      </c>
      <c r="P3753" s="7">
        <v>0</v>
      </c>
      <c r="Q3753" s="7" t="str">
        <f t="shared" si="1336"/>
        <v>都市整備部</v>
      </c>
      <c r="R3753" s="7" t="str">
        <f t="shared" si="1334"/>
        <v>住宅建築局住宅経営室</v>
      </c>
    </row>
    <row r="3754" spans="1:18" s="1" customFormat="1" x14ac:dyDescent="0.45">
      <c r="A3754" s="7" t="str">
        <f t="shared" si="1337"/>
        <v>09940003533</v>
      </c>
      <c r="B3754" s="7" t="str">
        <f t="shared" si="1338"/>
        <v>新千里南・豊中新千里南</v>
      </c>
      <c r="C3754" s="7" t="str">
        <f t="shared" si="1335"/>
        <v>行政財産</v>
      </c>
      <c r="D3754" s="7" t="str">
        <f t="shared" si="1317"/>
        <v>公営住宅</v>
      </c>
      <c r="E3754" s="7" t="str">
        <f t="shared" si="1339"/>
        <v>大阪府豊中市新千里南町１丁目</v>
      </c>
      <c r="F3754" s="7"/>
      <c r="G3754" s="7" t="str">
        <f t="shared" si="1333"/>
        <v>事業用資産</v>
      </c>
      <c r="H3754" s="7" t="str">
        <f t="shared" si="1322"/>
        <v>棚卸以外</v>
      </c>
      <c r="I3754" s="7">
        <v>3</v>
      </c>
      <c r="J3754" s="7" t="str">
        <f>"７～１１号棟"</f>
        <v>７～１１号棟</v>
      </c>
      <c r="K3754" s="7" t="str">
        <f t="shared" si="1321"/>
        <v>鉄筋コンクリート造</v>
      </c>
      <c r="L3754" s="7" t="str">
        <f>"S43.09.30"</f>
        <v>S43.09.30</v>
      </c>
      <c r="M3754" s="7">
        <v>12386.44</v>
      </c>
      <c r="N3754" s="7">
        <v>881383600</v>
      </c>
      <c r="O3754" s="7">
        <v>881383599</v>
      </c>
      <c r="P3754" s="7">
        <v>0</v>
      </c>
      <c r="Q3754" s="7" t="str">
        <f t="shared" si="1336"/>
        <v>都市整備部</v>
      </c>
      <c r="R3754" s="7" t="str">
        <f t="shared" si="1334"/>
        <v>住宅建築局住宅経営室</v>
      </c>
    </row>
    <row r="3755" spans="1:18" s="1" customFormat="1" x14ac:dyDescent="0.45">
      <c r="A3755" s="7" t="str">
        <f t="shared" si="1337"/>
        <v>09940003533</v>
      </c>
      <c r="B3755" s="7" t="str">
        <f t="shared" si="1338"/>
        <v>新千里南・豊中新千里南</v>
      </c>
      <c r="C3755" s="7" t="str">
        <f t="shared" si="1335"/>
        <v>行政財産</v>
      </c>
      <c r="D3755" s="7" t="str">
        <f t="shared" si="1317"/>
        <v>公営住宅</v>
      </c>
      <c r="E3755" s="7" t="str">
        <f t="shared" si="1339"/>
        <v>大阪府豊中市新千里南町１丁目</v>
      </c>
      <c r="F3755" s="7"/>
      <c r="G3755" s="7" t="str">
        <f t="shared" si="1333"/>
        <v>事業用資産</v>
      </c>
      <c r="H3755" s="7" t="str">
        <f t="shared" si="1322"/>
        <v>棚卸以外</v>
      </c>
      <c r="I3755" s="7">
        <v>4</v>
      </c>
      <c r="J3755" s="7" t="str">
        <f>"１～６号棟"</f>
        <v>１～６号棟</v>
      </c>
      <c r="K3755" s="7" t="str">
        <f t="shared" si="1321"/>
        <v>鉄筋コンクリート造</v>
      </c>
      <c r="L3755" s="7" t="str">
        <f>"S43.09.30"</f>
        <v>S43.09.30</v>
      </c>
      <c r="M3755" s="7">
        <v>12771.18</v>
      </c>
      <c r="N3755" s="7">
        <v>843128000</v>
      </c>
      <c r="O3755" s="7">
        <v>843127999</v>
      </c>
      <c r="P3755" s="7">
        <v>0</v>
      </c>
      <c r="Q3755" s="7" t="str">
        <f t="shared" si="1336"/>
        <v>都市整備部</v>
      </c>
      <c r="R3755" s="7" t="str">
        <f t="shared" si="1334"/>
        <v>住宅建築局住宅経営室</v>
      </c>
    </row>
    <row r="3756" spans="1:18" s="1" customFormat="1" x14ac:dyDescent="0.45">
      <c r="A3756" s="7" t="str">
        <f t="shared" si="1337"/>
        <v>09940003533</v>
      </c>
      <c r="B3756" s="7" t="str">
        <f t="shared" si="1338"/>
        <v>新千里南・豊中新千里南</v>
      </c>
      <c r="C3756" s="7" t="str">
        <f t="shared" si="1335"/>
        <v>行政財産</v>
      </c>
      <c r="D3756" s="7" t="str">
        <f t="shared" si="1317"/>
        <v>公営住宅</v>
      </c>
      <c r="E3756" s="7" t="str">
        <f t="shared" si="1339"/>
        <v>大阪府豊中市新千里南町１丁目</v>
      </c>
      <c r="F3756" s="7"/>
      <c r="G3756" s="7" t="str">
        <f t="shared" si="1333"/>
        <v>事業用資産</v>
      </c>
      <c r="H3756" s="7" t="str">
        <f t="shared" si="1322"/>
        <v>棚卸以外</v>
      </c>
      <c r="I3756" s="7">
        <v>5</v>
      </c>
      <c r="J3756" s="7" t="str">
        <f>"集会所"</f>
        <v>集会所</v>
      </c>
      <c r="K3756" s="7" t="str">
        <f t="shared" si="1321"/>
        <v>鉄筋コンクリート造</v>
      </c>
      <c r="L3756" s="7" t="str">
        <f>"S43.09.30"</f>
        <v>S43.09.30</v>
      </c>
      <c r="M3756" s="7">
        <v>184.04</v>
      </c>
      <c r="N3756" s="7">
        <v>12729663</v>
      </c>
      <c r="O3756" s="7">
        <v>12729662</v>
      </c>
      <c r="P3756" s="7">
        <v>0</v>
      </c>
      <c r="Q3756" s="7" t="str">
        <f t="shared" si="1336"/>
        <v>都市整備部</v>
      </c>
      <c r="R3756" s="7" t="str">
        <f t="shared" si="1334"/>
        <v>住宅建築局住宅経営室</v>
      </c>
    </row>
    <row r="3757" spans="1:18" s="1" customFormat="1" x14ac:dyDescent="0.45">
      <c r="A3757" s="7" t="str">
        <f t="shared" si="1337"/>
        <v>09940003533</v>
      </c>
      <c r="B3757" s="7" t="str">
        <f t="shared" si="1338"/>
        <v>新千里南・豊中新千里南</v>
      </c>
      <c r="C3757" s="7" t="str">
        <f t="shared" si="1335"/>
        <v>行政財産</v>
      </c>
      <c r="D3757" s="7" t="str">
        <f t="shared" si="1317"/>
        <v>公営住宅</v>
      </c>
      <c r="E3757" s="7" t="str">
        <f t="shared" si="1339"/>
        <v>大阪府豊中市新千里南町１丁目</v>
      </c>
      <c r="F3757" s="7"/>
      <c r="G3757" s="7" t="str">
        <f t="shared" si="1333"/>
        <v>事業用資産</v>
      </c>
      <c r="H3757" s="7" t="str">
        <f t="shared" si="1322"/>
        <v>棚卸以外</v>
      </c>
      <c r="I3757" s="7">
        <v>7</v>
      </c>
      <c r="J3757" s="7" t="str">
        <f>"豊中新千里南 電気室、ポンプ室"</f>
        <v>豊中新千里南 電気室、ポンプ室</v>
      </c>
      <c r="K3757" s="7" t="str">
        <f t="shared" si="1321"/>
        <v>鉄筋コンクリート造</v>
      </c>
      <c r="L3757" s="7" t="str">
        <f>"R01.10.01"</f>
        <v>R01.10.01</v>
      </c>
      <c r="M3757" s="7">
        <v>74.239999999999995</v>
      </c>
      <c r="N3757" s="7">
        <v>30809416</v>
      </c>
      <c r="O3757" s="7">
        <v>2239707</v>
      </c>
      <c r="P3757" s="7">
        <v>0</v>
      </c>
      <c r="Q3757" s="7" t="str">
        <f t="shared" si="1336"/>
        <v>都市整備部</v>
      </c>
      <c r="R3757" s="7" t="str">
        <f t="shared" si="1334"/>
        <v>住宅建築局住宅経営室</v>
      </c>
    </row>
    <row r="3758" spans="1:18" s="1" customFormat="1" x14ac:dyDescent="0.45">
      <c r="A3758" s="7" t="str">
        <f t="shared" si="1337"/>
        <v>09940003533</v>
      </c>
      <c r="B3758" s="7" t="str">
        <f t="shared" si="1338"/>
        <v>新千里南・豊中新千里南</v>
      </c>
      <c r="C3758" s="7" t="str">
        <f t="shared" si="1335"/>
        <v>行政財産</v>
      </c>
      <c r="D3758" s="7" t="str">
        <f t="shared" si="1317"/>
        <v>公営住宅</v>
      </c>
      <c r="E3758" s="7" t="str">
        <f t="shared" si="1339"/>
        <v>大阪府豊中市新千里南町１丁目</v>
      </c>
      <c r="F3758" s="7"/>
      <c r="G3758" s="7" t="str">
        <f t="shared" si="1333"/>
        <v>事業用資産</v>
      </c>
      <c r="H3758" s="7" t="str">
        <f t="shared" si="1322"/>
        <v>棚卸以外</v>
      </c>
      <c r="I3758" s="7">
        <v>8</v>
      </c>
      <c r="J3758" s="7" t="str">
        <f>"豊中新千里南　１号棟"</f>
        <v>豊中新千里南　１号棟</v>
      </c>
      <c r="K3758" s="7" t="str">
        <f t="shared" si="1321"/>
        <v>鉄筋コンクリート造</v>
      </c>
      <c r="L3758" s="7" t="str">
        <f>"R01.10.01"</f>
        <v>R01.10.01</v>
      </c>
      <c r="M3758" s="7">
        <v>4677.03</v>
      </c>
      <c r="N3758" s="7">
        <v>1039084347</v>
      </c>
      <c r="O3758" s="7">
        <v>75536309</v>
      </c>
      <c r="P3758" s="7">
        <v>0</v>
      </c>
      <c r="Q3758" s="7" t="str">
        <f t="shared" si="1336"/>
        <v>都市整備部</v>
      </c>
      <c r="R3758" s="7" t="str">
        <f t="shared" si="1334"/>
        <v>住宅建築局住宅経営室</v>
      </c>
    </row>
    <row r="3759" spans="1:18" s="1" customFormat="1" x14ac:dyDescent="0.45">
      <c r="A3759" s="7" t="str">
        <f t="shared" si="1337"/>
        <v>09940003533</v>
      </c>
      <c r="B3759" s="7" t="str">
        <f t="shared" si="1338"/>
        <v>新千里南・豊中新千里南</v>
      </c>
      <c r="C3759" s="7" t="str">
        <f t="shared" si="1335"/>
        <v>行政財産</v>
      </c>
      <c r="D3759" s="7" t="str">
        <f t="shared" si="1317"/>
        <v>公営住宅</v>
      </c>
      <c r="E3759" s="7" t="str">
        <f t="shared" si="1339"/>
        <v>大阪府豊中市新千里南町１丁目</v>
      </c>
      <c r="F3759" s="7"/>
      <c r="G3759" s="7" t="str">
        <f t="shared" si="1333"/>
        <v>事業用資産</v>
      </c>
      <c r="H3759" s="7" t="str">
        <f t="shared" si="1322"/>
        <v>棚卸以外</v>
      </c>
      <c r="I3759" s="7">
        <v>9</v>
      </c>
      <c r="J3759" s="7" t="str">
        <f>"豊中新千里南　２号棟"</f>
        <v>豊中新千里南　２号棟</v>
      </c>
      <c r="K3759" s="7" t="str">
        <f t="shared" si="1321"/>
        <v>鉄筋コンクリート造</v>
      </c>
      <c r="L3759" s="7" t="str">
        <f>"R01.10.01"</f>
        <v>R01.10.01</v>
      </c>
      <c r="M3759" s="7">
        <v>5674.64</v>
      </c>
      <c r="N3759" s="7">
        <v>1278251118</v>
      </c>
      <c r="O3759" s="7">
        <v>92922523</v>
      </c>
      <c r="P3759" s="7">
        <v>0</v>
      </c>
      <c r="Q3759" s="7" t="str">
        <f t="shared" si="1336"/>
        <v>都市整備部</v>
      </c>
      <c r="R3759" s="7" t="str">
        <f t="shared" si="1334"/>
        <v>住宅建築局住宅経営室</v>
      </c>
    </row>
    <row r="3760" spans="1:18" s="1" customFormat="1" x14ac:dyDescent="0.45">
      <c r="A3760" s="7" t="str">
        <f t="shared" ref="A3760:A3765" si="1340">"09940003534"</f>
        <v>09940003534</v>
      </c>
      <c r="B3760" s="7" t="str">
        <f t="shared" ref="B3760:B3765" si="1341">"泉南樽井"</f>
        <v>泉南樽井</v>
      </c>
      <c r="C3760" s="7" t="str">
        <f t="shared" si="1335"/>
        <v>行政財産</v>
      </c>
      <c r="D3760" s="7" t="str">
        <f t="shared" si="1317"/>
        <v>公営住宅</v>
      </c>
      <c r="E3760" s="7" t="str">
        <f t="shared" ref="E3760:E3765" si="1342">"大阪府泉南市樽井６丁目"</f>
        <v>大阪府泉南市樽井６丁目</v>
      </c>
      <c r="F3760" s="7"/>
      <c r="G3760" s="7" t="str">
        <f t="shared" si="1333"/>
        <v>事業用資産</v>
      </c>
      <c r="H3760" s="7" t="str">
        <f t="shared" si="1322"/>
        <v>棚卸以外</v>
      </c>
      <c r="I3760" s="7">
        <v>1</v>
      </c>
      <c r="J3760" s="7" t="str">
        <f>"１号棟"</f>
        <v>１号棟</v>
      </c>
      <c r="K3760" s="7" t="str">
        <f t="shared" si="1321"/>
        <v>鉄筋コンクリート造</v>
      </c>
      <c r="L3760" s="7" t="str">
        <f t="shared" ref="L3760:L3765" si="1343">"H09.11.14"</f>
        <v>H09.11.14</v>
      </c>
      <c r="M3760" s="7">
        <v>2217.11</v>
      </c>
      <c r="N3760" s="7">
        <v>341958023</v>
      </c>
      <c r="O3760" s="7">
        <v>183922424</v>
      </c>
      <c r="P3760" s="7">
        <v>0</v>
      </c>
      <c r="Q3760" s="7" t="str">
        <f t="shared" si="1336"/>
        <v>都市整備部</v>
      </c>
      <c r="R3760" s="7" t="str">
        <f t="shared" si="1334"/>
        <v>住宅建築局住宅経営室</v>
      </c>
    </row>
    <row r="3761" spans="1:18" s="1" customFormat="1" x14ac:dyDescent="0.45">
      <c r="A3761" s="7" t="str">
        <f t="shared" si="1340"/>
        <v>09940003534</v>
      </c>
      <c r="B3761" s="7" t="str">
        <f t="shared" si="1341"/>
        <v>泉南樽井</v>
      </c>
      <c r="C3761" s="7" t="str">
        <f t="shared" si="1335"/>
        <v>行政財産</v>
      </c>
      <c r="D3761" s="7" t="str">
        <f t="shared" si="1317"/>
        <v>公営住宅</v>
      </c>
      <c r="E3761" s="7" t="str">
        <f t="shared" si="1342"/>
        <v>大阪府泉南市樽井６丁目</v>
      </c>
      <c r="F3761" s="7"/>
      <c r="G3761" s="7" t="str">
        <f t="shared" si="1333"/>
        <v>事業用資産</v>
      </c>
      <c r="H3761" s="7" t="str">
        <f t="shared" si="1322"/>
        <v>棚卸以外</v>
      </c>
      <c r="I3761" s="7">
        <v>2</v>
      </c>
      <c r="J3761" s="7" t="str">
        <f>"２号棟"</f>
        <v>２号棟</v>
      </c>
      <c r="K3761" s="7" t="str">
        <f t="shared" si="1321"/>
        <v>鉄筋コンクリート造</v>
      </c>
      <c r="L3761" s="7" t="str">
        <f t="shared" si="1343"/>
        <v>H09.11.14</v>
      </c>
      <c r="M3761" s="7">
        <v>3677.52</v>
      </c>
      <c r="N3761" s="7">
        <v>541003024</v>
      </c>
      <c r="O3761" s="7">
        <v>291209192</v>
      </c>
      <c r="P3761" s="7">
        <v>0</v>
      </c>
      <c r="Q3761" s="7" t="str">
        <f t="shared" si="1336"/>
        <v>都市整備部</v>
      </c>
      <c r="R3761" s="7" t="str">
        <f t="shared" si="1334"/>
        <v>住宅建築局住宅経営室</v>
      </c>
    </row>
    <row r="3762" spans="1:18" s="1" customFormat="1" x14ac:dyDescent="0.45">
      <c r="A3762" s="7" t="str">
        <f t="shared" si="1340"/>
        <v>09940003534</v>
      </c>
      <c r="B3762" s="7" t="str">
        <f t="shared" si="1341"/>
        <v>泉南樽井</v>
      </c>
      <c r="C3762" s="7" t="str">
        <f t="shared" si="1335"/>
        <v>行政財産</v>
      </c>
      <c r="D3762" s="7" t="str">
        <f t="shared" ref="D3762:D3825" si="1344">"公営住宅"</f>
        <v>公営住宅</v>
      </c>
      <c r="E3762" s="7" t="str">
        <f t="shared" si="1342"/>
        <v>大阪府泉南市樽井６丁目</v>
      </c>
      <c r="F3762" s="7"/>
      <c r="G3762" s="7" t="str">
        <f t="shared" si="1333"/>
        <v>事業用資産</v>
      </c>
      <c r="H3762" s="7" t="str">
        <f t="shared" si="1322"/>
        <v>棚卸以外</v>
      </c>
      <c r="I3762" s="7">
        <v>3</v>
      </c>
      <c r="J3762" s="7" t="str">
        <f>"３号棟"</f>
        <v>３号棟</v>
      </c>
      <c r="K3762" s="7" t="str">
        <f t="shared" si="1321"/>
        <v>鉄筋コンクリート造</v>
      </c>
      <c r="L3762" s="7" t="str">
        <f t="shared" si="1343"/>
        <v>H09.11.14</v>
      </c>
      <c r="M3762" s="7">
        <v>2246.19</v>
      </c>
      <c r="N3762" s="7">
        <v>394834024</v>
      </c>
      <c r="O3762" s="7">
        <v>212423032</v>
      </c>
      <c r="P3762" s="7">
        <v>0</v>
      </c>
      <c r="Q3762" s="7" t="str">
        <f t="shared" si="1336"/>
        <v>都市整備部</v>
      </c>
      <c r="R3762" s="7" t="str">
        <f t="shared" si="1334"/>
        <v>住宅建築局住宅経営室</v>
      </c>
    </row>
    <row r="3763" spans="1:18" s="1" customFormat="1" x14ac:dyDescent="0.45">
      <c r="A3763" s="7" t="str">
        <f t="shared" si="1340"/>
        <v>09940003534</v>
      </c>
      <c r="B3763" s="7" t="str">
        <f t="shared" si="1341"/>
        <v>泉南樽井</v>
      </c>
      <c r="C3763" s="7" t="str">
        <f t="shared" si="1335"/>
        <v>行政財産</v>
      </c>
      <c r="D3763" s="7" t="str">
        <f t="shared" si="1344"/>
        <v>公営住宅</v>
      </c>
      <c r="E3763" s="7" t="str">
        <f t="shared" si="1342"/>
        <v>大阪府泉南市樽井６丁目</v>
      </c>
      <c r="F3763" s="7"/>
      <c r="G3763" s="7" t="str">
        <f t="shared" si="1333"/>
        <v>事業用資産</v>
      </c>
      <c r="H3763" s="7" t="str">
        <f t="shared" si="1322"/>
        <v>棚卸以外</v>
      </c>
      <c r="I3763" s="7">
        <v>4</v>
      </c>
      <c r="J3763" s="7" t="str">
        <f>"受水槽・ポンプ室"</f>
        <v>受水槽・ポンプ室</v>
      </c>
      <c r="K3763" s="7" t="str">
        <f t="shared" si="1321"/>
        <v>鉄筋コンクリート造</v>
      </c>
      <c r="L3763" s="7" t="str">
        <f t="shared" si="1343"/>
        <v>H09.11.14</v>
      </c>
      <c r="M3763" s="7">
        <v>55.2</v>
      </c>
      <c r="N3763" s="7">
        <v>24263000</v>
      </c>
      <c r="O3763" s="7">
        <v>13078080</v>
      </c>
      <c r="P3763" s="7">
        <v>0</v>
      </c>
      <c r="Q3763" s="7" t="str">
        <f t="shared" si="1336"/>
        <v>都市整備部</v>
      </c>
      <c r="R3763" s="7" t="str">
        <f t="shared" si="1334"/>
        <v>住宅建築局住宅経営室</v>
      </c>
    </row>
    <row r="3764" spans="1:18" s="1" customFormat="1" x14ac:dyDescent="0.45">
      <c r="A3764" s="7" t="str">
        <f t="shared" si="1340"/>
        <v>09940003534</v>
      </c>
      <c r="B3764" s="7" t="str">
        <f t="shared" si="1341"/>
        <v>泉南樽井</v>
      </c>
      <c r="C3764" s="7" t="str">
        <f t="shared" si="1335"/>
        <v>行政財産</v>
      </c>
      <c r="D3764" s="7" t="str">
        <f t="shared" si="1344"/>
        <v>公営住宅</v>
      </c>
      <c r="E3764" s="7" t="str">
        <f t="shared" si="1342"/>
        <v>大阪府泉南市樽井６丁目</v>
      </c>
      <c r="F3764" s="7"/>
      <c r="G3764" s="7" t="str">
        <f t="shared" si="1333"/>
        <v>事業用資産</v>
      </c>
      <c r="H3764" s="7" t="str">
        <f t="shared" si="1322"/>
        <v>棚卸以外</v>
      </c>
      <c r="I3764" s="7">
        <v>5</v>
      </c>
      <c r="J3764" s="7" t="str">
        <f>"集会所"</f>
        <v>集会所</v>
      </c>
      <c r="K3764" s="7" t="str">
        <f t="shared" si="1321"/>
        <v>鉄筋コンクリート造</v>
      </c>
      <c r="L3764" s="7" t="str">
        <f t="shared" si="1343"/>
        <v>H09.11.14</v>
      </c>
      <c r="M3764" s="7">
        <v>69.86</v>
      </c>
      <c r="N3764" s="7">
        <v>29568000</v>
      </c>
      <c r="O3764" s="7">
        <v>15937504</v>
      </c>
      <c r="P3764" s="7">
        <v>0</v>
      </c>
      <c r="Q3764" s="7" t="str">
        <f t="shared" si="1336"/>
        <v>都市整備部</v>
      </c>
      <c r="R3764" s="7" t="str">
        <f t="shared" si="1334"/>
        <v>住宅建築局住宅経営室</v>
      </c>
    </row>
    <row r="3765" spans="1:18" s="1" customFormat="1" x14ac:dyDescent="0.45">
      <c r="A3765" s="7" t="str">
        <f t="shared" si="1340"/>
        <v>09940003534</v>
      </c>
      <c r="B3765" s="7" t="str">
        <f t="shared" si="1341"/>
        <v>泉南樽井</v>
      </c>
      <c r="C3765" s="7" t="str">
        <f t="shared" si="1335"/>
        <v>行政財産</v>
      </c>
      <c r="D3765" s="7" t="str">
        <f t="shared" si="1344"/>
        <v>公営住宅</v>
      </c>
      <c r="E3765" s="7" t="str">
        <f t="shared" si="1342"/>
        <v>大阪府泉南市樽井６丁目</v>
      </c>
      <c r="F3765" s="7"/>
      <c r="G3765" s="7" t="str">
        <f t="shared" si="1333"/>
        <v>事業用資産</v>
      </c>
      <c r="H3765" s="7" t="str">
        <f t="shared" si="1322"/>
        <v>棚卸以外</v>
      </c>
      <c r="I3765" s="7">
        <v>6</v>
      </c>
      <c r="J3765" s="7" t="str">
        <f>"電気室"</f>
        <v>電気室</v>
      </c>
      <c r="K3765" s="7" t="str">
        <f t="shared" si="1321"/>
        <v>鉄筋コンクリート造</v>
      </c>
      <c r="L3765" s="7" t="str">
        <f t="shared" si="1343"/>
        <v>H09.11.14</v>
      </c>
      <c r="M3765" s="7">
        <v>36.81</v>
      </c>
      <c r="N3765" s="7">
        <v>6201000</v>
      </c>
      <c r="O3765" s="7">
        <v>3342480</v>
      </c>
      <c r="P3765" s="7">
        <v>0</v>
      </c>
      <c r="Q3765" s="7" t="str">
        <f t="shared" si="1336"/>
        <v>都市整備部</v>
      </c>
      <c r="R3765" s="7" t="str">
        <f t="shared" si="1334"/>
        <v>住宅建築局住宅経営室</v>
      </c>
    </row>
    <row r="3766" spans="1:18" s="1" customFormat="1" x14ac:dyDescent="0.45">
      <c r="A3766" s="7" t="str">
        <f t="shared" ref="A3766:A3813" si="1345">"09940003535"</f>
        <v>09940003535</v>
      </c>
      <c r="B3766" s="7" t="str">
        <f t="shared" ref="B3766:B3813" si="1346">"新千里北"</f>
        <v>新千里北</v>
      </c>
      <c r="C3766" s="7" t="str">
        <f t="shared" si="1335"/>
        <v>行政財産</v>
      </c>
      <c r="D3766" s="7" t="str">
        <f t="shared" si="1344"/>
        <v>公営住宅</v>
      </c>
      <c r="E3766" s="7" t="str">
        <f t="shared" ref="E3766:E3813" si="1347">"大阪府豊中市新千里北町３丁目"</f>
        <v>大阪府豊中市新千里北町３丁目</v>
      </c>
      <c r="F3766" s="7"/>
      <c r="G3766" s="7" t="str">
        <f t="shared" si="1333"/>
        <v>事業用資産</v>
      </c>
      <c r="H3766" s="7" t="str">
        <f t="shared" si="1322"/>
        <v>棚卸以外</v>
      </c>
      <c r="I3766" s="7">
        <v>1</v>
      </c>
      <c r="J3766" s="7" t="str">
        <f>"１～１８・２１～２５号棟"</f>
        <v>１～１８・２１～２５号棟</v>
      </c>
      <c r="K3766" s="7" t="str">
        <f t="shared" si="1321"/>
        <v>鉄筋コンクリート造</v>
      </c>
      <c r="L3766" s="7" t="str">
        <f>"S41.04.01"</f>
        <v>S41.04.01</v>
      </c>
      <c r="M3766" s="7">
        <v>27024.55</v>
      </c>
      <c r="N3766" s="7">
        <v>841927166</v>
      </c>
      <c r="O3766" s="7">
        <v>626551255</v>
      </c>
      <c r="P3766" s="7">
        <v>0</v>
      </c>
      <c r="Q3766" s="7" t="str">
        <f t="shared" si="1336"/>
        <v>都市整備部</v>
      </c>
      <c r="R3766" s="7" t="str">
        <f t="shared" si="1334"/>
        <v>住宅建築局住宅経営室</v>
      </c>
    </row>
    <row r="3767" spans="1:18" s="1" customFormat="1" x14ac:dyDescent="0.45">
      <c r="A3767" s="7" t="str">
        <f t="shared" si="1345"/>
        <v>09940003535</v>
      </c>
      <c r="B3767" s="7" t="str">
        <f t="shared" si="1346"/>
        <v>新千里北</v>
      </c>
      <c r="C3767" s="7" t="str">
        <f t="shared" si="1335"/>
        <v>行政財産</v>
      </c>
      <c r="D3767" s="7" t="str">
        <f t="shared" si="1344"/>
        <v>公営住宅</v>
      </c>
      <c r="E3767" s="7" t="str">
        <f t="shared" si="1347"/>
        <v>大阪府豊中市新千里北町３丁目</v>
      </c>
      <c r="F3767" s="7"/>
      <c r="G3767" s="7" t="str">
        <f t="shared" si="1333"/>
        <v>事業用資産</v>
      </c>
      <c r="H3767" s="7" t="str">
        <f t="shared" si="1322"/>
        <v>棚卸以外</v>
      </c>
      <c r="I3767" s="7">
        <v>2</v>
      </c>
      <c r="J3767" s="7" t="str">
        <f>"３２～４４号棟"</f>
        <v>３２～４４号棟</v>
      </c>
      <c r="K3767" s="7" t="str">
        <f t="shared" si="1321"/>
        <v>鉄筋コンクリート造</v>
      </c>
      <c r="L3767" s="7" t="str">
        <f>"S41.04.01"</f>
        <v>S41.04.01</v>
      </c>
      <c r="M3767" s="7">
        <v>15524.8</v>
      </c>
      <c r="N3767" s="7">
        <v>842932110</v>
      </c>
      <c r="O3767" s="7">
        <v>391788739</v>
      </c>
      <c r="P3767" s="7">
        <v>0</v>
      </c>
      <c r="Q3767" s="7" t="str">
        <f t="shared" si="1336"/>
        <v>都市整備部</v>
      </c>
      <c r="R3767" s="7" t="str">
        <f t="shared" si="1334"/>
        <v>住宅建築局住宅経営室</v>
      </c>
    </row>
    <row r="3768" spans="1:18" s="1" customFormat="1" x14ac:dyDescent="0.45">
      <c r="A3768" s="7" t="str">
        <f t="shared" si="1345"/>
        <v>09940003535</v>
      </c>
      <c r="B3768" s="7" t="str">
        <f t="shared" si="1346"/>
        <v>新千里北</v>
      </c>
      <c r="C3768" s="7" t="str">
        <f t="shared" si="1335"/>
        <v>行政財産</v>
      </c>
      <c r="D3768" s="7" t="str">
        <f t="shared" si="1344"/>
        <v>公営住宅</v>
      </c>
      <c r="E3768" s="7" t="str">
        <f t="shared" si="1347"/>
        <v>大阪府豊中市新千里北町３丁目</v>
      </c>
      <c r="F3768" s="7"/>
      <c r="G3768" s="7" t="str">
        <f t="shared" si="1333"/>
        <v>事業用資産</v>
      </c>
      <c r="H3768" s="7" t="str">
        <f t="shared" si="1322"/>
        <v>棚卸以外</v>
      </c>
      <c r="I3768" s="7">
        <v>3</v>
      </c>
      <c r="J3768" s="7" t="str">
        <f>"４５～４７号棟"</f>
        <v>４５～４７号棟</v>
      </c>
      <c r="K3768" s="7" t="str">
        <f t="shared" si="1321"/>
        <v>鉄筋コンクリート造</v>
      </c>
      <c r="L3768" s="7" t="str">
        <f>"S42.05.30"</f>
        <v>S42.05.30</v>
      </c>
      <c r="M3768" s="7">
        <v>4271.3</v>
      </c>
      <c r="N3768" s="7">
        <v>101371000</v>
      </c>
      <c r="O3768" s="7">
        <v>101370999</v>
      </c>
      <c r="P3768" s="7">
        <v>0</v>
      </c>
      <c r="Q3768" s="7" t="str">
        <f t="shared" si="1336"/>
        <v>都市整備部</v>
      </c>
      <c r="R3768" s="7" t="str">
        <f t="shared" si="1334"/>
        <v>住宅建築局住宅経営室</v>
      </c>
    </row>
    <row r="3769" spans="1:18" s="1" customFormat="1" x14ac:dyDescent="0.45">
      <c r="A3769" s="7" t="str">
        <f t="shared" si="1345"/>
        <v>09940003535</v>
      </c>
      <c r="B3769" s="7" t="str">
        <f t="shared" si="1346"/>
        <v>新千里北</v>
      </c>
      <c r="C3769" s="7" t="str">
        <f t="shared" si="1335"/>
        <v>行政財産</v>
      </c>
      <c r="D3769" s="7" t="str">
        <f t="shared" si="1344"/>
        <v>公営住宅</v>
      </c>
      <c r="E3769" s="7" t="str">
        <f t="shared" si="1347"/>
        <v>大阪府豊中市新千里北町３丁目</v>
      </c>
      <c r="F3769" s="7"/>
      <c r="G3769" s="7" t="str">
        <f t="shared" si="1333"/>
        <v>事業用資産</v>
      </c>
      <c r="H3769" s="7" t="str">
        <f t="shared" si="1322"/>
        <v>棚卸以外</v>
      </c>
      <c r="I3769" s="7">
        <v>4</v>
      </c>
      <c r="J3769" s="7" t="str">
        <f>"集会所"</f>
        <v>集会所</v>
      </c>
      <c r="K3769" s="7" t="str">
        <f t="shared" si="1321"/>
        <v>鉄筋コンクリート造</v>
      </c>
      <c r="L3769" s="7" t="str">
        <f>"S42.05.30"</f>
        <v>S42.05.30</v>
      </c>
      <c r="M3769" s="7">
        <v>109.09</v>
      </c>
      <c r="N3769" s="7">
        <v>4700000</v>
      </c>
      <c r="O3769" s="7">
        <v>4699999</v>
      </c>
      <c r="P3769" s="7">
        <v>0</v>
      </c>
      <c r="Q3769" s="7" t="str">
        <f t="shared" si="1336"/>
        <v>都市整備部</v>
      </c>
      <c r="R3769" s="7" t="str">
        <f t="shared" si="1334"/>
        <v>住宅建築局住宅経営室</v>
      </c>
    </row>
    <row r="3770" spans="1:18" s="1" customFormat="1" x14ac:dyDescent="0.45">
      <c r="A3770" s="7" t="str">
        <f t="shared" si="1345"/>
        <v>09940003535</v>
      </c>
      <c r="B3770" s="7" t="str">
        <f t="shared" si="1346"/>
        <v>新千里北</v>
      </c>
      <c r="C3770" s="7" t="str">
        <f t="shared" si="1335"/>
        <v>行政財産</v>
      </c>
      <c r="D3770" s="7" t="str">
        <f t="shared" si="1344"/>
        <v>公営住宅</v>
      </c>
      <c r="E3770" s="7" t="str">
        <f t="shared" si="1347"/>
        <v>大阪府豊中市新千里北町３丁目</v>
      </c>
      <c r="F3770" s="7"/>
      <c r="G3770" s="7" t="str">
        <f t="shared" si="1333"/>
        <v>事業用資産</v>
      </c>
      <c r="H3770" s="7" t="str">
        <f t="shared" si="1322"/>
        <v>棚卸以外</v>
      </c>
      <c r="I3770" s="7">
        <v>5</v>
      </c>
      <c r="J3770" s="7" t="str">
        <f>"集会所増築"</f>
        <v>集会所増築</v>
      </c>
      <c r="K3770" s="7" t="str">
        <f t="shared" si="1321"/>
        <v>鉄筋コンクリート造</v>
      </c>
      <c r="L3770" s="7" t="str">
        <f>"S57.02.25"</f>
        <v>S57.02.25</v>
      </c>
      <c r="M3770" s="7">
        <v>174.5</v>
      </c>
      <c r="N3770" s="7">
        <v>30300000</v>
      </c>
      <c r="O3770" s="7">
        <v>26485932</v>
      </c>
      <c r="P3770" s="7">
        <v>0</v>
      </c>
      <c r="Q3770" s="7" t="str">
        <f t="shared" si="1336"/>
        <v>都市整備部</v>
      </c>
      <c r="R3770" s="7" t="str">
        <f t="shared" si="1334"/>
        <v>住宅建築局住宅経営室</v>
      </c>
    </row>
    <row r="3771" spans="1:18" s="1" customFormat="1" x14ac:dyDescent="0.45">
      <c r="A3771" s="7" t="str">
        <f t="shared" si="1345"/>
        <v>09940003535</v>
      </c>
      <c r="B3771" s="7" t="str">
        <f t="shared" si="1346"/>
        <v>新千里北</v>
      </c>
      <c r="C3771" s="7" t="str">
        <f t="shared" si="1335"/>
        <v>行政財産</v>
      </c>
      <c r="D3771" s="7" t="str">
        <f t="shared" si="1344"/>
        <v>公営住宅</v>
      </c>
      <c r="E3771" s="7" t="str">
        <f t="shared" si="1347"/>
        <v>大阪府豊中市新千里北町３丁目</v>
      </c>
      <c r="F3771" s="7"/>
      <c r="G3771" s="7" t="str">
        <f t="shared" si="1333"/>
        <v>事業用資産</v>
      </c>
      <c r="H3771" s="7" t="str">
        <f t="shared" si="1322"/>
        <v>棚卸以外</v>
      </c>
      <c r="I3771" s="7">
        <v>6</v>
      </c>
      <c r="J3771" s="7" t="str">
        <f>"５号棟増築"</f>
        <v>５号棟増築</v>
      </c>
      <c r="K3771" s="7" t="str">
        <f t="shared" si="1321"/>
        <v>鉄筋コンクリート造</v>
      </c>
      <c r="L3771" s="7" t="str">
        <f t="shared" ref="L3771:L3780" si="1348">"S61.02.25"</f>
        <v>S61.02.25</v>
      </c>
      <c r="M3771" s="7">
        <v>730.04</v>
      </c>
      <c r="N3771" s="7">
        <v>96479000</v>
      </c>
      <c r="O3771" s="7">
        <v>76123035</v>
      </c>
      <c r="P3771" s="7">
        <v>0</v>
      </c>
      <c r="Q3771" s="7" t="str">
        <f t="shared" si="1336"/>
        <v>都市整備部</v>
      </c>
      <c r="R3771" s="7" t="str">
        <f t="shared" si="1334"/>
        <v>住宅建築局住宅経営室</v>
      </c>
    </row>
    <row r="3772" spans="1:18" s="1" customFormat="1" x14ac:dyDescent="0.45">
      <c r="A3772" s="7" t="str">
        <f t="shared" si="1345"/>
        <v>09940003535</v>
      </c>
      <c r="B3772" s="7" t="str">
        <f t="shared" si="1346"/>
        <v>新千里北</v>
      </c>
      <c r="C3772" s="7" t="str">
        <f t="shared" si="1335"/>
        <v>行政財産</v>
      </c>
      <c r="D3772" s="7" t="str">
        <f t="shared" si="1344"/>
        <v>公営住宅</v>
      </c>
      <c r="E3772" s="7" t="str">
        <f t="shared" si="1347"/>
        <v>大阪府豊中市新千里北町３丁目</v>
      </c>
      <c r="F3772" s="7"/>
      <c r="G3772" s="7" t="str">
        <f t="shared" si="1333"/>
        <v>事業用資産</v>
      </c>
      <c r="H3772" s="7" t="str">
        <f t="shared" si="1322"/>
        <v>棚卸以外</v>
      </c>
      <c r="I3772" s="7">
        <v>7</v>
      </c>
      <c r="J3772" s="7" t="str">
        <f>"６号棟増築"</f>
        <v>６号棟増築</v>
      </c>
      <c r="K3772" s="7" t="str">
        <f t="shared" si="1321"/>
        <v>鉄筋コンクリート造</v>
      </c>
      <c r="L3772" s="7" t="str">
        <f t="shared" si="1348"/>
        <v>S61.02.25</v>
      </c>
      <c r="M3772" s="7">
        <v>730.04</v>
      </c>
      <c r="N3772" s="7">
        <v>96340000</v>
      </c>
      <c r="O3772" s="7">
        <v>76013120</v>
      </c>
      <c r="P3772" s="7">
        <v>0</v>
      </c>
      <c r="Q3772" s="7" t="str">
        <f t="shared" si="1336"/>
        <v>都市整備部</v>
      </c>
      <c r="R3772" s="7" t="str">
        <f t="shared" si="1334"/>
        <v>住宅建築局住宅経営室</v>
      </c>
    </row>
    <row r="3773" spans="1:18" s="1" customFormat="1" x14ac:dyDescent="0.45">
      <c r="A3773" s="7" t="str">
        <f t="shared" si="1345"/>
        <v>09940003535</v>
      </c>
      <c r="B3773" s="7" t="str">
        <f t="shared" si="1346"/>
        <v>新千里北</v>
      </c>
      <c r="C3773" s="7" t="str">
        <f t="shared" si="1335"/>
        <v>行政財産</v>
      </c>
      <c r="D3773" s="7" t="str">
        <f t="shared" si="1344"/>
        <v>公営住宅</v>
      </c>
      <c r="E3773" s="7" t="str">
        <f t="shared" si="1347"/>
        <v>大阪府豊中市新千里北町３丁目</v>
      </c>
      <c r="F3773" s="7"/>
      <c r="G3773" s="7" t="str">
        <f t="shared" si="1333"/>
        <v>事業用資産</v>
      </c>
      <c r="H3773" s="7" t="str">
        <f t="shared" si="1322"/>
        <v>棚卸以外</v>
      </c>
      <c r="I3773" s="7">
        <v>8</v>
      </c>
      <c r="J3773" s="7" t="str">
        <f>"７号棟増築"</f>
        <v>７号棟増築</v>
      </c>
      <c r="K3773" s="7" t="str">
        <f t="shared" si="1321"/>
        <v>鉄筋コンクリート造</v>
      </c>
      <c r="L3773" s="7" t="str">
        <f t="shared" si="1348"/>
        <v>S61.02.25</v>
      </c>
      <c r="M3773" s="7">
        <v>730.04</v>
      </c>
      <c r="N3773" s="7">
        <v>96180000</v>
      </c>
      <c r="O3773" s="7">
        <v>75886740</v>
      </c>
      <c r="P3773" s="7">
        <v>0</v>
      </c>
      <c r="Q3773" s="7" t="str">
        <f t="shared" si="1336"/>
        <v>都市整備部</v>
      </c>
      <c r="R3773" s="7" t="str">
        <f t="shared" si="1334"/>
        <v>住宅建築局住宅経営室</v>
      </c>
    </row>
    <row r="3774" spans="1:18" s="1" customFormat="1" x14ac:dyDescent="0.45">
      <c r="A3774" s="7" t="str">
        <f t="shared" si="1345"/>
        <v>09940003535</v>
      </c>
      <c r="B3774" s="7" t="str">
        <f t="shared" si="1346"/>
        <v>新千里北</v>
      </c>
      <c r="C3774" s="7" t="str">
        <f t="shared" si="1335"/>
        <v>行政財産</v>
      </c>
      <c r="D3774" s="7" t="str">
        <f t="shared" si="1344"/>
        <v>公営住宅</v>
      </c>
      <c r="E3774" s="7" t="str">
        <f t="shared" si="1347"/>
        <v>大阪府豊中市新千里北町３丁目</v>
      </c>
      <c r="F3774" s="7"/>
      <c r="G3774" s="7" t="str">
        <f t="shared" si="1333"/>
        <v>事業用資産</v>
      </c>
      <c r="H3774" s="7" t="str">
        <f t="shared" si="1322"/>
        <v>棚卸以外</v>
      </c>
      <c r="I3774" s="7">
        <v>9</v>
      </c>
      <c r="J3774" s="7" t="str">
        <f>"８号棟増築"</f>
        <v>８号棟増築</v>
      </c>
      <c r="K3774" s="7" t="str">
        <f t="shared" si="1321"/>
        <v>鉄筋コンクリート造</v>
      </c>
      <c r="L3774" s="7" t="str">
        <f t="shared" si="1348"/>
        <v>S61.02.25</v>
      </c>
      <c r="M3774" s="7">
        <v>392.44</v>
      </c>
      <c r="N3774" s="7">
        <v>74617000</v>
      </c>
      <c r="O3774" s="7">
        <v>58873500</v>
      </c>
      <c r="P3774" s="7">
        <v>0</v>
      </c>
      <c r="Q3774" s="7" t="str">
        <f t="shared" si="1336"/>
        <v>都市整備部</v>
      </c>
      <c r="R3774" s="7" t="str">
        <f t="shared" si="1334"/>
        <v>住宅建築局住宅経営室</v>
      </c>
    </row>
    <row r="3775" spans="1:18" s="1" customFormat="1" x14ac:dyDescent="0.45">
      <c r="A3775" s="7" t="str">
        <f t="shared" si="1345"/>
        <v>09940003535</v>
      </c>
      <c r="B3775" s="7" t="str">
        <f t="shared" si="1346"/>
        <v>新千里北</v>
      </c>
      <c r="C3775" s="7" t="str">
        <f t="shared" si="1335"/>
        <v>行政財産</v>
      </c>
      <c r="D3775" s="7" t="str">
        <f t="shared" si="1344"/>
        <v>公営住宅</v>
      </c>
      <c r="E3775" s="7" t="str">
        <f t="shared" si="1347"/>
        <v>大阪府豊中市新千里北町３丁目</v>
      </c>
      <c r="F3775" s="7"/>
      <c r="G3775" s="7" t="str">
        <f t="shared" si="1333"/>
        <v>事業用資産</v>
      </c>
      <c r="H3775" s="7" t="str">
        <f t="shared" si="1322"/>
        <v>棚卸以外</v>
      </c>
      <c r="I3775" s="7">
        <v>10</v>
      </c>
      <c r="J3775" s="7" t="str">
        <f>"９号棟増築"</f>
        <v>９号棟増築</v>
      </c>
      <c r="K3775" s="7" t="str">
        <f t="shared" si="1321"/>
        <v>鉄筋コンクリート造</v>
      </c>
      <c r="L3775" s="7" t="str">
        <f t="shared" si="1348"/>
        <v>S61.02.25</v>
      </c>
      <c r="M3775" s="7">
        <v>483.9</v>
      </c>
      <c r="N3775" s="7">
        <v>86771000</v>
      </c>
      <c r="O3775" s="7">
        <v>68463250</v>
      </c>
      <c r="P3775" s="7">
        <v>0</v>
      </c>
      <c r="Q3775" s="7" t="str">
        <f t="shared" si="1336"/>
        <v>都市整備部</v>
      </c>
      <c r="R3775" s="7" t="str">
        <f t="shared" si="1334"/>
        <v>住宅建築局住宅経営室</v>
      </c>
    </row>
    <row r="3776" spans="1:18" s="1" customFormat="1" x14ac:dyDescent="0.45">
      <c r="A3776" s="7" t="str">
        <f t="shared" si="1345"/>
        <v>09940003535</v>
      </c>
      <c r="B3776" s="7" t="str">
        <f t="shared" si="1346"/>
        <v>新千里北</v>
      </c>
      <c r="C3776" s="7" t="str">
        <f t="shared" si="1335"/>
        <v>行政財産</v>
      </c>
      <c r="D3776" s="7" t="str">
        <f t="shared" si="1344"/>
        <v>公営住宅</v>
      </c>
      <c r="E3776" s="7" t="str">
        <f t="shared" si="1347"/>
        <v>大阪府豊中市新千里北町３丁目</v>
      </c>
      <c r="F3776" s="7"/>
      <c r="G3776" s="7" t="str">
        <f t="shared" si="1333"/>
        <v>事業用資産</v>
      </c>
      <c r="H3776" s="7" t="str">
        <f t="shared" si="1322"/>
        <v>棚卸以外</v>
      </c>
      <c r="I3776" s="7">
        <v>11</v>
      </c>
      <c r="J3776" s="7" t="str">
        <f>"２３号棟増築"</f>
        <v>２３号棟増築</v>
      </c>
      <c r="K3776" s="7" t="str">
        <f t="shared" si="1321"/>
        <v>鉄筋コンクリート造</v>
      </c>
      <c r="L3776" s="7" t="str">
        <f t="shared" si="1348"/>
        <v>S61.02.25</v>
      </c>
      <c r="M3776" s="7">
        <v>744.08</v>
      </c>
      <c r="N3776" s="7">
        <v>99204000</v>
      </c>
      <c r="O3776" s="7">
        <v>78272830</v>
      </c>
      <c r="P3776" s="7">
        <v>0</v>
      </c>
      <c r="Q3776" s="7" t="str">
        <f t="shared" si="1336"/>
        <v>都市整備部</v>
      </c>
      <c r="R3776" s="7" t="str">
        <f t="shared" si="1334"/>
        <v>住宅建築局住宅経営室</v>
      </c>
    </row>
    <row r="3777" spans="1:18" s="1" customFormat="1" x14ac:dyDescent="0.45">
      <c r="A3777" s="7" t="str">
        <f t="shared" si="1345"/>
        <v>09940003535</v>
      </c>
      <c r="B3777" s="7" t="str">
        <f t="shared" si="1346"/>
        <v>新千里北</v>
      </c>
      <c r="C3777" s="7" t="str">
        <f t="shared" si="1335"/>
        <v>行政財産</v>
      </c>
      <c r="D3777" s="7" t="str">
        <f t="shared" si="1344"/>
        <v>公営住宅</v>
      </c>
      <c r="E3777" s="7" t="str">
        <f t="shared" si="1347"/>
        <v>大阪府豊中市新千里北町３丁目</v>
      </c>
      <c r="F3777" s="7"/>
      <c r="G3777" s="7" t="str">
        <f t="shared" si="1333"/>
        <v>事業用資産</v>
      </c>
      <c r="H3777" s="7" t="str">
        <f t="shared" si="1322"/>
        <v>棚卸以外</v>
      </c>
      <c r="I3777" s="7">
        <v>12</v>
      </c>
      <c r="J3777" s="7" t="str">
        <f>"２４号棟増築"</f>
        <v>２４号棟増築</v>
      </c>
      <c r="K3777" s="7" t="str">
        <f t="shared" si="1321"/>
        <v>鉄筋コンクリート造</v>
      </c>
      <c r="L3777" s="7" t="str">
        <f t="shared" si="1348"/>
        <v>S61.02.25</v>
      </c>
      <c r="M3777" s="7">
        <v>730.04</v>
      </c>
      <c r="N3777" s="7">
        <v>95819000</v>
      </c>
      <c r="O3777" s="7">
        <v>75601940</v>
      </c>
      <c r="P3777" s="7">
        <v>0</v>
      </c>
      <c r="Q3777" s="7" t="str">
        <f t="shared" si="1336"/>
        <v>都市整備部</v>
      </c>
      <c r="R3777" s="7" t="str">
        <f t="shared" si="1334"/>
        <v>住宅建築局住宅経営室</v>
      </c>
    </row>
    <row r="3778" spans="1:18" s="1" customFormat="1" x14ac:dyDescent="0.45">
      <c r="A3778" s="7" t="str">
        <f t="shared" si="1345"/>
        <v>09940003535</v>
      </c>
      <c r="B3778" s="7" t="str">
        <f t="shared" si="1346"/>
        <v>新千里北</v>
      </c>
      <c r="C3778" s="7" t="str">
        <f t="shared" si="1335"/>
        <v>行政財産</v>
      </c>
      <c r="D3778" s="7" t="str">
        <f t="shared" si="1344"/>
        <v>公営住宅</v>
      </c>
      <c r="E3778" s="7" t="str">
        <f t="shared" si="1347"/>
        <v>大阪府豊中市新千里北町３丁目</v>
      </c>
      <c r="F3778" s="7"/>
      <c r="G3778" s="7" t="str">
        <f t="shared" si="1333"/>
        <v>事業用資産</v>
      </c>
      <c r="H3778" s="7" t="str">
        <f t="shared" si="1322"/>
        <v>棚卸以外</v>
      </c>
      <c r="I3778" s="7">
        <v>13</v>
      </c>
      <c r="J3778" s="7" t="str">
        <f>"２５号棟増築"</f>
        <v>２５号棟増築</v>
      </c>
      <c r="K3778" s="7" t="str">
        <f t="shared" ref="K3778:K3841" si="1349">"鉄筋コンクリート造"</f>
        <v>鉄筋コンクリート造</v>
      </c>
      <c r="L3778" s="7" t="str">
        <f t="shared" si="1348"/>
        <v>S61.02.25</v>
      </c>
      <c r="M3778" s="7">
        <v>483.9</v>
      </c>
      <c r="N3778" s="7">
        <v>86756000</v>
      </c>
      <c r="O3778" s="7">
        <v>68451235</v>
      </c>
      <c r="P3778" s="7">
        <v>0</v>
      </c>
      <c r="Q3778" s="7" t="str">
        <f t="shared" si="1336"/>
        <v>都市整備部</v>
      </c>
      <c r="R3778" s="7" t="str">
        <f t="shared" si="1334"/>
        <v>住宅建築局住宅経営室</v>
      </c>
    </row>
    <row r="3779" spans="1:18" s="1" customFormat="1" x14ac:dyDescent="0.45">
      <c r="A3779" s="7" t="str">
        <f t="shared" si="1345"/>
        <v>09940003535</v>
      </c>
      <c r="B3779" s="7" t="str">
        <f t="shared" si="1346"/>
        <v>新千里北</v>
      </c>
      <c r="C3779" s="7" t="str">
        <f t="shared" si="1335"/>
        <v>行政財産</v>
      </c>
      <c r="D3779" s="7" t="str">
        <f t="shared" si="1344"/>
        <v>公営住宅</v>
      </c>
      <c r="E3779" s="7" t="str">
        <f t="shared" si="1347"/>
        <v>大阪府豊中市新千里北町３丁目</v>
      </c>
      <c r="F3779" s="7"/>
      <c r="G3779" s="7" t="str">
        <f t="shared" si="1333"/>
        <v>事業用資産</v>
      </c>
      <c r="H3779" s="7" t="str">
        <f t="shared" si="1322"/>
        <v>棚卸以外</v>
      </c>
      <c r="I3779" s="7">
        <v>16</v>
      </c>
      <c r="J3779" s="7" t="str">
        <f>"４６号棟増築"</f>
        <v>４６号棟増築</v>
      </c>
      <c r="K3779" s="7" t="str">
        <f t="shared" si="1349"/>
        <v>鉄筋コンクリート造</v>
      </c>
      <c r="L3779" s="7" t="str">
        <f t="shared" si="1348"/>
        <v>S61.02.25</v>
      </c>
      <c r="M3779" s="7">
        <v>980.7</v>
      </c>
      <c r="N3779" s="7">
        <v>126551000</v>
      </c>
      <c r="O3779" s="7">
        <v>99849990</v>
      </c>
      <c r="P3779" s="7">
        <v>0</v>
      </c>
      <c r="Q3779" s="7" t="str">
        <f t="shared" si="1336"/>
        <v>都市整備部</v>
      </c>
      <c r="R3779" s="7" t="str">
        <f t="shared" si="1334"/>
        <v>住宅建築局住宅経営室</v>
      </c>
    </row>
    <row r="3780" spans="1:18" s="1" customFormat="1" x14ac:dyDescent="0.45">
      <c r="A3780" s="7" t="str">
        <f t="shared" si="1345"/>
        <v>09940003535</v>
      </c>
      <c r="B3780" s="7" t="str">
        <f t="shared" si="1346"/>
        <v>新千里北</v>
      </c>
      <c r="C3780" s="7" t="str">
        <f t="shared" si="1335"/>
        <v>行政財産</v>
      </c>
      <c r="D3780" s="7" t="str">
        <f t="shared" si="1344"/>
        <v>公営住宅</v>
      </c>
      <c r="E3780" s="7" t="str">
        <f t="shared" si="1347"/>
        <v>大阪府豊中市新千里北町３丁目</v>
      </c>
      <c r="F3780" s="7"/>
      <c r="G3780" s="7" t="str">
        <f t="shared" si="1333"/>
        <v>事業用資産</v>
      </c>
      <c r="H3780" s="7" t="str">
        <f t="shared" ref="H3780:H3843" si="1350">"棚卸以外"</f>
        <v>棚卸以外</v>
      </c>
      <c r="I3780" s="7">
        <v>17</v>
      </c>
      <c r="J3780" s="7" t="str">
        <f>"４７号棟増築"</f>
        <v>４７号棟増築</v>
      </c>
      <c r="K3780" s="7" t="str">
        <f t="shared" si="1349"/>
        <v>鉄筋コンクリート造</v>
      </c>
      <c r="L3780" s="7" t="str">
        <f t="shared" si="1348"/>
        <v>S61.02.25</v>
      </c>
      <c r="M3780" s="7">
        <v>787.34</v>
      </c>
      <c r="N3780" s="7">
        <v>114018000</v>
      </c>
      <c r="O3780" s="7">
        <v>89961200</v>
      </c>
      <c r="P3780" s="7">
        <v>0</v>
      </c>
      <c r="Q3780" s="7" t="str">
        <f t="shared" si="1336"/>
        <v>都市整備部</v>
      </c>
      <c r="R3780" s="7" t="str">
        <f t="shared" si="1334"/>
        <v>住宅建築局住宅経営室</v>
      </c>
    </row>
    <row r="3781" spans="1:18" s="1" customFormat="1" x14ac:dyDescent="0.45">
      <c r="A3781" s="7" t="str">
        <f t="shared" si="1345"/>
        <v>09940003535</v>
      </c>
      <c r="B3781" s="7" t="str">
        <f t="shared" si="1346"/>
        <v>新千里北</v>
      </c>
      <c r="C3781" s="7" t="str">
        <f t="shared" si="1335"/>
        <v>行政財産</v>
      </c>
      <c r="D3781" s="7" t="str">
        <f t="shared" si="1344"/>
        <v>公営住宅</v>
      </c>
      <c r="E3781" s="7" t="str">
        <f t="shared" si="1347"/>
        <v>大阪府豊中市新千里北町３丁目</v>
      </c>
      <c r="F3781" s="7"/>
      <c r="G3781" s="7" t="str">
        <f t="shared" si="1333"/>
        <v>事業用資産</v>
      </c>
      <c r="H3781" s="7" t="str">
        <f t="shared" si="1350"/>
        <v>棚卸以外</v>
      </c>
      <c r="I3781" s="7">
        <v>18</v>
      </c>
      <c r="J3781" s="7" t="str">
        <f>"１５号棟増築"</f>
        <v>１５号棟増築</v>
      </c>
      <c r="K3781" s="7" t="str">
        <f t="shared" si="1349"/>
        <v>鉄筋コンクリート造</v>
      </c>
      <c r="L3781" s="7" t="str">
        <f>"S61.08.22"</f>
        <v>S61.08.22</v>
      </c>
      <c r="M3781" s="7">
        <v>778.81</v>
      </c>
      <c r="N3781" s="7">
        <v>101835000</v>
      </c>
      <c r="O3781" s="7">
        <v>79265401</v>
      </c>
      <c r="P3781" s="7">
        <v>0</v>
      </c>
      <c r="Q3781" s="7" t="str">
        <f t="shared" si="1336"/>
        <v>都市整備部</v>
      </c>
      <c r="R3781" s="7" t="str">
        <f t="shared" si="1334"/>
        <v>住宅建築局住宅経営室</v>
      </c>
    </row>
    <row r="3782" spans="1:18" s="1" customFormat="1" x14ac:dyDescent="0.45">
      <c r="A3782" s="7" t="str">
        <f t="shared" si="1345"/>
        <v>09940003535</v>
      </c>
      <c r="B3782" s="7" t="str">
        <f t="shared" si="1346"/>
        <v>新千里北</v>
      </c>
      <c r="C3782" s="7" t="str">
        <f t="shared" si="1335"/>
        <v>行政財産</v>
      </c>
      <c r="D3782" s="7" t="str">
        <f t="shared" si="1344"/>
        <v>公営住宅</v>
      </c>
      <c r="E3782" s="7" t="str">
        <f t="shared" si="1347"/>
        <v>大阪府豊中市新千里北町３丁目</v>
      </c>
      <c r="F3782" s="7"/>
      <c r="G3782" s="7" t="str">
        <f t="shared" si="1333"/>
        <v>事業用資産</v>
      </c>
      <c r="H3782" s="7" t="str">
        <f t="shared" si="1350"/>
        <v>棚卸以外</v>
      </c>
      <c r="I3782" s="7">
        <v>20</v>
      </c>
      <c r="J3782" s="7" t="str">
        <f>"４５号棟増築"</f>
        <v>４５号棟増築</v>
      </c>
      <c r="K3782" s="7" t="str">
        <f t="shared" si="1349"/>
        <v>鉄筋コンクリート造</v>
      </c>
      <c r="L3782" s="7" t="str">
        <f>"S61.08.22"</f>
        <v>S61.08.22</v>
      </c>
      <c r="M3782" s="7">
        <v>702.56</v>
      </c>
      <c r="N3782" s="7">
        <v>98558000</v>
      </c>
      <c r="O3782" s="7">
        <v>76714811</v>
      </c>
      <c r="P3782" s="7">
        <v>0</v>
      </c>
      <c r="Q3782" s="7" t="str">
        <f t="shared" si="1336"/>
        <v>都市整備部</v>
      </c>
      <c r="R3782" s="7" t="str">
        <f t="shared" si="1334"/>
        <v>住宅建築局住宅経営室</v>
      </c>
    </row>
    <row r="3783" spans="1:18" s="1" customFormat="1" x14ac:dyDescent="0.45">
      <c r="A3783" s="7" t="str">
        <f t="shared" si="1345"/>
        <v>09940003535</v>
      </c>
      <c r="B3783" s="7" t="str">
        <f t="shared" si="1346"/>
        <v>新千里北</v>
      </c>
      <c r="C3783" s="7" t="str">
        <f t="shared" si="1335"/>
        <v>行政財産</v>
      </c>
      <c r="D3783" s="7" t="str">
        <f t="shared" si="1344"/>
        <v>公営住宅</v>
      </c>
      <c r="E3783" s="7" t="str">
        <f t="shared" si="1347"/>
        <v>大阪府豊中市新千里北町３丁目</v>
      </c>
      <c r="F3783" s="7"/>
      <c r="G3783" s="7" t="str">
        <f t="shared" si="1333"/>
        <v>事業用資産</v>
      </c>
      <c r="H3783" s="7" t="str">
        <f t="shared" si="1350"/>
        <v>棚卸以外</v>
      </c>
      <c r="I3783" s="7">
        <v>21</v>
      </c>
      <c r="J3783" s="7" t="str">
        <f>"３４号棟増築"</f>
        <v>３４号棟増築</v>
      </c>
      <c r="K3783" s="7" t="str">
        <f t="shared" si="1349"/>
        <v>鉄筋コンクリート造</v>
      </c>
      <c r="L3783" s="7" t="str">
        <f>"S61.11.20"</f>
        <v>S61.11.20</v>
      </c>
      <c r="M3783" s="7">
        <v>980.7</v>
      </c>
      <c r="N3783" s="7">
        <v>121023000</v>
      </c>
      <c r="O3783" s="7">
        <v>93556880</v>
      </c>
      <c r="P3783" s="7">
        <v>0</v>
      </c>
      <c r="Q3783" s="7" t="str">
        <f t="shared" si="1336"/>
        <v>都市整備部</v>
      </c>
      <c r="R3783" s="7" t="str">
        <f t="shared" si="1334"/>
        <v>住宅建築局住宅経営室</v>
      </c>
    </row>
    <row r="3784" spans="1:18" s="1" customFormat="1" x14ac:dyDescent="0.45">
      <c r="A3784" s="7" t="str">
        <f t="shared" si="1345"/>
        <v>09940003535</v>
      </c>
      <c r="B3784" s="7" t="str">
        <f t="shared" si="1346"/>
        <v>新千里北</v>
      </c>
      <c r="C3784" s="7" t="str">
        <f t="shared" si="1335"/>
        <v>行政財産</v>
      </c>
      <c r="D3784" s="7" t="str">
        <f t="shared" si="1344"/>
        <v>公営住宅</v>
      </c>
      <c r="E3784" s="7" t="str">
        <f t="shared" si="1347"/>
        <v>大阪府豊中市新千里北町３丁目</v>
      </c>
      <c r="F3784" s="7"/>
      <c r="G3784" s="7" t="str">
        <f t="shared" si="1333"/>
        <v>事業用資産</v>
      </c>
      <c r="H3784" s="7" t="str">
        <f t="shared" si="1350"/>
        <v>棚卸以外</v>
      </c>
      <c r="I3784" s="7">
        <v>22</v>
      </c>
      <c r="J3784" s="7" t="str">
        <f>"３５号棟増築"</f>
        <v>３５号棟増築</v>
      </c>
      <c r="K3784" s="7" t="str">
        <f t="shared" si="1349"/>
        <v>鉄筋コンクリート造</v>
      </c>
      <c r="L3784" s="7" t="str">
        <f>"S61.11.20"</f>
        <v>S61.11.20</v>
      </c>
      <c r="M3784" s="7">
        <v>321.89</v>
      </c>
      <c r="N3784" s="7">
        <v>51094000</v>
      </c>
      <c r="O3784" s="7">
        <v>39498548</v>
      </c>
      <c r="P3784" s="7">
        <v>0</v>
      </c>
      <c r="Q3784" s="7" t="str">
        <f t="shared" si="1336"/>
        <v>都市整備部</v>
      </c>
      <c r="R3784" s="7" t="str">
        <f t="shared" si="1334"/>
        <v>住宅建築局住宅経営室</v>
      </c>
    </row>
    <row r="3785" spans="1:18" s="1" customFormat="1" x14ac:dyDescent="0.45">
      <c r="A3785" s="7" t="str">
        <f t="shared" si="1345"/>
        <v>09940003535</v>
      </c>
      <c r="B3785" s="7" t="str">
        <f t="shared" si="1346"/>
        <v>新千里北</v>
      </c>
      <c r="C3785" s="7" t="str">
        <f t="shared" si="1335"/>
        <v>行政財産</v>
      </c>
      <c r="D3785" s="7" t="str">
        <f t="shared" si="1344"/>
        <v>公営住宅</v>
      </c>
      <c r="E3785" s="7" t="str">
        <f t="shared" si="1347"/>
        <v>大阪府豊中市新千里北町３丁目</v>
      </c>
      <c r="F3785" s="7"/>
      <c r="G3785" s="7" t="str">
        <f t="shared" si="1333"/>
        <v>事業用資産</v>
      </c>
      <c r="H3785" s="7" t="str">
        <f t="shared" si="1350"/>
        <v>棚卸以外</v>
      </c>
      <c r="I3785" s="7">
        <v>23</v>
      </c>
      <c r="J3785" s="7" t="str">
        <f>"３６号棟増築"</f>
        <v>３６号棟増築</v>
      </c>
      <c r="K3785" s="7" t="str">
        <f t="shared" si="1349"/>
        <v>鉄筋コンクリート造</v>
      </c>
      <c r="L3785" s="7" t="str">
        <f>"S61.11.20"</f>
        <v>S61.11.20</v>
      </c>
      <c r="M3785" s="7">
        <v>643.78</v>
      </c>
      <c r="N3785" s="7">
        <v>101450000</v>
      </c>
      <c r="O3785" s="7">
        <v>78425936</v>
      </c>
      <c r="P3785" s="7">
        <v>0</v>
      </c>
      <c r="Q3785" s="7" t="str">
        <f t="shared" si="1336"/>
        <v>都市整備部</v>
      </c>
      <c r="R3785" s="7" t="str">
        <f t="shared" si="1334"/>
        <v>住宅建築局住宅経営室</v>
      </c>
    </row>
    <row r="3786" spans="1:18" s="1" customFormat="1" x14ac:dyDescent="0.45">
      <c r="A3786" s="7" t="str">
        <f t="shared" si="1345"/>
        <v>09940003535</v>
      </c>
      <c r="B3786" s="7" t="str">
        <f t="shared" si="1346"/>
        <v>新千里北</v>
      </c>
      <c r="C3786" s="7" t="str">
        <f t="shared" si="1335"/>
        <v>行政財産</v>
      </c>
      <c r="D3786" s="7" t="str">
        <f t="shared" si="1344"/>
        <v>公営住宅</v>
      </c>
      <c r="E3786" s="7" t="str">
        <f t="shared" si="1347"/>
        <v>大阪府豊中市新千里北町３丁目</v>
      </c>
      <c r="F3786" s="7"/>
      <c r="G3786" s="7" t="str">
        <f t="shared" si="1333"/>
        <v>事業用資産</v>
      </c>
      <c r="H3786" s="7" t="str">
        <f t="shared" si="1350"/>
        <v>棚卸以外</v>
      </c>
      <c r="I3786" s="7">
        <v>24</v>
      </c>
      <c r="J3786" s="7" t="str">
        <f>"３７号棟増築"</f>
        <v>３７号棟増築</v>
      </c>
      <c r="K3786" s="7" t="str">
        <f t="shared" si="1349"/>
        <v>鉄筋コンクリート造</v>
      </c>
      <c r="L3786" s="7" t="str">
        <f>"S61.11.20"</f>
        <v>S61.11.20</v>
      </c>
      <c r="M3786" s="7">
        <v>980.7</v>
      </c>
      <c r="N3786" s="7">
        <v>122918000</v>
      </c>
      <c r="O3786" s="7">
        <v>95021840</v>
      </c>
      <c r="P3786" s="7">
        <v>0</v>
      </c>
      <c r="Q3786" s="7" t="str">
        <f t="shared" si="1336"/>
        <v>都市整備部</v>
      </c>
      <c r="R3786" s="7" t="str">
        <f t="shared" si="1334"/>
        <v>住宅建築局住宅経営室</v>
      </c>
    </row>
    <row r="3787" spans="1:18" s="1" customFormat="1" x14ac:dyDescent="0.45">
      <c r="A3787" s="7" t="str">
        <f t="shared" si="1345"/>
        <v>09940003535</v>
      </c>
      <c r="B3787" s="7" t="str">
        <f t="shared" si="1346"/>
        <v>新千里北</v>
      </c>
      <c r="C3787" s="7" t="str">
        <f t="shared" si="1335"/>
        <v>行政財産</v>
      </c>
      <c r="D3787" s="7" t="str">
        <f t="shared" si="1344"/>
        <v>公営住宅</v>
      </c>
      <c r="E3787" s="7" t="str">
        <f t="shared" si="1347"/>
        <v>大阪府豊中市新千里北町３丁目</v>
      </c>
      <c r="F3787" s="7"/>
      <c r="G3787" s="7" t="str">
        <f t="shared" si="1333"/>
        <v>事業用資産</v>
      </c>
      <c r="H3787" s="7" t="str">
        <f t="shared" si="1350"/>
        <v>棚卸以外</v>
      </c>
      <c r="I3787" s="7">
        <v>25</v>
      </c>
      <c r="J3787" s="7" t="str">
        <f>"３９号棟増築"</f>
        <v>３９号棟増築</v>
      </c>
      <c r="K3787" s="7" t="str">
        <f t="shared" si="1349"/>
        <v>鉄筋コンクリート造</v>
      </c>
      <c r="L3787" s="7" t="str">
        <f>"S61.11.20"</f>
        <v>S61.11.20</v>
      </c>
      <c r="M3787" s="7">
        <v>735.52</v>
      </c>
      <c r="N3787" s="7">
        <v>90179000</v>
      </c>
      <c r="O3787" s="7">
        <v>69712912</v>
      </c>
      <c r="P3787" s="7">
        <v>0</v>
      </c>
      <c r="Q3787" s="7" t="str">
        <f t="shared" si="1336"/>
        <v>都市整備部</v>
      </c>
      <c r="R3787" s="7" t="str">
        <f t="shared" si="1334"/>
        <v>住宅建築局住宅経営室</v>
      </c>
    </row>
    <row r="3788" spans="1:18" s="1" customFormat="1" x14ac:dyDescent="0.45">
      <c r="A3788" s="7" t="str">
        <f t="shared" si="1345"/>
        <v>09940003535</v>
      </c>
      <c r="B3788" s="7" t="str">
        <f t="shared" si="1346"/>
        <v>新千里北</v>
      </c>
      <c r="C3788" s="7" t="str">
        <f t="shared" si="1335"/>
        <v>行政財産</v>
      </c>
      <c r="D3788" s="7" t="str">
        <f t="shared" si="1344"/>
        <v>公営住宅</v>
      </c>
      <c r="E3788" s="7" t="str">
        <f t="shared" si="1347"/>
        <v>大阪府豊中市新千里北町３丁目</v>
      </c>
      <c r="F3788" s="7"/>
      <c r="G3788" s="7" t="str">
        <f t="shared" si="1333"/>
        <v>事業用資産</v>
      </c>
      <c r="H3788" s="7" t="str">
        <f t="shared" si="1350"/>
        <v>棚卸以外</v>
      </c>
      <c r="I3788" s="7">
        <v>26</v>
      </c>
      <c r="J3788" s="7" t="str">
        <f>"１７号棟増築"</f>
        <v>１７号棟増築</v>
      </c>
      <c r="K3788" s="7" t="str">
        <f t="shared" si="1349"/>
        <v>鉄筋コンクリート造</v>
      </c>
      <c r="L3788" s="7" t="str">
        <f t="shared" ref="L3788:L3793" si="1351">"S62.02.26"</f>
        <v>S62.02.26</v>
      </c>
      <c r="M3788" s="7">
        <v>730.14</v>
      </c>
      <c r="N3788" s="7">
        <v>98725000</v>
      </c>
      <c r="O3788" s="7">
        <v>75794485</v>
      </c>
      <c r="P3788" s="7">
        <v>0</v>
      </c>
      <c r="Q3788" s="7" t="str">
        <f t="shared" si="1336"/>
        <v>都市整備部</v>
      </c>
      <c r="R3788" s="7" t="str">
        <f t="shared" si="1334"/>
        <v>住宅建築局住宅経営室</v>
      </c>
    </row>
    <row r="3789" spans="1:18" s="1" customFormat="1" x14ac:dyDescent="0.45">
      <c r="A3789" s="7" t="str">
        <f t="shared" si="1345"/>
        <v>09940003535</v>
      </c>
      <c r="B3789" s="7" t="str">
        <f t="shared" si="1346"/>
        <v>新千里北</v>
      </c>
      <c r="C3789" s="7" t="str">
        <f t="shared" si="1335"/>
        <v>行政財産</v>
      </c>
      <c r="D3789" s="7" t="str">
        <f t="shared" si="1344"/>
        <v>公営住宅</v>
      </c>
      <c r="E3789" s="7" t="str">
        <f t="shared" si="1347"/>
        <v>大阪府豊中市新千里北町３丁目</v>
      </c>
      <c r="F3789" s="7"/>
      <c r="G3789" s="7" t="str">
        <f t="shared" si="1333"/>
        <v>事業用資産</v>
      </c>
      <c r="H3789" s="7" t="str">
        <f t="shared" si="1350"/>
        <v>棚卸以外</v>
      </c>
      <c r="I3789" s="7">
        <v>28</v>
      </c>
      <c r="J3789" s="7" t="str">
        <f>"２１号棟増築"</f>
        <v>２１号棟増築</v>
      </c>
      <c r="K3789" s="7" t="str">
        <f t="shared" si="1349"/>
        <v>鉄筋コンクリート造</v>
      </c>
      <c r="L3789" s="7" t="str">
        <f t="shared" si="1351"/>
        <v>S62.02.26</v>
      </c>
      <c r="M3789" s="7">
        <v>657</v>
      </c>
      <c r="N3789" s="7">
        <v>96554000</v>
      </c>
      <c r="O3789" s="7">
        <v>74127868</v>
      </c>
      <c r="P3789" s="7">
        <v>0</v>
      </c>
      <c r="Q3789" s="7" t="str">
        <f t="shared" si="1336"/>
        <v>都市整備部</v>
      </c>
      <c r="R3789" s="7" t="str">
        <f t="shared" si="1334"/>
        <v>住宅建築局住宅経営室</v>
      </c>
    </row>
    <row r="3790" spans="1:18" s="1" customFormat="1" x14ac:dyDescent="0.45">
      <c r="A3790" s="7" t="str">
        <f t="shared" si="1345"/>
        <v>09940003535</v>
      </c>
      <c r="B3790" s="7" t="str">
        <f t="shared" si="1346"/>
        <v>新千里北</v>
      </c>
      <c r="C3790" s="7" t="str">
        <f t="shared" si="1335"/>
        <v>行政財産</v>
      </c>
      <c r="D3790" s="7" t="str">
        <f t="shared" si="1344"/>
        <v>公営住宅</v>
      </c>
      <c r="E3790" s="7" t="str">
        <f t="shared" si="1347"/>
        <v>大阪府豊中市新千里北町３丁目</v>
      </c>
      <c r="F3790" s="7"/>
      <c r="G3790" s="7" t="str">
        <f t="shared" si="1333"/>
        <v>事業用資産</v>
      </c>
      <c r="H3790" s="7" t="str">
        <f t="shared" si="1350"/>
        <v>棚卸以外</v>
      </c>
      <c r="I3790" s="7">
        <v>29</v>
      </c>
      <c r="J3790" s="7" t="str">
        <f>"２２号棟増築"</f>
        <v>２２号棟増築</v>
      </c>
      <c r="K3790" s="7" t="str">
        <f t="shared" si="1349"/>
        <v>鉄筋コンクリート造</v>
      </c>
      <c r="L3790" s="7" t="str">
        <f t="shared" si="1351"/>
        <v>S62.02.26</v>
      </c>
      <c r="M3790" s="7">
        <v>627.9</v>
      </c>
      <c r="N3790" s="7">
        <v>93139000</v>
      </c>
      <c r="O3790" s="7">
        <v>71506053</v>
      </c>
      <c r="P3790" s="7">
        <v>0</v>
      </c>
      <c r="Q3790" s="7" t="str">
        <f t="shared" si="1336"/>
        <v>都市整備部</v>
      </c>
      <c r="R3790" s="7" t="str">
        <f t="shared" si="1334"/>
        <v>住宅建築局住宅経営室</v>
      </c>
    </row>
    <row r="3791" spans="1:18" s="1" customFormat="1" x14ac:dyDescent="0.45">
      <c r="A3791" s="7" t="str">
        <f t="shared" si="1345"/>
        <v>09940003535</v>
      </c>
      <c r="B3791" s="7" t="str">
        <f t="shared" si="1346"/>
        <v>新千里北</v>
      </c>
      <c r="C3791" s="7" t="str">
        <f t="shared" si="1335"/>
        <v>行政財産</v>
      </c>
      <c r="D3791" s="7" t="str">
        <f t="shared" si="1344"/>
        <v>公営住宅</v>
      </c>
      <c r="E3791" s="7" t="str">
        <f t="shared" si="1347"/>
        <v>大阪府豊中市新千里北町３丁目</v>
      </c>
      <c r="F3791" s="7"/>
      <c r="G3791" s="7" t="str">
        <f t="shared" si="1333"/>
        <v>事業用資産</v>
      </c>
      <c r="H3791" s="7" t="str">
        <f t="shared" si="1350"/>
        <v>棚卸以外</v>
      </c>
      <c r="I3791" s="7">
        <v>30</v>
      </c>
      <c r="J3791" s="7" t="str">
        <f>"３２号棟増築"</f>
        <v>３２号棟増築</v>
      </c>
      <c r="K3791" s="7" t="str">
        <f t="shared" si="1349"/>
        <v>鉄筋コンクリート造</v>
      </c>
      <c r="L3791" s="7" t="str">
        <f t="shared" si="1351"/>
        <v>S62.02.26</v>
      </c>
      <c r="M3791" s="7">
        <v>490.35</v>
      </c>
      <c r="N3791" s="7">
        <v>66634000</v>
      </c>
      <c r="O3791" s="7">
        <v>51157218</v>
      </c>
      <c r="P3791" s="7">
        <v>0</v>
      </c>
      <c r="Q3791" s="7" t="str">
        <f t="shared" si="1336"/>
        <v>都市整備部</v>
      </c>
      <c r="R3791" s="7" t="str">
        <f t="shared" si="1334"/>
        <v>住宅建築局住宅経営室</v>
      </c>
    </row>
    <row r="3792" spans="1:18" s="1" customFormat="1" x14ac:dyDescent="0.45">
      <c r="A3792" s="7" t="str">
        <f t="shared" si="1345"/>
        <v>09940003535</v>
      </c>
      <c r="B3792" s="7" t="str">
        <f t="shared" si="1346"/>
        <v>新千里北</v>
      </c>
      <c r="C3792" s="7" t="str">
        <f t="shared" si="1335"/>
        <v>行政財産</v>
      </c>
      <c r="D3792" s="7" t="str">
        <f t="shared" si="1344"/>
        <v>公営住宅</v>
      </c>
      <c r="E3792" s="7" t="str">
        <f t="shared" si="1347"/>
        <v>大阪府豊中市新千里北町３丁目</v>
      </c>
      <c r="F3792" s="7"/>
      <c r="G3792" s="7" t="str">
        <f t="shared" si="1333"/>
        <v>事業用資産</v>
      </c>
      <c r="H3792" s="7" t="str">
        <f t="shared" si="1350"/>
        <v>棚卸以外</v>
      </c>
      <c r="I3792" s="7">
        <v>31</v>
      </c>
      <c r="J3792" s="7" t="str">
        <f>"３３号棟増築"</f>
        <v>３３号棟増築</v>
      </c>
      <c r="K3792" s="7" t="str">
        <f t="shared" si="1349"/>
        <v>鉄筋コンクリート造</v>
      </c>
      <c r="L3792" s="7" t="str">
        <f t="shared" si="1351"/>
        <v>S62.02.26</v>
      </c>
      <c r="M3792" s="7">
        <v>735.62</v>
      </c>
      <c r="N3792" s="7">
        <v>99599000</v>
      </c>
      <c r="O3792" s="7">
        <v>76465202</v>
      </c>
      <c r="P3792" s="7">
        <v>0</v>
      </c>
      <c r="Q3792" s="7" t="str">
        <f t="shared" si="1336"/>
        <v>都市整備部</v>
      </c>
      <c r="R3792" s="7" t="str">
        <f t="shared" si="1334"/>
        <v>住宅建築局住宅経営室</v>
      </c>
    </row>
    <row r="3793" spans="1:18" s="1" customFormat="1" x14ac:dyDescent="0.45">
      <c r="A3793" s="7" t="str">
        <f t="shared" si="1345"/>
        <v>09940003535</v>
      </c>
      <c r="B3793" s="7" t="str">
        <f t="shared" si="1346"/>
        <v>新千里北</v>
      </c>
      <c r="C3793" s="7" t="str">
        <f t="shared" si="1335"/>
        <v>行政財産</v>
      </c>
      <c r="D3793" s="7" t="str">
        <f t="shared" si="1344"/>
        <v>公営住宅</v>
      </c>
      <c r="E3793" s="7" t="str">
        <f t="shared" si="1347"/>
        <v>大阪府豊中市新千里北町３丁目</v>
      </c>
      <c r="F3793" s="7"/>
      <c r="G3793" s="7" t="str">
        <f t="shared" si="1333"/>
        <v>事業用資産</v>
      </c>
      <c r="H3793" s="7" t="str">
        <f t="shared" si="1350"/>
        <v>棚卸以外</v>
      </c>
      <c r="I3793" s="7">
        <v>32</v>
      </c>
      <c r="J3793" s="7" t="str">
        <f>"４０号棟増築"</f>
        <v>４０号棟増築</v>
      </c>
      <c r="K3793" s="7" t="str">
        <f t="shared" si="1349"/>
        <v>鉄筋コンクリート造</v>
      </c>
      <c r="L3793" s="7" t="str">
        <f t="shared" si="1351"/>
        <v>S62.02.26</v>
      </c>
      <c r="M3793" s="7">
        <v>735.52</v>
      </c>
      <c r="N3793" s="7">
        <v>98610000</v>
      </c>
      <c r="O3793" s="7">
        <v>75706153</v>
      </c>
      <c r="P3793" s="7">
        <v>0</v>
      </c>
      <c r="Q3793" s="7" t="str">
        <f t="shared" si="1336"/>
        <v>都市整備部</v>
      </c>
      <c r="R3793" s="7" t="str">
        <f t="shared" si="1334"/>
        <v>住宅建築局住宅経営室</v>
      </c>
    </row>
    <row r="3794" spans="1:18" s="1" customFormat="1" x14ac:dyDescent="0.45">
      <c r="A3794" s="7" t="str">
        <f t="shared" si="1345"/>
        <v>09940003535</v>
      </c>
      <c r="B3794" s="7" t="str">
        <f t="shared" si="1346"/>
        <v>新千里北</v>
      </c>
      <c r="C3794" s="7" t="str">
        <f t="shared" si="1335"/>
        <v>行政財産</v>
      </c>
      <c r="D3794" s="7" t="str">
        <f t="shared" si="1344"/>
        <v>公営住宅</v>
      </c>
      <c r="E3794" s="7" t="str">
        <f t="shared" si="1347"/>
        <v>大阪府豊中市新千里北町３丁目</v>
      </c>
      <c r="F3794" s="7"/>
      <c r="G3794" s="7" t="str">
        <f t="shared" si="1333"/>
        <v>事業用資産</v>
      </c>
      <c r="H3794" s="7" t="str">
        <f t="shared" si="1350"/>
        <v>棚卸以外</v>
      </c>
      <c r="I3794" s="7">
        <v>33</v>
      </c>
      <c r="J3794" s="7" t="str">
        <f>"３８号棟増築"</f>
        <v>３８号棟増築</v>
      </c>
      <c r="K3794" s="7" t="str">
        <f t="shared" si="1349"/>
        <v>鉄筋コンクリート造</v>
      </c>
      <c r="L3794" s="7" t="str">
        <f>"S61.11.20"</f>
        <v>S61.11.20</v>
      </c>
      <c r="M3794" s="7">
        <v>616.89</v>
      </c>
      <c r="N3794" s="7">
        <v>83799000</v>
      </c>
      <c r="O3794" s="7">
        <v>64780880</v>
      </c>
      <c r="P3794" s="7">
        <v>0</v>
      </c>
      <c r="Q3794" s="7" t="str">
        <f t="shared" si="1336"/>
        <v>都市整備部</v>
      </c>
      <c r="R3794" s="7" t="str">
        <f t="shared" si="1334"/>
        <v>住宅建築局住宅経営室</v>
      </c>
    </row>
    <row r="3795" spans="1:18" s="1" customFormat="1" x14ac:dyDescent="0.45">
      <c r="A3795" s="7" t="str">
        <f t="shared" si="1345"/>
        <v>09940003535</v>
      </c>
      <c r="B3795" s="7" t="str">
        <f t="shared" si="1346"/>
        <v>新千里北</v>
      </c>
      <c r="C3795" s="7" t="str">
        <f t="shared" si="1335"/>
        <v>行政財産</v>
      </c>
      <c r="D3795" s="7" t="str">
        <f t="shared" si="1344"/>
        <v>公営住宅</v>
      </c>
      <c r="E3795" s="7" t="str">
        <f t="shared" si="1347"/>
        <v>大阪府豊中市新千里北町３丁目</v>
      </c>
      <c r="F3795" s="7"/>
      <c r="G3795" s="7" t="str">
        <f t="shared" si="1333"/>
        <v>事業用資産</v>
      </c>
      <c r="H3795" s="7" t="str">
        <f t="shared" si="1350"/>
        <v>棚卸以外</v>
      </c>
      <c r="I3795" s="7">
        <v>38</v>
      </c>
      <c r="J3795" s="7" t="str">
        <f>"１号棟増築"</f>
        <v>１号棟増築</v>
      </c>
      <c r="K3795" s="7" t="str">
        <f t="shared" si="1349"/>
        <v>鉄筋コンクリート造</v>
      </c>
      <c r="L3795" s="7" t="str">
        <f>"S62.08.27"</f>
        <v>S62.08.27</v>
      </c>
      <c r="M3795" s="7">
        <v>868.09</v>
      </c>
      <c r="N3795" s="7">
        <v>119348000</v>
      </c>
      <c r="O3795" s="7">
        <v>90357470</v>
      </c>
      <c r="P3795" s="7">
        <v>0</v>
      </c>
      <c r="Q3795" s="7" t="str">
        <f t="shared" si="1336"/>
        <v>都市整備部</v>
      </c>
      <c r="R3795" s="7" t="str">
        <f t="shared" si="1334"/>
        <v>住宅建築局住宅経営室</v>
      </c>
    </row>
    <row r="3796" spans="1:18" s="1" customFormat="1" x14ac:dyDescent="0.45">
      <c r="A3796" s="7" t="str">
        <f t="shared" si="1345"/>
        <v>09940003535</v>
      </c>
      <c r="B3796" s="7" t="str">
        <f t="shared" si="1346"/>
        <v>新千里北</v>
      </c>
      <c r="C3796" s="7" t="str">
        <f t="shared" si="1335"/>
        <v>行政財産</v>
      </c>
      <c r="D3796" s="7" t="str">
        <f t="shared" si="1344"/>
        <v>公営住宅</v>
      </c>
      <c r="E3796" s="7" t="str">
        <f t="shared" si="1347"/>
        <v>大阪府豊中市新千里北町３丁目</v>
      </c>
      <c r="F3796" s="7"/>
      <c r="G3796" s="7" t="str">
        <f t="shared" si="1333"/>
        <v>事業用資産</v>
      </c>
      <c r="H3796" s="7" t="str">
        <f t="shared" si="1350"/>
        <v>棚卸以外</v>
      </c>
      <c r="I3796" s="7">
        <v>39</v>
      </c>
      <c r="J3796" s="7" t="str">
        <f>"２号棟増築"</f>
        <v>２号棟増築</v>
      </c>
      <c r="K3796" s="7" t="str">
        <f t="shared" si="1349"/>
        <v>鉄筋コンクリート造</v>
      </c>
      <c r="L3796" s="7" t="str">
        <f>"S62.08.27"</f>
        <v>S62.08.27</v>
      </c>
      <c r="M3796" s="7">
        <v>992.1</v>
      </c>
      <c r="N3796" s="7">
        <v>130354000</v>
      </c>
      <c r="O3796" s="7">
        <v>98690375</v>
      </c>
      <c r="P3796" s="7">
        <v>0</v>
      </c>
      <c r="Q3796" s="7" t="str">
        <f t="shared" si="1336"/>
        <v>都市整備部</v>
      </c>
      <c r="R3796" s="7" t="str">
        <f t="shared" si="1334"/>
        <v>住宅建築局住宅経営室</v>
      </c>
    </row>
    <row r="3797" spans="1:18" s="1" customFormat="1" x14ac:dyDescent="0.45">
      <c r="A3797" s="7" t="str">
        <f t="shared" si="1345"/>
        <v>09940003535</v>
      </c>
      <c r="B3797" s="7" t="str">
        <f t="shared" si="1346"/>
        <v>新千里北</v>
      </c>
      <c r="C3797" s="7" t="str">
        <f t="shared" si="1335"/>
        <v>行政財産</v>
      </c>
      <c r="D3797" s="7" t="str">
        <f t="shared" si="1344"/>
        <v>公営住宅</v>
      </c>
      <c r="E3797" s="7" t="str">
        <f t="shared" si="1347"/>
        <v>大阪府豊中市新千里北町３丁目</v>
      </c>
      <c r="F3797" s="7"/>
      <c r="G3797" s="7" t="str">
        <f t="shared" si="1333"/>
        <v>事業用資産</v>
      </c>
      <c r="H3797" s="7" t="str">
        <f t="shared" si="1350"/>
        <v>棚卸以外</v>
      </c>
      <c r="I3797" s="7">
        <v>40</v>
      </c>
      <c r="J3797" s="7" t="str">
        <f>"３号棟増築"</f>
        <v>３号棟増築</v>
      </c>
      <c r="K3797" s="7" t="str">
        <f t="shared" si="1349"/>
        <v>鉄筋コンクリート造</v>
      </c>
      <c r="L3797" s="7" t="str">
        <f>"S62.08.27"</f>
        <v>S62.08.27</v>
      </c>
      <c r="M3797" s="7">
        <v>744.08</v>
      </c>
      <c r="N3797" s="7">
        <v>99596000</v>
      </c>
      <c r="O3797" s="7">
        <v>75403503</v>
      </c>
      <c r="P3797" s="7">
        <v>0</v>
      </c>
      <c r="Q3797" s="7" t="str">
        <f t="shared" si="1336"/>
        <v>都市整備部</v>
      </c>
      <c r="R3797" s="7" t="str">
        <f t="shared" si="1334"/>
        <v>住宅建築局住宅経営室</v>
      </c>
    </row>
    <row r="3798" spans="1:18" s="1" customFormat="1" x14ac:dyDescent="0.45">
      <c r="A3798" s="7" t="str">
        <f t="shared" si="1345"/>
        <v>09940003535</v>
      </c>
      <c r="B3798" s="7" t="str">
        <f t="shared" si="1346"/>
        <v>新千里北</v>
      </c>
      <c r="C3798" s="7" t="str">
        <f t="shared" si="1335"/>
        <v>行政財産</v>
      </c>
      <c r="D3798" s="7" t="str">
        <f t="shared" si="1344"/>
        <v>公営住宅</v>
      </c>
      <c r="E3798" s="7" t="str">
        <f t="shared" si="1347"/>
        <v>大阪府豊中市新千里北町３丁目</v>
      </c>
      <c r="F3798" s="7"/>
      <c r="G3798" s="7" t="str">
        <f t="shared" si="1333"/>
        <v>事業用資産</v>
      </c>
      <c r="H3798" s="7" t="str">
        <f t="shared" si="1350"/>
        <v>棚卸以外</v>
      </c>
      <c r="I3798" s="7">
        <v>41</v>
      </c>
      <c r="J3798" s="7" t="str">
        <f>"４号棟増築"</f>
        <v>４号棟増築</v>
      </c>
      <c r="K3798" s="7" t="str">
        <f t="shared" si="1349"/>
        <v>鉄筋コンクリート造</v>
      </c>
      <c r="L3798" s="7" t="str">
        <f>"S62.08.27"</f>
        <v>S62.08.27</v>
      </c>
      <c r="M3798" s="7">
        <v>744.08</v>
      </c>
      <c r="N3798" s="7">
        <v>99575000</v>
      </c>
      <c r="O3798" s="7">
        <v>75387704</v>
      </c>
      <c r="P3798" s="7">
        <v>0</v>
      </c>
      <c r="Q3798" s="7" t="str">
        <f t="shared" si="1336"/>
        <v>都市整備部</v>
      </c>
      <c r="R3798" s="7" t="str">
        <f t="shared" si="1334"/>
        <v>住宅建築局住宅経営室</v>
      </c>
    </row>
    <row r="3799" spans="1:18" s="1" customFormat="1" x14ac:dyDescent="0.45">
      <c r="A3799" s="7" t="str">
        <f t="shared" si="1345"/>
        <v>09940003535</v>
      </c>
      <c r="B3799" s="7" t="str">
        <f t="shared" si="1346"/>
        <v>新千里北</v>
      </c>
      <c r="C3799" s="7" t="str">
        <f t="shared" si="1335"/>
        <v>行政財産</v>
      </c>
      <c r="D3799" s="7" t="str">
        <f t="shared" si="1344"/>
        <v>公営住宅</v>
      </c>
      <c r="E3799" s="7" t="str">
        <f t="shared" si="1347"/>
        <v>大阪府豊中市新千里北町３丁目</v>
      </c>
      <c r="F3799" s="7"/>
      <c r="G3799" s="7" t="str">
        <f t="shared" ref="G3799:G3862" si="1352">"事業用資産"</f>
        <v>事業用資産</v>
      </c>
      <c r="H3799" s="7" t="str">
        <f t="shared" si="1350"/>
        <v>棚卸以外</v>
      </c>
      <c r="I3799" s="7">
        <v>42</v>
      </c>
      <c r="J3799" s="7" t="str">
        <f>"４１号棟増築"</f>
        <v>４１号棟増築</v>
      </c>
      <c r="K3799" s="7" t="str">
        <f t="shared" si="1349"/>
        <v>鉄筋コンクリート造</v>
      </c>
      <c r="L3799" s="7" t="str">
        <f>"S62.08.27"</f>
        <v>S62.08.27</v>
      </c>
      <c r="M3799" s="7">
        <v>386.46</v>
      </c>
      <c r="N3799" s="7">
        <v>74845000</v>
      </c>
      <c r="O3799" s="7">
        <v>56664608</v>
      </c>
      <c r="P3799" s="7">
        <v>0</v>
      </c>
      <c r="Q3799" s="7" t="str">
        <f t="shared" si="1336"/>
        <v>都市整備部</v>
      </c>
      <c r="R3799" s="7" t="str">
        <f t="shared" si="1334"/>
        <v>住宅建築局住宅経営室</v>
      </c>
    </row>
    <row r="3800" spans="1:18" s="1" customFormat="1" x14ac:dyDescent="0.45">
      <c r="A3800" s="7" t="str">
        <f t="shared" si="1345"/>
        <v>09940003535</v>
      </c>
      <c r="B3800" s="7" t="str">
        <f t="shared" si="1346"/>
        <v>新千里北</v>
      </c>
      <c r="C3800" s="7" t="str">
        <f t="shared" si="1335"/>
        <v>行政財産</v>
      </c>
      <c r="D3800" s="7" t="str">
        <f t="shared" si="1344"/>
        <v>公営住宅</v>
      </c>
      <c r="E3800" s="7" t="str">
        <f t="shared" si="1347"/>
        <v>大阪府豊中市新千里北町３丁目</v>
      </c>
      <c r="F3800" s="7"/>
      <c r="G3800" s="7" t="str">
        <f t="shared" si="1352"/>
        <v>事業用資産</v>
      </c>
      <c r="H3800" s="7" t="str">
        <f t="shared" si="1350"/>
        <v>棚卸以外</v>
      </c>
      <c r="I3800" s="7">
        <v>43</v>
      </c>
      <c r="J3800" s="7" t="str">
        <f>"４２号棟増築"</f>
        <v>４２号棟増築</v>
      </c>
      <c r="K3800" s="7" t="str">
        <f t="shared" si="1349"/>
        <v>鉄筋コンクリート造</v>
      </c>
      <c r="L3800" s="7" t="str">
        <f>"S62.10.27"</f>
        <v>S62.10.27</v>
      </c>
      <c r="M3800" s="7">
        <v>735.52</v>
      </c>
      <c r="N3800" s="7">
        <v>97846000</v>
      </c>
      <c r="O3800" s="7">
        <v>73731550</v>
      </c>
      <c r="P3800" s="7">
        <v>0</v>
      </c>
      <c r="Q3800" s="7" t="str">
        <f t="shared" si="1336"/>
        <v>都市整備部</v>
      </c>
      <c r="R3800" s="7" t="str">
        <f t="shared" ref="R3800:R3863" si="1353">"住宅建築局住宅経営室"</f>
        <v>住宅建築局住宅経営室</v>
      </c>
    </row>
    <row r="3801" spans="1:18" s="1" customFormat="1" x14ac:dyDescent="0.45">
      <c r="A3801" s="7" t="str">
        <f t="shared" si="1345"/>
        <v>09940003535</v>
      </c>
      <c r="B3801" s="7" t="str">
        <f t="shared" si="1346"/>
        <v>新千里北</v>
      </c>
      <c r="C3801" s="7" t="str">
        <f t="shared" si="1335"/>
        <v>行政財産</v>
      </c>
      <c r="D3801" s="7" t="str">
        <f t="shared" si="1344"/>
        <v>公営住宅</v>
      </c>
      <c r="E3801" s="7" t="str">
        <f t="shared" si="1347"/>
        <v>大阪府豊中市新千里北町３丁目</v>
      </c>
      <c r="F3801" s="7"/>
      <c r="G3801" s="7" t="str">
        <f t="shared" si="1352"/>
        <v>事業用資産</v>
      </c>
      <c r="H3801" s="7" t="str">
        <f t="shared" si="1350"/>
        <v>棚卸以外</v>
      </c>
      <c r="I3801" s="7">
        <v>44</v>
      </c>
      <c r="J3801" s="7" t="str">
        <f>"４３号棟増築"</f>
        <v>４３号棟増築</v>
      </c>
      <c r="K3801" s="7" t="str">
        <f t="shared" si="1349"/>
        <v>鉄筋コンクリート造</v>
      </c>
      <c r="L3801" s="7" t="str">
        <f>"S62.10.27"</f>
        <v>S62.10.27</v>
      </c>
      <c r="M3801" s="7">
        <v>619.16999999999996</v>
      </c>
      <c r="N3801" s="7">
        <v>90307000</v>
      </c>
      <c r="O3801" s="7">
        <v>68050575</v>
      </c>
      <c r="P3801" s="7">
        <v>0</v>
      </c>
      <c r="Q3801" s="7" t="str">
        <f t="shared" si="1336"/>
        <v>都市整備部</v>
      </c>
      <c r="R3801" s="7" t="str">
        <f t="shared" si="1353"/>
        <v>住宅建築局住宅経営室</v>
      </c>
    </row>
    <row r="3802" spans="1:18" s="1" customFormat="1" x14ac:dyDescent="0.45">
      <c r="A3802" s="7" t="str">
        <f t="shared" si="1345"/>
        <v>09940003535</v>
      </c>
      <c r="B3802" s="7" t="str">
        <f t="shared" si="1346"/>
        <v>新千里北</v>
      </c>
      <c r="C3802" s="7" t="str">
        <f t="shared" ref="C3802:C3865" si="1354">"行政財産"</f>
        <v>行政財産</v>
      </c>
      <c r="D3802" s="7" t="str">
        <f t="shared" si="1344"/>
        <v>公営住宅</v>
      </c>
      <c r="E3802" s="7" t="str">
        <f t="shared" si="1347"/>
        <v>大阪府豊中市新千里北町３丁目</v>
      </c>
      <c r="F3802" s="7"/>
      <c r="G3802" s="7" t="str">
        <f t="shared" si="1352"/>
        <v>事業用資産</v>
      </c>
      <c r="H3802" s="7" t="str">
        <f t="shared" si="1350"/>
        <v>棚卸以外</v>
      </c>
      <c r="I3802" s="7">
        <v>45</v>
      </c>
      <c r="J3802" s="7" t="str">
        <f>"４４号棟増築"</f>
        <v>４４号棟増築</v>
      </c>
      <c r="K3802" s="7" t="str">
        <f t="shared" si="1349"/>
        <v>鉄筋コンクリート造</v>
      </c>
      <c r="L3802" s="7" t="str">
        <f>"S62.10.27"</f>
        <v>S62.10.27</v>
      </c>
      <c r="M3802" s="7">
        <v>482.84</v>
      </c>
      <c r="N3802" s="7">
        <v>82378000</v>
      </c>
      <c r="O3802" s="7">
        <v>62075925</v>
      </c>
      <c r="P3802" s="7">
        <v>0</v>
      </c>
      <c r="Q3802" s="7" t="str">
        <f t="shared" si="1336"/>
        <v>都市整備部</v>
      </c>
      <c r="R3802" s="7" t="str">
        <f t="shared" si="1353"/>
        <v>住宅建築局住宅経営室</v>
      </c>
    </row>
    <row r="3803" spans="1:18" s="1" customFormat="1" x14ac:dyDescent="0.45">
      <c r="A3803" s="7" t="str">
        <f t="shared" si="1345"/>
        <v>09940003535</v>
      </c>
      <c r="B3803" s="7" t="str">
        <f t="shared" si="1346"/>
        <v>新千里北</v>
      </c>
      <c r="C3803" s="7" t="str">
        <f t="shared" si="1354"/>
        <v>行政財産</v>
      </c>
      <c r="D3803" s="7" t="str">
        <f t="shared" si="1344"/>
        <v>公営住宅</v>
      </c>
      <c r="E3803" s="7" t="str">
        <f t="shared" si="1347"/>
        <v>大阪府豊中市新千里北町３丁目</v>
      </c>
      <c r="F3803" s="7"/>
      <c r="G3803" s="7" t="str">
        <f t="shared" si="1352"/>
        <v>事業用資産</v>
      </c>
      <c r="H3803" s="7" t="str">
        <f t="shared" si="1350"/>
        <v>棚卸以外</v>
      </c>
      <c r="I3803" s="7">
        <v>46</v>
      </c>
      <c r="J3803" s="7" t="str">
        <f>"１０号棟増築"</f>
        <v>１０号棟増築</v>
      </c>
      <c r="K3803" s="7" t="str">
        <f t="shared" si="1349"/>
        <v>鉄筋コンクリート造</v>
      </c>
      <c r="L3803" s="7" t="str">
        <f t="shared" ref="L3803:L3808" si="1355">"S62.11.27"</f>
        <v>S62.11.27</v>
      </c>
      <c r="M3803" s="7">
        <v>211.23</v>
      </c>
      <c r="N3803" s="7">
        <v>44631000</v>
      </c>
      <c r="O3803" s="7">
        <v>33552392</v>
      </c>
      <c r="P3803" s="7">
        <v>0</v>
      </c>
      <c r="Q3803" s="7" t="str">
        <f t="shared" ref="Q3803:Q3866" si="1356">"都市整備部"</f>
        <v>都市整備部</v>
      </c>
      <c r="R3803" s="7" t="str">
        <f t="shared" si="1353"/>
        <v>住宅建築局住宅経営室</v>
      </c>
    </row>
    <row r="3804" spans="1:18" s="1" customFormat="1" x14ac:dyDescent="0.45">
      <c r="A3804" s="7" t="str">
        <f t="shared" si="1345"/>
        <v>09940003535</v>
      </c>
      <c r="B3804" s="7" t="str">
        <f t="shared" si="1346"/>
        <v>新千里北</v>
      </c>
      <c r="C3804" s="7" t="str">
        <f t="shared" si="1354"/>
        <v>行政財産</v>
      </c>
      <c r="D3804" s="7" t="str">
        <f t="shared" si="1344"/>
        <v>公営住宅</v>
      </c>
      <c r="E3804" s="7" t="str">
        <f t="shared" si="1347"/>
        <v>大阪府豊中市新千里北町３丁目</v>
      </c>
      <c r="F3804" s="7"/>
      <c r="G3804" s="7" t="str">
        <f t="shared" si="1352"/>
        <v>事業用資産</v>
      </c>
      <c r="H3804" s="7" t="str">
        <f t="shared" si="1350"/>
        <v>棚卸以外</v>
      </c>
      <c r="I3804" s="7">
        <v>47</v>
      </c>
      <c r="J3804" s="7" t="str">
        <f>"１１号棟増築"</f>
        <v>１１号棟増築</v>
      </c>
      <c r="K3804" s="7" t="str">
        <f t="shared" si="1349"/>
        <v>鉄筋コンクリート造</v>
      </c>
      <c r="L3804" s="7" t="str">
        <f t="shared" si="1355"/>
        <v>S62.11.27</v>
      </c>
      <c r="M3804" s="7">
        <v>211.23</v>
      </c>
      <c r="N3804" s="7">
        <v>44988000</v>
      </c>
      <c r="O3804" s="7">
        <v>33820784</v>
      </c>
      <c r="P3804" s="7">
        <v>0</v>
      </c>
      <c r="Q3804" s="7" t="str">
        <f t="shared" si="1356"/>
        <v>都市整備部</v>
      </c>
      <c r="R3804" s="7" t="str">
        <f t="shared" si="1353"/>
        <v>住宅建築局住宅経営室</v>
      </c>
    </row>
    <row r="3805" spans="1:18" s="1" customFormat="1" x14ac:dyDescent="0.45">
      <c r="A3805" s="7" t="str">
        <f t="shared" si="1345"/>
        <v>09940003535</v>
      </c>
      <c r="B3805" s="7" t="str">
        <f t="shared" si="1346"/>
        <v>新千里北</v>
      </c>
      <c r="C3805" s="7" t="str">
        <f t="shared" si="1354"/>
        <v>行政財産</v>
      </c>
      <c r="D3805" s="7" t="str">
        <f t="shared" si="1344"/>
        <v>公営住宅</v>
      </c>
      <c r="E3805" s="7" t="str">
        <f t="shared" si="1347"/>
        <v>大阪府豊中市新千里北町３丁目</v>
      </c>
      <c r="F3805" s="7"/>
      <c r="G3805" s="7" t="str">
        <f t="shared" si="1352"/>
        <v>事業用資産</v>
      </c>
      <c r="H3805" s="7" t="str">
        <f t="shared" si="1350"/>
        <v>棚卸以外</v>
      </c>
      <c r="I3805" s="7">
        <v>48</v>
      </c>
      <c r="J3805" s="7" t="str">
        <f>"１２号棟増築"</f>
        <v>１２号棟増築</v>
      </c>
      <c r="K3805" s="7" t="str">
        <f t="shared" si="1349"/>
        <v>鉄筋コンクリート造</v>
      </c>
      <c r="L3805" s="7" t="str">
        <f t="shared" si="1355"/>
        <v>S62.11.27</v>
      </c>
      <c r="M3805" s="7">
        <v>211.23</v>
      </c>
      <c r="N3805" s="7">
        <v>44998000</v>
      </c>
      <c r="O3805" s="7">
        <v>33828416</v>
      </c>
      <c r="P3805" s="7">
        <v>0</v>
      </c>
      <c r="Q3805" s="7" t="str">
        <f t="shared" si="1356"/>
        <v>都市整備部</v>
      </c>
      <c r="R3805" s="7" t="str">
        <f t="shared" si="1353"/>
        <v>住宅建築局住宅経営室</v>
      </c>
    </row>
    <row r="3806" spans="1:18" s="1" customFormat="1" x14ac:dyDescent="0.45">
      <c r="A3806" s="7" t="str">
        <f t="shared" si="1345"/>
        <v>09940003535</v>
      </c>
      <c r="B3806" s="7" t="str">
        <f t="shared" si="1346"/>
        <v>新千里北</v>
      </c>
      <c r="C3806" s="7" t="str">
        <f t="shared" si="1354"/>
        <v>行政財産</v>
      </c>
      <c r="D3806" s="7" t="str">
        <f t="shared" si="1344"/>
        <v>公営住宅</v>
      </c>
      <c r="E3806" s="7" t="str">
        <f t="shared" si="1347"/>
        <v>大阪府豊中市新千里北町３丁目</v>
      </c>
      <c r="F3806" s="7"/>
      <c r="G3806" s="7" t="str">
        <f t="shared" si="1352"/>
        <v>事業用資産</v>
      </c>
      <c r="H3806" s="7" t="str">
        <f t="shared" si="1350"/>
        <v>棚卸以外</v>
      </c>
      <c r="I3806" s="7">
        <v>49</v>
      </c>
      <c r="J3806" s="7" t="str">
        <f>"１３号棟増築"</f>
        <v>１３号棟増築</v>
      </c>
      <c r="K3806" s="7" t="str">
        <f t="shared" si="1349"/>
        <v>鉄筋コンクリート造</v>
      </c>
      <c r="L3806" s="7" t="str">
        <f t="shared" si="1355"/>
        <v>S62.11.27</v>
      </c>
      <c r="M3806" s="7">
        <v>211.23</v>
      </c>
      <c r="N3806" s="7">
        <v>44661000</v>
      </c>
      <c r="O3806" s="7">
        <v>33575288</v>
      </c>
      <c r="P3806" s="7">
        <v>0</v>
      </c>
      <c r="Q3806" s="7" t="str">
        <f t="shared" si="1356"/>
        <v>都市整備部</v>
      </c>
      <c r="R3806" s="7" t="str">
        <f t="shared" si="1353"/>
        <v>住宅建築局住宅経営室</v>
      </c>
    </row>
    <row r="3807" spans="1:18" s="1" customFormat="1" x14ac:dyDescent="0.45">
      <c r="A3807" s="7" t="str">
        <f t="shared" si="1345"/>
        <v>09940003535</v>
      </c>
      <c r="B3807" s="7" t="str">
        <f t="shared" si="1346"/>
        <v>新千里北</v>
      </c>
      <c r="C3807" s="7" t="str">
        <f t="shared" si="1354"/>
        <v>行政財産</v>
      </c>
      <c r="D3807" s="7" t="str">
        <f t="shared" si="1344"/>
        <v>公営住宅</v>
      </c>
      <c r="E3807" s="7" t="str">
        <f t="shared" si="1347"/>
        <v>大阪府豊中市新千里北町３丁目</v>
      </c>
      <c r="F3807" s="7"/>
      <c r="G3807" s="7" t="str">
        <f t="shared" si="1352"/>
        <v>事業用資産</v>
      </c>
      <c r="H3807" s="7" t="str">
        <f t="shared" si="1350"/>
        <v>棚卸以外</v>
      </c>
      <c r="I3807" s="7">
        <v>50</v>
      </c>
      <c r="J3807" s="7" t="str">
        <f>"１４号棟増築"</f>
        <v>１４号棟増築</v>
      </c>
      <c r="K3807" s="7" t="str">
        <f t="shared" si="1349"/>
        <v>鉄筋コンクリート造</v>
      </c>
      <c r="L3807" s="7" t="str">
        <f t="shared" si="1355"/>
        <v>S62.11.27</v>
      </c>
      <c r="M3807" s="7">
        <v>211.23</v>
      </c>
      <c r="N3807" s="7">
        <v>44698000</v>
      </c>
      <c r="O3807" s="7">
        <v>33602848</v>
      </c>
      <c r="P3807" s="7">
        <v>0</v>
      </c>
      <c r="Q3807" s="7" t="str">
        <f t="shared" si="1356"/>
        <v>都市整備部</v>
      </c>
      <c r="R3807" s="7" t="str">
        <f t="shared" si="1353"/>
        <v>住宅建築局住宅経営室</v>
      </c>
    </row>
    <row r="3808" spans="1:18" s="1" customFormat="1" x14ac:dyDescent="0.45">
      <c r="A3808" s="7" t="str">
        <f t="shared" si="1345"/>
        <v>09940003535</v>
      </c>
      <c r="B3808" s="7" t="str">
        <f t="shared" si="1346"/>
        <v>新千里北</v>
      </c>
      <c r="C3808" s="7" t="str">
        <f t="shared" si="1354"/>
        <v>行政財産</v>
      </c>
      <c r="D3808" s="7" t="str">
        <f t="shared" si="1344"/>
        <v>公営住宅</v>
      </c>
      <c r="E3808" s="7" t="str">
        <f t="shared" si="1347"/>
        <v>大阪府豊中市新千里北町３丁目</v>
      </c>
      <c r="F3808" s="7"/>
      <c r="G3808" s="7" t="str">
        <f t="shared" si="1352"/>
        <v>事業用資産</v>
      </c>
      <c r="H3808" s="7" t="str">
        <f t="shared" si="1350"/>
        <v>棚卸以外</v>
      </c>
      <c r="I3808" s="7">
        <v>51</v>
      </c>
      <c r="J3808" s="7" t="str">
        <f>"１８号棟増築"</f>
        <v>１８号棟増築</v>
      </c>
      <c r="K3808" s="7" t="str">
        <f t="shared" si="1349"/>
        <v>鉄筋コンクリート造</v>
      </c>
      <c r="L3808" s="7" t="str">
        <f t="shared" si="1355"/>
        <v>S62.11.27</v>
      </c>
      <c r="M3808" s="7">
        <v>617.63</v>
      </c>
      <c r="N3808" s="7">
        <v>89972000</v>
      </c>
      <c r="O3808" s="7">
        <v>67638600</v>
      </c>
      <c r="P3808" s="7">
        <v>0</v>
      </c>
      <c r="Q3808" s="7" t="str">
        <f t="shared" si="1356"/>
        <v>都市整備部</v>
      </c>
      <c r="R3808" s="7" t="str">
        <f t="shared" si="1353"/>
        <v>住宅建築局住宅経営室</v>
      </c>
    </row>
    <row r="3809" spans="1:18" s="1" customFormat="1" x14ac:dyDescent="0.45">
      <c r="A3809" s="7" t="str">
        <f t="shared" si="1345"/>
        <v>09940003535</v>
      </c>
      <c r="B3809" s="7" t="str">
        <f t="shared" si="1346"/>
        <v>新千里北</v>
      </c>
      <c r="C3809" s="7" t="str">
        <f t="shared" si="1354"/>
        <v>行政財産</v>
      </c>
      <c r="D3809" s="7" t="str">
        <f t="shared" si="1344"/>
        <v>公営住宅</v>
      </c>
      <c r="E3809" s="7" t="str">
        <f t="shared" si="1347"/>
        <v>大阪府豊中市新千里北町３丁目</v>
      </c>
      <c r="F3809" s="7"/>
      <c r="G3809" s="7" t="str">
        <f t="shared" si="1352"/>
        <v>事業用資産</v>
      </c>
      <c r="H3809" s="7" t="str">
        <f t="shared" si="1350"/>
        <v>棚卸以外</v>
      </c>
      <c r="I3809" s="7">
        <v>53</v>
      </c>
      <c r="J3809" s="7" t="str">
        <f>"１６号棟増築"</f>
        <v>１６号棟増築</v>
      </c>
      <c r="K3809" s="7" t="str">
        <f t="shared" si="1349"/>
        <v>鉄筋コンクリート造</v>
      </c>
      <c r="L3809" s="7" t="str">
        <f>"S61.08.22"</f>
        <v>S61.08.22</v>
      </c>
      <c r="M3809" s="7">
        <v>659.21</v>
      </c>
      <c r="N3809" s="7">
        <v>94090000</v>
      </c>
      <c r="O3809" s="7">
        <v>73237053</v>
      </c>
      <c r="P3809" s="7">
        <v>0</v>
      </c>
      <c r="Q3809" s="7" t="str">
        <f t="shared" si="1356"/>
        <v>都市整備部</v>
      </c>
      <c r="R3809" s="7" t="str">
        <f t="shared" si="1353"/>
        <v>住宅建築局住宅経営室</v>
      </c>
    </row>
    <row r="3810" spans="1:18" s="1" customFormat="1" x14ac:dyDescent="0.45">
      <c r="A3810" s="7" t="str">
        <f t="shared" si="1345"/>
        <v>09940003535</v>
      </c>
      <c r="B3810" s="7" t="str">
        <f t="shared" si="1346"/>
        <v>新千里北</v>
      </c>
      <c r="C3810" s="7" t="str">
        <f t="shared" si="1354"/>
        <v>行政財産</v>
      </c>
      <c r="D3810" s="7" t="str">
        <f t="shared" si="1344"/>
        <v>公営住宅</v>
      </c>
      <c r="E3810" s="7" t="str">
        <f t="shared" si="1347"/>
        <v>大阪府豊中市新千里北町３丁目</v>
      </c>
      <c r="F3810" s="7"/>
      <c r="G3810" s="7" t="str">
        <f t="shared" si="1352"/>
        <v>事業用資産</v>
      </c>
      <c r="H3810" s="7" t="str">
        <f t="shared" si="1350"/>
        <v>棚卸以外</v>
      </c>
      <c r="I3810" s="7">
        <v>54</v>
      </c>
      <c r="J3810" s="7" t="str">
        <f>"4号棟"</f>
        <v>4号棟</v>
      </c>
      <c r="K3810" s="7" t="str">
        <f t="shared" si="1349"/>
        <v>鉄筋コンクリート造</v>
      </c>
      <c r="L3810" s="7" t="str">
        <f>"R03.11.29"</f>
        <v>R03.11.29</v>
      </c>
      <c r="M3810" s="7">
        <v>9742.5300000000007</v>
      </c>
      <c r="N3810" s="7">
        <v>2204620427</v>
      </c>
      <c r="O3810" s="7">
        <v>62542432</v>
      </c>
      <c r="P3810" s="7">
        <v>0</v>
      </c>
      <c r="Q3810" s="7" t="str">
        <f t="shared" si="1356"/>
        <v>都市整備部</v>
      </c>
      <c r="R3810" s="7" t="str">
        <f t="shared" si="1353"/>
        <v>住宅建築局住宅経営室</v>
      </c>
    </row>
    <row r="3811" spans="1:18" s="1" customFormat="1" x14ac:dyDescent="0.45">
      <c r="A3811" s="7" t="str">
        <f t="shared" si="1345"/>
        <v>09940003535</v>
      </c>
      <c r="B3811" s="7" t="str">
        <f t="shared" si="1346"/>
        <v>新千里北</v>
      </c>
      <c r="C3811" s="7" t="str">
        <f t="shared" si="1354"/>
        <v>行政財産</v>
      </c>
      <c r="D3811" s="7" t="str">
        <f t="shared" si="1344"/>
        <v>公営住宅</v>
      </c>
      <c r="E3811" s="7" t="str">
        <f t="shared" si="1347"/>
        <v>大阪府豊中市新千里北町３丁目</v>
      </c>
      <c r="F3811" s="7"/>
      <c r="G3811" s="7" t="str">
        <f t="shared" si="1352"/>
        <v>事業用資産</v>
      </c>
      <c r="H3811" s="7" t="str">
        <f t="shared" si="1350"/>
        <v>棚卸以外</v>
      </c>
      <c r="I3811" s="7">
        <v>55</v>
      </c>
      <c r="J3811" s="7" t="str">
        <f>"３号棟"</f>
        <v>３号棟</v>
      </c>
      <c r="K3811" s="7" t="str">
        <f t="shared" si="1349"/>
        <v>鉄筋コンクリート造</v>
      </c>
      <c r="L3811" s="7" t="str">
        <f>"R03.11.29"</f>
        <v>R03.11.29</v>
      </c>
      <c r="M3811" s="7">
        <v>6546.65</v>
      </c>
      <c r="N3811" s="7">
        <v>1621916489</v>
      </c>
      <c r="O3811" s="7">
        <v>46011824</v>
      </c>
      <c r="P3811" s="7">
        <v>0</v>
      </c>
      <c r="Q3811" s="7" t="str">
        <f t="shared" si="1356"/>
        <v>都市整備部</v>
      </c>
      <c r="R3811" s="7" t="str">
        <f t="shared" si="1353"/>
        <v>住宅建築局住宅経営室</v>
      </c>
    </row>
    <row r="3812" spans="1:18" s="1" customFormat="1" x14ac:dyDescent="0.45">
      <c r="A3812" s="7" t="str">
        <f t="shared" si="1345"/>
        <v>09940003535</v>
      </c>
      <c r="B3812" s="7" t="str">
        <f t="shared" si="1346"/>
        <v>新千里北</v>
      </c>
      <c r="C3812" s="7" t="str">
        <f t="shared" si="1354"/>
        <v>行政財産</v>
      </c>
      <c r="D3812" s="7" t="str">
        <f t="shared" si="1344"/>
        <v>公営住宅</v>
      </c>
      <c r="E3812" s="7" t="str">
        <f t="shared" si="1347"/>
        <v>大阪府豊中市新千里北町３丁目</v>
      </c>
      <c r="F3812" s="7"/>
      <c r="G3812" s="7" t="str">
        <f t="shared" si="1352"/>
        <v>事業用資産</v>
      </c>
      <c r="H3812" s="7" t="str">
        <f t="shared" si="1350"/>
        <v>棚卸以外</v>
      </c>
      <c r="I3812" s="7">
        <v>56</v>
      </c>
      <c r="J3812" s="7" t="str">
        <f>"集会所"</f>
        <v>集会所</v>
      </c>
      <c r="K3812" s="7" t="str">
        <f t="shared" si="1349"/>
        <v>鉄筋コンクリート造</v>
      </c>
      <c r="L3812" s="7" t="str">
        <f>"R03.11.29"</f>
        <v>R03.11.29</v>
      </c>
      <c r="M3812" s="7">
        <v>311.8</v>
      </c>
      <c r="N3812" s="7">
        <v>98008233</v>
      </c>
      <c r="O3812" s="7">
        <v>2780384</v>
      </c>
      <c r="P3812" s="7">
        <v>0</v>
      </c>
      <c r="Q3812" s="7" t="str">
        <f t="shared" si="1356"/>
        <v>都市整備部</v>
      </c>
      <c r="R3812" s="7" t="str">
        <f t="shared" si="1353"/>
        <v>住宅建築局住宅経営室</v>
      </c>
    </row>
    <row r="3813" spans="1:18" s="1" customFormat="1" x14ac:dyDescent="0.45">
      <c r="A3813" s="7" t="str">
        <f t="shared" si="1345"/>
        <v>09940003535</v>
      </c>
      <c r="B3813" s="7" t="str">
        <f t="shared" si="1346"/>
        <v>新千里北</v>
      </c>
      <c r="C3813" s="7" t="str">
        <f t="shared" si="1354"/>
        <v>行政財産</v>
      </c>
      <c r="D3813" s="7" t="str">
        <f t="shared" si="1344"/>
        <v>公営住宅</v>
      </c>
      <c r="E3813" s="7" t="str">
        <f t="shared" si="1347"/>
        <v>大阪府豊中市新千里北町３丁目</v>
      </c>
      <c r="F3813" s="7"/>
      <c r="G3813" s="7" t="str">
        <f t="shared" si="1352"/>
        <v>事業用資産</v>
      </c>
      <c r="H3813" s="7" t="str">
        <f t="shared" si="1350"/>
        <v>棚卸以外</v>
      </c>
      <c r="I3813" s="7">
        <v>57</v>
      </c>
      <c r="J3813" s="7" t="str">
        <f>"設備棟（ポンプ室、電気室）"</f>
        <v>設備棟（ポンプ室、電気室）</v>
      </c>
      <c r="K3813" s="7" t="str">
        <f t="shared" si="1349"/>
        <v>鉄筋コンクリート造</v>
      </c>
      <c r="L3813" s="7" t="str">
        <f>"R03.11.29"</f>
        <v>R03.11.29</v>
      </c>
      <c r="M3813" s="7">
        <v>131.25</v>
      </c>
      <c r="N3813" s="7">
        <v>74194123</v>
      </c>
      <c r="O3813" s="7">
        <v>2603312</v>
      </c>
      <c r="P3813" s="7">
        <v>0</v>
      </c>
      <c r="Q3813" s="7" t="str">
        <f t="shared" si="1356"/>
        <v>都市整備部</v>
      </c>
      <c r="R3813" s="7" t="str">
        <f t="shared" si="1353"/>
        <v>住宅建築局住宅経営室</v>
      </c>
    </row>
    <row r="3814" spans="1:18" s="1" customFormat="1" x14ac:dyDescent="0.45">
      <c r="A3814" s="7" t="str">
        <f t="shared" ref="A3814:A3851" si="1357">"09940003537"</f>
        <v>09940003537</v>
      </c>
      <c r="B3814" s="7" t="str">
        <f t="shared" ref="B3814:B3851" si="1358">"千里桃山台・吹田桃山台"</f>
        <v>千里桃山台・吹田桃山台</v>
      </c>
      <c r="C3814" s="7" t="str">
        <f t="shared" si="1354"/>
        <v>行政財産</v>
      </c>
      <c r="D3814" s="7" t="str">
        <f t="shared" si="1344"/>
        <v>公営住宅</v>
      </c>
      <c r="E3814" s="7" t="str">
        <f t="shared" ref="E3814:E3851" si="1359">"大阪府吹田市桃山台１丁目"</f>
        <v>大阪府吹田市桃山台１丁目</v>
      </c>
      <c r="F3814" s="7"/>
      <c r="G3814" s="7" t="str">
        <f t="shared" si="1352"/>
        <v>事業用資産</v>
      </c>
      <c r="H3814" s="7" t="str">
        <f t="shared" si="1350"/>
        <v>棚卸以外</v>
      </c>
      <c r="I3814" s="7">
        <v>1</v>
      </c>
      <c r="J3814" s="7" t="str">
        <f>"８～２０号棟"</f>
        <v>８～２０号棟</v>
      </c>
      <c r="K3814" s="7" t="str">
        <f t="shared" si="1349"/>
        <v>鉄筋コンクリート造</v>
      </c>
      <c r="L3814" s="7" t="str">
        <f>"S42.06.15"</f>
        <v>S42.06.15</v>
      </c>
      <c r="M3814" s="7">
        <v>20297.650000000001</v>
      </c>
      <c r="N3814" s="7">
        <v>485361742</v>
      </c>
      <c r="O3814" s="7">
        <v>485361741</v>
      </c>
      <c r="P3814" s="7">
        <v>0</v>
      </c>
      <c r="Q3814" s="7" t="str">
        <f t="shared" si="1356"/>
        <v>都市整備部</v>
      </c>
      <c r="R3814" s="7" t="str">
        <f t="shared" si="1353"/>
        <v>住宅建築局住宅経営室</v>
      </c>
    </row>
    <row r="3815" spans="1:18" s="1" customFormat="1" x14ac:dyDescent="0.45">
      <c r="A3815" s="7" t="str">
        <f t="shared" si="1357"/>
        <v>09940003537</v>
      </c>
      <c r="B3815" s="7" t="str">
        <f t="shared" si="1358"/>
        <v>千里桃山台・吹田桃山台</v>
      </c>
      <c r="C3815" s="7" t="str">
        <f t="shared" si="1354"/>
        <v>行政財産</v>
      </c>
      <c r="D3815" s="7" t="str">
        <f t="shared" si="1344"/>
        <v>公営住宅</v>
      </c>
      <c r="E3815" s="7" t="str">
        <f t="shared" si="1359"/>
        <v>大阪府吹田市桃山台１丁目</v>
      </c>
      <c r="F3815" s="7"/>
      <c r="G3815" s="7" t="str">
        <f t="shared" si="1352"/>
        <v>事業用資産</v>
      </c>
      <c r="H3815" s="7" t="str">
        <f t="shared" si="1350"/>
        <v>棚卸以外</v>
      </c>
      <c r="I3815" s="7">
        <v>2</v>
      </c>
      <c r="J3815" s="7" t="str">
        <f>"２１・２２・２４～３１号棟"</f>
        <v>２１・２２・２４～３１号棟</v>
      </c>
      <c r="K3815" s="7" t="str">
        <f t="shared" si="1349"/>
        <v>鉄筋コンクリート造</v>
      </c>
      <c r="L3815" s="7" t="str">
        <f>"S42.07.10"</f>
        <v>S42.07.10</v>
      </c>
      <c r="M3815" s="7">
        <v>20195.43</v>
      </c>
      <c r="N3815" s="7">
        <v>1080534550</v>
      </c>
      <c r="O3815" s="7">
        <v>833323019</v>
      </c>
      <c r="P3815" s="7">
        <v>0</v>
      </c>
      <c r="Q3815" s="7" t="str">
        <f t="shared" si="1356"/>
        <v>都市整備部</v>
      </c>
      <c r="R3815" s="7" t="str">
        <f t="shared" si="1353"/>
        <v>住宅建築局住宅経営室</v>
      </c>
    </row>
    <row r="3816" spans="1:18" s="1" customFormat="1" x14ac:dyDescent="0.45">
      <c r="A3816" s="7" t="str">
        <f t="shared" si="1357"/>
        <v>09940003537</v>
      </c>
      <c r="B3816" s="7" t="str">
        <f t="shared" si="1358"/>
        <v>千里桃山台・吹田桃山台</v>
      </c>
      <c r="C3816" s="7" t="str">
        <f t="shared" si="1354"/>
        <v>行政財産</v>
      </c>
      <c r="D3816" s="7" t="str">
        <f t="shared" si="1344"/>
        <v>公営住宅</v>
      </c>
      <c r="E3816" s="7" t="str">
        <f t="shared" si="1359"/>
        <v>大阪府吹田市桃山台１丁目</v>
      </c>
      <c r="F3816" s="7"/>
      <c r="G3816" s="7" t="str">
        <f t="shared" si="1352"/>
        <v>事業用資産</v>
      </c>
      <c r="H3816" s="7" t="str">
        <f t="shared" si="1350"/>
        <v>棚卸以外</v>
      </c>
      <c r="I3816" s="7">
        <v>3</v>
      </c>
      <c r="J3816" s="7" t="str">
        <f>"集会所"</f>
        <v>集会所</v>
      </c>
      <c r="K3816" s="7" t="str">
        <f t="shared" si="1349"/>
        <v>鉄筋コンクリート造</v>
      </c>
      <c r="L3816" s="7" t="str">
        <f>"S42.07.10"</f>
        <v>S42.07.10</v>
      </c>
      <c r="M3816" s="7">
        <v>93.16</v>
      </c>
      <c r="N3816" s="7">
        <v>3126000</v>
      </c>
      <c r="O3816" s="7">
        <v>3125999</v>
      </c>
      <c r="P3816" s="7">
        <v>0</v>
      </c>
      <c r="Q3816" s="7" t="str">
        <f t="shared" si="1356"/>
        <v>都市整備部</v>
      </c>
      <c r="R3816" s="7" t="str">
        <f t="shared" si="1353"/>
        <v>住宅建築局住宅経営室</v>
      </c>
    </row>
    <row r="3817" spans="1:18" s="1" customFormat="1" x14ac:dyDescent="0.45">
      <c r="A3817" s="7" t="str">
        <f t="shared" si="1357"/>
        <v>09940003537</v>
      </c>
      <c r="B3817" s="7" t="str">
        <f t="shared" si="1358"/>
        <v>千里桃山台・吹田桃山台</v>
      </c>
      <c r="C3817" s="7" t="str">
        <f t="shared" si="1354"/>
        <v>行政財産</v>
      </c>
      <c r="D3817" s="7" t="str">
        <f t="shared" si="1344"/>
        <v>公営住宅</v>
      </c>
      <c r="E3817" s="7" t="str">
        <f t="shared" si="1359"/>
        <v>大阪府吹田市桃山台１丁目</v>
      </c>
      <c r="F3817" s="7"/>
      <c r="G3817" s="7" t="str">
        <f t="shared" si="1352"/>
        <v>事業用資産</v>
      </c>
      <c r="H3817" s="7" t="str">
        <f t="shared" si="1350"/>
        <v>棚卸以外</v>
      </c>
      <c r="I3817" s="7">
        <v>4</v>
      </c>
      <c r="J3817" s="7" t="str">
        <f>"２３号棟"</f>
        <v>２３号棟</v>
      </c>
      <c r="K3817" s="7" t="str">
        <f t="shared" si="1349"/>
        <v>鉄筋コンクリート造</v>
      </c>
      <c r="L3817" s="7" t="str">
        <f>"S43.02.26"</f>
        <v>S43.02.26</v>
      </c>
      <c r="M3817" s="7">
        <v>2118.4499999999998</v>
      </c>
      <c r="N3817" s="7">
        <v>90028000</v>
      </c>
      <c r="O3817" s="7">
        <v>90027999</v>
      </c>
      <c r="P3817" s="7">
        <v>0</v>
      </c>
      <c r="Q3817" s="7" t="str">
        <f t="shared" si="1356"/>
        <v>都市整備部</v>
      </c>
      <c r="R3817" s="7" t="str">
        <f t="shared" si="1353"/>
        <v>住宅建築局住宅経営室</v>
      </c>
    </row>
    <row r="3818" spans="1:18" s="1" customFormat="1" x14ac:dyDescent="0.45">
      <c r="A3818" s="7" t="str">
        <f t="shared" si="1357"/>
        <v>09940003537</v>
      </c>
      <c r="B3818" s="7" t="str">
        <f t="shared" si="1358"/>
        <v>千里桃山台・吹田桃山台</v>
      </c>
      <c r="C3818" s="7" t="str">
        <f t="shared" si="1354"/>
        <v>行政財産</v>
      </c>
      <c r="D3818" s="7" t="str">
        <f t="shared" si="1344"/>
        <v>公営住宅</v>
      </c>
      <c r="E3818" s="7" t="str">
        <f t="shared" si="1359"/>
        <v>大阪府吹田市桃山台１丁目</v>
      </c>
      <c r="F3818" s="7"/>
      <c r="G3818" s="7" t="str">
        <f t="shared" si="1352"/>
        <v>事業用資産</v>
      </c>
      <c r="H3818" s="7" t="str">
        <f t="shared" si="1350"/>
        <v>棚卸以外</v>
      </c>
      <c r="I3818" s="7">
        <v>5</v>
      </c>
      <c r="J3818" s="7" t="str">
        <f>"集会所"</f>
        <v>集会所</v>
      </c>
      <c r="K3818" s="7" t="str">
        <f t="shared" si="1349"/>
        <v>鉄筋コンクリート造</v>
      </c>
      <c r="L3818" s="7" t="str">
        <f>"S56.07.08"</f>
        <v>S56.07.08</v>
      </c>
      <c r="M3818" s="7">
        <v>149.99</v>
      </c>
      <c r="N3818" s="7">
        <v>32775000</v>
      </c>
      <c r="O3818" s="7">
        <v>29056000</v>
      </c>
      <c r="P3818" s="7">
        <v>0</v>
      </c>
      <c r="Q3818" s="7" t="str">
        <f t="shared" si="1356"/>
        <v>都市整備部</v>
      </c>
      <c r="R3818" s="7" t="str">
        <f t="shared" si="1353"/>
        <v>住宅建築局住宅経営室</v>
      </c>
    </row>
    <row r="3819" spans="1:18" s="1" customFormat="1" x14ac:dyDescent="0.45">
      <c r="A3819" s="7" t="str">
        <f t="shared" si="1357"/>
        <v>09940003537</v>
      </c>
      <c r="B3819" s="7" t="str">
        <f t="shared" si="1358"/>
        <v>千里桃山台・吹田桃山台</v>
      </c>
      <c r="C3819" s="7" t="str">
        <f t="shared" si="1354"/>
        <v>行政財産</v>
      </c>
      <c r="D3819" s="7" t="str">
        <f t="shared" si="1344"/>
        <v>公営住宅</v>
      </c>
      <c r="E3819" s="7" t="str">
        <f t="shared" si="1359"/>
        <v>大阪府吹田市桃山台１丁目</v>
      </c>
      <c r="F3819" s="7"/>
      <c r="G3819" s="7" t="str">
        <f t="shared" si="1352"/>
        <v>事業用資産</v>
      </c>
      <c r="H3819" s="7" t="str">
        <f t="shared" si="1350"/>
        <v>棚卸以外</v>
      </c>
      <c r="I3819" s="7">
        <v>6</v>
      </c>
      <c r="J3819" s="7" t="str">
        <f>"２６号棟増築"</f>
        <v>２６号棟増築</v>
      </c>
      <c r="K3819" s="7" t="str">
        <f t="shared" si="1349"/>
        <v>鉄筋コンクリート造</v>
      </c>
      <c r="L3819" s="7" t="str">
        <f>"S56.07.20"</f>
        <v>S56.07.20</v>
      </c>
      <c r="M3819" s="7">
        <v>995.81</v>
      </c>
      <c r="N3819" s="7">
        <v>126274000</v>
      </c>
      <c r="O3819" s="7">
        <v>111945500</v>
      </c>
      <c r="P3819" s="7">
        <v>0</v>
      </c>
      <c r="Q3819" s="7" t="str">
        <f t="shared" si="1356"/>
        <v>都市整備部</v>
      </c>
      <c r="R3819" s="7" t="str">
        <f t="shared" si="1353"/>
        <v>住宅建築局住宅経営室</v>
      </c>
    </row>
    <row r="3820" spans="1:18" s="1" customFormat="1" x14ac:dyDescent="0.45">
      <c r="A3820" s="7" t="str">
        <f t="shared" si="1357"/>
        <v>09940003537</v>
      </c>
      <c r="B3820" s="7" t="str">
        <f t="shared" si="1358"/>
        <v>千里桃山台・吹田桃山台</v>
      </c>
      <c r="C3820" s="7" t="str">
        <f t="shared" si="1354"/>
        <v>行政財産</v>
      </c>
      <c r="D3820" s="7" t="str">
        <f t="shared" si="1344"/>
        <v>公営住宅</v>
      </c>
      <c r="E3820" s="7" t="str">
        <f t="shared" si="1359"/>
        <v>大阪府吹田市桃山台１丁目</v>
      </c>
      <c r="F3820" s="7"/>
      <c r="G3820" s="7" t="str">
        <f t="shared" si="1352"/>
        <v>事業用資産</v>
      </c>
      <c r="H3820" s="7" t="str">
        <f t="shared" si="1350"/>
        <v>棚卸以外</v>
      </c>
      <c r="I3820" s="7">
        <v>7</v>
      </c>
      <c r="J3820" s="7" t="str">
        <f>"２４号棟増築"</f>
        <v>２４号棟増築</v>
      </c>
      <c r="K3820" s="7" t="str">
        <f t="shared" si="1349"/>
        <v>鉄筋コンクリート造</v>
      </c>
      <c r="L3820" s="7" t="str">
        <f>"S56.08.20"</f>
        <v>S56.08.20</v>
      </c>
      <c r="M3820" s="7">
        <v>560.44000000000005</v>
      </c>
      <c r="N3820" s="7">
        <v>75263000</v>
      </c>
      <c r="O3820" s="7">
        <v>66589554</v>
      </c>
      <c r="P3820" s="7">
        <v>0</v>
      </c>
      <c r="Q3820" s="7" t="str">
        <f t="shared" si="1356"/>
        <v>都市整備部</v>
      </c>
      <c r="R3820" s="7" t="str">
        <f t="shared" si="1353"/>
        <v>住宅建築局住宅経営室</v>
      </c>
    </row>
    <row r="3821" spans="1:18" s="1" customFormat="1" x14ac:dyDescent="0.45">
      <c r="A3821" s="7" t="str">
        <f t="shared" si="1357"/>
        <v>09940003537</v>
      </c>
      <c r="B3821" s="7" t="str">
        <f t="shared" si="1358"/>
        <v>千里桃山台・吹田桃山台</v>
      </c>
      <c r="C3821" s="7" t="str">
        <f t="shared" si="1354"/>
        <v>行政財産</v>
      </c>
      <c r="D3821" s="7" t="str">
        <f t="shared" si="1344"/>
        <v>公営住宅</v>
      </c>
      <c r="E3821" s="7" t="str">
        <f t="shared" si="1359"/>
        <v>大阪府吹田市桃山台１丁目</v>
      </c>
      <c r="F3821" s="7"/>
      <c r="G3821" s="7" t="str">
        <f t="shared" si="1352"/>
        <v>事業用資産</v>
      </c>
      <c r="H3821" s="7" t="str">
        <f t="shared" si="1350"/>
        <v>棚卸以外</v>
      </c>
      <c r="I3821" s="7">
        <v>8</v>
      </c>
      <c r="J3821" s="7" t="str">
        <f>"２５号棟増築"</f>
        <v>２５号棟増築</v>
      </c>
      <c r="K3821" s="7" t="str">
        <f t="shared" si="1349"/>
        <v>鉄筋コンクリート造</v>
      </c>
      <c r="L3821" s="7" t="str">
        <f>"S56.08.20"</f>
        <v>S56.08.20</v>
      </c>
      <c r="M3821" s="7">
        <v>560.44000000000005</v>
      </c>
      <c r="N3821" s="7">
        <v>75461000</v>
      </c>
      <c r="O3821" s="7">
        <v>66764703</v>
      </c>
      <c r="P3821" s="7">
        <v>0</v>
      </c>
      <c r="Q3821" s="7" t="str">
        <f t="shared" si="1356"/>
        <v>都市整備部</v>
      </c>
      <c r="R3821" s="7" t="str">
        <f t="shared" si="1353"/>
        <v>住宅建築局住宅経営室</v>
      </c>
    </row>
    <row r="3822" spans="1:18" s="1" customFormat="1" x14ac:dyDescent="0.45">
      <c r="A3822" s="7" t="str">
        <f t="shared" si="1357"/>
        <v>09940003537</v>
      </c>
      <c r="B3822" s="7" t="str">
        <f t="shared" si="1358"/>
        <v>千里桃山台・吹田桃山台</v>
      </c>
      <c r="C3822" s="7" t="str">
        <f t="shared" si="1354"/>
        <v>行政財産</v>
      </c>
      <c r="D3822" s="7" t="str">
        <f t="shared" si="1344"/>
        <v>公営住宅</v>
      </c>
      <c r="E3822" s="7" t="str">
        <f t="shared" si="1359"/>
        <v>大阪府吹田市桃山台１丁目</v>
      </c>
      <c r="F3822" s="7"/>
      <c r="G3822" s="7" t="str">
        <f t="shared" si="1352"/>
        <v>事業用資産</v>
      </c>
      <c r="H3822" s="7" t="str">
        <f t="shared" si="1350"/>
        <v>棚卸以外</v>
      </c>
      <c r="I3822" s="7">
        <v>9</v>
      </c>
      <c r="J3822" s="7" t="str">
        <f>"２９号棟増築"</f>
        <v>２９号棟増築</v>
      </c>
      <c r="K3822" s="7" t="str">
        <f t="shared" si="1349"/>
        <v>鉄筋コンクリート造</v>
      </c>
      <c r="L3822" s="7" t="str">
        <f>"S56.08.20"</f>
        <v>S56.08.20</v>
      </c>
      <c r="M3822" s="7">
        <v>560.44000000000005</v>
      </c>
      <c r="N3822" s="7">
        <v>75373000</v>
      </c>
      <c r="O3822" s="7">
        <v>66686859</v>
      </c>
      <c r="P3822" s="7">
        <v>0</v>
      </c>
      <c r="Q3822" s="7" t="str">
        <f t="shared" si="1356"/>
        <v>都市整備部</v>
      </c>
      <c r="R3822" s="7" t="str">
        <f t="shared" si="1353"/>
        <v>住宅建築局住宅経営室</v>
      </c>
    </row>
    <row r="3823" spans="1:18" s="1" customFormat="1" x14ac:dyDescent="0.45">
      <c r="A3823" s="7" t="str">
        <f t="shared" si="1357"/>
        <v>09940003537</v>
      </c>
      <c r="B3823" s="7" t="str">
        <f t="shared" si="1358"/>
        <v>千里桃山台・吹田桃山台</v>
      </c>
      <c r="C3823" s="7" t="str">
        <f t="shared" si="1354"/>
        <v>行政財産</v>
      </c>
      <c r="D3823" s="7" t="str">
        <f t="shared" si="1344"/>
        <v>公営住宅</v>
      </c>
      <c r="E3823" s="7" t="str">
        <f t="shared" si="1359"/>
        <v>大阪府吹田市桃山台１丁目</v>
      </c>
      <c r="F3823" s="7"/>
      <c r="G3823" s="7" t="str">
        <f t="shared" si="1352"/>
        <v>事業用資産</v>
      </c>
      <c r="H3823" s="7" t="str">
        <f t="shared" si="1350"/>
        <v>棚卸以外</v>
      </c>
      <c r="I3823" s="7">
        <v>10</v>
      </c>
      <c r="J3823" s="7" t="str">
        <f>"１４号棟増築"</f>
        <v>１４号棟増築</v>
      </c>
      <c r="K3823" s="7" t="str">
        <f t="shared" si="1349"/>
        <v>鉄筋コンクリート造</v>
      </c>
      <c r="L3823" s="7" t="str">
        <f>"S58.12.22"</f>
        <v>S58.12.22</v>
      </c>
      <c r="M3823" s="7">
        <v>611.22</v>
      </c>
      <c r="N3823" s="7">
        <v>86746000</v>
      </c>
      <c r="O3823" s="7">
        <v>72442155</v>
      </c>
      <c r="P3823" s="7">
        <v>0</v>
      </c>
      <c r="Q3823" s="7" t="str">
        <f t="shared" si="1356"/>
        <v>都市整備部</v>
      </c>
      <c r="R3823" s="7" t="str">
        <f t="shared" si="1353"/>
        <v>住宅建築局住宅経営室</v>
      </c>
    </row>
    <row r="3824" spans="1:18" s="1" customFormat="1" x14ac:dyDescent="0.45">
      <c r="A3824" s="7" t="str">
        <f t="shared" si="1357"/>
        <v>09940003537</v>
      </c>
      <c r="B3824" s="7" t="str">
        <f t="shared" si="1358"/>
        <v>千里桃山台・吹田桃山台</v>
      </c>
      <c r="C3824" s="7" t="str">
        <f t="shared" si="1354"/>
        <v>行政財産</v>
      </c>
      <c r="D3824" s="7" t="str">
        <f t="shared" si="1344"/>
        <v>公営住宅</v>
      </c>
      <c r="E3824" s="7" t="str">
        <f t="shared" si="1359"/>
        <v>大阪府吹田市桃山台１丁目</v>
      </c>
      <c r="F3824" s="7"/>
      <c r="G3824" s="7" t="str">
        <f t="shared" si="1352"/>
        <v>事業用資産</v>
      </c>
      <c r="H3824" s="7" t="str">
        <f t="shared" si="1350"/>
        <v>棚卸以外</v>
      </c>
      <c r="I3824" s="7">
        <v>11</v>
      </c>
      <c r="J3824" s="7" t="str">
        <f>"１６号棟増築"</f>
        <v>１６号棟増築</v>
      </c>
      <c r="K3824" s="7" t="str">
        <f t="shared" si="1349"/>
        <v>鉄筋コンクリート造</v>
      </c>
      <c r="L3824" s="7" t="str">
        <f>"S58.12.22"</f>
        <v>S58.12.22</v>
      </c>
      <c r="M3824" s="7">
        <v>712.47</v>
      </c>
      <c r="N3824" s="7">
        <v>92804000</v>
      </c>
      <c r="O3824" s="7">
        <v>77501637</v>
      </c>
      <c r="P3824" s="7">
        <v>0</v>
      </c>
      <c r="Q3824" s="7" t="str">
        <f t="shared" si="1356"/>
        <v>都市整備部</v>
      </c>
      <c r="R3824" s="7" t="str">
        <f t="shared" si="1353"/>
        <v>住宅建築局住宅経営室</v>
      </c>
    </row>
    <row r="3825" spans="1:18" s="1" customFormat="1" x14ac:dyDescent="0.45">
      <c r="A3825" s="7" t="str">
        <f t="shared" si="1357"/>
        <v>09940003537</v>
      </c>
      <c r="B3825" s="7" t="str">
        <f t="shared" si="1358"/>
        <v>千里桃山台・吹田桃山台</v>
      </c>
      <c r="C3825" s="7" t="str">
        <f t="shared" si="1354"/>
        <v>行政財産</v>
      </c>
      <c r="D3825" s="7" t="str">
        <f t="shared" si="1344"/>
        <v>公営住宅</v>
      </c>
      <c r="E3825" s="7" t="str">
        <f t="shared" si="1359"/>
        <v>大阪府吹田市桃山台１丁目</v>
      </c>
      <c r="F3825" s="7"/>
      <c r="G3825" s="7" t="str">
        <f t="shared" si="1352"/>
        <v>事業用資産</v>
      </c>
      <c r="H3825" s="7" t="str">
        <f t="shared" si="1350"/>
        <v>棚卸以外</v>
      </c>
      <c r="I3825" s="7">
        <v>12</v>
      </c>
      <c r="J3825" s="7" t="str">
        <f>"１７号棟増築"</f>
        <v>１７号棟増築</v>
      </c>
      <c r="K3825" s="7" t="str">
        <f t="shared" si="1349"/>
        <v>鉄筋コンクリート造</v>
      </c>
      <c r="L3825" s="7" t="str">
        <f>"S58.12.22"</f>
        <v>S58.12.22</v>
      </c>
      <c r="M3825" s="7">
        <v>728.43</v>
      </c>
      <c r="N3825" s="7">
        <v>94638000</v>
      </c>
      <c r="O3825" s="7">
        <v>79032858</v>
      </c>
      <c r="P3825" s="7">
        <v>0</v>
      </c>
      <c r="Q3825" s="7" t="str">
        <f t="shared" si="1356"/>
        <v>都市整備部</v>
      </c>
      <c r="R3825" s="7" t="str">
        <f t="shared" si="1353"/>
        <v>住宅建築局住宅経営室</v>
      </c>
    </row>
    <row r="3826" spans="1:18" s="1" customFormat="1" x14ac:dyDescent="0.45">
      <c r="A3826" s="7" t="str">
        <f t="shared" si="1357"/>
        <v>09940003537</v>
      </c>
      <c r="B3826" s="7" t="str">
        <f t="shared" si="1358"/>
        <v>千里桃山台・吹田桃山台</v>
      </c>
      <c r="C3826" s="7" t="str">
        <f t="shared" si="1354"/>
        <v>行政財産</v>
      </c>
      <c r="D3826" s="7" t="str">
        <f t="shared" ref="D3826:D3889" si="1360">"公営住宅"</f>
        <v>公営住宅</v>
      </c>
      <c r="E3826" s="7" t="str">
        <f t="shared" si="1359"/>
        <v>大阪府吹田市桃山台１丁目</v>
      </c>
      <c r="F3826" s="7"/>
      <c r="G3826" s="7" t="str">
        <f t="shared" si="1352"/>
        <v>事業用資産</v>
      </c>
      <c r="H3826" s="7" t="str">
        <f t="shared" si="1350"/>
        <v>棚卸以外</v>
      </c>
      <c r="I3826" s="7">
        <v>13</v>
      </c>
      <c r="J3826" s="7" t="str">
        <f>"１２号棟増築"</f>
        <v>１２号棟増築</v>
      </c>
      <c r="K3826" s="7" t="str">
        <f t="shared" si="1349"/>
        <v>鉄筋コンクリート造</v>
      </c>
      <c r="L3826" s="7" t="str">
        <f>"S59.01.24"</f>
        <v>S59.01.24</v>
      </c>
      <c r="M3826" s="7">
        <v>728.43</v>
      </c>
      <c r="N3826" s="7">
        <v>94214000</v>
      </c>
      <c r="O3826" s="7">
        <v>78512090</v>
      </c>
      <c r="P3826" s="7">
        <v>0</v>
      </c>
      <c r="Q3826" s="7" t="str">
        <f t="shared" si="1356"/>
        <v>都市整備部</v>
      </c>
      <c r="R3826" s="7" t="str">
        <f t="shared" si="1353"/>
        <v>住宅建築局住宅経営室</v>
      </c>
    </row>
    <row r="3827" spans="1:18" s="1" customFormat="1" x14ac:dyDescent="0.45">
      <c r="A3827" s="7" t="str">
        <f t="shared" si="1357"/>
        <v>09940003537</v>
      </c>
      <c r="B3827" s="7" t="str">
        <f t="shared" si="1358"/>
        <v>千里桃山台・吹田桃山台</v>
      </c>
      <c r="C3827" s="7" t="str">
        <f t="shared" si="1354"/>
        <v>行政財産</v>
      </c>
      <c r="D3827" s="7" t="str">
        <f t="shared" si="1360"/>
        <v>公営住宅</v>
      </c>
      <c r="E3827" s="7" t="str">
        <f t="shared" si="1359"/>
        <v>大阪府吹田市桃山台１丁目</v>
      </c>
      <c r="F3827" s="7"/>
      <c r="G3827" s="7" t="str">
        <f t="shared" si="1352"/>
        <v>事業用資産</v>
      </c>
      <c r="H3827" s="7" t="str">
        <f t="shared" si="1350"/>
        <v>棚卸以外</v>
      </c>
      <c r="I3827" s="7">
        <v>14</v>
      </c>
      <c r="J3827" s="7" t="str">
        <f>"２０号棟増築"</f>
        <v>２０号棟増築</v>
      </c>
      <c r="K3827" s="7" t="str">
        <f t="shared" si="1349"/>
        <v>鉄筋コンクリート造</v>
      </c>
      <c r="L3827" s="7" t="str">
        <f>"S59.01.24"</f>
        <v>S59.01.24</v>
      </c>
      <c r="M3827" s="7">
        <v>1187.46</v>
      </c>
      <c r="N3827" s="7">
        <v>152934000</v>
      </c>
      <c r="O3827" s="7">
        <v>127445200</v>
      </c>
      <c r="P3827" s="7">
        <v>0</v>
      </c>
      <c r="Q3827" s="7" t="str">
        <f t="shared" si="1356"/>
        <v>都市整備部</v>
      </c>
      <c r="R3827" s="7" t="str">
        <f t="shared" si="1353"/>
        <v>住宅建築局住宅経営室</v>
      </c>
    </row>
    <row r="3828" spans="1:18" s="1" customFormat="1" x14ac:dyDescent="0.45">
      <c r="A3828" s="7" t="str">
        <f t="shared" si="1357"/>
        <v>09940003537</v>
      </c>
      <c r="B3828" s="7" t="str">
        <f t="shared" si="1358"/>
        <v>千里桃山台・吹田桃山台</v>
      </c>
      <c r="C3828" s="7" t="str">
        <f t="shared" si="1354"/>
        <v>行政財産</v>
      </c>
      <c r="D3828" s="7" t="str">
        <f t="shared" si="1360"/>
        <v>公営住宅</v>
      </c>
      <c r="E3828" s="7" t="str">
        <f t="shared" si="1359"/>
        <v>大阪府吹田市桃山台１丁目</v>
      </c>
      <c r="F3828" s="7"/>
      <c r="G3828" s="7" t="str">
        <f t="shared" si="1352"/>
        <v>事業用資産</v>
      </c>
      <c r="H3828" s="7" t="str">
        <f t="shared" si="1350"/>
        <v>棚卸以外</v>
      </c>
      <c r="I3828" s="7">
        <v>15</v>
      </c>
      <c r="J3828" s="7" t="str">
        <f>"８号棟増築"</f>
        <v>８号棟増築</v>
      </c>
      <c r="K3828" s="7" t="str">
        <f t="shared" si="1349"/>
        <v>鉄筋コンクリート造</v>
      </c>
      <c r="L3828" s="7" t="str">
        <f>"S59.01.24"</f>
        <v>S59.01.24</v>
      </c>
      <c r="M3828" s="7">
        <v>728.43</v>
      </c>
      <c r="N3828" s="7">
        <v>94436000</v>
      </c>
      <c r="O3828" s="7">
        <v>78696800</v>
      </c>
      <c r="P3828" s="7">
        <v>0</v>
      </c>
      <c r="Q3828" s="7" t="str">
        <f t="shared" si="1356"/>
        <v>都市整備部</v>
      </c>
      <c r="R3828" s="7" t="str">
        <f t="shared" si="1353"/>
        <v>住宅建築局住宅経営室</v>
      </c>
    </row>
    <row r="3829" spans="1:18" s="1" customFormat="1" x14ac:dyDescent="0.45">
      <c r="A3829" s="7" t="str">
        <f t="shared" si="1357"/>
        <v>09940003537</v>
      </c>
      <c r="B3829" s="7" t="str">
        <f t="shared" si="1358"/>
        <v>千里桃山台・吹田桃山台</v>
      </c>
      <c r="C3829" s="7" t="str">
        <f t="shared" si="1354"/>
        <v>行政財産</v>
      </c>
      <c r="D3829" s="7" t="str">
        <f t="shared" si="1360"/>
        <v>公営住宅</v>
      </c>
      <c r="E3829" s="7" t="str">
        <f t="shared" si="1359"/>
        <v>大阪府吹田市桃山台１丁目</v>
      </c>
      <c r="F3829" s="7"/>
      <c r="G3829" s="7" t="str">
        <f t="shared" si="1352"/>
        <v>事業用資産</v>
      </c>
      <c r="H3829" s="7" t="str">
        <f t="shared" si="1350"/>
        <v>棚卸以外</v>
      </c>
      <c r="I3829" s="7">
        <v>16</v>
      </c>
      <c r="J3829" s="7" t="str">
        <f>"９号棟増築"</f>
        <v>９号棟増築</v>
      </c>
      <c r="K3829" s="7" t="str">
        <f t="shared" si="1349"/>
        <v>鉄筋コンクリート造</v>
      </c>
      <c r="L3829" s="7" t="str">
        <f>"S59.01.24"</f>
        <v>S59.01.24</v>
      </c>
      <c r="M3829" s="7">
        <v>679.87</v>
      </c>
      <c r="N3829" s="7">
        <v>88671000</v>
      </c>
      <c r="O3829" s="7">
        <v>73892930</v>
      </c>
      <c r="P3829" s="7">
        <v>0</v>
      </c>
      <c r="Q3829" s="7" t="str">
        <f t="shared" si="1356"/>
        <v>都市整備部</v>
      </c>
      <c r="R3829" s="7" t="str">
        <f t="shared" si="1353"/>
        <v>住宅建築局住宅経営室</v>
      </c>
    </row>
    <row r="3830" spans="1:18" s="1" customFormat="1" x14ac:dyDescent="0.45">
      <c r="A3830" s="7" t="str">
        <f t="shared" si="1357"/>
        <v>09940003537</v>
      </c>
      <c r="B3830" s="7" t="str">
        <f t="shared" si="1358"/>
        <v>千里桃山台・吹田桃山台</v>
      </c>
      <c r="C3830" s="7" t="str">
        <f t="shared" si="1354"/>
        <v>行政財産</v>
      </c>
      <c r="D3830" s="7" t="str">
        <f t="shared" si="1360"/>
        <v>公営住宅</v>
      </c>
      <c r="E3830" s="7" t="str">
        <f t="shared" si="1359"/>
        <v>大阪府吹田市桃山台１丁目</v>
      </c>
      <c r="F3830" s="7"/>
      <c r="G3830" s="7" t="str">
        <f t="shared" si="1352"/>
        <v>事業用資産</v>
      </c>
      <c r="H3830" s="7" t="str">
        <f t="shared" si="1350"/>
        <v>棚卸以外</v>
      </c>
      <c r="I3830" s="7">
        <v>17</v>
      </c>
      <c r="J3830" s="7" t="str">
        <f>"１０号棟増築"</f>
        <v>１０号棟増築</v>
      </c>
      <c r="K3830" s="7" t="str">
        <f t="shared" si="1349"/>
        <v>鉄筋コンクリート造</v>
      </c>
      <c r="L3830" s="7" t="str">
        <f>"S59.01.24"</f>
        <v>S59.01.24</v>
      </c>
      <c r="M3830" s="7">
        <v>611.22</v>
      </c>
      <c r="N3830" s="7">
        <v>85134000</v>
      </c>
      <c r="O3830" s="7">
        <v>70945090</v>
      </c>
      <c r="P3830" s="7">
        <v>0</v>
      </c>
      <c r="Q3830" s="7" t="str">
        <f t="shared" si="1356"/>
        <v>都市整備部</v>
      </c>
      <c r="R3830" s="7" t="str">
        <f t="shared" si="1353"/>
        <v>住宅建築局住宅経営室</v>
      </c>
    </row>
    <row r="3831" spans="1:18" s="1" customFormat="1" x14ac:dyDescent="0.45">
      <c r="A3831" s="7" t="str">
        <f t="shared" si="1357"/>
        <v>09940003537</v>
      </c>
      <c r="B3831" s="7" t="str">
        <f t="shared" si="1358"/>
        <v>千里桃山台・吹田桃山台</v>
      </c>
      <c r="C3831" s="7" t="str">
        <f t="shared" si="1354"/>
        <v>行政財産</v>
      </c>
      <c r="D3831" s="7" t="str">
        <f t="shared" si="1360"/>
        <v>公営住宅</v>
      </c>
      <c r="E3831" s="7" t="str">
        <f t="shared" si="1359"/>
        <v>大阪府吹田市桃山台１丁目</v>
      </c>
      <c r="F3831" s="7"/>
      <c r="G3831" s="7" t="str">
        <f t="shared" si="1352"/>
        <v>事業用資産</v>
      </c>
      <c r="H3831" s="7" t="str">
        <f t="shared" si="1350"/>
        <v>棚卸以外</v>
      </c>
      <c r="I3831" s="7">
        <v>18</v>
      </c>
      <c r="J3831" s="7" t="str">
        <f>"２３号棟増築"</f>
        <v>２３号棟増築</v>
      </c>
      <c r="K3831" s="7" t="str">
        <f t="shared" si="1349"/>
        <v>鉄筋コンクリート造</v>
      </c>
      <c r="L3831" s="7" t="str">
        <f>"S59.08.24"</f>
        <v>S59.08.24</v>
      </c>
      <c r="M3831" s="7">
        <v>299.47000000000003</v>
      </c>
      <c r="N3831" s="7">
        <v>57196000</v>
      </c>
      <c r="O3831" s="7">
        <v>46953756</v>
      </c>
      <c r="P3831" s="7">
        <v>0</v>
      </c>
      <c r="Q3831" s="7" t="str">
        <f t="shared" si="1356"/>
        <v>都市整備部</v>
      </c>
      <c r="R3831" s="7" t="str">
        <f t="shared" si="1353"/>
        <v>住宅建築局住宅経営室</v>
      </c>
    </row>
    <row r="3832" spans="1:18" s="1" customFormat="1" x14ac:dyDescent="0.45">
      <c r="A3832" s="7" t="str">
        <f t="shared" si="1357"/>
        <v>09940003537</v>
      </c>
      <c r="B3832" s="7" t="str">
        <f t="shared" si="1358"/>
        <v>千里桃山台・吹田桃山台</v>
      </c>
      <c r="C3832" s="7" t="str">
        <f t="shared" si="1354"/>
        <v>行政財産</v>
      </c>
      <c r="D3832" s="7" t="str">
        <f t="shared" si="1360"/>
        <v>公営住宅</v>
      </c>
      <c r="E3832" s="7" t="str">
        <f t="shared" si="1359"/>
        <v>大阪府吹田市桃山台１丁目</v>
      </c>
      <c r="F3832" s="7"/>
      <c r="G3832" s="7" t="str">
        <f t="shared" si="1352"/>
        <v>事業用資産</v>
      </c>
      <c r="H3832" s="7" t="str">
        <f t="shared" si="1350"/>
        <v>棚卸以外</v>
      </c>
      <c r="I3832" s="7">
        <v>19</v>
      </c>
      <c r="J3832" s="7" t="str">
        <f>"２７号棟増築"</f>
        <v>２７号棟増築</v>
      </c>
      <c r="K3832" s="7" t="str">
        <f t="shared" si="1349"/>
        <v>鉄筋コンクリート造</v>
      </c>
      <c r="L3832" s="7" t="str">
        <f>"S59.08.24"</f>
        <v>S59.08.24</v>
      </c>
      <c r="M3832" s="7">
        <v>447.21</v>
      </c>
      <c r="N3832" s="7">
        <v>86297000</v>
      </c>
      <c r="O3832" s="7">
        <v>70843167</v>
      </c>
      <c r="P3832" s="7">
        <v>0</v>
      </c>
      <c r="Q3832" s="7" t="str">
        <f t="shared" si="1356"/>
        <v>都市整備部</v>
      </c>
      <c r="R3832" s="7" t="str">
        <f t="shared" si="1353"/>
        <v>住宅建築局住宅経営室</v>
      </c>
    </row>
    <row r="3833" spans="1:18" s="1" customFormat="1" x14ac:dyDescent="0.45">
      <c r="A3833" s="7" t="str">
        <f t="shared" si="1357"/>
        <v>09940003537</v>
      </c>
      <c r="B3833" s="7" t="str">
        <f t="shared" si="1358"/>
        <v>千里桃山台・吹田桃山台</v>
      </c>
      <c r="C3833" s="7" t="str">
        <f t="shared" si="1354"/>
        <v>行政財産</v>
      </c>
      <c r="D3833" s="7" t="str">
        <f t="shared" si="1360"/>
        <v>公営住宅</v>
      </c>
      <c r="E3833" s="7" t="str">
        <f t="shared" si="1359"/>
        <v>大阪府吹田市桃山台１丁目</v>
      </c>
      <c r="F3833" s="7"/>
      <c r="G3833" s="7" t="str">
        <f t="shared" si="1352"/>
        <v>事業用資産</v>
      </c>
      <c r="H3833" s="7" t="str">
        <f t="shared" si="1350"/>
        <v>棚卸以外</v>
      </c>
      <c r="I3833" s="7">
        <v>20</v>
      </c>
      <c r="J3833" s="7" t="str">
        <f>"３０号棟増築"</f>
        <v>３０号棟増築</v>
      </c>
      <c r="K3833" s="7" t="str">
        <f t="shared" si="1349"/>
        <v>鉄筋コンクリート造</v>
      </c>
      <c r="L3833" s="7" t="str">
        <f>"S59.08.24"</f>
        <v>S59.08.24</v>
      </c>
      <c r="M3833" s="7">
        <v>449.21</v>
      </c>
      <c r="N3833" s="7">
        <v>84459000</v>
      </c>
      <c r="O3833" s="7">
        <v>69334250</v>
      </c>
      <c r="P3833" s="7">
        <v>0</v>
      </c>
      <c r="Q3833" s="7" t="str">
        <f t="shared" si="1356"/>
        <v>都市整備部</v>
      </c>
      <c r="R3833" s="7" t="str">
        <f t="shared" si="1353"/>
        <v>住宅建築局住宅経営室</v>
      </c>
    </row>
    <row r="3834" spans="1:18" s="1" customFormat="1" x14ac:dyDescent="0.45">
      <c r="A3834" s="7" t="str">
        <f t="shared" si="1357"/>
        <v>09940003537</v>
      </c>
      <c r="B3834" s="7" t="str">
        <f t="shared" si="1358"/>
        <v>千里桃山台・吹田桃山台</v>
      </c>
      <c r="C3834" s="7" t="str">
        <f t="shared" si="1354"/>
        <v>行政財産</v>
      </c>
      <c r="D3834" s="7" t="str">
        <f t="shared" si="1360"/>
        <v>公営住宅</v>
      </c>
      <c r="E3834" s="7" t="str">
        <f t="shared" si="1359"/>
        <v>大阪府吹田市桃山台１丁目</v>
      </c>
      <c r="F3834" s="7"/>
      <c r="G3834" s="7" t="str">
        <f t="shared" si="1352"/>
        <v>事業用資産</v>
      </c>
      <c r="H3834" s="7" t="str">
        <f t="shared" si="1350"/>
        <v>棚卸以外</v>
      </c>
      <c r="I3834" s="7">
        <v>21</v>
      </c>
      <c r="J3834" s="7" t="str">
        <f>"１３号棟増築"</f>
        <v>１３号棟増築</v>
      </c>
      <c r="K3834" s="7" t="str">
        <f t="shared" si="1349"/>
        <v>鉄筋コンクリート造</v>
      </c>
      <c r="L3834" s="7" t="str">
        <f>"S59.11.28"</f>
        <v>S59.11.28</v>
      </c>
      <c r="M3834" s="7">
        <v>455.02</v>
      </c>
      <c r="N3834" s="7">
        <v>88600000</v>
      </c>
      <c r="O3834" s="7">
        <v>72262780</v>
      </c>
      <c r="P3834" s="7">
        <v>0</v>
      </c>
      <c r="Q3834" s="7" t="str">
        <f t="shared" si="1356"/>
        <v>都市整備部</v>
      </c>
      <c r="R3834" s="7" t="str">
        <f t="shared" si="1353"/>
        <v>住宅建築局住宅経営室</v>
      </c>
    </row>
    <row r="3835" spans="1:18" s="1" customFormat="1" x14ac:dyDescent="0.45">
      <c r="A3835" s="7" t="str">
        <f t="shared" si="1357"/>
        <v>09940003537</v>
      </c>
      <c r="B3835" s="7" t="str">
        <f t="shared" si="1358"/>
        <v>千里桃山台・吹田桃山台</v>
      </c>
      <c r="C3835" s="7" t="str">
        <f t="shared" si="1354"/>
        <v>行政財産</v>
      </c>
      <c r="D3835" s="7" t="str">
        <f t="shared" si="1360"/>
        <v>公営住宅</v>
      </c>
      <c r="E3835" s="7" t="str">
        <f t="shared" si="1359"/>
        <v>大阪府吹田市桃山台１丁目</v>
      </c>
      <c r="F3835" s="7"/>
      <c r="G3835" s="7" t="str">
        <f t="shared" si="1352"/>
        <v>事業用資産</v>
      </c>
      <c r="H3835" s="7" t="str">
        <f t="shared" si="1350"/>
        <v>棚卸以外</v>
      </c>
      <c r="I3835" s="7">
        <v>22</v>
      </c>
      <c r="J3835" s="7" t="str">
        <f>"１８号棟増築"</f>
        <v>１８号棟増築</v>
      </c>
      <c r="K3835" s="7" t="str">
        <f t="shared" si="1349"/>
        <v>鉄筋コンクリート造</v>
      </c>
      <c r="L3835" s="7" t="str">
        <f>"S59.11.28"</f>
        <v>S59.11.28</v>
      </c>
      <c r="M3835" s="7">
        <v>606.69000000000005</v>
      </c>
      <c r="N3835" s="7">
        <v>118044000</v>
      </c>
      <c r="O3835" s="7">
        <v>96277080</v>
      </c>
      <c r="P3835" s="7">
        <v>0</v>
      </c>
      <c r="Q3835" s="7" t="str">
        <f t="shared" si="1356"/>
        <v>都市整備部</v>
      </c>
      <c r="R3835" s="7" t="str">
        <f t="shared" si="1353"/>
        <v>住宅建築局住宅経営室</v>
      </c>
    </row>
    <row r="3836" spans="1:18" s="1" customFormat="1" x14ac:dyDescent="0.45">
      <c r="A3836" s="7" t="str">
        <f t="shared" si="1357"/>
        <v>09940003537</v>
      </c>
      <c r="B3836" s="7" t="str">
        <f t="shared" si="1358"/>
        <v>千里桃山台・吹田桃山台</v>
      </c>
      <c r="C3836" s="7" t="str">
        <f t="shared" si="1354"/>
        <v>行政財産</v>
      </c>
      <c r="D3836" s="7" t="str">
        <f t="shared" si="1360"/>
        <v>公営住宅</v>
      </c>
      <c r="E3836" s="7" t="str">
        <f t="shared" si="1359"/>
        <v>大阪府吹田市桃山台１丁目</v>
      </c>
      <c r="F3836" s="7"/>
      <c r="G3836" s="7" t="str">
        <f t="shared" si="1352"/>
        <v>事業用資産</v>
      </c>
      <c r="H3836" s="7" t="str">
        <f t="shared" si="1350"/>
        <v>棚卸以外</v>
      </c>
      <c r="I3836" s="7">
        <v>23</v>
      </c>
      <c r="J3836" s="7" t="str">
        <f>"１１号棟増築"</f>
        <v>１１号棟増築</v>
      </c>
      <c r="K3836" s="7" t="str">
        <f t="shared" si="1349"/>
        <v>鉄筋コンクリート造</v>
      </c>
      <c r="L3836" s="7" t="str">
        <f>"S60.01.29"</f>
        <v>S60.01.29</v>
      </c>
      <c r="M3836" s="7">
        <v>557.13</v>
      </c>
      <c r="N3836" s="7">
        <v>106089000</v>
      </c>
      <c r="O3836" s="7">
        <v>86150716</v>
      </c>
      <c r="P3836" s="7">
        <v>0</v>
      </c>
      <c r="Q3836" s="7" t="str">
        <f t="shared" si="1356"/>
        <v>都市整備部</v>
      </c>
      <c r="R3836" s="7" t="str">
        <f t="shared" si="1353"/>
        <v>住宅建築局住宅経営室</v>
      </c>
    </row>
    <row r="3837" spans="1:18" s="1" customFormat="1" x14ac:dyDescent="0.45">
      <c r="A3837" s="7" t="str">
        <f t="shared" si="1357"/>
        <v>09940003537</v>
      </c>
      <c r="B3837" s="7" t="str">
        <f t="shared" si="1358"/>
        <v>千里桃山台・吹田桃山台</v>
      </c>
      <c r="C3837" s="7" t="str">
        <f t="shared" si="1354"/>
        <v>行政財産</v>
      </c>
      <c r="D3837" s="7" t="str">
        <f t="shared" si="1360"/>
        <v>公営住宅</v>
      </c>
      <c r="E3837" s="7" t="str">
        <f t="shared" si="1359"/>
        <v>大阪府吹田市桃山台１丁目</v>
      </c>
      <c r="F3837" s="7"/>
      <c r="G3837" s="7" t="str">
        <f t="shared" si="1352"/>
        <v>事業用資産</v>
      </c>
      <c r="H3837" s="7" t="str">
        <f t="shared" si="1350"/>
        <v>棚卸以外</v>
      </c>
      <c r="I3837" s="7">
        <v>24</v>
      </c>
      <c r="J3837" s="7" t="str">
        <f>"１５号棟増築"</f>
        <v>１５号棟増築</v>
      </c>
      <c r="K3837" s="7" t="str">
        <f t="shared" si="1349"/>
        <v>鉄筋コンクリート造</v>
      </c>
      <c r="L3837" s="7" t="str">
        <f>"S60.01.29"</f>
        <v>S60.01.29</v>
      </c>
      <c r="M3837" s="7">
        <v>696.42</v>
      </c>
      <c r="N3837" s="7">
        <v>137185000</v>
      </c>
      <c r="O3837" s="7">
        <v>111402088</v>
      </c>
      <c r="P3837" s="7">
        <v>0</v>
      </c>
      <c r="Q3837" s="7" t="str">
        <f t="shared" si="1356"/>
        <v>都市整備部</v>
      </c>
      <c r="R3837" s="7" t="str">
        <f t="shared" si="1353"/>
        <v>住宅建築局住宅経営室</v>
      </c>
    </row>
    <row r="3838" spans="1:18" s="1" customFormat="1" x14ac:dyDescent="0.45">
      <c r="A3838" s="7" t="str">
        <f t="shared" si="1357"/>
        <v>09940003537</v>
      </c>
      <c r="B3838" s="7" t="str">
        <f t="shared" si="1358"/>
        <v>千里桃山台・吹田桃山台</v>
      </c>
      <c r="C3838" s="7" t="str">
        <f t="shared" si="1354"/>
        <v>行政財産</v>
      </c>
      <c r="D3838" s="7" t="str">
        <f t="shared" si="1360"/>
        <v>公営住宅</v>
      </c>
      <c r="E3838" s="7" t="str">
        <f t="shared" si="1359"/>
        <v>大阪府吹田市桃山台１丁目</v>
      </c>
      <c r="F3838" s="7"/>
      <c r="G3838" s="7" t="str">
        <f t="shared" si="1352"/>
        <v>事業用資産</v>
      </c>
      <c r="H3838" s="7" t="str">
        <f t="shared" si="1350"/>
        <v>棚卸以外</v>
      </c>
      <c r="I3838" s="7">
        <v>25</v>
      </c>
      <c r="J3838" s="7" t="str">
        <f>"１９号棟増築"</f>
        <v>１９号棟増築</v>
      </c>
      <c r="K3838" s="7" t="str">
        <f t="shared" si="1349"/>
        <v>鉄筋コンクリート造</v>
      </c>
      <c r="L3838" s="7" t="str">
        <f>"S60.01.29"</f>
        <v>S60.01.29</v>
      </c>
      <c r="M3838" s="7">
        <v>557.13</v>
      </c>
      <c r="N3838" s="7">
        <v>109821000</v>
      </c>
      <c r="O3838" s="7">
        <v>89181302</v>
      </c>
      <c r="P3838" s="7">
        <v>0</v>
      </c>
      <c r="Q3838" s="7" t="str">
        <f t="shared" si="1356"/>
        <v>都市整備部</v>
      </c>
      <c r="R3838" s="7" t="str">
        <f t="shared" si="1353"/>
        <v>住宅建築局住宅経営室</v>
      </c>
    </row>
    <row r="3839" spans="1:18" s="1" customFormat="1" x14ac:dyDescent="0.45">
      <c r="A3839" s="7" t="str">
        <f t="shared" si="1357"/>
        <v>09940003537</v>
      </c>
      <c r="B3839" s="7" t="str">
        <f t="shared" si="1358"/>
        <v>千里桃山台・吹田桃山台</v>
      </c>
      <c r="C3839" s="7" t="str">
        <f t="shared" si="1354"/>
        <v>行政財産</v>
      </c>
      <c r="D3839" s="7" t="str">
        <f t="shared" si="1360"/>
        <v>公営住宅</v>
      </c>
      <c r="E3839" s="7" t="str">
        <f t="shared" si="1359"/>
        <v>大阪府吹田市桃山台１丁目</v>
      </c>
      <c r="F3839" s="7"/>
      <c r="G3839" s="7" t="str">
        <f t="shared" si="1352"/>
        <v>事業用資産</v>
      </c>
      <c r="H3839" s="7" t="str">
        <f t="shared" si="1350"/>
        <v>棚卸以外</v>
      </c>
      <c r="I3839" s="7">
        <v>26</v>
      </c>
      <c r="J3839" s="7" t="str">
        <f>"６号棟増築"</f>
        <v>６号棟増築</v>
      </c>
      <c r="K3839" s="7" t="str">
        <f t="shared" si="1349"/>
        <v>鉄筋コンクリート造</v>
      </c>
      <c r="L3839" s="7" t="str">
        <f t="shared" ref="L3839:L3845" si="1361">"S60.06.28"</f>
        <v>S60.06.28</v>
      </c>
      <c r="M3839" s="7">
        <v>735.57</v>
      </c>
      <c r="N3839" s="7">
        <v>115279000</v>
      </c>
      <c r="O3839" s="7">
        <v>92591388</v>
      </c>
      <c r="P3839" s="7">
        <v>0</v>
      </c>
      <c r="Q3839" s="7" t="str">
        <f t="shared" si="1356"/>
        <v>都市整備部</v>
      </c>
      <c r="R3839" s="7" t="str">
        <f t="shared" si="1353"/>
        <v>住宅建築局住宅経営室</v>
      </c>
    </row>
    <row r="3840" spans="1:18" s="1" customFormat="1" x14ac:dyDescent="0.45">
      <c r="A3840" s="7" t="str">
        <f t="shared" si="1357"/>
        <v>09940003537</v>
      </c>
      <c r="B3840" s="7" t="str">
        <f t="shared" si="1358"/>
        <v>千里桃山台・吹田桃山台</v>
      </c>
      <c r="C3840" s="7" t="str">
        <f t="shared" si="1354"/>
        <v>行政財産</v>
      </c>
      <c r="D3840" s="7" t="str">
        <f t="shared" si="1360"/>
        <v>公営住宅</v>
      </c>
      <c r="E3840" s="7" t="str">
        <f t="shared" si="1359"/>
        <v>大阪府吹田市桃山台１丁目</v>
      </c>
      <c r="F3840" s="7"/>
      <c r="G3840" s="7" t="str">
        <f t="shared" si="1352"/>
        <v>事業用資産</v>
      </c>
      <c r="H3840" s="7" t="str">
        <f t="shared" si="1350"/>
        <v>棚卸以外</v>
      </c>
      <c r="I3840" s="7">
        <v>27</v>
      </c>
      <c r="J3840" s="7" t="str">
        <f>"７号棟増築"</f>
        <v>７号棟増築</v>
      </c>
      <c r="K3840" s="7" t="str">
        <f t="shared" si="1349"/>
        <v>鉄筋コンクリート造</v>
      </c>
      <c r="L3840" s="7" t="str">
        <f t="shared" si="1361"/>
        <v>S60.06.28</v>
      </c>
      <c r="M3840" s="7">
        <v>417.85</v>
      </c>
      <c r="N3840" s="7">
        <v>70068000</v>
      </c>
      <c r="O3840" s="7">
        <v>56278455</v>
      </c>
      <c r="P3840" s="7">
        <v>0</v>
      </c>
      <c r="Q3840" s="7" t="str">
        <f t="shared" si="1356"/>
        <v>都市整備部</v>
      </c>
      <c r="R3840" s="7" t="str">
        <f t="shared" si="1353"/>
        <v>住宅建築局住宅経営室</v>
      </c>
    </row>
    <row r="3841" spans="1:18" s="1" customFormat="1" x14ac:dyDescent="0.45">
      <c r="A3841" s="7" t="str">
        <f t="shared" si="1357"/>
        <v>09940003537</v>
      </c>
      <c r="B3841" s="7" t="str">
        <f t="shared" si="1358"/>
        <v>千里桃山台・吹田桃山台</v>
      </c>
      <c r="C3841" s="7" t="str">
        <f t="shared" si="1354"/>
        <v>行政財産</v>
      </c>
      <c r="D3841" s="7" t="str">
        <f t="shared" si="1360"/>
        <v>公営住宅</v>
      </c>
      <c r="E3841" s="7" t="str">
        <f t="shared" si="1359"/>
        <v>大阪府吹田市桃山台１丁目</v>
      </c>
      <c r="F3841" s="7"/>
      <c r="G3841" s="7" t="str">
        <f t="shared" si="1352"/>
        <v>事業用資産</v>
      </c>
      <c r="H3841" s="7" t="str">
        <f t="shared" si="1350"/>
        <v>棚卸以外</v>
      </c>
      <c r="I3841" s="7">
        <v>28</v>
      </c>
      <c r="J3841" s="7" t="str">
        <f>"１号棟増築"</f>
        <v>１号棟増築</v>
      </c>
      <c r="K3841" s="7" t="str">
        <f t="shared" si="1349"/>
        <v>鉄筋コンクリート造</v>
      </c>
      <c r="L3841" s="7" t="str">
        <f t="shared" si="1361"/>
        <v>S60.06.28</v>
      </c>
      <c r="M3841" s="7">
        <v>211.07</v>
      </c>
      <c r="N3841" s="7">
        <v>43711000</v>
      </c>
      <c r="O3841" s="7">
        <v>35108406</v>
      </c>
      <c r="P3841" s="7">
        <v>0</v>
      </c>
      <c r="Q3841" s="7" t="str">
        <f t="shared" si="1356"/>
        <v>都市整備部</v>
      </c>
      <c r="R3841" s="7" t="str">
        <f t="shared" si="1353"/>
        <v>住宅建築局住宅経営室</v>
      </c>
    </row>
    <row r="3842" spans="1:18" s="1" customFormat="1" x14ac:dyDescent="0.45">
      <c r="A3842" s="7" t="str">
        <f t="shared" si="1357"/>
        <v>09940003537</v>
      </c>
      <c r="B3842" s="7" t="str">
        <f t="shared" si="1358"/>
        <v>千里桃山台・吹田桃山台</v>
      </c>
      <c r="C3842" s="7" t="str">
        <f t="shared" si="1354"/>
        <v>行政財産</v>
      </c>
      <c r="D3842" s="7" t="str">
        <f t="shared" si="1360"/>
        <v>公営住宅</v>
      </c>
      <c r="E3842" s="7" t="str">
        <f t="shared" si="1359"/>
        <v>大阪府吹田市桃山台１丁目</v>
      </c>
      <c r="F3842" s="7"/>
      <c r="G3842" s="7" t="str">
        <f t="shared" si="1352"/>
        <v>事業用資産</v>
      </c>
      <c r="H3842" s="7" t="str">
        <f t="shared" si="1350"/>
        <v>棚卸以外</v>
      </c>
      <c r="I3842" s="7">
        <v>29</v>
      </c>
      <c r="J3842" s="7" t="str">
        <f>"２号棟増築"</f>
        <v>２号棟増築</v>
      </c>
      <c r="K3842" s="7" t="str">
        <f t="shared" ref="K3842:K3905" si="1362">"鉄筋コンクリート造"</f>
        <v>鉄筋コンクリート造</v>
      </c>
      <c r="L3842" s="7" t="str">
        <f t="shared" si="1361"/>
        <v>S60.06.28</v>
      </c>
      <c r="M3842" s="7">
        <v>211.07</v>
      </c>
      <c r="N3842" s="7">
        <v>43528000</v>
      </c>
      <c r="O3842" s="7">
        <v>34961634</v>
      </c>
      <c r="P3842" s="7">
        <v>0</v>
      </c>
      <c r="Q3842" s="7" t="str">
        <f t="shared" si="1356"/>
        <v>都市整備部</v>
      </c>
      <c r="R3842" s="7" t="str">
        <f t="shared" si="1353"/>
        <v>住宅建築局住宅経営室</v>
      </c>
    </row>
    <row r="3843" spans="1:18" s="1" customFormat="1" x14ac:dyDescent="0.45">
      <c r="A3843" s="7" t="str">
        <f t="shared" si="1357"/>
        <v>09940003537</v>
      </c>
      <c r="B3843" s="7" t="str">
        <f t="shared" si="1358"/>
        <v>千里桃山台・吹田桃山台</v>
      </c>
      <c r="C3843" s="7" t="str">
        <f t="shared" si="1354"/>
        <v>行政財産</v>
      </c>
      <c r="D3843" s="7" t="str">
        <f t="shared" si="1360"/>
        <v>公営住宅</v>
      </c>
      <c r="E3843" s="7" t="str">
        <f t="shared" si="1359"/>
        <v>大阪府吹田市桃山台１丁目</v>
      </c>
      <c r="F3843" s="7"/>
      <c r="G3843" s="7" t="str">
        <f t="shared" si="1352"/>
        <v>事業用資産</v>
      </c>
      <c r="H3843" s="7" t="str">
        <f t="shared" si="1350"/>
        <v>棚卸以外</v>
      </c>
      <c r="I3843" s="7">
        <v>30</v>
      </c>
      <c r="J3843" s="7" t="str">
        <f>"３号棟増築"</f>
        <v>３号棟増築</v>
      </c>
      <c r="K3843" s="7" t="str">
        <f t="shared" si="1362"/>
        <v>鉄筋コンクリート造</v>
      </c>
      <c r="L3843" s="7" t="str">
        <f t="shared" si="1361"/>
        <v>S60.06.28</v>
      </c>
      <c r="M3843" s="7">
        <v>211.07</v>
      </c>
      <c r="N3843" s="7">
        <v>43528000</v>
      </c>
      <c r="O3843" s="7">
        <v>34961634</v>
      </c>
      <c r="P3843" s="7">
        <v>0</v>
      </c>
      <c r="Q3843" s="7" t="str">
        <f t="shared" si="1356"/>
        <v>都市整備部</v>
      </c>
      <c r="R3843" s="7" t="str">
        <f t="shared" si="1353"/>
        <v>住宅建築局住宅経営室</v>
      </c>
    </row>
    <row r="3844" spans="1:18" s="1" customFormat="1" x14ac:dyDescent="0.45">
      <c r="A3844" s="7" t="str">
        <f t="shared" si="1357"/>
        <v>09940003537</v>
      </c>
      <c r="B3844" s="7" t="str">
        <f t="shared" si="1358"/>
        <v>千里桃山台・吹田桃山台</v>
      </c>
      <c r="C3844" s="7" t="str">
        <f t="shared" si="1354"/>
        <v>行政財産</v>
      </c>
      <c r="D3844" s="7" t="str">
        <f t="shared" si="1360"/>
        <v>公営住宅</v>
      </c>
      <c r="E3844" s="7" t="str">
        <f t="shared" si="1359"/>
        <v>大阪府吹田市桃山台１丁目</v>
      </c>
      <c r="F3844" s="7"/>
      <c r="G3844" s="7" t="str">
        <f t="shared" si="1352"/>
        <v>事業用資産</v>
      </c>
      <c r="H3844" s="7" t="str">
        <f t="shared" ref="H3844:H3907" si="1363">"棚卸以外"</f>
        <v>棚卸以外</v>
      </c>
      <c r="I3844" s="7">
        <v>31</v>
      </c>
      <c r="J3844" s="7" t="str">
        <f>"４号棟増築"</f>
        <v>４号棟増築</v>
      </c>
      <c r="K3844" s="7" t="str">
        <f t="shared" si="1362"/>
        <v>鉄筋コンクリート造</v>
      </c>
      <c r="L3844" s="7" t="str">
        <f t="shared" si="1361"/>
        <v>S60.06.28</v>
      </c>
      <c r="M3844" s="7">
        <v>211.07</v>
      </c>
      <c r="N3844" s="7">
        <v>42323000</v>
      </c>
      <c r="O3844" s="7">
        <v>33993573</v>
      </c>
      <c r="P3844" s="7">
        <v>0</v>
      </c>
      <c r="Q3844" s="7" t="str">
        <f t="shared" si="1356"/>
        <v>都市整備部</v>
      </c>
      <c r="R3844" s="7" t="str">
        <f t="shared" si="1353"/>
        <v>住宅建築局住宅経営室</v>
      </c>
    </row>
    <row r="3845" spans="1:18" s="1" customFormat="1" x14ac:dyDescent="0.45">
      <c r="A3845" s="7" t="str">
        <f t="shared" si="1357"/>
        <v>09940003537</v>
      </c>
      <c r="B3845" s="7" t="str">
        <f t="shared" si="1358"/>
        <v>千里桃山台・吹田桃山台</v>
      </c>
      <c r="C3845" s="7" t="str">
        <f t="shared" si="1354"/>
        <v>行政財産</v>
      </c>
      <c r="D3845" s="7" t="str">
        <f t="shared" si="1360"/>
        <v>公営住宅</v>
      </c>
      <c r="E3845" s="7" t="str">
        <f t="shared" si="1359"/>
        <v>大阪府吹田市桃山台１丁目</v>
      </c>
      <c r="F3845" s="7"/>
      <c r="G3845" s="7" t="str">
        <f t="shared" si="1352"/>
        <v>事業用資産</v>
      </c>
      <c r="H3845" s="7" t="str">
        <f t="shared" si="1363"/>
        <v>棚卸以外</v>
      </c>
      <c r="I3845" s="7">
        <v>32</v>
      </c>
      <c r="J3845" s="7" t="str">
        <f>"５号棟増築"</f>
        <v>５号棟増築</v>
      </c>
      <c r="K3845" s="7" t="str">
        <f t="shared" si="1362"/>
        <v>鉄筋コンクリート造</v>
      </c>
      <c r="L3845" s="7" t="str">
        <f t="shared" si="1361"/>
        <v>S60.06.28</v>
      </c>
      <c r="M3845" s="7">
        <v>211.07</v>
      </c>
      <c r="N3845" s="7">
        <v>43531000</v>
      </c>
      <c r="O3845" s="7">
        <v>34963899</v>
      </c>
      <c r="P3845" s="7">
        <v>0</v>
      </c>
      <c r="Q3845" s="7" t="str">
        <f t="shared" si="1356"/>
        <v>都市整備部</v>
      </c>
      <c r="R3845" s="7" t="str">
        <f t="shared" si="1353"/>
        <v>住宅建築局住宅経営室</v>
      </c>
    </row>
    <row r="3846" spans="1:18" s="1" customFormat="1" x14ac:dyDescent="0.45">
      <c r="A3846" s="7" t="str">
        <f t="shared" si="1357"/>
        <v>09940003537</v>
      </c>
      <c r="B3846" s="7" t="str">
        <f t="shared" si="1358"/>
        <v>千里桃山台・吹田桃山台</v>
      </c>
      <c r="C3846" s="7" t="str">
        <f t="shared" si="1354"/>
        <v>行政財産</v>
      </c>
      <c r="D3846" s="7" t="str">
        <f t="shared" si="1360"/>
        <v>公営住宅</v>
      </c>
      <c r="E3846" s="7" t="str">
        <f t="shared" si="1359"/>
        <v>大阪府吹田市桃山台１丁目</v>
      </c>
      <c r="F3846" s="7"/>
      <c r="G3846" s="7" t="str">
        <f t="shared" si="1352"/>
        <v>事業用資産</v>
      </c>
      <c r="H3846" s="7" t="str">
        <f t="shared" si="1363"/>
        <v>棚卸以外</v>
      </c>
      <c r="I3846" s="7">
        <v>33</v>
      </c>
      <c r="J3846" s="7" t="str">
        <f>"集会所"</f>
        <v>集会所</v>
      </c>
      <c r="K3846" s="7" t="str">
        <f t="shared" si="1362"/>
        <v>鉄筋コンクリート造</v>
      </c>
      <c r="L3846" s="7" t="str">
        <f>"S60.08.01"</f>
        <v>S60.08.01</v>
      </c>
      <c r="M3846" s="7">
        <v>34.78</v>
      </c>
      <c r="N3846" s="7">
        <v>7550000</v>
      </c>
      <c r="O3846" s="7">
        <v>6037537</v>
      </c>
      <c r="P3846" s="7">
        <v>0</v>
      </c>
      <c r="Q3846" s="7" t="str">
        <f t="shared" si="1356"/>
        <v>都市整備部</v>
      </c>
      <c r="R3846" s="7" t="str">
        <f t="shared" si="1353"/>
        <v>住宅建築局住宅経営室</v>
      </c>
    </row>
    <row r="3847" spans="1:18" s="1" customFormat="1" x14ac:dyDescent="0.45">
      <c r="A3847" s="7" t="str">
        <f t="shared" si="1357"/>
        <v>09940003537</v>
      </c>
      <c r="B3847" s="7" t="str">
        <f t="shared" si="1358"/>
        <v>千里桃山台・吹田桃山台</v>
      </c>
      <c r="C3847" s="7" t="str">
        <f t="shared" si="1354"/>
        <v>行政財産</v>
      </c>
      <c r="D3847" s="7" t="str">
        <f t="shared" si="1360"/>
        <v>公営住宅</v>
      </c>
      <c r="E3847" s="7" t="str">
        <f t="shared" si="1359"/>
        <v>大阪府吹田市桃山台１丁目</v>
      </c>
      <c r="F3847" s="7"/>
      <c r="G3847" s="7" t="str">
        <f t="shared" si="1352"/>
        <v>事業用資産</v>
      </c>
      <c r="H3847" s="7" t="str">
        <f t="shared" si="1363"/>
        <v>棚卸以外</v>
      </c>
      <c r="I3847" s="7">
        <v>34</v>
      </c>
      <c r="J3847" s="7" t="str">
        <f>"１号棟"</f>
        <v>１号棟</v>
      </c>
      <c r="K3847" s="7" t="str">
        <f t="shared" si="1362"/>
        <v>鉄筋コンクリート造</v>
      </c>
      <c r="L3847" s="7" t="str">
        <f>"R04.05.01"</f>
        <v>R04.05.01</v>
      </c>
      <c r="M3847" s="7">
        <v>7655.06</v>
      </c>
      <c r="N3847" s="7">
        <v>1763913122</v>
      </c>
      <c r="O3847" s="7">
        <v>31275060</v>
      </c>
      <c r="P3847" s="7">
        <v>0</v>
      </c>
      <c r="Q3847" s="7" t="str">
        <f t="shared" si="1356"/>
        <v>都市整備部</v>
      </c>
      <c r="R3847" s="7" t="str">
        <f t="shared" si="1353"/>
        <v>住宅建築局住宅経営室</v>
      </c>
    </row>
    <row r="3848" spans="1:18" s="1" customFormat="1" x14ac:dyDescent="0.45">
      <c r="A3848" s="7" t="str">
        <f t="shared" si="1357"/>
        <v>09940003537</v>
      </c>
      <c r="B3848" s="7" t="str">
        <f t="shared" si="1358"/>
        <v>千里桃山台・吹田桃山台</v>
      </c>
      <c r="C3848" s="7" t="str">
        <f t="shared" si="1354"/>
        <v>行政財産</v>
      </c>
      <c r="D3848" s="7" t="str">
        <f t="shared" si="1360"/>
        <v>公営住宅</v>
      </c>
      <c r="E3848" s="7" t="str">
        <f t="shared" si="1359"/>
        <v>大阪府吹田市桃山台１丁目</v>
      </c>
      <c r="F3848" s="7"/>
      <c r="G3848" s="7" t="str">
        <f t="shared" si="1352"/>
        <v>事業用資産</v>
      </c>
      <c r="H3848" s="7" t="str">
        <f t="shared" si="1363"/>
        <v>棚卸以外</v>
      </c>
      <c r="I3848" s="7">
        <v>35</v>
      </c>
      <c r="J3848" s="7" t="str">
        <f>"２号棟"</f>
        <v>２号棟</v>
      </c>
      <c r="K3848" s="7" t="str">
        <f t="shared" si="1362"/>
        <v>鉄筋コンクリート造</v>
      </c>
      <c r="L3848" s="7" t="str">
        <f>"R04.05.01"</f>
        <v>R04.05.01</v>
      </c>
      <c r="M3848" s="7">
        <v>4514.1899999999996</v>
      </c>
      <c r="N3848" s="7">
        <v>1088211902</v>
      </c>
      <c r="O3848" s="7">
        <v>19294540</v>
      </c>
      <c r="P3848" s="7">
        <v>0</v>
      </c>
      <c r="Q3848" s="7" t="str">
        <f t="shared" si="1356"/>
        <v>都市整備部</v>
      </c>
      <c r="R3848" s="7" t="str">
        <f t="shared" si="1353"/>
        <v>住宅建築局住宅経営室</v>
      </c>
    </row>
    <row r="3849" spans="1:18" s="1" customFormat="1" x14ac:dyDescent="0.45">
      <c r="A3849" s="7" t="str">
        <f t="shared" si="1357"/>
        <v>09940003537</v>
      </c>
      <c r="B3849" s="7" t="str">
        <f t="shared" si="1358"/>
        <v>千里桃山台・吹田桃山台</v>
      </c>
      <c r="C3849" s="7" t="str">
        <f t="shared" si="1354"/>
        <v>行政財産</v>
      </c>
      <c r="D3849" s="7" t="str">
        <f t="shared" si="1360"/>
        <v>公営住宅</v>
      </c>
      <c r="E3849" s="7" t="str">
        <f t="shared" si="1359"/>
        <v>大阪府吹田市桃山台１丁目</v>
      </c>
      <c r="F3849" s="7"/>
      <c r="G3849" s="7" t="str">
        <f t="shared" si="1352"/>
        <v>事業用資産</v>
      </c>
      <c r="H3849" s="7" t="str">
        <f t="shared" si="1363"/>
        <v>棚卸以外</v>
      </c>
      <c r="I3849" s="7">
        <v>36</v>
      </c>
      <c r="J3849" s="7" t="str">
        <f>"３号棟"</f>
        <v>３号棟</v>
      </c>
      <c r="K3849" s="7" t="str">
        <f t="shared" si="1362"/>
        <v>鉄筋コンクリート造</v>
      </c>
      <c r="L3849" s="7" t="str">
        <f>"R04.05.01"</f>
        <v>R04.05.01</v>
      </c>
      <c r="M3849" s="7">
        <v>8606.81</v>
      </c>
      <c r="N3849" s="7">
        <v>2223519202</v>
      </c>
      <c r="O3849" s="7">
        <v>39424100</v>
      </c>
      <c r="P3849" s="7">
        <v>0</v>
      </c>
      <c r="Q3849" s="7" t="str">
        <f t="shared" si="1356"/>
        <v>都市整備部</v>
      </c>
      <c r="R3849" s="7" t="str">
        <f t="shared" si="1353"/>
        <v>住宅建築局住宅経営室</v>
      </c>
    </row>
    <row r="3850" spans="1:18" s="1" customFormat="1" x14ac:dyDescent="0.45">
      <c r="A3850" s="7" t="str">
        <f t="shared" si="1357"/>
        <v>09940003537</v>
      </c>
      <c r="B3850" s="7" t="str">
        <f t="shared" si="1358"/>
        <v>千里桃山台・吹田桃山台</v>
      </c>
      <c r="C3850" s="7" t="str">
        <f t="shared" si="1354"/>
        <v>行政財産</v>
      </c>
      <c r="D3850" s="7" t="str">
        <f t="shared" si="1360"/>
        <v>公営住宅</v>
      </c>
      <c r="E3850" s="7" t="str">
        <f t="shared" si="1359"/>
        <v>大阪府吹田市桃山台１丁目</v>
      </c>
      <c r="F3850" s="7"/>
      <c r="G3850" s="7" t="str">
        <f t="shared" si="1352"/>
        <v>事業用資産</v>
      </c>
      <c r="H3850" s="7" t="str">
        <f t="shared" si="1363"/>
        <v>棚卸以外</v>
      </c>
      <c r="I3850" s="7">
        <v>37</v>
      </c>
      <c r="J3850" s="7" t="str">
        <f>"集会場"</f>
        <v>集会場</v>
      </c>
      <c r="K3850" s="7" t="str">
        <f t="shared" si="1362"/>
        <v>鉄筋コンクリート造</v>
      </c>
      <c r="L3850" s="7" t="str">
        <f>"R04.05.01"</f>
        <v>R04.05.01</v>
      </c>
      <c r="M3850" s="7">
        <v>161.44999999999999</v>
      </c>
      <c r="N3850" s="7">
        <v>50868052</v>
      </c>
      <c r="O3850" s="7">
        <v>901920</v>
      </c>
      <c r="P3850" s="7">
        <v>0</v>
      </c>
      <c r="Q3850" s="7" t="str">
        <f t="shared" si="1356"/>
        <v>都市整備部</v>
      </c>
      <c r="R3850" s="7" t="str">
        <f t="shared" si="1353"/>
        <v>住宅建築局住宅経営室</v>
      </c>
    </row>
    <row r="3851" spans="1:18" s="1" customFormat="1" x14ac:dyDescent="0.45">
      <c r="A3851" s="7" t="str">
        <f t="shared" si="1357"/>
        <v>09940003537</v>
      </c>
      <c r="B3851" s="7" t="str">
        <f t="shared" si="1358"/>
        <v>千里桃山台・吹田桃山台</v>
      </c>
      <c r="C3851" s="7" t="str">
        <f t="shared" si="1354"/>
        <v>行政財産</v>
      </c>
      <c r="D3851" s="7" t="str">
        <f t="shared" si="1360"/>
        <v>公営住宅</v>
      </c>
      <c r="E3851" s="7" t="str">
        <f t="shared" si="1359"/>
        <v>大阪府吹田市桃山台１丁目</v>
      </c>
      <c r="F3851" s="7"/>
      <c r="G3851" s="7" t="str">
        <f t="shared" si="1352"/>
        <v>事業用資産</v>
      </c>
      <c r="H3851" s="7" t="str">
        <f t="shared" si="1363"/>
        <v>棚卸以外</v>
      </c>
      <c r="I3851" s="7">
        <v>38</v>
      </c>
      <c r="J3851" s="7" t="str">
        <f>"電気室・ポンプ室"</f>
        <v>電気室・ポンプ室</v>
      </c>
      <c r="K3851" s="7" t="str">
        <f t="shared" si="1362"/>
        <v>鉄筋コンクリート造</v>
      </c>
      <c r="L3851" s="7" t="str">
        <f>"R04.05.01"</f>
        <v>R04.05.01</v>
      </c>
      <c r="M3851" s="7">
        <v>103.62</v>
      </c>
      <c r="N3851" s="7">
        <v>55976431</v>
      </c>
      <c r="O3851" s="7">
        <v>992490</v>
      </c>
      <c r="P3851" s="7">
        <v>0</v>
      </c>
      <c r="Q3851" s="7" t="str">
        <f t="shared" si="1356"/>
        <v>都市整備部</v>
      </c>
      <c r="R3851" s="7" t="str">
        <f t="shared" si="1353"/>
        <v>住宅建築局住宅経営室</v>
      </c>
    </row>
    <row r="3852" spans="1:18" s="1" customFormat="1" x14ac:dyDescent="0.45">
      <c r="A3852" s="7" t="str">
        <f t="shared" ref="A3852:A3864" si="1364">"09940003539"</f>
        <v>09940003539</v>
      </c>
      <c r="B3852" s="7" t="str">
        <f t="shared" ref="B3852:B3864" si="1365">"高槻五領"</f>
        <v>高槻五領</v>
      </c>
      <c r="C3852" s="7" t="str">
        <f t="shared" si="1354"/>
        <v>行政財産</v>
      </c>
      <c r="D3852" s="7" t="str">
        <f t="shared" si="1360"/>
        <v>公営住宅</v>
      </c>
      <c r="E3852" s="7" t="str">
        <f t="shared" ref="E3852:E3864" si="1366">"大阪府高槻市五領町"</f>
        <v>大阪府高槻市五領町</v>
      </c>
      <c r="F3852" s="7"/>
      <c r="G3852" s="7" t="str">
        <f t="shared" si="1352"/>
        <v>事業用資産</v>
      </c>
      <c r="H3852" s="7" t="str">
        <f t="shared" si="1363"/>
        <v>棚卸以外</v>
      </c>
      <c r="I3852" s="7">
        <v>1</v>
      </c>
      <c r="J3852" s="7" t="str">
        <f>"１号棟"</f>
        <v>１号棟</v>
      </c>
      <c r="K3852" s="7" t="str">
        <f t="shared" si="1362"/>
        <v>鉄筋コンクリート造</v>
      </c>
      <c r="L3852" s="7" t="str">
        <f>"S60.02.26"</f>
        <v>S60.02.26</v>
      </c>
      <c r="M3852" s="7">
        <v>1411.4</v>
      </c>
      <c r="N3852" s="7">
        <v>131219000</v>
      </c>
      <c r="O3852" s="7">
        <v>106324706</v>
      </c>
      <c r="P3852" s="7">
        <v>0</v>
      </c>
      <c r="Q3852" s="7" t="str">
        <f t="shared" si="1356"/>
        <v>都市整備部</v>
      </c>
      <c r="R3852" s="7" t="str">
        <f t="shared" si="1353"/>
        <v>住宅建築局住宅経営室</v>
      </c>
    </row>
    <row r="3853" spans="1:18" s="1" customFormat="1" x14ac:dyDescent="0.45">
      <c r="A3853" s="7" t="str">
        <f t="shared" si="1364"/>
        <v>09940003539</v>
      </c>
      <c r="B3853" s="7" t="str">
        <f t="shared" si="1365"/>
        <v>高槻五領</v>
      </c>
      <c r="C3853" s="7" t="str">
        <f t="shared" si="1354"/>
        <v>行政財産</v>
      </c>
      <c r="D3853" s="7" t="str">
        <f t="shared" si="1360"/>
        <v>公営住宅</v>
      </c>
      <c r="E3853" s="7" t="str">
        <f t="shared" si="1366"/>
        <v>大阪府高槻市五領町</v>
      </c>
      <c r="F3853" s="7"/>
      <c r="G3853" s="7" t="str">
        <f t="shared" si="1352"/>
        <v>事業用資産</v>
      </c>
      <c r="H3853" s="7" t="str">
        <f t="shared" si="1363"/>
        <v>棚卸以外</v>
      </c>
      <c r="I3853" s="7">
        <v>2</v>
      </c>
      <c r="J3853" s="7" t="str">
        <f>"２号棟"</f>
        <v>２号棟</v>
      </c>
      <c r="K3853" s="7" t="str">
        <f t="shared" si="1362"/>
        <v>鉄筋コンクリート造</v>
      </c>
      <c r="L3853" s="7" t="str">
        <f>"S60.02.26"</f>
        <v>S60.02.26</v>
      </c>
      <c r="M3853" s="7">
        <v>1342.5</v>
      </c>
      <c r="N3853" s="7">
        <v>145642000</v>
      </c>
      <c r="O3853" s="7">
        <v>118011567</v>
      </c>
      <c r="P3853" s="7">
        <v>0</v>
      </c>
      <c r="Q3853" s="7" t="str">
        <f t="shared" si="1356"/>
        <v>都市整備部</v>
      </c>
      <c r="R3853" s="7" t="str">
        <f t="shared" si="1353"/>
        <v>住宅建築局住宅経営室</v>
      </c>
    </row>
    <row r="3854" spans="1:18" s="1" customFormat="1" x14ac:dyDescent="0.45">
      <c r="A3854" s="7" t="str">
        <f t="shared" si="1364"/>
        <v>09940003539</v>
      </c>
      <c r="B3854" s="7" t="str">
        <f t="shared" si="1365"/>
        <v>高槻五領</v>
      </c>
      <c r="C3854" s="7" t="str">
        <f t="shared" si="1354"/>
        <v>行政財産</v>
      </c>
      <c r="D3854" s="7" t="str">
        <f t="shared" si="1360"/>
        <v>公営住宅</v>
      </c>
      <c r="E3854" s="7" t="str">
        <f t="shared" si="1366"/>
        <v>大阪府高槻市五領町</v>
      </c>
      <c r="F3854" s="7"/>
      <c r="G3854" s="7" t="str">
        <f t="shared" si="1352"/>
        <v>事業用資産</v>
      </c>
      <c r="H3854" s="7" t="str">
        <f t="shared" si="1363"/>
        <v>棚卸以外</v>
      </c>
      <c r="I3854" s="7">
        <v>3</v>
      </c>
      <c r="J3854" s="7" t="str">
        <f>"３号棟"</f>
        <v>３号棟</v>
      </c>
      <c r="K3854" s="7" t="str">
        <f t="shared" si="1362"/>
        <v>鉄筋コンクリート造</v>
      </c>
      <c r="L3854" s="7" t="str">
        <f>"S60.02.26"</f>
        <v>S60.02.26</v>
      </c>
      <c r="M3854" s="7">
        <v>1342.5</v>
      </c>
      <c r="N3854" s="7">
        <v>145258000</v>
      </c>
      <c r="O3854" s="7">
        <v>117700350</v>
      </c>
      <c r="P3854" s="7">
        <v>0</v>
      </c>
      <c r="Q3854" s="7" t="str">
        <f t="shared" si="1356"/>
        <v>都市整備部</v>
      </c>
      <c r="R3854" s="7" t="str">
        <f t="shared" si="1353"/>
        <v>住宅建築局住宅経営室</v>
      </c>
    </row>
    <row r="3855" spans="1:18" s="1" customFormat="1" x14ac:dyDescent="0.45">
      <c r="A3855" s="7" t="str">
        <f t="shared" si="1364"/>
        <v>09940003539</v>
      </c>
      <c r="B3855" s="7" t="str">
        <f t="shared" si="1365"/>
        <v>高槻五領</v>
      </c>
      <c r="C3855" s="7" t="str">
        <f t="shared" si="1354"/>
        <v>行政財産</v>
      </c>
      <c r="D3855" s="7" t="str">
        <f t="shared" si="1360"/>
        <v>公営住宅</v>
      </c>
      <c r="E3855" s="7" t="str">
        <f t="shared" si="1366"/>
        <v>大阪府高槻市五領町</v>
      </c>
      <c r="F3855" s="7"/>
      <c r="G3855" s="7" t="str">
        <f t="shared" si="1352"/>
        <v>事業用資産</v>
      </c>
      <c r="H3855" s="7" t="str">
        <f t="shared" si="1363"/>
        <v>棚卸以外</v>
      </c>
      <c r="I3855" s="7">
        <v>4</v>
      </c>
      <c r="J3855" s="7" t="str">
        <f>"受水槽"</f>
        <v>受水槽</v>
      </c>
      <c r="K3855" s="7" t="str">
        <f t="shared" si="1362"/>
        <v>鉄筋コンクリート造</v>
      </c>
      <c r="L3855" s="7" t="str">
        <f>"S60.02.26"</f>
        <v>S60.02.26</v>
      </c>
      <c r="M3855" s="7">
        <v>88</v>
      </c>
      <c r="N3855" s="7">
        <v>23427000</v>
      </c>
      <c r="O3855" s="7">
        <v>18982866</v>
      </c>
      <c r="P3855" s="7">
        <v>0</v>
      </c>
      <c r="Q3855" s="7" t="str">
        <f t="shared" si="1356"/>
        <v>都市整備部</v>
      </c>
      <c r="R3855" s="7" t="str">
        <f t="shared" si="1353"/>
        <v>住宅建築局住宅経営室</v>
      </c>
    </row>
    <row r="3856" spans="1:18" s="1" customFormat="1" x14ac:dyDescent="0.45">
      <c r="A3856" s="7" t="str">
        <f t="shared" si="1364"/>
        <v>09940003539</v>
      </c>
      <c r="B3856" s="7" t="str">
        <f t="shared" si="1365"/>
        <v>高槻五領</v>
      </c>
      <c r="C3856" s="7" t="str">
        <f t="shared" si="1354"/>
        <v>行政財産</v>
      </c>
      <c r="D3856" s="7" t="str">
        <f t="shared" si="1360"/>
        <v>公営住宅</v>
      </c>
      <c r="E3856" s="7" t="str">
        <f t="shared" si="1366"/>
        <v>大阪府高槻市五領町</v>
      </c>
      <c r="F3856" s="7"/>
      <c r="G3856" s="7" t="str">
        <f t="shared" si="1352"/>
        <v>事業用資産</v>
      </c>
      <c r="H3856" s="7" t="str">
        <f t="shared" si="1363"/>
        <v>棚卸以外</v>
      </c>
      <c r="I3856" s="7">
        <v>5</v>
      </c>
      <c r="J3856" s="7" t="str">
        <f>"４号棟"</f>
        <v>４号棟</v>
      </c>
      <c r="K3856" s="7" t="str">
        <f t="shared" si="1362"/>
        <v>鉄筋コンクリート造</v>
      </c>
      <c r="L3856" s="7" t="str">
        <f>"S61.09.29"</f>
        <v>S61.09.29</v>
      </c>
      <c r="M3856" s="7">
        <v>1074</v>
      </c>
      <c r="N3856" s="7">
        <v>103814000</v>
      </c>
      <c r="O3856" s="7">
        <v>80621784</v>
      </c>
      <c r="P3856" s="7">
        <v>0</v>
      </c>
      <c r="Q3856" s="7" t="str">
        <f t="shared" si="1356"/>
        <v>都市整備部</v>
      </c>
      <c r="R3856" s="7" t="str">
        <f t="shared" si="1353"/>
        <v>住宅建築局住宅経営室</v>
      </c>
    </row>
    <row r="3857" spans="1:18" s="1" customFormat="1" x14ac:dyDescent="0.45">
      <c r="A3857" s="7" t="str">
        <f t="shared" si="1364"/>
        <v>09940003539</v>
      </c>
      <c r="B3857" s="7" t="str">
        <f t="shared" si="1365"/>
        <v>高槻五領</v>
      </c>
      <c r="C3857" s="7" t="str">
        <f t="shared" si="1354"/>
        <v>行政財産</v>
      </c>
      <c r="D3857" s="7" t="str">
        <f t="shared" si="1360"/>
        <v>公営住宅</v>
      </c>
      <c r="E3857" s="7" t="str">
        <f t="shared" si="1366"/>
        <v>大阪府高槻市五領町</v>
      </c>
      <c r="F3857" s="7"/>
      <c r="G3857" s="7" t="str">
        <f t="shared" si="1352"/>
        <v>事業用資産</v>
      </c>
      <c r="H3857" s="7" t="str">
        <f t="shared" si="1363"/>
        <v>棚卸以外</v>
      </c>
      <c r="I3857" s="7">
        <v>6</v>
      </c>
      <c r="J3857" s="7" t="str">
        <f>"５号棟"</f>
        <v>５号棟</v>
      </c>
      <c r="K3857" s="7" t="str">
        <f t="shared" si="1362"/>
        <v>鉄筋コンクリート造</v>
      </c>
      <c r="L3857" s="7" t="str">
        <f>"S61.09.29"</f>
        <v>S61.09.29</v>
      </c>
      <c r="M3857" s="7">
        <v>1074</v>
      </c>
      <c r="N3857" s="7">
        <v>103814000</v>
      </c>
      <c r="O3857" s="7">
        <v>80621784</v>
      </c>
      <c r="P3857" s="7">
        <v>0</v>
      </c>
      <c r="Q3857" s="7" t="str">
        <f t="shared" si="1356"/>
        <v>都市整備部</v>
      </c>
      <c r="R3857" s="7" t="str">
        <f t="shared" si="1353"/>
        <v>住宅建築局住宅経営室</v>
      </c>
    </row>
    <row r="3858" spans="1:18" s="1" customFormat="1" x14ac:dyDescent="0.45">
      <c r="A3858" s="7" t="str">
        <f t="shared" si="1364"/>
        <v>09940003539</v>
      </c>
      <c r="B3858" s="7" t="str">
        <f t="shared" si="1365"/>
        <v>高槻五領</v>
      </c>
      <c r="C3858" s="7" t="str">
        <f t="shared" si="1354"/>
        <v>行政財産</v>
      </c>
      <c r="D3858" s="7" t="str">
        <f t="shared" si="1360"/>
        <v>公営住宅</v>
      </c>
      <c r="E3858" s="7" t="str">
        <f t="shared" si="1366"/>
        <v>大阪府高槻市五領町</v>
      </c>
      <c r="F3858" s="7"/>
      <c r="G3858" s="7" t="str">
        <f t="shared" si="1352"/>
        <v>事業用資産</v>
      </c>
      <c r="H3858" s="7" t="str">
        <f t="shared" si="1363"/>
        <v>棚卸以外</v>
      </c>
      <c r="I3858" s="7">
        <v>7</v>
      </c>
      <c r="J3858" s="7" t="str">
        <f>"６号棟"</f>
        <v>６号棟</v>
      </c>
      <c r="K3858" s="7" t="str">
        <f t="shared" si="1362"/>
        <v>鉄筋コンクリート造</v>
      </c>
      <c r="L3858" s="7" t="str">
        <f>"S61.09.29"</f>
        <v>S61.09.29</v>
      </c>
      <c r="M3858" s="7">
        <v>1074</v>
      </c>
      <c r="N3858" s="7">
        <v>91945000</v>
      </c>
      <c r="O3858" s="7">
        <v>71404512</v>
      </c>
      <c r="P3858" s="7">
        <v>0</v>
      </c>
      <c r="Q3858" s="7" t="str">
        <f t="shared" si="1356"/>
        <v>都市整備部</v>
      </c>
      <c r="R3858" s="7" t="str">
        <f t="shared" si="1353"/>
        <v>住宅建築局住宅経営室</v>
      </c>
    </row>
    <row r="3859" spans="1:18" s="1" customFormat="1" x14ac:dyDescent="0.45">
      <c r="A3859" s="7" t="str">
        <f t="shared" si="1364"/>
        <v>09940003539</v>
      </c>
      <c r="B3859" s="7" t="str">
        <f t="shared" si="1365"/>
        <v>高槻五領</v>
      </c>
      <c r="C3859" s="7" t="str">
        <f t="shared" si="1354"/>
        <v>行政財産</v>
      </c>
      <c r="D3859" s="7" t="str">
        <f t="shared" si="1360"/>
        <v>公営住宅</v>
      </c>
      <c r="E3859" s="7" t="str">
        <f t="shared" si="1366"/>
        <v>大阪府高槻市五領町</v>
      </c>
      <c r="F3859" s="7"/>
      <c r="G3859" s="7" t="str">
        <f t="shared" si="1352"/>
        <v>事業用資産</v>
      </c>
      <c r="H3859" s="7" t="str">
        <f t="shared" si="1363"/>
        <v>棚卸以外</v>
      </c>
      <c r="I3859" s="7">
        <v>8</v>
      </c>
      <c r="J3859" s="7" t="str">
        <f>"７号棟"</f>
        <v>７号棟</v>
      </c>
      <c r="K3859" s="7" t="str">
        <f t="shared" si="1362"/>
        <v>鉄筋コンクリート造</v>
      </c>
      <c r="L3859" s="7" t="str">
        <f>"S61.09.29"</f>
        <v>S61.09.29</v>
      </c>
      <c r="M3859" s="7">
        <v>1074</v>
      </c>
      <c r="N3859" s="7">
        <v>91945000</v>
      </c>
      <c r="O3859" s="7">
        <v>71404512</v>
      </c>
      <c r="P3859" s="7">
        <v>0</v>
      </c>
      <c r="Q3859" s="7" t="str">
        <f t="shared" si="1356"/>
        <v>都市整備部</v>
      </c>
      <c r="R3859" s="7" t="str">
        <f t="shared" si="1353"/>
        <v>住宅建築局住宅経営室</v>
      </c>
    </row>
    <row r="3860" spans="1:18" s="1" customFormat="1" x14ac:dyDescent="0.45">
      <c r="A3860" s="7" t="str">
        <f t="shared" si="1364"/>
        <v>09940003539</v>
      </c>
      <c r="B3860" s="7" t="str">
        <f t="shared" si="1365"/>
        <v>高槻五領</v>
      </c>
      <c r="C3860" s="7" t="str">
        <f t="shared" si="1354"/>
        <v>行政財産</v>
      </c>
      <c r="D3860" s="7" t="str">
        <f t="shared" si="1360"/>
        <v>公営住宅</v>
      </c>
      <c r="E3860" s="7" t="str">
        <f t="shared" si="1366"/>
        <v>大阪府高槻市五領町</v>
      </c>
      <c r="F3860" s="7"/>
      <c r="G3860" s="7" t="str">
        <f t="shared" si="1352"/>
        <v>事業用資産</v>
      </c>
      <c r="H3860" s="7" t="str">
        <f t="shared" si="1363"/>
        <v>棚卸以外</v>
      </c>
      <c r="I3860" s="7">
        <v>9</v>
      </c>
      <c r="J3860" s="7" t="str">
        <f>"８号棟"</f>
        <v>８号棟</v>
      </c>
      <c r="K3860" s="7" t="str">
        <f t="shared" si="1362"/>
        <v>鉄筋コンクリート造</v>
      </c>
      <c r="L3860" s="7" t="str">
        <f>"S63.11.25"</f>
        <v>S63.11.25</v>
      </c>
      <c r="M3860" s="7">
        <v>1137.77</v>
      </c>
      <c r="N3860" s="7">
        <v>120569000</v>
      </c>
      <c r="O3860" s="7">
        <v>88075300</v>
      </c>
      <c r="P3860" s="7">
        <v>0</v>
      </c>
      <c r="Q3860" s="7" t="str">
        <f t="shared" si="1356"/>
        <v>都市整備部</v>
      </c>
      <c r="R3860" s="7" t="str">
        <f t="shared" si="1353"/>
        <v>住宅建築局住宅経営室</v>
      </c>
    </row>
    <row r="3861" spans="1:18" s="1" customFormat="1" x14ac:dyDescent="0.45">
      <c r="A3861" s="7" t="str">
        <f t="shared" si="1364"/>
        <v>09940003539</v>
      </c>
      <c r="B3861" s="7" t="str">
        <f t="shared" si="1365"/>
        <v>高槻五領</v>
      </c>
      <c r="C3861" s="7" t="str">
        <f t="shared" si="1354"/>
        <v>行政財産</v>
      </c>
      <c r="D3861" s="7" t="str">
        <f t="shared" si="1360"/>
        <v>公営住宅</v>
      </c>
      <c r="E3861" s="7" t="str">
        <f t="shared" si="1366"/>
        <v>大阪府高槻市五領町</v>
      </c>
      <c r="F3861" s="7"/>
      <c r="G3861" s="7" t="str">
        <f t="shared" si="1352"/>
        <v>事業用資産</v>
      </c>
      <c r="H3861" s="7" t="str">
        <f t="shared" si="1363"/>
        <v>棚卸以外</v>
      </c>
      <c r="I3861" s="7">
        <v>10</v>
      </c>
      <c r="J3861" s="7" t="str">
        <f>"９号棟"</f>
        <v>９号棟</v>
      </c>
      <c r="K3861" s="7" t="str">
        <f t="shared" si="1362"/>
        <v>鉄筋コンクリート造</v>
      </c>
      <c r="L3861" s="7" t="str">
        <f>"S63.11.25"</f>
        <v>S63.11.25</v>
      </c>
      <c r="M3861" s="7">
        <v>1137.77</v>
      </c>
      <c r="N3861" s="7">
        <v>120819000</v>
      </c>
      <c r="O3861" s="7">
        <v>88258228</v>
      </c>
      <c r="P3861" s="7">
        <v>0</v>
      </c>
      <c r="Q3861" s="7" t="str">
        <f t="shared" si="1356"/>
        <v>都市整備部</v>
      </c>
      <c r="R3861" s="7" t="str">
        <f t="shared" si="1353"/>
        <v>住宅建築局住宅経営室</v>
      </c>
    </row>
    <row r="3862" spans="1:18" s="1" customFormat="1" x14ac:dyDescent="0.45">
      <c r="A3862" s="7" t="str">
        <f t="shared" si="1364"/>
        <v>09940003539</v>
      </c>
      <c r="B3862" s="7" t="str">
        <f t="shared" si="1365"/>
        <v>高槻五領</v>
      </c>
      <c r="C3862" s="7" t="str">
        <f t="shared" si="1354"/>
        <v>行政財産</v>
      </c>
      <c r="D3862" s="7" t="str">
        <f t="shared" si="1360"/>
        <v>公営住宅</v>
      </c>
      <c r="E3862" s="7" t="str">
        <f t="shared" si="1366"/>
        <v>大阪府高槻市五領町</v>
      </c>
      <c r="F3862" s="7"/>
      <c r="G3862" s="7" t="str">
        <f t="shared" si="1352"/>
        <v>事業用資産</v>
      </c>
      <c r="H3862" s="7" t="str">
        <f t="shared" si="1363"/>
        <v>棚卸以外</v>
      </c>
      <c r="I3862" s="7">
        <v>11</v>
      </c>
      <c r="J3862" s="7" t="str">
        <f>"１０号棟"</f>
        <v>１０号棟</v>
      </c>
      <c r="K3862" s="7" t="str">
        <f t="shared" si="1362"/>
        <v>鉄筋コンクリート造</v>
      </c>
      <c r="L3862" s="7" t="str">
        <f>"S63.11.25"</f>
        <v>S63.11.25</v>
      </c>
      <c r="M3862" s="7">
        <v>1618.68</v>
      </c>
      <c r="N3862" s="7">
        <v>164410000</v>
      </c>
      <c r="O3862" s="7">
        <v>120101296</v>
      </c>
      <c r="P3862" s="7">
        <v>0</v>
      </c>
      <c r="Q3862" s="7" t="str">
        <f t="shared" si="1356"/>
        <v>都市整備部</v>
      </c>
      <c r="R3862" s="7" t="str">
        <f t="shared" si="1353"/>
        <v>住宅建築局住宅経営室</v>
      </c>
    </row>
    <row r="3863" spans="1:18" s="1" customFormat="1" x14ac:dyDescent="0.45">
      <c r="A3863" s="7" t="str">
        <f t="shared" si="1364"/>
        <v>09940003539</v>
      </c>
      <c r="B3863" s="7" t="str">
        <f t="shared" si="1365"/>
        <v>高槻五領</v>
      </c>
      <c r="C3863" s="7" t="str">
        <f t="shared" si="1354"/>
        <v>行政財産</v>
      </c>
      <c r="D3863" s="7" t="str">
        <f t="shared" si="1360"/>
        <v>公営住宅</v>
      </c>
      <c r="E3863" s="7" t="str">
        <f t="shared" si="1366"/>
        <v>大阪府高槻市五領町</v>
      </c>
      <c r="F3863" s="7"/>
      <c r="G3863" s="7" t="str">
        <f t="shared" ref="G3863:G3926" si="1367">"事業用資産"</f>
        <v>事業用資産</v>
      </c>
      <c r="H3863" s="7" t="str">
        <f t="shared" si="1363"/>
        <v>棚卸以外</v>
      </c>
      <c r="I3863" s="7">
        <v>12</v>
      </c>
      <c r="J3863" s="7" t="str">
        <f>"集会所"</f>
        <v>集会所</v>
      </c>
      <c r="K3863" s="7" t="str">
        <f t="shared" si="1362"/>
        <v>鉄筋コンクリート造</v>
      </c>
      <c r="L3863" s="7" t="str">
        <f>"S63.11.25"</f>
        <v>S63.11.25</v>
      </c>
      <c r="M3863" s="7">
        <v>99.75</v>
      </c>
      <c r="N3863" s="7">
        <v>19064000</v>
      </c>
      <c r="O3863" s="7">
        <v>13926424</v>
      </c>
      <c r="P3863" s="7">
        <v>0</v>
      </c>
      <c r="Q3863" s="7" t="str">
        <f t="shared" si="1356"/>
        <v>都市整備部</v>
      </c>
      <c r="R3863" s="7" t="str">
        <f t="shared" si="1353"/>
        <v>住宅建築局住宅経営室</v>
      </c>
    </row>
    <row r="3864" spans="1:18" s="1" customFormat="1" x14ac:dyDescent="0.45">
      <c r="A3864" s="7" t="str">
        <f t="shared" si="1364"/>
        <v>09940003539</v>
      </c>
      <c r="B3864" s="7" t="str">
        <f t="shared" si="1365"/>
        <v>高槻五領</v>
      </c>
      <c r="C3864" s="7" t="str">
        <f t="shared" si="1354"/>
        <v>行政財産</v>
      </c>
      <c r="D3864" s="7" t="str">
        <f t="shared" si="1360"/>
        <v>公営住宅</v>
      </c>
      <c r="E3864" s="7" t="str">
        <f t="shared" si="1366"/>
        <v>大阪府高槻市五領町</v>
      </c>
      <c r="F3864" s="7"/>
      <c r="G3864" s="7" t="str">
        <f t="shared" si="1367"/>
        <v>事業用資産</v>
      </c>
      <c r="H3864" s="7" t="str">
        <f t="shared" si="1363"/>
        <v>棚卸以外</v>
      </c>
      <c r="I3864" s="7">
        <v>13</v>
      </c>
      <c r="J3864" s="7" t="str">
        <f>"汚水処理場"</f>
        <v>汚水処理場</v>
      </c>
      <c r="K3864" s="7" t="str">
        <f t="shared" si="1362"/>
        <v>鉄筋コンクリート造</v>
      </c>
      <c r="L3864" s="7" t="str">
        <f>"S60.02.26"</f>
        <v>S60.02.26</v>
      </c>
      <c r="M3864" s="7">
        <v>221.18</v>
      </c>
      <c r="N3864" s="7">
        <v>123389000</v>
      </c>
      <c r="O3864" s="7">
        <v>99980175</v>
      </c>
      <c r="P3864" s="7">
        <v>0</v>
      </c>
      <c r="Q3864" s="7" t="str">
        <f t="shared" si="1356"/>
        <v>都市整備部</v>
      </c>
      <c r="R3864" s="7" t="str">
        <f t="shared" ref="R3864:R3927" si="1368">"住宅建築局住宅経営室"</f>
        <v>住宅建築局住宅経営室</v>
      </c>
    </row>
    <row r="3865" spans="1:18" s="1" customFormat="1" x14ac:dyDescent="0.45">
      <c r="A3865" s="7" t="str">
        <f t="shared" ref="A3865:A3874" si="1369">"09940003540"</f>
        <v>09940003540</v>
      </c>
      <c r="B3865" s="7" t="str">
        <f t="shared" ref="B3865:B3874" si="1370">"枚方藤阪中"</f>
        <v>枚方藤阪中</v>
      </c>
      <c r="C3865" s="7" t="str">
        <f t="shared" si="1354"/>
        <v>行政財産</v>
      </c>
      <c r="D3865" s="7" t="str">
        <f t="shared" si="1360"/>
        <v>公営住宅</v>
      </c>
      <c r="E3865" s="7" t="str">
        <f t="shared" ref="E3865:E3874" si="1371">"大阪府枚方市藤阪中町"</f>
        <v>大阪府枚方市藤阪中町</v>
      </c>
      <c r="F3865" s="7"/>
      <c r="G3865" s="7" t="str">
        <f t="shared" si="1367"/>
        <v>事業用資産</v>
      </c>
      <c r="H3865" s="7" t="str">
        <f t="shared" si="1363"/>
        <v>棚卸以外</v>
      </c>
      <c r="I3865" s="7">
        <v>1</v>
      </c>
      <c r="J3865" s="7" t="str">
        <f>"４号棟"</f>
        <v>４号棟</v>
      </c>
      <c r="K3865" s="7" t="str">
        <f t="shared" si="1362"/>
        <v>鉄筋コンクリート造</v>
      </c>
      <c r="L3865" s="7" t="str">
        <f t="shared" ref="L3865:L3870" si="1372">"H01.07.28"</f>
        <v>H01.07.28</v>
      </c>
      <c r="M3865" s="7">
        <v>419.34</v>
      </c>
      <c r="N3865" s="7">
        <v>55360000</v>
      </c>
      <c r="O3865" s="7">
        <v>39655428</v>
      </c>
      <c r="P3865" s="7">
        <v>0</v>
      </c>
      <c r="Q3865" s="7" t="str">
        <f t="shared" si="1356"/>
        <v>都市整備部</v>
      </c>
      <c r="R3865" s="7" t="str">
        <f t="shared" si="1368"/>
        <v>住宅建築局住宅経営室</v>
      </c>
    </row>
    <row r="3866" spans="1:18" s="1" customFormat="1" x14ac:dyDescent="0.45">
      <c r="A3866" s="7" t="str">
        <f t="shared" si="1369"/>
        <v>09940003540</v>
      </c>
      <c r="B3866" s="7" t="str">
        <f t="shared" si="1370"/>
        <v>枚方藤阪中</v>
      </c>
      <c r="C3866" s="7" t="str">
        <f t="shared" ref="C3866:C3929" si="1373">"行政財産"</f>
        <v>行政財産</v>
      </c>
      <c r="D3866" s="7" t="str">
        <f t="shared" si="1360"/>
        <v>公営住宅</v>
      </c>
      <c r="E3866" s="7" t="str">
        <f t="shared" si="1371"/>
        <v>大阪府枚方市藤阪中町</v>
      </c>
      <c r="F3866" s="7"/>
      <c r="G3866" s="7" t="str">
        <f t="shared" si="1367"/>
        <v>事業用資産</v>
      </c>
      <c r="H3866" s="7" t="str">
        <f t="shared" si="1363"/>
        <v>棚卸以外</v>
      </c>
      <c r="I3866" s="7">
        <v>2</v>
      </c>
      <c r="J3866" s="7" t="str">
        <f>"６号棟"</f>
        <v>６号棟</v>
      </c>
      <c r="K3866" s="7" t="str">
        <f t="shared" si="1362"/>
        <v>鉄筋コンクリート造</v>
      </c>
      <c r="L3866" s="7" t="str">
        <f t="shared" si="1372"/>
        <v>H01.07.28</v>
      </c>
      <c r="M3866" s="7">
        <v>1158.1600000000001</v>
      </c>
      <c r="N3866" s="7">
        <v>124614000</v>
      </c>
      <c r="O3866" s="7">
        <v>89262588</v>
      </c>
      <c r="P3866" s="7">
        <v>0</v>
      </c>
      <c r="Q3866" s="7" t="str">
        <f t="shared" si="1356"/>
        <v>都市整備部</v>
      </c>
      <c r="R3866" s="7" t="str">
        <f t="shared" si="1368"/>
        <v>住宅建築局住宅経営室</v>
      </c>
    </row>
    <row r="3867" spans="1:18" s="1" customFormat="1" x14ac:dyDescent="0.45">
      <c r="A3867" s="7" t="str">
        <f t="shared" si="1369"/>
        <v>09940003540</v>
      </c>
      <c r="B3867" s="7" t="str">
        <f t="shared" si="1370"/>
        <v>枚方藤阪中</v>
      </c>
      <c r="C3867" s="7" t="str">
        <f t="shared" si="1373"/>
        <v>行政財産</v>
      </c>
      <c r="D3867" s="7" t="str">
        <f t="shared" si="1360"/>
        <v>公営住宅</v>
      </c>
      <c r="E3867" s="7" t="str">
        <f t="shared" si="1371"/>
        <v>大阪府枚方市藤阪中町</v>
      </c>
      <c r="F3867" s="7"/>
      <c r="G3867" s="7" t="str">
        <f t="shared" si="1367"/>
        <v>事業用資産</v>
      </c>
      <c r="H3867" s="7" t="str">
        <f t="shared" si="1363"/>
        <v>棚卸以外</v>
      </c>
      <c r="I3867" s="7">
        <v>3</v>
      </c>
      <c r="J3867" s="7" t="str">
        <f>"７号棟"</f>
        <v>７号棟</v>
      </c>
      <c r="K3867" s="7" t="str">
        <f t="shared" si="1362"/>
        <v>鉄筋コンクリート造</v>
      </c>
      <c r="L3867" s="7" t="str">
        <f t="shared" si="1372"/>
        <v>H01.07.28</v>
      </c>
      <c r="M3867" s="7">
        <v>1157.57</v>
      </c>
      <c r="N3867" s="7">
        <v>124930000</v>
      </c>
      <c r="O3867" s="7">
        <v>89489232</v>
      </c>
      <c r="P3867" s="7">
        <v>0</v>
      </c>
      <c r="Q3867" s="7" t="str">
        <f t="shared" ref="Q3867:Q3930" si="1374">"都市整備部"</f>
        <v>都市整備部</v>
      </c>
      <c r="R3867" s="7" t="str">
        <f t="shared" si="1368"/>
        <v>住宅建築局住宅経営室</v>
      </c>
    </row>
    <row r="3868" spans="1:18" s="1" customFormat="1" x14ac:dyDescent="0.45">
      <c r="A3868" s="7" t="str">
        <f t="shared" si="1369"/>
        <v>09940003540</v>
      </c>
      <c r="B3868" s="7" t="str">
        <f t="shared" si="1370"/>
        <v>枚方藤阪中</v>
      </c>
      <c r="C3868" s="7" t="str">
        <f t="shared" si="1373"/>
        <v>行政財産</v>
      </c>
      <c r="D3868" s="7" t="str">
        <f t="shared" si="1360"/>
        <v>公営住宅</v>
      </c>
      <c r="E3868" s="7" t="str">
        <f t="shared" si="1371"/>
        <v>大阪府枚方市藤阪中町</v>
      </c>
      <c r="F3868" s="7"/>
      <c r="G3868" s="7" t="str">
        <f t="shared" si="1367"/>
        <v>事業用資産</v>
      </c>
      <c r="H3868" s="7" t="str">
        <f t="shared" si="1363"/>
        <v>棚卸以外</v>
      </c>
      <c r="I3868" s="7">
        <v>4</v>
      </c>
      <c r="J3868" s="7" t="str">
        <f>"８号棟"</f>
        <v>８号棟</v>
      </c>
      <c r="K3868" s="7" t="str">
        <f t="shared" si="1362"/>
        <v>鉄筋コンクリート造</v>
      </c>
      <c r="L3868" s="7" t="str">
        <f t="shared" si="1372"/>
        <v>H01.07.28</v>
      </c>
      <c r="M3868" s="7">
        <v>1751.79</v>
      </c>
      <c r="N3868" s="7">
        <v>19590000</v>
      </c>
      <c r="O3868" s="7">
        <v>14032940</v>
      </c>
      <c r="P3868" s="7">
        <v>0</v>
      </c>
      <c r="Q3868" s="7" t="str">
        <f t="shared" si="1374"/>
        <v>都市整備部</v>
      </c>
      <c r="R3868" s="7" t="str">
        <f t="shared" si="1368"/>
        <v>住宅建築局住宅経営室</v>
      </c>
    </row>
    <row r="3869" spans="1:18" s="1" customFormat="1" x14ac:dyDescent="0.45">
      <c r="A3869" s="7" t="str">
        <f t="shared" si="1369"/>
        <v>09940003540</v>
      </c>
      <c r="B3869" s="7" t="str">
        <f t="shared" si="1370"/>
        <v>枚方藤阪中</v>
      </c>
      <c r="C3869" s="7" t="str">
        <f t="shared" si="1373"/>
        <v>行政財産</v>
      </c>
      <c r="D3869" s="7" t="str">
        <f t="shared" si="1360"/>
        <v>公営住宅</v>
      </c>
      <c r="E3869" s="7" t="str">
        <f t="shared" si="1371"/>
        <v>大阪府枚方市藤阪中町</v>
      </c>
      <c r="F3869" s="7"/>
      <c r="G3869" s="7" t="str">
        <f t="shared" si="1367"/>
        <v>事業用資産</v>
      </c>
      <c r="H3869" s="7" t="str">
        <f t="shared" si="1363"/>
        <v>棚卸以外</v>
      </c>
      <c r="I3869" s="7">
        <v>5</v>
      </c>
      <c r="J3869" s="7" t="str">
        <f>"受水槽"</f>
        <v>受水槽</v>
      </c>
      <c r="K3869" s="7" t="str">
        <f t="shared" si="1362"/>
        <v>鉄筋コンクリート造</v>
      </c>
      <c r="L3869" s="7" t="str">
        <f t="shared" si="1372"/>
        <v>H01.07.28</v>
      </c>
      <c r="M3869" s="7">
        <v>80</v>
      </c>
      <c r="N3869" s="7">
        <v>24530000</v>
      </c>
      <c r="O3869" s="7">
        <v>17571172</v>
      </c>
      <c r="P3869" s="7">
        <v>0</v>
      </c>
      <c r="Q3869" s="7" t="str">
        <f t="shared" si="1374"/>
        <v>都市整備部</v>
      </c>
      <c r="R3869" s="7" t="str">
        <f t="shared" si="1368"/>
        <v>住宅建築局住宅経営室</v>
      </c>
    </row>
    <row r="3870" spans="1:18" s="1" customFormat="1" x14ac:dyDescent="0.45">
      <c r="A3870" s="7" t="str">
        <f t="shared" si="1369"/>
        <v>09940003540</v>
      </c>
      <c r="B3870" s="7" t="str">
        <f t="shared" si="1370"/>
        <v>枚方藤阪中</v>
      </c>
      <c r="C3870" s="7" t="str">
        <f t="shared" si="1373"/>
        <v>行政財産</v>
      </c>
      <c r="D3870" s="7" t="str">
        <f t="shared" si="1360"/>
        <v>公営住宅</v>
      </c>
      <c r="E3870" s="7" t="str">
        <f t="shared" si="1371"/>
        <v>大阪府枚方市藤阪中町</v>
      </c>
      <c r="F3870" s="7"/>
      <c r="G3870" s="7" t="str">
        <f t="shared" si="1367"/>
        <v>事業用資産</v>
      </c>
      <c r="H3870" s="7" t="str">
        <f t="shared" si="1363"/>
        <v>棚卸以外</v>
      </c>
      <c r="I3870" s="7">
        <v>6</v>
      </c>
      <c r="J3870" s="7" t="str">
        <f>"集会所"</f>
        <v>集会所</v>
      </c>
      <c r="K3870" s="7" t="str">
        <f t="shared" si="1362"/>
        <v>鉄筋コンクリート造</v>
      </c>
      <c r="L3870" s="7" t="str">
        <f t="shared" si="1372"/>
        <v>H01.07.28</v>
      </c>
      <c r="M3870" s="7">
        <v>336.2</v>
      </c>
      <c r="N3870" s="7">
        <v>142219000</v>
      </c>
      <c r="O3870" s="7">
        <v>101873448</v>
      </c>
      <c r="P3870" s="7">
        <v>0</v>
      </c>
      <c r="Q3870" s="7" t="str">
        <f t="shared" si="1374"/>
        <v>都市整備部</v>
      </c>
      <c r="R3870" s="7" t="str">
        <f t="shared" si="1368"/>
        <v>住宅建築局住宅経営室</v>
      </c>
    </row>
    <row r="3871" spans="1:18" s="1" customFormat="1" x14ac:dyDescent="0.45">
      <c r="A3871" s="7" t="str">
        <f t="shared" si="1369"/>
        <v>09940003540</v>
      </c>
      <c r="B3871" s="7" t="str">
        <f t="shared" si="1370"/>
        <v>枚方藤阪中</v>
      </c>
      <c r="C3871" s="7" t="str">
        <f t="shared" si="1373"/>
        <v>行政財産</v>
      </c>
      <c r="D3871" s="7" t="str">
        <f t="shared" si="1360"/>
        <v>公営住宅</v>
      </c>
      <c r="E3871" s="7" t="str">
        <f t="shared" si="1371"/>
        <v>大阪府枚方市藤阪中町</v>
      </c>
      <c r="F3871" s="7"/>
      <c r="G3871" s="7" t="str">
        <f t="shared" si="1367"/>
        <v>事業用資産</v>
      </c>
      <c r="H3871" s="7" t="str">
        <f t="shared" si="1363"/>
        <v>棚卸以外</v>
      </c>
      <c r="I3871" s="7">
        <v>7</v>
      </c>
      <c r="J3871" s="7" t="str">
        <f>"１号棟"</f>
        <v>１号棟</v>
      </c>
      <c r="K3871" s="7" t="str">
        <f t="shared" si="1362"/>
        <v>鉄筋コンクリート造</v>
      </c>
      <c r="L3871" s="7" t="str">
        <f>"H04.06.29"</f>
        <v>H04.06.29</v>
      </c>
      <c r="M3871" s="7">
        <v>1134.58</v>
      </c>
      <c r="N3871" s="7">
        <v>183662000</v>
      </c>
      <c r="O3871" s="7">
        <v>120161898</v>
      </c>
      <c r="P3871" s="7">
        <v>0</v>
      </c>
      <c r="Q3871" s="7" t="str">
        <f t="shared" si="1374"/>
        <v>都市整備部</v>
      </c>
      <c r="R3871" s="7" t="str">
        <f t="shared" si="1368"/>
        <v>住宅建築局住宅経営室</v>
      </c>
    </row>
    <row r="3872" spans="1:18" s="1" customFormat="1" x14ac:dyDescent="0.45">
      <c r="A3872" s="7" t="str">
        <f t="shared" si="1369"/>
        <v>09940003540</v>
      </c>
      <c r="B3872" s="7" t="str">
        <f t="shared" si="1370"/>
        <v>枚方藤阪中</v>
      </c>
      <c r="C3872" s="7" t="str">
        <f t="shared" si="1373"/>
        <v>行政財産</v>
      </c>
      <c r="D3872" s="7" t="str">
        <f t="shared" si="1360"/>
        <v>公営住宅</v>
      </c>
      <c r="E3872" s="7" t="str">
        <f t="shared" si="1371"/>
        <v>大阪府枚方市藤阪中町</v>
      </c>
      <c r="F3872" s="7"/>
      <c r="G3872" s="7" t="str">
        <f t="shared" si="1367"/>
        <v>事業用資産</v>
      </c>
      <c r="H3872" s="7" t="str">
        <f t="shared" si="1363"/>
        <v>棚卸以外</v>
      </c>
      <c r="I3872" s="7">
        <v>8</v>
      </c>
      <c r="J3872" s="7" t="str">
        <f>"２号棟"</f>
        <v>２号棟</v>
      </c>
      <c r="K3872" s="7" t="str">
        <f t="shared" si="1362"/>
        <v>鉄筋コンクリート造</v>
      </c>
      <c r="L3872" s="7" t="str">
        <f>"H04.06.29"</f>
        <v>H04.06.29</v>
      </c>
      <c r="M3872" s="7">
        <v>993.96</v>
      </c>
      <c r="N3872" s="7">
        <v>158298000</v>
      </c>
      <c r="O3872" s="7">
        <v>103567599</v>
      </c>
      <c r="P3872" s="7">
        <v>0</v>
      </c>
      <c r="Q3872" s="7" t="str">
        <f t="shared" si="1374"/>
        <v>都市整備部</v>
      </c>
      <c r="R3872" s="7" t="str">
        <f t="shared" si="1368"/>
        <v>住宅建築局住宅経営室</v>
      </c>
    </row>
    <row r="3873" spans="1:18" s="1" customFormat="1" x14ac:dyDescent="0.45">
      <c r="A3873" s="7" t="str">
        <f t="shared" si="1369"/>
        <v>09940003540</v>
      </c>
      <c r="B3873" s="7" t="str">
        <f t="shared" si="1370"/>
        <v>枚方藤阪中</v>
      </c>
      <c r="C3873" s="7" t="str">
        <f t="shared" si="1373"/>
        <v>行政財産</v>
      </c>
      <c r="D3873" s="7" t="str">
        <f t="shared" si="1360"/>
        <v>公営住宅</v>
      </c>
      <c r="E3873" s="7" t="str">
        <f t="shared" si="1371"/>
        <v>大阪府枚方市藤阪中町</v>
      </c>
      <c r="F3873" s="7"/>
      <c r="G3873" s="7" t="str">
        <f t="shared" si="1367"/>
        <v>事業用資産</v>
      </c>
      <c r="H3873" s="7" t="str">
        <f t="shared" si="1363"/>
        <v>棚卸以外</v>
      </c>
      <c r="I3873" s="7">
        <v>9</v>
      </c>
      <c r="J3873" s="7" t="str">
        <f>"３号棟"</f>
        <v>３号棟</v>
      </c>
      <c r="K3873" s="7" t="str">
        <f t="shared" si="1362"/>
        <v>鉄筋コンクリート造</v>
      </c>
      <c r="L3873" s="7" t="str">
        <f>"H04.06.29"</f>
        <v>H04.06.29</v>
      </c>
      <c r="M3873" s="7">
        <v>1280.01</v>
      </c>
      <c r="N3873" s="7">
        <v>207621273</v>
      </c>
      <c r="O3873" s="7">
        <v>135645138</v>
      </c>
      <c r="P3873" s="7">
        <v>0</v>
      </c>
      <c r="Q3873" s="7" t="str">
        <f t="shared" si="1374"/>
        <v>都市整備部</v>
      </c>
      <c r="R3873" s="7" t="str">
        <f t="shared" si="1368"/>
        <v>住宅建築局住宅経営室</v>
      </c>
    </row>
    <row r="3874" spans="1:18" s="1" customFormat="1" x14ac:dyDescent="0.45">
      <c r="A3874" s="7" t="str">
        <f t="shared" si="1369"/>
        <v>09940003540</v>
      </c>
      <c r="B3874" s="7" t="str">
        <f t="shared" si="1370"/>
        <v>枚方藤阪中</v>
      </c>
      <c r="C3874" s="7" t="str">
        <f t="shared" si="1373"/>
        <v>行政財産</v>
      </c>
      <c r="D3874" s="7" t="str">
        <f t="shared" si="1360"/>
        <v>公営住宅</v>
      </c>
      <c r="E3874" s="7" t="str">
        <f t="shared" si="1371"/>
        <v>大阪府枚方市藤阪中町</v>
      </c>
      <c r="F3874" s="7"/>
      <c r="G3874" s="7" t="str">
        <f t="shared" si="1367"/>
        <v>事業用資産</v>
      </c>
      <c r="H3874" s="7" t="str">
        <f t="shared" si="1363"/>
        <v>棚卸以外</v>
      </c>
      <c r="I3874" s="7">
        <v>10</v>
      </c>
      <c r="J3874" s="7" t="str">
        <f>"５号棟"</f>
        <v>５号棟</v>
      </c>
      <c r="K3874" s="7" t="str">
        <f t="shared" si="1362"/>
        <v>鉄筋コンクリート造</v>
      </c>
      <c r="L3874" s="7" t="str">
        <f>"H04.06.29"</f>
        <v>H04.06.29</v>
      </c>
      <c r="M3874" s="7">
        <v>1708.39</v>
      </c>
      <c r="N3874" s="7">
        <v>281449546</v>
      </c>
      <c r="O3874" s="7">
        <v>183754989</v>
      </c>
      <c r="P3874" s="7">
        <v>0</v>
      </c>
      <c r="Q3874" s="7" t="str">
        <f t="shared" si="1374"/>
        <v>都市整備部</v>
      </c>
      <c r="R3874" s="7" t="str">
        <f t="shared" si="1368"/>
        <v>住宅建築局住宅経営室</v>
      </c>
    </row>
    <row r="3875" spans="1:18" s="1" customFormat="1" x14ac:dyDescent="0.45">
      <c r="A3875" s="7" t="str">
        <f>"09940003541"</f>
        <v>09940003541</v>
      </c>
      <c r="B3875" s="7" t="str">
        <f>"枚方交北"</f>
        <v>枚方交北</v>
      </c>
      <c r="C3875" s="7" t="str">
        <f t="shared" si="1373"/>
        <v>行政財産</v>
      </c>
      <c r="D3875" s="7" t="str">
        <f t="shared" si="1360"/>
        <v>公営住宅</v>
      </c>
      <c r="E3875" s="7" t="str">
        <f>"大阪府枚方市交北３丁目"</f>
        <v>大阪府枚方市交北３丁目</v>
      </c>
      <c r="F3875" s="7"/>
      <c r="G3875" s="7" t="str">
        <f t="shared" si="1367"/>
        <v>事業用資産</v>
      </c>
      <c r="H3875" s="7" t="str">
        <f t="shared" si="1363"/>
        <v>棚卸以外</v>
      </c>
      <c r="I3875" s="7">
        <v>1</v>
      </c>
      <c r="J3875" s="7" t="str">
        <f>"高層"</f>
        <v>高層</v>
      </c>
      <c r="K3875" s="7" t="str">
        <f t="shared" si="1362"/>
        <v>鉄筋コンクリート造</v>
      </c>
      <c r="L3875" s="7" t="str">
        <f>"H05.05.12"</f>
        <v>H05.05.12</v>
      </c>
      <c r="M3875" s="7">
        <v>5010.75</v>
      </c>
      <c r="N3875" s="7">
        <v>541255716</v>
      </c>
      <c r="O3875" s="7">
        <v>343265440</v>
      </c>
      <c r="P3875" s="7">
        <v>0</v>
      </c>
      <c r="Q3875" s="7" t="str">
        <f t="shared" si="1374"/>
        <v>都市整備部</v>
      </c>
      <c r="R3875" s="7" t="str">
        <f t="shared" si="1368"/>
        <v>住宅建築局住宅経営室</v>
      </c>
    </row>
    <row r="3876" spans="1:18" s="1" customFormat="1" x14ac:dyDescent="0.45">
      <c r="A3876" s="7" t="str">
        <f t="shared" ref="A3876:A3883" si="1375">"09940003542"</f>
        <v>09940003542</v>
      </c>
      <c r="B3876" s="7" t="str">
        <f t="shared" ref="B3876:B3883" si="1376">"忠岡東第１"</f>
        <v>忠岡東第１</v>
      </c>
      <c r="C3876" s="7" t="str">
        <f t="shared" si="1373"/>
        <v>行政財産</v>
      </c>
      <c r="D3876" s="7" t="str">
        <f t="shared" si="1360"/>
        <v>公営住宅</v>
      </c>
      <c r="E3876" s="7" t="str">
        <f t="shared" ref="E3876:E3883" si="1377">"大阪府泉北郡　忠岡町忠岡東１丁目"</f>
        <v>大阪府泉北郡　忠岡町忠岡東１丁目</v>
      </c>
      <c r="F3876" s="7"/>
      <c r="G3876" s="7" t="str">
        <f t="shared" si="1367"/>
        <v>事業用資産</v>
      </c>
      <c r="H3876" s="7" t="str">
        <f t="shared" si="1363"/>
        <v>棚卸以外</v>
      </c>
      <c r="I3876" s="7">
        <v>1</v>
      </c>
      <c r="J3876" s="7" t="str">
        <f>"１号棟"</f>
        <v>１号棟</v>
      </c>
      <c r="K3876" s="7" t="str">
        <f t="shared" si="1362"/>
        <v>鉄筋コンクリート造</v>
      </c>
      <c r="L3876" s="7" t="str">
        <f>"H09.08.29"</f>
        <v>H09.08.29</v>
      </c>
      <c r="M3876" s="7">
        <v>3380.54</v>
      </c>
      <c r="N3876" s="7">
        <v>636070048</v>
      </c>
      <c r="O3876" s="7">
        <v>345533410</v>
      </c>
      <c r="P3876" s="7">
        <v>0</v>
      </c>
      <c r="Q3876" s="7" t="str">
        <f t="shared" si="1374"/>
        <v>都市整備部</v>
      </c>
      <c r="R3876" s="7" t="str">
        <f t="shared" si="1368"/>
        <v>住宅建築局住宅経営室</v>
      </c>
    </row>
    <row r="3877" spans="1:18" s="1" customFormat="1" x14ac:dyDescent="0.45">
      <c r="A3877" s="7" t="str">
        <f t="shared" si="1375"/>
        <v>09940003542</v>
      </c>
      <c r="B3877" s="7" t="str">
        <f t="shared" si="1376"/>
        <v>忠岡東第１</v>
      </c>
      <c r="C3877" s="7" t="str">
        <f t="shared" si="1373"/>
        <v>行政財産</v>
      </c>
      <c r="D3877" s="7" t="str">
        <f t="shared" si="1360"/>
        <v>公営住宅</v>
      </c>
      <c r="E3877" s="7" t="str">
        <f t="shared" si="1377"/>
        <v>大阪府泉北郡　忠岡町忠岡東１丁目</v>
      </c>
      <c r="F3877" s="7"/>
      <c r="G3877" s="7" t="str">
        <f t="shared" si="1367"/>
        <v>事業用資産</v>
      </c>
      <c r="H3877" s="7" t="str">
        <f t="shared" si="1363"/>
        <v>棚卸以外</v>
      </c>
      <c r="I3877" s="7">
        <v>2</v>
      </c>
      <c r="J3877" s="7" t="str">
        <f>"２号棟"</f>
        <v>２号棟</v>
      </c>
      <c r="K3877" s="7" t="str">
        <f t="shared" si="1362"/>
        <v>鉄筋コンクリート造</v>
      </c>
      <c r="L3877" s="7" t="str">
        <f>"H09.08.29"</f>
        <v>H09.08.29</v>
      </c>
      <c r="M3877" s="7">
        <v>6189.74</v>
      </c>
      <c r="N3877" s="7">
        <v>1157540314</v>
      </c>
      <c r="O3877" s="7">
        <v>629283686</v>
      </c>
      <c r="P3877" s="7">
        <v>0</v>
      </c>
      <c r="Q3877" s="7" t="str">
        <f t="shared" si="1374"/>
        <v>都市整備部</v>
      </c>
      <c r="R3877" s="7" t="str">
        <f t="shared" si="1368"/>
        <v>住宅建築局住宅経営室</v>
      </c>
    </row>
    <row r="3878" spans="1:18" s="1" customFormat="1" x14ac:dyDescent="0.45">
      <c r="A3878" s="7" t="str">
        <f t="shared" si="1375"/>
        <v>09940003542</v>
      </c>
      <c r="B3878" s="7" t="str">
        <f t="shared" si="1376"/>
        <v>忠岡東第１</v>
      </c>
      <c r="C3878" s="7" t="str">
        <f t="shared" si="1373"/>
        <v>行政財産</v>
      </c>
      <c r="D3878" s="7" t="str">
        <f t="shared" si="1360"/>
        <v>公営住宅</v>
      </c>
      <c r="E3878" s="7" t="str">
        <f t="shared" si="1377"/>
        <v>大阪府泉北郡　忠岡町忠岡東１丁目</v>
      </c>
      <c r="F3878" s="7"/>
      <c r="G3878" s="7" t="str">
        <f t="shared" si="1367"/>
        <v>事業用資産</v>
      </c>
      <c r="H3878" s="7" t="str">
        <f t="shared" si="1363"/>
        <v>棚卸以外</v>
      </c>
      <c r="I3878" s="7">
        <v>3</v>
      </c>
      <c r="J3878" s="7" t="str">
        <f>"受水槽ポンプ室"</f>
        <v>受水槽ポンプ室</v>
      </c>
      <c r="K3878" s="7" t="str">
        <f t="shared" si="1362"/>
        <v>鉄筋コンクリート造</v>
      </c>
      <c r="L3878" s="7" t="str">
        <f>"H09.08.29"</f>
        <v>H09.08.29</v>
      </c>
      <c r="M3878" s="7">
        <v>54.24</v>
      </c>
      <c r="N3878" s="7">
        <v>37745000</v>
      </c>
      <c r="O3878" s="7">
        <v>20545668</v>
      </c>
      <c r="P3878" s="7">
        <v>0</v>
      </c>
      <c r="Q3878" s="7" t="str">
        <f t="shared" si="1374"/>
        <v>都市整備部</v>
      </c>
      <c r="R3878" s="7" t="str">
        <f t="shared" si="1368"/>
        <v>住宅建築局住宅経営室</v>
      </c>
    </row>
    <row r="3879" spans="1:18" s="1" customFormat="1" x14ac:dyDescent="0.45">
      <c r="A3879" s="7" t="str">
        <f t="shared" si="1375"/>
        <v>09940003542</v>
      </c>
      <c r="B3879" s="7" t="str">
        <f t="shared" si="1376"/>
        <v>忠岡東第１</v>
      </c>
      <c r="C3879" s="7" t="str">
        <f t="shared" si="1373"/>
        <v>行政財産</v>
      </c>
      <c r="D3879" s="7" t="str">
        <f t="shared" si="1360"/>
        <v>公営住宅</v>
      </c>
      <c r="E3879" s="7" t="str">
        <f t="shared" si="1377"/>
        <v>大阪府泉北郡　忠岡町忠岡東１丁目</v>
      </c>
      <c r="F3879" s="7"/>
      <c r="G3879" s="7" t="str">
        <f t="shared" si="1367"/>
        <v>事業用資産</v>
      </c>
      <c r="H3879" s="7" t="str">
        <f t="shared" si="1363"/>
        <v>棚卸以外</v>
      </c>
      <c r="I3879" s="7">
        <v>4</v>
      </c>
      <c r="J3879" s="7" t="str">
        <f>"電気室"</f>
        <v>電気室</v>
      </c>
      <c r="K3879" s="7" t="str">
        <f t="shared" si="1362"/>
        <v>鉄筋コンクリート造</v>
      </c>
      <c r="L3879" s="7" t="str">
        <f>"H09.08.29"</f>
        <v>H09.08.29</v>
      </c>
      <c r="M3879" s="7">
        <v>39.200000000000003</v>
      </c>
      <c r="N3879" s="7">
        <v>5261000</v>
      </c>
      <c r="O3879" s="7">
        <v>2864003</v>
      </c>
      <c r="P3879" s="7">
        <v>0</v>
      </c>
      <c r="Q3879" s="7" t="str">
        <f t="shared" si="1374"/>
        <v>都市整備部</v>
      </c>
      <c r="R3879" s="7" t="str">
        <f t="shared" si="1368"/>
        <v>住宅建築局住宅経営室</v>
      </c>
    </row>
    <row r="3880" spans="1:18" s="1" customFormat="1" x14ac:dyDescent="0.45">
      <c r="A3880" s="7" t="str">
        <f t="shared" si="1375"/>
        <v>09940003542</v>
      </c>
      <c r="B3880" s="7" t="str">
        <f t="shared" si="1376"/>
        <v>忠岡東第１</v>
      </c>
      <c r="C3880" s="7" t="str">
        <f t="shared" si="1373"/>
        <v>行政財産</v>
      </c>
      <c r="D3880" s="7" t="str">
        <f t="shared" si="1360"/>
        <v>公営住宅</v>
      </c>
      <c r="E3880" s="7" t="str">
        <f t="shared" si="1377"/>
        <v>大阪府泉北郡　忠岡町忠岡東１丁目</v>
      </c>
      <c r="F3880" s="7"/>
      <c r="G3880" s="7" t="str">
        <f t="shared" si="1367"/>
        <v>事業用資産</v>
      </c>
      <c r="H3880" s="7" t="str">
        <f t="shared" si="1363"/>
        <v>棚卸以外</v>
      </c>
      <c r="I3880" s="7">
        <v>5</v>
      </c>
      <c r="J3880" s="7" t="str">
        <f>"集会所"</f>
        <v>集会所</v>
      </c>
      <c r="K3880" s="7" t="str">
        <f t="shared" si="1362"/>
        <v>鉄筋コンクリート造</v>
      </c>
      <c r="L3880" s="7" t="str">
        <f>"H09.08.29"</f>
        <v>H09.08.29</v>
      </c>
      <c r="M3880" s="7">
        <v>149.13999999999999</v>
      </c>
      <c r="N3880" s="7">
        <v>37822000</v>
      </c>
      <c r="O3880" s="7">
        <v>20587727</v>
      </c>
      <c r="P3880" s="7">
        <v>0</v>
      </c>
      <c r="Q3880" s="7" t="str">
        <f t="shared" si="1374"/>
        <v>都市整備部</v>
      </c>
      <c r="R3880" s="7" t="str">
        <f t="shared" si="1368"/>
        <v>住宅建築局住宅経営室</v>
      </c>
    </row>
    <row r="3881" spans="1:18" s="1" customFormat="1" x14ac:dyDescent="0.45">
      <c r="A3881" s="7" t="str">
        <f t="shared" si="1375"/>
        <v>09940003542</v>
      </c>
      <c r="B3881" s="7" t="str">
        <f t="shared" si="1376"/>
        <v>忠岡東第１</v>
      </c>
      <c r="C3881" s="7" t="str">
        <f t="shared" si="1373"/>
        <v>行政財産</v>
      </c>
      <c r="D3881" s="7" t="str">
        <f t="shared" si="1360"/>
        <v>公営住宅</v>
      </c>
      <c r="E3881" s="7" t="str">
        <f t="shared" si="1377"/>
        <v>大阪府泉北郡　忠岡町忠岡東１丁目</v>
      </c>
      <c r="F3881" s="7"/>
      <c r="G3881" s="7" t="str">
        <f t="shared" si="1367"/>
        <v>事業用資産</v>
      </c>
      <c r="H3881" s="7" t="str">
        <f t="shared" si="1363"/>
        <v>棚卸以外</v>
      </c>
      <c r="I3881" s="7">
        <v>6</v>
      </c>
      <c r="J3881" s="7" t="str">
        <f>"３号棟"</f>
        <v>３号棟</v>
      </c>
      <c r="K3881" s="7" t="str">
        <f t="shared" si="1362"/>
        <v>鉄筋コンクリート造</v>
      </c>
      <c r="L3881" s="7" t="str">
        <f>"H12.01.31"</f>
        <v>H12.01.31</v>
      </c>
      <c r="M3881" s="7">
        <v>3644.4</v>
      </c>
      <c r="N3881" s="7">
        <v>669042049</v>
      </c>
      <c r="O3881" s="7">
        <v>329666879</v>
      </c>
      <c r="P3881" s="7">
        <v>0</v>
      </c>
      <c r="Q3881" s="7" t="str">
        <f t="shared" si="1374"/>
        <v>都市整備部</v>
      </c>
      <c r="R3881" s="7" t="str">
        <f t="shared" si="1368"/>
        <v>住宅建築局住宅経営室</v>
      </c>
    </row>
    <row r="3882" spans="1:18" s="1" customFormat="1" x14ac:dyDescent="0.45">
      <c r="A3882" s="7" t="str">
        <f t="shared" si="1375"/>
        <v>09940003542</v>
      </c>
      <c r="B3882" s="7" t="str">
        <f t="shared" si="1376"/>
        <v>忠岡東第１</v>
      </c>
      <c r="C3882" s="7" t="str">
        <f t="shared" si="1373"/>
        <v>行政財産</v>
      </c>
      <c r="D3882" s="7" t="str">
        <f t="shared" si="1360"/>
        <v>公営住宅</v>
      </c>
      <c r="E3882" s="7" t="str">
        <f t="shared" si="1377"/>
        <v>大阪府泉北郡　忠岡町忠岡東１丁目</v>
      </c>
      <c r="F3882" s="7"/>
      <c r="G3882" s="7" t="str">
        <f t="shared" si="1367"/>
        <v>事業用資産</v>
      </c>
      <c r="H3882" s="7" t="str">
        <f t="shared" si="1363"/>
        <v>棚卸以外</v>
      </c>
      <c r="I3882" s="7">
        <v>7</v>
      </c>
      <c r="J3882" s="7" t="str">
        <f>"電気室"</f>
        <v>電気室</v>
      </c>
      <c r="K3882" s="7" t="str">
        <f t="shared" si="1362"/>
        <v>鉄筋コンクリート造</v>
      </c>
      <c r="L3882" s="7" t="str">
        <f>"H12.01.31"</f>
        <v>H12.01.31</v>
      </c>
      <c r="M3882" s="7">
        <v>21.2</v>
      </c>
      <c r="N3882" s="7">
        <v>4283000</v>
      </c>
      <c r="O3882" s="7">
        <v>2111132</v>
      </c>
      <c r="P3882" s="7">
        <v>0</v>
      </c>
      <c r="Q3882" s="7" t="str">
        <f t="shared" si="1374"/>
        <v>都市整備部</v>
      </c>
      <c r="R3882" s="7" t="str">
        <f t="shared" si="1368"/>
        <v>住宅建築局住宅経営室</v>
      </c>
    </row>
    <row r="3883" spans="1:18" s="1" customFormat="1" x14ac:dyDescent="0.45">
      <c r="A3883" s="7" t="str">
        <f t="shared" si="1375"/>
        <v>09940003542</v>
      </c>
      <c r="B3883" s="7" t="str">
        <f t="shared" si="1376"/>
        <v>忠岡東第１</v>
      </c>
      <c r="C3883" s="7" t="str">
        <f t="shared" si="1373"/>
        <v>行政財産</v>
      </c>
      <c r="D3883" s="7" t="str">
        <f t="shared" si="1360"/>
        <v>公営住宅</v>
      </c>
      <c r="E3883" s="7" t="str">
        <f t="shared" si="1377"/>
        <v>大阪府泉北郡　忠岡町忠岡東１丁目</v>
      </c>
      <c r="F3883" s="7"/>
      <c r="G3883" s="7" t="str">
        <f t="shared" si="1367"/>
        <v>事業用資産</v>
      </c>
      <c r="H3883" s="7" t="str">
        <f t="shared" si="1363"/>
        <v>棚卸以外</v>
      </c>
      <c r="I3883" s="7">
        <v>8</v>
      </c>
      <c r="J3883" s="7" t="str">
        <f>"受水槽ポンプ室"</f>
        <v>受水槽ポンプ室</v>
      </c>
      <c r="K3883" s="7" t="str">
        <f t="shared" si="1362"/>
        <v>鉄筋コンクリート造</v>
      </c>
      <c r="L3883" s="7" t="str">
        <f>"H12.01.31"</f>
        <v>H12.01.31</v>
      </c>
      <c r="M3883" s="7">
        <v>43.46</v>
      </c>
      <c r="N3883" s="7">
        <v>25019000</v>
      </c>
      <c r="O3883" s="7">
        <v>12332080</v>
      </c>
      <c r="P3883" s="7">
        <v>0</v>
      </c>
      <c r="Q3883" s="7" t="str">
        <f t="shared" si="1374"/>
        <v>都市整備部</v>
      </c>
      <c r="R3883" s="7" t="str">
        <f t="shared" si="1368"/>
        <v>住宅建築局住宅経営室</v>
      </c>
    </row>
    <row r="3884" spans="1:18" s="1" customFormat="1" x14ac:dyDescent="0.45">
      <c r="A3884" s="7" t="str">
        <f>"09940003543"</f>
        <v>09940003543</v>
      </c>
      <c r="B3884" s="7" t="str">
        <f>"枚方津田山手"</f>
        <v>枚方津田山手</v>
      </c>
      <c r="C3884" s="7" t="str">
        <f t="shared" si="1373"/>
        <v>行政財産</v>
      </c>
      <c r="D3884" s="7" t="str">
        <f t="shared" si="1360"/>
        <v>公営住宅</v>
      </c>
      <c r="E3884" s="7" t="str">
        <f>"大阪府枚方市津田山手１丁目"</f>
        <v>大阪府枚方市津田山手１丁目</v>
      </c>
      <c r="F3884" s="7" t="str">
        <f>"１"</f>
        <v>１</v>
      </c>
      <c r="G3884" s="7" t="str">
        <f t="shared" si="1367"/>
        <v>事業用資産</v>
      </c>
      <c r="H3884" s="7" t="str">
        <f t="shared" si="1363"/>
        <v>棚卸以外</v>
      </c>
      <c r="I3884" s="7">
        <v>1</v>
      </c>
      <c r="J3884" s="7" t="str">
        <f>"１号棟"</f>
        <v>１号棟</v>
      </c>
      <c r="K3884" s="7" t="str">
        <f t="shared" si="1362"/>
        <v>鉄筋コンクリート造</v>
      </c>
      <c r="L3884" s="7" t="str">
        <f>"H16.06.28"</f>
        <v>H16.06.28</v>
      </c>
      <c r="M3884" s="7">
        <v>2976.32</v>
      </c>
      <c r="N3884" s="7">
        <v>487026848</v>
      </c>
      <c r="O3884" s="7">
        <v>197732292</v>
      </c>
      <c r="P3884" s="7">
        <v>0</v>
      </c>
      <c r="Q3884" s="7" t="str">
        <f t="shared" si="1374"/>
        <v>都市整備部</v>
      </c>
      <c r="R3884" s="7" t="str">
        <f t="shared" si="1368"/>
        <v>住宅建築局住宅経営室</v>
      </c>
    </row>
    <row r="3885" spans="1:18" s="1" customFormat="1" x14ac:dyDescent="0.45">
      <c r="A3885" s="7" t="str">
        <f>"09940003543"</f>
        <v>09940003543</v>
      </c>
      <c r="B3885" s="7" t="str">
        <f>"枚方津田山手"</f>
        <v>枚方津田山手</v>
      </c>
      <c r="C3885" s="7" t="str">
        <f t="shared" si="1373"/>
        <v>行政財産</v>
      </c>
      <c r="D3885" s="7" t="str">
        <f t="shared" si="1360"/>
        <v>公営住宅</v>
      </c>
      <c r="E3885" s="7" t="str">
        <f>"大阪府枚方市津田山手１丁目"</f>
        <v>大阪府枚方市津田山手１丁目</v>
      </c>
      <c r="F3885" s="7" t="str">
        <f>"１"</f>
        <v>１</v>
      </c>
      <c r="G3885" s="7" t="str">
        <f t="shared" si="1367"/>
        <v>事業用資産</v>
      </c>
      <c r="H3885" s="7" t="str">
        <f t="shared" si="1363"/>
        <v>棚卸以外</v>
      </c>
      <c r="I3885" s="7">
        <v>2</v>
      </c>
      <c r="J3885" s="7" t="str">
        <f>"２号棟・３号棟"</f>
        <v>２号棟・３号棟</v>
      </c>
      <c r="K3885" s="7" t="str">
        <f t="shared" si="1362"/>
        <v>鉄筋コンクリート造</v>
      </c>
      <c r="L3885" s="7" t="str">
        <f>"H16.06.28"</f>
        <v>H16.06.28</v>
      </c>
      <c r="M3885" s="7">
        <v>2001.26</v>
      </c>
      <c r="N3885" s="7">
        <v>298961850</v>
      </c>
      <c r="O3885" s="7">
        <v>122706267</v>
      </c>
      <c r="P3885" s="7">
        <v>0</v>
      </c>
      <c r="Q3885" s="7" t="str">
        <f t="shared" si="1374"/>
        <v>都市整備部</v>
      </c>
      <c r="R3885" s="7" t="str">
        <f t="shared" si="1368"/>
        <v>住宅建築局住宅経営室</v>
      </c>
    </row>
    <row r="3886" spans="1:18" s="1" customFormat="1" x14ac:dyDescent="0.45">
      <c r="A3886" s="7" t="str">
        <f>"09940003543"</f>
        <v>09940003543</v>
      </c>
      <c r="B3886" s="7" t="str">
        <f>"枚方津田山手"</f>
        <v>枚方津田山手</v>
      </c>
      <c r="C3886" s="7" t="str">
        <f t="shared" si="1373"/>
        <v>行政財産</v>
      </c>
      <c r="D3886" s="7" t="str">
        <f t="shared" si="1360"/>
        <v>公営住宅</v>
      </c>
      <c r="E3886" s="7" t="str">
        <f>"大阪府枚方市津田山手１丁目"</f>
        <v>大阪府枚方市津田山手１丁目</v>
      </c>
      <c r="F3886" s="7" t="str">
        <f>"１"</f>
        <v>１</v>
      </c>
      <c r="G3886" s="7" t="str">
        <f t="shared" si="1367"/>
        <v>事業用資産</v>
      </c>
      <c r="H3886" s="7" t="str">
        <f t="shared" si="1363"/>
        <v>棚卸以外</v>
      </c>
      <c r="I3886" s="7">
        <v>3</v>
      </c>
      <c r="J3886" s="7" t="str">
        <f>"集会所"</f>
        <v>集会所</v>
      </c>
      <c r="K3886" s="7" t="str">
        <f t="shared" si="1362"/>
        <v>鉄筋コンクリート造</v>
      </c>
      <c r="L3886" s="7" t="str">
        <f>"H16.06.28"</f>
        <v>H16.06.28</v>
      </c>
      <c r="M3886" s="7">
        <v>69.86</v>
      </c>
      <c r="N3886" s="7">
        <v>14148000</v>
      </c>
      <c r="O3886" s="7">
        <v>5644350</v>
      </c>
      <c r="P3886" s="7">
        <v>0</v>
      </c>
      <c r="Q3886" s="7" t="str">
        <f t="shared" si="1374"/>
        <v>都市整備部</v>
      </c>
      <c r="R3886" s="7" t="str">
        <f t="shared" si="1368"/>
        <v>住宅建築局住宅経営室</v>
      </c>
    </row>
    <row r="3887" spans="1:18" s="1" customFormat="1" x14ac:dyDescent="0.45">
      <c r="A3887" s="7" t="str">
        <f>"09940003543"</f>
        <v>09940003543</v>
      </c>
      <c r="B3887" s="7" t="str">
        <f>"枚方津田山手"</f>
        <v>枚方津田山手</v>
      </c>
      <c r="C3887" s="7" t="str">
        <f t="shared" si="1373"/>
        <v>行政財産</v>
      </c>
      <c r="D3887" s="7" t="str">
        <f t="shared" si="1360"/>
        <v>公営住宅</v>
      </c>
      <c r="E3887" s="7" t="str">
        <f>"大阪府枚方市津田山手１丁目"</f>
        <v>大阪府枚方市津田山手１丁目</v>
      </c>
      <c r="F3887" s="7" t="str">
        <f>"１"</f>
        <v>１</v>
      </c>
      <c r="G3887" s="7" t="str">
        <f t="shared" si="1367"/>
        <v>事業用資産</v>
      </c>
      <c r="H3887" s="7" t="str">
        <f t="shared" si="1363"/>
        <v>棚卸以外</v>
      </c>
      <c r="I3887" s="7">
        <v>4</v>
      </c>
      <c r="J3887" s="7" t="str">
        <f>"ポンプ室・電気室"</f>
        <v>ポンプ室・電気室</v>
      </c>
      <c r="K3887" s="7" t="str">
        <f t="shared" si="1362"/>
        <v>鉄筋コンクリート造</v>
      </c>
      <c r="L3887" s="7" t="str">
        <f>"H16.06.28"</f>
        <v>H16.06.28</v>
      </c>
      <c r="M3887" s="7">
        <v>55.99</v>
      </c>
      <c r="N3887" s="7">
        <v>20060000</v>
      </c>
      <c r="O3887" s="7">
        <v>8002800</v>
      </c>
      <c r="P3887" s="7">
        <v>0</v>
      </c>
      <c r="Q3887" s="7" t="str">
        <f t="shared" si="1374"/>
        <v>都市整備部</v>
      </c>
      <c r="R3887" s="7" t="str">
        <f t="shared" si="1368"/>
        <v>住宅建築局住宅経営室</v>
      </c>
    </row>
    <row r="3888" spans="1:18" s="1" customFormat="1" x14ac:dyDescent="0.45">
      <c r="A3888" s="7" t="str">
        <f t="shared" ref="A3888:A3893" si="1378">"09940003544"</f>
        <v>09940003544</v>
      </c>
      <c r="B3888" s="7" t="str">
        <f t="shared" ref="B3888:B3893" si="1379">"貝塚森"</f>
        <v>貝塚森</v>
      </c>
      <c r="C3888" s="7" t="str">
        <f t="shared" si="1373"/>
        <v>行政財産</v>
      </c>
      <c r="D3888" s="7" t="str">
        <f t="shared" si="1360"/>
        <v>公営住宅</v>
      </c>
      <c r="E3888" s="7" t="str">
        <f t="shared" ref="E3888:E3893" si="1380">"大阪府貝塚市森"</f>
        <v>大阪府貝塚市森</v>
      </c>
      <c r="F3888" s="7"/>
      <c r="G3888" s="7" t="str">
        <f t="shared" si="1367"/>
        <v>事業用資産</v>
      </c>
      <c r="H3888" s="7" t="str">
        <f t="shared" si="1363"/>
        <v>棚卸以外</v>
      </c>
      <c r="I3888" s="7">
        <v>1</v>
      </c>
      <c r="J3888" s="7" t="str">
        <f>"１号棟（新）"</f>
        <v>１号棟（新）</v>
      </c>
      <c r="K3888" s="7" t="str">
        <f t="shared" si="1362"/>
        <v>鉄筋コンクリート造</v>
      </c>
      <c r="L3888" s="7" t="str">
        <f>"H18.02.24"</f>
        <v>H18.02.24</v>
      </c>
      <c r="M3888" s="7">
        <v>5373.15</v>
      </c>
      <c r="N3888" s="7">
        <v>843104123</v>
      </c>
      <c r="O3888" s="7">
        <v>311163445</v>
      </c>
      <c r="P3888" s="7">
        <v>0</v>
      </c>
      <c r="Q3888" s="7" t="str">
        <f t="shared" si="1374"/>
        <v>都市整備部</v>
      </c>
      <c r="R3888" s="7" t="str">
        <f t="shared" si="1368"/>
        <v>住宅建築局住宅経営室</v>
      </c>
    </row>
    <row r="3889" spans="1:18" s="1" customFormat="1" x14ac:dyDescent="0.45">
      <c r="A3889" s="7" t="str">
        <f t="shared" si="1378"/>
        <v>09940003544</v>
      </c>
      <c r="B3889" s="7" t="str">
        <f t="shared" si="1379"/>
        <v>貝塚森</v>
      </c>
      <c r="C3889" s="7" t="str">
        <f t="shared" si="1373"/>
        <v>行政財産</v>
      </c>
      <c r="D3889" s="7" t="str">
        <f t="shared" si="1360"/>
        <v>公営住宅</v>
      </c>
      <c r="E3889" s="7" t="str">
        <f t="shared" si="1380"/>
        <v>大阪府貝塚市森</v>
      </c>
      <c r="F3889" s="7"/>
      <c r="G3889" s="7" t="str">
        <f t="shared" si="1367"/>
        <v>事業用資産</v>
      </c>
      <c r="H3889" s="7" t="str">
        <f t="shared" si="1363"/>
        <v>棚卸以外</v>
      </c>
      <c r="I3889" s="7">
        <v>2</v>
      </c>
      <c r="J3889" s="7" t="str">
        <f>"２号棟（新）"</f>
        <v>２号棟（新）</v>
      </c>
      <c r="K3889" s="7" t="str">
        <f t="shared" si="1362"/>
        <v>鉄筋コンクリート造</v>
      </c>
      <c r="L3889" s="7" t="str">
        <f>"H18.02.24"</f>
        <v>H18.02.24</v>
      </c>
      <c r="M3889" s="7">
        <v>6384.07</v>
      </c>
      <c r="N3889" s="7">
        <v>1025745124</v>
      </c>
      <c r="O3889" s="7">
        <v>377548800</v>
      </c>
      <c r="P3889" s="7">
        <v>0</v>
      </c>
      <c r="Q3889" s="7" t="str">
        <f t="shared" si="1374"/>
        <v>都市整備部</v>
      </c>
      <c r="R3889" s="7" t="str">
        <f t="shared" si="1368"/>
        <v>住宅建築局住宅経営室</v>
      </c>
    </row>
    <row r="3890" spans="1:18" s="1" customFormat="1" x14ac:dyDescent="0.45">
      <c r="A3890" s="7" t="str">
        <f t="shared" si="1378"/>
        <v>09940003544</v>
      </c>
      <c r="B3890" s="7" t="str">
        <f t="shared" si="1379"/>
        <v>貝塚森</v>
      </c>
      <c r="C3890" s="7" t="str">
        <f t="shared" si="1373"/>
        <v>行政財産</v>
      </c>
      <c r="D3890" s="7" t="str">
        <f t="shared" ref="D3890:D3953" si="1381">"公営住宅"</f>
        <v>公営住宅</v>
      </c>
      <c r="E3890" s="7" t="str">
        <f t="shared" si="1380"/>
        <v>大阪府貝塚市森</v>
      </c>
      <c r="F3890" s="7"/>
      <c r="G3890" s="7" t="str">
        <f t="shared" si="1367"/>
        <v>事業用資産</v>
      </c>
      <c r="H3890" s="7" t="str">
        <f t="shared" si="1363"/>
        <v>棚卸以外</v>
      </c>
      <c r="I3890" s="7">
        <v>3</v>
      </c>
      <c r="J3890" s="7" t="str">
        <f>"受水槽ポンプ室・電気室"</f>
        <v>受水槽ポンプ室・電気室</v>
      </c>
      <c r="K3890" s="7" t="str">
        <f t="shared" si="1362"/>
        <v>鉄筋コンクリート造</v>
      </c>
      <c r="L3890" s="7" t="str">
        <f>"H18.02.24"</f>
        <v>H18.02.24</v>
      </c>
      <c r="M3890" s="7">
        <v>119.81</v>
      </c>
      <c r="N3890" s="7">
        <v>18922000</v>
      </c>
      <c r="O3890" s="7">
        <v>6877750</v>
      </c>
      <c r="P3890" s="7">
        <v>0</v>
      </c>
      <c r="Q3890" s="7" t="str">
        <f t="shared" si="1374"/>
        <v>都市整備部</v>
      </c>
      <c r="R3890" s="7" t="str">
        <f t="shared" si="1368"/>
        <v>住宅建築局住宅経営室</v>
      </c>
    </row>
    <row r="3891" spans="1:18" s="1" customFormat="1" x14ac:dyDescent="0.45">
      <c r="A3891" s="7" t="str">
        <f t="shared" si="1378"/>
        <v>09940003544</v>
      </c>
      <c r="B3891" s="7" t="str">
        <f t="shared" si="1379"/>
        <v>貝塚森</v>
      </c>
      <c r="C3891" s="7" t="str">
        <f t="shared" si="1373"/>
        <v>行政財産</v>
      </c>
      <c r="D3891" s="7" t="str">
        <f t="shared" si="1381"/>
        <v>公営住宅</v>
      </c>
      <c r="E3891" s="7" t="str">
        <f t="shared" si="1380"/>
        <v>大阪府貝塚市森</v>
      </c>
      <c r="F3891" s="7"/>
      <c r="G3891" s="7" t="str">
        <f t="shared" si="1367"/>
        <v>事業用資産</v>
      </c>
      <c r="H3891" s="7" t="str">
        <f t="shared" si="1363"/>
        <v>棚卸以外</v>
      </c>
      <c r="I3891" s="7">
        <v>4</v>
      </c>
      <c r="J3891" s="7" t="str">
        <f>"集会所"</f>
        <v>集会所</v>
      </c>
      <c r="K3891" s="7" t="str">
        <f t="shared" si="1362"/>
        <v>鉄筋コンクリート造</v>
      </c>
      <c r="L3891" s="7" t="str">
        <f>"H18.07.04"</f>
        <v>H18.07.04</v>
      </c>
      <c r="M3891" s="7">
        <v>161.44</v>
      </c>
      <c r="N3891" s="7">
        <v>24367000</v>
      </c>
      <c r="O3891" s="7">
        <v>11944800</v>
      </c>
      <c r="P3891" s="7">
        <v>0</v>
      </c>
      <c r="Q3891" s="7" t="str">
        <f t="shared" si="1374"/>
        <v>都市整備部</v>
      </c>
      <c r="R3891" s="7" t="str">
        <f t="shared" si="1368"/>
        <v>住宅建築局住宅経営室</v>
      </c>
    </row>
    <row r="3892" spans="1:18" s="1" customFormat="1" x14ac:dyDescent="0.45">
      <c r="A3892" s="7" t="str">
        <f t="shared" si="1378"/>
        <v>09940003544</v>
      </c>
      <c r="B3892" s="7" t="str">
        <f t="shared" si="1379"/>
        <v>貝塚森</v>
      </c>
      <c r="C3892" s="7" t="str">
        <f t="shared" si="1373"/>
        <v>行政財産</v>
      </c>
      <c r="D3892" s="7" t="str">
        <f t="shared" si="1381"/>
        <v>公営住宅</v>
      </c>
      <c r="E3892" s="7" t="str">
        <f t="shared" si="1380"/>
        <v>大阪府貝塚市森</v>
      </c>
      <c r="F3892" s="7"/>
      <c r="G3892" s="7" t="str">
        <f t="shared" si="1367"/>
        <v>事業用資産</v>
      </c>
      <c r="H3892" s="7" t="str">
        <f t="shared" si="1363"/>
        <v>棚卸以外</v>
      </c>
      <c r="I3892" s="7">
        <v>5</v>
      </c>
      <c r="J3892" s="7" t="str">
        <f>"３号棟"</f>
        <v>３号棟</v>
      </c>
      <c r="K3892" s="7" t="str">
        <f t="shared" si="1362"/>
        <v>鉄筋コンクリート造</v>
      </c>
      <c r="L3892" s="7" t="str">
        <f>"H20.07.29"</f>
        <v>H20.07.29</v>
      </c>
      <c r="M3892" s="7">
        <v>9492.16</v>
      </c>
      <c r="N3892" s="7">
        <v>1222694474</v>
      </c>
      <c r="O3892" s="7">
        <v>527184376</v>
      </c>
      <c r="P3892" s="7">
        <v>0</v>
      </c>
      <c r="Q3892" s="7" t="str">
        <f t="shared" si="1374"/>
        <v>都市整備部</v>
      </c>
      <c r="R3892" s="7" t="str">
        <f t="shared" si="1368"/>
        <v>住宅建築局住宅経営室</v>
      </c>
    </row>
    <row r="3893" spans="1:18" s="1" customFormat="1" x14ac:dyDescent="0.45">
      <c r="A3893" s="7" t="str">
        <f t="shared" si="1378"/>
        <v>09940003544</v>
      </c>
      <c r="B3893" s="7" t="str">
        <f t="shared" si="1379"/>
        <v>貝塚森</v>
      </c>
      <c r="C3893" s="7" t="str">
        <f t="shared" si="1373"/>
        <v>行政財産</v>
      </c>
      <c r="D3893" s="7" t="str">
        <f t="shared" si="1381"/>
        <v>公営住宅</v>
      </c>
      <c r="E3893" s="7" t="str">
        <f t="shared" si="1380"/>
        <v>大阪府貝塚市森</v>
      </c>
      <c r="F3893" s="7"/>
      <c r="G3893" s="7" t="str">
        <f t="shared" si="1367"/>
        <v>事業用資産</v>
      </c>
      <c r="H3893" s="7" t="str">
        <f t="shared" si="1363"/>
        <v>棚卸以外</v>
      </c>
      <c r="I3893" s="7">
        <v>6</v>
      </c>
      <c r="J3893" s="7" t="str">
        <f>"ポンプ室・電気室"</f>
        <v>ポンプ室・電気室</v>
      </c>
      <c r="K3893" s="7" t="str">
        <f t="shared" si="1362"/>
        <v>鉄筋コンクリート造</v>
      </c>
      <c r="L3893" s="7" t="str">
        <f>"H20.07.29"</f>
        <v>H20.07.29</v>
      </c>
      <c r="M3893" s="7">
        <v>111.11</v>
      </c>
      <c r="N3893" s="7">
        <v>22227000</v>
      </c>
      <c r="O3893" s="7">
        <v>6936160</v>
      </c>
      <c r="P3893" s="7">
        <v>0</v>
      </c>
      <c r="Q3893" s="7" t="str">
        <f t="shared" si="1374"/>
        <v>都市整備部</v>
      </c>
      <c r="R3893" s="7" t="str">
        <f t="shared" si="1368"/>
        <v>住宅建築局住宅経営室</v>
      </c>
    </row>
    <row r="3894" spans="1:18" s="1" customFormat="1" x14ac:dyDescent="0.45">
      <c r="A3894" s="7" t="str">
        <f t="shared" ref="A3894:A3927" si="1382">"09940003545"</f>
        <v>09940003545</v>
      </c>
      <c r="B3894" s="7" t="str">
        <f t="shared" ref="B3894:B3927" si="1383">"村野"</f>
        <v>村野</v>
      </c>
      <c r="C3894" s="7" t="str">
        <f t="shared" si="1373"/>
        <v>行政財産</v>
      </c>
      <c r="D3894" s="7" t="str">
        <f t="shared" si="1381"/>
        <v>公営住宅</v>
      </c>
      <c r="E3894" s="7" t="str">
        <f t="shared" ref="E3894:E3927" si="1384">"大阪府枚方市村野南町"</f>
        <v>大阪府枚方市村野南町</v>
      </c>
      <c r="F3894" s="7"/>
      <c r="G3894" s="7" t="str">
        <f t="shared" si="1367"/>
        <v>事業用資産</v>
      </c>
      <c r="H3894" s="7" t="str">
        <f t="shared" si="1363"/>
        <v>棚卸以外</v>
      </c>
      <c r="I3894" s="7">
        <v>1</v>
      </c>
      <c r="J3894" s="7" t="str">
        <f>"１７～３０号棟"</f>
        <v>１７～３０号棟</v>
      </c>
      <c r="K3894" s="7" t="str">
        <f t="shared" si="1362"/>
        <v>鉄筋コンクリート造</v>
      </c>
      <c r="L3894" s="7" t="str">
        <f>"S44.07.18"</f>
        <v>S44.07.18</v>
      </c>
      <c r="M3894" s="7">
        <v>19613.580000000002</v>
      </c>
      <c r="N3894" s="7">
        <v>994803980</v>
      </c>
      <c r="O3894" s="7">
        <v>629474171</v>
      </c>
      <c r="P3894" s="7">
        <v>0</v>
      </c>
      <c r="Q3894" s="7" t="str">
        <f t="shared" si="1374"/>
        <v>都市整備部</v>
      </c>
      <c r="R3894" s="7" t="str">
        <f t="shared" si="1368"/>
        <v>住宅建築局住宅経営室</v>
      </c>
    </row>
    <row r="3895" spans="1:18" s="1" customFormat="1" x14ac:dyDescent="0.45">
      <c r="A3895" s="7" t="str">
        <f t="shared" si="1382"/>
        <v>09940003545</v>
      </c>
      <c r="B3895" s="7" t="str">
        <f t="shared" si="1383"/>
        <v>村野</v>
      </c>
      <c r="C3895" s="7" t="str">
        <f t="shared" si="1373"/>
        <v>行政財産</v>
      </c>
      <c r="D3895" s="7" t="str">
        <f t="shared" si="1381"/>
        <v>公営住宅</v>
      </c>
      <c r="E3895" s="7" t="str">
        <f t="shared" si="1384"/>
        <v>大阪府枚方市村野南町</v>
      </c>
      <c r="F3895" s="7"/>
      <c r="G3895" s="7" t="str">
        <f t="shared" si="1367"/>
        <v>事業用資産</v>
      </c>
      <c r="H3895" s="7" t="str">
        <f t="shared" si="1363"/>
        <v>棚卸以外</v>
      </c>
      <c r="I3895" s="7">
        <v>2</v>
      </c>
      <c r="J3895" s="7" t="str">
        <f>"１～１６号棟"</f>
        <v>１～１６号棟</v>
      </c>
      <c r="K3895" s="7" t="str">
        <f t="shared" si="1362"/>
        <v>鉄筋コンクリート造</v>
      </c>
      <c r="L3895" s="7" t="str">
        <f>"S44.05.28"</f>
        <v>S44.05.28</v>
      </c>
      <c r="M3895" s="7">
        <v>28838.799999999999</v>
      </c>
      <c r="N3895" s="7">
        <v>1769560454</v>
      </c>
      <c r="O3895" s="7">
        <v>1008284137</v>
      </c>
      <c r="P3895" s="7">
        <v>0</v>
      </c>
      <c r="Q3895" s="7" t="str">
        <f t="shared" si="1374"/>
        <v>都市整備部</v>
      </c>
      <c r="R3895" s="7" t="str">
        <f t="shared" si="1368"/>
        <v>住宅建築局住宅経営室</v>
      </c>
    </row>
    <row r="3896" spans="1:18" s="1" customFormat="1" x14ac:dyDescent="0.45">
      <c r="A3896" s="7" t="str">
        <f t="shared" si="1382"/>
        <v>09940003545</v>
      </c>
      <c r="B3896" s="7" t="str">
        <f t="shared" si="1383"/>
        <v>村野</v>
      </c>
      <c r="C3896" s="7" t="str">
        <f t="shared" si="1373"/>
        <v>行政財産</v>
      </c>
      <c r="D3896" s="7" t="str">
        <f t="shared" si="1381"/>
        <v>公営住宅</v>
      </c>
      <c r="E3896" s="7" t="str">
        <f t="shared" si="1384"/>
        <v>大阪府枚方市村野南町</v>
      </c>
      <c r="F3896" s="7"/>
      <c r="G3896" s="7" t="str">
        <f t="shared" si="1367"/>
        <v>事業用資産</v>
      </c>
      <c r="H3896" s="7" t="str">
        <f t="shared" si="1363"/>
        <v>棚卸以外</v>
      </c>
      <c r="I3896" s="7">
        <v>3</v>
      </c>
      <c r="J3896" s="7" t="str">
        <f>"１号棟増築"</f>
        <v>１号棟増築</v>
      </c>
      <c r="K3896" s="7" t="str">
        <f t="shared" si="1362"/>
        <v>鉄筋コンクリート造</v>
      </c>
      <c r="L3896" s="7" t="str">
        <f t="shared" ref="L3896:L3901" si="1385">"S57.06.25"</f>
        <v>S57.06.25</v>
      </c>
      <c r="M3896" s="7">
        <v>937.81</v>
      </c>
      <c r="N3896" s="7">
        <v>118646000</v>
      </c>
      <c r="O3896" s="7">
        <v>102868974</v>
      </c>
      <c r="P3896" s="7">
        <v>0</v>
      </c>
      <c r="Q3896" s="7" t="str">
        <f t="shared" si="1374"/>
        <v>都市整備部</v>
      </c>
      <c r="R3896" s="7" t="str">
        <f t="shared" si="1368"/>
        <v>住宅建築局住宅経営室</v>
      </c>
    </row>
    <row r="3897" spans="1:18" s="1" customFormat="1" x14ac:dyDescent="0.45">
      <c r="A3897" s="7" t="str">
        <f t="shared" si="1382"/>
        <v>09940003545</v>
      </c>
      <c r="B3897" s="7" t="str">
        <f t="shared" si="1383"/>
        <v>村野</v>
      </c>
      <c r="C3897" s="7" t="str">
        <f t="shared" si="1373"/>
        <v>行政財産</v>
      </c>
      <c r="D3897" s="7" t="str">
        <f t="shared" si="1381"/>
        <v>公営住宅</v>
      </c>
      <c r="E3897" s="7" t="str">
        <f t="shared" si="1384"/>
        <v>大阪府枚方市村野南町</v>
      </c>
      <c r="F3897" s="7"/>
      <c r="G3897" s="7" t="str">
        <f t="shared" si="1367"/>
        <v>事業用資産</v>
      </c>
      <c r="H3897" s="7" t="str">
        <f t="shared" si="1363"/>
        <v>棚卸以外</v>
      </c>
      <c r="I3897" s="7">
        <v>4</v>
      </c>
      <c r="J3897" s="7" t="str">
        <f>"２号棟増築"</f>
        <v>２号棟増築</v>
      </c>
      <c r="K3897" s="7" t="str">
        <f t="shared" si="1362"/>
        <v>鉄筋コンクリート造</v>
      </c>
      <c r="L3897" s="7" t="str">
        <f t="shared" si="1385"/>
        <v>S57.06.25</v>
      </c>
      <c r="M3897" s="7">
        <v>1406.72</v>
      </c>
      <c r="N3897" s="7">
        <v>173858000</v>
      </c>
      <c r="O3897" s="7">
        <v>150738651</v>
      </c>
      <c r="P3897" s="7">
        <v>0</v>
      </c>
      <c r="Q3897" s="7" t="str">
        <f t="shared" si="1374"/>
        <v>都市整備部</v>
      </c>
      <c r="R3897" s="7" t="str">
        <f t="shared" si="1368"/>
        <v>住宅建築局住宅経営室</v>
      </c>
    </row>
    <row r="3898" spans="1:18" s="1" customFormat="1" x14ac:dyDescent="0.45">
      <c r="A3898" s="7" t="str">
        <f t="shared" si="1382"/>
        <v>09940003545</v>
      </c>
      <c r="B3898" s="7" t="str">
        <f t="shared" si="1383"/>
        <v>村野</v>
      </c>
      <c r="C3898" s="7" t="str">
        <f t="shared" si="1373"/>
        <v>行政財産</v>
      </c>
      <c r="D3898" s="7" t="str">
        <f t="shared" si="1381"/>
        <v>公営住宅</v>
      </c>
      <c r="E3898" s="7" t="str">
        <f t="shared" si="1384"/>
        <v>大阪府枚方市村野南町</v>
      </c>
      <c r="F3898" s="7"/>
      <c r="G3898" s="7" t="str">
        <f t="shared" si="1367"/>
        <v>事業用資産</v>
      </c>
      <c r="H3898" s="7" t="str">
        <f t="shared" si="1363"/>
        <v>棚卸以外</v>
      </c>
      <c r="I3898" s="7">
        <v>5</v>
      </c>
      <c r="J3898" s="7" t="str">
        <f>"１６号棟増築"</f>
        <v>１６号棟増築</v>
      </c>
      <c r="K3898" s="7" t="str">
        <f t="shared" si="1362"/>
        <v>鉄筋コンクリート造</v>
      </c>
      <c r="L3898" s="7" t="str">
        <f t="shared" si="1385"/>
        <v>S57.06.25</v>
      </c>
      <c r="M3898" s="7">
        <v>703.36</v>
      </c>
      <c r="N3898" s="7">
        <v>88872000</v>
      </c>
      <c r="O3898" s="7">
        <v>77054175</v>
      </c>
      <c r="P3898" s="7">
        <v>0</v>
      </c>
      <c r="Q3898" s="7" t="str">
        <f t="shared" si="1374"/>
        <v>都市整備部</v>
      </c>
      <c r="R3898" s="7" t="str">
        <f t="shared" si="1368"/>
        <v>住宅建築局住宅経営室</v>
      </c>
    </row>
    <row r="3899" spans="1:18" s="1" customFormat="1" x14ac:dyDescent="0.45">
      <c r="A3899" s="7" t="str">
        <f t="shared" si="1382"/>
        <v>09940003545</v>
      </c>
      <c r="B3899" s="7" t="str">
        <f t="shared" si="1383"/>
        <v>村野</v>
      </c>
      <c r="C3899" s="7" t="str">
        <f t="shared" si="1373"/>
        <v>行政財産</v>
      </c>
      <c r="D3899" s="7" t="str">
        <f t="shared" si="1381"/>
        <v>公営住宅</v>
      </c>
      <c r="E3899" s="7" t="str">
        <f t="shared" si="1384"/>
        <v>大阪府枚方市村野南町</v>
      </c>
      <c r="F3899" s="7"/>
      <c r="G3899" s="7" t="str">
        <f t="shared" si="1367"/>
        <v>事業用資産</v>
      </c>
      <c r="H3899" s="7" t="str">
        <f t="shared" si="1363"/>
        <v>棚卸以外</v>
      </c>
      <c r="I3899" s="7">
        <v>6</v>
      </c>
      <c r="J3899" s="7" t="str">
        <f>"１７号棟増築"</f>
        <v>１７号棟増築</v>
      </c>
      <c r="K3899" s="7" t="str">
        <f t="shared" si="1362"/>
        <v>鉄筋コンクリート造</v>
      </c>
      <c r="L3899" s="7" t="str">
        <f t="shared" si="1385"/>
        <v>S57.06.25</v>
      </c>
      <c r="M3899" s="7">
        <v>467.88</v>
      </c>
      <c r="N3899" s="7">
        <v>56403000</v>
      </c>
      <c r="O3899" s="7">
        <v>48902934</v>
      </c>
      <c r="P3899" s="7">
        <v>0</v>
      </c>
      <c r="Q3899" s="7" t="str">
        <f t="shared" si="1374"/>
        <v>都市整備部</v>
      </c>
      <c r="R3899" s="7" t="str">
        <f t="shared" si="1368"/>
        <v>住宅建築局住宅経営室</v>
      </c>
    </row>
    <row r="3900" spans="1:18" s="1" customFormat="1" x14ac:dyDescent="0.45">
      <c r="A3900" s="7" t="str">
        <f t="shared" si="1382"/>
        <v>09940003545</v>
      </c>
      <c r="B3900" s="7" t="str">
        <f t="shared" si="1383"/>
        <v>村野</v>
      </c>
      <c r="C3900" s="7" t="str">
        <f t="shared" si="1373"/>
        <v>行政財産</v>
      </c>
      <c r="D3900" s="7" t="str">
        <f t="shared" si="1381"/>
        <v>公営住宅</v>
      </c>
      <c r="E3900" s="7" t="str">
        <f t="shared" si="1384"/>
        <v>大阪府枚方市村野南町</v>
      </c>
      <c r="F3900" s="7"/>
      <c r="G3900" s="7" t="str">
        <f t="shared" si="1367"/>
        <v>事業用資産</v>
      </c>
      <c r="H3900" s="7" t="str">
        <f t="shared" si="1363"/>
        <v>棚卸以外</v>
      </c>
      <c r="I3900" s="7">
        <v>7</v>
      </c>
      <c r="J3900" s="7" t="str">
        <f>"２２号棟増築"</f>
        <v>２２号棟増築</v>
      </c>
      <c r="K3900" s="7" t="str">
        <f t="shared" si="1362"/>
        <v>鉄筋コンクリート造</v>
      </c>
      <c r="L3900" s="7" t="str">
        <f t="shared" si="1385"/>
        <v>S57.06.25</v>
      </c>
      <c r="M3900" s="7">
        <v>935.77</v>
      </c>
      <c r="N3900" s="7">
        <v>108295000</v>
      </c>
      <c r="O3900" s="7">
        <v>93894357</v>
      </c>
      <c r="P3900" s="7">
        <v>0</v>
      </c>
      <c r="Q3900" s="7" t="str">
        <f t="shared" si="1374"/>
        <v>都市整備部</v>
      </c>
      <c r="R3900" s="7" t="str">
        <f t="shared" si="1368"/>
        <v>住宅建築局住宅経営室</v>
      </c>
    </row>
    <row r="3901" spans="1:18" s="1" customFormat="1" x14ac:dyDescent="0.45">
      <c r="A3901" s="7" t="str">
        <f t="shared" si="1382"/>
        <v>09940003545</v>
      </c>
      <c r="B3901" s="7" t="str">
        <f t="shared" si="1383"/>
        <v>村野</v>
      </c>
      <c r="C3901" s="7" t="str">
        <f t="shared" si="1373"/>
        <v>行政財産</v>
      </c>
      <c r="D3901" s="7" t="str">
        <f t="shared" si="1381"/>
        <v>公営住宅</v>
      </c>
      <c r="E3901" s="7" t="str">
        <f t="shared" si="1384"/>
        <v>大阪府枚方市村野南町</v>
      </c>
      <c r="F3901" s="7"/>
      <c r="G3901" s="7" t="str">
        <f t="shared" si="1367"/>
        <v>事業用資産</v>
      </c>
      <c r="H3901" s="7" t="str">
        <f t="shared" si="1363"/>
        <v>棚卸以外</v>
      </c>
      <c r="I3901" s="7">
        <v>8</v>
      </c>
      <c r="J3901" s="7" t="str">
        <f>"２６号棟増築"</f>
        <v>２６号棟増築</v>
      </c>
      <c r="K3901" s="7" t="str">
        <f t="shared" si="1362"/>
        <v>鉄筋コンクリート造</v>
      </c>
      <c r="L3901" s="7" t="str">
        <f t="shared" si="1385"/>
        <v>S57.06.25</v>
      </c>
      <c r="M3901" s="7">
        <v>1218.07</v>
      </c>
      <c r="N3901" s="7">
        <v>168818000</v>
      </c>
      <c r="O3901" s="7">
        <v>146368947</v>
      </c>
      <c r="P3901" s="7">
        <v>0</v>
      </c>
      <c r="Q3901" s="7" t="str">
        <f t="shared" si="1374"/>
        <v>都市整備部</v>
      </c>
      <c r="R3901" s="7" t="str">
        <f t="shared" si="1368"/>
        <v>住宅建築局住宅経営室</v>
      </c>
    </row>
    <row r="3902" spans="1:18" s="1" customFormat="1" x14ac:dyDescent="0.45">
      <c r="A3902" s="7" t="str">
        <f t="shared" si="1382"/>
        <v>09940003545</v>
      </c>
      <c r="B3902" s="7" t="str">
        <f t="shared" si="1383"/>
        <v>村野</v>
      </c>
      <c r="C3902" s="7" t="str">
        <f t="shared" si="1373"/>
        <v>行政財産</v>
      </c>
      <c r="D3902" s="7" t="str">
        <f t="shared" si="1381"/>
        <v>公営住宅</v>
      </c>
      <c r="E3902" s="7" t="str">
        <f t="shared" si="1384"/>
        <v>大阪府枚方市村野南町</v>
      </c>
      <c r="F3902" s="7"/>
      <c r="G3902" s="7" t="str">
        <f t="shared" si="1367"/>
        <v>事業用資産</v>
      </c>
      <c r="H3902" s="7" t="str">
        <f t="shared" si="1363"/>
        <v>棚卸以外</v>
      </c>
      <c r="I3902" s="7">
        <v>9</v>
      </c>
      <c r="J3902" s="7" t="str">
        <f>"１０号棟増築"</f>
        <v>１０号棟増築</v>
      </c>
      <c r="K3902" s="7" t="str">
        <f t="shared" si="1362"/>
        <v>鉄筋コンクリート造</v>
      </c>
      <c r="L3902" s="7" t="str">
        <f>"S58.05.24"</f>
        <v>S58.05.24</v>
      </c>
      <c r="M3902" s="7">
        <v>1334.46</v>
      </c>
      <c r="N3902" s="7">
        <v>175442000</v>
      </c>
      <c r="O3902" s="7">
        <v>148690504</v>
      </c>
      <c r="P3902" s="7">
        <v>0</v>
      </c>
      <c r="Q3902" s="7" t="str">
        <f t="shared" si="1374"/>
        <v>都市整備部</v>
      </c>
      <c r="R3902" s="7" t="str">
        <f t="shared" si="1368"/>
        <v>住宅建築局住宅経営室</v>
      </c>
    </row>
    <row r="3903" spans="1:18" s="1" customFormat="1" x14ac:dyDescent="0.45">
      <c r="A3903" s="7" t="str">
        <f t="shared" si="1382"/>
        <v>09940003545</v>
      </c>
      <c r="B3903" s="7" t="str">
        <f t="shared" si="1383"/>
        <v>村野</v>
      </c>
      <c r="C3903" s="7" t="str">
        <f t="shared" si="1373"/>
        <v>行政財産</v>
      </c>
      <c r="D3903" s="7" t="str">
        <f t="shared" si="1381"/>
        <v>公営住宅</v>
      </c>
      <c r="E3903" s="7" t="str">
        <f t="shared" si="1384"/>
        <v>大阪府枚方市村野南町</v>
      </c>
      <c r="F3903" s="7"/>
      <c r="G3903" s="7" t="str">
        <f t="shared" si="1367"/>
        <v>事業用資産</v>
      </c>
      <c r="H3903" s="7" t="str">
        <f t="shared" si="1363"/>
        <v>棚卸以外</v>
      </c>
      <c r="I3903" s="7">
        <v>10</v>
      </c>
      <c r="J3903" s="7" t="str">
        <f>"１１号棟増築"</f>
        <v>１１号棟増築</v>
      </c>
      <c r="K3903" s="7" t="str">
        <f t="shared" si="1362"/>
        <v>鉄筋コンクリート造</v>
      </c>
      <c r="L3903" s="7" t="str">
        <f>"S58.05.24"</f>
        <v>S58.05.24</v>
      </c>
      <c r="M3903" s="7">
        <v>889.64</v>
      </c>
      <c r="N3903" s="7">
        <v>112000000</v>
      </c>
      <c r="O3903" s="7">
        <v>94922196</v>
      </c>
      <c r="P3903" s="7">
        <v>0</v>
      </c>
      <c r="Q3903" s="7" t="str">
        <f t="shared" si="1374"/>
        <v>都市整備部</v>
      </c>
      <c r="R3903" s="7" t="str">
        <f t="shared" si="1368"/>
        <v>住宅建築局住宅経営室</v>
      </c>
    </row>
    <row r="3904" spans="1:18" s="1" customFormat="1" x14ac:dyDescent="0.45">
      <c r="A3904" s="7" t="str">
        <f t="shared" si="1382"/>
        <v>09940003545</v>
      </c>
      <c r="B3904" s="7" t="str">
        <f t="shared" si="1383"/>
        <v>村野</v>
      </c>
      <c r="C3904" s="7" t="str">
        <f t="shared" si="1373"/>
        <v>行政財産</v>
      </c>
      <c r="D3904" s="7" t="str">
        <f t="shared" si="1381"/>
        <v>公営住宅</v>
      </c>
      <c r="E3904" s="7" t="str">
        <f t="shared" si="1384"/>
        <v>大阪府枚方市村野南町</v>
      </c>
      <c r="F3904" s="7"/>
      <c r="G3904" s="7" t="str">
        <f t="shared" si="1367"/>
        <v>事業用資産</v>
      </c>
      <c r="H3904" s="7" t="str">
        <f t="shared" si="1363"/>
        <v>棚卸以外</v>
      </c>
      <c r="I3904" s="7">
        <v>11</v>
      </c>
      <c r="J3904" s="7" t="str">
        <f>"１２号棟増築"</f>
        <v>１２号棟増築</v>
      </c>
      <c r="K3904" s="7" t="str">
        <f t="shared" si="1362"/>
        <v>鉄筋コンクリート造</v>
      </c>
      <c r="L3904" s="7" t="str">
        <f>"S58.05.24"</f>
        <v>S58.05.24</v>
      </c>
      <c r="M3904" s="7">
        <v>889.64</v>
      </c>
      <c r="N3904" s="7">
        <v>111911000</v>
      </c>
      <c r="O3904" s="7">
        <v>94846672</v>
      </c>
      <c r="P3904" s="7">
        <v>0</v>
      </c>
      <c r="Q3904" s="7" t="str">
        <f t="shared" si="1374"/>
        <v>都市整備部</v>
      </c>
      <c r="R3904" s="7" t="str">
        <f t="shared" si="1368"/>
        <v>住宅建築局住宅経営室</v>
      </c>
    </row>
    <row r="3905" spans="1:18" s="1" customFormat="1" x14ac:dyDescent="0.45">
      <c r="A3905" s="7" t="str">
        <f t="shared" si="1382"/>
        <v>09940003545</v>
      </c>
      <c r="B3905" s="7" t="str">
        <f t="shared" si="1383"/>
        <v>村野</v>
      </c>
      <c r="C3905" s="7" t="str">
        <f t="shared" si="1373"/>
        <v>行政財産</v>
      </c>
      <c r="D3905" s="7" t="str">
        <f t="shared" si="1381"/>
        <v>公営住宅</v>
      </c>
      <c r="E3905" s="7" t="str">
        <f t="shared" si="1384"/>
        <v>大阪府枚方市村野南町</v>
      </c>
      <c r="F3905" s="7"/>
      <c r="G3905" s="7" t="str">
        <f t="shared" si="1367"/>
        <v>事業用資産</v>
      </c>
      <c r="H3905" s="7" t="str">
        <f t="shared" si="1363"/>
        <v>棚卸以外</v>
      </c>
      <c r="I3905" s="7">
        <v>12</v>
      </c>
      <c r="J3905" s="7" t="str">
        <f>"４号棟増築"</f>
        <v>４号棟増築</v>
      </c>
      <c r="K3905" s="7" t="str">
        <f t="shared" si="1362"/>
        <v>鉄筋コンクリート造</v>
      </c>
      <c r="L3905" s="7" t="str">
        <f>"S58.05.24"</f>
        <v>S58.05.24</v>
      </c>
      <c r="M3905" s="7">
        <v>889.64</v>
      </c>
      <c r="N3905" s="7">
        <v>110369000</v>
      </c>
      <c r="O3905" s="7">
        <v>93539820</v>
      </c>
      <c r="P3905" s="7">
        <v>0</v>
      </c>
      <c r="Q3905" s="7" t="str">
        <f t="shared" si="1374"/>
        <v>都市整備部</v>
      </c>
      <c r="R3905" s="7" t="str">
        <f t="shared" si="1368"/>
        <v>住宅建築局住宅経営室</v>
      </c>
    </row>
    <row r="3906" spans="1:18" s="1" customFormat="1" x14ac:dyDescent="0.45">
      <c r="A3906" s="7" t="str">
        <f t="shared" si="1382"/>
        <v>09940003545</v>
      </c>
      <c r="B3906" s="7" t="str">
        <f t="shared" si="1383"/>
        <v>村野</v>
      </c>
      <c r="C3906" s="7" t="str">
        <f t="shared" si="1373"/>
        <v>行政財産</v>
      </c>
      <c r="D3906" s="7" t="str">
        <f t="shared" si="1381"/>
        <v>公営住宅</v>
      </c>
      <c r="E3906" s="7" t="str">
        <f t="shared" si="1384"/>
        <v>大阪府枚方市村野南町</v>
      </c>
      <c r="F3906" s="7"/>
      <c r="G3906" s="7" t="str">
        <f t="shared" si="1367"/>
        <v>事業用資産</v>
      </c>
      <c r="H3906" s="7" t="str">
        <f t="shared" si="1363"/>
        <v>棚卸以外</v>
      </c>
      <c r="I3906" s="7">
        <v>13</v>
      </c>
      <c r="J3906" s="7" t="str">
        <f>"２９号棟増築"</f>
        <v>２９号棟増築</v>
      </c>
      <c r="K3906" s="7" t="str">
        <f t="shared" ref="K3906:K3969" si="1386">"鉄筋コンクリート造"</f>
        <v>鉄筋コンクリート造</v>
      </c>
      <c r="L3906" s="7" t="str">
        <f>"S58.10.25"</f>
        <v>S58.10.25</v>
      </c>
      <c r="M3906" s="7">
        <v>672.03</v>
      </c>
      <c r="N3906" s="7">
        <v>800076000</v>
      </c>
      <c r="O3906" s="7">
        <v>670985975</v>
      </c>
      <c r="P3906" s="7">
        <v>0</v>
      </c>
      <c r="Q3906" s="7" t="str">
        <f t="shared" si="1374"/>
        <v>都市整備部</v>
      </c>
      <c r="R3906" s="7" t="str">
        <f t="shared" si="1368"/>
        <v>住宅建築局住宅経営室</v>
      </c>
    </row>
    <row r="3907" spans="1:18" s="1" customFormat="1" x14ac:dyDescent="0.45">
      <c r="A3907" s="7" t="str">
        <f t="shared" si="1382"/>
        <v>09940003545</v>
      </c>
      <c r="B3907" s="7" t="str">
        <f t="shared" si="1383"/>
        <v>村野</v>
      </c>
      <c r="C3907" s="7" t="str">
        <f t="shared" si="1373"/>
        <v>行政財産</v>
      </c>
      <c r="D3907" s="7" t="str">
        <f t="shared" si="1381"/>
        <v>公営住宅</v>
      </c>
      <c r="E3907" s="7" t="str">
        <f t="shared" si="1384"/>
        <v>大阪府枚方市村野南町</v>
      </c>
      <c r="F3907" s="7"/>
      <c r="G3907" s="7" t="str">
        <f t="shared" si="1367"/>
        <v>事業用資産</v>
      </c>
      <c r="H3907" s="7" t="str">
        <f t="shared" si="1363"/>
        <v>棚卸以外</v>
      </c>
      <c r="I3907" s="7">
        <v>14</v>
      </c>
      <c r="J3907" s="7" t="str">
        <f>"３０号棟増築"</f>
        <v>３０号棟増築</v>
      </c>
      <c r="K3907" s="7" t="str">
        <f t="shared" si="1386"/>
        <v>鉄筋コンクリート造</v>
      </c>
      <c r="L3907" s="7" t="str">
        <f>"S58.10.25"</f>
        <v>S58.10.25</v>
      </c>
      <c r="M3907" s="7">
        <v>896.04</v>
      </c>
      <c r="N3907" s="7">
        <v>119816000</v>
      </c>
      <c r="O3907" s="7">
        <v>100484120</v>
      </c>
      <c r="P3907" s="7">
        <v>0</v>
      </c>
      <c r="Q3907" s="7" t="str">
        <f t="shared" si="1374"/>
        <v>都市整備部</v>
      </c>
      <c r="R3907" s="7" t="str">
        <f t="shared" si="1368"/>
        <v>住宅建築局住宅経営室</v>
      </c>
    </row>
    <row r="3908" spans="1:18" s="1" customFormat="1" x14ac:dyDescent="0.45">
      <c r="A3908" s="7" t="str">
        <f t="shared" si="1382"/>
        <v>09940003545</v>
      </c>
      <c r="B3908" s="7" t="str">
        <f t="shared" si="1383"/>
        <v>村野</v>
      </c>
      <c r="C3908" s="7" t="str">
        <f t="shared" si="1373"/>
        <v>行政財産</v>
      </c>
      <c r="D3908" s="7" t="str">
        <f t="shared" si="1381"/>
        <v>公営住宅</v>
      </c>
      <c r="E3908" s="7" t="str">
        <f t="shared" si="1384"/>
        <v>大阪府枚方市村野南町</v>
      </c>
      <c r="F3908" s="7"/>
      <c r="G3908" s="7" t="str">
        <f t="shared" si="1367"/>
        <v>事業用資産</v>
      </c>
      <c r="H3908" s="7" t="str">
        <f t="shared" ref="H3908:H3971" si="1387">"棚卸以外"</f>
        <v>棚卸以外</v>
      </c>
      <c r="I3908" s="7">
        <v>15</v>
      </c>
      <c r="J3908" s="7" t="str">
        <f>"５号棟増築"</f>
        <v>５号棟増築</v>
      </c>
      <c r="K3908" s="7" t="str">
        <f t="shared" si="1386"/>
        <v>鉄筋コンクリート造</v>
      </c>
      <c r="L3908" s="7" t="str">
        <f>"S59.06.25"</f>
        <v>S59.06.25</v>
      </c>
      <c r="M3908" s="7">
        <v>929.92</v>
      </c>
      <c r="N3908" s="7">
        <v>144296756</v>
      </c>
      <c r="O3908" s="7">
        <v>121102548</v>
      </c>
      <c r="P3908" s="7">
        <v>0</v>
      </c>
      <c r="Q3908" s="7" t="str">
        <f t="shared" si="1374"/>
        <v>都市整備部</v>
      </c>
      <c r="R3908" s="7" t="str">
        <f t="shared" si="1368"/>
        <v>住宅建築局住宅経営室</v>
      </c>
    </row>
    <row r="3909" spans="1:18" s="1" customFormat="1" x14ac:dyDescent="0.45">
      <c r="A3909" s="7" t="str">
        <f t="shared" si="1382"/>
        <v>09940003545</v>
      </c>
      <c r="B3909" s="7" t="str">
        <f t="shared" si="1383"/>
        <v>村野</v>
      </c>
      <c r="C3909" s="7" t="str">
        <f t="shared" si="1373"/>
        <v>行政財産</v>
      </c>
      <c r="D3909" s="7" t="str">
        <f t="shared" si="1381"/>
        <v>公営住宅</v>
      </c>
      <c r="E3909" s="7" t="str">
        <f t="shared" si="1384"/>
        <v>大阪府枚方市村野南町</v>
      </c>
      <c r="F3909" s="7"/>
      <c r="G3909" s="7" t="str">
        <f t="shared" si="1367"/>
        <v>事業用資産</v>
      </c>
      <c r="H3909" s="7" t="str">
        <f t="shared" si="1387"/>
        <v>棚卸以外</v>
      </c>
      <c r="I3909" s="7">
        <v>16</v>
      </c>
      <c r="J3909" s="7" t="str">
        <f>"６号棟増築"</f>
        <v>６号棟増築</v>
      </c>
      <c r="K3909" s="7" t="str">
        <f t="shared" si="1386"/>
        <v>鉄筋コンクリート造</v>
      </c>
      <c r="L3909" s="7" t="str">
        <f>"S59.06.25"</f>
        <v>S59.06.25</v>
      </c>
      <c r="M3909" s="7">
        <v>929.92</v>
      </c>
      <c r="N3909" s="7">
        <v>143990756</v>
      </c>
      <c r="O3909" s="7">
        <v>120850053</v>
      </c>
      <c r="P3909" s="7">
        <v>0</v>
      </c>
      <c r="Q3909" s="7" t="str">
        <f t="shared" si="1374"/>
        <v>都市整備部</v>
      </c>
      <c r="R3909" s="7" t="str">
        <f t="shared" si="1368"/>
        <v>住宅建築局住宅経営室</v>
      </c>
    </row>
    <row r="3910" spans="1:18" s="1" customFormat="1" x14ac:dyDescent="0.45">
      <c r="A3910" s="7" t="str">
        <f t="shared" si="1382"/>
        <v>09940003545</v>
      </c>
      <c r="B3910" s="7" t="str">
        <f t="shared" si="1383"/>
        <v>村野</v>
      </c>
      <c r="C3910" s="7" t="str">
        <f t="shared" si="1373"/>
        <v>行政財産</v>
      </c>
      <c r="D3910" s="7" t="str">
        <f t="shared" si="1381"/>
        <v>公営住宅</v>
      </c>
      <c r="E3910" s="7" t="str">
        <f t="shared" si="1384"/>
        <v>大阪府枚方市村野南町</v>
      </c>
      <c r="F3910" s="7"/>
      <c r="G3910" s="7" t="str">
        <f t="shared" si="1367"/>
        <v>事業用資産</v>
      </c>
      <c r="H3910" s="7" t="str">
        <f t="shared" si="1387"/>
        <v>棚卸以外</v>
      </c>
      <c r="I3910" s="7">
        <v>17</v>
      </c>
      <c r="J3910" s="7" t="str">
        <f>"７号棟増築"</f>
        <v>７号棟増築</v>
      </c>
      <c r="K3910" s="7" t="str">
        <f t="shared" si="1386"/>
        <v>鉄筋コンクリート造</v>
      </c>
      <c r="L3910" s="7" t="str">
        <f>"S59.06.25"</f>
        <v>S59.06.25</v>
      </c>
      <c r="M3910" s="7">
        <v>690.22</v>
      </c>
      <c r="N3910" s="7">
        <v>104384757</v>
      </c>
      <c r="O3910" s="7">
        <v>86704823</v>
      </c>
      <c r="P3910" s="7">
        <v>0</v>
      </c>
      <c r="Q3910" s="7" t="str">
        <f t="shared" si="1374"/>
        <v>都市整備部</v>
      </c>
      <c r="R3910" s="7" t="str">
        <f t="shared" si="1368"/>
        <v>住宅建築局住宅経営室</v>
      </c>
    </row>
    <row r="3911" spans="1:18" s="1" customFormat="1" x14ac:dyDescent="0.45">
      <c r="A3911" s="7" t="str">
        <f t="shared" si="1382"/>
        <v>09940003545</v>
      </c>
      <c r="B3911" s="7" t="str">
        <f t="shared" si="1383"/>
        <v>村野</v>
      </c>
      <c r="C3911" s="7" t="str">
        <f t="shared" si="1373"/>
        <v>行政財産</v>
      </c>
      <c r="D3911" s="7" t="str">
        <f t="shared" si="1381"/>
        <v>公営住宅</v>
      </c>
      <c r="E3911" s="7" t="str">
        <f t="shared" si="1384"/>
        <v>大阪府枚方市村野南町</v>
      </c>
      <c r="F3911" s="7"/>
      <c r="G3911" s="7" t="str">
        <f t="shared" si="1367"/>
        <v>事業用資産</v>
      </c>
      <c r="H3911" s="7" t="str">
        <f t="shared" si="1387"/>
        <v>棚卸以外</v>
      </c>
      <c r="I3911" s="7">
        <v>18</v>
      </c>
      <c r="J3911" s="7" t="str">
        <f>"９号棟増築"</f>
        <v>９号棟増築</v>
      </c>
      <c r="K3911" s="7" t="str">
        <f t="shared" si="1386"/>
        <v>鉄筋コンクリート造</v>
      </c>
      <c r="L3911" s="7" t="str">
        <f>"S59.06.25"</f>
        <v>S59.06.25</v>
      </c>
      <c r="M3911" s="7">
        <v>901.04</v>
      </c>
      <c r="N3911" s="7">
        <v>124280000</v>
      </c>
      <c r="O3911" s="7">
        <v>102465075</v>
      </c>
      <c r="P3911" s="7">
        <v>0</v>
      </c>
      <c r="Q3911" s="7" t="str">
        <f t="shared" si="1374"/>
        <v>都市整備部</v>
      </c>
      <c r="R3911" s="7" t="str">
        <f t="shared" si="1368"/>
        <v>住宅建築局住宅経営室</v>
      </c>
    </row>
    <row r="3912" spans="1:18" s="1" customFormat="1" x14ac:dyDescent="0.45">
      <c r="A3912" s="7" t="str">
        <f t="shared" si="1382"/>
        <v>09940003545</v>
      </c>
      <c r="B3912" s="7" t="str">
        <f t="shared" si="1383"/>
        <v>村野</v>
      </c>
      <c r="C3912" s="7" t="str">
        <f t="shared" si="1373"/>
        <v>行政財産</v>
      </c>
      <c r="D3912" s="7" t="str">
        <f t="shared" si="1381"/>
        <v>公営住宅</v>
      </c>
      <c r="E3912" s="7" t="str">
        <f t="shared" si="1384"/>
        <v>大阪府枚方市村野南町</v>
      </c>
      <c r="F3912" s="7"/>
      <c r="G3912" s="7" t="str">
        <f t="shared" si="1367"/>
        <v>事業用資産</v>
      </c>
      <c r="H3912" s="7" t="str">
        <f t="shared" si="1387"/>
        <v>棚卸以外</v>
      </c>
      <c r="I3912" s="7">
        <v>19</v>
      </c>
      <c r="J3912" s="7" t="str">
        <f>"１８号棟増築"</f>
        <v>１８号棟増築</v>
      </c>
      <c r="K3912" s="7" t="str">
        <f t="shared" si="1386"/>
        <v>鉄筋コンクリート造</v>
      </c>
      <c r="L3912" s="7" t="str">
        <f>"S60.06.26"</f>
        <v>S60.06.26</v>
      </c>
      <c r="M3912" s="7">
        <v>381.51</v>
      </c>
      <c r="N3912" s="7">
        <v>77571000</v>
      </c>
      <c r="O3912" s="7">
        <v>62304714</v>
      </c>
      <c r="P3912" s="7">
        <v>0</v>
      </c>
      <c r="Q3912" s="7" t="str">
        <f t="shared" si="1374"/>
        <v>都市整備部</v>
      </c>
      <c r="R3912" s="7" t="str">
        <f t="shared" si="1368"/>
        <v>住宅建築局住宅経営室</v>
      </c>
    </row>
    <row r="3913" spans="1:18" s="1" customFormat="1" x14ac:dyDescent="0.45">
      <c r="A3913" s="7" t="str">
        <f t="shared" si="1382"/>
        <v>09940003545</v>
      </c>
      <c r="B3913" s="7" t="str">
        <f t="shared" si="1383"/>
        <v>村野</v>
      </c>
      <c r="C3913" s="7" t="str">
        <f t="shared" si="1373"/>
        <v>行政財産</v>
      </c>
      <c r="D3913" s="7" t="str">
        <f t="shared" si="1381"/>
        <v>公営住宅</v>
      </c>
      <c r="E3913" s="7" t="str">
        <f t="shared" si="1384"/>
        <v>大阪府枚方市村野南町</v>
      </c>
      <c r="F3913" s="7"/>
      <c r="G3913" s="7" t="str">
        <f t="shared" si="1367"/>
        <v>事業用資産</v>
      </c>
      <c r="H3913" s="7" t="str">
        <f t="shared" si="1387"/>
        <v>棚卸以外</v>
      </c>
      <c r="I3913" s="7">
        <v>20</v>
      </c>
      <c r="J3913" s="7" t="str">
        <f>"１９号棟増築"</f>
        <v>１９号棟増築</v>
      </c>
      <c r="K3913" s="7" t="str">
        <f t="shared" si="1386"/>
        <v>鉄筋コンクリート造</v>
      </c>
      <c r="L3913" s="7" t="str">
        <f>"S60.06.26"</f>
        <v>S60.06.26</v>
      </c>
      <c r="M3913" s="7">
        <v>947.24</v>
      </c>
      <c r="N3913" s="7">
        <v>125105000</v>
      </c>
      <c r="O3913" s="7">
        <v>100483554</v>
      </c>
      <c r="P3913" s="7">
        <v>0</v>
      </c>
      <c r="Q3913" s="7" t="str">
        <f t="shared" si="1374"/>
        <v>都市整備部</v>
      </c>
      <c r="R3913" s="7" t="str">
        <f t="shared" si="1368"/>
        <v>住宅建築局住宅経営室</v>
      </c>
    </row>
    <row r="3914" spans="1:18" s="1" customFormat="1" x14ac:dyDescent="0.45">
      <c r="A3914" s="7" t="str">
        <f t="shared" si="1382"/>
        <v>09940003545</v>
      </c>
      <c r="B3914" s="7" t="str">
        <f t="shared" si="1383"/>
        <v>村野</v>
      </c>
      <c r="C3914" s="7" t="str">
        <f t="shared" si="1373"/>
        <v>行政財産</v>
      </c>
      <c r="D3914" s="7" t="str">
        <f t="shared" si="1381"/>
        <v>公営住宅</v>
      </c>
      <c r="E3914" s="7" t="str">
        <f t="shared" si="1384"/>
        <v>大阪府枚方市村野南町</v>
      </c>
      <c r="F3914" s="7"/>
      <c r="G3914" s="7" t="str">
        <f t="shared" si="1367"/>
        <v>事業用資産</v>
      </c>
      <c r="H3914" s="7" t="str">
        <f t="shared" si="1387"/>
        <v>棚卸以外</v>
      </c>
      <c r="I3914" s="7">
        <v>21</v>
      </c>
      <c r="J3914" s="7" t="str">
        <f>"２０号棟増築"</f>
        <v>２０号棟増築</v>
      </c>
      <c r="K3914" s="7" t="str">
        <f t="shared" si="1386"/>
        <v>鉄筋コンクリート造</v>
      </c>
      <c r="L3914" s="7" t="str">
        <f>"S60.06.26"</f>
        <v>S60.06.26</v>
      </c>
      <c r="M3914" s="7">
        <v>254.34</v>
      </c>
      <c r="N3914" s="7">
        <v>52828000</v>
      </c>
      <c r="O3914" s="7">
        <v>42431151</v>
      </c>
      <c r="P3914" s="7">
        <v>0</v>
      </c>
      <c r="Q3914" s="7" t="str">
        <f t="shared" si="1374"/>
        <v>都市整備部</v>
      </c>
      <c r="R3914" s="7" t="str">
        <f t="shared" si="1368"/>
        <v>住宅建築局住宅経営室</v>
      </c>
    </row>
    <row r="3915" spans="1:18" s="1" customFormat="1" x14ac:dyDescent="0.45">
      <c r="A3915" s="7" t="str">
        <f t="shared" si="1382"/>
        <v>09940003545</v>
      </c>
      <c r="B3915" s="7" t="str">
        <f t="shared" si="1383"/>
        <v>村野</v>
      </c>
      <c r="C3915" s="7" t="str">
        <f t="shared" si="1373"/>
        <v>行政財産</v>
      </c>
      <c r="D3915" s="7" t="str">
        <f t="shared" si="1381"/>
        <v>公営住宅</v>
      </c>
      <c r="E3915" s="7" t="str">
        <f t="shared" si="1384"/>
        <v>大阪府枚方市村野南町</v>
      </c>
      <c r="F3915" s="7"/>
      <c r="G3915" s="7" t="str">
        <f t="shared" si="1367"/>
        <v>事業用資産</v>
      </c>
      <c r="H3915" s="7" t="str">
        <f t="shared" si="1387"/>
        <v>棚卸以外</v>
      </c>
      <c r="I3915" s="7">
        <v>22</v>
      </c>
      <c r="J3915" s="7" t="str">
        <f>"２１号棟増築"</f>
        <v>２１号棟増築</v>
      </c>
      <c r="K3915" s="7" t="str">
        <f t="shared" si="1386"/>
        <v>鉄筋コンクリート造</v>
      </c>
      <c r="L3915" s="7" t="str">
        <f>"S60.06.26"</f>
        <v>S60.06.26</v>
      </c>
      <c r="M3915" s="7">
        <v>727.96</v>
      </c>
      <c r="N3915" s="7">
        <v>113543000</v>
      </c>
      <c r="O3915" s="7">
        <v>91197054</v>
      </c>
      <c r="P3915" s="7">
        <v>0</v>
      </c>
      <c r="Q3915" s="7" t="str">
        <f t="shared" si="1374"/>
        <v>都市整備部</v>
      </c>
      <c r="R3915" s="7" t="str">
        <f t="shared" si="1368"/>
        <v>住宅建築局住宅経営室</v>
      </c>
    </row>
    <row r="3916" spans="1:18" s="1" customFormat="1" x14ac:dyDescent="0.45">
      <c r="A3916" s="7" t="str">
        <f t="shared" si="1382"/>
        <v>09940003545</v>
      </c>
      <c r="B3916" s="7" t="str">
        <f t="shared" si="1383"/>
        <v>村野</v>
      </c>
      <c r="C3916" s="7" t="str">
        <f t="shared" si="1373"/>
        <v>行政財産</v>
      </c>
      <c r="D3916" s="7" t="str">
        <f t="shared" si="1381"/>
        <v>公営住宅</v>
      </c>
      <c r="E3916" s="7" t="str">
        <f t="shared" si="1384"/>
        <v>大阪府枚方市村野南町</v>
      </c>
      <c r="F3916" s="7"/>
      <c r="G3916" s="7" t="str">
        <f t="shared" si="1367"/>
        <v>事業用資産</v>
      </c>
      <c r="H3916" s="7" t="str">
        <f t="shared" si="1387"/>
        <v>棚卸以外</v>
      </c>
      <c r="I3916" s="7">
        <v>23</v>
      </c>
      <c r="J3916" s="7" t="str">
        <f>"２３号棟増築"</f>
        <v>２３号棟増築</v>
      </c>
      <c r="K3916" s="7" t="str">
        <f t="shared" si="1386"/>
        <v>鉄筋コンクリート造</v>
      </c>
      <c r="L3916" s="7" t="str">
        <f>"S59.11.26"</f>
        <v>S59.11.26</v>
      </c>
      <c r="M3916" s="7">
        <v>363.6</v>
      </c>
      <c r="N3916" s="7">
        <v>74721000</v>
      </c>
      <c r="O3916" s="7">
        <v>60943100</v>
      </c>
      <c r="P3916" s="7">
        <v>0</v>
      </c>
      <c r="Q3916" s="7" t="str">
        <f t="shared" si="1374"/>
        <v>都市整備部</v>
      </c>
      <c r="R3916" s="7" t="str">
        <f t="shared" si="1368"/>
        <v>住宅建築局住宅経営室</v>
      </c>
    </row>
    <row r="3917" spans="1:18" s="1" customFormat="1" x14ac:dyDescent="0.45">
      <c r="A3917" s="7" t="str">
        <f t="shared" si="1382"/>
        <v>09940003545</v>
      </c>
      <c r="B3917" s="7" t="str">
        <f t="shared" si="1383"/>
        <v>村野</v>
      </c>
      <c r="C3917" s="7" t="str">
        <f t="shared" si="1373"/>
        <v>行政財産</v>
      </c>
      <c r="D3917" s="7" t="str">
        <f t="shared" si="1381"/>
        <v>公営住宅</v>
      </c>
      <c r="E3917" s="7" t="str">
        <f t="shared" si="1384"/>
        <v>大阪府枚方市村野南町</v>
      </c>
      <c r="F3917" s="7"/>
      <c r="G3917" s="7" t="str">
        <f t="shared" si="1367"/>
        <v>事業用資産</v>
      </c>
      <c r="H3917" s="7" t="str">
        <f t="shared" si="1387"/>
        <v>棚卸以外</v>
      </c>
      <c r="I3917" s="7">
        <v>24</v>
      </c>
      <c r="J3917" s="7" t="str">
        <f>"２４号棟増築"</f>
        <v>２４号棟増築</v>
      </c>
      <c r="K3917" s="7" t="str">
        <f t="shared" si="1386"/>
        <v>鉄筋コンクリート造</v>
      </c>
      <c r="L3917" s="7" t="str">
        <f>"S59.11.26"</f>
        <v>S59.11.26</v>
      </c>
      <c r="M3917" s="7">
        <v>680.58</v>
      </c>
      <c r="N3917" s="7">
        <v>97647000</v>
      </c>
      <c r="O3917" s="7">
        <v>79641180</v>
      </c>
      <c r="P3917" s="7">
        <v>0</v>
      </c>
      <c r="Q3917" s="7" t="str">
        <f t="shared" si="1374"/>
        <v>都市整備部</v>
      </c>
      <c r="R3917" s="7" t="str">
        <f t="shared" si="1368"/>
        <v>住宅建築局住宅経営室</v>
      </c>
    </row>
    <row r="3918" spans="1:18" s="1" customFormat="1" x14ac:dyDescent="0.45">
      <c r="A3918" s="7" t="str">
        <f t="shared" si="1382"/>
        <v>09940003545</v>
      </c>
      <c r="B3918" s="7" t="str">
        <f t="shared" si="1383"/>
        <v>村野</v>
      </c>
      <c r="C3918" s="7" t="str">
        <f t="shared" si="1373"/>
        <v>行政財産</v>
      </c>
      <c r="D3918" s="7" t="str">
        <f t="shared" si="1381"/>
        <v>公営住宅</v>
      </c>
      <c r="E3918" s="7" t="str">
        <f t="shared" si="1384"/>
        <v>大阪府枚方市村野南町</v>
      </c>
      <c r="F3918" s="7"/>
      <c r="G3918" s="7" t="str">
        <f t="shared" si="1367"/>
        <v>事業用資産</v>
      </c>
      <c r="H3918" s="7" t="str">
        <f t="shared" si="1387"/>
        <v>棚卸以外</v>
      </c>
      <c r="I3918" s="7">
        <v>25</v>
      </c>
      <c r="J3918" s="7" t="str">
        <f>"２５号棟増築"</f>
        <v>２５号棟増築</v>
      </c>
      <c r="K3918" s="7" t="str">
        <f t="shared" si="1386"/>
        <v>鉄筋コンクリート造</v>
      </c>
      <c r="L3918" s="7" t="str">
        <f>"S59.11.26"</f>
        <v>S59.11.26</v>
      </c>
      <c r="M3918" s="7">
        <v>446.46</v>
      </c>
      <c r="N3918" s="7">
        <v>80289000</v>
      </c>
      <c r="O3918" s="7">
        <v>65484220</v>
      </c>
      <c r="P3918" s="7">
        <v>0</v>
      </c>
      <c r="Q3918" s="7" t="str">
        <f t="shared" si="1374"/>
        <v>都市整備部</v>
      </c>
      <c r="R3918" s="7" t="str">
        <f t="shared" si="1368"/>
        <v>住宅建築局住宅経営室</v>
      </c>
    </row>
    <row r="3919" spans="1:18" s="1" customFormat="1" x14ac:dyDescent="0.45">
      <c r="A3919" s="7" t="str">
        <f t="shared" si="1382"/>
        <v>09940003545</v>
      </c>
      <c r="B3919" s="7" t="str">
        <f t="shared" si="1383"/>
        <v>村野</v>
      </c>
      <c r="C3919" s="7" t="str">
        <f t="shared" si="1373"/>
        <v>行政財産</v>
      </c>
      <c r="D3919" s="7" t="str">
        <f t="shared" si="1381"/>
        <v>公営住宅</v>
      </c>
      <c r="E3919" s="7" t="str">
        <f t="shared" si="1384"/>
        <v>大阪府枚方市村野南町</v>
      </c>
      <c r="F3919" s="7"/>
      <c r="G3919" s="7" t="str">
        <f t="shared" si="1367"/>
        <v>事業用資産</v>
      </c>
      <c r="H3919" s="7" t="str">
        <f t="shared" si="1387"/>
        <v>棚卸以外</v>
      </c>
      <c r="I3919" s="7">
        <v>26</v>
      </c>
      <c r="J3919" s="7" t="str">
        <f>"３号棟増築"</f>
        <v>３号棟増築</v>
      </c>
      <c r="K3919" s="7" t="str">
        <f t="shared" si="1386"/>
        <v>鉄筋コンクリート造</v>
      </c>
      <c r="L3919" s="7" t="str">
        <f>"S60.07.26"</f>
        <v>S60.07.26</v>
      </c>
      <c r="M3919" s="7">
        <v>473.76</v>
      </c>
      <c r="N3919" s="7">
        <v>89503000</v>
      </c>
      <c r="O3919" s="7">
        <v>71729688</v>
      </c>
      <c r="P3919" s="7">
        <v>0</v>
      </c>
      <c r="Q3919" s="7" t="str">
        <f t="shared" si="1374"/>
        <v>都市整備部</v>
      </c>
      <c r="R3919" s="7" t="str">
        <f t="shared" si="1368"/>
        <v>住宅建築局住宅経営室</v>
      </c>
    </row>
    <row r="3920" spans="1:18" s="1" customFormat="1" x14ac:dyDescent="0.45">
      <c r="A3920" s="7" t="str">
        <f t="shared" si="1382"/>
        <v>09940003545</v>
      </c>
      <c r="B3920" s="7" t="str">
        <f t="shared" si="1383"/>
        <v>村野</v>
      </c>
      <c r="C3920" s="7" t="str">
        <f t="shared" si="1373"/>
        <v>行政財産</v>
      </c>
      <c r="D3920" s="7" t="str">
        <f t="shared" si="1381"/>
        <v>公営住宅</v>
      </c>
      <c r="E3920" s="7" t="str">
        <f t="shared" si="1384"/>
        <v>大阪府枚方市村野南町</v>
      </c>
      <c r="F3920" s="7"/>
      <c r="G3920" s="7" t="str">
        <f t="shared" si="1367"/>
        <v>事業用資産</v>
      </c>
      <c r="H3920" s="7" t="str">
        <f t="shared" si="1387"/>
        <v>棚卸以外</v>
      </c>
      <c r="I3920" s="7">
        <v>27</v>
      </c>
      <c r="J3920" s="7" t="str">
        <f>"１３号棟増築"</f>
        <v>１３号棟増築</v>
      </c>
      <c r="K3920" s="7" t="str">
        <f t="shared" si="1386"/>
        <v>鉄筋コンクリート造</v>
      </c>
      <c r="L3920" s="7" t="str">
        <f>"S60.07.26"</f>
        <v>S60.07.26</v>
      </c>
      <c r="M3920" s="7">
        <v>480.93</v>
      </c>
      <c r="N3920" s="7">
        <v>77540000</v>
      </c>
      <c r="O3920" s="7">
        <v>62142316</v>
      </c>
      <c r="P3920" s="7">
        <v>0</v>
      </c>
      <c r="Q3920" s="7" t="str">
        <f t="shared" si="1374"/>
        <v>都市整備部</v>
      </c>
      <c r="R3920" s="7" t="str">
        <f t="shared" si="1368"/>
        <v>住宅建築局住宅経営室</v>
      </c>
    </row>
    <row r="3921" spans="1:18" s="1" customFormat="1" x14ac:dyDescent="0.45">
      <c r="A3921" s="7" t="str">
        <f t="shared" si="1382"/>
        <v>09940003545</v>
      </c>
      <c r="B3921" s="7" t="str">
        <f t="shared" si="1383"/>
        <v>村野</v>
      </c>
      <c r="C3921" s="7" t="str">
        <f t="shared" si="1373"/>
        <v>行政財産</v>
      </c>
      <c r="D3921" s="7" t="str">
        <f t="shared" si="1381"/>
        <v>公営住宅</v>
      </c>
      <c r="E3921" s="7" t="str">
        <f t="shared" si="1384"/>
        <v>大阪府枚方市村野南町</v>
      </c>
      <c r="F3921" s="7"/>
      <c r="G3921" s="7" t="str">
        <f t="shared" si="1367"/>
        <v>事業用資産</v>
      </c>
      <c r="H3921" s="7" t="str">
        <f t="shared" si="1387"/>
        <v>棚卸以外</v>
      </c>
      <c r="I3921" s="7">
        <v>28</v>
      </c>
      <c r="J3921" s="7" t="str">
        <f>"１４号棟増築"</f>
        <v>１４号棟増築</v>
      </c>
      <c r="K3921" s="7" t="str">
        <f t="shared" si="1386"/>
        <v>鉄筋コンクリート造</v>
      </c>
      <c r="L3921" s="7" t="str">
        <f>"S60.07.26"</f>
        <v>S60.07.26</v>
      </c>
      <c r="M3921" s="7">
        <v>389.94</v>
      </c>
      <c r="N3921" s="7">
        <v>68768000</v>
      </c>
      <c r="O3921" s="7">
        <v>55112360</v>
      </c>
      <c r="P3921" s="7">
        <v>0</v>
      </c>
      <c r="Q3921" s="7" t="str">
        <f t="shared" si="1374"/>
        <v>都市整備部</v>
      </c>
      <c r="R3921" s="7" t="str">
        <f t="shared" si="1368"/>
        <v>住宅建築局住宅経営室</v>
      </c>
    </row>
    <row r="3922" spans="1:18" s="1" customFormat="1" x14ac:dyDescent="0.45">
      <c r="A3922" s="7" t="str">
        <f t="shared" si="1382"/>
        <v>09940003545</v>
      </c>
      <c r="B3922" s="7" t="str">
        <f t="shared" si="1383"/>
        <v>村野</v>
      </c>
      <c r="C3922" s="7" t="str">
        <f t="shared" si="1373"/>
        <v>行政財産</v>
      </c>
      <c r="D3922" s="7" t="str">
        <f t="shared" si="1381"/>
        <v>公営住宅</v>
      </c>
      <c r="E3922" s="7" t="str">
        <f t="shared" si="1384"/>
        <v>大阪府枚方市村野南町</v>
      </c>
      <c r="F3922" s="7"/>
      <c r="G3922" s="7" t="str">
        <f t="shared" si="1367"/>
        <v>事業用資産</v>
      </c>
      <c r="H3922" s="7" t="str">
        <f t="shared" si="1387"/>
        <v>棚卸以外</v>
      </c>
      <c r="I3922" s="7">
        <v>29</v>
      </c>
      <c r="J3922" s="7" t="str">
        <f>"１５号棟増築"</f>
        <v>１５号棟増築</v>
      </c>
      <c r="K3922" s="7" t="str">
        <f t="shared" si="1386"/>
        <v>鉄筋コンクリート造</v>
      </c>
      <c r="L3922" s="7" t="str">
        <f>"S60.07.26"</f>
        <v>S60.07.26</v>
      </c>
      <c r="M3922" s="7">
        <v>389.94</v>
      </c>
      <c r="N3922" s="7">
        <v>69433000</v>
      </c>
      <c r="O3922" s="7">
        <v>55645268</v>
      </c>
      <c r="P3922" s="7">
        <v>0</v>
      </c>
      <c r="Q3922" s="7" t="str">
        <f t="shared" si="1374"/>
        <v>都市整備部</v>
      </c>
      <c r="R3922" s="7" t="str">
        <f t="shared" si="1368"/>
        <v>住宅建築局住宅経営室</v>
      </c>
    </row>
    <row r="3923" spans="1:18" s="1" customFormat="1" x14ac:dyDescent="0.45">
      <c r="A3923" s="7" t="str">
        <f t="shared" si="1382"/>
        <v>09940003545</v>
      </c>
      <c r="B3923" s="7" t="str">
        <f t="shared" si="1383"/>
        <v>村野</v>
      </c>
      <c r="C3923" s="7" t="str">
        <f t="shared" si="1373"/>
        <v>行政財産</v>
      </c>
      <c r="D3923" s="7" t="str">
        <f t="shared" si="1381"/>
        <v>公営住宅</v>
      </c>
      <c r="E3923" s="7" t="str">
        <f t="shared" si="1384"/>
        <v>大阪府枚方市村野南町</v>
      </c>
      <c r="F3923" s="7"/>
      <c r="G3923" s="7" t="str">
        <f t="shared" si="1367"/>
        <v>事業用資産</v>
      </c>
      <c r="H3923" s="7" t="str">
        <f t="shared" si="1387"/>
        <v>棚卸以外</v>
      </c>
      <c r="I3923" s="7">
        <v>30</v>
      </c>
      <c r="J3923" s="7" t="str">
        <f>"８号棟増築"</f>
        <v>８号棟増築</v>
      </c>
      <c r="K3923" s="7" t="str">
        <f t="shared" si="1386"/>
        <v>鉄筋コンクリート造</v>
      </c>
      <c r="L3923" s="7" t="str">
        <f>"S60.11.25"</f>
        <v>S60.11.25</v>
      </c>
      <c r="M3923" s="7">
        <v>595.28</v>
      </c>
      <c r="N3923" s="7">
        <v>103711000</v>
      </c>
      <c r="O3923" s="7">
        <v>82380480</v>
      </c>
      <c r="P3923" s="7">
        <v>0</v>
      </c>
      <c r="Q3923" s="7" t="str">
        <f t="shared" si="1374"/>
        <v>都市整備部</v>
      </c>
      <c r="R3923" s="7" t="str">
        <f t="shared" si="1368"/>
        <v>住宅建築局住宅経営室</v>
      </c>
    </row>
    <row r="3924" spans="1:18" s="1" customFormat="1" x14ac:dyDescent="0.45">
      <c r="A3924" s="7" t="str">
        <f t="shared" si="1382"/>
        <v>09940003545</v>
      </c>
      <c r="B3924" s="7" t="str">
        <f t="shared" si="1383"/>
        <v>村野</v>
      </c>
      <c r="C3924" s="7" t="str">
        <f t="shared" si="1373"/>
        <v>行政財産</v>
      </c>
      <c r="D3924" s="7" t="str">
        <f t="shared" si="1381"/>
        <v>公営住宅</v>
      </c>
      <c r="E3924" s="7" t="str">
        <f t="shared" si="1384"/>
        <v>大阪府枚方市村野南町</v>
      </c>
      <c r="F3924" s="7"/>
      <c r="G3924" s="7" t="str">
        <f t="shared" si="1367"/>
        <v>事業用資産</v>
      </c>
      <c r="H3924" s="7" t="str">
        <f t="shared" si="1387"/>
        <v>棚卸以外</v>
      </c>
      <c r="I3924" s="7">
        <v>31</v>
      </c>
      <c r="J3924" s="7" t="str">
        <f>"２７号棟増築"</f>
        <v>２７号棟増築</v>
      </c>
      <c r="K3924" s="7" t="str">
        <f t="shared" si="1386"/>
        <v>鉄筋コンクリート造</v>
      </c>
      <c r="L3924" s="7" t="str">
        <f>"S60.11.25"</f>
        <v>S60.11.25</v>
      </c>
      <c r="M3924" s="7">
        <v>452.79</v>
      </c>
      <c r="N3924" s="7">
        <v>78342000</v>
      </c>
      <c r="O3924" s="7">
        <v>62229440</v>
      </c>
      <c r="P3924" s="7">
        <v>0</v>
      </c>
      <c r="Q3924" s="7" t="str">
        <f t="shared" si="1374"/>
        <v>都市整備部</v>
      </c>
      <c r="R3924" s="7" t="str">
        <f t="shared" si="1368"/>
        <v>住宅建築局住宅経営室</v>
      </c>
    </row>
    <row r="3925" spans="1:18" s="1" customFormat="1" x14ac:dyDescent="0.45">
      <c r="A3925" s="7" t="str">
        <f t="shared" si="1382"/>
        <v>09940003545</v>
      </c>
      <c r="B3925" s="7" t="str">
        <f t="shared" si="1383"/>
        <v>村野</v>
      </c>
      <c r="C3925" s="7" t="str">
        <f t="shared" si="1373"/>
        <v>行政財産</v>
      </c>
      <c r="D3925" s="7" t="str">
        <f t="shared" si="1381"/>
        <v>公営住宅</v>
      </c>
      <c r="E3925" s="7" t="str">
        <f t="shared" si="1384"/>
        <v>大阪府枚方市村野南町</v>
      </c>
      <c r="F3925" s="7"/>
      <c r="G3925" s="7" t="str">
        <f t="shared" si="1367"/>
        <v>事業用資産</v>
      </c>
      <c r="H3925" s="7" t="str">
        <f t="shared" si="1387"/>
        <v>棚卸以外</v>
      </c>
      <c r="I3925" s="7">
        <v>32</v>
      </c>
      <c r="J3925" s="7" t="str">
        <f>"２８号棟増築"</f>
        <v>２８号棟増築</v>
      </c>
      <c r="K3925" s="7" t="str">
        <f t="shared" si="1386"/>
        <v>鉄筋コンクリート造</v>
      </c>
      <c r="L3925" s="7" t="str">
        <f>"S60.11.25"</f>
        <v>S60.11.25</v>
      </c>
      <c r="M3925" s="7">
        <v>362.25</v>
      </c>
      <c r="N3925" s="7">
        <v>69696000</v>
      </c>
      <c r="O3925" s="7">
        <v>55361600</v>
      </c>
      <c r="P3925" s="7">
        <v>0</v>
      </c>
      <c r="Q3925" s="7" t="str">
        <f t="shared" si="1374"/>
        <v>都市整備部</v>
      </c>
      <c r="R3925" s="7" t="str">
        <f t="shared" si="1368"/>
        <v>住宅建築局住宅経営室</v>
      </c>
    </row>
    <row r="3926" spans="1:18" s="1" customFormat="1" x14ac:dyDescent="0.45">
      <c r="A3926" s="7" t="str">
        <f t="shared" si="1382"/>
        <v>09940003545</v>
      </c>
      <c r="B3926" s="7" t="str">
        <f t="shared" si="1383"/>
        <v>村野</v>
      </c>
      <c r="C3926" s="7" t="str">
        <f t="shared" si="1373"/>
        <v>行政財産</v>
      </c>
      <c r="D3926" s="7" t="str">
        <f t="shared" si="1381"/>
        <v>公営住宅</v>
      </c>
      <c r="E3926" s="7" t="str">
        <f t="shared" si="1384"/>
        <v>大阪府枚方市村野南町</v>
      </c>
      <c r="F3926" s="7"/>
      <c r="G3926" s="7" t="str">
        <f t="shared" si="1367"/>
        <v>事業用資産</v>
      </c>
      <c r="H3926" s="7" t="str">
        <f t="shared" si="1387"/>
        <v>棚卸以外</v>
      </c>
      <c r="I3926" s="7">
        <v>33</v>
      </c>
      <c r="J3926" s="7" t="str">
        <f>"集会所"</f>
        <v>集会所</v>
      </c>
      <c r="K3926" s="7" t="str">
        <f t="shared" si="1386"/>
        <v>鉄筋コンクリート造</v>
      </c>
      <c r="L3926" s="7" t="str">
        <f>"S60.07.23"</f>
        <v>S60.07.23</v>
      </c>
      <c r="M3926" s="7">
        <v>168.5</v>
      </c>
      <c r="N3926" s="7">
        <v>40166683</v>
      </c>
      <c r="O3926" s="7">
        <v>26403572</v>
      </c>
      <c r="P3926" s="7">
        <v>0</v>
      </c>
      <c r="Q3926" s="7" t="str">
        <f t="shared" si="1374"/>
        <v>都市整備部</v>
      </c>
      <c r="R3926" s="7" t="str">
        <f t="shared" si="1368"/>
        <v>住宅建築局住宅経営室</v>
      </c>
    </row>
    <row r="3927" spans="1:18" s="1" customFormat="1" x14ac:dyDescent="0.45">
      <c r="A3927" s="7" t="str">
        <f t="shared" si="1382"/>
        <v>09940003545</v>
      </c>
      <c r="B3927" s="7" t="str">
        <f t="shared" si="1383"/>
        <v>村野</v>
      </c>
      <c r="C3927" s="7" t="str">
        <f t="shared" si="1373"/>
        <v>行政財産</v>
      </c>
      <c r="D3927" s="7" t="str">
        <f t="shared" si="1381"/>
        <v>公営住宅</v>
      </c>
      <c r="E3927" s="7" t="str">
        <f t="shared" si="1384"/>
        <v>大阪府枚方市村野南町</v>
      </c>
      <c r="F3927" s="7"/>
      <c r="G3927" s="7" t="str">
        <f t="shared" ref="G3927:G3990" si="1388">"事業用資産"</f>
        <v>事業用資産</v>
      </c>
      <c r="H3927" s="7" t="str">
        <f t="shared" si="1387"/>
        <v>棚卸以外</v>
      </c>
      <c r="I3927" s="7">
        <v>34</v>
      </c>
      <c r="J3927" s="7" t="str">
        <f>"集会所"</f>
        <v>集会所</v>
      </c>
      <c r="K3927" s="7" t="str">
        <f t="shared" si="1386"/>
        <v>鉄筋コンクリート造</v>
      </c>
      <c r="L3927" s="7" t="str">
        <f>"S44.05.28"</f>
        <v>S44.05.28</v>
      </c>
      <c r="M3927" s="7">
        <v>93.16</v>
      </c>
      <c r="N3927" s="7">
        <v>4152455</v>
      </c>
      <c r="O3927" s="7">
        <v>4152454</v>
      </c>
      <c r="P3927" s="7">
        <v>0</v>
      </c>
      <c r="Q3927" s="7" t="str">
        <f t="shared" si="1374"/>
        <v>都市整備部</v>
      </c>
      <c r="R3927" s="7" t="str">
        <f t="shared" si="1368"/>
        <v>住宅建築局住宅経営室</v>
      </c>
    </row>
    <row r="3928" spans="1:18" s="1" customFormat="1" x14ac:dyDescent="0.45">
      <c r="A3928" s="7" t="str">
        <f t="shared" ref="A3928:A3939" si="1389">"09940003546"</f>
        <v>09940003546</v>
      </c>
      <c r="B3928" s="7" t="str">
        <f t="shared" ref="B3928:B3939" si="1390">"泉大津東助松"</f>
        <v>泉大津東助松</v>
      </c>
      <c r="C3928" s="7" t="str">
        <f t="shared" si="1373"/>
        <v>行政財産</v>
      </c>
      <c r="D3928" s="7" t="str">
        <f t="shared" si="1381"/>
        <v>公営住宅</v>
      </c>
      <c r="E3928" s="7" t="str">
        <f t="shared" ref="E3928:E3939" si="1391">"大阪府泉大津市東助松町３丁目"</f>
        <v>大阪府泉大津市東助松町３丁目</v>
      </c>
      <c r="F3928" s="7"/>
      <c r="G3928" s="7" t="str">
        <f t="shared" si="1388"/>
        <v>事業用資産</v>
      </c>
      <c r="H3928" s="7" t="str">
        <f t="shared" si="1387"/>
        <v>棚卸以外</v>
      </c>
      <c r="I3928" s="7">
        <v>1</v>
      </c>
      <c r="J3928" s="7" t="str">
        <f>"１号棟"</f>
        <v>１号棟</v>
      </c>
      <c r="K3928" s="7" t="str">
        <f t="shared" si="1386"/>
        <v>鉄筋コンクリート造</v>
      </c>
      <c r="L3928" s="7" t="str">
        <f t="shared" ref="L3928:L3934" si="1392">"H02.04.25"</f>
        <v>H02.04.25</v>
      </c>
      <c r="M3928" s="7">
        <v>1650.16</v>
      </c>
      <c r="N3928" s="7">
        <v>197829000</v>
      </c>
      <c r="O3928" s="7">
        <v>138550595</v>
      </c>
      <c r="P3928" s="7">
        <v>0</v>
      </c>
      <c r="Q3928" s="7" t="str">
        <f t="shared" si="1374"/>
        <v>都市整備部</v>
      </c>
      <c r="R3928" s="7" t="str">
        <f t="shared" ref="R3928:R3991" si="1393">"住宅建築局住宅経営室"</f>
        <v>住宅建築局住宅経営室</v>
      </c>
    </row>
    <row r="3929" spans="1:18" s="1" customFormat="1" x14ac:dyDescent="0.45">
      <c r="A3929" s="7" t="str">
        <f t="shared" si="1389"/>
        <v>09940003546</v>
      </c>
      <c r="B3929" s="7" t="str">
        <f t="shared" si="1390"/>
        <v>泉大津東助松</v>
      </c>
      <c r="C3929" s="7" t="str">
        <f t="shared" si="1373"/>
        <v>行政財産</v>
      </c>
      <c r="D3929" s="7" t="str">
        <f t="shared" si="1381"/>
        <v>公営住宅</v>
      </c>
      <c r="E3929" s="7" t="str">
        <f t="shared" si="1391"/>
        <v>大阪府泉大津市東助松町３丁目</v>
      </c>
      <c r="F3929" s="7"/>
      <c r="G3929" s="7" t="str">
        <f t="shared" si="1388"/>
        <v>事業用資産</v>
      </c>
      <c r="H3929" s="7" t="str">
        <f t="shared" si="1387"/>
        <v>棚卸以外</v>
      </c>
      <c r="I3929" s="7">
        <v>2</v>
      </c>
      <c r="J3929" s="7" t="str">
        <f>"２号棟"</f>
        <v>２号棟</v>
      </c>
      <c r="K3929" s="7" t="str">
        <f t="shared" si="1386"/>
        <v>鉄筋コンクリート造</v>
      </c>
      <c r="L3929" s="7" t="str">
        <f t="shared" si="1392"/>
        <v>H02.04.25</v>
      </c>
      <c r="M3929" s="7">
        <v>1100.1099999999999</v>
      </c>
      <c r="N3929" s="7">
        <v>128802000</v>
      </c>
      <c r="O3929" s="7">
        <v>90207335</v>
      </c>
      <c r="P3929" s="7">
        <v>0</v>
      </c>
      <c r="Q3929" s="7" t="str">
        <f t="shared" si="1374"/>
        <v>都市整備部</v>
      </c>
      <c r="R3929" s="7" t="str">
        <f t="shared" si="1393"/>
        <v>住宅建築局住宅経営室</v>
      </c>
    </row>
    <row r="3930" spans="1:18" s="1" customFormat="1" x14ac:dyDescent="0.45">
      <c r="A3930" s="7" t="str">
        <f t="shared" si="1389"/>
        <v>09940003546</v>
      </c>
      <c r="B3930" s="7" t="str">
        <f t="shared" si="1390"/>
        <v>泉大津東助松</v>
      </c>
      <c r="C3930" s="7" t="str">
        <f t="shared" ref="C3930:C3993" si="1394">"行政財産"</f>
        <v>行政財産</v>
      </c>
      <c r="D3930" s="7" t="str">
        <f t="shared" si="1381"/>
        <v>公営住宅</v>
      </c>
      <c r="E3930" s="7" t="str">
        <f t="shared" si="1391"/>
        <v>大阪府泉大津市東助松町３丁目</v>
      </c>
      <c r="F3930" s="7"/>
      <c r="G3930" s="7" t="str">
        <f t="shared" si="1388"/>
        <v>事業用資産</v>
      </c>
      <c r="H3930" s="7" t="str">
        <f t="shared" si="1387"/>
        <v>棚卸以外</v>
      </c>
      <c r="I3930" s="7">
        <v>3</v>
      </c>
      <c r="J3930" s="7" t="str">
        <f>"３号棟"</f>
        <v>３号棟</v>
      </c>
      <c r="K3930" s="7" t="str">
        <f t="shared" si="1386"/>
        <v>鉄筋コンクリート造</v>
      </c>
      <c r="L3930" s="7" t="str">
        <f t="shared" si="1392"/>
        <v>H02.04.25</v>
      </c>
      <c r="M3930" s="7">
        <v>1100.1099999999999</v>
      </c>
      <c r="N3930" s="7">
        <v>129080193</v>
      </c>
      <c r="O3930" s="7">
        <v>90217210</v>
      </c>
      <c r="P3930" s="7">
        <v>0</v>
      </c>
      <c r="Q3930" s="7" t="str">
        <f t="shared" si="1374"/>
        <v>都市整備部</v>
      </c>
      <c r="R3930" s="7" t="str">
        <f t="shared" si="1393"/>
        <v>住宅建築局住宅経営室</v>
      </c>
    </row>
    <row r="3931" spans="1:18" s="1" customFormat="1" x14ac:dyDescent="0.45">
      <c r="A3931" s="7" t="str">
        <f t="shared" si="1389"/>
        <v>09940003546</v>
      </c>
      <c r="B3931" s="7" t="str">
        <f t="shared" si="1390"/>
        <v>泉大津東助松</v>
      </c>
      <c r="C3931" s="7" t="str">
        <f t="shared" si="1394"/>
        <v>行政財産</v>
      </c>
      <c r="D3931" s="7" t="str">
        <f t="shared" si="1381"/>
        <v>公営住宅</v>
      </c>
      <c r="E3931" s="7" t="str">
        <f t="shared" si="1391"/>
        <v>大阪府泉大津市東助松町３丁目</v>
      </c>
      <c r="F3931" s="7"/>
      <c r="G3931" s="7" t="str">
        <f t="shared" si="1388"/>
        <v>事業用資産</v>
      </c>
      <c r="H3931" s="7" t="str">
        <f t="shared" si="1387"/>
        <v>棚卸以外</v>
      </c>
      <c r="I3931" s="7">
        <v>4</v>
      </c>
      <c r="J3931" s="7" t="str">
        <f>"４号棟"</f>
        <v>４号棟</v>
      </c>
      <c r="K3931" s="7" t="str">
        <f t="shared" si="1386"/>
        <v>鉄筋コンクリート造</v>
      </c>
      <c r="L3931" s="7" t="str">
        <f t="shared" si="1392"/>
        <v>H02.04.25</v>
      </c>
      <c r="M3931" s="7">
        <v>2150.2199999999998</v>
      </c>
      <c r="N3931" s="7">
        <v>255326000</v>
      </c>
      <c r="O3931" s="7">
        <v>178818870</v>
      </c>
      <c r="P3931" s="7">
        <v>0</v>
      </c>
      <c r="Q3931" s="7" t="str">
        <f t="shared" ref="Q3931:Q3994" si="1395">"都市整備部"</f>
        <v>都市整備部</v>
      </c>
      <c r="R3931" s="7" t="str">
        <f t="shared" si="1393"/>
        <v>住宅建築局住宅経営室</v>
      </c>
    </row>
    <row r="3932" spans="1:18" s="1" customFormat="1" x14ac:dyDescent="0.45">
      <c r="A3932" s="7" t="str">
        <f t="shared" si="1389"/>
        <v>09940003546</v>
      </c>
      <c r="B3932" s="7" t="str">
        <f t="shared" si="1390"/>
        <v>泉大津東助松</v>
      </c>
      <c r="C3932" s="7" t="str">
        <f t="shared" si="1394"/>
        <v>行政財産</v>
      </c>
      <c r="D3932" s="7" t="str">
        <f t="shared" si="1381"/>
        <v>公営住宅</v>
      </c>
      <c r="E3932" s="7" t="str">
        <f t="shared" si="1391"/>
        <v>大阪府泉大津市東助松町３丁目</v>
      </c>
      <c r="F3932" s="7"/>
      <c r="G3932" s="7" t="str">
        <f t="shared" si="1388"/>
        <v>事業用資産</v>
      </c>
      <c r="H3932" s="7" t="str">
        <f t="shared" si="1387"/>
        <v>棚卸以外</v>
      </c>
      <c r="I3932" s="7">
        <v>5</v>
      </c>
      <c r="J3932" s="7" t="str">
        <f>"集会所"</f>
        <v>集会所</v>
      </c>
      <c r="K3932" s="7" t="str">
        <f t="shared" si="1386"/>
        <v>鉄筋コンクリート造</v>
      </c>
      <c r="L3932" s="7" t="str">
        <f t="shared" si="1392"/>
        <v>H02.04.25</v>
      </c>
      <c r="M3932" s="7">
        <v>102.67</v>
      </c>
      <c r="N3932" s="7">
        <v>24429000</v>
      </c>
      <c r="O3932" s="7">
        <v>17109030</v>
      </c>
      <c r="P3932" s="7">
        <v>0</v>
      </c>
      <c r="Q3932" s="7" t="str">
        <f t="shared" si="1395"/>
        <v>都市整備部</v>
      </c>
      <c r="R3932" s="7" t="str">
        <f t="shared" si="1393"/>
        <v>住宅建築局住宅経営室</v>
      </c>
    </row>
    <row r="3933" spans="1:18" s="1" customFormat="1" x14ac:dyDescent="0.45">
      <c r="A3933" s="7" t="str">
        <f t="shared" si="1389"/>
        <v>09940003546</v>
      </c>
      <c r="B3933" s="7" t="str">
        <f t="shared" si="1390"/>
        <v>泉大津東助松</v>
      </c>
      <c r="C3933" s="7" t="str">
        <f t="shared" si="1394"/>
        <v>行政財産</v>
      </c>
      <c r="D3933" s="7" t="str">
        <f t="shared" si="1381"/>
        <v>公営住宅</v>
      </c>
      <c r="E3933" s="7" t="str">
        <f t="shared" si="1391"/>
        <v>大阪府泉大津市東助松町３丁目</v>
      </c>
      <c r="F3933" s="7"/>
      <c r="G3933" s="7" t="str">
        <f t="shared" si="1388"/>
        <v>事業用資産</v>
      </c>
      <c r="H3933" s="7" t="str">
        <f t="shared" si="1387"/>
        <v>棚卸以外</v>
      </c>
      <c r="I3933" s="7">
        <v>6</v>
      </c>
      <c r="J3933" s="7" t="str">
        <f>"受水槽"</f>
        <v>受水槽</v>
      </c>
      <c r="K3933" s="7" t="str">
        <f t="shared" si="1386"/>
        <v>鉄筋コンクリート造</v>
      </c>
      <c r="L3933" s="7" t="str">
        <f t="shared" si="1392"/>
        <v>H02.04.25</v>
      </c>
      <c r="M3933" s="7">
        <v>62.16</v>
      </c>
      <c r="N3933" s="7">
        <v>23123000</v>
      </c>
      <c r="O3933" s="7">
        <v>16194605</v>
      </c>
      <c r="P3933" s="7">
        <v>0</v>
      </c>
      <c r="Q3933" s="7" t="str">
        <f t="shared" si="1395"/>
        <v>都市整備部</v>
      </c>
      <c r="R3933" s="7" t="str">
        <f t="shared" si="1393"/>
        <v>住宅建築局住宅経営室</v>
      </c>
    </row>
    <row r="3934" spans="1:18" s="1" customFormat="1" x14ac:dyDescent="0.45">
      <c r="A3934" s="7" t="str">
        <f t="shared" si="1389"/>
        <v>09940003546</v>
      </c>
      <c r="B3934" s="7" t="str">
        <f t="shared" si="1390"/>
        <v>泉大津東助松</v>
      </c>
      <c r="C3934" s="7" t="str">
        <f t="shared" si="1394"/>
        <v>行政財産</v>
      </c>
      <c r="D3934" s="7" t="str">
        <f t="shared" si="1381"/>
        <v>公営住宅</v>
      </c>
      <c r="E3934" s="7" t="str">
        <f t="shared" si="1391"/>
        <v>大阪府泉大津市東助松町３丁目</v>
      </c>
      <c r="F3934" s="7"/>
      <c r="G3934" s="7" t="str">
        <f t="shared" si="1388"/>
        <v>事業用資産</v>
      </c>
      <c r="H3934" s="7" t="str">
        <f t="shared" si="1387"/>
        <v>棚卸以外</v>
      </c>
      <c r="I3934" s="7">
        <v>7</v>
      </c>
      <c r="J3934" s="7" t="str">
        <f>"浄化槽"</f>
        <v>浄化槽</v>
      </c>
      <c r="K3934" s="7" t="str">
        <f t="shared" si="1386"/>
        <v>鉄筋コンクリート造</v>
      </c>
      <c r="L3934" s="7" t="str">
        <f t="shared" si="1392"/>
        <v>H02.04.25</v>
      </c>
      <c r="M3934" s="7">
        <v>240.04</v>
      </c>
      <c r="N3934" s="7">
        <v>101900000</v>
      </c>
      <c r="O3934" s="7">
        <v>71366230</v>
      </c>
      <c r="P3934" s="7">
        <v>0</v>
      </c>
      <c r="Q3934" s="7" t="str">
        <f t="shared" si="1395"/>
        <v>都市整備部</v>
      </c>
      <c r="R3934" s="7" t="str">
        <f t="shared" si="1393"/>
        <v>住宅建築局住宅経営室</v>
      </c>
    </row>
    <row r="3935" spans="1:18" s="1" customFormat="1" x14ac:dyDescent="0.45">
      <c r="A3935" s="7" t="str">
        <f t="shared" si="1389"/>
        <v>09940003546</v>
      </c>
      <c r="B3935" s="7" t="str">
        <f t="shared" si="1390"/>
        <v>泉大津東助松</v>
      </c>
      <c r="C3935" s="7" t="str">
        <f t="shared" si="1394"/>
        <v>行政財産</v>
      </c>
      <c r="D3935" s="7" t="str">
        <f t="shared" si="1381"/>
        <v>公営住宅</v>
      </c>
      <c r="E3935" s="7" t="str">
        <f t="shared" si="1391"/>
        <v>大阪府泉大津市東助松町３丁目</v>
      </c>
      <c r="F3935" s="7"/>
      <c r="G3935" s="7" t="str">
        <f t="shared" si="1388"/>
        <v>事業用資産</v>
      </c>
      <c r="H3935" s="7" t="str">
        <f t="shared" si="1387"/>
        <v>棚卸以外</v>
      </c>
      <c r="I3935" s="7">
        <v>8</v>
      </c>
      <c r="J3935" s="7" t="str">
        <f>"５号棟"</f>
        <v>５号棟</v>
      </c>
      <c r="K3935" s="7" t="str">
        <f t="shared" si="1386"/>
        <v>鉄筋コンクリート造</v>
      </c>
      <c r="L3935" s="7" t="str">
        <f>"H04.02.06"</f>
        <v>H04.02.06</v>
      </c>
      <c r="M3935" s="7">
        <v>1650.15</v>
      </c>
      <c r="N3935" s="7">
        <v>251767000</v>
      </c>
      <c r="O3935" s="7">
        <v>166505708</v>
      </c>
      <c r="P3935" s="7">
        <v>0</v>
      </c>
      <c r="Q3935" s="7" t="str">
        <f t="shared" si="1395"/>
        <v>都市整備部</v>
      </c>
      <c r="R3935" s="7" t="str">
        <f t="shared" si="1393"/>
        <v>住宅建築局住宅経営室</v>
      </c>
    </row>
    <row r="3936" spans="1:18" s="1" customFormat="1" x14ac:dyDescent="0.45">
      <c r="A3936" s="7" t="str">
        <f t="shared" si="1389"/>
        <v>09940003546</v>
      </c>
      <c r="B3936" s="7" t="str">
        <f t="shared" si="1390"/>
        <v>泉大津東助松</v>
      </c>
      <c r="C3936" s="7" t="str">
        <f t="shared" si="1394"/>
        <v>行政財産</v>
      </c>
      <c r="D3936" s="7" t="str">
        <f t="shared" si="1381"/>
        <v>公営住宅</v>
      </c>
      <c r="E3936" s="7" t="str">
        <f t="shared" si="1391"/>
        <v>大阪府泉大津市東助松町３丁目</v>
      </c>
      <c r="F3936" s="7"/>
      <c r="G3936" s="7" t="str">
        <f t="shared" si="1388"/>
        <v>事業用資産</v>
      </c>
      <c r="H3936" s="7" t="str">
        <f t="shared" si="1387"/>
        <v>棚卸以外</v>
      </c>
      <c r="I3936" s="7">
        <v>9</v>
      </c>
      <c r="J3936" s="7" t="str">
        <f>"６号棟"</f>
        <v>６号棟</v>
      </c>
      <c r="K3936" s="7" t="str">
        <f t="shared" si="1386"/>
        <v>鉄筋コンクリート造</v>
      </c>
      <c r="L3936" s="7" t="str">
        <f>"H04.02.06"</f>
        <v>H04.02.06</v>
      </c>
      <c r="M3936" s="7">
        <v>1109.3800000000001</v>
      </c>
      <c r="N3936" s="7">
        <v>188703000</v>
      </c>
      <c r="O3936" s="7">
        <v>124798340</v>
      </c>
      <c r="P3936" s="7">
        <v>0</v>
      </c>
      <c r="Q3936" s="7" t="str">
        <f t="shared" si="1395"/>
        <v>都市整備部</v>
      </c>
      <c r="R3936" s="7" t="str">
        <f t="shared" si="1393"/>
        <v>住宅建築局住宅経営室</v>
      </c>
    </row>
    <row r="3937" spans="1:18" s="1" customFormat="1" x14ac:dyDescent="0.45">
      <c r="A3937" s="7" t="str">
        <f t="shared" si="1389"/>
        <v>09940003546</v>
      </c>
      <c r="B3937" s="7" t="str">
        <f t="shared" si="1390"/>
        <v>泉大津東助松</v>
      </c>
      <c r="C3937" s="7" t="str">
        <f t="shared" si="1394"/>
        <v>行政財産</v>
      </c>
      <c r="D3937" s="7" t="str">
        <f t="shared" si="1381"/>
        <v>公営住宅</v>
      </c>
      <c r="E3937" s="7" t="str">
        <f t="shared" si="1391"/>
        <v>大阪府泉大津市東助松町３丁目</v>
      </c>
      <c r="F3937" s="7"/>
      <c r="G3937" s="7" t="str">
        <f t="shared" si="1388"/>
        <v>事業用資産</v>
      </c>
      <c r="H3937" s="7" t="str">
        <f t="shared" si="1387"/>
        <v>棚卸以外</v>
      </c>
      <c r="I3937" s="7">
        <v>10</v>
      </c>
      <c r="J3937" s="7" t="str">
        <f>"７号棟"</f>
        <v>７号棟</v>
      </c>
      <c r="K3937" s="7" t="str">
        <f t="shared" si="1386"/>
        <v>鉄筋コンクリート造</v>
      </c>
      <c r="L3937" s="7" t="str">
        <f>"H04.02.06"</f>
        <v>H04.02.06</v>
      </c>
      <c r="M3937" s="7">
        <v>1009.38</v>
      </c>
      <c r="N3937" s="7">
        <v>179437000</v>
      </c>
      <c r="O3937" s="7">
        <v>118670323</v>
      </c>
      <c r="P3937" s="7">
        <v>0</v>
      </c>
      <c r="Q3937" s="7" t="str">
        <f t="shared" si="1395"/>
        <v>都市整備部</v>
      </c>
      <c r="R3937" s="7" t="str">
        <f t="shared" si="1393"/>
        <v>住宅建築局住宅経営室</v>
      </c>
    </row>
    <row r="3938" spans="1:18" s="1" customFormat="1" x14ac:dyDescent="0.45">
      <c r="A3938" s="7" t="str">
        <f t="shared" si="1389"/>
        <v>09940003546</v>
      </c>
      <c r="B3938" s="7" t="str">
        <f t="shared" si="1390"/>
        <v>泉大津東助松</v>
      </c>
      <c r="C3938" s="7" t="str">
        <f t="shared" si="1394"/>
        <v>行政財産</v>
      </c>
      <c r="D3938" s="7" t="str">
        <f t="shared" si="1381"/>
        <v>公営住宅</v>
      </c>
      <c r="E3938" s="7" t="str">
        <f t="shared" si="1391"/>
        <v>大阪府泉大津市東助松町３丁目</v>
      </c>
      <c r="F3938" s="7"/>
      <c r="G3938" s="7" t="str">
        <f t="shared" si="1388"/>
        <v>事業用資産</v>
      </c>
      <c r="H3938" s="7" t="str">
        <f t="shared" si="1387"/>
        <v>棚卸以外</v>
      </c>
      <c r="I3938" s="7">
        <v>11</v>
      </c>
      <c r="J3938" s="7" t="str">
        <f>"８号棟（地域特賃）"</f>
        <v>８号棟（地域特賃）</v>
      </c>
      <c r="K3938" s="7" t="str">
        <f t="shared" si="1386"/>
        <v>鉄筋コンクリート造</v>
      </c>
      <c r="L3938" s="7" t="str">
        <f>"H04.02.06"</f>
        <v>H04.02.06</v>
      </c>
      <c r="M3938" s="7">
        <v>1186.6500000000001</v>
      </c>
      <c r="N3938" s="7">
        <v>185877000</v>
      </c>
      <c r="O3938" s="7">
        <v>122929610</v>
      </c>
      <c r="P3938" s="7">
        <v>0</v>
      </c>
      <c r="Q3938" s="7" t="str">
        <f t="shared" si="1395"/>
        <v>都市整備部</v>
      </c>
      <c r="R3938" s="7" t="str">
        <f t="shared" si="1393"/>
        <v>住宅建築局住宅経営室</v>
      </c>
    </row>
    <row r="3939" spans="1:18" s="1" customFormat="1" x14ac:dyDescent="0.45">
      <c r="A3939" s="7" t="str">
        <f t="shared" si="1389"/>
        <v>09940003546</v>
      </c>
      <c r="B3939" s="7" t="str">
        <f t="shared" si="1390"/>
        <v>泉大津東助松</v>
      </c>
      <c r="C3939" s="7" t="str">
        <f t="shared" si="1394"/>
        <v>行政財産</v>
      </c>
      <c r="D3939" s="7" t="str">
        <f t="shared" si="1381"/>
        <v>公営住宅</v>
      </c>
      <c r="E3939" s="7" t="str">
        <f t="shared" si="1391"/>
        <v>大阪府泉大津市東助松町３丁目</v>
      </c>
      <c r="F3939" s="7"/>
      <c r="G3939" s="7" t="str">
        <f t="shared" si="1388"/>
        <v>事業用資産</v>
      </c>
      <c r="H3939" s="7" t="str">
        <f t="shared" si="1387"/>
        <v>棚卸以外</v>
      </c>
      <c r="I3939" s="7">
        <v>12</v>
      </c>
      <c r="J3939" s="7" t="str">
        <f>"９号棟（地域特賃）"</f>
        <v>９号棟（地域特賃）</v>
      </c>
      <c r="K3939" s="7" t="str">
        <f t="shared" si="1386"/>
        <v>鉄筋コンクリート造</v>
      </c>
      <c r="L3939" s="7" t="str">
        <f>"H04.02.06"</f>
        <v>H04.02.06</v>
      </c>
      <c r="M3939" s="7">
        <v>1200.6400000000001</v>
      </c>
      <c r="N3939" s="7">
        <v>184250000</v>
      </c>
      <c r="O3939" s="7">
        <v>121853505</v>
      </c>
      <c r="P3939" s="7">
        <v>0</v>
      </c>
      <c r="Q3939" s="7" t="str">
        <f t="shared" si="1395"/>
        <v>都市整備部</v>
      </c>
      <c r="R3939" s="7" t="str">
        <f t="shared" si="1393"/>
        <v>住宅建築局住宅経営室</v>
      </c>
    </row>
    <row r="3940" spans="1:18" s="1" customFormat="1" x14ac:dyDescent="0.45">
      <c r="A3940" s="7" t="str">
        <f>"09940003547"</f>
        <v>09940003547</v>
      </c>
      <c r="B3940" s="7" t="str">
        <f>"貝塚堀"</f>
        <v>貝塚堀</v>
      </c>
      <c r="C3940" s="7" t="str">
        <f t="shared" si="1394"/>
        <v>行政財産</v>
      </c>
      <c r="D3940" s="7" t="str">
        <f t="shared" si="1381"/>
        <v>公営住宅</v>
      </c>
      <c r="E3940" s="7" t="str">
        <f>"大阪府貝塚市堀２丁目"</f>
        <v>大阪府貝塚市堀２丁目</v>
      </c>
      <c r="F3940" s="7"/>
      <c r="G3940" s="7" t="str">
        <f t="shared" si="1388"/>
        <v>事業用資産</v>
      </c>
      <c r="H3940" s="7" t="str">
        <f t="shared" si="1387"/>
        <v>棚卸以外</v>
      </c>
      <c r="I3940" s="7">
        <v>1</v>
      </c>
      <c r="J3940" s="7" t="str">
        <f>"１号棟"</f>
        <v>１号棟</v>
      </c>
      <c r="K3940" s="7" t="str">
        <f t="shared" si="1386"/>
        <v>鉄筋コンクリート造</v>
      </c>
      <c r="L3940" s="7" t="str">
        <f>"H14.11.28"</f>
        <v>H14.11.28</v>
      </c>
      <c r="M3940" s="7">
        <v>4880.91</v>
      </c>
      <c r="N3940" s="7">
        <v>814417954</v>
      </c>
      <c r="O3940" s="7">
        <v>352966740</v>
      </c>
      <c r="P3940" s="7">
        <v>0</v>
      </c>
      <c r="Q3940" s="7" t="str">
        <f t="shared" si="1395"/>
        <v>都市整備部</v>
      </c>
      <c r="R3940" s="7" t="str">
        <f t="shared" si="1393"/>
        <v>住宅建築局住宅経営室</v>
      </c>
    </row>
    <row r="3941" spans="1:18" s="1" customFormat="1" x14ac:dyDescent="0.45">
      <c r="A3941" s="7" t="str">
        <f>"09940003547"</f>
        <v>09940003547</v>
      </c>
      <c r="B3941" s="7" t="str">
        <f>"貝塚堀"</f>
        <v>貝塚堀</v>
      </c>
      <c r="C3941" s="7" t="str">
        <f t="shared" si="1394"/>
        <v>行政財産</v>
      </c>
      <c r="D3941" s="7" t="str">
        <f t="shared" si="1381"/>
        <v>公営住宅</v>
      </c>
      <c r="E3941" s="7" t="str">
        <f>"大阪府貝塚市堀２丁目"</f>
        <v>大阪府貝塚市堀２丁目</v>
      </c>
      <c r="F3941" s="7"/>
      <c r="G3941" s="7" t="str">
        <f t="shared" si="1388"/>
        <v>事業用資産</v>
      </c>
      <c r="H3941" s="7" t="str">
        <f t="shared" si="1387"/>
        <v>棚卸以外</v>
      </c>
      <c r="I3941" s="7">
        <v>2</v>
      </c>
      <c r="J3941" s="7" t="str">
        <f>"２号棟"</f>
        <v>２号棟</v>
      </c>
      <c r="K3941" s="7" t="str">
        <f t="shared" si="1386"/>
        <v>鉄筋コンクリート造</v>
      </c>
      <c r="L3941" s="7" t="str">
        <f>"H14.11.28"</f>
        <v>H14.11.28</v>
      </c>
      <c r="M3941" s="7">
        <v>5637.65</v>
      </c>
      <c r="N3941" s="7">
        <v>906867954</v>
      </c>
      <c r="O3941" s="7">
        <v>392962976</v>
      </c>
      <c r="P3941" s="7">
        <v>0</v>
      </c>
      <c r="Q3941" s="7" t="str">
        <f t="shared" si="1395"/>
        <v>都市整備部</v>
      </c>
      <c r="R3941" s="7" t="str">
        <f t="shared" si="1393"/>
        <v>住宅建築局住宅経営室</v>
      </c>
    </row>
    <row r="3942" spans="1:18" s="1" customFormat="1" x14ac:dyDescent="0.45">
      <c r="A3942" s="7" t="str">
        <f>"09940003547"</f>
        <v>09940003547</v>
      </c>
      <c r="B3942" s="7" t="str">
        <f>"貝塚堀"</f>
        <v>貝塚堀</v>
      </c>
      <c r="C3942" s="7" t="str">
        <f t="shared" si="1394"/>
        <v>行政財産</v>
      </c>
      <c r="D3942" s="7" t="str">
        <f t="shared" si="1381"/>
        <v>公営住宅</v>
      </c>
      <c r="E3942" s="7" t="str">
        <f>"大阪府貝塚市堀２丁目"</f>
        <v>大阪府貝塚市堀２丁目</v>
      </c>
      <c r="F3942" s="7"/>
      <c r="G3942" s="7" t="str">
        <f t="shared" si="1388"/>
        <v>事業用資産</v>
      </c>
      <c r="H3942" s="7" t="str">
        <f t="shared" si="1387"/>
        <v>棚卸以外</v>
      </c>
      <c r="I3942" s="7">
        <v>3</v>
      </c>
      <c r="J3942" s="7" t="str">
        <f>"受水槽ポンプ室・電気室"</f>
        <v>受水槽ポンプ室・電気室</v>
      </c>
      <c r="K3942" s="7" t="str">
        <f t="shared" si="1386"/>
        <v>鉄筋コンクリート造</v>
      </c>
      <c r="L3942" s="7" t="str">
        <f>"H14.11.28"</f>
        <v>H14.11.28</v>
      </c>
      <c r="M3942" s="7">
        <v>142.5</v>
      </c>
      <c r="N3942" s="7">
        <v>26581000</v>
      </c>
      <c r="O3942" s="7">
        <v>11499720</v>
      </c>
      <c r="P3942" s="7">
        <v>0</v>
      </c>
      <c r="Q3942" s="7" t="str">
        <f t="shared" si="1395"/>
        <v>都市整備部</v>
      </c>
      <c r="R3942" s="7" t="str">
        <f t="shared" si="1393"/>
        <v>住宅建築局住宅経営室</v>
      </c>
    </row>
    <row r="3943" spans="1:18" s="1" customFormat="1" x14ac:dyDescent="0.45">
      <c r="A3943" s="7" t="str">
        <f>"09940003547"</f>
        <v>09940003547</v>
      </c>
      <c r="B3943" s="7" t="str">
        <f>"貝塚堀"</f>
        <v>貝塚堀</v>
      </c>
      <c r="C3943" s="7" t="str">
        <f t="shared" si="1394"/>
        <v>行政財産</v>
      </c>
      <c r="D3943" s="7" t="str">
        <f t="shared" si="1381"/>
        <v>公営住宅</v>
      </c>
      <c r="E3943" s="7" t="str">
        <f>"大阪府貝塚市堀２丁目"</f>
        <v>大阪府貝塚市堀２丁目</v>
      </c>
      <c r="F3943" s="7"/>
      <c r="G3943" s="7" t="str">
        <f t="shared" si="1388"/>
        <v>事業用資産</v>
      </c>
      <c r="H3943" s="7" t="str">
        <f t="shared" si="1387"/>
        <v>棚卸以外</v>
      </c>
      <c r="I3943" s="7">
        <v>4</v>
      </c>
      <c r="J3943" s="7" t="str">
        <f>"集会所"</f>
        <v>集会所</v>
      </c>
      <c r="K3943" s="7" t="str">
        <f t="shared" si="1386"/>
        <v>鉄筋コンクリート造</v>
      </c>
      <c r="L3943" s="7" t="str">
        <f>"H14.11.28"</f>
        <v>H14.11.28</v>
      </c>
      <c r="M3943" s="7">
        <v>116.66</v>
      </c>
      <c r="N3943" s="7">
        <v>27173000</v>
      </c>
      <c r="O3943" s="7">
        <v>11755920</v>
      </c>
      <c r="P3943" s="7">
        <v>0</v>
      </c>
      <c r="Q3943" s="7" t="str">
        <f t="shared" si="1395"/>
        <v>都市整備部</v>
      </c>
      <c r="R3943" s="7" t="str">
        <f t="shared" si="1393"/>
        <v>住宅建築局住宅経営室</v>
      </c>
    </row>
    <row r="3944" spans="1:18" s="1" customFormat="1" x14ac:dyDescent="0.45">
      <c r="A3944" s="7" t="str">
        <f t="shared" ref="A3944:A3965" si="1396">"09940003548"</f>
        <v>09940003548</v>
      </c>
      <c r="B3944" s="7" t="str">
        <f t="shared" ref="B3944:B3965" si="1397">"茨木東奈良（旧茨木第２）"</f>
        <v>茨木東奈良（旧茨木第２）</v>
      </c>
      <c r="C3944" s="7" t="str">
        <f t="shared" si="1394"/>
        <v>行政財産</v>
      </c>
      <c r="D3944" s="7" t="str">
        <f t="shared" si="1381"/>
        <v>公営住宅</v>
      </c>
      <c r="E3944" s="7" t="str">
        <f t="shared" ref="E3944:E3965" si="1398">"大阪府茨木市東奈良２丁目"</f>
        <v>大阪府茨木市東奈良２丁目</v>
      </c>
      <c r="F3944" s="7"/>
      <c r="G3944" s="7" t="str">
        <f t="shared" si="1388"/>
        <v>事業用資産</v>
      </c>
      <c r="H3944" s="7" t="str">
        <f t="shared" si="1387"/>
        <v>棚卸以外</v>
      </c>
      <c r="I3944" s="7">
        <v>1</v>
      </c>
      <c r="J3944" s="7" t="str">
        <f>"１号棟"</f>
        <v>１号棟</v>
      </c>
      <c r="K3944" s="7" t="str">
        <f t="shared" si="1386"/>
        <v>鉄筋コンクリート造</v>
      </c>
      <c r="L3944" s="7" t="str">
        <f t="shared" ref="L3944:L3953" si="1399">"H01.11.29"</f>
        <v>H01.11.29</v>
      </c>
      <c r="M3944" s="7">
        <v>1728.95</v>
      </c>
      <c r="N3944" s="7">
        <v>192563000</v>
      </c>
      <c r="O3944" s="7">
        <v>136569600</v>
      </c>
      <c r="P3944" s="7">
        <v>0</v>
      </c>
      <c r="Q3944" s="7" t="str">
        <f t="shared" si="1395"/>
        <v>都市整備部</v>
      </c>
      <c r="R3944" s="7" t="str">
        <f t="shared" si="1393"/>
        <v>住宅建築局住宅経営室</v>
      </c>
    </row>
    <row r="3945" spans="1:18" s="1" customFormat="1" x14ac:dyDescent="0.45">
      <c r="A3945" s="7" t="str">
        <f t="shared" si="1396"/>
        <v>09940003548</v>
      </c>
      <c r="B3945" s="7" t="str">
        <f t="shared" si="1397"/>
        <v>茨木東奈良（旧茨木第２）</v>
      </c>
      <c r="C3945" s="7" t="str">
        <f t="shared" si="1394"/>
        <v>行政財産</v>
      </c>
      <c r="D3945" s="7" t="str">
        <f t="shared" si="1381"/>
        <v>公営住宅</v>
      </c>
      <c r="E3945" s="7" t="str">
        <f t="shared" si="1398"/>
        <v>大阪府茨木市東奈良２丁目</v>
      </c>
      <c r="F3945" s="7"/>
      <c r="G3945" s="7" t="str">
        <f t="shared" si="1388"/>
        <v>事業用資産</v>
      </c>
      <c r="H3945" s="7" t="str">
        <f t="shared" si="1387"/>
        <v>棚卸以外</v>
      </c>
      <c r="I3945" s="7">
        <v>2</v>
      </c>
      <c r="J3945" s="7" t="str">
        <f>"２号棟"</f>
        <v>２号棟</v>
      </c>
      <c r="K3945" s="7" t="str">
        <f t="shared" si="1386"/>
        <v>鉄筋コンクリート造</v>
      </c>
      <c r="L3945" s="7" t="str">
        <f t="shared" si="1399"/>
        <v>H01.11.29</v>
      </c>
      <c r="M3945" s="7">
        <v>2001.41</v>
      </c>
      <c r="N3945" s="7">
        <v>211718939</v>
      </c>
      <c r="O3945" s="7">
        <v>149961200</v>
      </c>
      <c r="P3945" s="7">
        <v>0</v>
      </c>
      <c r="Q3945" s="7" t="str">
        <f t="shared" si="1395"/>
        <v>都市整備部</v>
      </c>
      <c r="R3945" s="7" t="str">
        <f t="shared" si="1393"/>
        <v>住宅建築局住宅経営室</v>
      </c>
    </row>
    <row r="3946" spans="1:18" s="1" customFormat="1" x14ac:dyDescent="0.45">
      <c r="A3946" s="7" t="str">
        <f t="shared" si="1396"/>
        <v>09940003548</v>
      </c>
      <c r="B3946" s="7" t="str">
        <f t="shared" si="1397"/>
        <v>茨木東奈良（旧茨木第２）</v>
      </c>
      <c r="C3946" s="7" t="str">
        <f t="shared" si="1394"/>
        <v>行政財産</v>
      </c>
      <c r="D3946" s="7" t="str">
        <f t="shared" si="1381"/>
        <v>公営住宅</v>
      </c>
      <c r="E3946" s="7" t="str">
        <f t="shared" si="1398"/>
        <v>大阪府茨木市東奈良２丁目</v>
      </c>
      <c r="F3946" s="7"/>
      <c r="G3946" s="7" t="str">
        <f t="shared" si="1388"/>
        <v>事業用資産</v>
      </c>
      <c r="H3946" s="7" t="str">
        <f t="shared" si="1387"/>
        <v>棚卸以外</v>
      </c>
      <c r="I3946" s="7">
        <v>3</v>
      </c>
      <c r="J3946" s="7" t="str">
        <f>"３号棟"</f>
        <v>３号棟</v>
      </c>
      <c r="K3946" s="7" t="str">
        <f t="shared" si="1386"/>
        <v>鉄筋コンクリート造</v>
      </c>
      <c r="L3946" s="7" t="str">
        <f t="shared" si="1399"/>
        <v>H01.11.29</v>
      </c>
      <c r="M3946" s="7">
        <v>2130.17</v>
      </c>
      <c r="N3946" s="7">
        <v>250472204</v>
      </c>
      <c r="O3946" s="7">
        <v>160333865</v>
      </c>
      <c r="P3946" s="7">
        <v>0</v>
      </c>
      <c r="Q3946" s="7" t="str">
        <f t="shared" si="1395"/>
        <v>都市整備部</v>
      </c>
      <c r="R3946" s="7" t="str">
        <f t="shared" si="1393"/>
        <v>住宅建築局住宅経営室</v>
      </c>
    </row>
    <row r="3947" spans="1:18" s="1" customFormat="1" x14ac:dyDescent="0.45">
      <c r="A3947" s="7" t="str">
        <f t="shared" si="1396"/>
        <v>09940003548</v>
      </c>
      <c r="B3947" s="7" t="str">
        <f t="shared" si="1397"/>
        <v>茨木東奈良（旧茨木第２）</v>
      </c>
      <c r="C3947" s="7" t="str">
        <f t="shared" si="1394"/>
        <v>行政財産</v>
      </c>
      <c r="D3947" s="7" t="str">
        <f t="shared" si="1381"/>
        <v>公営住宅</v>
      </c>
      <c r="E3947" s="7" t="str">
        <f t="shared" si="1398"/>
        <v>大阪府茨木市東奈良２丁目</v>
      </c>
      <c r="F3947" s="7"/>
      <c r="G3947" s="7" t="str">
        <f t="shared" si="1388"/>
        <v>事業用資産</v>
      </c>
      <c r="H3947" s="7" t="str">
        <f t="shared" si="1387"/>
        <v>棚卸以外</v>
      </c>
      <c r="I3947" s="7">
        <v>4</v>
      </c>
      <c r="J3947" s="7" t="str">
        <f>"４号棟"</f>
        <v>４号棟</v>
      </c>
      <c r="K3947" s="7" t="str">
        <f t="shared" si="1386"/>
        <v>鉄筋コンクリート造</v>
      </c>
      <c r="L3947" s="7" t="str">
        <f t="shared" si="1399"/>
        <v>H01.11.29</v>
      </c>
      <c r="M3947" s="7">
        <v>2023.52</v>
      </c>
      <c r="N3947" s="7">
        <v>211032939</v>
      </c>
      <c r="O3947" s="7">
        <v>149474800</v>
      </c>
      <c r="P3947" s="7">
        <v>0</v>
      </c>
      <c r="Q3947" s="7" t="str">
        <f t="shared" si="1395"/>
        <v>都市整備部</v>
      </c>
      <c r="R3947" s="7" t="str">
        <f t="shared" si="1393"/>
        <v>住宅建築局住宅経営室</v>
      </c>
    </row>
    <row r="3948" spans="1:18" s="1" customFormat="1" x14ac:dyDescent="0.45">
      <c r="A3948" s="7" t="str">
        <f t="shared" si="1396"/>
        <v>09940003548</v>
      </c>
      <c r="B3948" s="7" t="str">
        <f t="shared" si="1397"/>
        <v>茨木東奈良（旧茨木第２）</v>
      </c>
      <c r="C3948" s="7" t="str">
        <f t="shared" si="1394"/>
        <v>行政財産</v>
      </c>
      <c r="D3948" s="7" t="str">
        <f t="shared" si="1381"/>
        <v>公営住宅</v>
      </c>
      <c r="E3948" s="7" t="str">
        <f t="shared" si="1398"/>
        <v>大阪府茨木市東奈良２丁目</v>
      </c>
      <c r="F3948" s="7"/>
      <c r="G3948" s="7" t="str">
        <f t="shared" si="1388"/>
        <v>事業用資産</v>
      </c>
      <c r="H3948" s="7" t="str">
        <f t="shared" si="1387"/>
        <v>棚卸以外</v>
      </c>
      <c r="I3948" s="7">
        <v>5</v>
      </c>
      <c r="J3948" s="7" t="str">
        <f>"５号棟"</f>
        <v>５号棟</v>
      </c>
      <c r="K3948" s="7" t="str">
        <f t="shared" si="1386"/>
        <v>鉄筋コンクリート造</v>
      </c>
      <c r="L3948" s="7" t="str">
        <f t="shared" si="1399"/>
        <v>H01.11.29</v>
      </c>
      <c r="M3948" s="7">
        <v>2619.0100000000002</v>
      </c>
      <c r="N3948" s="7">
        <v>315404205</v>
      </c>
      <c r="O3948" s="7">
        <v>206385065</v>
      </c>
      <c r="P3948" s="7">
        <v>0</v>
      </c>
      <c r="Q3948" s="7" t="str">
        <f t="shared" si="1395"/>
        <v>都市整備部</v>
      </c>
      <c r="R3948" s="7" t="str">
        <f t="shared" si="1393"/>
        <v>住宅建築局住宅経営室</v>
      </c>
    </row>
    <row r="3949" spans="1:18" s="1" customFormat="1" x14ac:dyDescent="0.45">
      <c r="A3949" s="7" t="str">
        <f t="shared" si="1396"/>
        <v>09940003548</v>
      </c>
      <c r="B3949" s="7" t="str">
        <f t="shared" si="1397"/>
        <v>茨木東奈良（旧茨木第２）</v>
      </c>
      <c r="C3949" s="7" t="str">
        <f t="shared" si="1394"/>
        <v>行政財産</v>
      </c>
      <c r="D3949" s="7" t="str">
        <f t="shared" si="1381"/>
        <v>公営住宅</v>
      </c>
      <c r="E3949" s="7" t="str">
        <f t="shared" si="1398"/>
        <v>大阪府茨木市東奈良２丁目</v>
      </c>
      <c r="F3949" s="7"/>
      <c r="G3949" s="7" t="str">
        <f t="shared" si="1388"/>
        <v>事業用資産</v>
      </c>
      <c r="H3949" s="7" t="str">
        <f t="shared" si="1387"/>
        <v>棚卸以外</v>
      </c>
      <c r="I3949" s="7">
        <v>6</v>
      </c>
      <c r="J3949" s="7" t="str">
        <f>"６号棟"</f>
        <v>６号棟</v>
      </c>
      <c r="K3949" s="7" t="str">
        <f t="shared" si="1386"/>
        <v>鉄筋コンクリート造</v>
      </c>
      <c r="L3949" s="7" t="str">
        <f t="shared" si="1399"/>
        <v>H01.11.29</v>
      </c>
      <c r="M3949" s="7">
        <v>2511.13</v>
      </c>
      <c r="N3949" s="7">
        <v>274418939</v>
      </c>
      <c r="O3949" s="7">
        <v>194429200</v>
      </c>
      <c r="P3949" s="7">
        <v>0</v>
      </c>
      <c r="Q3949" s="7" t="str">
        <f t="shared" si="1395"/>
        <v>都市整備部</v>
      </c>
      <c r="R3949" s="7" t="str">
        <f t="shared" si="1393"/>
        <v>住宅建築局住宅経営室</v>
      </c>
    </row>
    <row r="3950" spans="1:18" s="1" customFormat="1" x14ac:dyDescent="0.45">
      <c r="A3950" s="7" t="str">
        <f t="shared" si="1396"/>
        <v>09940003548</v>
      </c>
      <c r="B3950" s="7" t="str">
        <f t="shared" si="1397"/>
        <v>茨木東奈良（旧茨木第２）</v>
      </c>
      <c r="C3950" s="7" t="str">
        <f t="shared" si="1394"/>
        <v>行政財産</v>
      </c>
      <c r="D3950" s="7" t="str">
        <f t="shared" si="1381"/>
        <v>公営住宅</v>
      </c>
      <c r="E3950" s="7" t="str">
        <f t="shared" si="1398"/>
        <v>大阪府茨木市東奈良２丁目</v>
      </c>
      <c r="F3950" s="7"/>
      <c r="G3950" s="7" t="str">
        <f t="shared" si="1388"/>
        <v>事業用資産</v>
      </c>
      <c r="H3950" s="7" t="str">
        <f t="shared" si="1387"/>
        <v>棚卸以外</v>
      </c>
      <c r="I3950" s="7">
        <v>7</v>
      </c>
      <c r="J3950" s="7" t="str">
        <f>"７号棟"</f>
        <v>７号棟</v>
      </c>
      <c r="K3950" s="7" t="str">
        <f t="shared" si="1386"/>
        <v>鉄筋コンクリート造</v>
      </c>
      <c r="L3950" s="7" t="str">
        <f t="shared" si="1399"/>
        <v>H01.11.29</v>
      </c>
      <c r="M3950" s="7">
        <v>1414.02</v>
      </c>
      <c r="N3950" s="7">
        <v>199769205</v>
      </c>
      <c r="O3950" s="7">
        <v>124374265</v>
      </c>
      <c r="P3950" s="7">
        <v>0</v>
      </c>
      <c r="Q3950" s="7" t="str">
        <f t="shared" si="1395"/>
        <v>都市整備部</v>
      </c>
      <c r="R3950" s="7" t="str">
        <f t="shared" si="1393"/>
        <v>住宅建築局住宅経営室</v>
      </c>
    </row>
    <row r="3951" spans="1:18" s="1" customFormat="1" x14ac:dyDescent="0.45">
      <c r="A3951" s="7" t="str">
        <f t="shared" si="1396"/>
        <v>09940003548</v>
      </c>
      <c r="B3951" s="7" t="str">
        <f t="shared" si="1397"/>
        <v>茨木東奈良（旧茨木第２）</v>
      </c>
      <c r="C3951" s="7" t="str">
        <f t="shared" si="1394"/>
        <v>行政財産</v>
      </c>
      <c r="D3951" s="7" t="str">
        <f t="shared" si="1381"/>
        <v>公営住宅</v>
      </c>
      <c r="E3951" s="7" t="str">
        <f t="shared" si="1398"/>
        <v>大阪府茨木市東奈良２丁目</v>
      </c>
      <c r="F3951" s="7"/>
      <c r="G3951" s="7" t="str">
        <f t="shared" si="1388"/>
        <v>事業用資産</v>
      </c>
      <c r="H3951" s="7" t="str">
        <f t="shared" si="1387"/>
        <v>棚卸以外</v>
      </c>
      <c r="I3951" s="7">
        <v>8</v>
      </c>
      <c r="J3951" s="7" t="str">
        <f>"８号棟"</f>
        <v>８号棟</v>
      </c>
      <c r="K3951" s="7" t="str">
        <f t="shared" si="1386"/>
        <v>鉄筋コンクリート造</v>
      </c>
      <c r="L3951" s="7" t="str">
        <f t="shared" si="1399"/>
        <v>H01.11.29</v>
      </c>
      <c r="M3951" s="7">
        <v>1298.21</v>
      </c>
      <c r="N3951" s="7">
        <v>141306939</v>
      </c>
      <c r="O3951" s="7">
        <v>100023600</v>
      </c>
      <c r="P3951" s="7">
        <v>0</v>
      </c>
      <c r="Q3951" s="7" t="str">
        <f t="shared" si="1395"/>
        <v>都市整備部</v>
      </c>
      <c r="R3951" s="7" t="str">
        <f t="shared" si="1393"/>
        <v>住宅建築局住宅経営室</v>
      </c>
    </row>
    <row r="3952" spans="1:18" s="1" customFormat="1" x14ac:dyDescent="0.45">
      <c r="A3952" s="7" t="str">
        <f t="shared" si="1396"/>
        <v>09940003548</v>
      </c>
      <c r="B3952" s="7" t="str">
        <f t="shared" si="1397"/>
        <v>茨木東奈良（旧茨木第２）</v>
      </c>
      <c r="C3952" s="7" t="str">
        <f t="shared" si="1394"/>
        <v>行政財産</v>
      </c>
      <c r="D3952" s="7" t="str">
        <f t="shared" si="1381"/>
        <v>公営住宅</v>
      </c>
      <c r="E3952" s="7" t="str">
        <f t="shared" si="1398"/>
        <v>大阪府茨木市東奈良２丁目</v>
      </c>
      <c r="F3952" s="7"/>
      <c r="G3952" s="7" t="str">
        <f t="shared" si="1388"/>
        <v>事業用資産</v>
      </c>
      <c r="H3952" s="7" t="str">
        <f t="shared" si="1387"/>
        <v>棚卸以外</v>
      </c>
      <c r="I3952" s="7">
        <v>9</v>
      </c>
      <c r="J3952" s="7" t="str">
        <f>"受水槽"</f>
        <v>受水槽</v>
      </c>
      <c r="K3952" s="7" t="str">
        <f t="shared" si="1386"/>
        <v>鉄筋コンクリート造</v>
      </c>
      <c r="L3952" s="7" t="str">
        <f t="shared" si="1399"/>
        <v>H01.11.29</v>
      </c>
      <c r="M3952" s="7">
        <v>96</v>
      </c>
      <c r="N3952" s="7">
        <v>25011000</v>
      </c>
      <c r="O3952" s="7">
        <v>17738400</v>
      </c>
      <c r="P3952" s="7">
        <v>0</v>
      </c>
      <c r="Q3952" s="7" t="str">
        <f t="shared" si="1395"/>
        <v>都市整備部</v>
      </c>
      <c r="R3952" s="7" t="str">
        <f t="shared" si="1393"/>
        <v>住宅建築局住宅経営室</v>
      </c>
    </row>
    <row r="3953" spans="1:18" s="1" customFormat="1" x14ac:dyDescent="0.45">
      <c r="A3953" s="7" t="str">
        <f t="shared" si="1396"/>
        <v>09940003548</v>
      </c>
      <c r="B3953" s="7" t="str">
        <f t="shared" si="1397"/>
        <v>茨木東奈良（旧茨木第２）</v>
      </c>
      <c r="C3953" s="7" t="str">
        <f t="shared" si="1394"/>
        <v>行政財産</v>
      </c>
      <c r="D3953" s="7" t="str">
        <f t="shared" si="1381"/>
        <v>公営住宅</v>
      </c>
      <c r="E3953" s="7" t="str">
        <f t="shared" si="1398"/>
        <v>大阪府茨木市東奈良２丁目</v>
      </c>
      <c r="F3953" s="7"/>
      <c r="G3953" s="7" t="str">
        <f t="shared" si="1388"/>
        <v>事業用資産</v>
      </c>
      <c r="H3953" s="7" t="str">
        <f t="shared" si="1387"/>
        <v>棚卸以外</v>
      </c>
      <c r="I3953" s="7">
        <v>10</v>
      </c>
      <c r="J3953" s="7" t="str">
        <f>"集会所"</f>
        <v>集会所</v>
      </c>
      <c r="K3953" s="7" t="str">
        <f t="shared" si="1386"/>
        <v>鉄筋コンクリート造</v>
      </c>
      <c r="L3953" s="7" t="str">
        <f t="shared" si="1399"/>
        <v>H01.11.29</v>
      </c>
      <c r="M3953" s="7">
        <v>199.33</v>
      </c>
      <c r="N3953" s="7">
        <v>45928000</v>
      </c>
      <c r="O3953" s="7">
        <v>32573200</v>
      </c>
      <c r="P3953" s="7">
        <v>0</v>
      </c>
      <c r="Q3953" s="7" t="str">
        <f t="shared" si="1395"/>
        <v>都市整備部</v>
      </c>
      <c r="R3953" s="7" t="str">
        <f t="shared" si="1393"/>
        <v>住宅建築局住宅経営室</v>
      </c>
    </row>
    <row r="3954" spans="1:18" s="1" customFormat="1" x14ac:dyDescent="0.45">
      <c r="A3954" s="7" t="str">
        <f t="shared" si="1396"/>
        <v>09940003548</v>
      </c>
      <c r="B3954" s="7" t="str">
        <f t="shared" si="1397"/>
        <v>茨木東奈良（旧茨木第２）</v>
      </c>
      <c r="C3954" s="7" t="str">
        <f t="shared" si="1394"/>
        <v>行政財産</v>
      </c>
      <c r="D3954" s="7" t="str">
        <f t="shared" ref="D3954:D4017" si="1400">"公営住宅"</f>
        <v>公営住宅</v>
      </c>
      <c r="E3954" s="7" t="str">
        <f t="shared" si="1398"/>
        <v>大阪府茨木市東奈良２丁目</v>
      </c>
      <c r="F3954" s="7"/>
      <c r="G3954" s="7" t="str">
        <f t="shared" si="1388"/>
        <v>事業用資産</v>
      </c>
      <c r="H3954" s="7" t="str">
        <f t="shared" si="1387"/>
        <v>棚卸以外</v>
      </c>
      <c r="I3954" s="7">
        <v>11</v>
      </c>
      <c r="J3954" s="7" t="str">
        <f>"９号棟"</f>
        <v>９号棟</v>
      </c>
      <c r="K3954" s="7" t="str">
        <f t="shared" si="1386"/>
        <v>鉄筋コンクリート造</v>
      </c>
      <c r="L3954" s="7" t="str">
        <f>"H08.12.02"</f>
        <v>H08.12.02</v>
      </c>
      <c r="M3954" s="7">
        <v>1898.19</v>
      </c>
      <c r="N3954" s="7">
        <v>316952000</v>
      </c>
      <c r="O3954" s="7">
        <v>177021180</v>
      </c>
      <c r="P3954" s="7">
        <v>0</v>
      </c>
      <c r="Q3954" s="7" t="str">
        <f t="shared" si="1395"/>
        <v>都市整備部</v>
      </c>
      <c r="R3954" s="7" t="str">
        <f t="shared" si="1393"/>
        <v>住宅建築局住宅経営室</v>
      </c>
    </row>
    <row r="3955" spans="1:18" s="1" customFormat="1" x14ac:dyDescent="0.45">
      <c r="A3955" s="7" t="str">
        <f t="shared" si="1396"/>
        <v>09940003548</v>
      </c>
      <c r="B3955" s="7" t="str">
        <f t="shared" si="1397"/>
        <v>茨木東奈良（旧茨木第２）</v>
      </c>
      <c r="C3955" s="7" t="str">
        <f t="shared" si="1394"/>
        <v>行政財産</v>
      </c>
      <c r="D3955" s="7" t="str">
        <f t="shared" si="1400"/>
        <v>公営住宅</v>
      </c>
      <c r="E3955" s="7" t="str">
        <f t="shared" si="1398"/>
        <v>大阪府茨木市東奈良２丁目</v>
      </c>
      <c r="F3955" s="7"/>
      <c r="G3955" s="7" t="str">
        <f t="shared" si="1388"/>
        <v>事業用資産</v>
      </c>
      <c r="H3955" s="7" t="str">
        <f t="shared" si="1387"/>
        <v>棚卸以外</v>
      </c>
      <c r="I3955" s="7">
        <v>12</v>
      </c>
      <c r="J3955" s="7" t="str">
        <f>"１１号棟"</f>
        <v>１１号棟</v>
      </c>
      <c r="K3955" s="7" t="str">
        <f t="shared" si="1386"/>
        <v>鉄筋コンクリート造</v>
      </c>
      <c r="L3955" s="7" t="str">
        <f>"H08.12.02"</f>
        <v>H08.12.02</v>
      </c>
      <c r="M3955" s="7">
        <v>1300.1300000000001</v>
      </c>
      <c r="N3955" s="7">
        <v>231148000</v>
      </c>
      <c r="O3955" s="7">
        <v>129098655</v>
      </c>
      <c r="P3955" s="7">
        <v>0</v>
      </c>
      <c r="Q3955" s="7" t="str">
        <f t="shared" si="1395"/>
        <v>都市整備部</v>
      </c>
      <c r="R3955" s="7" t="str">
        <f t="shared" si="1393"/>
        <v>住宅建築局住宅経営室</v>
      </c>
    </row>
    <row r="3956" spans="1:18" s="1" customFormat="1" x14ac:dyDescent="0.45">
      <c r="A3956" s="7" t="str">
        <f t="shared" si="1396"/>
        <v>09940003548</v>
      </c>
      <c r="B3956" s="7" t="str">
        <f t="shared" si="1397"/>
        <v>茨木東奈良（旧茨木第２）</v>
      </c>
      <c r="C3956" s="7" t="str">
        <f t="shared" si="1394"/>
        <v>行政財産</v>
      </c>
      <c r="D3956" s="7" t="str">
        <f t="shared" si="1400"/>
        <v>公営住宅</v>
      </c>
      <c r="E3956" s="7" t="str">
        <f t="shared" si="1398"/>
        <v>大阪府茨木市東奈良２丁目</v>
      </c>
      <c r="F3956" s="7"/>
      <c r="G3956" s="7" t="str">
        <f t="shared" si="1388"/>
        <v>事業用資産</v>
      </c>
      <c r="H3956" s="7" t="str">
        <f t="shared" si="1387"/>
        <v>棚卸以外</v>
      </c>
      <c r="I3956" s="7">
        <v>13</v>
      </c>
      <c r="J3956" s="7" t="str">
        <f>"１２号棟"</f>
        <v>１２号棟</v>
      </c>
      <c r="K3956" s="7" t="str">
        <f t="shared" si="1386"/>
        <v>鉄筋コンクリート造</v>
      </c>
      <c r="L3956" s="7" t="str">
        <f>"H08.12.02"</f>
        <v>H08.12.02</v>
      </c>
      <c r="M3956" s="7">
        <v>1388.24</v>
      </c>
      <c r="N3956" s="7">
        <v>231134205</v>
      </c>
      <c r="O3956" s="7">
        <v>116784915</v>
      </c>
      <c r="P3956" s="7">
        <v>0</v>
      </c>
      <c r="Q3956" s="7" t="str">
        <f t="shared" si="1395"/>
        <v>都市整備部</v>
      </c>
      <c r="R3956" s="7" t="str">
        <f t="shared" si="1393"/>
        <v>住宅建築局住宅経営室</v>
      </c>
    </row>
    <row r="3957" spans="1:18" s="1" customFormat="1" x14ac:dyDescent="0.45">
      <c r="A3957" s="7" t="str">
        <f t="shared" si="1396"/>
        <v>09940003548</v>
      </c>
      <c r="B3957" s="7" t="str">
        <f t="shared" si="1397"/>
        <v>茨木東奈良（旧茨木第２）</v>
      </c>
      <c r="C3957" s="7" t="str">
        <f t="shared" si="1394"/>
        <v>行政財産</v>
      </c>
      <c r="D3957" s="7" t="str">
        <f t="shared" si="1400"/>
        <v>公営住宅</v>
      </c>
      <c r="E3957" s="7" t="str">
        <f t="shared" si="1398"/>
        <v>大阪府茨木市東奈良２丁目</v>
      </c>
      <c r="F3957" s="7"/>
      <c r="G3957" s="7" t="str">
        <f t="shared" si="1388"/>
        <v>事業用資産</v>
      </c>
      <c r="H3957" s="7" t="str">
        <f t="shared" si="1387"/>
        <v>棚卸以外</v>
      </c>
      <c r="I3957" s="7">
        <v>14</v>
      </c>
      <c r="J3957" s="7" t="str">
        <f>"１０号棟"</f>
        <v>１０号棟</v>
      </c>
      <c r="K3957" s="7" t="str">
        <f t="shared" si="1386"/>
        <v>鉄筋コンクリート造</v>
      </c>
      <c r="L3957" s="7" t="str">
        <f>"H08.12.02"</f>
        <v>H08.12.02</v>
      </c>
      <c r="M3957" s="7">
        <v>2218.71</v>
      </c>
      <c r="N3957" s="7">
        <v>322454000</v>
      </c>
      <c r="O3957" s="7">
        <v>180094005</v>
      </c>
      <c r="P3957" s="7">
        <v>0</v>
      </c>
      <c r="Q3957" s="7" t="str">
        <f t="shared" si="1395"/>
        <v>都市整備部</v>
      </c>
      <c r="R3957" s="7" t="str">
        <f t="shared" si="1393"/>
        <v>住宅建築局住宅経営室</v>
      </c>
    </row>
    <row r="3958" spans="1:18" s="1" customFormat="1" x14ac:dyDescent="0.45">
      <c r="A3958" s="7" t="str">
        <f t="shared" si="1396"/>
        <v>09940003548</v>
      </c>
      <c r="B3958" s="7" t="str">
        <f t="shared" si="1397"/>
        <v>茨木東奈良（旧茨木第２）</v>
      </c>
      <c r="C3958" s="7" t="str">
        <f t="shared" si="1394"/>
        <v>行政財産</v>
      </c>
      <c r="D3958" s="7" t="str">
        <f t="shared" si="1400"/>
        <v>公営住宅</v>
      </c>
      <c r="E3958" s="7" t="str">
        <f t="shared" si="1398"/>
        <v>大阪府茨木市東奈良２丁目</v>
      </c>
      <c r="F3958" s="7"/>
      <c r="G3958" s="7" t="str">
        <f t="shared" si="1388"/>
        <v>事業用資産</v>
      </c>
      <c r="H3958" s="7" t="str">
        <f t="shared" si="1387"/>
        <v>棚卸以外</v>
      </c>
      <c r="I3958" s="7">
        <v>15</v>
      </c>
      <c r="J3958" s="7" t="str">
        <f>"受水槽・ポンプ室（９号棟）"</f>
        <v>受水槽・ポンプ室（９号棟）</v>
      </c>
      <c r="K3958" s="7" t="str">
        <f t="shared" si="1386"/>
        <v>鉄筋コンクリート造</v>
      </c>
      <c r="L3958" s="7" t="str">
        <f>"H08.12.02"</f>
        <v>H08.12.02</v>
      </c>
      <c r="M3958" s="7">
        <v>61.98</v>
      </c>
      <c r="N3958" s="7">
        <v>31347000</v>
      </c>
      <c r="O3958" s="7">
        <v>17507700</v>
      </c>
      <c r="P3958" s="7">
        <v>0</v>
      </c>
      <c r="Q3958" s="7" t="str">
        <f t="shared" si="1395"/>
        <v>都市整備部</v>
      </c>
      <c r="R3958" s="7" t="str">
        <f t="shared" si="1393"/>
        <v>住宅建築局住宅経営室</v>
      </c>
    </row>
    <row r="3959" spans="1:18" s="1" customFormat="1" x14ac:dyDescent="0.45">
      <c r="A3959" s="7" t="str">
        <f t="shared" si="1396"/>
        <v>09940003548</v>
      </c>
      <c r="B3959" s="7" t="str">
        <f t="shared" si="1397"/>
        <v>茨木東奈良（旧茨木第２）</v>
      </c>
      <c r="C3959" s="7" t="str">
        <f t="shared" si="1394"/>
        <v>行政財産</v>
      </c>
      <c r="D3959" s="7" t="str">
        <f t="shared" si="1400"/>
        <v>公営住宅</v>
      </c>
      <c r="E3959" s="7" t="str">
        <f t="shared" si="1398"/>
        <v>大阪府茨木市東奈良２丁目</v>
      </c>
      <c r="F3959" s="7"/>
      <c r="G3959" s="7" t="str">
        <f t="shared" si="1388"/>
        <v>事業用資産</v>
      </c>
      <c r="H3959" s="7" t="str">
        <f t="shared" si="1387"/>
        <v>棚卸以外</v>
      </c>
      <c r="I3959" s="7">
        <v>16</v>
      </c>
      <c r="J3959" s="7" t="str">
        <f>"１３号棟"</f>
        <v>１３号棟</v>
      </c>
      <c r="K3959" s="7" t="str">
        <f t="shared" si="1386"/>
        <v>鉄筋コンクリート造</v>
      </c>
      <c r="L3959" s="7" t="str">
        <f t="shared" ref="L3959:L3965" si="1401">"H12.04.20"</f>
        <v>H12.04.20</v>
      </c>
      <c r="M3959" s="7">
        <v>1396.94</v>
      </c>
      <c r="N3959" s="7">
        <v>234985440</v>
      </c>
      <c r="O3959" s="7">
        <v>113967887</v>
      </c>
      <c r="P3959" s="7">
        <v>0</v>
      </c>
      <c r="Q3959" s="7" t="str">
        <f t="shared" si="1395"/>
        <v>都市整備部</v>
      </c>
      <c r="R3959" s="7" t="str">
        <f t="shared" si="1393"/>
        <v>住宅建築局住宅経営室</v>
      </c>
    </row>
    <row r="3960" spans="1:18" s="1" customFormat="1" x14ac:dyDescent="0.45">
      <c r="A3960" s="7" t="str">
        <f t="shared" si="1396"/>
        <v>09940003548</v>
      </c>
      <c r="B3960" s="7" t="str">
        <f t="shared" si="1397"/>
        <v>茨木東奈良（旧茨木第２）</v>
      </c>
      <c r="C3960" s="7" t="str">
        <f t="shared" si="1394"/>
        <v>行政財産</v>
      </c>
      <c r="D3960" s="7" t="str">
        <f t="shared" si="1400"/>
        <v>公営住宅</v>
      </c>
      <c r="E3960" s="7" t="str">
        <f t="shared" si="1398"/>
        <v>大阪府茨木市東奈良２丁目</v>
      </c>
      <c r="F3960" s="7"/>
      <c r="G3960" s="7" t="str">
        <f t="shared" si="1388"/>
        <v>事業用資産</v>
      </c>
      <c r="H3960" s="7" t="str">
        <f t="shared" si="1387"/>
        <v>棚卸以外</v>
      </c>
      <c r="I3960" s="7">
        <v>17</v>
      </c>
      <c r="J3960" s="7" t="str">
        <f>"１４号棟"</f>
        <v>１４号棟</v>
      </c>
      <c r="K3960" s="7" t="str">
        <f t="shared" si="1386"/>
        <v>鉄筋コンクリート造</v>
      </c>
      <c r="L3960" s="7" t="str">
        <f t="shared" si="1401"/>
        <v>H12.04.20</v>
      </c>
      <c r="M3960" s="7">
        <v>1581.5</v>
      </c>
      <c r="N3960" s="7">
        <v>264706439</v>
      </c>
      <c r="O3960" s="7">
        <v>128459287</v>
      </c>
      <c r="P3960" s="7">
        <v>0</v>
      </c>
      <c r="Q3960" s="7" t="str">
        <f t="shared" si="1395"/>
        <v>都市整備部</v>
      </c>
      <c r="R3960" s="7" t="str">
        <f t="shared" si="1393"/>
        <v>住宅建築局住宅経営室</v>
      </c>
    </row>
    <row r="3961" spans="1:18" s="1" customFormat="1" x14ac:dyDescent="0.45">
      <c r="A3961" s="7" t="str">
        <f t="shared" si="1396"/>
        <v>09940003548</v>
      </c>
      <c r="B3961" s="7" t="str">
        <f t="shared" si="1397"/>
        <v>茨木東奈良（旧茨木第２）</v>
      </c>
      <c r="C3961" s="7" t="str">
        <f t="shared" si="1394"/>
        <v>行政財産</v>
      </c>
      <c r="D3961" s="7" t="str">
        <f t="shared" si="1400"/>
        <v>公営住宅</v>
      </c>
      <c r="E3961" s="7" t="str">
        <f t="shared" si="1398"/>
        <v>大阪府茨木市東奈良２丁目</v>
      </c>
      <c r="F3961" s="7"/>
      <c r="G3961" s="7" t="str">
        <f t="shared" si="1388"/>
        <v>事業用資産</v>
      </c>
      <c r="H3961" s="7" t="str">
        <f t="shared" si="1387"/>
        <v>棚卸以外</v>
      </c>
      <c r="I3961" s="7">
        <v>18</v>
      </c>
      <c r="J3961" s="7" t="str">
        <f>"１５号棟"</f>
        <v>１５号棟</v>
      </c>
      <c r="K3961" s="7" t="str">
        <f t="shared" si="1386"/>
        <v>鉄筋コンクリート造</v>
      </c>
      <c r="L3961" s="7" t="str">
        <f t="shared" si="1401"/>
        <v>H12.04.20</v>
      </c>
      <c r="M3961" s="7">
        <v>1581.5</v>
      </c>
      <c r="N3961" s="7">
        <v>243909439</v>
      </c>
      <c r="O3961" s="7">
        <v>118318937</v>
      </c>
      <c r="P3961" s="7">
        <v>0</v>
      </c>
      <c r="Q3961" s="7" t="str">
        <f t="shared" si="1395"/>
        <v>都市整備部</v>
      </c>
      <c r="R3961" s="7" t="str">
        <f t="shared" si="1393"/>
        <v>住宅建築局住宅経営室</v>
      </c>
    </row>
    <row r="3962" spans="1:18" s="1" customFormat="1" x14ac:dyDescent="0.45">
      <c r="A3962" s="7" t="str">
        <f t="shared" si="1396"/>
        <v>09940003548</v>
      </c>
      <c r="B3962" s="7" t="str">
        <f t="shared" si="1397"/>
        <v>茨木東奈良（旧茨木第２）</v>
      </c>
      <c r="C3962" s="7" t="str">
        <f t="shared" si="1394"/>
        <v>行政財産</v>
      </c>
      <c r="D3962" s="7" t="str">
        <f t="shared" si="1400"/>
        <v>公営住宅</v>
      </c>
      <c r="E3962" s="7" t="str">
        <f t="shared" si="1398"/>
        <v>大阪府茨木市東奈良２丁目</v>
      </c>
      <c r="F3962" s="7"/>
      <c r="G3962" s="7" t="str">
        <f t="shared" si="1388"/>
        <v>事業用資産</v>
      </c>
      <c r="H3962" s="7" t="str">
        <f t="shared" si="1387"/>
        <v>棚卸以外</v>
      </c>
      <c r="I3962" s="7">
        <v>19</v>
      </c>
      <c r="J3962" s="7" t="str">
        <f>"１６号棟"</f>
        <v>１６号棟</v>
      </c>
      <c r="K3962" s="7" t="str">
        <f t="shared" si="1386"/>
        <v>鉄筋コンクリート造</v>
      </c>
      <c r="L3962" s="7" t="str">
        <f t="shared" si="1401"/>
        <v>H12.04.20</v>
      </c>
      <c r="M3962" s="7">
        <v>1581.5</v>
      </c>
      <c r="N3962" s="7">
        <v>252266439</v>
      </c>
      <c r="O3962" s="7">
        <v>122393887</v>
      </c>
      <c r="P3962" s="7">
        <v>0</v>
      </c>
      <c r="Q3962" s="7" t="str">
        <f t="shared" si="1395"/>
        <v>都市整備部</v>
      </c>
      <c r="R3962" s="7" t="str">
        <f t="shared" si="1393"/>
        <v>住宅建築局住宅経営室</v>
      </c>
    </row>
    <row r="3963" spans="1:18" s="1" customFormat="1" x14ac:dyDescent="0.45">
      <c r="A3963" s="7" t="str">
        <f t="shared" si="1396"/>
        <v>09940003548</v>
      </c>
      <c r="B3963" s="7" t="str">
        <f t="shared" si="1397"/>
        <v>茨木東奈良（旧茨木第２）</v>
      </c>
      <c r="C3963" s="7" t="str">
        <f t="shared" si="1394"/>
        <v>行政財産</v>
      </c>
      <c r="D3963" s="7" t="str">
        <f t="shared" si="1400"/>
        <v>公営住宅</v>
      </c>
      <c r="E3963" s="7" t="str">
        <f t="shared" si="1398"/>
        <v>大阪府茨木市東奈良２丁目</v>
      </c>
      <c r="F3963" s="7"/>
      <c r="G3963" s="7" t="str">
        <f t="shared" si="1388"/>
        <v>事業用資産</v>
      </c>
      <c r="H3963" s="7" t="str">
        <f t="shared" si="1387"/>
        <v>棚卸以外</v>
      </c>
      <c r="I3963" s="7">
        <v>20</v>
      </c>
      <c r="J3963" s="7" t="str">
        <f>"１７号棟"</f>
        <v>１７号棟</v>
      </c>
      <c r="K3963" s="7" t="str">
        <f t="shared" si="1386"/>
        <v>鉄筋コンクリート造</v>
      </c>
      <c r="L3963" s="7" t="str">
        <f t="shared" si="1401"/>
        <v>H12.04.20</v>
      </c>
      <c r="M3963" s="7">
        <v>517.29999999999995</v>
      </c>
      <c r="N3963" s="7">
        <v>84460000</v>
      </c>
      <c r="O3963" s="7">
        <v>41181800</v>
      </c>
      <c r="P3963" s="7">
        <v>0</v>
      </c>
      <c r="Q3963" s="7" t="str">
        <f t="shared" si="1395"/>
        <v>都市整備部</v>
      </c>
      <c r="R3963" s="7" t="str">
        <f t="shared" si="1393"/>
        <v>住宅建築局住宅経営室</v>
      </c>
    </row>
    <row r="3964" spans="1:18" s="1" customFormat="1" x14ac:dyDescent="0.45">
      <c r="A3964" s="7" t="str">
        <f t="shared" si="1396"/>
        <v>09940003548</v>
      </c>
      <c r="B3964" s="7" t="str">
        <f t="shared" si="1397"/>
        <v>茨木東奈良（旧茨木第２）</v>
      </c>
      <c r="C3964" s="7" t="str">
        <f t="shared" si="1394"/>
        <v>行政財産</v>
      </c>
      <c r="D3964" s="7" t="str">
        <f t="shared" si="1400"/>
        <v>公営住宅</v>
      </c>
      <c r="E3964" s="7" t="str">
        <f t="shared" si="1398"/>
        <v>大阪府茨木市東奈良２丁目</v>
      </c>
      <c r="F3964" s="7"/>
      <c r="G3964" s="7" t="str">
        <f t="shared" si="1388"/>
        <v>事業用資産</v>
      </c>
      <c r="H3964" s="7" t="str">
        <f t="shared" si="1387"/>
        <v>棚卸以外</v>
      </c>
      <c r="I3964" s="7">
        <v>21</v>
      </c>
      <c r="J3964" s="7" t="str">
        <f>"１８号棟"</f>
        <v>１８号棟</v>
      </c>
      <c r="K3964" s="7" t="str">
        <f t="shared" si="1386"/>
        <v>鉄筋コンクリート造</v>
      </c>
      <c r="L3964" s="7" t="str">
        <f t="shared" si="1401"/>
        <v>H12.04.20</v>
      </c>
      <c r="M3964" s="7">
        <v>520.9</v>
      </c>
      <c r="N3964" s="7">
        <v>90742000</v>
      </c>
      <c r="O3964" s="7">
        <v>44245025</v>
      </c>
      <c r="P3964" s="7">
        <v>0</v>
      </c>
      <c r="Q3964" s="7" t="str">
        <f t="shared" si="1395"/>
        <v>都市整備部</v>
      </c>
      <c r="R3964" s="7" t="str">
        <f t="shared" si="1393"/>
        <v>住宅建築局住宅経営室</v>
      </c>
    </row>
    <row r="3965" spans="1:18" s="1" customFormat="1" x14ac:dyDescent="0.45">
      <c r="A3965" s="7" t="str">
        <f t="shared" si="1396"/>
        <v>09940003548</v>
      </c>
      <c r="B3965" s="7" t="str">
        <f t="shared" si="1397"/>
        <v>茨木東奈良（旧茨木第２）</v>
      </c>
      <c r="C3965" s="7" t="str">
        <f t="shared" si="1394"/>
        <v>行政財産</v>
      </c>
      <c r="D3965" s="7" t="str">
        <f t="shared" si="1400"/>
        <v>公営住宅</v>
      </c>
      <c r="E3965" s="7" t="str">
        <f t="shared" si="1398"/>
        <v>大阪府茨木市東奈良２丁目</v>
      </c>
      <c r="F3965" s="7"/>
      <c r="G3965" s="7" t="str">
        <f t="shared" si="1388"/>
        <v>事業用資産</v>
      </c>
      <c r="H3965" s="7" t="str">
        <f t="shared" si="1387"/>
        <v>棚卸以外</v>
      </c>
      <c r="I3965" s="7">
        <v>22</v>
      </c>
      <c r="J3965" s="7" t="str">
        <f>"受水槽ポンプ室"</f>
        <v>受水槽ポンプ室</v>
      </c>
      <c r="K3965" s="7" t="str">
        <f t="shared" si="1386"/>
        <v>鉄筋コンクリート造</v>
      </c>
      <c r="L3965" s="7" t="str">
        <f t="shared" si="1401"/>
        <v>H12.04.20</v>
      </c>
      <c r="M3965" s="7">
        <v>59.99</v>
      </c>
      <c r="N3965" s="7">
        <v>27851000</v>
      </c>
      <c r="O3965" s="7">
        <v>13580050</v>
      </c>
      <c r="P3965" s="7">
        <v>0</v>
      </c>
      <c r="Q3965" s="7" t="str">
        <f t="shared" si="1395"/>
        <v>都市整備部</v>
      </c>
      <c r="R3965" s="7" t="str">
        <f t="shared" si="1393"/>
        <v>住宅建築局住宅経営室</v>
      </c>
    </row>
    <row r="3966" spans="1:18" s="1" customFormat="1" x14ac:dyDescent="0.45">
      <c r="A3966" s="7" t="str">
        <f t="shared" ref="A3966:A3977" si="1402">"09940003550"</f>
        <v>09940003550</v>
      </c>
      <c r="B3966" s="7" t="str">
        <f t="shared" ref="B3966:B3977" si="1403">"泉佐野長滝"</f>
        <v>泉佐野長滝</v>
      </c>
      <c r="C3966" s="7" t="str">
        <f t="shared" si="1394"/>
        <v>行政財産</v>
      </c>
      <c r="D3966" s="7" t="str">
        <f t="shared" si="1400"/>
        <v>公営住宅</v>
      </c>
      <c r="E3966" s="7" t="str">
        <f t="shared" ref="E3966:E3977" si="1404">"大阪府泉佐野市長滝"</f>
        <v>大阪府泉佐野市長滝</v>
      </c>
      <c r="F3966" s="7"/>
      <c r="G3966" s="7" t="str">
        <f t="shared" si="1388"/>
        <v>事業用資産</v>
      </c>
      <c r="H3966" s="7" t="str">
        <f t="shared" si="1387"/>
        <v>棚卸以外</v>
      </c>
      <c r="I3966" s="7">
        <v>1</v>
      </c>
      <c r="J3966" s="7" t="str">
        <f>"４号棟"</f>
        <v>４号棟</v>
      </c>
      <c r="K3966" s="7" t="str">
        <f t="shared" si="1386"/>
        <v>鉄筋コンクリート造</v>
      </c>
      <c r="L3966" s="7" t="str">
        <f>"H02.02.25"</f>
        <v>H02.02.25</v>
      </c>
      <c r="M3966" s="7">
        <v>1495.43</v>
      </c>
      <c r="N3966" s="7">
        <v>192511000</v>
      </c>
      <c r="O3966" s="7">
        <v>135508804</v>
      </c>
      <c r="P3966" s="7">
        <v>0</v>
      </c>
      <c r="Q3966" s="7" t="str">
        <f t="shared" si="1395"/>
        <v>都市整備部</v>
      </c>
      <c r="R3966" s="7" t="str">
        <f t="shared" si="1393"/>
        <v>住宅建築局住宅経営室</v>
      </c>
    </row>
    <row r="3967" spans="1:18" s="1" customFormat="1" x14ac:dyDescent="0.45">
      <c r="A3967" s="7" t="str">
        <f t="shared" si="1402"/>
        <v>09940003550</v>
      </c>
      <c r="B3967" s="7" t="str">
        <f t="shared" si="1403"/>
        <v>泉佐野長滝</v>
      </c>
      <c r="C3967" s="7" t="str">
        <f t="shared" si="1394"/>
        <v>行政財産</v>
      </c>
      <c r="D3967" s="7" t="str">
        <f t="shared" si="1400"/>
        <v>公営住宅</v>
      </c>
      <c r="E3967" s="7" t="str">
        <f t="shared" si="1404"/>
        <v>大阪府泉佐野市長滝</v>
      </c>
      <c r="F3967" s="7"/>
      <c r="G3967" s="7" t="str">
        <f t="shared" si="1388"/>
        <v>事業用資産</v>
      </c>
      <c r="H3967" s="7" t="str">
        <f t="shared" si="1387"/>
        <v>棚卸以外</v>
      </c>
      <c r="I3967" s="7">
        <v>2</v>
      </c>
      <c r="J3967" s="7" t="str">
        <f>"５号棟"</f>
        <v>５号棟</v>
      </c>
      <c r="K3967" s="7" t="str">
        <f t="shared" si="1386"/>
        <v>鉄筋コンクリート造</v>
      </c>
      <c r="L3967" s="7" t="str">
        <f>"H02.02.25"</f>
        <v>H02.02.25</v>
      </c>
      <c r="M3967" s="7">
        <v>2263.16</v>
      </c>
      <c r="N3967" s="7">
        <v>286234000</v>
      </c>
      <c r="O3967" s="7">
        <v>201480676</v>
      </c>
      <c r="P3967" s="7">
        <v>0</v>
      </c>
      <c r="Q3967" s="7" t="str">
        <f t="shared" si="1395"/>
        <v>都市整備部</v>
      </c>
      <c r="R3967" s="7" t="str">
        <f t="shared" si="1393"/>
        <v>住宅建築局住宅経営室</v>
      </c>
    </row>
    <row r="3968" spans="1:18" s="1" customFormat="1" x14ac:dyDescent="0.45">
      <c r="A3968" s="7" t="str">
        <f t="shared" si="1402"/>
        <v>09940003550</v>
      </c>
      <c r="B3968" s="7" t="str">
        <f t="shared" si="1403"/>
        <v>泉佐野長滝</v>
      </c>
      <c r="C3968" s="7" t="str">
        <f t="shared" si="1394"/>
        <v>行政財産</v>
      </c>
      <c r="D3968" s="7" t="str">
        <f t="shared" si="1400"/>
        <v>公営住宅</v>
      </c>
      <c r="E3968" s="7" t="str">
        <f t="shared" si="1404"/>
        <v>大阪府泉佐野市長滝</v>
      </c>
      <c r="F3968" s="7"/>
      <c r="G3968" s="7" t="str">
        <f t="shared" si="1388"/>
        <v>事業用資産</v>
      </c>
      <c r="H3968" s="7" t="str">
        <f t="shared" si="1387"/>
        <v>棚卸以外</v>
      </c>
      <c r="I3968" s="7">
        <v>3</v>
      </c>
      <c r="J3968" s="7" t="str">
        <f>"６号棟"</f>
        <v>６号棟</v>
      </c>
      <c r="K3968" s="7" t="str">
        <f t="shared" si="1386"/>
        <v>鉄筋コンクリート造</v>
      </c>
      <c r="L3968" s="7" t="str">
        <f>"H02.02.25"</f>
        <v>H02.02.25</v>
      </c>
      <c r="M3968" s="7">
        <v>5014.8100000000004</v>
      </c>
      <c r="N3968" s="7">
        <v>615433000</v>
      </c>
      <c r="O3968" s="7">
        <v>433204018</v>
      </c>
      <c r="P3968" s="7">
        <v>0</v>
      </c>
      <c r="Q3968" s="7" t="str">
        <f t="shared" si="1395"/>
        <v>都市整備部</v>
      </c>
      <c r="R3968" s="7" t="str">
        <f t="shared" si="1393"/>
        <v>住宅建築局住宅経営室</v>
      </c>
    </row>
    <row r="3969" spans="1:18" s="1" customFormat="1" x14ac:dyDescent="0.45">
      <c r="A3969" s="7" t="str">
        <f t="shared" si="1402"/>
        <v>09940003550</v>
      </c>
      <c r="B3969" s="7" t="str">
        <f t="shared" si="1403"/>
        <v>泉佐野長滝</v>
      </c>
      <c r="C3969" s="7" t="str">
        <f t="shared" si="1394"/>
        <v>行政財産</v>
      </c>
      <c r="D3969" s="7" t="str">
        <f t="shared" si="1400"/>
        <v>公営住宅</v>
      </c>
      <c r="E3969" s="7" t="str">
        <f t="shared" si="1404"/>
        <v>大阪府泉佐野市長滝</v>
      </c>
      <c r="F3969" s="7"/>
      <c r="G3969" s="7" t="str">
        <f t="shared" si="1388"/>
        <v>事業用資産</v>
      </c>
      <c r="H3969" s="7" t="str">
        <f t="shared" si="1387"/>
        <v>棚卸以外</v>
      </c>
      <c r="I3969" s="7">
        <v>4</v>
      </c>
      <c r="J3969" s="7" t="str">
        <f>"７号棟"</f>
        <v>７号棟</v>
      </c>
      <c r="K3969" s="7" t="str">
        <f t="shared" si="1386"/>
        <v>鉄筋コンクリート造</v>
      </c>
      <c r="L3969" s="7" t="str">
        <f>"H02.02.25"</f>
        <v>H02.02.25</v>
      </c>
      <c r="M3969" s="7">
        <v>1765.22</v>
      </c>
      <c r="N3969" s="7">
        <v>229592000</v>
      </c>
      <c r="O3969" s="7">
        <v>161610363</v>
      </c>
      <c r="P3969" s="7">
        <v>0</v>
      </c>
      <c r="Q3969" s="7" t="str">
        <f t="shared" si="1395"/>
        <v>都市整備部</v>
      </c>
      <c r="R3969" s="7" t="str">
        <f t="shared" si="1393"/>
        <v>住宅建築局住宅経営室</v>
      </c>
    </row>
    <row r="3970" spans="1:18" s="1" customFormat="1" x14ac:dyDescent="0.45">
      <c r="A3970" s="7" t="str">
        <f t="shared" si="1402"/>
        <v>09940003550</v>
      </c>
      <c r="B3970" s="7" t="str">
        <f t="shared" si="1403"/>
        <v>泉佐野長滝</v>
      </c>
      <c r="C3970" s="7" t="str">
        <f t="shared" si="1394"/>
        <v>行政財産</v>
      </c>
      <c r="D3970" s="7" t="str">
        <f t="shared" si="1400"/>
        <v>公営住宅</v>
      </c>
      <c r="E3970" s="7" t="str">
        <f t="shared" si="1404"/>
        <v>大阪府泉佐野市長滝</v>
      </c>
      <c r="F3970" s="7"/>
      <c r="G3970" s="7" t="str">
        <f t="shared" si="1388"/>
        <v>事業用資産</v>
      </c>
      <c r="H3970" s="7" t="str">
        <f t="shared" si="1387"/>
        <v>棚卸以外</v>
      </c>
      <c r="I3970" s="7">
        <v>5</v>
      </c>
      <c r="J3970" s="7" t="str">
        <f>"受水槽"</f>
        <v>受水槽</v>
      </c>
      <c r="K3970" s="7" t="str">
        <f t="shared" ref="K3970:K3982" si="1405">"鉄筋コンクリート造"</f>
        <v>鉄筋コンクリート造</v>
      </c>
      <c r="L3970" s="7" t="str">
        <f>"H02.02.25"</f>
        <v>H02.02.25</v>
      </c>
      <c r="M3970" s="7">
        <v>101.63</v>
      </c>
      <c r="N3970" s="7">
        <v>29202000</v>
      </c>
      <c r="O3970" s="7">
        <v>20555469</v>
      </c>
      <c r="P3970" s="7">
        <v>0</v>
      </c>
      <c r="Q3970" s="7" t="str">
        <f t="shared" si="1395"/>
        <v>都市整備部</v>
      </c>
      <c r="R3970" s="7" t="str">
        <f t="shared" si="1393"/>
        <v>住宅建築局住宅経営室</v>
      </c>
    </row>
    <row r="3971" spans="1:18" s="1" customFormat="1" x14ac:dyDescent="0.45">
      <c r="A3971" s="7" t="str">
        <f t="shared" si="1402"/>
        <v>09940003550</v>
      </c>
      <c r="B3971" s="7" t="str">
        <f t="shared" si="1403"/>
        <v>泉佐野長滝</v>
      </c>
      <c r="C3971" s="7" t="str">
        <f t="shared" si="1394"/>
        <v>行政財産</v>
      </c>
      <c r="D3971" s="7" t="str">
        <f t="shared" si="1400"/>
        <v>公営住宅</v>
      </c>
      <c r="E3971" s="7" t="str">
        <f t="shared" si="1404"/>
        <v>大阪府泉佐野市長滝</v>
      </c>
      <c r="F3971" s="7"/>
      <c r="G3971" s="7" t="str">
        <f t="shared" si="1388"/>
        <v>事業用資産</v>
      </c>
      <c r="H3971" s="7" t="str">
        <f t="shared" si="1387"/>
        <v>棚卸以外</v>
      </c>
      <c r="I3971" s="7">
        <v>6</v>
      </c>
      <c r="J3971" s="7" t="str">
        <f>"１号棟"</f>
        <v>１号棟</v>
      </c>
      <c r="K3971" s="7" t="str">
        <f t="shared" si="1405"/>
        <v>鉄筋コンクリート造</v>
      </c>
      <c r="L3971" s="7" t="str">
        <f>"H03.11.09"</f>
        <v>H03.11.09</v>
      </c>
      <c r="M3971" s="7">
        <v>1952.88</v>
      </c>
      <c r="N3971" s="7">
        <v>279314000</v>
      </c>
      <c r="O3971" s="7">
        <v>186209488</v>
      </c>
      <c r="P3971" s="7">
        <v>0</v>
      </c>
      <c r="Q3971" s="7" t="str">
        <f t="shared" si="1395"/>
        <v>都市整備部</v>
      </c>
      <c r="R3971" s="7" t="str">
        <f t="shared" si="1393"/>
        <v>住宅建築局住宅経営室</v>
      </c>
    </row>
    <row r="3972" spans="1:18" s="1" customFormat="1" x14ac:dyDescent="0.45">
      <c r="A3972" s="7" t="str">
        <f t="shared" si="1402"/>
        <v>09940003550</v>
      </c>
      <c r="B3972" s="7" t="str">
        <f t="shared" si="1403"/>
        <v>泉佐野長滝</v>
      </c>
      <c r="C3972" s="7" t="str">
        <f t="shared" si="1394"/>
        <v>行政財産</v>
      </c>
      <c r="D3972" s="7" t="str">
        <f t="shared" si="1400"/>
        <v>公営住宅</v>
      </c>
      <c r="E3972" s="7" t="str">
        <f t="shared" si="1404"/>
        <v>大阪府泉佐野市長滝</v>
      </c>
      <c r="F3972" s="7"/>
      <c r="G3972" s="7" t="str">
        <f t="shared" si="1388"/>
        <v>事業用資産</v>
      </c>
      <c r="H3972" s="7" t="str">
        <f t="shared" ref="H3972:H4035" si="1406">"棚卸以外"</f>
        <v>棚卸以外</v>
      </c>
      <c r="I3972" s="7">
        <v>7</v>
      </c>
      <c r="J3972" s="7" t="str">
        <f>"２号棟"</f>
        <v>２号棟</v>
      </c>
      <c r="K3972" s="7" t="str">
        <f t="shared" si="1405"/>
        <v>鉄筋コンクリート造</v>
      </c>
      <c r="L3972" s="7" t="str">
        <f>"H03.11.09"</f>
        <v>H03.11.09</v>
      </c>
      <c r="M3972" s="7">
        <v>5426.8</v>
      </c>
      <c r="N3972" s="7">
        <v>742103000</v>
      </c>
      <c r="O3972" s="7">
        <v>493571449</v>
      </c>
      <c r="P3972" s="7">
        <v>0</v>
      </c>
      <c r="Q3972" s="7" t="str">
        <f t="shared" si="1395"/>
        <v>都市整備部</v>
      </c>
      <c r="R3972" s="7" t="str">
        <f t="shared" si="1393"/>
        <v>住宅建築局住宅経営室</v>
      </c>
    </row>
    <row r="3973" spans="1:18" s="1" customFormat="1" x14ac:dyDescent="0.45">
      <c r="A3973" s="7" t="str">
        <f t="shared" si="1402"/>
        <v>09940003550</v>
      </c>
      <c r="B3973" s="7" t="str">
        <f t="shared" si="1403"/>
        <v>泉佐野長滝</v>
      </c>
      <c r="C3973" s="7" t="str">
        <f t="shared" si="1394"/>
        <v>行政財産</v>
      </c>
      <c r="D3973" s="7" t="str">
        <f t="shared" si="1400"/>
        <v>公営住宅</v>
      </c>
      <c r="E3973" s="7" t="str">
        <f t="shared" si="1404"/>
        <v>大阪府泉佐野市長滝</v>
      </c>
      <c r="F3973" s="7"/>
      <c r="G3973" s="7" t="str">
        <f t="shared" si="1388"/>
        <v>事業用資産</v>
      </c>
      <c r="H3973" s="7" t="str">
        <f t="shared" si="1406"/>
        <v>棚卸以外</v>
      </c>
      <c r="I3973" s="7">
        <v>8</v>
      </c>
      <c r="J3973" s="7" t="str">
        <f>"３号棟"</f>
        <v>３号棟</v>
      </c>
      <c r="K3973" s="7" t="str">
        <f t="shared" si="1405"/>
        <v>鉄筋コンクリート造</v>
      </c>
      <c r="L3973" s="7" t="str">
        <f>"H03.11.09"</f>
        <v>H03.11.09</v>
      </c>
      <c r="M3973" s="7">
        <v>3311.04</v>
      </c>
      <c r="N3973" s="7">
        <v>458409000</v>
      </c>
      <c r="O3973" s="7">
        <v>305606032</v>
      </c>
      <c r="P3973" s="7">
        <v>0</v>
      </c>
      <c r="Q3973" s="7" t="str">
        <f t="shared" si="1395"/>
        <v>都市整備部</v>
      </c>
      <c r="R3973" s="7" t="str">
        <f t="shared" si="1393"/>
        <v>住宅建築局住宅経営室</v>
      </c>
    </row>
    <row r="3974" spans="1:18" s="1" customFormat="1" x14ac:dyDescent="0.45">
      <c r="A3974" s="7" t="str">
        <f t="shared" si="1402"/>
        <v>09940003550</v>
      </c>
      <c r="B3974" s="7" t="str">
        <f t="shared" si="1403"/>
        <v>泉佐野長滝</v>
      </c>
      <c r="C3974" s="7" t="str">
        <f t="shared" si="1394"/>
        <v>行政財産</v>
      </c>
      <c r="D3974" s="7" t="str">
        <f t="shared" si="1400"/>
        <v>公営住宅</v>
      </c>
      <c r="E3974" s="7" t="str">
        <f t="shared" si="1404"/>
        <v>大阪府泉佐野市長滝</v>
      </c>
      <c r="F3974" s="7"/>
      <c r="G3974" s="7" t="str">
        <f t="shared" si="1388"/>
        <v>事業用資産</v>
      </c>
      <c r="H3974" s="7" t="str">
        <f t="shared" si="1406"/>
        <v>棚卸以外</v>
      </c>
      <c r="I3974" s="7">
        <v>9</v>
      </c>
      <c r="J3974" s="7" t="str">
        <f>"浄化槽"</f>
        <v>浄化槽</v>
      </c>
      <c r="K3974" s="7" t="str">
        <f t="shared" si="1405"/>
        <v>鉄筋コンクリート造</v>
      </c>
      <c r="L3974" s="7" t="str">
        <f>"H03.11.09"</f>
        <v>H03.11.09</v>
      </c>
      <c r="M3974" s="7">
        <v>30.95</v>
      </c>
      <c r="N3974" s="7">
        <v>76472000</v>
      </c>
      <c r="O3974" s="7">
        <v>50981464</v>
      </c>
      <c r="P3974" s="7">
        <v>0</v>
      </c>
      <c r="Q3974" s="7" t="str">
        <f t="shared" si="1395"/>
        <v>都市整備部</v>
      </c>
      <c r="R3974" s="7" t="str">
        <f t="shared" si="1393"/>
        <v>住宅建築局住宅経営室</v>
      </c>
    </row>
    <row r="3975" spans="1:18" s="1" customFormat="1" x14ac:dyDescent="0.45">
      <c r="A3975" s="7" t="str">
        <f t="shared" si="1402"/>
        <v>09940003550</v>
      </c>
      <c r="B3975" s="7" t="str">
        <f t="shared" si="1403"/>
        <v>泉佐野長滝</v>
      </c>
      <c r="C3975" s="7" t="str">
        <f t="shared" si="1394"/>
        <v>行政財産</v>
      </c>
      <c r="D3975" s="7" t="str">
        <f t="shared" si="1400"/>
        <v>公営住宅</v>
      </c>
      <c r="E3975" s="7" t="str">
        <f t="shared" si="1404"/>
        <v>大阪府泉佐野市長滝</v>
      </c>
      <c r="F3975" s="7"/>
      <c r="G3975" s="7" t="str">
        <f t="shared" si="1388"/>
        <v>事業用資産</v>
      </c>
      <c r="H3975" s="7" t="str">
        <f t="shared" si="1406"/>
        <v>棚卸以外</v>
      </c>
      <c r="I3975" s="7">
        <v>10</v>
      </c>
      <c r="J3975" s="7" t="str">
        <f>"集会所"</f>
        <v>集会所</v>
      </c>
      <c r="K3975" s="7" t="str">
        <f t="shared" si="1405"/>
        <v>鉄筋コンクリート造</v>
      </c>
      <c r="L3975" s="7" t="str">
        <f>"H03.11.09"</f>
        <v>H03.11.09</v>
      </c>
      <c r="M3975" s="7">
        <v>149.9</v>
      </c>
      <c r="N3975" s="7">
        <v>32409000</v>
      </c>
      <c r="O3975" s="7">
        <v>21606088</v>
      </c>
      <c r="P3975" s="7">
        <v>0</v>
      </c>
      <c r="Q3975" s="7" t="str">
        <f t="shared" si="1395"/>
        <v>都市整備部</v>
      </c>
      <c r="R3975" s="7" t="str">
        <f t="shared" si="1393"/>
        <v>住宅建築局住宅経営室</v>
      </c>
    </row>
    <row r="3976" spans="1:18" s="1" customFormat="1" x14ac:dyDescent="0.45">
      <c r="A3976" s="7" t="str">
        <f t="shared" si="1402"/>
        <v>09940003550</v>
      </c>
      <c r="B3976" s="7" t="str">
        <f t="shared" si="1403"/>
        <v>泉佐野長滝</v>
      </c>
      <c r="C3976" s="7" t="str">
        <f t="shared" si="1394"/>
        <v>行政財産</v>
      </c>
      <c r="D3976" s="7" t="str">
        <f t="shared" si="1400"/>
        <v>公営住宅</v>
      </c>
      <c r="E3976" s="7" t="str">
        <f t="shared" si="1404"/>
        <v>大阪府泉佐野市長滝</v>
      </c>
      <c r="F3976" s="7"/>
      <c r="G3976" s="7" t="str">
        <f t="shared" si="1388"/>
        <v>事業用資産</v>
      </c>
      <c r="H3976" s="7" t="str">
        <f t="shared" si="1406"/>
        <v>棚卸以外</v>
      </c>
      <c r="I3976" s="7">
        <v>11</v>
      </c>
      <c r="J3976" s="7" t="str">
        <f>"汚水処理場"</f>
        <v>汚水処理場</v>
      </c>
      <c r="K3976" s="7" t="str">
        <f t="shared" si="1405"/>
        <v>鉄筋コンクリート造</v>
      </c>
      <c r="L3976" s="7" t="str">
        <f>"H02.04.10"</f>
        <v>H02.04.10</v>
      </c>
      <c r="M3976" s="7">
        <v>301.74</v>
      </c>
      <c r="N3976" s="7">
        <v>68289000</v>
      </c>
      <c r="O3976" s="7">
        <v>47826600</v>
      </c>
      <c r="P3976" s="7">
        <v>0</v>
      </c>
      <c r="Q3976" s="7" t="str">
        <f t="shared" si="1395"/>
        <v>都市整備部</v>
      </c>
      <c r="R3976" s="7" t="str">
        <f t="shared" si="1393"/>
        <v>住宅建築局住宅経営室</v>
      </c>
    </row>
    <row r="3977" spans="1:18" s="1" customFormat="1" x14ac:dyDescent="0.45">
      <c r="A3977" s="7" t="str">
        <f t="shared" si="1402"/>
        <v>09940003550</v>
      </c>
      <c r="B3977" s="7" t="str">
        <f t="shared" si="1403"/>
        <v>泉佐野長滝</v>
      </c>
      <c r="C3977" s="7" t="str">
        <f t="shared" si="1394"/>
        <v>行政財産</v>
      </c>
      <c r="D3977" s="7" t="str">
        <f t="shared" si="1400"/>
        <v>公営住宅</v>
      </c>
      <c r="E3977" s="7" t="str">
        <f t="shared" si="1404"/>
        <v>大阪府泉佐野市長滝</v>
      </c>
      <c r="F3977" s="7"/>
      <c r="G3977" s="7" t="str">
        <f t="shared" si="1388"/>
        <v>事業用資産</v>
      </c>
      <c r="H3977" s="7" t="str">
        <f t="shared" si="1406"/>
        <v>棚卸以外</v>
      </c>
      <c r="I3977" s="7">
        <v>12</v>
      </c>
      <c r="J3977" s="7" t="str">
        <f>"受水槽（１９０ｔ）"</f>
        <v>受水槽（１９０ｔ）</v>
      </c>
      <c r="K3977" s="7" t="str">
        <f t="shared" si="1405"/>
        <v>鉄筋コンクリート造</v>
      </c>
      <c r="L3977" s="7" t="str">
        <f>"H02.04.10"</f>
        <v>H02.04.10</v>
      </c>
      <c r="M3977" s="7">
        <v>101.63</v>
      </c>
      <c r="N3977" s="7">
        <v>29786000</v>
      </c>
      <c r="O3977" s="7">
        <v>20861135</v>
      </c>
      <c r="P3977" s="7">
        <v>0</v>
      </c>
      <c r="Q3977" s="7" t="str">
        <f t="shared" si="1395"/>
        <v>都市整備部</v>
      </c>
      <c r="R3977" s="7" t="str">
        <f t="shared" si="1393"/>
        <v>住宅建築局住宅経営室</v>
      </c>
    </row>
    <row r="3978" spans="1:18" s="1" customFormat="1" x14ac:dyDescent="0.45">
      <c r="A3978" s="7" t="str">
        <f>"09940003551"</f>
        <v>09940003551</v>
      </c>
      <c r="B3978" s="7" t="str">
        <f>"八尾西山本（旧中野）"</f>
        <v>八尾西山本（旧中野）</v>
      </c>
      <c r="C3978" s="7" t="str">
        <f t="shared" si="1394"/>
        <v>行政財産</v>
      </c>
      <c r="D3978" s="7" t="str">
        <f t="shared" si="1400"/>
        <v>公営住宅</v>
      </c>
      <c r="E3978" s="7" t="str">
        <f>"大阪府八尾市西山本町１丁目"</f>
        <v>大阪府八尾市西山本町１丁目</v>
      </c>
      <c r="F3978" s="7"/>
      <c r="G3978" s="7" t="str">
        <f t="shared" si="1388"/>
        <v>事業用資産</v>
      </c>
      <c r="H3978" s="7" t="str">
        <f t="shared" si="1406"/>
        <v>棚卸以外</v>
      </c>
      <c r="I3978" s="7">
        <v>1</v>
      </c>
      <c r="J3978" s="7" t="str">
        <f>"１号棟"</f>
        <v>１号棟</v>
      </c>
      <c r="K3978" s="7" t="str">
        <f t="shared" si="1405"/>
        <v>鉄筋コンクリート造</v>
      </c>
      <c r="L3978" s="7" t="str">
        <f>"H02.04.27"</f>
        <v>H02.04.27</v>
      </c>
      <c r="M3978" s="7">
        <v>1702.78</v>
      </c>
      <c r="N3978" s="7">
        <v>248185400</v>
      </c>
      <c r="O3978" s="7">
        <v>173637655</v>
      </c>
      <c r="P3978" s="7">
        <v>0</v>
      </c>
      <c r="Q3978" s="7" t="str">
        <f t="shared" si="1395"/>
        <v>都市整備部</v>
      </c>
      <c r="R3978" s="7" t="str">
        <f t="shared" si="1393"/>
        <v>住宅建築局住宅経営室</v>
      </c>
    </row>
    <row r="3979" spans="1:18" s="1" customFormat="1" x14ac:dyDescent="0.45">
      <c r="A3979" s="7" t="str">
        <f>"09940003551"</f>
        <v>09940003551</v>
      </c>
      <c r="B3979" s="7" t="str">
        <f>"八尾西山本（旧中野）"</f>
        <v>八尾西山本（旧中野）</v>
      </c>
      <c r="C3979" s="7" t="str">
        <f t="shared" si="1394"/>
        <v>行政財産</v>
      </c>
      <c r="D3979" s="7" t="str">
        <f t="shared" si="1400"/>
        <v>公営住宅</v>
      </c>
      <c r="E3979" s="7" t="str">
        <f>"大阪府八尾市西山本町１丁目"</f>
        <v>大阪府八尾市西山本町１丁目</v>
      </c>
      <c r="F3979" s="7"/>
      <c r="G3979" s="7" t="str">
        <f t="shared" si="1388"/>
        <v>事業用資産</v>
      </c>
      <c r="H3979" s="7" t="str">
        <f t="shared" si="1406"/>
        <v>棚卸以外</v>
      </c>
      <c r="I3979" s="7">
        <v>2</v>
      </c>
      <c r="J3979" s="7" t="str">
        <f>"２号棟"</f>
        <v>２号棟</v>
      </c>
      <c r="K3979" s="7" t="str">
        <f t="shared" si="1405"/>
        <v>鉄筋コンクリート造</v>
      </c>
      <c r="L3979" s="7" t="str">
        <f>"H02.04.27"</f>
        <v>H02.04.27</v>
      </c>
      <c r="M3979" s="7">
        <v>2166.46</v>
      </c>
      <c r="N3979" s="7">
        <v>298842000</v>
      </c>
      <c r="O3979" s="7">
        <v>209295490</v>
      </c>
      <c r="P3979" s="7">
        <v>0</v>
      </c>
      <c r="Q3979" s="7" t="str">
        <f t="shared" si="1395"/>
        <v>都市整備部</v>
      </c>
      <c r="R3979" s="7" t="str">
        <f t="shared" si="1393"/>
        <v>住宅建築局住宅経営室</v>
      </c>
    </row>
    <row r="3980" spans="1:18" s="1" customFormat="1" x14ac:dyDescent="0.45">
      <c r="A3980" s="7" t="str">
        <f>"09940003551"</f>
        <v>09940003551</v>
      </c>
      <c r="B3980" s="7" t="str">
        <f>"八尾西山本（旧中野）"</f>
        <v>八尾西山本（旧中野）</v>
      </c>
      <c r="C3980" s="7" t="str">
        <f t="shared" si="1394"/>
        <v>行政財産</v>
      </c>
      <c r="D3980" s="7" t="str">
        <f t="shared" si="1400"/>
        <v>公営住宅</v>
      </c>
      <c r="E3980" s="7" t="str">
        <f>"大阪府八尾市西山本町１丁目"</f>
        <v>大阪府八尾市西山本町１丁目</v>
      </c>
      <c r="F3980" s="7"/>
      <c r="G3980" s="7" t="str">
        <f t="shared" si="1388"/>
        <v>事業用資産</v>
      </c>
      <c r="H3980" s="7" t="str">
        <f t="shared" si="1406"/>
        <v>棚卸以外</v>
      </c>
      <c r="I3980" s="7">
        <v>3</v>
      </c>
      <c r="J3980" s="7" t="str">
        <f>"３号棟"</f>
        <v>３号棟</v>
      </c>
      <c r="K3980" s="7" t="str">
        <f t="shared" si="1405"/>
        <v>鉄筋コンクリート造</v>
      </c>
      <c r="L3980" s="7" t="str">
        <f>"H02.04.27"</f>
        <v>H02.04.27</v>
      </c>
      <c r="M3980" s="7">
        <v>1702.78</v>
      </c>
      <c r="N3980" s="7">
        <v>263804000</v>
      </c>
      <c r="O3980" s="7">
        <v>184756510</v>
      </c>
      <c r="P3980" s="7">
        <v>0</v>
      </c>
      <c r="Q3980" s="7" t="str">
        <f t="shared" si="1395"/>
        <v>都市整備部</v>
      </c>
      <c r="R3980" s="7" t="str">
        <f t="shared" si="1393"/>
        <v>住宅建築局住宅経営室</v>
      </c>
    </row>
    <row r="3981" spans="1:18" s="1" customFormat="1" x14ac:dyDescent="0.45">
      <c r="A3981" s="7" t="str">
        <f>"09940003551"</f>
        <v>09940003551</v>
      </c>
      <c r="B3981" s="7" t="str">
        <f>"八尾西山本（旧中野）"</f>
        <v>八尾西山本（旧中野）</v>
      </c>
      <c r="C3981" s="7" t="str">
        <f t="shared" si="1394"/>
        <v>行政財産</v>
      </c>
      <c r="D3981" s="7" t="str">
        <f t="shared" si="1400"/>
        <v>公営住宅</v>
      </c>
      <c r="E3981" s="7" t="str">
        <f>"大阪府八尾市西山本町１丁目"</f>
        <v>大阪府八尾市西山本町１丁目</v>
      </c>
      <c r="F3981" s="7"/>
      <c r="G3981" s="7" t="str">
        <f t="shared" si="1388"/>
        <v>事業用資産</v>
      </c>
      <c r="H3981" s="7" t="str">
        <f t="shared" si="1406"/>
        <v>棚卸以外</v>
      </c>
      <c r="I3981" s="7">
        <v>4</v>
      </c>
      <c r="J3981" s="7" t="str">
        <f>"集会所"</f>
        <v>集会所</v>
      </c>
      <c r="K3981" s="7" t="str">
        <f t="shared" si="1405"/>
        <v>鉄筋コンクリート造</v>
      </c>
      <c r="L3981" s="7" t="str">
        <f>"H02.04.27"</f>
        <v>H02.04.27</v>
      </c>
      <c r="M3981" s="7">
        <v>71.790000000000006</v>
      </c>
      <c r="N3981" s="7">
        <v>16467000</v>
      </c>
      <c r="O3981" s="7">
        <v>11532815</v>
      </c>
      <c r="P3981" s="7">
        <v>0</v>
      </c>
      <c r="Q3981" s="7" t="str">
        <f t="shared" si="1395"/>
        <v>都市整備部</v>
      </c>
      <c r="R3981" s="7" t="str">
        <f t="shared" si="1393"/>
        <v>住宅建築局住宅経営室</v>
      </c>
    </row>
    <row r="3982" spans="1:18" s="1" customFormat="1" x14ac:dyDescent="0.45">
      <c r="A3982" s="7" t="str">
        <f>"09940003551"</f>
        <v>09940003551</v>
      </c>
      <c r="B3982" s="7" t="str">
        <f>"八尾西山本（旧中野）"</f>
        <v>八尾西山本（旧中野）</v>
      </c>
      <c r="C3982" s="7" t="str">
        <f t="shared" si="1394"/>
        <v>行政財産</v>
      </c>
      <c r="D3982" s="7" t="str">
        <f t="shared" si="1400"/>
        <v>公営住宅</v>
      </c>
      <c r="E3982" s="7" t="str">
        <f>"大阪府八尾市西山本町１丁目"</f>
        <v>大阪府八尾市西山本町１丁目</v>
      </c>
      <c r="F3982" s="7"/>
      <c r="G3982" s="7" t="str">
        <f t="shared" si="1388"/>
        <v>事業用資産</v>
      </c>
      <c r="H3982" s="7" t="str">
        <f t="shared" si="1406"/>
        <v>棚卸以外</v>
      </c>
      <c r="I3982" s="7">
        <v>5</v>
      </c>
      <c r="J3982" s="7" t="str">
        <f>"受水槽"</f>
        <v>受水槽</v>
      </c>
      <c r="K3982" s="7" t="str">
        <f t="shared" si="1405"/>
        <v>鉄筋コンクリート造</v>
      </c>
      <c r="L3982" s="7" t="str">
        <f>"H02.04.27"</f>
        <v>H02.04.27</v>
      </c>
      <c r="M3982" s="7">
        <v>35.85</v>
      </c>
      <c r="N3982" s="7">
        <v>14944000</v>
      </c>
      <c r="O3982" s="7">
        <v>10466315</v>
      </c>
      <c r="P3982" s="7">
        <v>0</v>
      </c>
      <c r="Q3982" s="7" t="str">
        <f t="shared" si="1395"/>
        <v>都市整備部</v>
      </c>
      <c r="R3982" s="7" t="str">
        <f t="shared" si="1393"/>
        <v>住宅建築局住宅経営室</v>
      </c>
    </row>
    <row r="3983" spans="1:18" s="1" customFormat="1" ht="26.4" x14ac:dyDescent="0.45">
      <c r="A3983" s="7" t="str">
        <f t="shared" ref="A3983:A3992" si="1407">"09940003552"</f>
        <v>09940003552</v>
      </c>
      <c r="B3983" s="7" t="str">
        <f t="shared" ref="B3983:B3992" si="1408">"枚方樋之上"</f>
        <v>枚方樋之上</v>
      </c>
      <c r="C3983" s="7" t="str">
        <f t="shared" si="1394"/>
        <v>行政財産</v>
      </c>
      <c r="D3983" s="7" t="str">
        <f t="shared" si="1400"/>
        <v>公営住宅</v>
      </c>
      <c r="E3983" s="7" t="str">
        <f t="shared" ref="E3983:E3992" si="1409">"大阪府枚方市樋之上町"</f>
        <v>大阪府枚方市樋之上町</v>
      </c>
      <c r="F3983" s="7"/>
      <c r="G3983" s="7" t="str">
        <f t="shared" si="1388"/>
        <v>事業用資産</v>
      </c>
      <c r="H3983" s="7" t="str">
        <f t="shared" si="1406"/>
        <v>棚卸以外</v>
      </c>
      <c r="I3983" s="7">
        <v>1</v>
      </c>
      <c r="J3983" s="7" t="str">
        <f>"２号棟"</f>
        <v>２号棟</v>
      </c>
      <c r="K3983" s="7" t="str">
        <f t="shared" ref="K3983:K3988" si="1410">"鉄骨鉄筋コンクリート造"</f>
        <v>鉄骨鉄筋コンクリート造</v>
      </c>
      <c r="L3983" s="7" t="str">
        <f t="shared" ref="L3983:L3992" si="1411">"S53.03.20"</f>
        <v>S53.03.20</v>
      </c>
      <c r="M3983" s="7">
        <v>3841.49</v>
      </c>
      <c r="N3983" s="7">
        <v>459311112</v>
      </c>
      <c r="O3983" s="7">
        <v>435656028</v>
      </c>
      <c r="P3983" s="7">
        <v>0</v>
      </c>
      <c r="Q3983" s="7" t="str">
        <f t="shared" si="1395"/>
        <v>都市整備部</v>
      </c>
      <c r="R3983" s="7" t="str">
        <f t="shared" si="1393"/>
        <v>住宅建築局住宅経営室</v>
      </c>
    </row>
    <row r="3984" spans="1:18" s="1" customFormat="1" ht="26.4" x14ac:dyDescent="0.45">
      <c r="A3984" s="7" t="str">
        <f t="shared" si="1407"/>
        <v>09940003552</v>
      </c>
      <c r="B3984" s="7" t="str">
        <f t="shared" si="1408"/>
        <v>枚方樋之上</v>
      </c>
      <c r="C3984" s="7" t="str">
        <f t="shared" si="1394"/>
        <v>行政財産</v>
      </c>
      <c r="D3984" s="7" t="str">
        <f t="shared" si="1400"/>
        <v>公営住宅</v>
      </c>
      <c r="E3984" s="7" t="str">
        <f t="shared" si="1409"/>
        <v>大阪府枚方市樋之上町</v>
      </c>
      <c r="F3984" s="7"/>
      <c r="G3984" s="7" t="str">
        <f t="shared" si="1388"/>
        <v>事業用資産</v>
      </c>
      <c r="H3984" s="7" t="str">
        <f t="shared" si="1406"/>
        <v>棚卸以外</v>
      </c>
      <c r="I3984" s="7">
        <v>2</v>
      </c>
      <c r="J3984" s="7" t="str">
        <f>"１号棟"</f>
        <v>１号棟</v>
      </c>
      <c r="K3984" s="7" t="str">
        <f t="shared" si="1410"/>
        <v>鉄骨鉄筋コンクリート造</v>
      </c>
      <c r="L3984" s="7" t="str">
        <f t="shared" si="1411"/>
        <v>S53.03.20</v>
      </c>
      <c r="M3984" s="7">
        <v>7872.78</v>
      </c>
      <c r="N3984" s="7">
        <v>923689223</v>
      </c>
      <c r="O3984" s="7">
        <v>876162774</v>
      </c>
      <c r="P3984" s="7">
        <v>0</v>
      </c>
      <c r="Q3984" s="7" t="str">
        <f t="shared" si="1395"/>
        <v>都市整備部</v>
      </c>
      <c r="R3984" s="7" t="str">
        <f t="shared" si="1393"/>
        <v>住宅建築局住宅経営室</v>
      </c>
    </row>
    <row r="3985" spans="1:18" s="1" customFormat="1" ht="26.4" x14ac:dyDescent="0.45">
      <c r="A3985" s="7" t="str">
        <f t="shared" si="1407"/>
        <v>09940003552</v>
      </c>
      <c r="B3985" s="7" t="str">
        <f t="shared" si="1408"/>
        <v>枚方樋之上</v>
      </c>
      <c r="C3985" s="7" t="str">
        <f t="shared" si="1394"/>
        <v>行政財産</v>
      </c>
      <c r="D3985" s="7" t="str">
        <f t="shared" si="1400"/>
        <v>公営住宅</v>
      </c>
      <c r="E3985" s="7" t="str">
        <f t="shared" si="1409"/>
        <v>大阪府枚方市樋之上町</v>
      </c>
      <c r="F3985" s="7"/>
      <c r="G3985" s="7" t="str">
        <f t="shared" si="1388"/>
        <v>事業用資産</v>
      </c>
      <c r="H3985" s="7" t="str">
        <f t="shared" si="1406"/>
        <v>棚卸以外</v>
      </c>
      <c r="I3985" s="7">
        <v>3</v>
      </c>
      <c r="J3985" s="7" t="str">
        <f>"３号棟"</f>
        <v>３号棟</v>
      </c>
      <c r="K3985" s="7" t="str">
        <f t="shared" si="1410"/>
        <v>鉄骨鉄筋コンクリート造</v>
      </c>
      <c r="L3985" s="7" t="str">
        <f t="shared" si="1411"/>
        <v>S53.03.20</v>
      </c>
      <c r="M3985" s="7">
        <v>4853.62</v>
      </c>
      <c r="N3985" s="7">
        <v>587527538</v>
      </c>
      <c r="O3985" s="7">
        <v>554856294</v>
      </c>
      <c r="P3985" s="7">
        <v>0</v>
      </c>
      <c r="Q3985" s="7" t="str">
        <f t="shared" si="1395"/>
        <v>都市整備部</v>
      </c>
      <c r="R3985" s="7" t="str">
        <f t="shared" si="1393"/>
        <v>住宅建築局住宅経営室</v>
      </c>
    </row>
    <row r="3986" spans="1:18" s="1" customFormat="1" ht="26.4" x14ac:dyDescent="0.45">
      <c r="A3986" s="7" t="str">
        <f t="shared" si="1407"/>
        <v>09940003552</v>
      </c>
      <c r="B3986" s="7" t="str">
        <f t="shared" si="1408"/>
        <v>枚方樋之上</v>
      </c>
      <c r="C3986" s="7" t="str">
        <f t="shared" si="1394"/>
        <v>行政財産</v>
      </c>
      <c r="D3986" s="7" t="str">
        <f t="shared" si="1400"/>
        <v>公営住宅</v>
      </c>
      <c r="E3986" s="7" t="str">
        <f t="shared" si="1409"/>
        <v>大阪府枚方市樋之上町</v>
      </c>
      <c r="F3986" s="7"/>
      <c r="G3986" s="7" t="str">
        <f t="shared" si="1388"/>
        <v>事業用資産</v>
      </c>
      <c r="H3986" s="7" t="str">
        <f t="shared" si="1406"/>
        <v>棚卸以外</v>
      </c>
      <c r="I3986" s="7">
        <v>4</v>
      </c>
      <c r="J3986" s="7" t="str">
        <f>"６号棟"</f>
        <v>６号棟</v>
      </c>
      <c r="K3986" s="7" t="str">
        <f t="shared" si="1410"/>
        <v>鉄骨鉄筋コンクリート造</v>
      </c>
      <c r="L3986" s="7" t="str">
        <f t="shared" si="1411"/>
        <v>S53.03.20</v>
      </c>
      <c r="M3986" s="7">
        <v>3639.55</v>
      </c>
      <c r="N3986" s="7">
        <v>433450769</v>
      </c>
      <c r="O3986" s="7">
        <v>411171348</v>
      </c>
      <c r="P3986" s="7">
        <v>0</v>
      </c>
      <c r="Q3986" s="7" t="str">
        <f t="shared" si="1395"/>
        <v>都市整備部</v>
      </c>
      <c r="R3986" s="7" t="str">
        <f t="shared" si="1393"/>
        <v>住宅建築局住宅経営室</v>
      </c>
    </row>
    <row r="3987" spans="1:18" s="1" customFormat="1" ht="26.4" x14ac:dyDescent="0.45">
      <c r="A3987" s="7" t="str">
        <f t="shared" si="1407"/>
        <v>09940003552</v>
      </c>
      <c r="B3987" s="7" t="str">
        <f t="shared" si="1408"/>
        <v>枚方樋之上</v>
      </c>
      <c r="C3987" s="7" t="str">
        <f t="shared" si="1394"/>
        <v>行政財産</v>
      </c>
      <c r="D3987" s="7" t="str">
        <f t="shared" si="1400"/>
        <v>公営住宅</v>
      </c>
      <c r="E3987" s="7" t="str">
        <f t="shared" si="1409"/>
        <v>大阪府枚方市樋之上町</v>
      </c>
      <c r="F3987" s="7"/>
      <c r="G3987" s="7" t="str">
        <f t="shared" si="1388"/>
        <v>事業用資産</v>
      </c>
      <c r="H3987" s="7" t="str">
        <f t="shared" si="1406"/>
        <v>棚卸以外</v>
      </c>
      <c r="I3987" s="7">
        <v>5</v>
      </c>
      <c r="J3987" s="7" t="str">
        <f>"４号棟"</f>
        <v>４号棟</v>
      </c>
      <c r="K3987" s="7" t="str">
        <f t="shared" si="1410"/>
        <v>鉄骨鉄筋コンクリート造</v>
      </c>
      <c r="L3987" s="7" t="str">
        <f t="shared" si="1411"/>
        <v>S53.03.20</v>
      </c>
      <c r="M3987" s="7">
        <v>5338.98</v>
      </c>
      <c r="N3987" s="7">
        <v>597114538</v>
      </c>
      <c r="O3987" s="7">
        <v>564035214</v>
      </c>
      <c r="P3987" s="7">
        <v>0</v>
      </c>
      <c r="Q3987" s="7" t="str">
        <f t="shared" si="1395"/>
        <v>都市整備部</v>
      </c>
      <c r="R3987" s="7" t="str">
        <f t="shared" si="1393"/>
        <v>住宅建築局住宅経営室</v>
      </c>
    </row>
    <row r="3988" spans="1:18" s="1" customFormat="1" ht="26.4" x14ac:dyDescent="0.45">
      <c r="A3988" s="7" t="str">
        <f t="shared" si="1407"/>
        <v>09940003552</v>
      </c>
      <c r="B3988" s="7" t="str">
        <f t="shared" si="1408"/>
        <v>枚方樋之上</v>
      </c>
      <c r="C3988" s="7" t="str">
        <f t="shared" si="1394"/>
        <v>行政財産</v>
      </c>
      <c r="D3988" s="7" t="str">
        <f t="shared" si="1400"/>
        <v>公営住宅</v>
      </c>
      <c r="E3988" s="7" t="str">
        <f t="shared" si="1409"/>
        <v>大阪府枚方市樋之上町</v>
      </c>
      <c r="F3988" s="7"/>
      <c r="G3988" s="7" t="str">
        <f t="shared" si="1388"/>
        <v>事業用資産</v>
      </c>
      <c r="H3988" s="7" t="str">
        <f t="shared" si="1406"/>
        <v>棚卸以外</v>
      </c>
      <c r="I3988" s="7">
        <v>6</v>
      </c>
      <c r="J3988" s="7" t="str">
        <f>"５号棟"</f>
        <v>５号棟</v>
      </c>
      <c r="K3988" s="7" t="str">
        <f t="shared" si="1410"/>
        <v>鉄骨鉄筋コンクリート造</v>
      </c>
      <c r="L3988" s="7" t="str">
        <f t="shared" si="1411"/>
        <v>S53.03.20</v>
      </c>
      <c r="M3988" s="7">
        <v>3841.49</v>
      </c>
      <c r="N3988" s="7">
        <v>464113769</v>
      </c>
      <c r="O3988" s="7">
        <v>440529528</v>
      </c>
      <c r="P3988" s="7">
        <v>0</v>
      </c>
      <c r="Q3988" s="7" t="str">
        <f t="shared" si="1395"/>
        <v>都市整備部</v>
      </c>
      <c r="R3988" s="7" t="str">
        <f t="shared" si="1393"/>
        <v>住宅建築局住宅経営室</v>
      </c>
    </row>
    <row r="3989" spans="1:18" s="1" customFormat="1" x14ac:dyDescent="0.45">
      <c r="A3989" s="7" t="str">
        <f t="shared" si="1407"/>
        <v>09940003552</v>
      </c>
      <c r="B3989" s="7" t="str">
        <f t="shared" si="1408"/>
        <v>枚方樋之上</v>
      </c>
      <c r="C3989" s="7" t="str">
        <f t="shared" si="1394"/>
        <v>行政財産</v>
      </c>
      <c r="D3989" s="7" t="str">
        <f t="shared" si="1400"/>
        <v>公営住宅</v>
      </c>
      <c r="E3989" s="7" t="str">
        <f t="shared" si="1409"/>
        <v>大阪府枚方市樋之上町</v>
      </c>
      <c r="F3989" s="7"/>
      <c r="G3989" s="7" t="str">
        <f t="shared" si="1388"/>
        <v>事業用資産</v>
      </c>
      <c r="H3989" s="7" t="str">
        <f t="shared" si="1406"/>
        <v>棚卸以外</v>
      </c>
      <c r="I3989" s="7">
        <v>7</v>
      </c>
      <c r="J3989" s="7" t="str">
        <f>"集会所"</f>
        <v>集会所</v>
      </c>
      <c r="K3989" s="7" t="str">
        <f t="shared" ref="K3989:K4013" si="1412">"鉄筋コンクリート造"</f>
        <v>鉄筋コンクリート造</v>
      </c>
      <c r="L3989" s="7" t="str">
        <f t="shared" si="1411"/>
        <v>S53.03.20</v>
      </c>
      <c r="M3989" s="7">
        <v>128.33000000000001</v>
      </c>
      <c r="N3989" s="7">
        <v>22615671</v>
      </c>
      <c r="O3989" s="7">
        <v>15810480</v>
      </c>
      <c r="P3989" s="7">
        <v>0</v>
      </c>
      <c r="Q3989" s="7" t="str">
        <f t="shared" si="1395"/>
        <v>都市整備部</v>
      </c>
      <c r="R3989" s="7" t="str">
        <f t="shared" si="1393"/>
        <v>住宅建築局住宅経営室</v>
      </c>
    </row>
    <row r="3990" spans="1:18" s="1" customFormat="1" x14ac:dyDescent="0.45">
      <c r="A3990" s="7" t="str">
        <f t="shared" si="1407"/>
        <v>09940003552</v>
      </c>
      <c r="B3990" s="7" t="str">
        <f t="shared" si="1408"/>
        <v>枚方樋之上</v>
      </c>
      <c r="C3990" s="7" t="str">
        <f t="shared" si="1394"/>
        <v>行政財産</v>
      </c>
      <c r="D3990" s="7" t="str">
        <f t="shared" si="1400"/>
        <v>公営住宅</v>
      </c>
      <c r="E3990" s="7" t="str">
        <f t="shared" si="1409"/>
        <v>大阪府枚方市樋之上町</v>
      </c>
      <c r="F3990" s="7"/>
      <c r="G3990" s="7" t="str">
        <f t="shared" si="1388"/>
        <v>事業用資産</v>
      </c>
      <c r="H3990" s="7" t="str">
        <f t="shared" si="1406"/>
        <v>棚卸以外</v>
      </c>
      <c r="I3990" s="7">
        <v>8</v>
      </c>
      <c r="J3990" s="7" t="str">
        <f>"ポンプ室"</f>
        <v>ポンプ室</v>
      </c>
      <c r="K3990" s="7" t="str">
        <f t="shared" si="1412"/>
        <v>鉄筋コンクリート造</v>
      </c>
      <c r="L3990" s="7" t="str">
        <f t="shared" si="1411"/>
        <v>S53.03.20</v>
      </c>
      <c r="M3990" s="7">
        <v>217</v>
      </c>
      <c r="N3990" s="7">
        <v>21660000</v>
      </c>
      <c r="O3990" s="7">
        <v>20738700</v>
      </c>
      <c r="P3990" s="7">
        <v>0</v>
      </c>
      <c r="Q3990" s="7" t="str">
        <f t="shared" si="1395"/>
        <v>都市整備部</v>
      </c>
      <c r="R3990" s="7" t="str">
        <f t="shared" si="1393"/>
        <v>住宅建築局住宅経営室</v>
      </c>
    </row>
    <row r="3991" spans="1:18" s="1" customFormat="1" x14ac:dyDescent="0.45">
      <c r="A3991" s="7" t="str">
        <f t="shared" si="1407"/>
        <v>09940003552</v>
      </c>
      <c r="B3991" s="7" t="str">
        <f t="shared" si="1408"/>
        <v>枚方樋之上</v>
      </c>
      <c r="C3991" s="7" t="str">
        <f t="shared" si="1394"/>
        <v>行政財産</v>
      </c>
      <c r="D3991" s="7" t="str">
        <f t="shared" si="1400"/>
        <v>公営住宅</v>
      </c>
      <c r="E3991" s="7" t="str">
        <f t="shared" si="1409"/>
        <v>大阪府枚方市樋之上町</v>
      </c>
      <c r="F3991" s="7"/>
      <c r="G3991" s="7" t="str">
        <f t="shared" ref="G3991:G4054" si="1413">"事業用資産"</f>
        <v>事業用資産</v>
      </c>
      <c r="H3991" s="7" t="str">
        <f t="shared" si="1406"/>
        <v>棚卸以外</v>
      </c>
      <c r="I3991" s="7">
        <v>9</v>
      </c>
      <c r="J3991" s="7" t="str">
        <f>"電気室"</f>
        <v>電気室</v>
      </c>
      <c r="K3991" s="7" t="str">
        <f t="shared" si="1412"/>
        <v>鉄筋コンクリート造</v>
      </c>
      <c r="L3991" s="7" t="str">
        <f t="shared" si="1411"/>
        <v>S53.03.20</v>
      </c>
      <c r="M3991" s="7">
        <v>84</v>
      </c>
      <c r="N3991" s="7">
        <v>8360000</v>
      </c>
      <c r="O3991" s="7">
        <v>8004420</v>
      </c>
      <c r="P3991" s="7">
        <v>0</v>
      </c>
      <c r="Q3991" s="7" t="str">
        <f t="shared" si="1395"/>
        <v>都市整備部</v>
      </c>
      <c r="R3991" s="7" t="str">
        <f t="shared" si="1393"/>
        <v>住宅建築局住宅経営室</v>
      </c>
    </row>
    <row r="3992" spans="1:18" s="1" customFormat="1" x14ac:dyDescent="0.45">
      <c r="A3992" s="7" t="str">
        <f t="shared" si="1407"/>
        <v>09940003552</v>
      </c>
      <c r="B3992" s="7" t="str">
        <f t="shared" si="1408"/>
        <v>枚方樋之上</v>
      </c>
      <c r="C3992" s="7" t="str">
        <f t="shared" si="1394"/>
        <v>行政財産</v>
      </c>
      <c r="D3992" s="7" t="str">
        <f t="shared" si="1400"/>
        <v>公営住宅</v>
      </c>
      <c r="E3992" s="7" t="str">
        <f t="shared" si="1409"/>
        <v>大阪府枚方市樋之上町</v>
      </c>
      <c r="F3992" s="7"/>
      <c r="G3992" s="7" t="str">
        <f t="shared" si="1413"/>
        <v>事業用資産</v>
      </c>
      <c r="H3992" s="7" t="str">
        <f t="shared" si="1406"/>
        <v>棚卸以外</v>
      </c>
      <c r="I3992" s="7">
        <v>10</v>
      </c>
      <c r="J3992" s="7" t="str">
        <f>"電気室"</f>
        <v>電気室</v>
      </c>
      <c r="K3992" s="7" t="str">
        <f t="shared" si="1412"/>
        <v>鉄筋コンクリート造</v>
      </c>
      <c r="L3992" s="7" t="str">
        <f t="shared" si="1411"/>
        <v>S53.03.20</v>
      </c>
      <c r="M3992" s="7">
        <v>77</v>
      </c>
      <c r="N3992" s="7">
        <v>7980000</v>
      </c>
      <c r="O3992" s="7">
        <v>7640460</v>
      </c>
      <c r="P3992" s="7">
        <v>0</v>
      </c>
      <c r="Q3992" s="7" t="str">
        <f t="shared" si="1395"/>
        <v>都市整備部</v>
      </c>
      <c r="R3992" s="7" t="str">
        <f t="shared" ref="R3992:R4055" si="1414">"住宅建築局住宅経営室"</f>
        <v>住宅建築局住宅経営室</v>
      </c>
    </row>
    <row r="3993" spans="1:18" s="1" customFormat="1" x14ac:dyDescent="0.45">
      <c r="A3993" s="7" t="str">
        <f t="shared" ref="A3993:A4014" si="1415">"09940003553"</f>
        <v>09940003553</v>
      </c>
      <c r="B3993" s="7" t="str">
        <f t="shared" ref="B3993:B4014" si="1416">"高槻城東"</f>
        <v>高槻城東</v>
      </c>
      <c r="C3993" s="7" t="str">
        <f t="shared" si="1394"/>
        <v>行政財産</v>
      </c>
      <c r="D3993" s="7" t="str">
        <f t="shared" si="1400"/>
        <v>公営住宅</v>
      </c>
      <c r="E3993" s="7" t="str">
        <f t="shared" ref="E3993:E4014" si="1417">"大阪府高槻市城東町"</f>
        <v>大阪府高槻市城東町</v>
      </c>
      <c r="F3993" s="7"/>
      <c r="G3993" s="7" t="str">
        <f t="shared" si="1413"/>
        <v>事業用資産</v>
      </c>
      <c r="H3993" s="7" t="str">
        <f t="shared" si="1406"/>
        <v>棚卸以外</v>
      </c>
      <c r="I3993" s="7">
        <v>1</v>
      </c>
      <c r="J3993" s="7" t="str">
        <f>"１２号棟"</f>
        <v>１２号棟</v>
      </c>
      <c r="K3993" s="7" t="str">
        <f t="shared" si="1412"/>
        <v>鉄筋コンクリート造</v>
      </c>
      <c r="L3993" s="7" t="str">
        <f t="shared" ref="L3993:L4001" si="1418">"H04.11.12"</f>
        <v>H04.11.12</v>
      </c>
      <c r="M3993" s="7">
        <v>1239.03</v>
      </c>
      <c r="N3993" s="7">
        <v>249597000</v>
      </c>
      <c r="O3993" s="7">
        <v>161087472</v>
      </c>
      <c r="P3993" s="7">
        <v>0</v>
      </c>
      <c r="Q3993" s="7" t="str">
        <f t="shared" si="1395"/>
        <v>都市整備部</v>
      </c>
      <c r="R3993" s="7" t="str">
        <f t="shared" si="1414"/>
        <v>住宅建築局住宅経営室</v>
      </c>
    </row>
    <row r="3994" spans="1:18" s="1" customFormat="1" x14ac:dyDescent="0.45">
      <c r="A3994" s="7" t="str">
        <f t="shared" si="1415"/>
        <v>09940003553</v>
      </c>
      <c r="B3994" s="7" t="str">
        <f t="shared" si="1416"/>
        <v>高槻城東</v>
      </c>
      <c r="C3994" s="7" t="str">
        <f t="shared" ref="C3994:C4057" si="1419">"行政財産"</f>
        <v>行政財産</v>
      </c>
      <c r="D3994" s="7" t="str">
        <f t="shared" si="1400"/>
        <v>公営住宅</v>
      </c>
      <c r="E3994" s="7" t="str">
        <f t="shared" si="1417"/>
        <v>大阪府高槻市城東町</v>
      </c>
      <c r="F3994" s="7"/>
      <c r="G3994" s="7" t="str">
        <f t="shared" si="1413"/>
        <v>事業用資産</v>
      </c>
      <c r="H3994" s="7" t="str">
        <f t="shared" si="1406"/>
        <v>棚卸以外</v>
      </c>
      <c r="I3994" s="7">
        <v>2</v>
      </c>
      <c r="J3994" s="7" t="str">
        <f>"１３号棟"</f>
        <v>１３号棟</v>
      </c>
      <c r="K3994" s="7" t="str">
        <f t="shared" si="1412"/>
        <v>鉄筋コンクリート造</v>
      </c>
      <c r="L3994" s="7" t="str">
        <f t="shared" si="1418"/>
        <v>H04.11.12</v>
      </c>
      <c r="M3994" s="7">
        <v>751.02</v>
      </c>
      <c r="N3994" s="7">
        <v>184300000</v>
      </c>
      <c r="O3994" s="7">
        <v>118945736</v>
      </c>
      <c r="P3994" s="7">
        <v>0</v>
      </c>
      <c r="Q3994" s="7" t="str">
        <f t="shared" si="1395"/>
        <v>都市整備部</v>
      </c>
      <c r="R3994" s="7" t="str">
        <f t="shared" si="1414"/>
        <v>住宅建築局住宅経営室</v>
      </c>
    </row>
    <row r="3995" spans="1:18" s="1" customFormat="1" x14ac:dyDescent="0.45">
      <c r="A3995" s="7" t="str">
        <f t="shared" si="1415"/>
        <v>09940003553</v>
      </c>
      <c r="B3995" s="7" t="str">
        <f t="shared" si="1416"/>
        <v>高槻城東</v>
      </c>
      <c r="C3995" s="7" t="str">
        <f t="shared" si="1419"/>
        <v>行政財産</v>
      </c>
      <c r="D3995" s="7" t="str">
        <f t="shared" si="1400"/>
        <v>公営住宅</v>
      </c>
      <c r="E3995" s="7" t="str">
        <f t="shared" si="1417"/>
        <v>大阪府高槻市城東町</v>
      </c>
      <c r="F3995" s="7"/>
      <c r="G3995" s="7" t="str">
        <f t="shared" si="1413"/>
        <v>事業用資産</v>
      </c>
      <c r="H3995" s="7" t="str">
        <f t="shared" si="1406"/>
        <v>棚卸以外</v>
      </c>
      <c r="I3995" s="7">
        <v>3</v>
      </c>
      <c r="J3995" s="7" t="str">
        <f>"１４号棟"</f>
        <v>１４号棟</v>
      </c>
      <c r="K3995" s="7" t="str">
        <f t="shared" si="1412"/>
        <v>鉄筋コンクリート造</v>
      </c>
      <c r="L3995" s="7" t="str">
        <f t="shared" si="1418"/>
        <v>H04.11.12</v>
      </c>
      <c r="M3995" s="7">
        <v>1201.53</v>
      </c>
      <c r="N3995" s="7">
        <v>238309878</v>
      </c>
      <c r="O3995" s="7">
        <v>153449296</v>
      </c>
      <c r="P3995" s="7">
        <v>0</v>
      </c>
      <c r="Q3995" s="7" t="str">
        <f t="shared" ref="Q3995:Q4058" si="1420">"都市整備部"</f>
        <v>都市整備部</v>
      </c>
      <c r="R3995" s="7" t="str">
        <f t="shared" si="1414"/>
        <v>住宅建築局住宅経営室</v>
      </c>
    </row>
    <row r="3996" spans="1:18" s="1" customFormat="1" x14ac:dyDescent="0.45">
      <c r="A3996" s="7" t="str">
        <f t="shared" si="1415"/>
        <v>09940003553</v>
      </c>
      <c r="B3996" s="7" t="str">
        <f t="shared" si="1416"/>
        <v>高槻城東</v>
      </c>
      <c r="C3996" s="7" t="str">
        <f t="shared" si="1419"/>
        <v>行政財産</v>
      </c>
      <c r="D3996" s="7" t="str">
        <f t="shared" si="1400"/>
        <v>公営住宅</v>
      </c>
      <c r="E3996" s="7" t="str">
        <f t="shared" si="1417"/>
        <v>大阪府高槻市城東町</v>
      </c>
      <c r="F3996" s="7"/>
      <c r="G3996" s="7" t="str">
        <f t="shared" si="1413"/>
        <v>事業用資産</v>
      </c>
      <c r="H3996" s="7" t="str">
        <f t="shared" si="1406"/>
        <v>棚卸以外</v>
      </c>
      <c r="I3996" s="7">
        <v>4</v>
      </c>
      <c r="J3996" s="7" t="str">
        <f>"１５号棟"</f>
        <v>１５号棟</v>
      </c>
      <c r="K3996" s="7" t="str">
        <f t="shared" si="1412"/>
        <v>鉄筋コンクリート造</v>
      </c>
      <c r="L3996" s="7" t="str">
        <f t="shared" si="1418"/>
        <v>H04.11.12</v>
      </c>
      <c r="M3996" s="7">
        <v>826.02</v>
      </c>
      <c r="N3996" s="7">
        <v>160669000</v>
      </c>
      <c r="O3996" s="7">
        <v>103694500</v>
      </c>
      <c r="P3996" s="7">
        <v>0</v>
      </c>
      <c r="Q3996" s="7" t="str">
        <f t="shared" si="1420"/>
        <v>都市整備部</v>
      </c>
      <c r="R3996" s="7" t="str">
        <f t="shared" si="1414"/>
        <v>住宅建築局住宅経営室</v>
      </c>
    </row>
    <row r="3997" spans="1:18" s="1" customFormat="1" x14ac:dyDescent="0.45">
      <c r="A3997" s="7" t="str">
        <f t="shared" si="1415"/>
        <v>09940003553</v>
      </c>
      <c r="B3997" s="7" t="str">
        <f t="shared" si="1416"/>
        <v>高槻城東</v>
      </c>
      <c r="C3997" s="7" t="str">
        <f t="shared" si="1419"/>
        <v>行政財産</v>
      </c>
      <c r="D3997" s="7" t="str">
        <f t="shared" si="1400"/>
        <v>公営住宅</v>
      </c>
      <c r="E3997" s="7" t="str">
        <f t="shared" si="1417"/>
        <v>大阪府高槻市城東町</v>
      </c>
      <c r="F3997" s="7"/>
      <c r="G3997" s="7" t="str">
        <f t="shared" si="1413"/>
        <v>事業用資産</v>
      </c>
      <c r="H3997" s="7" t="str">
        <f t="shared" si="1406"/>
        <v>棚卸以外</v>
      </c>
      <c r="I3997" s="7">
        <v>5</v>
      </c>
      <c r="J3997" s="7" t="str">
        <f>"１６号棟"</f>
        <v>１６号棟</v>
      </c>
      <c r="K3997" s="7" t="str">
        <f t="shared" si="1412"/>
        <v>鉄筋コンクリート造</v>
      </c>
      <c r="L3997" s="7" t="str">
        <f t="shared" si="1418"/>
        <v>H04.11.12</v>
      </c>
      <c r="M3997" s="7">
        <v>1164.03</v>
      </c>
      <c r="N3997" s="7">
        <v>258251000</v>
      </c>
      <c r="O3997" s="7">
        <v>166672688</v>
      </c>
      <c r="P3997" s="7">
        <v>0</v>
      </c>
      <c r="Q3997" s="7" t="str">
        <f t="shared" si="1420"/>
        <v>都市整備部</v>
      </c>
      <c r="R3997" s="7" t="str">
        <f t="shared" si="1414"/>
        <v>住宅建築局住宅経営室</v>
      </c>
    </row>
    <row r="3998" spans="1:18" s="1" customFormat="1" x14ac:dyDescent="0.45">
      <c r="A3998" s="7" t="str">
        <f t="shared" si="1415"/>
        <v>09940003553</v>
      </c>
      <c r="B3998" s="7" t="str">
        <f t="shared" si="1416"/>
        <v>高槻城東</v>
      </c>
      <c r="C3998" s="7" t="str">
        <f t="shared" si="1419"/>
        <v>行政財産</v>
      </c>
      <c r="D3998" s="7" t="str">
        <f t="shared" si="1400"/>
        <v>公営住宅</v>
      </c>
      <c r="E3998" s="7" t="str">
        <f t="shared" si="1417"/>
        <v>大阪府高槻市城東町</v>
      </c>
      <c r="F3998" s="7"/>
      <c r="G3998" s="7" t="str">
        <f t="shared" si="1413"/>
        <v>事業用資産</v>
      </c>
      <c r="H3998" s="7" t="str">
        <f t="shared" si="1406"/>
        <v>棚卸以外</v>
      </c>
      <c r="I3998" s="7">
        <v>6</v>
      </c>
      <c r="J3998" s="7" t="str">
        <f>"１７号棟"</f>
        <v>１７号棟</v>
      </c>
      <c r="K3998" s="7" t="str">
        <f t="shared" si="1412"/>
        <v>鉄筋コンクリート造</v>
      </c>
      <c r="L3998" s="7" t="str">
        <f t="shared" si="1418"/>
        <v>H04.11.12</v>
      </c>
      <c r="M3998" s="7">
        <v>751.02</v>
      </c>
      <c r="N3998" s="7">
        <v>180939000</v>
      </c>
      <c r="O3998" s="7">
        <v>116776296</v>
      </c>
      <c r="P3998" s="7">
        <v>0</v>
      </c>
      <c r="Q3998" s="7" t="str">
        <f t="shared" si="1420"/>
        <v>都市整備部</v>
      </c>
      <c r="R3998" s="7" t="str">
        <f t="shared" si="1414"/>
        <v>住宅建築局住宅経営室</v>
      </c>
    </row>
    <row r="3999" spans="1:18" s="1" customFormat="1" x14ac:dyDescent="0.45">
      <c r="A3999" s="7" t="str">
        <f t="shared" si="1415"/>
        <v>09940003553</v>
      </c>
      <c r="B3999" s="7" t="str">
        <f t="shared" si="1416"/>
        <v>高槻城東</v>
      </c>
      <c r="C3999" s="7" t="str">
        <f t="shared" si="1419"/>
        <v>行政財産</v>
      </c>
      <c r="D3999" s="7" t="str">
        <f t="shared" si="1400"/>
        <v>公営住宅</v>
      </c>
      <c r="E3999" s="7" t="str">
        <f t="shared" si="1417"/>
        <v>大阪府高槻市城東町</v>
      </c>
      <c r="F3999" s="7"/>
      <c r="G3999" s="7" t="str">
        <f t="shared" si="1413"/>
        <v>事業用資産</v>
      </c>
      <c r="H3999" s="7" t="str">
        <f t="shared" si="1406"/>
        <v>棚卸以外</v>
      </c>
      <c r="I3999" s="7">
        <v>7</v>
      </c>
      <c r="J3999" s="7" t="str">
        <f>"１８号棟"</f>
        <v>１８号棟</v>
      </c>
      <c r="K3999" s="7" t="str">
        <f t="shared" si="1412"/>
        <v>鉄筋コンクリート造</v>
      </c>
      <c r="L3999" s="7" t="str">
        <f t="shared" si="1418"/>
        <v>H04.11.12</v>
      </c>
      <c r="M3999" s="7">
        <v>1239.03</v>
      </c>
      <c r="N3999" s="7">
        <v>247513000</v>
      </c>
      <c r="O3999" s="7">
        <v>159742492</v>
      </c>
      <c r="P3999" s="7">
        <v>0</v>
      </c>
      <c r="Q3999" s="7" t="str">
        <f t="shared" si="1420"/>
        <v>都市整備部</v>
      </c>
      <c r="R3999" s="7" t="str">
        <f t="shared" si="1414"/>
        <v>住宅建築局住宅経営室</v>
      </c>
    </row>
    <row r="4000" spans="1:18" s="1" customFormat="1" x14ac:dyDescent="0.45">
      <c r="A4000" s="7" t="str">
        <f t="shared" si="1415"/>
        <v>09940003553</v>
      </c>
      <c r="B4000" s="7" t="str">
        <f t="shared" si="1416"/>
        <v>高槻城東</v>
      </c>
      <c r="C4000" s="7" t="str">
        <f t="shared" si="1419"/>
        <v>行政財産</v>
      </c>
      <c r="D4000" s="7" t="str">
        <f t="shared" si="1400"/>
        <v>公営住宅</v>
      </c>
      <c r="E4000" s="7" t="str">
        <f t="shared" si="1417"/>
        <v>大阪府高槻市城東町</v>
      </c>
      <c r="F4000" s="7"/>
      <c r="G4000" s="7" t="str">
        <f t="shared" si="1413"/>
        <v>事業用資産</v>
      </c>
      <c r="H4000" s="7" t="str">
        <f t="shared" si="1406"/>
        <v>棚卸以外</v>
      </c>
      <c r="I4000" s="7">
        <v>8</v>
      </c>
      <c r="J4000" s="7" t="str">
        <f>"１９号棟"</f>
        <v>１９号棟</v>
      </c>
      <c r="K4000" s="7" t="str">
        <f t="shared" si="1412"/>
        <v>鉄筋コンクリート造</v>
      </c>
      <c r="L4000" s="7" t="str">
        <f t="shared" si="1418"/>
        <v>H04.11.12</v>
      </c>
      <c r="M4000" s="7">
        <v>751.02</v>
      </c>
      <c r="N4000" s="7">
        <v>181634000</v>
      </c>
      <c r="O4000" s="7">
        <v>117225108</v>
      </c>
      <c r="P4000" s="7">
        <v>0</v>
      </c>
      <c r="Q4000" s="7" t="str">
        <f t="shared" si="1420"/>
        <v>都市整備部</v>
      </c>
      <c r="R4000" s="7" t="str">
        <f t="shared" si="1414"/>
        <v>住宅建築局住宅経営室</v>
      </c>
    </row>
    <row r="4001" spans="1:18" s="1" customFormat="1" x14ac:dyDescent="0.45">
      <c r="A4001" s="7" t="str">
        <f t="shared" si="1415"/>
        <v>09940003553</v>
      </c>
      <c r="B4001" s="7" t="str">
        <f t="shared" si="1416"/>
        <v>高槻城東</v>
      </c>
      <c r="C4001" s="7" t="str">
        <f t="shared" si="1419"/>
        <v>行政財産</v>
      </c>
      <c r="D4001" s="7" t="str">
        <f t="shared" si="1400"/>
        <v>公営住宅</v>
      </c>
      <c r="E4001" s="7" t="str">
        <f t="shared" si="1417"/>
        <v>大阪府高槻市城東町</v>
      </c>
      <c r="F4001" s="7"/>
      <c r="G4001" s="7" t="str">
        <f t="shared" si="1413"/>
        <v>事業用資産</v>
      </c>
      <c r="H4001" s="7" t="str">
        <f t="shared" si="1406"/>
        <v>棚卸以外</v>
      </c>
      <c r="I4001" s="7">
        <v>9</v>
      </c>
      <c r="J4001" s="7" t="str">
        <f>"２０号棟"</f>
        <v>２０号棟</v>
      </c>
      <c r="K4001" s="7" t="str">
        <f t="shared" si="1412"/>
        <v>鉄筋コンクリート造</v>
      </c>
      <c r="L4001" s="7" t="str">
        <f t="shared" si="1418"/>
        <v>H04.11.12</v>
      </c>
      <c r="M4001" s="7">
        <v>826.02</v>
      </c>
      <c r="N4001" s="7">
        <v>164275939</v>
      </c>
      <c r="O4001" s="7">
        <v>105845376</v>
      </c>
      <c r="P4001" s="7">
        <v>0</v>
      </c>
      <c r="Q4001" s="7" t="str">
        <f t="shared" si="1420"/>
        <v>都市整備部</v>
      </c>
      <c r="R4001" s="7" t="str">
        <f t="shared" si="1414"/>
        <v>住宅建築局住宅経営室</v>
      </c>
    </row>
    <row r="4002" spans="1:18" s="1" customFormat="1" x14ac:dyDescent="0.45">
      <c r="A4002" s="7" t="str">
        <f t="shared" si="1415"/>
        <v>09940003553</v>
      </c>
      <c r="B4002" s="7" t="str">
        <f t="shared" si="1416"/>
        <v>高槻城東</v>
      </c>
      <c r="C4002" s="7" t="str">
        <f t="shared" si="1419"/>
        <v>行政財産</v>
      </c>
      <c r="D4002" s="7" t="str">
        <f t="shared" si="1400"/>
        <v>公営住宅</v>
      </c>
      <c r="E4002" s="7" t="str">
        <f t="shared" si="1417"/>
        <v>大阪府高槻市城東町</v>
      </c>
      <c r="F4002" s="7"/>
      <c r="G4002" s="7" t="str">
        <f t="shared" si="1413"/>
        <v>事業用資産</v>
      </c>
      <c r="H4002" s="7" t="str">
        <f t="shared" si="1406"/>
        <v>棚卸以外</v>
      </c>
      <c r="I4002" s="7">
        <v>10</v>
      </c>
      <c r="J4002" s="7" t="str">
        <f>"１号棟"</f>
        <v>１号棟</v>
      </c>
      <c r="K4002" s="7" t="str">
        <f t="shared" si="1412"/>
        <v>鉄筋コンクリート造</v>
      </c>
      <c r="L4002" s="7" t="str">
        <f t="shared" ref="L4002:L4014" si="1421">"H03.04.11"</f>
        <v>H03.04.11</v>
      </c>
      <c r="M4002" s="7">
        <v>826.02</v>
      </c>
      <c r="N4002" s="7">
        <v>124272000</v>
      </c>
      <c r="O4002" s="7">
        <v>84390603</v>
      </c>
      <c r="P4002" s="7">
        <v>0</v>
      </c>
      <c r="Q4002" s="7" t="str">
        <f t="shared" si="1420"/>
        <v>都市整備部</v>
      </c>
      <c r="R4002" s="7" t="str">
        <f t="shared" si="1414"/>
        <v>住宅建築局住宅経営室</v>
      </c>
    </row>
    <row r="4003" spans="1:18" s="1" customFormat="1" x14ac:dyDescent="0.45">
      <c r="A4003" s="7" t="str">
        <f t="shared" si="1415"/>
        <v>09940003553</v>
      </c>
      <c r="B4003" s="7" t="str">
        <f t="shared" si="1416"/>
        <v>高槻城東</v>
      </c>
      <c r="C4003" s="7" t="str">
        <f t="shared" si="1419"/>
        <v>行政財産</v>
      </c>
      <c r="D4003" s="7" t="str">
        <f t="shared" si="1400"/>
        <v>公営住宅</v>
      </c>
      <c r="E4003" s="7" t="str">
        <f t="shared" si="1417"/>
        <v>大阪府高槻市城東町</v>
      </c>
      <c r="F4003" s="7"/>
      <c r="G4003" s="7" t="str">
        <f t="shared" si="1413"/>
        <v>事業用資産</v>
      </c>
      <c r="H4003" s="7" t="str">
        <f t="shared" si="1406"/>
        <v>棚卸以外</v>
      </c>
      <c r="I4003" s="7">
        <v>11</v>
      </c>
      <c r="J4003" s="7" t="str">
        <f>"２号棟"</f>
        <v>２号棟</v>
      </c>
      <c r="K4003" s="7" t="str">
        <f t="shared" si="1412"/>
        <v>鉄筋コンクリート造</v>
      </c>
      <c r="L4003" s="7" t="str">
        <f t="shared" si="1421"/>
        <v>H03.04.11</v>
      </c>
      <c r="M4003" s="7">
        <v>826.02</v>
      </c>
      <c r="N4003" s="7">
        <v>123735000</v>
      </c>
      <c r="O4003" s="7">
        <v>84025987</v>
      </c>
      <c r="P4003" s="7">
        <v>0</v>
      </c>
      <c r="Q4003" s="7" t="str">
        <f t="shared" si="1420"/>
        <v>都市整備部</v>
      </c>
      <c r="R4003" s="7" t="str">
        <f t="shared" si="1414"/>
        <v>住宅建築局住宅経営室</v>
      </c>
    </row>
    <row r="4004" spans="1:18" s="1" customFormat="1" x14ac:dyDescent="0.45">
      <c r="A4004" s="7" t="str">
        <f t="shared" si="1415"/>
        <v>09940003553</v>
      </c>
      <c r="B4004" s="7" t="str">
        <f t="shared" si="1416"/>
        <v>高槻城東</v>
      </c>
      <c r="C4004" s="7" t="str">
        <f t="shared" si="1419"/>
        <v>行政財産</v>
      </c>
      <c r="D4004" s="7" t="str">
        <f t="shared" si="1400"/>
        <v>公営住宅</v>
      </c>
      <c r="E4004" s="7" t="str">
        <f t="shared" si="1417"/>
        <v>大阪府高槻市城東町</v>
      </c>
      <c r="F4004" s="7"/>
      <c r="G4004" s="7" t="str">
        <f t="shared" si="1413"/>
        <v>事業用資産</v>
      </c>
      <c r="H4004" s="7" t="str">
        <f t="shared" si="1406"/>
        <v>棚卸以外</v>
      </c>
      <c r="I4004" s="7">
        <v>12</v>
      </c>
      <c r="J4004" s="7" t="str">
        <f>"３号棟"</f>
        <v>３号棟</v>
      </c>
      <c r="K4004" s="7" t="str">
        <f t="shared" si="1412"/>
        <v>鉄筋コンクリート造</v>
      </c>
      <c r="L4004" s="7" t="str">
        <f t="shared" si="1421"/>
        <v>H03.04.11</v>
      </c>
      <c r="M4004" s="7">
        <v>1652.04</v>
      </c>
      <c r="N4004" s="7">
        <v>236230000</v>
      </c>
      <c r="O4004" s="7">
        <v>160418784</v>
      </c>
      <c r="P4004" s="7">
        <v>0</v>
      </c>
      <c r="Q4004" s="7" t="str">
        <f t="shared" si="1420"/>
        <v>都市整備部</v>
      </c>
      <c r="R4004" s="7" t="str">
        <f t="shared" si="1414"/>
        <v>住宅建築局住宅経営室</v>
      </c>
    </row>
    <row r="4005" spans="1:18" s="1" customFormat="1" x14ac:dyDescent="0.45">
      <c r="A4005" s="7" t="str">
        <f t="shared" si="1415"/>
        <v>09940003553</v>
      </c>
      <c r="B4005" s="7" t="str">
        <f t="shared" si="1416"/>
        <v>高槻城東</v>
      </c>
      <c r="C4005" s="7" t="str">
        <f t="shared" si="1419"/>
        <v>行政財産</v>
      </c>
      <c r="D4005" s="7" t="str">
        <f t="shared" si="1400"/>
        <v>公営住宅</v>
      </c>
      <c r="E4005" s="7" t="str">
        <f t="shared" si="1417"/>
        <v>大阪府高槻市城東町</v>
      </c>
      <c r="F4005" s="7"/>
      <c r="G4005" s="7" t="str">
        <f t="shared" si="1413"/>
        <v>事業用資産</v>
      </c>
      <c r="H4005" s="7" t="str">
        <f t="shared" si="1406"/>
        <v>棚卸以外</v>
      </c>
      <c r="I4005" s="7">
        <v>13</v>
      </c>
      <c r="J4005" s="7" t="str">
        <f>"４号棟"</f>
        <v>４号棟</v>
      </c>
      <c r="K4005" s="7" t="str">
        <f t="shared" si="1412"/>
        <v>鉄筋コンクリート造</v>
      </c>
      <c r="L4005" s="7" t="str">
        <f t="shared" si="1421"/>
        <v>H03.04.11</v>
      </c>
      <c r="M4005" s="7">
        <v>1239.03</v>
      </c>
      <c r="N4005" s="7">
        <v>182484939</v>
      </c>
      <c r="O4005" s="7">
        <v>123735810</v>
      </c>
      <c r="P4005" s="7">
        <v>0</v>
      </c>
      <c r="Q4005" s="7" t="str">
        <f t="shared" si="1420"/>
        <v>都市整備部</v>
      </c>
      <c r="R4005" s="7" t="str">
        <f t="shared" si="1414"/>
        <v>住宅建築局住宅経営室</v>
      </c>
    </row>
    <row r="4006" spans="1:18" s="1" customFormat="1" x14ac:dyDescent="0.45">
      <c r="A4006" s="7" t="str">
        <f t="shared" si="1415"/>
        <v>09940003553</v>
      </c>
      <c r="B4006" s="7" t="str">
        <f t="shared" si="1416"/>
        <v>高槻城東</v>
      </c>
      <c r="C4006" s="7" t="str">
        <f t="shared" si="1419"/>
        <v>行政財産</v>
      </c>
      <c r="D4006" s="7" t="str">
        <f t="shared" si="1400"/>
        <v>公営住宅</v>
      </c>
      <c r="E4006" s="7" t="str">
        <f t="shared" si="1417"/>
        <v>大阪府高槻市城東町</v>
      </c>
      <c r="F4006" s="7"/>
      <c r="G4006" s="7" t="str">
        <f t="shared" si="1413"/>
        <v>事業用資産</v>
      </c>
      <c r="H4006" s="7" t="str">
        <f t="shared" si="1406"/>
        <v>棚卸以外</v>
      </c>
      <c r="I4006" s="7">
        <v>14</v>
      </c>
      <c r="J4006" s="7" t="str">
        <f>"５号棟"</f>
        <v>５号棟</v>
      </c>
      <c r="K4006" s="7" t="str">
        <f t="shared" si="1412"/>
        <v>鉄筋コンクリート造</v>
      </c>
      <c r="L4006" s="7" t="str">
        <f t="shared" si="1421"/>
        <v>H03.04.11</v>
      </c>
      <c r="M4006" s="7">
        <v>826.02</v>
      </c>
      <c r="N4006" s="7">
        <v>127288000</v>
      </c>
      <c r="O4006" s="7">
        <v>86438504</v>
      </c>
      <c r="P4006" s="7">
        <v>0</v>
      </c>
      <c r="Q4006" s="7" t="str">
        <f t="shared" si="1420"/>
        <v>都市整備部</v>
      </c>
      <c r="R4006" s="7" t="str">
        <f t="shared" si="1414"/>
        <v>住宅建築局住宅経営室</v>
      </c>
    </row>
    <row r="4007" spans="1:18" s="1" customFormat="1" x14ac:dyDescent="0.45">
      <c r="A4007" s="7" t="str">
        <f t="shared" si="1415"/>
        <v>09940003553</v>
      </c>
      <c r="B4007" s="7" t="str">
        <f t="shared" si="1416"/>
        <v>高槻城東</v>
      </c>
      <c r="C4007" s="7" t="str">
        <f t="shared" si="1419"/>
        <v>行政財産</v>
      </c>
      <c r="D4007" s="7" t="str">
        <f t="shared" si="1400"/>
        <v>公営住宅</v>
      </c>
      <c r="E4007" s="7" t="str">
        <f t="shared" si="1417"/>
        <v>大阪府高槻市城東町</v>
      </c>
      <c r="F4007" s="7"/>
      <c r="G4007" s="7" t="str">
        <f t="shared" si="1413"/>
        <v>事業用資産</v>
      </c>
      <c r="H4007" s="7" t="str">
        <f t="shared" si="1406"/>
        <v>棚卸以外</v>
      </c>
      <c r="I4007" s="7">
        <v>15</v>
      </c>
      <c r="J4007" s="7" t="str">
        <f>"６号棟"</f>
        <v>６号棟</v>
      </c>
      <c r="K4007" s="7" t="str">
        <f t="shared" si="1412"/>
        <v>鉄筋コンクリート造</v>
      </c>
      <c r="L4007" s="7" t="str">
        <f t="shared" si="1421"/>
        <v>H03.04.11</v>
      </c>
      <c r="M4007" s="7">
        <v>1239.03</v>
      </c>
      <c r="N4007" s="7">
        <v>178411000</v>
      </c>
      <c r="O4007" s="7">
        <v>121155156</v>
      </c>
      <c r="P4007" s="7">
        <v>0</v>
      </c>
      <c r="Q4007" s="7" t="str">
        <f t="shared" si="1420"/>
        <v>都市整備部</v>
      </c>
      <c r="R4007" s="7" t="str">
        <f t="shared" si="1414"/>
        <v>住宅建築局住宅経営室</v>
      </c>
    </row>
    <row r="4008" spans="1:18" s="1" customFormat="1" x14ac:dyDescent="0.45">
      <c r="A4008" s="7" t="str">
        <f t="shared" si="1415"/>
        <v>09940003553</v>
      </c>
      <c r="B4008" s="7" t="str">
        <f t="shared" si="1416"/>
        <v>高槻城東</v>
      </c>
      <c r="C4008" s="7" t="str">
        <f t="shared" si="1419"/>
        <v>行政財産</v>
      </c>
      <c r="D4008" s="7" t="str">
        <f t="shared" si="1400"/>
        <v>公営住宅</v>
      </c>
      <c r="E4008" s="7" t="str">
        <f t="shared" si="1417"/>
        <v>大阪府高槻市城東町</v>
      </c>
      <c r="F4008" s="7"/>
      <c r="G4008" s="7" t="str">
        <f t="shared" si="1413"/>
        <v>事業用資産</v>
      </c>
      <c r="H4008" s="7" t="str">
        <f t="shared" si="1406"/>
        <v>棚卸以外</v>
      </c>
      <c r="I4008" s="7">
        <v>16</v>
      </c>
      <c r="J4008" s="7" t="str">
        <f>"７号棟"</f>
        <v>７号棟</v>
      </c>
      <c r="K4008" s="7" t="str">
        <f t="shared" si="1412"/>
        <v>鉄筋コンクリート造</v>
      </c>
      <c r="L4008" s="7" t="str">
        <f t="shared" si="1421"/>
        <v>H03.04.11</v>
      </c>
      <c r="M4008" s="7">
        <v>1239.03</v>
      </c>
      <c r="N4008" s="7">
        <v>177657000</v>
      </c>
      <c r="O4008" s="7">
        <v>120643085</v>
      </c>
      <c r="P4008" s="7">
        <v>0</v>
      </c>
      <c r="Q4008" s="7" t="str">
        <f t="shared" si="1420"/>
        <v>都市整備部</v>
      </c>
      <c r="R4008" s="7" t="str">
        <f t="shared" si="1414"/>
        <v>住宅建築局住宅経営室</v>
      </c>
    </row>
    <row r="4009" spans="1:18" s="1" customFormat="1" x14ac:dyDescent="0.45">
      <c r="A4009" s="7" t="str">
        <f t="shared" si="1415"/>
        <v>09940003553</v>
      </c>
      <c r="B4009" s="7" t="str">
        <f t="shared" si="1416"/>
        <v>高槻城東</v>
      </c>
      <c r="C4009" s="7" t="str">
        <f t="shared" si="1419"/>
        <v>行政財産</v>
      </c>
      <c r="D4009" s="7" t="str">
        <f t="shared" si="1400"/>
        <v>公営住宅</v>
      </c>
      <c r="E4009" s="7" t="str">
        <f t="shared" si="1417"/>
        <v>大阪府高槻市城東町</v>
      </c>
      <c r="F4009" s="7"/>
      <c r="G4009" s="7" t="str">
        <f t="shared" si="1413"/>
        <v>事業用資産</v>
      </c>
      <c r="H4009" s="7" t="str">
        <f t="shared" si="1406"/>
        <v>棚卸以外</v>
      </c>
      <c r="I4009" s="7">
        <v>17</v>
      </c>
      <c r="J4009" s="7" t="str">
        <f>"８号棟"</f>
        <v>８号棟</v>
      </c>
      <c r="K4009" s="7" t="str">
        <f t="shared" si="1412"/>
        <v>鉄筋コンクリート造</v>
      </c>
      <c r="L4009" s="7" t="str">
        <f t="shared" si="1421"/>
        <v>H03.04.11</v>
      </c>
      <c r="M4009" s="7">
        <v>788.52</v>
      </c>
      <c r="N4009" s="7">
        <v>123043000</v>
      </c>
      <c r="O4009" s="7">
        <v>83556046</v>
      </c>
      <c r="P4009" s="7">
        <v>0</v>
      </c>
      <c r="Q4009" s="7" t="str">
        <f t="shared" si="1420"/>
        <v>都市整備部</v>
      </c>
      <c r="R4009" s="7" t="str">
        <f t="shared" si="1414"/>
        <v>住宅建築局住宅経営室</v>
      </c>
    </row>
    <row r="4010" spans="1:18" s="1" customFormat="1" x14ac:dyDescent="0.45">
      <c r="A4010" s="7" t="str">
        <f t="shared" si="1415"/>
        <v>09940003553</v>
      </c>
      <c r="B4010" s="7" t="str">
        <f t="shared" si="1416"/>
        <v>高槻城東</v>
      </c>
      <c r="C4010" s="7" t="str">
        <f t="shared" si="1419"/>
        <v>行政財産</v>
      </c>
      <c r="D4010" s="7" t="str">
        <f t="shared" si="1400"/>
        <v>公営住宅</v>
      </c>
      <c r="E4010" s="7" t="str">
        <f t="shared" si="1417"/>
        <v>大阪府高槻市城東町</v>
      </c>
      <c r="F4010" s="7"/>
      <c r="G4010" s="7" t="str">
        <f t="shared" si="1413"/>
        <v>事業用資産</v>
      </c>
      <c r="H4010" s="7" t="str">
        <f t="shared" si="1406"/>
        <v>棚卸以外</v>
      </c>
      <c r="I4010" s="7">
        <v>18</v>
      </c>
      <c r="J4010" s="7" t="str">
        <f>"９号棟"</f>
        <v>９号棟</v>
      </c>
      <c r="K4010" s="7" t="str">
        <f t="shared" si="1412"/>
        <v>鉄筋コンクリート造</v>
      </c>
      <c r="L4010" s="7" t="str">
        <f t="shared" si="1421"/>
        <v>H03.04.11</v>
      </c>
      <c r="M4010" s="7">
        <v>1246.9100000000001</v>
      </c>
      <c r="N4010" s="7">
        <v>189291000</v>
      </c>
      <c r="O4010" s="7">
        <v>128543609</v>
      </c>
      <c r="P4010" s="7">
        <v>0</v>
      </c>
      <c r="Q4010" s="7" t="str">
        <f t="shared" si="1420"/>
        <v>都市整備部</v>
      </c>
      <c r="R4010" s="7" t="str">
        <f t="shared" si="1414"/>
        <v>住宅建築局住宅経営室</v>
      </c>
    </row>
    <row r="4011" spans="1:18" s="1" customFormat="1" x14ac:dyDescent="0.45">
      <c r="A4011" s="7" t="str">
        <f t="shared" si="1415"/>
        <v>09940003553</v>
      </c>
      <c r="B4011" s="7" t="str">
        <f t="shared" si="1416"/>
        <v>高槻城東</v>
      </c>
      <c r="C4011" s="7" t="str">
        <f t="shared" si="1419"/>
        <v>行政財産</v>
      </c>
      <c r="D4011" s="7" t="str">
        <f t="shared" si="1400"/>
        <v>公営住宅</v>
      </c>
      <c r="E4011" s="7" t="str">
        <f t="shared" si="1417"/>
        <v>大阪府高槻市城東町</v>
      </c>
      <c r="F4011" s="7"/>
      <c r="G4011" s="7" t="str">
        <f t="shared" si="1413"/>
        <v>事業用資産</v>
      </c>
      <c r="H4011" s="7" t="str">
        <f t="shared" si="1406"/>
        <v>棚卸以外</v>
      </c>
      <c r="I4011" s="7">
        <v>19</v>
      </c>
      <c r="J4011" s="7" t="str">
        <f>"１０号棟"</f>
        <v>１０号棟</v>
      </c>
      <c r="K4011" s="7" t="str">
        <f t="shared" si="1412"/>
        <v>鉄筋コンクリート造</v>
      </c>
      <c r="L4011" s="7" t="str">
        <f t="shared" si="1421"/>
        <v>H03.04.11</v>
      </c>
      <c r="M4011" s="7">
        <v>826.02</v>
      </c>
      <c r="N4011" s="7">
        <v>121515000</v>
      </c>
      <c r="O4011" s="7">
        <v>82518499</v>
      </c>
      <c r="P4011" s="7">
        <v>0</v>
      </c>
      <c r="Q4011" s="7" t="str">
        <f t="shared" si="1420"/>
        <v>都市整備部</v>
      </c>
      <c r="R4011" s="7" t="str">
        <f t="shared" si="1414"/>
        <v>住宅建築局住宅経営室</v>
      </c>
    </row>
    <row r="4012" spans="1:18" s="1" customFormat="1" x14ac:dyDescent="0.45">
      <c r="A4012" s="7" t="str">
        <f t="shared" si="1415"/>
        <v>09940003553</v>
      </c>
      <c r="B4012" s="7" t="str">
        <f t="shared" si="1416"/>
        <v>高槻城東</v>
      </c>
      <c r="C4012" s="7" t="str">
        <f t="shared" si="1419"/>
        <v>行政財産</v>
      </c>
      <c r="D4012" s="7" t="str">
        <f t="shared" si="1400"/>
        <v>公営住宅</v>
      </c>
      <c r="E4012" s="7" t="str">
        <f t="shared" si="1417"/>
        <v>大阪府高槻市城東町</v>
      </c>
      <c r="F4012" s="7"/>
      <c r="G4012" s="7" t="str">
        <f t="shared" si="1413"/>
        <v>事業用資産</v>
      </c>
      <c r="H4012" s="7" t="str">
        <f t="shared" si="1406"/>
        <v>棚卸以外</v>
      </c>
      <c r="I4012" s="7">
        <v>20</v>
      </c>
      <c r="J4012" s="7" t="str">
        <f>"１１号棟"</f>
        <v>１１号棟</v>
      </c>
      <c r="K4012" s="7" t="str">
        <f t="shared" si="1412"/>
        <v>鉄筋コンクリート造</v>
      </c>
      <c r="L4012" s="7" t="str">
        <f t="shared" si="1421"/>
        <v>H03.04.11</v>
      </c>
      <c r="M4012" s="7">
        <v>1201.53</v>
      </c>
      <c r="N4012" s="7">
        <v>175438000</v>
      </c>
      <c r="O4012" s="7">
        <v>119136363</v>
      </c>
      <c r="P4012" s="7">
        <v>0</v>
      </c>
      <c r="Q4012" s="7" t="str">
        <f t="shared" si="1420"/>
        <v>都市整備部</v>
      </c>
      <c r="R4012" s="7" t="str">
        <f t="shared" si="1414"/>
        <v>住宅建築局住宅経営室</v>
      </c>
    </row>
    <row r="4013" spans="1:18" s="1" customFormat="1" x14ac:dyDescent="0.45">
      <c r="A4013" s="7" t="str">
        <f t="shared" si="1415"/>
        <v>09940003553</v>
      </c>
      <c r="B4013" s="7" t="str">
        <f t="shared" si="1416"/>
        <v>高槻城東</v>
      </c>
      <c r="C4013" s="7" t="str">
        <f t="shared" si="1419"/>
        <v>行政財産</v>
      </c>
      <c r="D4013" s="7" t="str">
        <f t="shared" si="1400"/>
        <v>公営住宅</v>
      </c>
      <c r="E4013" s="7" t="str">
        <f t="shared" si="1417"/>
        <v>大阪府高槻市城東町</v>
      </c>
      <c r="F4013" s="7"/>
      <c r="G4013" s="7" t="str">
        <f t="shared" si="1413"/>
        <v>事業用資産</v>
      </c>
      <c r="H4013" s="7" t="str">
        <f t="shared" si="1406"/>
        <v>棚卸以外</v>
      </c>
      <c r="I4013" s="7">
        <v>21</v>
      </c>
      <c r="J4013" s="7" t="str">
        <f>"集会所"</f>
        <v>集会所</v>
      </c>
      <c r="K4013" s="7" t="str">
        <f t="shared" si="1412"/>
        <v>鉄筋コンクリート造</v>
      </c>
      <c r="L4013" s="7" t="str">
        <f t="shared" si="1421"/>
        <v>H03.04.11</v>
      </c>
      <c r="M4013" s="7">
        <v>148.31</v>
      </c>
      <c r="N4013" s="7">
        <v>35146000</v>
      </c>
      <c r="O4013" s="7">
        <v>23867028</v>
      </c>
      <c r="P4013" s="7">
        <v>0</v>
      </c>
      <c r="Q4013" s="7" t="str">
        <f t="shared" si="1420"/>
        <v>都市整備部</v>
      </c>
      <c r="R4013" s="7" t="str">
        <f t="shared" si="1414"/>
        <v>住宅建築局住宅経営室</v>
      </c>
    </row>
    <row r="4014" spans="1:18" s="1" customFormat="1" x14ac:dyDescent="0.45">
      <c r="A4014" s="7" t="str">
        <f t="shared" si="1415"/>
        <v>09940003553</v>
      </c>
      <c r="B4014" s="7" t="str">
        <f t="shared" si="1416"/>
        <v>高槻城東</v>
      </c>
      <c r="C4014" s="7" t="str">
        <f t="shared" si="1419"/>
        <v>行政財産</v>
      </c>
      <c r="D4014" s="7" t="str">
        <f t="shared" si="1400"/>
        <v>公営住宅</v>
      </c>
      <c r="E4014" s="7" t="str">
        <f t="shared" si="1417"/>
        <v>大阪府高槻市城東町</v>
      </c>
      <c r="F4014" s="7"/>
      <c r="G4014" s="7" t="str">
        <f t="shared" si="1413"/>
        <v>事業用資産</v>
      </c>
      <c r="H4014" s="7" t="str">
        <f t="shared" si="1406"/>
        <v>棚卸以外</v>
      </c>
      <c r="I4014" s="7">
        <v>22</v>
      </c>
      <c r="J4014" s="7" t="str">
        <f>"受水槽"</f>
        <v>受水槽</v>
      </c>
      <c r="K4014" s="7" t="str">
        <f>"鉄筋"</f>
        <v>鉄筋</v>
      </c>
      <c r="L4014" s="7" t="str">
        <f t="shared" si="1421"/>
        <v>H03.04.11</v>
      </c>
      <c r="M4014" s="7">
        <v>40.5</v>
      </c>
      <c r="N4014" s="7">
        <v>33232000</v>
      </c>
      <c r="O4014" s="7">
        <v>22567126</v>
      </c>
      <c r="P4014" s="7">
        <v>0</v>
      </c>
      <c r="Q4014" s="7" t="str">
        <f t="shared" si="1420"/>
        <v>都市整備部</v>
      </c>
      <c r="R4014" s="7" t="str">
        <f t="shared" si="1414"/>
        <v>住宅建築局住宅経営室</v>
      </c>
    </row>
    <row r="4015" spans="1:18" s="1" customFormat="1" x14ac:dyDescent="0.45">
      <c r="A4015" s="7" t="str">
        <f>"09940003554"</f>
        <v>09940003554</v>
      </c>
      <c r="B4015" s="7" t="str">
        <f>"枚方上之町"</f>
        <v>枚方上之町</v>
      </c>
      <c r="C4015" s="7" t="str">
        <f t="shared" si="1419"/>
        <v>行政財産</v>
      </c>
      <c r="D4015" s="7" t="str">
        <f t="shared" si="1400"/>
        <v>公営住宅</v>
      </c>
      <c r="E4015" s="7" t="str">
        <f>"大阪府枚方市枚方上之町"</f>
        <v>大阪府枚方市枚方上之町</v>
      </c>
      <c r="F4015" s="7"/>
      <c r="G4015" s="7" t="str">
        <f t="shared" si="1413"/>
        <v>事業用資産</v>
      </c>
      <c r="H4015" s="7" t="str">
        <f t="shared" si="1406"/>
        <v>棚卸以外</v>
      </c>
      <c r="I4015" s="7">
        <v>1</v>
      </c>
      <c r="J4015" s="7" t="str">
        <f>"１号棟（集会室含む）"</f>
        <v>１号棟（集会室含む）</v>
      </c>
      <c r="K4015" s="7" t="str">
        <f t="shared" ref="K4015:K4022" si="1422">"鉄筋コンクリート造"</f>
        <v>鉄筋コンクリート造</v>
      </c>
      <c r="L4015" s="7" t="str">
        <f>"H14.05.30"</f>
        <v>H14.05.30</v>
      </c>
      <c r="M4015" s="7">
        <v>2271.87</v>
      </c>
      <c r="N4015" s="7">
        <v>495502925</v>
      </c>
      <c r="O4015" s="7">
        <v>218962954</v>
      </c>
      <c r="P4015" s="7">
        <v>0</v>
      </c>
      <c r="Q4015" s="7" t="str">
        <f t="shared" si="1420"/>
        <v>都市整備部</v>
      </c>
      <c r="R4015" s="7" t="str">
        <f t="shared" si="1414"/>
        <v>住宅建築局住宅経営室</v>
      </c>
    </row>
    <row r="4016" spans="1:18" s="1" customFormat="1" x14ac:dyDescent="0.45">
      <c r="A4016" s="7" t="str">
        <f>"09940003554"</f>
        <v>09940003554</v>
      </c>
      <c r="B4016" s="7" t="str">
        <f>"枚方上之町"</f>
        <v>枚方上之町</v>
      </c>
      <c r="C4016" s="7" t="str">
        <f t="shared" si="1419"/>
        <v>行政財産</v>
      </c>
      <c r="D4016" s="7" t="str">
        <f t="shared" si="1400"/>
        <v>公営住宅</v>
      </c>
      <c r="E4016" s="7" t="str">
        <f>"大阪府枚方市枚方上之町"</f>
        <v>大阪府枚方市枚方上之町</v>
      </c>
      <c r="F4016" s="7"/>
      <c r="G4016" s="7" t="str">
        <f t="shared" si="1413"/>
        <v>事業用資産</v>
      </c>
      <c r="H4016" s="7" t="str">
        <f t="shared" si="1406"/>
        <v>棚卸以外</v>
      </c>
      <c r="I4016" s="7">
        <v>2</v>
      </c>
      <c r="J4016" s="7" t="str">
        <f>"２号棟（受水槽ポンプ室・電気室"</f>
        <v>２号棟（受水槽ポンプ室・電気室</v>
      </c>
      <c r="K4016" s="7" t="str">
        <f t="shared" si="1422"/>
        <v>鉄筋コンクリート造</v>
      </c>
      <c r="L4016" s="7" t="str">
        <f>"H14.05.30"</f>
        <v>H14.05.30</v>
      </c>
      <c r="M4016" s="7">
        <v>2483.36</v>
      </c>
      <c r="N4016" s="7">
        <v>387623925</v>
      </c>
      <c r="O4016" s="7">
        <v>171144204</v>
      </c>
      <c r="P4016" s="7">
        <v>0</v>
      </c>
      <c r="Q4016" s="7" t="str">
        <f t="shared" si="1420"/>
        <v>都市整備部</v>
      </c>
      <c r="R4016" s="7" t="str">
        <f t="shared" si="1414"/>
        <v>住宅建築局住宅経営室</v>
      </c>
    </row>
    <row r="4017" spans="1:18" s="1" customFormat="1" x14ac:dyDescent="0.45">
      <c r="A4017" s="7" t="str">
        <f>"09940003554"</f>
        <v>09940003554</v>
      </c>
      <c r="B4017" s="7" t="str">
        <f>"枚方上之町"</f>
        <v>枚方上之町</v>
      </c>
      <c r="C4017" s="7" t="str">
        <f t="shared" si="1419"/>
        <v>行政財産</v>
      </c>
      <c r="D4017" s="7" t="str">
        <f t="shared" si="1400"/>
        <v>公営住宅</v>
      </c>
      <c r="E4017" s="7" t="str">
        <f>"大阪府枚方市枚方上之町"</f>
        <v>大阪府枚方市枚方上之町</v>
      </c>
      <c r="F4017" s="7"/>
      <c r="G4017" s="7" t="str">
        <f t="shared" si="1413"/>
        <v>事業用資産</v>
      </c>
      <c r="H4017" s="7" t="str">
        <f t="shared" si="1406"/>
        <v>棚卸以外</v>
      </c>
      <c r="I4017" s="7">
        <v>3</v>
      </c>
      <c r="J4017" s="7" t="str">
        <f>"受水槽ポンプ室・電気室"</f>
        <v>受水槽ポンプ室・電気室</v>
      </c>
      <c r="K4017" s="7" t="str">
        <f t="shared" si="1422"/>
        <v>鉄筋コンクリート造</v>
      </c>
      <c r="L4017" s="7" t="str">
        <f>"H14.05.30"</f>
        <v>H14.05.30</v>
      </c>
      <c r="M4017" s="7">
        <v>75.56</v>
      </c>
      <c r="N4017" s="7">
        <v>35133000</v>
      </c>
      <c r="O4017" s="7">
        <v>15573250</v>
      </c>
      <c r="P4017" s="7">
        <v>0</v>
      </c>
      <c r="Q4017" s="7" t="str">
        <f t="shared" si="1420"/>
        <v>都市整備部</v>
      </c>
      <c r="R4017" s="7" t="str">
        <f t="shared" si="1414"/>
        <v>住宅建築局住宅経営室</v>
      </c>
    </row>
    <row r="4018" spans="1:18" s="1" customFormat="1" x14ac:dyDescent="0.45">
      <c r="A4018" s="7" t="str">
        <f t="shared" ref="A4018:A4023" si="1423">"09940003555"</f>
        <v>09940003555</v>
      </c>
      <c r="B4018" s="7" t="str">
        <f t="shared" ref="B4018:B4023" si="1424">"茨木西福井（旧茨木福井）"</f>
        <v>茨木西福井（旧茨木福井）</v>
      </c>
      <c r="C4018" s="7" t="str">
        <f t="shared" si="1419"/>
        <v>行政財産</v>
      </c>
      <c r="D4018" s="7" t="str">
        <f t="shared" ref="D4018:D4081" si="1425">"公営住宅"</f>
        <v>公営住宅</v>
      </c>
      <c r="E4018" s="7" t="str">
        <f t="shared" ref="E4018:E4023" si="1426">"大阪府茨木市西福井２丁目"</f>
        <v>大阪府茨木市西福井２丁目</v>
      </c>
      <c r="F4018" s="7"/>
      <c r="G4018" s="7" t="str">
        <f t="shared" si="1413"/>
        <v>事業用資産</v>
      </c>
      <c r="H4018" s="7" t="str">
        <f t="shared" si="1406"/>
        <v>棚卸以外</v>
      </c>
      <c r="I4018" s="7">
        <v>1</v>
      </c>
      <c r="J4018" s="7" t="str">
        <f>"1号棟"</f>
        <v>1号棟</v>
      </c>
      <c r="K4018" s="7" t="str">
        <f t="shared" si="1422"/>
        <v>鉄筋コンクリート造</v>
      </c>
      <c r="L4018" s="7" t="str">
        <f>"H16.02.25"</f>
        <v>H16.02.25</v>
      </c>
      <c r="M4018" s="7">
        <v>12815.32</v>
      </c>
      <c r="N4018" s="7">
        <v>1795833969</v>
      </c>
      <c r="O4018" s="7">
        <v>730467530</v>
      </c>
      <c r="P4018" s="7">
        <v>0</v>
      </c>
      <c r="Q4018" s="7" t="str">
        <f t="shared" si="1420"/>
        <v>都市整備部</v>
      </c>
      <c r="R4018" s="7" t="str">
        <f t="shared" si="1414"/>
        <v>住宅建築局住宅経営室</v>
      </c>
    </row>
    <row r="4019" spans="1:18" s="1" customFormat="1" x14ac:dyDescent="0.45">
      <c r="A4019" s="7" t="str">
        <f t="shared" si="1423"/>
        <v>09940003555</v>
      </c>
      <c r="B4019" s="7" t="str">
        <f t="shared" si="1424"/>
        <v>茨木西福井（旧茨木福井）</v>
      </c>
      <c r="C4019" s="7" t="str">
        <f t="shared" si="1419"/>
        <v>行政財産</v>
      </c>
      <c r="D4019" s="7" t="str">
        <f t="shared" si="1425"/>
        <v>公営住宅</v>
      </c>
      <c r="E4019" s="7" t="str">
        <f t="shared" si="1426"/>
        <v>大阪府茨木市西福井２丁目</v>
      </c>
      <c r="F4019" s="7"/>
      <c r="G4019" s="7" t="str">
        <f t="shared" si="1413"/>
        <v>事業用資産</v>
      </c>
      <c r="H4019" s="7" t="str">
        <f t="shared" si="1406"/>
        <v>棚卸以外</v>
      </c>
      <c r="I4019" s="7">
        <v>2</v>
      </c>
      <c r="J4019" s="7" t="str">
        <f>"受水槽ポンプ室"</f>
        <v>受水槽ポンプ室</v>
      </c>
      <c r="K4019" s="7" t="str">
        <f t="shared" si="1422"/>
        <v>鉄筋コンクリート造</v>
      </c>
      <c r="L4019" s="7" t="str">
        <f>"H16.02.25"</f>
        <v>H16.02.25</v>
      </c>
      <c r="M4019" s="7">
        <v>100.49</v>
      </c>
      <c r="N4019" s="7">
        <v>21842000</v>
      </c>
      <c r="O4019" s="7">
        <v>8868483</v>
      </c>
      <c r="P4019" s="7">
        <v>0</v>
      </c>
      <c r="Q4019" s="7" t="str">
        <f t="shared" si="1420"/>
        <v>都市整備部</v>
      </c>
      <c r="R4019" s="7" t="str">
        <f t="shared" si="1414"/>
        <v>住宅建築局住宅経営室</v>
      </c>
    </row>
    <row r="4020" spans="1:18" s="1" customFormat="1" x14ac:dyDescent="0.45">
      <c r="A4020" s="7" t="str">
        <f t="shared" si="1423"/>
        <v>09940003555</v>
      </c>
      <c r="B4020" s="7" t="str">
        <f t="shared" si="1424"/>
        <v>茨木西福井（旧茨木福井）</v>
      </c>
      <c r="C4020" s="7" t="str">
        <f t="shared" si="1419"/>
        <v>行政財産</v>
      </c>
      <c r="D4020" s="7" t="str">
        <f t="shared" si="1425"/>
        <v>公営住宅</v>
      </c>
      <c r="E4020" s="7" t="str">
        <f t="shared" si="1426"/>
        <v>大阪府茨木市西福井２丁目</v>
      </c>
      <c r="F4020" s="7"/>
      <c r="G4020" s="7" t="str">
        <f t="shared" si="1413"/>
        <v>事業用資産</v>
      </c>
      <c r="H4020" s="7" t="str">
        <f t="shared" si="1406"/>
        <v>棚卸以外</v>
      </c>
      <c r="I4020" s="7">
        <v>3</v>
      </c>
      <c r="J4020" s="7" t="str">
        <f>"２号棟"</f>
        <v>２号棟</v>
      </c>
      <c r="K4020" s="7" t="str">
        <f t="shared" si="1422"/>
        <v>鉄筋コンクリート造</v>
      </c>
      <c r="L4020" s="7" t="str">
        <f>"H18.08.28"</f>
        <v>H18.08.28</v>
      </c>
      <c r="M4020" s="7">
        <v>7261.34</v>
      </c>
      <c r="N4020" s="7">
        <v>964215291</v>
      </c>
      <c r="O4020" s="7">
        <v>340980787</v>
      </c>
      <c r="P4020" s="7">
        <v>0</v>
      </c>
      <c r="Q4020" s="7" t="str">
        <f t="shared" si="1420"/>
        <v>都市整備部</v>
      </c>
      <c r="R4020" s="7" t="str">
        <f t="shared" si="1414"/>
        <v>住宅建築局住宅経営室</v>
      </c>
    </row>
    <row r="4021" spans="1:18" s="1" customFormat="1" x14ac:dyDescent="0.45">
      <c r="A4021" s="7" t="str">
        <f t="shared" si="1423"/>
        <v>09940003555</v>
      </c>
      <c r="B4021" s="7" t="str">
        <f t="shared" si="1424"/>
        <v>茨木西福井（旧茨木福井）</v>
      </c>
      <c r="C4021" s="7" t="str">
        <f t="shared" si="1419"/>
        <v>行政財産</v>
      </c>
      <c r="D4021" s="7" t="str">
        <f t="shared" si="1425"/>
        <v>公営住宅</v>
      </c>
      <c r="E4021" s="7" t="str">
        <f t="shared" si="1426"/>
        <v>大阪府茨木市西福井２丁目</v>
      </c>
      <c r="F4021" s="7"/>
      <c r="G4021" s="7" t="str">
        <f t="shared" si="1413"/>
        <v>事業用資産</v>
      </c>
      <c r="H4021" s="7" t="str">
        <f t="shared" si="1406"/>
        <v>棚卸以外</v>
      </c>
      <c r="I4021" s="7">
        <v>4</v>
      </c>
      <c r="J4021" s="7" t="str">
        <f>"３号棟"</f>
        <v>３号棟</v>
      </c>
      <c r="K4021" s="7" t="str">
        <f t="shared" si="1422"/>
        <v>鉄筋コンクリート造</v>
      </c>
      <c r="L4021" s="7" t="str">
        <f>"H18.08.28"</f>
        <v>H18.08.28</v>
      </c>
      <c r="M4021" s="7">
        <v>6423.59</v>
      </c>
      <c r="N4021" s="7">
        <v>778085292</v>
      </c>
      <c r="O4021" s="7">
        <v>275307205</v>
      </c>
      <c r="P4021" s="7">
        <v>0</v>
      </c>
      <c r="Q4021" s="7" t="str">
        <f t="shared" si="1420"/>
        <v>都市整備部</v>
      </c>
      <c r="R4021" s="7" t="str">
        <f t="shared" si="1414"/>
        <v>住宅建築局住宅経営室</v>
      </c>
    </row>
    <row r="4022" spans="1:18" s="1" customFormat="1" x14ac:dyDescent="0.45">
      <c r="A4022" s="7" t="str">
        <f t="shared" si="1423"/>
        <v>09940003555</v>
      </c>
      <c r="B4022" s="7" t="str">
        <f t="shared" si="1424"/>
        <v>茨木西福井（旧茨木福井）</v>
      </c>
      <c r="C4022" s="7" t="str">
        <f t="shared" si="1419"/>
        <v>行政財産</v>
      </c>
      <c r="D4022" s="7" t="str">
        <f t="shared" si="1425"/>
        <v>公営住宅</v>
      </c>
      <c r="E4022" s="7" t="str">
        <f t="shared" si="1426"/>
        <v>大阪府茨木市西福井２丁目</v>
      </c>
      <c r="F4022" s="7"/>
      <c r="G4022" s="7" t="str">
        <f t="shared" si="1413"/>
        <v>事業用資産</v>
      </c>
      <c r="H4022" s="7" t="str">
        <f t="shared" si="1406"/>
        <v>棚卸以外</v>
      </c>
      <c r="I4022" s="7">
        <v>5</v>
      </c>
      <c r="J4022" s="7" t="str">
        <f>"集会所"</f>
        <v>集会所</v>
      </c>
      <c r="K4022" s="7" t="str">
        <f t="shared" si="1422"/>
        <v>鉄筋コンクリート造</v>
      </c>
      <c r="L4022" s="7" t="str">
        <f>"H18.08.28"</f>
        <v>H18.08.28</v>
      </c>
      <c r="M4022" s="7">
        <v>161.44</v>
      </c>
      <c r="N4022" s="7">
        <v>30251000</v>
      </c>
      <c r="O4022" s="7">
        <v>10673763</v>
      </c>
      <c r="P4022" s="7">
        <v>0</v>
      </c>
      <c r="Q4022" s="7" t="str">
        <f t="shared" si="1420"/>
        <v>都市整備部</v>
      </c>
      <c r="R4022" s="7" t="str">
        <f t="shared" si="1414"/>
        <v>住宅建築局住宅経営室</v>
      </c>
    </row>
    <row r="4023" spans="1:18" s="1" customFormat="1" x14ac:dyDescent="0.45">
      <c r="A4023" s="7" t="str">
        <f t="shared" si="1423"/>
        <v>09940003555</v>
      </c>
      <c r="B4023" s="7" t="str">
        <f t="shared" si="1424"/>
        <v>茨木西福井（旧茨木福井）</v>
      </c>
      <c r="C4023" s="7" t="str">
        <f t="shared" si="1419"/>
        <v>行政財産</v>
      </c>
      <c r="D4023" s="7" t="str">
        <f t="shared" si="1425"/>
        <v>公営住宅</v>
      </c>
      <c r="E4023" s="7" t="str">
        <f t="shared" si="1426"/>
        <v>大阪府茨木市西福井２丁目</v>
      </c>
      <c r="F4023" s="7"/>
      <c r="G4023" s="7" t="str">
        <f t="shared" si="1413"/>
        <v>事業用資産</v>
      </c>
      <c r="H4023" s="7" t="str">
        <f t="shared" si="1406"/>
        <v>棚卸以外</v>
      </c>
      <c r="I4023" s="7">
        <v>6</v>
      </c>
      <c r="J4023" s="7" t="str">
        <f>"４号棟"</f>
        <v>４号棟</v>
      </c>
      <c r="K4023" s="7" t="str">
        <f>"鉄骨コンクリート造"</f>
        <v>鉄骨コンクリート造</v>
      </c>
      <c r="L4023" s="7" t="str">
        <f>"H22.01.28"</f>
        <v>H22.01.28</v>
      </c>
      <c r="M4023" s="7">
        <v>5334.35</v>
      </c>
      <c r="N4023" s="7">
        <v>604408979</v>
      </c>
      <c r="O4023" s="7">
        <v>169759970</v>
      </c>
      <c r="P4023" s="7">
        <v>0</v>
      </c>
      <c r="Q4023" s="7" t="str">
        <f t="shared" si="1420"/>
        <v>都市整備部</v>
      </c>
      <c r="R4023" s="7" t="str">
        <f t="shared" si="1414"/>
        <v>住宅建築局住宅経営室</v>
      </c>
    </row>
    <row r="4024" spans="1:18" s="1" customFormat="1" x14ac:dyDescent="0.45">
      <c r="A4024" s="7" t="str">
        <f t="shared" ref="A4024:A4035" si="1427">"09940003556"</f>
        <v>09940003556</v>
      </c>
      <c r="B4024" s="7" t="str">
        <f t="shared" ref="B4024:B4035" si="1428">"枚方津田第２"</f>
        <v>枚方津田第２</v>
      </c>
      <c r="C4024" s="7" t="str">
        <f t="shared" si="1419"/>
        <v>行政財産</v>
      </c>
      <c r="D4024" s="7" t="str">
        <f t="shared" si="1425"/>
        <v>公営住宅</v>
      </c>
      <c r="E4024" s="7" t="str">
        <f t="shared" ref="E4024:E4035" si="1429">"大阪府枚方市大峰南町"</f>
        <v>大阪府枚方市大峰南町</v>
      </c>
      <c r="F4024" s="7"/>
      <c r="G4024" s="7" t="str">
        <f t="shared" si="1413"/>
        <v>事業用資産</v>
      </c>
      <c r="H4024" s="7" t="str">
        <f t="shared" si="1406"/>
        <v>棚卸以外</v>
      </c>
      <c r="I4024" s="7">
        <v>1</v>
      </c>
      <c r="J4024" s="7" t="str">
        <f>"１号棟"</f>
        <v>１号棟</v>
      </c>
      <c r="K4024" s="7" t="str">
        <f t="shared" ref="K4024:K4045" si="1430">"鉄筋コンクリート造"</f>
        <v>鉄筋コンクリート造</v>
      </c>
      <c r="L4024" s="7" t="str">
        <f t="shared" ref="L4024:L4035" si="1431">"S53.03.16"</f>
        <v>S53.03.16</v>
      </c>
      <c r="M4024" s="7">
        <v>1748.4</v>
      </c>
      <c r="N4024" s="7">
        <v>138596437</v>
      </c>
      <c r="O4024" s="7">
        <v>132428520</v>
      </c>
      <c r="P4024" s="7">
        <v>0</v>
      </c>
      <c r="Q4024" s="7" t="str">
        <f t="shared" si="1420"/>
        <v>都市整備部</v>
      </c>
      <c r="R4024" s="7" t="str">
        <f t="shared" si="1414"/>
        <v>住宅建築局住宅経営室</v>
      </c>
    </row>
    <row r="4025" spans="1:18" s="1" customFormat="1" x14ac:dyDescent="0.45">
      <c r="A4025" s="7" t="str">
        <f t="shared" si="1427"/>
        <v>09940003556</v>
      </c>
      <c r="B4025" s="7" t="str">
        <f t="shared" si="1428"/>
        <v>枚方津田第２</v>
      </c>
      <c r="C4025" s="7" t="str">
        <f t="shared" si="1419"/>
        <v>行政財産</v>
      </c>
      <c r="D4025" s="7" t="str">
        <f t="shared" si="1425"/>
        <v>公営住宅</v>
      </c>
      <c r="E4025" s="7" t="str">
        <f t="shared" si="1429"/>
        <v>大阪府枚方市大峰南町</v>
      </c>
      <c r="F4025" s="7"/>
      <c r="G4025" s="7" t="str">
        <f t="shared" si="1413"/>
        <v>事業用資産</v>
      </c>
      <c r="H4025" s="7" t="str">
        <f t="shared" si="1406"/>
        <v>棚卸以外</v>
      </c>
      <c r="I4025" s="7">
        <v>2</v>
      </c>
      <c r="J4025" s="7" t="str">
        <f>"２号棟"</f>
        <v>２号棟</v>
      </c>
      <c r="K4025" s="7" t="str">
        <f t="shared" si="1430"/>
        <v>鉄筋コンクリート造</v>
      </c>
      <c r="L4025" s="7" t="str">
        <f t="shared" si="1431"/>
        <v>S53.03.16</v>
      </c>
      <c r="M4025" s="7">
        <v>1748.4</v>
      </c>
      <c r="N4025" s="7">
        <v>138596437</v>
      </c>
      <c r="O4025" s="7">
        <v>132428520</v>
      </c>
      <c r="P4025" s="7">
        <v>0</v>
      </c>
      <c r="Q4025" s="7" t="str">
        <f t="shared" si="1420"/>
        <v>都市整備部</v>
      </c>
      <c r="R4025" s="7" t="str">
        <f t="shared" si="1414"/>
        <v>住宅建築局住宅経営室</v>
      </c>
    </row>
    <row r="4026" spans="1:18" s="1" customFormat="1" x14ac:dyDescent="0.45">
      <c r="A4026" s="7" t="str">
        <f t="shared" si="1427"/>
        <v>09940003556</v>
      </c>
      <c r="B4026" s="7" t="str">
        <f t="shared" si="1428"/>
        <v>枚方津田第２</v>
      </c>
      <c r="C4026" s="7" t="str">
        <f t="shared" si="1419"/>
        <v>行政財産</v>
      </c>
      <c r="D4026" s="7" t="str">
        <f t="shared" si="1425"/>
        <v>公営住宅</v>
      </c>
      <c r="E4026" s="7" t="str">
        <f t="shared" si="1429"/>
        <v>大阪府枚方市大峰南町</v>
      </c>
      <c r="F4026" s="7"/>
      <c r="G4026" s="7" t="str">
        <f t="shared" si="1413"/>
        <v>事業用資産</v>
      </c>
      <c r="H4026" s="7" t="str">
        <f t="shared" si="1406"/>
        <v>棚卸以外</v>
      </c>
      <c r="I4026" s="7">
        <v>3</v>
      </c>
      <c r="J4026" s="7" t="str">
        <f>"３号棟"</f>
        <v>３号棟</v>
      </c>
      <c r="K4026" s="7" t="str">
        <f t="shared" si="1430"/>
        <v>鉄筋コンクリート造</v>
      </c>
      <c r="L4026" s="7" t="str">
        <f t="shared" si="1431"/>
        <v>S53.03.16</v>
      </c>
      <c r="M4026" s="7">
        <v>1748.4</v>
      </c>
      <c r="N4026" s="7">
        <v>138314000</v>
      </c>
      <c r="O4026" s="7">
        <v>132428520</v>
      </c>
      <c r="P4026" s="7">
        <v>0</v>
      </c>
      <c r="Q4026" s="7" t="str">
        <f t="shared" si="1420"/>
        <v>都市整備部</v>
      </c>
      <c r="R4026" s="7" t="str">
        <f t="shared" si="1414"/>
        <v>住宅建築局住宅経営室</v>
      </c>
    </row>
    <row r="4027" spans="1:18" s="1" customFormat="1" x14ac:dyDescent="0.45">
      <c r="A4027" s="7" t="str">
        <f t="shared" si="1427"/>
        <v>09940003556</v>
      </c>
      <c r="B4027" s="7" t="str">
        <f t="shared" si="1428"/>
        <v>枚方津田第２</v>
      </c>
      <c r="C4027" s="7" t="str">
        <f t="shared" si="1419"/>
        <v>行政財産</v>
      </c>
      <c r="D4027" s="7" t="str">
        <f t="shared" si="1425"/>
        <v>公営住宅</v>
      </c>
      <c r="E4027" s="7" t="str">
        <f t="shared" si="1429"/>
        <v>大阪府枚方市大峰南町</v>
      </c>
      <c r="F4027" s="7"/>
      <c r="G4027" s="7" t="str">
        <f t="shared" si="1413"/>
        <v>事業用資産</v>
      </c>
      <c r="H4027" s="7" t="str">
        <f t="shared" si="1406"/>
        <v>棚卸以外</v>
      </c>
      <c r="I4027" s="7">
        <v>4</v>
      </c>
      <c r="J4027" s="7" t="str">
        <f>"４号棟"</f>
        <v>４号棟</v>
      </c>
      <c r="K4027" s="7" t="str">
        <f t="shared" si="1430"/>
        <v>鉄筋コンクリート造</v>
      </c>
      <c r="L4027" s="7" t="str">
        <f t="shared" si="1431"/>
        <v>S53.03.16</v>
      </c>
      <c r="M4027" s="7">
        <v>1748.4</v>
      </c>
      <c r="N4027" s="7">
        <v>138314000</v>
      </c>
      <c r="O4027" s="7">
        <v>132428520</v>
      </c>
      <c r="P4027" s="7">
        <v>0</v>
      </c>
      <c r="Q4027" s="7" t="str">
        <f t="shared" si="1420"/>
        <v>都市整備部</v>
      </c>
      <c r="R4027" s="7" t="str">
        <f t="shared" si="1414"/>
        <v>住宅建築局住宅経営室</v>
      </c>
    </row>
    <row r="4028" spans="1:18" s="1" customFormat="1" x14ac:dyDescent="0.45">
      <c r="A4028" s="7" t="str">
        <f t="shared" si="1427"/>
        <v>09940003556</v>
      </c>
      <c r="B4028" s="7" t="str">
        <f t="shared" si="1428"/>
        <v>枚方津田第２</v>
      </c>
      <c r="C4028" s="7" t="str">
        <f t="shared" si="1419"/>
        <v>行政財産</v>
      </c>
      <c r="D4028" s="7" t="str">
        <f t="shared" si="1425"/>
        <v>公営住宅</v>
      </c>
      <c r="E4028" s="7" t="str">
        <f t="shared" si="1429"/>
        <v>大阪府枚方市大峰南町</v>
      </c>
      <c r="F4028" s="7"/>
      <c r="G4028" s="7" t="str">
        <f t="shared" si="1413"/>
        <v>事業用資産</v>
      </c>
      <c r="H4028" s="7" t="str">
        <f t="shared" si="1406"/>
        <v>棚卸以外</v>
      </c>
      <c r="I4028" s="7">
        <v>5</v>
      </c>
      <c r="J4028" s="7" t="str">
        <f>"６号棟"</f>
        <v>６号棟</v>
      </c>
      <c r="K4028" s="7" t="str">
        <f t="shared" si="1430"/>
        <v>鉄筋コンクリート造</v>
      </c>
      <c r="L4028" s="7" t="str">
        <f t="shared" si="1431"/>
        <v>S53.03.16</v>
      </c>
      <c r="M4028" s="7">
        <v>1748.4</v>
      </c>
      <c r="N4028" s="7">
        <v>138314000</v>
      </c>
      <c r="O4028" s="7">
        <v>132428520</v>
      </c>
      <c r="P4028" s="7">
        <v>0</v>
      </c>
      <c r="Q4028" s="7" t="str">
        <f t="shared" si="1420"/>
        <v>都市整備部</v>
      </c>
      <c r="R4028" s="7" t="str">
        <f t="shared" si="1414"/>
        <v>住宅建築局住宅経営室</v>
      </c>
    </row>
    <row r="4029" spans="1:18" s="1" customFormat="1" x14ac:dyDescent="0.45">
      <c r="A4029" s="7" t="str">
        <f t="shared" si="1427"/>
        <v>09940003556</v>
      </c>
      <c r="B4029" s="7" t="str">
        <f t="shared" si="1428"/>
        <v>枚方津田第２</v>
      </c>
      <c r="C4029" s="7" t="str">
        <f t="shared" si="1419"/>
        <v>行政財産</v>
      </c>
      <c r="D4029" s="7" t="str">
        <f t="shared" si="1425"/>
        <v>公営住宅</v>
      </c>
      <c r="E4029" s="7" t="str">
        <f t="shared" si="1429"/>
        <v>大阪府枚方市大峰南町</v>
      </c>
      <c r="F4029" s="7"/>
      <c r="G4029" s="7" t="str">
        <f t="shared" si="1413"/>
        <v>事業用資産</v>
      </c>
      <c r="H4029" s="7" t="str">
        <f t="shared" si="1406"/>
        <v>棚卸以外</v>
      </c>
      <c r="I4029" s="7">
        <v>6</v>
      </c>
      <c r="J4029" s="7" t="str">
        <f>"１０号棟"</f>
        <v>１０号棟</v>
      </c>
      <c r="K4029" s="7" t="str">
        <f t="shared" si="1430"/>
        <v>鉄筋コンクリート造</v>
      </c>
      <c r="L4029" s="7" t="str">
        <f t="shared" si="1431"/>
        <v>S53.03.16</v>
      </c>
      <c r="M4029" s="7">
        <v>1748.4</v>
      </c>
      <c r="N4029" s="7">
        <v>138314000</v>
      </c>
      <c r="O4029" s="7">
        <v>132428520</v>
      </c>
      <c r="P4029" s="7">
        <v>0</v>
      </c>
      <c r="Q4029" s="7" t="str">
        <f t="shared" si="1420"/>
        <v>都市整備部</v>
      </c>
      <c r="R4029" s="7" t="str">
        <f t="shared" si="1414"/>
        <v>住宅建築局住宅経営室</v>
      </c>
    </row>
    <row r="4030" spans="1:18" s="1" customFormat="1" x14ac:dyDescent="0.45">
      <c r="A4030" s="7" t="str">
        <f t="shared" si="1427"/>
        <v>09940003556</v>
      </c>
      <c r="B4030" s="7" t="str">
        <f t="shared" si="1428"/>
        <v>枚方津田第２</v>
      </c>
      <c r="C4030" s="7" t="str">
        <f t="shared" si="1419"/>
        <v>行政財産</v>
      </c>
      <c r="D4030" s="7" t="str">
        <f t="shared" si="1425"/>
        <v>公営住宅</v>
      </c>
      <c r="E4030" s="7" t="str">
        <f t="shared" si="1429"/>
        <v>大阪府枚方市大峰南町</v>
      </c>
      <c r="F4030" s="7"/>
      <c r="G4030" s="7" t="str">
        <f t="shared" si="1413"/>
        <v>事業用資産</v>
      </c>
      <c r="H4030" s="7" t="str">
        <f t="shared" si="1406"/>
        <v>棚卸以外</v>
      </c>
      <c r="I4030" s="7">
        <v>7</v>
      </c>
      <c r="J4030" s="7" t="str">
        <f>"５号棟"</f>
        <v>５号棟</v>
      </c>
      <c r="K4030" s="7" t="str">
        <f t="shared" si="1430"/>
        <v>鉄筋コンクリート造</v>
      </c>
      <c r="L4030" s="7" t="str">
        <f t="shared" si="1431"/>
        <v>S53.03.16</v>
      </c>
      <c r="M4030" s="7">
        <v>1228.74</v>
      </c>
      <c r="N4030" s="7">
        <v>116346437</v>
      </c>
      <c r="O4030" s="7">
        <v>111125520</v>
      </c>
      <c r="P4030" s="7">
        <v>0</v>
      </c>
      <c r="Q4030" s="7" t="str">
        <f t="shared" si="1420"/>
        <v>都市整備部</v>
      </c>
      <c r="R4030" s="7" t="str">
        <f t="shared" si="1414"/>
        <v>住宅建築局住宅経営室</v>
      </c>
    </row>
    <row r="4031" spans="1:18" s="1" customFormat="1" x14ac:dyDescent="0.45">
      <c r="A4031" s="7" t="str">
        <f t="shared" si="1427"/>
        <v>09940003556</v>
      </c>
      <c r="B4031" s="7" t="str">
        <f t="shared" si="1428"/>
        <v>枚方津田第２</v>
      </c>
      <c r="C4031" s="7" t="str">
        <f t="shared" si="1419"/>
        <v>行政財産</v>
      </c>
      <c r="D4031" s="7" t="str">
        <f t="shared" si="1425"/>
        <v>公営住宅</v>
      </c>
      <c r="E4031" s="7" t="str">
        <f t="shared" si="1429"/>
        <v>大阪府枚方市大峰南町</v>
      </c>
      <c r="F4031" s="7"/>
      <c r="G4031" s="7" t="str">
        <f t="shared" si="1413"/>
        <v>事業用資産</v>
      </c>
      <c r="H4031" s="7" t="str">
        <f t="shared" si="1406"/>
        <v>棚卸以外</v>
      </c>
      <c r="I4031" s="7">
        <v>8</v>
      </c>
      <c r="J4031" s="7" t="str">
        <f>"８号棟"</f>
        <v>８号棟</v>
      </c>
      <c r="K4031" s="7" t="str">
        <f t="shared" si="1430"/>
        <v>鉄筋コンクリート造</v>
      </c>
      <c r="L4031" s="7" t="str">
        <f t="shared" si="1431"/>
        <v>S53.03.16</v>
      </c>
      <c r="M4031" s="7">
        <v>1182</v>
      </c>
      <c r="N4031" s="7">
        <v>43554000</v>
      </c>
      <c r="O4031" s="7">
        <v>41700960</v>
      </c>
      <c r="P4031" s="7">
        <v>0</v>
      </c>
      <c r="Q4031" s="7" t="str">
        <f t="shared" si="1420"/>
        <v>都市整備部</v>
      </c>
      <c r="R4031" s="7" t="str">
        <f t="shared" si="1414"/>
        <v>住宅建築局住宅経営室</v>
      </c>
    </row>
    <row r="4032" spans="1:18" s="1" customFormat="1" x14ac:dyDescent="0.45">
      <c r="A4032" s="7" t="str">
        <f t="shared" si="1427"/>
        <v>09940003556</v>
      </c>
      <c r="B4032" s="7" t="str">
        <f t="shared" si="1428"/>
        <v>枚方津田第２</v>
      </c>
      <c r="C4032" s="7" t="str">
        <f t="shared" si="1419"/>
        <v>行政財産</v>
      </c>
      <c r="D4032" s="7" t="str">
        <f t="shared" si="1425"/>
        <v>公営住宅</v>
      </c>
      <c r="E4032" s="7" t="str">
        <f t="shared" si="1429"/>
        <v>大阪府枚方市大峰南町</v>
      </c>
      <c r="F4032" s="7"/>
      <c r="G4032" s="7" t="str">
        <f t="shared" si="1413"/>
        <v>事業用資産</v>
      </c>
      <c r="H4032" s="7" t="str">
        <f t="shared" si="1406"/>
        <v>棚卸以外</v>
      </c>
      <c r="I4032" s="7">
        <v>9</v>
      </c>
      <c r="J4032" s="7" t="str">
        <f>"７号棟"</f>
        <v>７号棟</v>
      </c>
      <c r="K4032" s="7" t="str">
        <f t="shared" si="1430"/>
        <v>鉄筋コンクリート造</v>
      </c>
      <c r="L4032" s="7" t="str">
        <f t="shared" si="1431"/>
        <v>S53.03.16</v>
      </c>
      <c r="M4032" s="7">
        <v>1176.48</v>
      </c>
      <c r="N4032" s="7">
        <v>43554000</v>
      </c>
      <c r="O4032" s="7">
        <v>41700960</v>
      </c>
      <c r="P4032" s="7">
        <v>0</v>
      </c>
      <c r="Q4032" s="7" t="str">
        <f t="shared" si="1420"/>
        <v>都市整備部</v>
      </c>
      <c r="R4032" s="7" t="str">
        <f t="shared" si="1414"/>
        <v>住宅建築局住宅経営室</v>
      </c>
    </row>
    <row r="4033" spans="1:18" s="1" customFormat="1" x14ac:dyDescent="0.45">
      <c r="A4033" s="7" t="str">
        <f t="shared" si="1427"/>
        <v>09940003556</v>
      </c>
      <c r="B4033" s="7" t="str">
        <f t="shared" si="1428"/>
        <v>枚方津田第２</v>
      </c>
      <c r="C4033" s="7" t="str">
        <f t="shared" si="1419"/>
        <v>行政財産</v>
      </c>
      <c r="D4033" s="7" t="str">
        <f t="shared" si="1425"/>
        <v>公営住宅</v>
      </c>
      <c r="E4033" s="7" t="str">
        <f t="shared" si="1429"/>
        <v>大阪府枚方市大峰南町</v>
      </c>
      <c r="F4033" s="7"/>
      <c r="G4033" s="7" t="str">
        <f t="shared" si="1413"/>
        <v>事業用資産</v>
      </c>
      <c r="H4033" s="7" t="str">
        <f t="shared" si="1406"/>
        <v>棚卸以外</v>
      </c>
      <c r="I4033" s="7">
        <v>10</v>
      </c>
      <c r="J4033" s="7" t="str">
        <f>"集会所"</f>
        <v>集会所</v>
      </c>
      <c r="K4033" s="7" t="str">
        <f t="shared" si="1430"/>
        <v>鉄筋コンクリート造</v>
      </c>
      <c r="L4033" s="7" t="str">
        <f t="shared" si="1431"/>
        <v>S53.03.16</v>
      </c>
      <c r="M4033" s="7">
        <v>99.33</v>
      </c>
      <c r="N4033" s="7">
        <v>19973000</v>
      </c>
      <c r="O4033" s="7">
        <v>19123560</v>
      </c>
      <c r="P4033" s="7">
        <v>0</v>
      </c>
      <c r="Q4033" s="7" t="str">
        <f t="shared" si="1420"/>
        <v>都市整備部</v>
      </c>
      <c r="R4033" s="7" t="str">
        <f t="shared" si="1414"/>
        <v>住宅建築局住宅経営室</v>
      </c>
    </row>
    <row r="4034" spans="1:18" s="1" customFormat="1" x14ac:dyDescent="0.45">
      <c r="A4034" s="7" t="str">
        <f t="shared" si="1427"/>
        <v>09940003556</v>
      </c>
      <c r="B4034" s="7" t="str">
        <f t="shared" si="1428"/>
        <v>枚方津田第２</v>
      </c>
      <c r="C4034" s="7" t="str">
        <f t="shared" si="1419"/>
        <v>行政財産</v>
      </c>
      <c r="D4034" s="7" t="str">
        <f t="shared" si="1425"/>
        <v>公営住宅</v>
      </c>
      <c r="E4034" s="7" t="str">
        <f t="shared" si="1429"/>
        <v>大阪府枚方市大峰南町</v>
      </c>
      <c r="F4034" s="7"/>
      <c r="G4034" s="7" t="str">
        <f t="shared" si="1413"/>
        <v>事業用資産</v>
      </c>
      <c r="H4034" s="7" t="str">
        <f t="shared" si="1406"/>
        <v>棚卸以外</v>
      </c>
      <c r="I4034" s="7">
        <v>11</v>
      </c>
      <c r="J4034" s="7" t="str">
        <f>"ポンプ室"</f>
        <v>ポンプ室</v>
      </c>
      <c r="K4034" s="7" t="str">
        <f t="shared" si="1430"/>
        <v>鉄筋コンクリート造</v>
      </c>
      <c r="L4034" s="7" t="str">
        <f t="shared" si="1431"/>
        <v>S53.03.16</v>
      </c>
      <c r="M4034" s="7">
        <v>127.6</v>
      </c>
      <c r="N4034" s="7">
        <v>9695000</v>
      </c>
      <c r="O4034" s="7">
        <v>9282600</v>
      </c>
      <c r="P4034" s="7">
        <v>0</v>
      </c>
      <c r="Q4034" s="7" t="str">
        <f t="shared" si="1420"/>
        <v>都市整備部</v>
      </c>
      <c r="R4034" s="7" t="str">
        <f t="shared" si="1414"/>
        <v>住宅建築局住宅経営室</v>
      </c>
    </row>
    <row r="4035" spans="1:18" s="1" customFormat="1" x14ac:dyDescent="0.45">
      <c r="A4035" s="7" t="str">
        <f t="shared" si="1427"/>
        <v>09940003556</v>
      </c>
      <c r="B4035" s="7" t="str">
        <f t="shared" si="1428"/>
        <v>枚方津田第２</v>
      </c>
      <c r="C4035" s="7" t="str">
        <f t="shared" si="1419"/>
        <v>行政財産</v>
      </c>
      <c r="D4035" s="7" t="str">
        <f t="shared" si="1425"/>
        <v>公営住宅</v>
      </c>
      <c r="E4035" s="7" t="str">
        <f t="shared" si="1429"/>
        <v>大阪府枚方市大峰南町</v>
      </c>
      <c r="F4035" s="7"/>
      <c r="G4035" s="7" t="str">
        <f t="shared" si="1413"/>
        <v>事業用資産</v>
      </c>
      <c r="H4035" s="7" t="str">
        <f t="shared" si="1406"/>
        <v>棚卸以外</v>
      </c>
      <c r="I4035" s="7">
        <v>12</v>
      </c>
      <c r="J4035" s="7" t="str">
        <f>"浄化槽"</f>
        <v>浄化槽</v>
      </c>
      <c r="K4035" s="7" t="str">
        <f t="shared" si="1430"/>
        <v>鉄筋コンクリート造</v>
      </c>
      <c r="L4035" s="7" t="str">
        <f t="shared" si="1431"/>
        <v>S53.03.16</v>
      </c>
      <c r="M4035" s="7">
        <v>482.64</v>
      </c>
      <c r="N4035" s="7">
        <v>108250000</v>
      </c>
      <c r="O4035" s="7">
        <v>103643820</v>
      </c>
      <c r="P4035" s="7">
        <v>0</v>
      </c>
      <c r="Q4035" s="7" t="str">
        <f t="shared" si="1420"/>
        <v>都市整備部</v>
      </c>
      <c r="R4035" s="7" t="str">
        <f t="shared" si="1414"/>
        <v>住宅建築局住宅経営室</v>
      </c>
    </row>
    <row r="4036" spans="1:18" s="1" customFormat="1" x14ac:dyDescent="0.45">
      <c r="A4036" s="7" t="str">
        <f t="shared" ref="A4036:A4066" si="1432">"09940003557"</f>
        <v>09940003557</v>
      </c>
      <c r="B4036" s="7" t="str">
        <f t="shared" ref="B4036:B4066" si="1433">"八尾志紀"</f>
        <v>八尾志紀</v>
      </c>
      <c r="C4036" s="7" t="str">
        <f t="shared" si="1419"/>
        <v>行政財産</v>
      </c>
      <c r="D4036" s="7" t="str">
        <f t="shared" si="1425"/>
        <v>公営住宅</v>
      </c>
      <c r="E4036" s="7" t="str">
        <f t="shared" ref="E4036:E4066" si="1434">"大阪府八尾市志紀町　西１丁目"</f>
        <v>大阪府八尾市志紀町　西１丁目</v>
      </c>
      <c r="F4036" s="7"/>
      <c r="G4036" s="7" t="str">
        <f t="shared" si="1413"/>
        <v>事業用資産</v>
      </c>
      <c r="H4036" s="7" t="str">
        <f t="shared" ref="H4036:H4099" si="1435">"棚卸以外"</f>
        <v>棚卸以外</v>
      </c>
      <c r="I4036" s="7">
        <v>1</v>
      </c>
      <c r="J4036" s="7" t="str">
        <f>"１号棟"</f>
        <v>１号棟</v>
      </c>
      <c r="K4036" s="7" t="str">
        <f t="shared" si="1430"/>
        <v>鉄筋コンクリート造</v>
      </c>
      <c r="L4036" s="7" t="str">
        <f>"S59.11.29"</f>
        <v>S59.11.29</v>
      </c>
      <c r="M4036" s="7">
        <v>1439.93</v>
      </c>
      <c r="N4036" s="7">
        <v>186578800</v>
      </c>
      <c r="O4036" s="7">
        <v>151772400</v>
      </c>
      <c r="P4036" s="7">
        <v>0</v>
      </c>
      <c r="Q4036" s="7" t="str">
        <f t="shared" si="1420"/>
        <v>都市整備部</v>
      </c>
      <c r="R4036" s="7" t="str">
        <f t="shared" si="1414"/>
        <v>住宅建築局住宅経営室</v>
      </c>
    </row>
    <row r="4037" spans="1:18" s="1" customFormat="1" x14ac:dyDescent="0.45">
      <c r="A4037" s="7" t="str">
        <f t="shared" si="1432"/>
        <v>09940003557</v>
      </c>
      <c r="B4037" s="7" t="str">
        <f t="shared" si="1433"/>
        <v>八尾志紀</v>
      </c>
      <c r="C4037" s="7" t="str">
        <f t="shared" si="1419"/>
        <v>行政財産</v>
      </c>
      <c r="D4037" s="7" t="str">
        <f t="shared" si="1425"/>
        <v>公営住宅</v>
      </c>
      <c r="E4037" s="7" t="str">
        <f t="shared" si="1434"/>
        <v>大阪府八尾市志紀町　西１丁目</v>
      </c>
      <c r="F4037" s="7"/>
      <c r="G4037" s="7" t="str">
        <f t="shared" si="1413"/>
        <v>事業用資産</v>
      </c>
      <c r="H4037" s="7" t="str">
        <f t="shared" si="1435"/>
        <v>棚卸以外</v>
      </c>
      <c r="I4037" s="7">
        <v>2</v>
      </c>
      <c r="J4037" s="7" t="str">
        <f>"２号棟"</f>
        <v>２号棟</v>
      </c>
      <c r="K4037" s="7" t="str">
        <f t="shared" si="1430"/>
        <v>鉄筋コンクリート造</v>
      </c>
      <c r="L4037" s="7" t="str">
        <f>"S59.11.29"</f>
        <v>S59.11.29</v>
      </c>
      <c r="M4037" s="7">
        <v>2114.87</v>
      </c>
      <c r="N4037" s="7">
        <v>295078400</v>
      </c>
      <c r="O4037" s="7">
        <v>240465920</v>
      </c>
      <c r="P4037" s="7">
        <v>0</v>
      </c>
      <c r="Q4037" s="7" t="str">
        <f t="shared" si="1420"/>
        <v>都市整備部</v>
      </c>
      <c r="R4037" s="7" t="str">
        <f t="shared" si="1414"/>
        <v>住宅建築局住宅経営室</v>
      </c>
    </row>
    <row r="4038" spans="1:18" s="1" customFormat="1" x14ac:dyDescent="0.45">
      <c r="A4038" s="7" t="str">
        <f t="shared" si="1432"/>
        <v>09940003557</v>
      </c>
      <c r="B4038" s="7" t="str">
        <f t="shared" si="1433"/>
        <v>八尾志紀</v>
      </c>
      <c r="C4038" s="7" t="str">
        <f t="shared" si="1419"/>
        <v>行政財産</v>
      </c>
      <c r="D4038" s="7" t="str">
        <f t="shared" si="1425"/>
        <v>公営住宅</v>
      </c>
      <c r="E4038" s="7" t="str">
        <f t="shared" si="1434"/>
        <v>大阪府八尾市志紀町　西１丁目</v>
      </c>
      <c r="F4038" s="7"/>
      <c r="G4038" s="7" t="str">
        <f t="shared" si="1413"/>
        <v>事業用資産</v>
      </c>
      <c r="H4038" s="7" t="str">
        <f t="shared" si="1435"/>
        <v>棚卸以外</v>
      </c>
      <c r="I4038" s="7">
        <v>3</v>
      </c>
      <c r="J4038" s="7" t="str">
        <f>"３号棟"</f>
        <v>３号棟</v>
      </c>
      <c r="K4038" s="7" t="str">
        <f t="shared" si="1430"/>
        <v>鉄筋コンクリート造</v>
      </c>
      <c r="L4038" s="7" t="str">
        <f>"S59.11.29"</f>
        <v>S59.11.29</v>
      </c>
      <c r="M4038" s="7">
        <v>7715.62</v>
      </c>
      <c r="N4038" s="7">
        <v>956662215</v>
      </c>
      <c r="O4038" s="7">
        <v>773583141</v>
      </c>
      <c r="P4038" s="7">
        <v>0</v>
      </c>
      <c r="Q4038" s="7" t="str">
        <f t="shared" si="1420"/>
        <v>都市整備部</v>
      </c>
      <c r="R4038" s="7" t="str">
        <f t="shared" si="1414"/>
        <v>住宅建築局住宅経営室</v>
      </c>
    </row>
    <row r="4039" spans="1:18" s="1" customFormat="1" x14ac:dyDescent="0.45">
      <c r="A4039" s="7" t="str">
        <f t="shared" si="1432"/>
        <v>09940003557</v>
      </c>
      <c r="B4039" s="7" t="str">
        <f t="shared" si="1433"/>
        <v>八尾志紀</v>
      </c>
      <c r="C4039" s="7" t="str">
        <f t="shared" si="1419"/>
        <v>行政財産</v>
      </c>
      <c r="D4039" s="7" t="str">
        <f t="shared" si="1425"/>
        <v>公営住宅</v>
      </c>
      <c r="E4039" s="7" t="str">
        <f t="shared" si="1434"/>
        <v>大阪府八尾市志紀町　西１丁目</v>
      </c>
      <c r="F4039" s="7"/>
      <c r="G4039" s="7" t="str">
        <f t="shared" si="1413"/>
        <v>事業用資産</v>
      </c>
      <c r="H4039" s="7" t="str">
        <f t="shared" si="1435"/>
        <v>棚卸以外</v>
      </c>
      <c r="I4039" s="7">
        <v>4</v>
      </c>
      <c r="J4039" s="7" t="str">
        <f>"受水槽"</f>
        <v>受水槽</v>
      </c>
      <c r="K4039" s="7" t="str">
        <f t="shared" si="1430"/>
        <v>鉄筋コンクリート造</v>
      </c>
      <c r="L4039" s="7" t="str">
        <f>"S59.11.29"</f>
        <v>S59.11.29</v>
      </c>
      <c r="M4039" s="7">
        <v>78</v>
      </c>
      <c r="N4039" s="7">
        <v>15610000</v>
      </c>
      <c r="O4039" s="7">
        <v>12731880</v>
      </c>
      <c r="P4039" s="7">
        <v>0</v>
      </c>
      <c r="Q4039" s="7" t="str">
        <f t="shared" si="1420"/>
        <v>都市整備部</v>
      </c>
      <c r="R4039" s="7" t="str">
        <f t="shared" si="1414"/>
        <v>住宅建築局住宅経営室</v>
      </c>
    </row>
    <row r="4040" spans="1:18" s="1" customFormat="1" x14ac:dyDescent="0.45">
      <c r="A4040" s="7" t="str">
        <f t="shared" si="1432"/>
        <v>09940003557</v>
      </c>
      <c r="B4040" s="7" t="str">
        <f t="shared" si="1433"/>
        <v>八尾志紀</v>
      </c>
      <c r="C4040" s="7" t="str">
        <f t="shared" si="1419"/>
        <v>行政財産</v>
      </c>
      <c r="D4040" s="7" t="str">
        <f t="shared" si="1425"/>
        <v>公営住宅</v>
      </c>
      <c r="E4040" s="7" t="str">
        <f t="shared" si="1434"/>
        <v>大阪府八尾市志紀町　西１丁目</v>
      </c>
      <c r="F4040" s="7"/>
      <c r="G4040" s="7" t="str">
        <f t="shared" si="1413"/>
        <v>事業用資産</v>
      </c>
      <c r="H4040" s="7" t="str">
        <f t="shared" si="1435"/>
        <v>棚卸以外</v>
      </c>
      <c r="I4040" s="7">
        <v>5</v>
      </c>
      <c r="J4040" s="7" t="str">
        <f>"電気室"</f>
        <v>電気室</v>
      </c>
      <c r="K4040" s="7" t="str">
        <f t="shared" si="1430"/>
        <v>鉄筋コンクリート造</v>
      </c>
      <c r="L4040" s="7" t="str">
        <f>"S59.11.29"</f>
        <v>S59.11.29</v>
      </c>
      <c r="M4040" s="7">
        <v>60</v>
      </c>
      <c r="N4040" s="7">
        <v>9330000</v>
      </c>
      <c r="O4040" s="7">
        <v>7609780</v>
      </c>
      <c r="P4040" s="7">
        <v>0</v>
      </c>
      <c r="Q4040" s="7" t="str">
        <f t="shared" si="1420"/>
        <v>都市整備部</v>
      </c>
      <c r="R4040" s="7" t="str">
        <f t="shared" si="1414"/>
        <v>住宅建築局住宅経営室</v>
      </c>
    </row>
    <row r="4041" spans="1:18" s="1" customFormat="1" x14ac:dyDescent="0.45">
      <c r="A4041" s="7" t="str">
        <f t="shared" si="1432"/>
        <v>09940003557</v>
      </c>
      <c r="B4041" s="7" t="str">
        <f t="shared" si="1433"/>
        <v>八尾志紀</v>
      </c>
      <c r="C4041" s="7" t="str">
        <f t="shared" si="1419"/>
        <v>行政財産</v>
      </c>
      <c r="D4041" s="7" t="str">
        <f t="shared" si="1425"/>
        <v>公営住宅</v>
      </c>
      <c r="E4041" s="7" t="str">
        <f t="shared" si="1434"/>
        <v>大阪府八尾市志紀町　西１丁目</v>
      </c>
      <c r="F4041" s="7"/>
      <c r="G4041" s="7" t="str">
        <f t="shared" si="1413"/>
        <v>事業用資産</v>
      </c>
      <c r="H4041" s="7" t="str">
        <f t="shared" si="1435"/>
        <v>棚卸以外</v>
      </c>
      <c r="I4041" s="7">
        <v>6</v>
      </c>
      <c r="J4041" s="7" t="str">
        <f>"８号棟"</f>
        <v>８号棟</v>
      </c>
      <c r="K4041" s="7" t="str">
        <f t="shared" si="1430"/>
        <v>鉄筋コンクリート造</v>
      </c>
      <c r="L4041" s="7" t="str">
        <f>"S62.04.30"</f>
        <v>S62.04.30</v>
      </c>
      <c r="M4041" s="7">
        <v>2155.5700000000002</v>
      </c>
      <c r="N4041" s="7">
        <v>227060000</v>
      </c>
      <c r="O4041" s="7">
        <v>173515859</v>
      </c>
      <c r="P4041" s="7">
        <v>0</v>
      </c>
      <c r="Q4041" s="7" t="str">
        <f t="shared" si="1420"/>
        <v>都市整備部</v>
      </c>
      <c r="R4041" s="7" t="str">
        <f t="shared" si="1414"/>
        <v>住宅建築局住宅経営室</v>
      </c>
    </row>
    <row r="4042" spans="1:18" s="1" customFormat="1" x14ac:dyDescent="0.45">
      <c r="A4042" s="7" t="str">
        <f t="shared" si="1432"/>
        <v>09940003557</v>
      </c>
      <c r="B4042" s="7" t="str">
        <f t="shared" si="1433"/>
        <v>八尾志紀</v>
      </c>
      <c r="C4042" s="7" t="str">
        <f t="shared" si="1419"/>
        <v>行政財産</v>
      </c>
      <c r="D4042" s="7" t="str">
        <f t="shared" si="1425"/>
        <v>公営住宅</v>
      </c>
      <c r="E4042" s="7" t="str">
        <f t="shared" si="1434"/>
        <v>大阪府八尾市志紀町　西１丁目</v>
      </c>
      <c r="F4042" s="7"/>
      <c r="G4042" s="7" t="str">
        <f t="shared" si="1413"/>
        <v>事業用資産</v>
      </c>
      <c r="H4042" s="7" t="str">
        <f t="shared" si="1435"/>
        <v>棚卸以外</v>
      </c>
      <c r="I4042" s="7">
        <v>7</v>
      </c>
      <c r="J4042" s="7" t="str">
        <f>"電気室・受水槽"</f>
        <v>電気室・受水槽</v>
      </c>
      <c r="K4042" s="7" t="str">
        <f t="shared" si="1430"/>
        <v>鉄筋コンクリート造</v>
      </c>
      <c r="L4042" s="7" t="str">
        <f>"S62.04.30"</f>
        <v>S62.04.30</v>
      </c>
      <c r="M4042" s="7">
        <v>164</v>
      </c>
      <c r="N4042" s="7">
        <v>32936000</v>
      </c>
      <c r="O4042" s="7">
        <v>25169538</v>
      </c>
      <c r="P4042" s="7">
        <v>0</v>
      </c>
      <c r="Q4042" s="7" t="str">
        <f t="shared" si="1420"/>
        <v>都市整備部</v>
      </c>
      <c r="R4042" s="7" t="str">
        <f t="shared" si="1414"/>
        <v>住宅建築局住宅経営室</v>
      </c>
    </row>
    <row r="4043" spans="1:18" s="1" customFormat="1" x14ac:dyDescent="0.45">
      <c r="A4043" s="7" t="str">
        <f t="shared" si="1432"/>
        <v>09940003557</v>
      </c>
      <c r="B4043" s="7" t="str">
        <f t="shared" si="1433"/>
        <v>八尾志紀</v>
      </c>
      <c r="C4043" s="7" t="str">
        <f t="shared" si="1419"/>
        <v>行政財産</v>
      </c>
      <c r="D4043" s="7" t="str">
        <f t="shared" si="1425"/>
        <v>公営住宅</v>
      </c>
      <c r="E4043" s="7" t="str">
        <f t="shared" si="1434"/>
        <v>大阪府八尾市志紀町　西１丁目</v>
      </c>
      <c r="F4043" s="7"/>
      <c r="G4043" s="7" t="str">
        <f t="shared" si="1413"/>
        <v>事業用資産</v>
      </c>
      <c r="H4043" s="7" t="str">
        <f t="shared" si="1435"/>
        <v>棚卸以外</v>
      </c>
      <c r="I4043" s="7">
        <v>8</v>
      </c>
      <c r="J4043" s="7" t="str">
        <f>"６号棟"</f>
        <v>６号棟</v>
      </c>
      <c r="K4043" s="7" t="str">
        <f t="shared" si="1430"/>
        <v>鉄筋コンクリート造</v>
      </c>
      <c r="L4043" s="7" t="str">
        <f>"S62.11.16"</f>
        <v>S62.11.16</v>
      </c>
      <c r="M4043" s="7">
        <v>6559.27</v>
      </c>
      <c r="N4043" s="7">
        <v>732815250</v>
      </c>
      <c r="O4043" s="7">
        <v>543805291</v>
      </c>
      <c r="P4043" s="7">
        <v>0</v>
      </c>
      <c r="Q4043" s="7" t="str">
        <f t="shared" si="1420"/>
        <v>都市整備部</v>
      </c>
      <c r="R4043" s="7" t="str">
        <f t="shared" si="1414"/>
        <v>住宅建築局住宅経営室</v>
      </c>
    </row>
    <row r="4044" spans="1:18" s="1" customFormat="1" x14ac:dyDescent="0.45">
      <c r="A4044" s="7" t="str">
        <f t="shared" si="1432"/>
        <v>09940003557</v>
      </c>
      <c r="B4044" s="7" t="str">
        <f t="shared" si="1433"/>
        <v>八尾志紀</v>
      </c>
      <c r="C4044" s="7" t="str">
        <f t="shared" si="1419"/>
        <v>行政財産</v>
      </c>
      <c r="D4044" s="7" t="str">
        <f t="shared" si="1425"/>
        <v>公営住宅</v>
      </c>
      <c r="E4044" s="7" t="str">
        <f t="shared" si="1434"/>
        <v>大阪府八尾市志紀町　西１丁目</v>
      </c>
      <c r="F4044" s="7"/>
      <c r="G4044" s="7" t="str">
        <f t="shared" si="1413"/>
        <v>事業用資産</v>
      </c>
      <c r="H4044" s="7" t="str">
        <f t="shared" si="1435"/>
        <v>棚卸以外</v>
      </c>
      <c r="I4044" s="7">
        <v>9</v>
      </c>
      <c r="J4044" s="7" t="str">
        <f>"７号棟"</f>
        <v>７号棟</v>
      </c>
      <c r="K4044" s="7" t="str">
        <f t="shared" si="1430"/>
        <v>鉄筋コンクリート造</v>
      </c>
      <c r="L4044" s="7" t="str">
        <f>"S62.11.16"</f>
        <v>S62.11.16</v>
      </c>
      <c r="M4044" s="7">
        <v>4954.2700000000004</v>
      </c>
      <c r="N4044" s="7">
        <v>526788874</v>
      </c>
      <c r="O4044" s="7">
        <v>391602398</v>
      </c>
      <c r="P4044" s="7">
        <v>0</v>
      </c>
      <c r="Q4044" s="7" t="str">
        <f t="shared" si="1420"/>
        <v>都市整備部</v>
      </c>
      <c r="R4044" s="7" t="str">
        <f t="shared" si="1414"/>
        <v>住宅建築局住宅経営室</v>
      </c>
    </row>
    <row r="4045" spans="1:18" s="1" customFormat="1" x14ac:dyDescent="0.45">
      <c r="A4045" s="7" t="str">
        <f t="shared" si="1432"/>
        <v>09940003557</v>
      </c>
      <c r="B4045" s="7" t="str">
        <f t="shared" si="1433"/>
        <v>八尾志紀</v>
      </c>
      <c r="C4045" s="7" t="str">
        <f t="shared" si="1419"/>
        <v>行政財産</v>
      </c>
      <c r="D4045" s="7" t="str">
        <f t="shared" si="1425"/>
        <v>公営住宅</v>
      </c>
      <c r="E4045" s="7" t="str">
        <f t="shared" si="1434"/>
        <v>大阪府八尾市志紀町　西１丁目</v>
      </c>
      <c r="F4045" s="7"/>
      <c r="G4045" s="7" t="str">
        <f t="shared" si="1413"/>
        <v>事業用資産</v>
      </c>
      <c r="H4045" s="7" t="str">
        <f t="shared" si="1435"/>
        <v>棚卸以外</v>
      </c>
      <c r="I4045" s="7">
        <v>10</v>
      </c>
      <c r="J4045" s="7" t="str">
        <f>"集会所"</f>
        <v>集会所</v>
      </c>
      <c r="K4045" s="7" t="str">
        <f t="shared" si="1430"/>
        <v>鉄筋コンクリート造</v>
      </c>
      <c r="L4045" s="7" t="str">
        <f>"H02.04.01"</f>
        <v>H02.04.01</v>
      </c>
      <c r="M4045" s="7">
        <v>199.33</v>
      </c>
      <c r="N4045" s="7">
        <v>42948000</v>
      </c>
      <c r="O4045" s="7">
        <v>30078855</v>
      </c>
      <c r="P4045" s="7">
        <v>0</v>
      </c>
      <c r="Q4045" s="7" t="str">
        <f t="shared" si="1420"/>
        <v>都市整備部</v>
      </c>
      <c r="R4045" s="7" t="str">
        <f t="shared" si="1414"/>
        <v>住宅建築局住宅経営室</v>
      </c>
    </row>
    <row r="4046" spans="1:18" s="1" customFormat="1" ht="26.4" x14ac:dyDescent="0.45">
      <c r="A4046" s="7" t="str">
        <f t="shared" si="1432"/>
        <v>09940003557</v>
      </c>
      <c r="B4046" s="7" t="str">
        <f t="shared" si="1433"/>
        <v>八尾志紀</v>
      </c>
      <c r="C4046" s="7" t="str">
        <f t="shared" si="1419"/>
        <v>行政財産</v>
      </c>
      <c r="D4046" s="7" t="str">
        <f t="shared" si="1425"/>
        <v>公営住宅</v>
      </c>
      <c r="E4046" s="7" t="str">
        <f t="shared" si="1434"/>
        <v>大阪府八尾市志紀町　西１丁目</v>
      </c>
      <c r="F4046" s="7"/>
      <c r="G4046" s="7" t="str">
        <f t="shared" si="1413"/>
        <v>事業用資産</v>
      </c>
      <c r="H4046" s="7" t="str">
        <f t="shared" si="1435"/>
        <v>棚卸以外</v>
      </c>
      <c r="I4046" s="7">
        <v>11</v>
      </c>
      <c r="J4046" s="7" t="str">
        <f>"４号棟"</f>
        <v>４号棟</v>
      </c>
      <c r="K4046" s="7" t="str">
        <f t="shared" ref="K4046:K4063" si="1436">"鉄骨鉄筋コンクリート造"</f>
        <v>鉄骨鉄筋コンクリート造</v>
      </c>
      <c r="L4046" s="7" t="str">
        <f>"H03.05.01"</f>
        <v>H03.05.01</v>
      </c>
      <c r="M4046" s="7">
        <v>7496.04</v>
      </c>
      <c r="N4046" s="7">
        <v>1141270408</v>
      </c>
      <c r="O4046" s="7">
        <v>758706806</v>
      </c>
      <c r="P4046" s="7">
        <v>0</v>
      </c>
      <c r="Q4046" s="7" t="str">
        <f t="shared" si="1420"/>
        <v>都市整備部</v>
      </c>
      <c r="R4046" s="7" t="str">
        <f t="shared" si="1414"/>
        <v>住宅建築局住宅経営室</v>
      </c>
    </row>
    <row r="4047" spans="1:18" s="1" customFormat="1" ht="26.4" x14ac:dyDescent="0.45">
      <c r="A4047" s="7" t="str">
        <f t="shared" si="1432"/>
        <v>09940003557</v>
      </c>
      <c r="B4047" s="7" t="str">
        <f t="shared" si="1433"/>
        <v>八尾志紀</v>
      </c>
      <c r="C4047" s="7" t="str">
        <f t="shared" si="1419"/>
        <v>行政財産</v>
      </c>
      <c r="D4047" s="7" t="str">
        <f t="shared" si="1425"/>
        <v>公営住宅</v>
      </c>
      <c r="E4047" s="7" t="str">
        <f t="shared" si="1434"/>
        <v>大阪府八尾市志紀町　西１丁目</v>
      </c>
      <c r="F4047" s="7"/>
      <c r="G4047" s="7" t="str">
        <f t="shared" si="1413"/>
        <v>事業用資産</v>
      </c>
      <c r="H4047" s="7" t="str">
        <f t="shared" si="1435"/>
        <v>棚卸以外</v>
      </c>
      <c r="I4047" s="7">
        <v>12</v>
      </c>
      <c r="J4047" s="7" t="str">
        <f>"５号棟"</f>
        <v>５号棟</v>
      </c>
      <c r="K4047" s="7" t="str">
        <f t="shared" si="1436"/>
        <v>鉄骨鉄筋コンクリート造</v>
      </c>
      <c r="L4047" s="7" t="str">
        <f>"H03.05.01"</f>
        <v>H03.05.01</v>
      </c>
      <c r="M4047" s="7">
        <v>11029.06</v>
      </c>
      <c r="N4047" s="7">
        <v>1505928608</v>
      </c>
      <c r="O4047" s="7">
        <v>1004639552</v>
      </c>
      <c r="P4047" s="7">
        <v>0</v>
      </c>
      <c r="Q4047" s="7" t="str">
        <f t="shared" si="1420"/>
        <v>都市整備部</v>
      </c>
      <c r="R4047" s="7" t="str">
        <f t="shared" si="1414"/>
        <v>住宅建築局住宅経営室</v>
      </c>
    </row>
    <row r="4048" spans="1:18" s="1" customFormat="1" ht="26.4" x14ac:dyDescent="0.45">
      <c r="A4048" s="7" t="str">
        <f t="shared" si="1432"/>
        <v>09940003557</v>
      </c>
      <c r="B4048" s="7" t="str">
        <f t="shared" si="1433"/>
        <v>八尾志紀</v>
      </c>
      <c r="C4048" s="7" t="str">
        <f t="shared" si="1419"/>
        <v>行政財産</v>
      </c>
      <c r="D4048" s="7" t="str">
        <f t="shared" si="1425"/>
        <v>公営住宅</v>
      </c>
      <c r="E4048" s="7" t="str">
        <f t="shared" si="1434"/>
        <v>大阪府八尾市志紀町　西１丁目</v>
      </c>
      <c r="F4048" s="7"/>
      <c r="G4048" s="7" t="str">
        <f t="shared" si="1413"/>
        <v>事業用資産</v>
      </c>
      <c r="H4048" s="7" t="str">
        <f t="shared" si="1435"/>
        <v>棚卸以外</v>
      </c>
      <c r="I4048" s="7">
        <v>13</v>
      </c>
      <c r="J4048" s="7" t="str">
        <f>"９号棟"</f>
        <v>９号棟</v>
      </c>
      <c r="K4048" s="7" t="str">
        <f t="shared" si="1436"/>
        <v>鉄骨鉄筋コンクリート造</v>
      </c>
      <c r="L4048" s="7" t="str">
        <f>"H05.09.27"</f>
        <v>H05.09.27</v>
      </c>
      <c r="M4048" s="7">
        <v>5428.04</v>
      </c>
      <c r="N4048" s="7">
        <v>1089818470</v>
      </c>
      <c r="O4048" s="7">
        <v>682617315</v>
      </c>
      <c r="P4048" s="7">
        <v>0</v>
      </c>
      <c r="Q4048" s="7" t="str">
        <f t="shared" si="1420"/>
        <v>都市整備部</v>
      </c>
      <c r="R4048" s="7" t="str">
        <f t="shared" si="1414"/>
        <v>住宅建築局住宅経営室</v>
      </c>
    </row>
    <row r="4049" spans="1:18" s="1" customFormat="1" ht="26.4" x14ac:dyDescent="0.45">
      <c r="A4049" s="7" t="str">
        <f t="shared" si="1432"/>
        <v>09940003557</v>
      </c>
      <c r="B4049" s="7" t="str">
        <f t="shared" si="1433"/>
        <v>八尾志紀</v>
      </c>
      <c r="C4049" s="7" t="str">
        <f t="shared" si="1419"/>
        <v>行政財産</v>
      </c>
      <c r="D4049" s="7" t="str">
        <f t="shared" si="1425"/>
        <v>公営住宅</v>
      </c>
      <c r="E4049" s="7" t="str">
        <f t="shared" si="1434"/>
        <v>大阪府八尾市志紀町　西１丁目</v>
      </c>
      <c r="F4049" s="7"/>
      <c r="G4049" s="7" t="str">
        <f t="shared" si="1413"/>
        <v>事業用資産</v>
      </c>
      <c r="H4049" s="7" t="str">
        <f t="shared" si="1435"/>
        <v>棚卸以外</v>
      </c>
      <c r="I4049" s="7">
        <v>14</v>
      </c>
      <c r="J4049" s="7" t="str">
        <f>"受水槽（９号棟）"</f>
        <v>受水槽（９号棟）</v>
      </c>
      <c r="K4049" s="7" t="str">
        <f t="shared" si="1436"/>
        <v>鉄骨鉄筋コンクリート造</v>
      </c>
      <c r="L4049" s="7" t="str">
        <f>"H05.09.27"</f>
        <v>H05.09.27</v>
      </c>
      <c r="M4049" s="7">
        <v>86.25</v>
      </c>
      <c r="N4049" s="7">
        <v>14746000</v>
      </c>
      <c r="O4049" s="7">
        <v>9255684</v>
      </c>
      <c r="P4049" s="7">
        <v>0</v>
      </c>
      <c r="Q4049" s="7" t="str">
        <f t="shared" si="1420"/>
        <v>都市整備部</v>
      </c>
      <c r="R4049" s="7" t="str">
        <f t="shared" si="1414"/>
        <v>住宅建築局住宅経営室</v>
      </c>
    </row>
    <row r="4050" spans="1:18" s="1" customFormat="1" ht="26.4" x14ac:dyDescent="0.45">
      <c r="A4050" s="7" t="str">
        <f t="shared" si="1432"/>
        <v>09940003557</v>
      </c>
      <c r="B4050" s="7" t="str">
        <f t="shared" si="1433"/>
        <v>八尾志紀</v>
      </c>
      <c r="C4050" s="7" t="str">
        <f t="shared" si="1419"/>
        <v>行政財産</v>
      </c>
      <c r="D4050" s="7" t="str">
        <f t="shared" si="1425"/>
        <v>公営住宅</v>
      </c>
      <c r="E4050" s="7" t="str">
        <f t="shared" si="1434"/>
        <v>大阪府八尾市志紀町　西１丁目</v>
      </c>
      <c r="F4050" s="7"/>
      <c r="G4050" s="7" t="str">
        <f t="shared" si="1413"/>
        <v>事業用資産</v>
      </c>
      <c r="H4050" s="7" t="str">
        <f t="shared" si="1435"/>
        <v>棚卸以外</v>
      </c>
      <c r="I4050" s="7">
        <v>15</v>
      </c>
      <c r="J4050" s="7" t="str">
        <f>"電気室（９号棟）"</f>
        <v>電気室（９号棟）</v>
      </c>
      <c r="K4050" s="7" t="str">
        <f t="shared" si="1436"/>
        <v>鉄骨鉄筋コンクリート造</v>
      </c>
      <c r="L4050" s="7" t="str">
        <f>"H05.09.27"</f>
        <v>H05.09.27</v>
      </c>
      <c r="M4050" s="7">
        <v>45</v>
      </c>
      <c r="N4050" s="7">
        <v>30199000</v>
      </c>
      <c r="O4050" s="7">
        <v>18954930</v>
      </c>
      <c r="P4050" s="7">
        <v>0</v>
      </c>
      <c r="Q4050" s="7" t="str">
        <f t="shared" si="1420"/>
        <v>都市整備部</v>
      </c>
      <c r="R4050" s="7" t="str">
        <f t="shared" si="1414"/>
        <v>住宅建築局住宅経営室</v>
      </c>
    </row>
    <row r="4051" spans="1:18" s="1" customFormat="1" ht="26.4" x14ac:dyDescent="0.45">
      <c r="A4051" s="7" t="str">
        <f t="shared" si="1432"/>
        <v>09940003557</v>
      </c>
      <c r="B4051" s="7" t="str">
        <f t="shared" si="1433"/>
        <v>八尾志紀</v>
      </c>
      <c r="C4051" s="7" t="str">
        <f t="shared" si="1419"/>
        <v>行政財産</v>
      </c>
      <c r="D4051" s="7" t="str">
        <f t="shared" si="1425"/>
        <v>公営住宅</v>
      </c>
      <c r="E4051" s="7" t="str">
        <f t="shared" si="1434"/>
        <v>大阪府八尾市志紀町　西１丁目</v>
      </c>
      <c r="F4051" s="7"/>
      <c r="G4051" s="7" t="str">
        <f t="shared" si="1413"/>
        <v>事業用資産</v>
      </c>
      <c r="H4051" s="7" t="str">
        <f t="shared" si="1435"/>
        <v>棚卸以外</v>
      </c>
      <c r="I4051" s="7">
        <v>16</v>
      </c>
      <c r="J4051" s="7" t="str">
        <f>"１０号棟"</f>
        <v>１０号棟</v>
      </c>
      <c r="K4051" s="7" t="str">
        <f t="shared" si="1436"/>
        <v>鉄骨鉄筋コンクリート造</v>
      </c>
      <c r="L4051" s="7" t="str">
        <f>"H07.05.29"</f>
        <v>H07.05.29</v>
      </c>
      <c r="M4051" s="7">
        <v>8593.2000000000007</v>
      </c>
      <c r="N4051" s="7">
        <v>1712585942</v>
      </c>
      <c r="O4051" s="7">
        <v>1012052160</v>
      </c>
      <c r="P4051" s="7">
        <v>0</v>
      </c>
      <c r="Q4051" s="7" t="str">
        <f t="shared" si="1420"/>
        <v>都市整備部</v>
      </c>
      <c r="R4051" s="7" t="str">
        <f t="shared" si="1414"/>
        <v>住宅建築局住宅経営室</v>
      </c>
    </row>
    <row r="4052" spans="1:18" s="1" customFormat="1" ht="26.4" x14ac:dyDescent="0.45">
      <c r="A4052" s="7" t="str">
        <f t="shared" si="1432"/>
        <v>09940003557</v>
      </c>
      <c r="B4052" s="7" t="str">
        <f t="shared" si="1433"/>
        <v>八尾志紀</v>
      </c>
      <c r="C4052" s="7" t="str">
        <f t="shared" si="1419"/>
        <v>行政財産</v>
      </c>
      <c r="D4052" s="7" t="str">
        <f t="shared" si="1425"/>
        <v>公営住宅</v>
      </c>
      <c r="E4052" s="7" t="str">
        <f t="shared" si="1434"/>
        <v>大阪府八尾市志紀町　西１丁目</v>
      </c>
      <c r="F4052" s="7"/>
      <c r="G4052" s="7" t="str">
        <f t="shared" si="1413"/>
        <v>事業用資産</v>
      </c>
      <c r="H4052" s="7" t="str">
        <f t="shared" si="1435"/>
        <v>棚卸以外</v>
      </c>
      <c r="I4052" s="7">
        <v>17</v>
      </c>
      <c r="J4052" s="7" t="str">
        <f>"１２号棟"</f>
        <v>１２号棟</v>
      </c>
      <c r="K4052" s="7" t="str">
        <f t="shared" si="1436"/>
        <v>鉄骨鉄筋コンクリート造</v>
      </c>
      <c r="L4052" s="7" t="str">
        <f>"H07.12.11"</f>
        <v>H07.12.11</v>
      </c>
      <c r="M4052" s="7">
        <v>3636.02</v>
      </c>
      <c r="N4052" s="7">
        <v>614547471</v>
      </c>
      <c r="O4052" s="7">
        <v>355359387</v>
      </c>
      <c r="P4052" s="7">
        <v>0</v>
      </c>
      <c r="Q4052" s="7" t="str">
        <f t="shared" si="1420"/>
        <v>都市整備部</v>
      </c>
      <c r="R4052" s="7" t="str">
        <f t="shared" si="1414"/>
        <v>住宅建築局住宅経営室</v>
      </c>
    </row>
    <row r="4053" spans="1:18" s="1" customFormat="1" ht="26.4" x14ac:dyDescent="0.45">
      <c r="A4053" s="7" t="str">
        <f t="shared" si="1432"/>
        <v>09940003557</v>
      </c>
      <c r="B4053" s="7" t="str">
        <f t="shared" si="1433"/>
        <v>八尾志紀</v>
      </c>
      <c r="C4053" s="7" t="str">
        <f t="shared" si="1419"/>
        <v>行政財産</v>
      </c>
      <c r="D4053" s="7" t="str">
        <f t="shared" si="1425"/>
        <v>公営住宅</v>
      </c>
      <c r="E4053" s="7" t="str">
        <f t="shared" si="1434"/>
        <v>大阪府八尾市志紀町　西１丁目</v>
      </c>
      <c r="F4053" s="7"/>
      <c r="G4053" s="7" t="str">
        <f t="shared" si="1413"/>
        <v>事業用資産</v>
      </c>
      <c r="H4053" s="7" t="str">
        <f t="shared" si="1435"/>
        <v>棚卸以外</v>
      </c>
      <c r="I4053" s="7">
        <v>18</v>
      </c>
      <c r="J4053" s="7" t="str">
        <f>"１１号棟"</f>
        <v>１１号棟</v>
      </c>
      <c r="K4053" s="7" t="str">
        <f t="shared" si="1436"/>
        <v>鉄骨鉄筋コンクリート造</v>
      </c>
      <c r="L4053" s="7" t="str">
        <f>"H08.10.04"</f>
        <v>H08.10.04</v>
      </c>
      <c r="M4053" s="7">
        <v>7375.12</v>
      </c>
      <c r="N4053" s="7">
        <v>1449400708</v>
      </c>
      <c r="O4053" s="7">
        <v>805618220</v>
      </c>
      <c r="P4053" s="7">
        <v>0</v>
      </c>
      <c r="Q4053" s="7" t="str">
        <f t="shared" si="1420"/>
        <v>都市整備部</v>
      </c>
      <c r="R4053" s="7" t="str">
        <f t="shared" si="1414"/>
        <v>住宅建築局住宅経営室</v>
      </c>
    </row>
    <row r="4054" spans="1:18" s="1" customFormat="1" ht="26.4" x14ac:dyDescent="0.45">
      <c r="A4054" s="7" t="str">
        <f t="shared" si="1432"/>
        <v>09940003557</v>
      </c>
      <c r="B4054" s="7" t="str">
        <f t="shared" si="1433"/>
        <v>八尾志紀</v>
      </c>
      <c r="C4054" s="7" t="str">
        <f t="shared" si="1419"/>
        <v>行政財産</v>
      </c>
      <c r="D4054" s="7" t="str">
        <f t="shared" si="1425"/>
        <v>公営住宅</v>
      </c>
      <c r="E4054" s="7" t="str">
        <f t="shared" si="1434"/>
        <v>大阪府八尾市志紀町　西１丁目</v>
      </c>
      <c r="F4054" s="7"/>
      <c r="G4054" s="7" t="str">
        <f t="shared" si="1413"/>
        <v>事業用資産</v>
      </c>
      <c r="H4054" s="7" t="str">
        <f t="shared" si="1435"/>
        <v>棚卸以外</v>
      </c>
      <c r="I4054" s="7">
        <v>19</v>
      </c>
      <c r="J4054" s="7" t="str">
        <f>"１３号棟"</f>
        <v>１３号棟</v>
      </c>
      <c r="K4054" s="7" t="str">
        <f t="shared" si="1436"/>
        <v>鉄骨鉄筋コンクリート造</v>
      </c>
      <c r="L4054" s="7" t="str">
        <f>"H09.04.03"</f>
        <v>H09.04.03</v>
      </c>
      <c r="M4054" s="7">
        <v>8400.92</v>
      </c>
      <c r="N4054" s="7">
        <v>1649900941</v>
      </c>
      <c r="O4054" s="7">
        <v>908448392</v>
      </c>
      <c r="P4054" s="7">
        <v>0</v>
      </c>
      <c r="Q4054" s="7" t="str">
        <f t="shared" si="1420"/>
        <v>都市整備部</v>
      </c>
      <c r="R4054" s="7" t="str">
        <f t="shared" si="1414"/>
        <v>住宅建築局住宅経営室</v>
      </c>
    </row>
    <row r="4055" spans="1:18" s="1" customFormat="1" ht="26.4" x14ac:dyDescent="0.45">
      <c r="A4055" s="7" t="str">
        <f t="shared" si="1432"/>
        <v>09940003557</v>
      </c>
      <c r="B4055" s="7" t="str">
        <f t="shared" si="1433"/>
        <v>八尾志紀</v>
      </c>
      <c r="C4055" s="7" t="str">
        <f t="shared" si="1419"/>
        <v>行政財産</v>
      </c>
      <c r="D4055" s="7" t="str">
        <f t="shared" si="1425"/>
        <v>公営住宅</v>
      </c>
      <c r="E4055" s="7" t="str">
        <f t="shared" si="1434"/>
        <v>大阪府八尾市志紀町　西１丁目</v>
      </c>
      <c r="F4055" s="7"/>
      <c r="G4055" s="7" t="str">
        <f t="shared" ref="G4055:G4118" si="1437">"事業用資産"</f>
        <v>事業用資産</v>
      </c>
      <c r="H4055" s="7" t="str">
        <f t="shared" si="1435"/>
        <v>棚卸以外</v>
      </c>
      <c r="I4055" s="7">
        <v>20</v>
      </c>
      <c r="J4055" s="7" t="str">
        <f>"１４号棟"</f>
        <v>１４号棟</v>
      </c>
      <c r="K4055" s="7" t="str">
        <f t="shared" si="1436"/>
        <v>鉄骨鉄筋コンクリート造</v>
      </c>
      <c r="L4055" s="7" t="str">
        <f>"H09.04.03"</f>
        <v>H09.04.03</v>
      </c>
      <c r="M4055" s="7">
        <v>7789.03</v>
      </c>
      <c r="N4055" s="7">
        <v>1289718941</v>
      </c>
      <c r="O4055" s="7">
        <v>709837261</v>
      </c>
      <c r="P4055" s="7">
        <v>0</v>
      </c>
      <c r="Q4055" s="7" t="str">
        <f t="shared" si="1420"/>
        <v>都市整備部</v>
      </c>
      <c r="R4055" s="7" t="str">
        <f t="shared" si="1414"/>
        <v>住宅建築局住宅経営室</v>
      </c>
    </row>
    <row r="4056" spans="1:18" s="1" customFormat="1" ht="26.4" x14ac:dyDescent="0.45">
      <c r="A4056" s="7" t="str">
        <f t="shared" si="1432"/>
        <v>09940003557</v>
      </c>
      <c r="B4056" s="7" t="str">
        <f t="shared" si="1433"/>
        <v>八尾志紀</v>
      </c>
      <c r="C4056" s="7" t="str">
        <f t="shared" si="1419"/>
        <v>行政財産</v>
      </c>
      <c r="D4056" s="7" t="str">
        <f t="shared" si="1425"/>
        <v>公営住宅</v>
      </c>
      <c r="E4056" s="7" t="str">
        <f t="shared" si="1434"/>
        <v>大阪府八尾市志紀町　西１丁目</v>
      </c>
      <c r="F4056" s="7"/>
      <c r="G4056" s="7" t="str">
        <f t="shared" si="1437"/>
        <v>事業用資産</v>
      </c>
      <c r="H4056" s="7" t="str">
        <f t="shared" si="1435"/>
        <v>棚卸以外</v>
      </c>
      <c r="I4056" s="7">
        <v>21</v>
      </c>
      <c r="J4056" s="7" t="str">
        <f>"受水槽・電気室"</f>
        <v>受水槽・電気室</v>
      </c>
      <c r="K4056" s="7" t="str">
        <f t="shared" si="1436"/>
        <v>鉄骨鉄筋コンクリート造</v>
      </c>
      <c r="L4056" s="7" t="str">
        <f>"H09.04.03"</f>
        <v>H09.04.03</v>
      </c>
      <c r="M4056" s="7">
        <v>242.34</v>
      </c>
      <c r="N4056" s="7">
        <v>81410000</v>
      </c>
      <c r="O4056" s="7">
        <v>44890984</v>
      </c>
      <c r="P4056" s="7">
        <v>0</v>
      </c>
      <c r="Q4056" s="7" t="str">
        <f t="shared" si="1420"/>
        <v>都市整備部</v>
      </c>
      <c r="R4056" s="7" t="str">
        <f t="shared" ref="R4056:R4119" si="1438">"住宅建築局住宅経営室"</f>
        <v>住宅建築局住宅経営室</v>
      </c>
    </row>
    <row r="4057" spans="1:18" s="1" customFormat="1" ht="26.4" x14ac:dyDescent="0.45">
      <c r="A4057" s="7" t="str">
        <f t="shared" si="1432"/>
        <v>09940003557</v>
      </c>
      <c r="B4057" s="7" t="str">
        <f t="shared" si="1433"/>
        <v>八尾志紀</v>
      </c>
      <c r="C4057" s="7" t="str">
        <f t="shared" si="1419"/>
        <v>行政財産</v>
      </c>
      <c r="D4057" s="7" t="str">
        <f t="shared" si="1425"/>
        <v>公営住宅</v>
      </c>
      <c r="E4057" s="7" t="str">
        <f t="shared" si="1434"/>
        <v>大阪府八尾市志紀町　西１丁目</v>
      </c>
      <c r="F4057" s="7"/>
      <c r="G4057" s="7" t="str">
        <f t="shared" si="1437"/>
        <v>事業用資産</v>
      </c>
      <c r="H4057" s="7" t="str">
        <f t="shared" si="1435"/>
        <v>棚卸以外</v>
      </c>
      <c r="I4057" s="7">
        <v>22</v>
      </c>
      <c r="J4057" s="7" t="str">
        <f>"集会所"</f>
        <v>集会所</v>
      </c>
      <c r="K4057" s="7" t="str">
        <f t="shared" si="1436"/>
        <v>鉄骨鉄筋コンクリート造</v>
      </c>
      <c r="L4057" s="7" t="str">
        <f>"H09.04.03"</f>
        <v>H09.04.03</v>
      </c>
      <c r="M4057" s="7">
        <v>99.97</v>
      </c>
      <c r="N4057" s="7">
        <v>24096000</v>
      </c>
      <c r="O4057" s="7">
        <v>13287164</v>
      </c>
      <c r="P4057" s="7">
        <v>0</v>
      </c>
      <c r="Q4057" s="7" t="str">
        <f t="shared" si="1420"/>
        <v>都市整備部</v>
      </c>
      <c r="R4057" s="7" t="str">
        <f t="shared" si="1438"/>
        <v>住宅建築局住宅経営室</v>
      </c>
    </row>
    <row r="4058" spans="1:18" s="1" customFormat="1" ht="26.4" x14ac:dyDescent="0.45">
      <c r="A4058" s="7" t="str">
        <f t="shared" si="1432"/>
        <v>09940003557</v>
      </c>
      <c r="B4058" s="7" t="str">
        <f t="shared" si="1433"/>
        <v>八尾志紀</v>
      </c>
      <c r="C4058" s="7" t="str">
        <f t="shared" ref="C4058:C4121" si="1439">"行政財産"</f>
        <v>行政財産</v>
      </c>
      <c r="D4058" s="7" t="str">
        <f t="shared" si="1425"/>
        <v>公営住宅</v>
      </c>
      <c r="E4058" s="7" t="str">
        <f t="shared" si="1434"/>
        <v>大阪府八尾市志紀町　西１丁目</v>
      </c>
      <c r="F4058" s="7"/>
      <c r="G4058" s="7" t="str">
        <f t="shared" si="1437"/>
        <v>事業用資産</v>
      </c>
      <c r="H4058" s="7" t="str">
        <f t="shared" si="1435"/>
        <v>棚卸以外</v>
      </c>
      <c r="I4058" s="7">
        <v>23</v>
      </c>
      <c r="J4058" s="7" t="str">
        <f>"汚水処理場"</f>
        <v>汚水処理場</v>
      </c>
      <c r="K4058" s="7" t="str">
        <f t="shared" si="1436"/>
        <v>鉄骨鉄筋コンクリート造</v>
      </c>
      <c r="L4058" s="7" t="str">
        <f>"S59.11.29"</f>
        <v>S59.11.29</v>
      </c>
      <c r="M4058" s="7">
        <v>525.27</v>
      </c>
      <c r="N4058" s="7">
        <v>363920000</v>
      </c>
      <c r="O4058" s="7">
        <v>296814540</v>
      </c>
      <c r="P4058" s="7">
        <v>0</v>
      </c>
      <c r="Q4058" s="7" t="str">
        <f t="shared" si="1420"/>
        <v>都市整備部</v>
      </c>
      <c r="R4058" s="7" t="str">
        <f t="shared" si="1438"/>
        <v>住宅建築局住宅経営室</v>
      </c>
    </row>
    <row r="4059" spans="1:18" s="1" customFormat="1" ht="26.4" x14ac:dyDescent="0.45">
      <c r="A4059" s="7" t="str">
        <f t="shared" si="1432"/>
        <v>09940003557</v>
      </c>
      <c r="B4059" s="7" t="str">
        <f t="shared" si="1433"/>
        <v>八尾志紀</v>
      </c>
      <c r="C4059" s="7" t="str">
        <f t="shared" si="1439"/>
        <v>行政財産</v>
      </c>
      <c r="D4059" s="7" t="str">
        <f t="shared" si="1425"/>
        <v>公営住宅</v>
      </c>
      <c r="E4059" s="7" t="str">
        <f t="shared" si="1434"/>
        <v>大阪府八尾市志紀町　西１丁目</v>
      </c>
      <c r="F4059" s="7"/>
      <c r="G4059" s="7" t="str">
        <f t="shared" si="1437"/>
        <v>事業用資産</v>
      </c>
      <c r="H4059" s="7" t="str">
        <f t="shared" si="1435"/>
        <v>棚卸以外</v>
      </c>
      <c r="I4059" s="7">
        <v>24</v>
      </c>
      <c r="J4059" s="7" t="str">
        <f>"１５号棟"</f>
        <v>１５号棟</v>
      </c>
      <c r="K4059" s="7" t="str">
        <f t="shared" si="1436"/>
        <v>鉄骨鉄筋コンクリート造</v>
      </c>
      <c r="L4059" s="7" t="str">
        <f>"H10.10.27"</f>
        <v>H10.10.27</v>
      </c>
      <c r="M4059" s="7">
        <v>8694.7199999999993</v>
      </c>
      <c r="N4059" s="7">
        <v>1578017941</v>
      </c>
      <c r="O4059" s="7">
        <v>819075560</v>
      </c>
      <c r="P4059" s="7">
        <v>0</v>
      </c>
      <c r="Q4059" s="7" t="str">
        <f t="shared" ref="Q4059:Q4122" si="1440">"都市整備部"</f>
        <v>都市整備部</v>
      </c>
      <c r="R4059" s="7" t="str">
        <f t="shared" si="1438"/>
        <v>住宅建築局住宅経営室</v>
      </c>
    </row>
    <row r="4060" spans="1:18" s="1" customFormat="1" ht="26.4" x14ac:dyDescent="0.45">
      <c r="A4060" s="7" t="str">
        <f t="shared" si="1432"/>
        <v>09940003557</v>
      </c>
      <c r="B4060" s="7" t="str">
        <f t="shared" si="1433"/>
        <v>八尾志紀</v>
      </c>
      <c r="C4060" s="7" t="str">
        <f t="shared" si="1439"/>
        <v>行政財産</v>
      </c>
      <c r="D4060" s="7" t="str">
        <f t="shared" si="1425"/>
        <v>公営住宅</v>
      </c>
      <c r="E4060" s="7" t="str">
        <f t="shared" si="1434"/>
        <v>大阪府八尾市志紀町　西１丁目</v>
      </c>
      <c r="F4060" s="7"/>
      <c r="G4060" s="7" t="str">
        <f t="shared" si="1437"/>
        <v>事業用資産</v>
      </c>
      <c r="H4060" s="7" t="str">
        <f t="shared" si="1435"/>
        <v>棚卸以外</v>
      </c>
      <c r="I4060" s="7">
        <v>26</v>
      </c>
      <c r="J4060" s="7" t="str">
        <f>"受水槽ポンプ室・電気室"</f>
        <v>受水槽ポンプ室・電気室</v>
      </c>
      <c r="K4060" s="7" t="str">
        <f t="shared" si="1436"/>
        <v>鉄骨鉄筋コンクリート造</v>
      </c>
      <c r="L4060" s="7" t="str">
        <f>"H14.06.20"</f>
        <v>H14.06.20</v>
      </c>
      <c r="M4060" s="7">
        <v>86.52</v>
      </c>
      <c r="N4060" s="7">
        <v>26333000</v>
      </c>
      <c r="O4060" s="7">
        <v>11625810</v>
      </c>
      <c r="P4060" s="7">
        <v>0</v>
      </c>
      <c r="Q4060" s="7" t="str">
        <f t="shared" si="1440"/>
        <v>都市整備部</v>
      </c>
      <c r="R4060" s="7" t="str">
        <f t="shared" si="1438"/>
        <v>住宅建築局住宅経営室</v>
      </c>
    </row>
    <row r="4061" spans="1:18" s="1" customFormat="1" ht="26.4" x14ac:dyDescent="0.45">
      <c r="A4061" s="7" t="str">
        <f t="shared" si="1432"/>
        <v>09940003557</v>
      </c>
      <c r="B4061" s="7" t="str">
        <f t="shared" si="1433"/>
        <v>八尾志紀</v>
      </c>
      <c r="C4061" s="7" t="str">
        <f t="shared" si="1439"/>
        <v>行政財産</v>
      </c>
      <c r="D4061" s="7" t="str">
        <f t="shared" si="1425"/>
        <v>公営住宅</v>
      </c>
      <c r="E4061" s="7" t="str">
        <f t="shared" si="1434"/>
        <v>大阪府八尾市志紀町　西１丁目</v>
      </c>
      <c r="F4061" s="7"/>
      <c r="G4061" s="7" t="str">
        <f t="shared" si="1437"/>
        <v>事業用資産</v>
      </c>
      <c r="H4061" s="7" t="str">
        <f t="shared" si="1435"/>
        <v>棚卸以外</v>
      </c>
      <c r="I4061" s="7">
        <v>27</v>
      </c>
      <c r="J4061" s="7" t="str">
        <f>"集会所"</f>
        <v>集会所</v>
      </c>
      <c r="K4061" s="7" t="str">
        <f t="shared" si="1436"/>
        <v>鉄骨鉄筋コンクリート造</v>
      </c>
      <c r="L4061" s="7" t="str">
        <f>"H14.06.20"</f>
        <v>H14.06.20</v>
      </c>
      <c r="M4061" s="7">
        <v>66.97</v>
      </c>
      <c r="N4061" s="7">
        <v>19834000</v>
      </c>
      <c r="O4061" s="7">
        <v>8756583</v>
      </c>
      <c r="P4061" s="7">
        <v>0</v>
      </c>
      <c r="Q4061" s="7" t="str">
        <f t="shared" si="1440"/>
        <v>都市整備部</v>
      </c>
      <c r="R4061" s="7" t="str">
        <f t="shared" si="1438"/>
        <v>住宅建築局住宅経営室</v>
      </c>
    </row>
    <row r="4062" spans="1:18" s="1" customFormat="1" ht="26.4" x14ac:dyDescent="0.45">
      <c r="A4062" s="7" t="str">
        <f t="shared" si="1432"/>
        <v>09940003557</v>
      </c>
      <c r="B4062" s="7" t="str">
        <f t="shared" si="1433"/>
        <v>八尾志紀</v>
      </c>
      <c r="C4062" s="7" t="str">
        <f t="shared" si="1439"/>
        <v>行政財産</v>
      </c>
      <c r="D4062" s="7" t="str">
        <f t="shared" si="1425"/>
        <v>公営住宅</v>
      </c>
      <c r="E4062" s="7" t="str">
        <f t="shared" si="1434"/>
        <v>大阪府八尾市志紀町　西１丁目</v>
      </c>
      <c r="F4062" s="7"/>
      <c r="G4062" s="7" t="str">
        <f t="shared" si="1437"/>
        <v>事業用資産</v>
      </c>
      <c r="H4062" s="7" t="str">
        <f t="shared" si="1435"/>
        <v>棚卸以外</v>
      </c>
      <c r="I4062" s="7">
        <v>28</v>
      </c>
      <c r="J4062" s="7" t="str">
        <f>"１７号棟"</f>
        <v>１７号棟</v>
      </c>
      <c r="K4062" s="7" t="str">
        <f t="shared" si="1436"/>
        <v>鉄骨鉄筋コンクリート造</v>
      </c>
      <c r="L4062" s="7" t="str">
        <f>"H14.08.29"</f>
        <v>H14.08.29</v>
      </c>
      <c r="M4062" s="7">
        <v>9241.9699999999993</v>
      </c>
      <c r="N4062" s="7">
        <v>1239264742</v>
      </c>
      <c r="O4062" s="7">
        <v>545095297</v>
      </c>
      <c r="P4062" s="7">
        <v>0</v>
      </c>
      <c r="Q4062" s="7" t="str">
        <f t="shared" si="1440"/>
        <v>都市整備部</v>
      </c>
      <c r="R4062" s="7" t="str">
        <f t="shared" si="1438"/>
        <v>住宅建築局住宅経営室</v>
      </c>
    </row>
    <row r="4063" spans="1:18" s="1" customFormat="1" ht="26.4" x14ac:dyDescent="0.45">
      <c r="A4063" s="7" t="str">
        <f t="shared" si="1432"/>
        <v>09940003557</v>
      </c>
      <c r="B4063" s="7" t="str">
        <f t="shared" si="1433"/>
        <v>八尾志紀</v>
      </c>
      <c r="C4063" s="7" t="str">
        <f t="shared" si="1439"/>
        <v>行政財産</v>
      </c>
      <c r="D4063" s="7" t="str">
        <f t="shared" si="1425"/>
        <v>公営住宅</v>
      </c>
      <c r="E4063" s="7" t="str">
        <f t="shared" si="1434"/>
        <v>大阪府八尾市志紀町　西１丁目</v>
      </c>
      <c r="F4063" s="7"/>
      <c r="G4063" s="7" t="str">
        <f t="shared" si="1437"/>
        <v>事業用資産</v>
      </c>
      <c r="H4063" s="7" t="str">
        <f t="shared" si="1435"/>
        <v>棚卸以外</v>
      </c>
      <c r="I4063" s="7">
        <v>29</v>
      </c>
      <c r="J4063" s="7" t="str">
        <f>"受水槽ポンプ室・電気室"</f>
        <v>受水槽ポンプ室・電気室</v>
      </c>
      <c r="K4063" s="7" t="str">
        <f t="shared" si="1436"/>
        <v>鉄骨鉄筋コンクリート造</v>
      </c>
      <c r="L4063" s="7" t="str">
        <f>"H14.08.29"</f>
        <v>H14.08.29</v>
      </c>
      <c r="M4063" s="7">
        <v>96.12</v>
      </c>
      <c r="N4063" s="7">
        <v>27334000</v>
      </c>
      <c r="O4063" s="7">
        <v>11970855</v>
      </c>
      <c r="P4063" s="7">
        <v>0</v>
      </c>
      <c r="Q4063" s="7" t="str">
        <f t="shared" si="1440"/>
        <v>都市整備部</v>
      </c>
      <c r="R4063" s="7" t="str">
        <f t="shared" si="1438"/>
        <v>住宅建築局住宅経営室</v>
      </c>
    </row>
    <row r="4064" spans="1:18" s="1" customFormat="1" x14ac:dyDescent="0.45">
      <c r="A4064" s="7" t="str">
        <f t="shared" si="1432"/>
        <v>09940003557</v>
      </c>
      <c r="B4064" s="7" t="str">
        <f t="shared" si="1433"/>
        <v>八尾志紀</v>
      </c>
      <c r="C4064" s="7" t="str">
        <f t="shared" si="1439"/>
        <v>行政財産</v>
      </c>
      <c r="D4064" s="7" t="str">
        <f t="shared" si="1425"/>
        <v>公営住宅</v>
      </c>
      <c r="E4064" s="7" t="str">
        <f t="shared" si="1434"/>
        <v>大阪府八尾市志紀町　西１丁目</v>
      </c>
      <c r="F4064" s="7"/>
      <c r="G4064" s="7" t="str">
        <f t="shared" si="1437"/>
        <v>事業用資産</v>
      </c>
      <c r="H4064" s="7" t="str">
        <f t="shared" si="1435"/>
        <v>棚卸以外</v>
      </c>
      <c r="I4064" s="7">
        <v>30</v>
      </c>
      <c r="J4064" s="7" t="str">
        <f>"１８号棟"</f>
        <v>１８号棟</v>
      </c>
      <c r="K4064" s="7" t="str">
        <f>"鉄筋コンクリート造"</f>
        <v>鉄筋コンクリート造</v>
      </c>
      <c r="L4064" s="7" t="str">
        <f>"H16.01.29"</f>
        <v>H16.01.29</v>
      </c>
      <c r="M4064" s="7">
        <v>7314.37</v>
      </c>
      <c r="N4064" s="7">
        <v>943958742</v>
      </c>
      <c r="O4064" s="7">
        <v>387869764</v>
      </c>
      <c r="P4064" s="7">
        <v>0</v>
      </c>
      <c r="Q4064" s="7" t="str">
        <f t="shared" si="1440"/>
        <v>都市整備部</v>
      </c>
      <c r="R4064" s="7" t="str">
        <f t="shared" si="1438"/>
        <v>住宅建築局住宅経営室</v>
      </c>
    </row>
    <row r="4065" spans="1:18" s="1" customFormat="1" x14ac:dyDescent="0.45">
      <c r="A4065" s="7" t="str">
        <f t="shared" si="1432"/>
        <v>09940003557</v>
      </c>
      <c r="B4065" s="7" t="str">
        <f t="shared" si="1433"/>
        <v>八尾志紀</v>
      </c>
      <c r="C4065" s="7" t="str">
        <f t="shared" si="1439"/>
        <v>行政財産</v>
      </c>
      <c r="D4065" s="7" t="str">
        <f t="shared" si="1425"/>
        <v>公営住宅</v>
      </c>
      <c r="E4065" s="7" t="str">
        <f t="shared" si="1434"/>
        <v>大阪府八尾市志紀町　西１丁目</v>
      </c>
      <c r="F4065" s="7"/>
      <c r="G4065" s="7" t="str">
        <f t="shared" si="1437"/>
        <v>事業用資産</v>
      </c>
      <c r="H4065" s="7" t="str">
        <f t="shared" si="1435"/>
        <v>棚卸以外</v>
      </c>
      <c r="I4065" s="7">
        <v>31</v>
      </c>
      <c r="J4065" s="7" t="str">
        <f>"受水槽ポンプ室・電気室"</f>
        <v>受水槽ポンプ室・電気室</v>
      </c>
      <c r="K4065" s="7" t="str">
        <f>"鉄筋コンクリート造"</f>
        <v>鉄筋コンクリート造</v>
      </c>
      <c r="L4065" s="7" t="str">
        <f>"H16.01.29"</f>
        <v>H16.01.29</v>
      </c>
      <c r="M4065" s="7">
        <v>96.16</v>
      </c>
      <c r="N4065" s="7">
        <v>24158000</v>
      </c>
      <c r="O4065" s="7">
        <v>9851820</v>
      </c>
      <c r="P4065" s="7">
        <v>0</v>
      </c>
      <c r="Q4065" s="7" t="str">
        <f t="shared" si="1440"/>
        <v>都市整備部</v>
      </c>
      <c r="R4065" s="7" t="str">
        <f t="shared" si="1438"/>
        <v>住宅建築局住宅経営室</v>
      </c>
    </row>
    <row r="4066" spans="1:18" s="1" customFormat="1" ht="26.4" x14ac:dyDescent="0.45">
      <c r="A4066" s="7" t="str">
        <f t="shared" si="1432"/>
        <v>09940003557</v>
      </c>
      <c r="B4066" s="7" t="str">
        <f t="shared" si="1433"/>
        <v>八尾志紀</v>
      </c>
      <c r="C4066" s="7" t="str">
        <f t="shared" si="1439"/>
        <v>行政財産</v>
      </c>
      <c r="D4066" s="7" t="str">
        <f t="shared" si="1425"/>
        <v>公営住宅</v>
      </c>
      <c r="E4066" s="7" t="str">
        <f t="shared" si="1434"/>
        <v>大阪府八尾市志紀町　西１丁目</v>
      </c>
      <c r="F4066" s="7"/>
      <c r="G4066" s="7" t="str">
        <f t="shared" si="1437"/>
        <v>事業用資産</v>
      </c>
      <c r="H4066" s="7" t="str">
        <f t="shared" si="1435"/>
        <v>棚卸以外</v>
      </c>
      <c r="I4066" s="7">
        <v>32</v>
      </c>
      <c r="J4066" s="7" t="str">
        <f>"１６号棟"</f>
        <v>１６号棟</v>
      </c>
      <c r="K4066" s="7" t="str">
        <f>"鉄骨鉄筋コンクリート造"</f>
        <v>鉄骨鉄筋コンクリート造</v>
      </c>
      <c r="L4066" s="7" t="str">
        <f>"H14.06.20"</f>
        <v>H14.06.20</v>
      </c>
      <c r="M4066" s="7">
        <v>5307.85</v>
      </c>
      <c r="N4066" s="7">
        <v>853229872</v>
      </c>
      <c r="O4066" s="7">
        <v>377843313</v>
      </c>
      <c r="P4066" s="7">
        <v>0</v>
      </c>
      <c r="Q4066" s="7" t="str">
        <f t="shared" si="1440"/>
        <v>都市整備部</v>
      </c>
      <c r="R4066" s="7" t="str">
        <f t="shared" si="1438"/>
        <v>住宅建築局住宅経営室</v>
      </c>
    </row>
    <row r="4067" spans="1:18" s="1" customFormat="1" x14ac:dyDescent="0.45">
      <c r="A4067" s="7" t="str">
        <f t="shared" ref="A4067:A4098" si="1441">"09940003558"</f>
        <v>09940003558</v>
      </c>
      <c r="B4067" s="7" t="str">
        <f t="shared" ref="B4067:B4098" si="1442">"高槻天川"</f>
        <v>高槻天川</v>
      </c>
      <c r="C4067" s="7" t="str">
        <f t="shared" si="1439"/>
        <v>行政財産</v>
      </c>
      <c r="D4067" s="7" t="str">
        <f t="shared" si="1425"/>
        <v>公営住宅</v>
      </c>
      <c r="E4067" s="7" t="str">
        <f t="shared" ref="E4067:E4098" si="1443">"大阪府高槻市天川町"</f>
        <v>大阪府高槻市天川町</v>
      </c>
      <c r="F4067" s="7"/>
      <c r="G4067" s="7" t="str">
        <f t="shared" si="1437"/>
        <v>事業用資産</v>
      </c>
      <c r="H4067" s="7" t="str">
        <f t="shared" si="1435"/>
        <v>棚卸以外</v>
      </c>
      <c r="I4067" s="7">
        <v>1</v>
      </c>
      <c r="J4067" s="7" t="str">
        <f>"１号棟"</f>
        <v>１号棟</v>
      </c>
      <c r="K4067" s="7" t="str">
        <f t="shared" ref="K4067:K4098" si="1444">"鉄筋コンクリート造"</f>
        <v>鉄筋コンクリート造</v>
      </c>
      <c r="L4067" s="7" t="str">
        <f t="shared" ref="L4067:L4075" si="1445">"H05.09.28"</f>
        <v>H05.09.28</v>
      </c>
      <c r="M4067" s="7">
        <v>1239.17</v>
      </c>
      <c r="N4067" s="7">
        <v>231627939</v>
      </c>
      <c r="O4067" s="7">
        <v>145211862</v>
      </c>
      <c r="P4067" s="7">
        <v>0</v>
      </c>
      <c r="Q4067" s="7" t="str">
        <f t="shared" si="1440"/>
        <v>都市整備部</v>
      </c>
      <c r="R4067" s="7" t="str">
        <f t="shared" si="1438"/>
        <v>住宅建築局住宅経営室</v>
      </c>
    </row>
    <row r="4068" spans="1:18" s="1" customFormat="1" x14ac:dyDescent="0.45">
      <c r="A4068" s="7" t="str">
        <f t="shared" si="1441"/>
        <v>09940003558</v>
      </c>
      <c r="B4068" s="7" t="str">
        <f t="shared" si="1442"/>
        <v>高槻天川</v>
      </c>
      <c r="C4068" s="7" t="str">
        <f t="shared" si="1439"/>
        <v>行政財産</v>
      </c>
      <c r="D4068" s="7" t="str">
        <f t="shared" si="1425"/>
        <v>公営住宅</v>
      </c>
      <c r="E4068" s="7" t="str">
        <f t="shared" si="1443"/>
        <v>大阪府高槻市天川町</v>
      </c>
      <c r="F4068" s="7"/>
      <c r="G4068" s="7" t="str">
        <f t="shared" si="1437"/>
        <v>事業用資産</v>
      </c>
      <c r="H4068" s="7" t="str">
        <f t="shared" si="1435"/>
        <v>棚卸以外</v>
      </c>
      <c r="I4068" s="7">
        <v>2</v>
      </c>
      <c r="J4068" s="7" t="str">
        <f>"２号棟"</f>
        <v>２号棟</v>
      </c>
      <c r="K4068" s="7" t="str">
        <f t="shared" si="1444"/>
        <v>鉄筋コンクリート造</v>
      </c>
      <c r="L4068" s="7" t="str">
        <f t="shared" si="1445"/>
        <v>H05.09.28</v>
      </c>
      <c r="M4068" s="7">
        <v>1239.17</v>
      </c>
      <c r="N4068" s="7">
        <v>202695878</v>
      </c>
      <c r="O4068" s="7">
        <v>126880326</v>
      </c>
      <c r="P4068" s="7">
        <v>0</v>
      </c>
      <c r="Q4068" s="7" t="str">
        <f t="shared" si="1440"/>
        <v>都市整備部</v>
      </c>
      <c r="R4068" s="7" t="str">
        <f t="shared" si="1438"/>
        <v>住宅建築局住宅経営室</v>
      </c>
    </row>
    <row r="4069" spans="1:18" s="1" customFormat="1" x14ac:dyDescent="0.45">
      <c r="A4069" s="7" t="str">
        <f t="shared" si="1441"/>
        <v>09940003558</v>
      </c>
      <c r="B4069" s="7" t="str">
        <f t="shared" si="1442"/>
        <v>高槻天川</v>
      </c>
      <c r="C4069" s="7" t="str">
        <f t="shared" si="1439"/>
        <v>行政財産</v>
      </c>
      <c r="D4069" s="7" t="str">
        <f t="shared" si="1425"/>
        <v>公営住宅</v>
      </c>
      <c r="E4069" s="7" t="str">
        <f t="shared" si="1443"/>
        <v>大阪府高槻市天川町</v>
      </c>
      <c r="F4069" s="7"/>
      <c r="G4069" s="7" t="str">
        <f t="shared" si="1437"/>
        <v>事業用資産</v>
      </c>
      <c r="H4069" s="7" t="str">
        <f t="shared" si="1435"/>
        <v>棚卸以外</v>
      </c>
      <c r="I4069" s="7">
        <v>3</v>
      </c>
      <c r="J4069" s="7" t="str">
        <f>"３号棟"</f>
        <v>３号棟</v>
      </c>
      <c r="K4069" s="7" t="str">
        <f t="shared" si="1444"/>
        <v>鉄筋コンクリート造</v>
      </c>
      <c r="L4069" s="7" t="str">
        <f t="shared" si="1445"/>
        <v>H05.09.28</v>
      </c>
      <c r="M4069" s="7">
        <v>826.11</v>
      </c>
      <c r="N4069" s="7">
        <v>136637000</v>
      </c>
      <c r="O4069" s="7">
        <v>85761810</v>
      </c>
      <c r="P4069" s="7">
        <v>0</v>
      </c>
      <c r="Q4069" s="7" t="str">
        <f t="shared" si="1440"/>
        <v>都市整備部</v>
      </c>
      <c r="R4069" s="7" t="str">
        <f t="shared" si="1438"/>
        <v>住宅建築局住宅経営室</v>
      </c>
    </row>
    <row r="4070" spans="1:18" s="1" customFormat="1" x14ac:dyDescent="0.45">
      <c r="A4070" s="7" t="str">
        <f t="shared" si="1441"/>
        <v>09940003558</v>
      </c>
      <c r="B4070" s="7" t="str">
        <f t="shared" si="1442"/>
        <v>高槻天川</v>
      </c>
      <c r="C4070" s="7" t="str">
        <f t="shared" si="1439"/>
        <v>行政財産</v>
      </c>
      <c r="D4070" s="7" t="str">
        <f t="shared" si="1425"/>
        <v>公営住宅</v>
      </c>
      <c r="E4070" s="7" t="str">
        <f t="shared" si="1443"/>
        <v>大阪府高槻市天川町</v>
      </c>
      <c r="F4070" s="7"/>
      <c r="G4070" s="7" t="str">
        <f t="shared" si="1437"/>
        <v>事業用資産</v>
      </c>
      <c r="H4070" s="7" t="str">
        <f t="shared" si="1435"/>
        <v>棚卸以外</v>
      </c>
      <c r="I4070" s="7">
        <v>4</v>
      </c>
      <c r="J4070" s="7" t="str">
        <f>"４号棟"</f>
        <v>４号棟</v>
      </c>
      <c r="K4070" s="7" t="str">
        <f t="shared" si="1444"/>
        <v>鉄筋コンクリート造</v>
      </c>
      <c r="L4070" s="7" t="str">
        <f t="shared" si="1445"/>
        <v>H05.09.28</v>
      </c>
      <c r="M4070" s="7">
        <v>1239.17</v>
      </c>
      <c r="N4070" s="7">
        <v>234480000</v>
      </c>
      <c r="O4070" s="7">
        <v>147173730</v>
      </c>
      <c r="P4070" s="7">
        <v>0</v>
      </c>
      <c r="Q4070" s="7" t="str">
        <f t="shared" si="1440"/>
        <v>都市整備部</v>
      </c>
      <c r="R4070" s="7" t="str">
        <f t="shared" si="1438"/>
        <v>住宅建築局住宅経営室</v>
      </c>
    </row>
    <row r="4071" spans="1:18" s="1" customFormat="1" x14ac:dyDescent="0.45">
      <c r="A4071" s="7" t="str">
        <f t="shared" si="1441"/>
        <v>09940003558</v>
      </c>
      <c r="B4071" s="7" t="str">
        <f t="shared" si="1442"/>
        <v>高槻天川</v>
      </c>
      <c r="C4071" s="7" t="str">
        <f t="shared" si="1439"/>
        <v>行政財産</v>
      </c>
      <c r="D4071" s="7" t="str">
        <f t="shared" si="1425"/>
        <v>公営住宅</v>
      </c>
      <c r="E4071" s="7" t="str">
        <f t="shared" si="1443"/>
        <v>大阪府高槻市天川町</v>
      </c>
      <c r="F4071" s="7"/>
      <c r="G4071" s="7" t="str">
        <f t="shared" si="1437"/>
        <v>事業用資産</v>
      </c>
      <c r="H4071" s="7" t="str">
        <f t="shared" si="1435"/>
        <v>棚卸以外</v>
      </c>
      <c r="I4071" s="7">
        <v>5</v>
      </c>
      <c r="J4071" s="7" t="str">
        <f>"５号棟"</f>
        <v>５号棟</v>
      </c>
      <c r="K4071" s="7" t="str">
        <f t="shared" si="1444"/>
        <v>鉄筋コンクリート造</v>
      </c>
      <c r="L4071" s="7" t="str">
        <f t="shared" si="1445"/>
        <v>H05.09.28</v>
      </c>
      <c r="M4071" s="7">
        <v>1239.17</v>
      </c>
      <c r="N4071" s="7">
        <v>232217878</v>
      </c>
      <c r="O4071" s="7">
        <v>145410102</v>
      </c>
      <c r="P4071" s="7">
        <v>0</v>
      </c>
      <c r="Q4071" s="7" t="str">
        <f t="shared" si="1440"/>
        <v>都市整備部</v>
      </c>
      <c r="R4071" s="7" t="str">
        <f t="shared" si="1438"/>
        <v>住宅建築局住宅経営室</v>
      </c>
    </row>
    <row r="4072" spans="1:18" s="1" customFormat="1" x14ac:dyDescent="0.45">
      <c r="A4072" s="7" t="str">
        <f t="shared" si="1441"/>
        <v>09940003558</v>
      </c>
      <c r="B4072" s="7" t="str">
        <f t="shared" si="1442"/>
        <v>高槻天川</v>
      </c>
      <c r="C4072" s="7" t="str">
        <f t="shared" si="1439"/>
        <v>行政財産</v>
      </c>
      <c r="D4072" s="7" t="str">
        <f t="shared" si="1425"/>
        <v>公営住宅</v>
      </c>
      <c r="E4072" s="7" t="str">
        <f t="shared" si="1443"/>
        <v>大阪府高槻市天川町</v>
      </c>
      <c r="F4072" s="7"/>
      <c r="G4072" s="7" t="str">
        <f t="shared" si="1437"/>
        <v>事業用資産</v>
      </c>
      <c r="H4072" s="7" t="str">
        <f t="shared" si="1435"/>
        <v>棚卸以外</v>
      </c>
      <c r="I4072" s="7">
        <v>6</v>
      </c>
      <c r="J4072" s="7" t="str">
        <f>"６号棟"</f>
        <v>６号棟</v>
      </c>
      <c r="K4072" s="7" t="str">
        <f t="shared" si="1444"/>
        <v>鉄筋コンクリート造</v>
      </c>
      <c r="L4072" s="7" t="str">
        <f t="shared" si="1445"/>
        <v>H05.09.28</v>
      </c>
      <c r="M4072" s="7">
        <v>1239.17</v>
      </c>
      <c r="N4072" s="7">
        <v>232755878</v>
      </c>
      <c r="O4072" s="7">
        <v>145747818</v>
      </c>
      <c r="P4072" s="7">
        <v>0</v>
      </c>
      <c r="Q4072" s="7" t="str">
        <f t="shared" si="1440"/>
        <v>都市整備部</v>
      </c>
      <c r="R4072" s="7" t="str">
        <f t="shared" si="1438"/>
        <v>住宅建築局住宅経営室</v>
      </c>
    </row>
    <row r="4073" spans="1:18" s="1" customFormat="1" x14ac:dyDescent="0.45">
      <c r="A4073" s="7" t="str">
        <f t="shared" si="1441"/>
        <v>09940003558</v>
      </c>
      <c r="B4073" s="7" t="str">
        <f t="shared" si="1442"/>
        <v>高槻天川</v>
      </c>
      <c r="C4073" s="7" t="str">
        <f t="shared" si="1439"/>
        <v>行政財産</v>
      </c>
      <c r="D4073" s="7" t="str">
        <f t="shared" si="1425"/>
        <v>公営住宅</v>
      </c>
      <c r="E4073" s="7" t="str">
        <f t="shared" si="1443"/>
        <v>大阪府高槻市天川町</v>
      </c>
      <c r="F4073" s="7"/>
      <c r="G4073" s="7" t="str">
        <f t="shared" si="1437"/>
        <v>事業用資産</v>
      </c>
      <c r="H4073" s="7" t="str">
        <f t="shared" si="1435"/>
        <v>棚卸以外</v>
      </c>
      <c r="I4073" s="7">
        <v>7</v>
      </c>
      <c r="J4073" s="7" t="str">
        <f>"７号棟"</f>
        <v>７号棟</v>
      </c>
      <c r="K4073" s="7" t="str">
        <f t="shared" si="1444"/>
        <v>鉄筋コンクリート造</v>
      </c>
      <c r="L4073" s="7" t="str">
        <f t="shared" si="1445"/>
        <v>H05.09.28</v>
      </c>
      <c r="M4073" s="7">
        <v>826.11</v>
      </c>
      <c r="N4073" s="7">
        <v>159670000</v>
      </c>
      <c r="O4073" s="7">
        <v>100218462</v>
      </c>
      <c r="P4073" s="7">
        <v>0</v>
      </c>
      <c r="Q4073" s="7" t="str">
        <f t="shared" si="1440"/>
        <v>都市整備部</v>
      </c>
      <c r="R4073" s="7" t="str">
        <f t="shared" si="1438"/>
        <v>住宅建築局住宅経営室</v>
      </c>
    </row>
    <row r="4074" spans="1:18" s="1" customFormat="1" x14ac:dyDescent="0.45">
      <c r="A4074" s="7" t="str">
        <f t="shared" si="1441"/>
        <v>09940003558</v>
      </c>
      <c r="B4074" s="7" t="str">
        <f t="shared" si="1442"/>
        <v>高槻天川</v>
      </c>
      <c r="C4074" s="7" t="str">
        <f t="shared" si="1439"/>
        <v>行政財産</v>
      </c>
      <c r="D4074" s="7" t="str">
        <f t="shared" si="1425"/>
        <v>公営住宅</v>
      </c>
      <c r="E4074" s="7" t="str">
        <f t="shared" si="1443"/>
        <v>大阪府高槻市天川町</v>
      </c>
      <c r="F4074" s="7"/>
      <c r="G4074" s="7" t="str">
        <f t="shared" si="1437"/>
        <v>事業用資産</v>
      </c>
      <c r="H4074" s="7" t="str">
        <f t="shared" si="1435"/>
        <v>棚卸以外</v>
      </c>
      <c r="I4074" s="7">
        <v>9</v>
      </c>
      <c r="J4074" s="7" t="str">
        <f>"９号棟"</f>
        <v>９号棟</v>
      </c>
      <c r="K4074" s="7" t="str">
        <f t="shared" si="1444"/>
        <v>鉄筋コンクリート造</v>
      </c>
      <c r="L4074" s="7" t="str">
        <f t="shared" si="1445"/>
        <v>H05.09.28</v>
      </c>
      <c r="M4074" s="7">
        <v>1239.17</v>
      </c>
      <c r="N4074" s="7">
        <v>237107000</v>
      </c>
      <c r="O4074" s="7">
        <v>148822662</v>
      </c>
      <c r="P4074" s="7">
        <v>0</v>
      </c>
      <c r="Q4074" s="7" t="str">
        <f t="shared" si="1440"/>
        <v>都市整備部</v>
      </c>
      <c r="R4074" s="7" t="str">
        <f t="shared" si="1438"/>
        <v>住宅建築局住宅経営室</v>
      </c>
    </row>
    <row r="4075" spans="1:18" s="1" customFormat="1" x14ac:dyDescent="0.45">
      <c r="A4075" s="7" t="str">
        <f t="shared" si="1441"/>
        <v>09940003558</v>
      </c>
      <c r="B4075" s="7" t="str">
        <f t="shared" si="1442"/>
        <v>高槻天川</v>
      </c>
      <c r="C4075" s="7" t="str">
        <f t="shared" si="1439"/>
        <v>行政財産</v>
      </c>
      <c r="D4075" s="7" t="str">
        <f t="shared" si="1425"/>
        <v>公営住宅</v>
      </c>
      <c r="E4075" s="7" t="str">
        <f t="shared" si="1443"/>
        <v>大阪府高槻市天川町</v>
      </c>
      <c r="F4075" s="7"/>
      <c r="G4075" s="7" t="str">
        <f t="shared" si="1437"/>
        <v>事業用資産</v>
      </c>
      <c r="H4075" s="7" t="str">
        <f t="shared" si="1435"/>
        <v>棚卸以外</v>
      </c>
      <c r="I4075" s="7">
        <v>10</v>
      </c>
      <c r="J4075" s="7" t="str">
        <f>"１０号棟"</f>
        <v>１０号棟</v>
      </c>
      <c r="K4075" s="7" t="str">
        <f t="shared" si="1444"/>
        <v>鉄筋コンクリート造</v>
      </c>
      <c r="L4075" s="7" t="str">
        <f t="shared" si="1445"/>
        <v>H05.09.28</v>
      </c>
      <c r="M4075" s="7">
        <v>1239.17</v>
      </c>
      <c r="N4075" s="7">
        <v>225443000</v>
      </c>
      <c r="O4075" s="7">
        <v>141501588</v>
      </c>
      <c r="P4075" s="7">
        <v>0</v>
      </c>
      <c r="Q4075" s="7" t="str">
        <f t="shared" si="1440"/>
        <v>都市整備部</v>
      </c>
      <c r="R4075" s="7" t="str">
        <f t="shared" si="1438"/>
        <v>住宅建築局住宅経営室</v>
      </c>
    </row>
    <row r="4076" spans="1:18" s="1" customFormat="1" x14ac:dyDescent="0.45">
      <c r="A4076" s="7" t="str">
        <f t="shared" si="1441"/>
        <v>09940003558</v>
      </c>
      <c r="B4076" s="7" t="str">
        <f t="shared" si="1442"/>
        <v>高槻天川</v>
      </c>
      <c r="C4076" s="7" t="str">
        <f t="shared" si="1439"/>
        <v>行政財産</v>
      </c>
      <c r="D4076" s="7" t="str">
        <f t="shared" si="1425"/>
        <v>公営住宅</v>
      </c>
      <c r="E4076" s="7" t="str">
        <f t="shared" si="1443"/>
        <v>大阪府高槻市天川町</v>
      </c>
      <c r="F4076" s="7"/>
      <c r="G4076" s="7" t="str">
        <f t="shared" si="1437"/>
        <v>事業用資産</v>
      </c>
      <c r="H4076" s="7" t="str">
        <f t="shared" si="1435"/>
        <v>棚卸以外</v>
      </c>
      <c r="I4076" s="7">
        <v>11</v>
      </c>
      <c r="J4076" s="7" t="str">
        <f>"１１号棟"</f>
        <v>１１号棟</v>
      </c>
      <c r="K4076" s="7" t="str">
        <f t="shared" si="1444"/>
        <v>鉄筋コンクリート造</v>
      </c>
      <c r="L4076" s="7" t="str">
        <f t="shared" ref="L4076:L4082" si="1446">"H07.06.23"</f>
        <v>H07.06.23</v>
      </c>
      <c r="M4076" s="7">
        <v>1239.17</v>
      </c>
      <c r="N4076" s="7">
        <v>227267939</v>
      </c>
      <c r="O4076" s="7">
        <v>134023176</v>
      </c>
      <c r="P4076" s="7">
        <v>0</v>
      </c>
      <c r="Q4076" s="7" t="str">
        <f t="shared" si="1440"/>
        <v>都市整備部</v>
      </c>
      <c r="R4076" s="7" t="str">
        <f t="shared" si="1438"/>
        <v>住宅建築局住宅経営室</v>
      </c>
    </row>
    <row r="4077" spans="1:18" s="1" customFormat="1" x14ac:dyDescent="0.45">
      <c r="A4077" s="7" t="str">
        <f t="shared" si="1441"/>
        <v>09940003558</v>
      </c>
      <c r="B4077" s="7" t="str">
        <f t="shared" si="1442"/>
        <v>高槻天川</v>
      </c>
      <c r="C4077" s="7" t="str">
        <f t="shared" si="1439"/>
        <v>行政財産</v>
      </c>
      <c r="D4077" s="7" t="str">
        <f t="shared" si="1425"/>
        <v>公営住宅</v>
      </c>
      <c r="E4077" s="7" t="str">
        <f t="shared" si="1443"/>
        <v>大阪府高槻市天川町</v>
      </c>
      <c r="F4077" s="7"/>
      <c r="G4077" s="7" t="str">
        <f t="shared" si="1437"/>
        <v>事業用資産</v>
      </c>
      <c r="H4077" s="7" t="str">
        <f t="shared" si="1435"/>
        <v>棚卸以外</v>
      </c>
      <c r="I4077" s="7">
        <v>12</v>
      </c>
      <c r="J4077" s="7" t="str">
        <f>"１２号棟"</f>
        <v>１２号棟</v>
      </c>
      <c r="K4077" s="7" t="str">
        <f t="shared" si="1444"/>
        <v>鉄筋コンクリート造</v>
      </c>
      <c r="L4077" s="7" t="str">
        <f t="shared" si="1446"/>
        <v>H07.06.23</v>
      </c>
      <c r="M4077" s="7">
        <v>1245.97</v>
      </c>
      <c r="N4077" s="7">
        <v>240422000</v>
      </c>
      <c r="O4077" s="7">
        <v>141951573</v>
      </c>
      <c r="P4077" s="7">
        <v>0</v>
      </c>
      <c r="Q4077" s="7" t="str">
        <f t="shared" si="1440"/>
        <v>都市整備部</v>
      </c>
      <c r="R4077" s="7" t="str">
        <f t="shared" si="1438"/>
        <v>住宅建築局住宅経営室</v>
      </c>
    </row>
    <row r="4078" spans="1:18" s="1" customFormat="1" x14ac:dyDescent="0.45">
      <c r="A4078" s="7" t="str">
        <f t="shared" si="1441"/>
        <v>09940003558</v>
      </c>
      <c r="B4078" s="7" t="str">
        <f t="shared" si="1442"/>
        <v>高槻天川</v>
      </c>
      <c r="C4078" s="7" t="str">
        <f t="shared" si="1439"/>
        <v>行政財産</v>
      </c>
      <c r="D4078" s="7" t="str">
        <f t="shared" si="1425"/>
        <v>公営住宅</v>
      </c>
      <c r="E4078" s="7" t="str">
        <f t="shared" si="1443"/>
        <v>大阪府高槻市天川町</v>
      </c>
      <c r="F4078" s="7"/>
      <c r="G4078" s="7" t="str">
        <f t="shared" si="1437"/>
        <v>事業用資産</v>
      </c>
      <c r="H4078" s="7" t="str">
        <f t="shared" si="1435"/>
        <v>棚卸以外</v>
      </c>
      <c r="I4078" s="7">
        <v>13</v>
      </c>
      <c r="J4078" s="7" t="str">
        <f>"１３号棟"</f>
        <v>１３号棟</v>
      </c>
      <c r="K4078" s="7" t="str">
        <f t="shared" si="1444"/>
        <v>鉄筋コンクリート造</v>
      </c>
      <c r="L4078" s="7" t="str">
        <f t="shared" si="1446"/>
        <v>H07.06.23</v>
      </c>
      <c r="M4078" s="7">
        <v>826.11</v>
      </c>
      <c r="N4078" s="7">
        <v>156308000</v>
      </c>
      <c r="O4078" s="7">
        <v>92288286</v>
      </c>
      <c r="P4078" s="7">
        <v>0</v>
      </c>
      <c r="Q4078" s="7" t="str">
        <f t="shared" si="1440"/>
        <v>都市整備部</v>
      </c>
      <c r="R4078" s="7" t="str">
        <f t="shared" si="1438"/>
        <v>住宅建築局住宅経営室</v>
      </c>
    </row>
    <row r="4079" spans="1:18" s="1" customFormat="1" x14ac:dyDescent="0.45">
      <c r="A4079" s="7" t="str">
        <f t="shared" si="1441"/>
        <v>09940003558</v>
      </c>
      <c r="B4079" s="7" t="str">
        <f t="shared" si="1442"/>
        <v>高槻天川</v>
      </c>
      <c r="C4079" s="7" t="str">
        <f t="shared" si="1439"/>
        <v>行政財産</v>
      </c>
      <c r="D4079" s="7" t="str">
        <f t="shared" si="1425"/>
        <v>公営住宅</v>
      </c>
      <c r="E4079" s="7" t="str">
        <f t="shared" si="1443"/>
        <v>大阪府高槻市天川町</v>
      </c>
      <c r="F4079" s="7"/>
      <c r="G4079" s="7" t="str">
        <f t="shared" si="1437"/>
        <v>事業用資産</v>
      </c>
      <c r="H4079" s="7" t="str">
        <f t="shared" si="1435"/>
        <v>棚卸以外</v>
      </c>
      <c r="I4079" s="7">
        <v>14</v>
      </c>
      <c r="J4079" s="7" t="str">
        <f>"１５号棟"</f>
        <v>１５号棟</v>
      </c>
      <c r="K4079" s="7" t="str">
        <f t="shared" si="1444"/>
        <v>鉄筋コンクリート造</v>
      </c>
      <c r="L4079" s="7" t="str">
        <f t="shared" si="1446"/>
        <v>H07.06.23</v>
      </c>
      <c r="M4079" s="7">
        <v>1239.17</v>
      </c>
      <c r="N4079" s="7">
        <v>226940000</v>
      </c>
      <c r="O4079" s="7">
        <v>133991208</v>
      </c>
      <c r="P4079" s="7">
        <v>0</v>
      </c>
      <c r="Q4079" s="7" t="str">
        <f t="shared" si="1440"/>
        <v>都市整備部</v>
      </c>
      <c r="R4079" s="7" t="str">
        <f t="shared" si="1438"/>
        <v>住宅建築局住宅経営室</v>
      </c>
    </row>
    <row r="4080" spans="1:18" s="1" customFormat="1" x14ac:dyDescent="0.45">
      <c r="A4080" s="7" t="str">
        <f t="shared" si="1441"/>
        <v>09940003558</v>
      </c>
      <c r="B4080" s="7" t="str">
        <f t="shared" si="1442"/>
        <v>高槻天川</v>
      </c>
      <c r="C4080" s="7" t="str">
        <f t="shared" si="1439"/>
        <v>行政財産</v>
      </c>
      <c r="D4080" s="7" t="str">
        <f t="shared" si="1425"/>
        <v>公営住宅</v>
      </c>
      <c r="E4080" s="7" t="str">
        <f t="shared" si="1443"/>
        <v>大阪府高槻市天川町</v>
      </c>
      <c r="F4080" s="7"/>
      <c r="G4080" s="7" t="str">
        <f t="shared" si="1437"/>
        <v>事業用資産</v>
      </c>
      <c r="H4080" s="7" t="str">
        <f t="shared" si="1435"/>
        <v>棚卸以外</v>
      </c>
      <c r="I4080" s="7">
        <v>15</v>
      </c>
      <c r="J4080" s="7" t="str">
        <f>"１４号棟"</f>
        <v>１４号棟</v>
      </c>
      <c r="K4080" s="7" t="str">
        <f t="shared" si="1444"/>
        <v>鉄筋コンクリート造</v>
      </c>
      <c r="L4080" s="7" t="str">
        <f t="shared" si="1446"/>
        <v>H07.06.23</v>
      </c>
      <c r="M4080" s="7">
        <v>826.11</v>
      </c>
      <c r="N4080" s="7">
        <v>154415000</v>
      </c>
      <c r="O4080" s="7">
        <v>91170738</v>
      </c>
      <c r="P4080" s="7">
        <v>0</v>
      </c>
      <c r="Q4080" s="7" t="str">
        <f t="shared" si="1440"/>
        <v>都市整備部</v>
      </c>
      <c r="R4080" s="7" t="str">
        <f t="shared" si="1438"/>
        <v>住宅建築局住宅経営室</v>
      </c>
    </row>
    <row r="4081" spans="1:18" s="1" customFormat="1" x14ac:dyDescent="0.45">
      <c r="A4081" s="7" t="str">
        <f t="shared" si="1441"/>
        <v>09940003558</v>
      </c>
      <c r="B4081" s="7" t="str">
        <f t="shared" si="1442"/>
        <v>高槻天川</v>
      </c>
      <c r="C4081" s="7" t="str">
        <f t="shared" si="1439"/>
        <v>行政財産</v>
      </c>
      <c r="D4081" s="7" t="str">
        <f t="shared" si="1425"/>
        <v>公営住宅</v>
      </c>
      <c r="E4081" s="7" t="str">
        <f t="shared" si="1443"/>
        <v>大阪府高槻市天川町</v>
      </c>
      <c r="F4081" s="7"/>
      <c r="G4081" s="7" t="str">
        <f t="shared" si="1437"/>
        <v>事業用資産</v>
      </c>
      <c r="H4081" s="7" t="str">
        <f t="shared" si="1435"/>
        <v>棚卸以外</v>
      </c>
      <c r="I4081" s="7">
        <v>16</v>
      </c>
      <c r="J4081" s="7" t="str">
        <f>"１６号棟"</f>
        <v>１６号棟</v>
      </c>
      <c r="K4081" s="7" t="str">
        <f t="shared" si="1444"/>
        <v>鉄筋コンクリート造</v>
      </c>
      <c r="L4081" s="7" t="str">
        <f t="shared" si="1446"/>
        <v>H07.06.23</v>
      </c>
      <c r="M4081" s="7">
        <v>1239.17</v>
      </c>
      <c r="N4081" s="7">
        <v>227296000</v>
      </c>
      <c r="O4081" s="7">
        <v>134201664</v>
      </c>
      <c r="P4081" s="7">
        <v>0</v>
      </c>
      <c r="Q4081" s="7" t="str">
        <f t="shared" si="1440"/>
        <v>都市整備部</v>
      </c>
      <c r="R4081" s="7" t="str">
        <f t="shared" si="1438"/>
        <v>住宅建築局住宅経営室</v>
      </c>
    </row>
    <row r="4082" spans="1:18" s="1" customFormat="1" x14ac:dyDescent="0.45">
      <c r="A4082" s="7" t="str">
        <f t="shared" si="1441"/>
        <v>09940003558</v>
      </c>
      <c r="B4082" s="7" t="str">
        <f t="shared" si="1442"/>
        <v>高槻天川</v>
      </c>
      <c r="C4082" s="7" t="str">
        <f t="shared" si="1439"/>
        <v>行政財産</v>
      </c>
      <c r="D4082" s="7" t="str">
        <f t="shared" ref="D4082:D4145" si="1447">"公営住宅"</f>
        <v>公営住宅</v>
      </c>
      <c r="E4082" s="7" t="str">
        <f t="shared" si="1443"/>
        <v>大阪府高槻市天川町</v>
      </c>
      <c r="F4082" s="7"/>
      <c r="G4082" s="7" t="str">
        <f t="shared" si="1437"/>
        <v>事業用資産</v>
      </c>
      <c r="H4082" s="7" t="str">
        <f t="shared" si="1435"/>
        <v>棚卸以外</v>
      </c>
      <c r="I4082" s="7">
        <v>17</v>
      </c>
      <c r="J4082" s="7" t="str">
        <f>"１７号棟"</f>
        <v>１７号棟</v>
      </c>
      <c r="K4082" s="7" t="str">
        <f t="shared" si="1444"/>
        <v>鉄筋コンクリート造</v>
      </c>
      <c r="L4082" s="7" t="str">
        <f t="shared" si="1446"/>
        <v>H07.06.23</v>
      </c>
      <c r="M4082" s="7">
        <v>826.11</v>
      </c>
      <c r="N4082" s="7">
        <v>151887000</v>
      </c>
      <c r="O4082" s="7">
        <v>89678232</v>
      </c>
      <c r="P4082" s="7">
        <v>0</v>
      </c>
      <c r="Q4082" s="7" t="str">
        <f t="shared" si="1440"/>
        <v>都市整備部</v>
      </c>
      <c r="R4082" s="7" t="str">
        <f t="shared" si="1438"/>
        <v>住宅建築局住宅経営室</v>
      </c>
    </row>
    <row r="4083" spans="1:18" s="1" customFormat="1" x14ac:dyDescent="0.45">
      <c r="A4083" s="7" t="str">
        <f t="shared" si="1441"/>
        <v>09940003558</v>
      </c>
      <c r="B4083" s="7" t="str">
        <f t="shared" si="1442"/>
        <v>高槻天川</v>
      </c>
      <c r="C4083" s="7" t="str">
        <f t="shared" si="1439"/>
        <v>行政財産</v>
      </c>
      <c r="D4083" s="7" t="str">
        <f t="shared" si="1447"/>
        <v>公営住宅</v>
      </c>
      <c r="E4083" s="7" t="str">
        <f t="shared" si="1443"/>
        <v>大阪府高槻市天川町</v>
      </c>
      <c r="F4083" s="7"/>
      <c r="G4083" s="7" t="str">
        <f t="shared" si="1437"/>
        <v>事業用資産</v>
      </c>
      <c r="H4083" s="7" t="str">
        <f t="shared" si="1435"/>
        <v>棚卸以外</v>
      </c>
      <c r="I4083" s="7">
        <v>18</v>
      </c>
      <c r="J4083" s="7" t="str">
        <f>"１８、１９号棟"</f>
        <v>１８、１９号棟</v>
      </c>
      <c r="K4083" s="7" t="str">
        <f t="shared" si="1444"/>
        <v>鉄筋コンクリート造</v>
      </c>
      <c r="L4083" s="7" t="str">
        <f t="shared" ref="L4083:L4089" si="1448">"H09.04.10"</f>
        <v>H09.04.10</v>
      </c>
      <c r="M4083" s="7">
        <v>2508.38</v>
      </c>
      <c r="N4083" s="7">
        <v>434308000</v>
      </c>
      <c r="O4083" s="7">
        <v>239485550</v>
      </c>
      <c r="P4083" s="7">
        <v>0</v>
      </c>
      <c r="Q4083" s="7" t="str">
        <f t="shared" si="1440"/>
        <v>都市整備部</v>
      </c>
      <c r="R4083" s="7" t="str">
        <f t="shared" si="1438"/>
        <v>住宅建築局住宅経営室</v>
      </c>
    </row>
    <row r="4084" spans="1:18" s="1" customFormat="1" x14ac:dyDescent="0.45">
      <c r="A4084" s="7" t="str">
        <f t="shared" si="1441"/>
        <v>09940003558</v>
      </c>
      <c r="B4084" s="7" t="str">
        <f t="shared" si="1442"/>
        <v>高槻天川</v>
      </c>
      <c r="C4084" s="7" t="str">
        <f t="shared" si="1439"/>
        <v>行政財産</v>
      </c>
      <c r="D4084" s="7" t="str">
        <f t="shared" si="1447"/>
        <v>公営住宅</v>
      </c>
      <c r="E4084" s="7" t="str">
        <f t="shared" si="1443"/>
        <v>大阪府高槻市天川町</v>
      </c>
      <c r="F4084" s="7"/>
      <c r="G4084" s="7" t="str">
        <f t="shared" si="1437"/>
        <v>事業用資産</v>
      </c>
      <c r="H4084" s="7" t="str">
        <f t="shared" si="1435"/>
        <v>棚卸以外</v>
      </c>
      <c r="I4084" s="7">
        <v>19</v>
      </c>
      <c r="J4084" s="7" t="str">
        <f>"２０、２３号棟"</f>
        <v>２０、２３号棟</v>
      </c>
      <c r="K4084" s="7" t="str">
        <f t="shared" si="1444"/>
        <v>鉄筋コンクリート造</v>
      </c>
      <c r="L4084" s="7" t="str">
        <f t="shared" si="1448"/>
        <v>H09.04.10</v>
      </c>
      <c r="M4084" s="7">
        <v>1655.62</v>
      </c>
      <c r="N4084" s="7">
        <v>298645000</v>
      </c>
      <c r="O4084" s="7">
        <v>164678543</v>
      </c>
      <c r="P4084" s="7">
        <v>0</v>
      </c>
      <c r="Q4084" s="7" t="str">
        <f t="shared" si="1440"/>
        <v>都市整備部</v>
      </c>
      <c r="R4084" s="7" t="str">
        <f t="shared" si="1438"/>
        <v>住宅建築局住宅経営室</v>
      </c>
    </row>
    <row r="4085" spans="1:18" s="1" customFormat="1" x14ac:dyDescent="0.45">
      <c r="A4085" s="7" t="str">
        <f t="shared" si="1441"/>
        <v>09940003558</v>
      </c>
      <c r="B4085" s="7" t="str">
        <f t="shared" si="1442"/>
        <v>高槻天川</v>
      </c>
      <c r="C4085" s="7" t="str">
        <f t="shared" si="1439"/>
        <v>行政財産</v>
      </c>
      <c r="D4085" s="7" t="str">
        <f t="shared" si="1447"/>
        <v>公営住宅</v>
      </c>
      <c r="E4085" s="7" t="str">
        <f t="shared" si="1443"/>
        <v>大阪府高槻市天川町</v>
      </c>
      <c r="F4085" s="7"/>
      <c r="G4085" s="7" t="str">
        <f t="shared" si="1437"/>
        <v>事業用資産</v>
      </c>
      <c r="H4085" s="7" t="str">
        <f t="shared" si="1435"/>
        <v>棚卸以外</v>
      </c>
      <c r="I4085" s="7">
        <v>20</v>
      </c>
      <c r="J4085" s="7" t="str">
        <f>"２１、２２号棟"</f>
        <v>２１、２２号棟</v>
      </c>
      <c r="K4085" s="7" t="str">
        <f t="shared" si="1444"/>
        <v>鉄筋コンクリート造</v>
      </c>
      <c r="L4085" s="7" t="str">
        <f t="shared" si="1448"/>
        <v>H09.04.10</v>
      </c>
      <c r="M4085" s="7">
        <v>2511.7800000000002</v>
      </c>
      <c r="N4085" s="7">
        <v>451491000</v>
      </c>
      <c r="O4085" s="7">
        <v>248960476</v>
      </c>
      <c r="P4085" s="7">
        <v>0</v>
      </c>
      <c r="Q4085" s="7" t="str">
        <f t="shared" si="1440"/>
        <v>都市整備部</v>
      </c>
      <c r="R4085" s="7" t="str">
        <f t="shared" si="1438"/>
        <v>住宅建築局住宅経営室</v>
      </c>
    </row>
    <row r="4086" spans="1:18" s="1" customFormat="1" x14ac:dyDescent="0.45">
      <c r="A4086" s="7" t="str">
        <f t="shared" si="1441"/>
        <v>09940003558</v>
      </c>
      <c r="B4086" s="7" t="str">
        <f t="shared" si="1442"/>
        <v>高槻天川</v>
      </c>
      <c r="C4086" s="7" t="str">
        <f t="shared" si="1439"/>
        <v>行政財産</v>
      </c>
      <c r="D4086" s="7" t="str">
        <f t="shared" si="1447"/>
        <v>公営住宅</v>
      </c>
      <c r="E4086" s="7" t="str">
        <f t="shared" si="1443"/>
        <v>大阪府高槻市天川町</v>
      </c>
      <c r="F4086" s="7"/>
      <c r="G4086" s="7" t="str">
        <f t="shared" si="1437"/>
        <v>事業用資産</v>
      </c>
      <c r="H4086" s="7" t="str">
        <f t="shared" si="1435"/>
        <v>棚卸以外</v>
      </c>
      <c r="I4086" s="7">
        <v>21</v>
      </c>
      <c r="J4086" s="7" t="str">
        <f>"２４、２５号棟"</f>
        <v>２４、２５号棟</v>
      </c>
      <c r="K4086" s="7" t="str">
        <f t="shared" si="1444"/>
        <v>鉄筋コンクリート造</v>
      </c>
      <c r="L4086" s="7" t="str">
        <f t="shared" si="1448"/>
        <v>H09.04.10</v>
      </c>
      <c r="M4086" s="7">
        <v>1682.26</v>
      </c>
      <c r="N4086" s="7">
        <v>265590000</v>
      </c>
      <c r="O4086" s="7">
        <v>146451455</v>
      </c>
      <c r="P4086" s="7">
        <v>0</v>
      </c>
      <c r="Q4086" s="7" t="str">
        <f t="shared" si="1440"/>
        <v>都市整備部</v>
      </c>
      <c r="R4086" s="7" t="str">
        <f t="shared" si="1438"/>
        <v>住宅建築局住宅経営室</v>
      </c>
    </row>
    <row r="4087" spans="1:18" s="1" customFormat="1" x14ac:dyDescent="0.45">
      <c r="A4087" s="7" t="str">
        <f t="shared" si="1441"/>
        <v>09940003558</v>
      </c>
      <c r="B4087" s="7" t="str">
        <f t="shared" si="1442"/>
        <v>高槻天川</v>
      </c>
      <c r="C4087" s="7" t="str">
        <f t="shared" si="1439"/>
        <v>行政財産</v>
      </c>
      <c r="D4087" s="7" t="str">
        <f t="shared" si="1447"/>
        <v>公営住宅</v>
      </c>
      <c r="E4087" s="7" t="str">
        <f t="shared" si="1443"/>
        <v>大阪府高槻市天川町</v>
      </c>
      <c r="F4087" s="7"/>
      <c r="G4087" s="7" t="str">
        <f t="shared" si="1437"/>
        <v>事業用資産</v>
      </c>
      <c r="H4087" s="7" t="str">
        <f t="shared" si="1435"/>
        <v>棚卸以外</v>
      </c>
      <c r="I4087" s="7">
        <v>22</v>
      </c>
      <c r="J4087" s="7" t="str">
        <f>"２６号棟"</f>
        <v>２６号棟</v>
      </c>
      <c r="K4087" s="7" t="str">
        <f t="shared" si="1444"/>
        <v>鉄筋コンクリート造</v>
      </c>
      <c r="L4087" s="7" t="str">
        <f t="shared" si="1448"/>
        <v>H09.04.10</v>
      </c>
      <c r="M4087" s="7">
        <v>1272.6099999999999</v>
      </c>
      <c r="N4087" s="7">
        <v>206997939</v>
      </c>
      <c r="O4087" s="7">
        <v>113991452</v>
      </c>
      <c r="P4087" s="7">
        <v>0</v>
      </c>
      <c r="Q4087" s="7" t="str">
        <f t="shared" si="1440"/>
        <v>都市整備部</v>
      </c>
      <c r="R4087" s="7" t="str">
        <f t="shared" si="1438"/>
        <v>住宅建築局住宅経営室</v>
      </c>
    </row>
    <row r="4088" spans="1:18" s="1" customFormat="1" x14ac:dyDescent="0.45">
      <c r="A4088" s="7" t="str">
        <f t="shared" si="1441"/>
        <v>09940003558</v>
      </c>
      <c r="B4088" s="7" t="str">
        <f t="shared" si="1442"/>
        <v>高槻天川</v>
      </c>
      <c r="C4088" s="7" t="str">
        <f t="shared" si="1439"/>
        <v>行政財産</v>
      </c>
      <c r="D4088" s="7" t="str">
        <f t="shared" si="1447"/>
        <v>公営住宅</v>
      </c>
      <c r="E4088" s="7" t="str">
        <f t="shared" si="1443"/>
        <v>大阪府高槻市天川町</v>
      </c>
      <c r="F4088" s="7"/>
      <c r="G4088" s="7" t="str">
        <f t="shared" si="1437"/>
        <v>事業用資産</v>
      </c>
      <c r="H4088" s="7" t="str">
        <f t="shared" si="1435"/>
        <v>棚卸以外</v>
      </c>
      <c r="I4088" s="7">
        <v>23</v>
      </c>
      <c r="J4088" s="7" t="str">
        <f>"２７、２８号棟"</f>
        <v>２７、２８号棟</v>
      </c>
      <c r="K4088" s="7" t="str">
        <f t="shared" si="1444"/>
        <v>鉄筋コンクリート造</v>
      </c>
      <c r="L4088" s="7" t="str">
        <f t="shared" si="1448"/>
        <v>H09.04.10</v>
      </c>
      <c r="M4088" s="7">
        <v>2125.36</v>
      </c>
      <c r="N4088" s="7">
        <v>347736878</v>
      </c>
      <c r="O4088" s="7">
        <v>191446624</v>
      </c>
      <c r="P4088" s="7">
        <v>0</v>
      </c>
      <c r="Q4088" s="7" t="str">
        <f t="shared" si="1440"/>
        <v>都市整備部</v>
      </c>
      <c r="R4088" s="7" t="str">
        <f t="shared" si="1438"/>
        <v>住宅建築局住宅経営室</v>
      </c>
    </row>
    <row r="4089" spans="1:18" s="1" customFormat="1" x14ac:dyDescent="0.45">
      <c r="A4089" s="7" t="str">
        <f t="shared" si="1441"/>
        <v>09940003558</v>
      </c>
      <c r="B4089" s="7" t="str">
        <f t="shared" si="1442"/>
        <v>高槻天川</v>
      </c>
      <c r="C4089" s="7" t="str">
        <f t="shared" si="1439"/>
        <v>行政財産</v>
      </c>
      <c r="D4089" s="7" t="str">
        <f t="shared" si="1447"/>
        <v>公営住宅</v>
      </c>
      <c r="E4089" s="7" t="str">
        <f t="shared" si="1443"/>
        <v>大阪府高槻市天川町</v>
      </c>
      <c r="F4089" s="7"/>
      <c r="G4089" s="7" t="str">
        <f t="shared" si="1437"/>
        <v>事業用資産</v>
      </c>
      <c r="H4089" s="7" t="str">
        <f t="shared" si="1435"/>
        <v>棚卸以外</v>
      </c>
      <c r="I4089" s="7">
        <v>24</v>
      </c>
      <c r="J4089" s="7" t="str">
        <f>"集会所"</f>
        <v>集会所</v>
      </c>
      <c r="K4089" s="7" t="str">
        <f t="shared" si="1444"/>
        <v>鉄筋コンクリート造</v>
      </c>
      <c r="L4089" s="7" t="str">
        <f t="shared" si="1448"/>
        <v>H09.04.10</v>
      </c>
      <c r="M4089" s="7">
        <v>199.97</v>
      </c>
      <c r="N4089" s="7">
        <v>56009000</v>
      </c>
      <c r="O4089" s="7">
        <v>30884477</v>
      </c>
      <c r="P4089" s="7">
        <v>0</v>
      </c>
      <c r="Q4089" s="7" t="str">
        <f t="shared" si="1440"/>
        <v>都市整備部</v>
      </c>
      <c r="R4089" s="7" t="str">
        <f t="shared" si="1438"/>
        <v>住宅建築局住宅経営室</v>
      </c>
    </row>
    <row r="4090" spans="1:18" s="1" customFormat="1" x14ac:dyDescent="0.45">
      <c r="A4090" s="7" t="str">
        <f t="shared" si="1441"/>
        <v>09940003558</v>
      </c>
      <c r="B4090" s="7" t="str">
        <f t="shared" si="1442"/>
        <v>高槻天川</v>
      </c>
      <c r="C4090" s="7" t="str">
        <f t="shared" si="1439"/>
        <v>行政財産</v>
      </c>
      <c r="D4090" s="7" t="str">
        <f t="shared" si="1447"/>
        <v>公営住宅</v>
      </c>
      <c r="E4090" s="7" t="str">
        <f t="shared" si="1443"/>
        <v>大阪府高槻市天川町</v>
      </c>
      <c r="F4090" s="7"/>
      <c r="G4090" s="7" t="str">
        <f t="shared" si="1437"/>
        <v>事業用資産</v>
      </c>
      <c r="H4090" s="7" t="str">
        <f t="shared" si="1435"/>
        <v>棚卸以外</v>
      </c>
      <c r="I4090" s="7">
        <v>25</v>
      </c>
      <c r="J4090" s="7" t="str">
        <f>"受水槽"</f>
        <v>受水槽</v>
      </c>
      <c r="K4090" s="7" t="str">
        <f t="shared" si="1444"/>
        <v>鉄筋コンクリート造</v>
      </c>
      <c r="L4090" s="7" t="str">
        <f>"H05.09.28"</f>
        <v>H05.09.28</v>
      </c>
      <c r="M4090" s="7">
        <v>81.25</v>
      </c>
      <c r="N4090" s="7">
        <v>37999000</v>
      </c>
      <c r="O4090" s="7">
        <v>37998999</v>
      </c>
      <c r="P4090" s="7">
        <v>0</v>
      </c>
      <c r="Q4090" s="7" t="str">
        <f t="shared" si="1440"/>
        <v>都市整備部</v>
      </c>
      <c r="R4090" s="7" t="str">
        <f t="shared" si="1438"/>
        <v>住宅建築局住宅経営室</v>
      </c>
    </row>
    <row r="4091" spans="1:18" s="1" customFormat="1" x14ac:dyDescent="0.45">
      <c r="A4091" s="7" t="str">
        <f t="shared" si="1441"/>
        <v>09940003558</v>
      </c>
      <c r="B4091" s="7" t="str">
        <f t="shared" si="1442"/>
        <v>高槻天川</v>
      </c>
      <c r="C4091" s="7" t="str">
        <f t="shared" si="1439"/>
        <v>行政財産</v>
      </c>
      <c r="D4091" s="7" t="str">
        <f t="shared" si="1447"/>
        <v>公営住宅</v>
      </c>
      <c r="E4091" s="7" t="str">
        <f t="shared" si="1443"/>
        <v>大阪府高槻市天川町</v>
      </c>
      <c r="F4091" s="7"/>
      <c r="G4091" s="7" t="str">
        <f t="shared" si="1437"/>
        <v>事業用資産</v>
      </c>
      <c r="H4091" s="7" t="str">
        <f t="shared" si="1435"/>
        <v>棚卸以外</v>
      </c>
      <c r="I4091" s="7">
        <v>26</v>
      </c>
      <c r="J4091" s="7" t="str">
        <f>"２９号棟"</f>
        <v>２９号棟</v>
      </c>
      <c r="K4091" s="7" t="str">
        <f t="shared" si="1444"/>
        <v>鉄筋コンクリート造</v>
      </c>
      <c r="L4091" s="7" t="str">
        <f t="shared" ref="L4091:L4096" si="1449">"H12.09.28"</f>
        <v>H12.09.28</v>
      </c>
      <c r="M4091" s="7">
        <v>3624.75</v>
      </c>
      <c r="N4091" s="7">
        <v>714505531</v>
      </c>
      <c r="O4091" s="7">
        <v>342855828</v>
      </c>
      <c r="P4091" s="7">
        <v>0</v>
      </c>
      <c r="Q4091" s="7" t="str">
        <f t="shared" si="1440"/>
        <v>都市整備部</v>
      </c>
      <c r="R4091" s="7" t="str">
        <f t="shared" si="1438"/>
        <v>住宅建築局住宅経営室</v>
      </c>
    </row>
    <row r="4092" spans="1:18" s="1" customFormat="1" x14ac:dyDescent="0.45">
      <c r="A4092" s="7" t="str">
        <f t="shared" si="1441"/>
        <v>09940003558</v>
      </c>
      <c r="B4092" s="7" t="str">
        <f t="shared" si="1442"/>
        <v>高槻天川</v>
      </c>
      <c r="C4092" s="7" t="str">
        <f t="shared" si="1439"/>
        <v>行政財産</v>
      </c>
      <c r="D4092" s="7" t="str">
        <f t="shared" si="1447"/>
        <v>公営住宅</v>
      </c>
      <c r="E4092" s="7" t="str">
        <f t="shared" si="1443"/>
        <v>大阪府高槻市天川町</v>
      </c>
      <c r="F4092" s="7"/>
      <c r="G4092" s="7" t="str">
        <f t="shared" si="1437"/>
        <v>事業用資産</v>
      </c>
      <c r="H4092" s="7" t="str">
        <f t="shared" si="1435"/>
        <v>棚卸以外</v>
      </c>
      <c r="I4092" s="7">
        <v>27</v>
      </c>
      <c r="J4092" s="7" t="str">
        <f>"３０号棟"</f>
        <v>３０号棟</v>
      </c>
      <c r="K4092" s="7" t="str">
        <f t="shared" si="1444"/>
        <v>鉄筋コンクリート造</v>
      </c>
      <c r="L4092" s="7" t="str">
        <f t="shared" si="1449"/>
        <v>H12.09.28</v>
      </c>
      <c r="M4092" s="7">
        <v>3060.03</v>
      </c>
      <c r="N4092" s="7">
        <v>556286531</v>
      </c>
      <c r="O4092" s="7">
        <v>267112728</v>
      </c>
      <c r="P4092" s="7">
        <v>0</v>
      </c>
      <c r="Q4092" s="7" t="str">
        <f t="shared" si="1440"/>
        <v>都市整備部</v>
      </c>
      <c r="R4092" s="7" t="str">
        <f t="shared" si="1438"/>
        <v>住宅建築局住宅経営室</v>
      </c>
    </row>
    <row r="4093" spans="1:18" s="1" customFormat="1" x14ac:dyDescent="0.45">
      <c r="A4093" s="7" t="str">
        <f t="shared" si="1441"/>
        <v>09940003558</v>
      </c>
      <c r="B4093" s="7" t="str">
        <f t="shared" si="1442"/>
        <v>高槻天川</v>
      </c>
      <c r="C4093" s="7" t="str">
        <f t="shared" si="1439"/>
        <v>行政財産</v>
      </c>
      <c r="D4093" s="7" t="str">
        <f t="shared" si="1447"/>
        <v>公営住宅</v>
      </c>
      <c r="E4093" s="7" t="str">
        <f t="shared" si="1443"/>
        <v>大阪府高槻市天川町</v>
      </c>
      <c r="F4093" s="7"/>
      <c r="G4093" s="7" t="str">
        <f t="shared" si="1437"/>
        <v>事業用資産</v>
      </c>
      <c r="H4093" s="7" t="str">
        <f t="shared" si="1435"/>
        <v>棚卸以外</v>
      </c>
      <c r="I4093" s="7">
        <v>28</v>
      </c>
      <c r="J4093" s="7" t="str">
        <f>"３１号棟"</f>
        <v>３１号棟</v>
      </c>
      <c r="K4093" s="7" t="str">
        <f t="shared" si="1444"/>
        <v>鉄筋コンクリート造</v>
      </c>
      <c r="L4093" s="7" t="str">
        <f t="shared" si="1449"/>
        <v>H12.09.28</v>
      </c>
      <c r="M4093" s="7">
        <v>3368.59</v>
      </c>
      <c r="N4093" s="7">
        <v>605849532</v>
      </c>
      <c r="O4093" s="7">
        <v>290839518</v>
      </c>
      <c r="P4093" s="7">
        <v>0</v>
      </c>
      <c r="Q4093" s="7" t="str">
        <f t="shared" si="1440"/>
        <v>都市整備部</v>
      </c>
      <c r="R4093" s="7" t="str">
        <f t="shared" si="1438"/>
        <v>住宅建築局住宅経営室</v>
      </c>
    </row>
    <row r="4094" spans="1:18" s="1" customFormat="1" x14ac:dyDescent="0.45">
      <c r="A4094" s="7" t="str">
        <f t="shared" si="1441"/>
        <v>09940003558</v>
      </c>
      <c r="B4094" s="7" t="str">
        <f t="shared" si="1442"/>
        <v>高槻天川</v>
      </c>
      <c r="C4094" s="7" t="str">
        <f t="shared" si="1439"/>
        <v>行政財産</v>
      </c>
      <c r="D4094" s="7" t="str">
        <f t="shared" si="1447"/>
        <v>公営住宅</v>
      </c>
      <c r="E4094" s="7" t="str">
        <f t="shared" si="1443"/>
        <v>大阪府高槻市天川町</v>
      </c>
      <c r="F4094" s="7"/>
      <c r="G4094" s="7" t="str">
        <f t="shared" si="1437"/>
        <v>事業用資産</v>
      </c>
      <c r="H4094" s="7" t="str">
        <f t="shared" si="1435"/>
        <v>棚卸以外</v>
      </c>
      <c r="I4094" s="7">
        <v>29</v>
      </c>
      <c r="J4094" s="7" t="str">
        <f>"３２号棟"</f>
        <v>３２号棟</v>
      </c>
      <c r="K4094" s="7" t="str">
        <f t="shared" si="1444"/>
        <v>鉄筋コンクリート造</v>
      </c>
      <c r="L4094" s="7" t="str">
        <f t="shared" si="1449"/>
        <v>H12.09.28</v>
      </c>
      <c r="M4094" s="7">
        <v>3369.34</v>
      </c>
      <c r="N4094" s="7">
        <v>549287532</v>
      </c>
      <c r="O4094" s="7">
        <v>263762028</v>
      </c>
      <c r="P4094" s="7">
        <v>0</v>
      </c>
      <c r="Q4094" s="7" t="str">
        <f t="shared" si="1440"/>
        <v>都市整備部</v>
      </c>
      <c r="R4094" s="7" t="str">
        <f t="shared" si="1438"/>
        <v>住宅建築局住宅経営室</v>
      </c>
    </row>
    <row r="4095" spans="1:18" s="1" customFormat="1" x14ac:dyDescent="0.45">
      <c r="A4095" s="7" t="str">
        <f t="shared" si="1441"/>
        <v>09940003558</v>
      </c>
      <c r="B4095" s="7" t="str">
        <f t="shared" si="1442"/>
        <v>高槻天川</v>
      </c>
      <c r="C4095" s="7" t="str">
        <f t="shared" si="1439"/>
        <v>行政財産</v>
      </c>
      <c r="D4095" s="7" t="str">
        <f t="shared" si="1447"/>
        <v>公営住宅</v>
      </c>
      <c r="E4095" s="7" t="str">
        <f t="shared" si="1443"/>
        <v>大阪府高槻市天川町</v>
      </c>
      <c r="F4095" s="7"/>
      <c r="G4095" s="7" t="str">
        <f t="shared" si="1437"/>
        <v>事業用資産</v>
      </c>
      <c r="H4095" s="7" t="str">
        <f t="shared" si="1435"/>
        <v>棚卸以外</v>
      </c>
      <c r="I4095" s="7">
        <v>30</v>
      </c>
      <c r="J4095" s="7" t="str">
        <f>"３３号棟"</f>
        <v>３３号棟</v>
      </c>
      <c r="K4095" s="7" t="str">
        <f t="shared" si="1444"/>
        <v>鉄筋コンクリート造</v>
      </c>
      <c r="L4095" s="7" t="str">
        <f t="shared" si="1449"/>
        <v>H12.09.28</v>
      </c>
      <c r="M4095" s="7">
        <v>3052.95</v>
      </c>
      <c r="N4095" s="7">
        <v>564754532</v>
      </c>
      <c r="O4095" s="7">
        <v>271166508</v>
      </c>
      <c r="P4095" s="7">
        <v>0</v>
      </c>
      <c r="Q4095" s="7" t="str">
        <f t="shared" si="1440"/>
        <v>都市整備部</v>
      </c>
      <c r="R4095" s="7" t="str">
        <f t="shared" si="1438"/>
        <v>住宅建築局住宅経営室</v>
      </c>
    </row>
    <row r="4096" spans="1:18" s="1" customFormat="1" x14ac:dyDescent="0.45">
      <c r="A4096" s="7" t="str">
        <f t="shared" si="1441"/>
        <v>09940003558</v>
      </c>
      <c r="B4096" s="7" t="str">
        <f t="shared" si="1442"/>
        <v>高槻天川</v>
      </c>
      <c r="C4096" s="7" t="str">
        <f t="shared" si="1439"/>
        <v>行政財産</v>
      </c>
      <c r="D4096" s="7" t="str">
        <f t="shared" si="1447"/>
        <v>公営住宅</v>
      </c>
      <c r="E4096" s="7" t="str">
        <f t="shared" si="1443"/>
        <v>大阪府高槻市天川町</v>
      </c>
      <c r="F4096" s="7"/>
      <c r="G4096" s="7" t="str">
        <f t="shared" si="1437"/>
        <v>事業用資産</v>
      </c>
      <c r="H4096" s="7" t="str">
        <f t="shared" si="1435"/>
        <v>棚卸以外</v>
      </c>
      <c r="I4096" s="7">
        <v>31</v>
      </c>
      <c r="J4096" s="7" t="str">
        <f>"受水槽ポンプ室・電気室"</f>
        <v>受水槽ポンプ室・電気室</v>
      </c>
      <c r="K4096" s="7" t="str">
        <f t="shared" si="1444"/>
        <v>鉄筋コンクリート造</v>
      </c>
      <c r="L4096" s="7" t="str">
        <f t="shared" si="1449"/>
        <v>H12.09.28</v>
      </c>
      <c r="M4096" s="7">
        <v>139.5</v>
      </c>
      <c r="N4096" s="7">
        <v>37762000</v>
      </c>
      <c r="O4096" s="7">
        <v>18077580</v>
      </c>
      <c r="P4096" s="7">
        <v>0</v>
      </c>
      <c r="Q4096" s="7" t="str">
        <f t="shared" si="1440"/>
        <v>都市整備部</v>
      </c>
      <c r="R4096" s="7" t="str">
        <f t="shared" si="1438"/>
        <v>住宅建築局住宅経営室</v>
      </c>
    </row>
    <row r="4097" spans="1:18" s="1" customFormat="1" x14ac:dyDescent="0.45">
      <c r="A4097" s="7" t="str">
        <f t="shared" si="1441"/>
        <v>09940003558</v>
      </c>
      <c r="B4097" s="7" t="str">
        <f t="shared" si="1442"/>
        <v>高槻天川</v>
      </c>
      <c r="C4097" s="7" t="str">
        <f t="shared" si="1439"/>
        <v>行政財産</v>
      </c>
      <c r="D4097" s="7" t="str">
        <f t="shared" si="1447"/>
        <v>公営住宅</v>
      </c>
      <c r="E4097" s="7" t="str">
        <f t="shared" si="1443"/>
        <v>大阪府高槻市天川町</v>
      </c>
      <c r="F4097" s="7"/>
      <c r="G4097" s="7" t="str">
        <f t="shared" si="1437"/>
        <v>事業用資産</v>
      </c>
      <c r="H4097" s="7" t="str">
        <f t="shared" si="1435"/>
        <v>棚卸以外</v>
      </c>
      <c r="I4097" s="7">
        <v>33</v>
      </c>
      <c r="J4097" s="7" t="str">
        <f>"８号棟"</f>
        <v>８号棟</v>
      </c>
      <c r="K4097" s="7" t="str">
        <f t="shared" si="1444"/>
        <v>鉄筋コンクリート造</v>
      </c>
      <c r="L4097" s="7" t="str">
        <f>"H05.09.28"</f>
        <v>H05.09.28</v>
      </c>
      <c r="M4097" s="7">
        <v>826.11</v>
      </c>
      <c r="N4097" s="7">
        <v>157220000</v>
      </c>
      <c r="O4097" s="7">
        <v>98680686</v>
      </c>
      <c r="P4097" s="7">
        <v>0</v>
      </c>
      <c r="Q4097" s="7" t="str">
        <f t="shared" si="1440"/>
        <v>都市整備部</v>
      </c>
      <c r="R4097" s="7" t="str">
        <f t="shared" si="1438"/>
        <v>住宅建築局住宅経営室</v>
      </c>
    </row>
    <row r="4098" spans="1:18" s="1" customFormat="1" x14ac:dyDescent="0.45">
      <c r="A4098" s="7" t="str">
        <f t="shared" si="1441"/>
        <v>09940003558</v>
      </c>
      <c r="B4098" s="7" t="str">
        <f t="shared" si="1442"/>
        <v>高槻天川</v>
      </c>
      <c r="C4098" s="7" t="str">
        <f t="shared" si="1439"/>
        <v>行政財産</v>
      </c>
      <c r="D4098" s="7" t="str">
        <f t="shared" si="1447"/>
        <v>公営住宅</v>
      </c>
      <c r="E4098" s="7" t="str">
        <f t="shared" si="1443"/>
        <v>大阪府高槻市天川町</v>
      </c>
      <c r="F4098" s="7"/>
      <c r="G4098" s="7" t="str">
        <f t="shared" si="1437"/>
        <v>事業用資産</v>
      </c>
      <c r="H4098" s="7" t="str">
        <f t="shared" si="1435"/>
        <v>棚卸以外</v>
      </c>
      <c r="I4098" s="7">
        <v>34</v>
      </c>
      <c r="J4098" s="7" t="str">
        <f>"集会所"</f>
        <v>集会所</v>
      </c>
      <c r="K4098" s="7" t="str">
        <f t="shared" si="1444"/>
        <v>鉄筋コンクリート造</v>
      </c>
      <c r="L4098" s="7" t="str">
        <f>"H15.10.29"</f>
        <v>H15.10.29</v>
      </c>
      <c r="M4098" s="7">
        <v>101.04</v>
      </c>
      <c r="N4098" s="7">
        <v>17803000</v>
      </c>
      <c r="O4098" s="7">
        <v>7354878</v>
      </c>
      <c r="P4098" s="7">
        <v>0</v>
      </c>
      <c r="Q4098" s="7" t="str">
        <f t="shared" si="1440"/>
        <v>都市整備部</v>
      </c>
      <c r="R4098" s="7" t="str">
        <f t="shared" si="1438"/>
        <v>住宅建築局住宅経営室</v>
      </c>
    </row>
    <row r="4099" spans="1:18" s="1" customFormat="1" x14ac:dyDescent="0.45">
      <c r="A4099" s="7" t="str">
        <f t="shared" ref="A4099:A4123" si="1450">"09940003559"</f>
        <v>09940003559</v>
      </c>
      <c r="B4099" s="7" t="str">
        <f t="shared" ref="B4099:B4123" si="1451">"八尾高砂"</f>
        <v>八尾高砂</v>
      </c>
      <c r="C4099" s="7" t="str">
        <f t="shared" si="1439"/>
        <v>行政財産</v>
      </c>
      <c r="D4099" s="7" t="str">
        <f t="shared" si="1447"/>
        <v>公営住宅</v>
      </c>
      <c r="E4099" s="7" t="str">
        <f t="shared" ref="E4099:E4123" si="1452">"大阪府八尾市高砂町２丁目"</f>
        <v>大阪府八尾市高砂町２丁目</v>
      </c>
      <c r="F4099" s="7"/>
      <c r="G4099" s="7" t="str">
        <f t="shared" si="1437"/>
        <v>事業用資産</v>
      </c>
      <c r="H4099" s="7" t="str">
        <f t="shared" si="1435"/>
        <v>棚卸以外</v>
      </c>
      <c r="I4099" s="7">
        <v>1</v>
      </c>
      <c r="J4099" s="7" t="str">
        <f>"１～６号棟"</f>
        <v>１～６号棟</v>
      </c>
      <c r="K4099" s="7" t="str">
        <f t="shared" ref="K4099:K4130" si="1453">"鉄筋コンクリート造"</f>
        <v>鉄筋コンクリート造</v>
      </c>
      <c r="L4099" s="7" t="str">
        <f>"S41.05.31"</f>
        <v>S41.05.31</v>
      </c>
      <c r="M4099" s="7">
        <v>10890.41</v>
      </c>
      <c r="N4099" s="7">
        <v>585369254</v>
      </c>
      <c r="O4099" s="7">
        <v>347851472</v>
      </c>
      <c r="P4099" s="7">
        <v>0</v>
      </c>
      <c r="Q4099" s="7" t="str">
        <f t="shared" si="1440"/>
        <v>都市整備部</v>
      </c>
      <c r="R4099" s="7" t="str">
        <f t="shared" si="1438"/>
        <v>住宅建築局住宅経営室</v>
      </c>
    </row>
    <row r="4100" spans="1:18" s="1" customFormat="1" x14ac:dyDescent="0.45">
      <c r="A4100" s="7" t="str">
        <f t="shared" si="1450"/>
        <v>09940003559</v>
      </c>
      <c r="B4100" s="7" t="str">
        <f t="shared" si="1451"/>
        <v>八尾高砂</v>
      </c>
      <c r="C4100" s="7" t="str">
        <f t="shared" si="1439"/>
        <v>行政財産</v>
      </c>
      <c r="D4100" s="7" t="str">
        <f t="shared" si="1447"/>
        <v>公営住宅</v>
      </c>
      <c r="E4100" s="7" t="str">
        <f t="shared" si="1452"/>
        <v>大阪府八尾市高砂町２丁目</v>
      </c>
      <c r="F4100" s="7"/>
      <c r="G4100" s="7" t="str">
        <f t="shared" si="1437"/>
        <v>事業用資産</v>
      </c>
      <c r="H4100" s="7" t="str">
        <f t="shared" ref="H4100:H4163" si="1454">"棚卸以外"</f>
        <v>棚卸以外</v>
      </c>
      <c r="I4100" s="7">
        <v>2</v>
      </c>
      <c r="J4100" s="7" t="str">
        <f>"７～２０号棟"</f>
        <v>７～２０号棟</v>
      </c>
      <c r="K4100" s="7" t="str">
        <f t="shared" si="1453"/>
        <v>鉄筋コンクリート造</v>
      </c>
      <c r="L4100" s="7" t="str">
        <f>"S41.05.31"</f>
        <v>S41.05.31</v>
      </c>
      <c r="M4100" s="7">
        <v>20978.2</v>
      </c>
      <c r="N4100" s="7">
        <v>1180023407</v>
      </c>
      <c r="O4100" s="7">
        <v>758331071</v>
      </c>
      <c r="P4100" s="7">
        <v>0</v>
      </c>
      <c r="Q4100" s="7" t="str">
        <f t="shared" si="1440"/>
        <v>都市整備部</v>
      </c>
      <c r="R4100" s="7" t="str">
        <f t="shared" si="1438"/>
        <v>住宅建築局住宅経営室</v>
      </c>
    </row>
    <row r="4101" spans="1:18" s="1" customFormat="1" x14ac:dyDescent="0.45">
      <c r="A4101" s="7" t="str">
        <f t="shared" si="1450"/>
        <v>09940003559</v>
      </c>
      <c r="B4101" s="7" t="str">
        <f t="shared" si="1451"/>
        <v>八尾高砂</v>
      </c>
      <c r="C4101" s="7" t="str">
        <f t="shared" si="1439"/>
        <v>行政財産</v>
      </c>
      <c r="D4101" s="7" t="str">
        <f t="shared" si="1447"/>
        <v>公営住宅</v>
      </c>
      <c r="E4101" s="7" t="str">
        <f t="shared" si="1452"/>
        <v>大阪府八尾市高砂町２丁目</v>
      </c>
      <c r="F4101" s="7"/>
      <c r="G4101" s="7" t="str">
        <f t="shared" si="1437"/>
        <v>事業用資産</v>
      </c>
      <c r="H4101" s="7" t="str">
        <f t="shared" si="1454"/>
        <v>棚卸以外</v>
      </c>
      <c r="I4101" s="7">
        <v>3</v>
      </c>
      <c r="J4101" s="7" t="str">
        <f>"集会所"</f>
        <v>集会所</v>
      </c>
      <c r="K4101" s="7" t="str">
        <f t="shared" si="1453"/>
        <v>鉄筋コンクリート造</v>
      </c>
      <c r="L4101" s="7" t="str">
        <f>"S25.01.01"</f>
        <v>S25.01.01</v>
      </c>
      <c r="M4101" s="7">
        <v>195.55</v>
      </c>
      <c r="N4101" s="7">
        <v>34650364</v>
      </c>
      <c r="O4101" s="7">
        <v>20033073</v>
      </c>
      <c r="P4101" s="7">
        <v>0</v>
      </c>
      <c r="Q4101" s="7" t="str">
        <f t="shared" si="1440"/>
        <v>都市整備部</v>
      </c>
      <c r="R4101" s="7" t="str">
        <f t="shared" si="1438"/>
        <v>住宅建築局住宅経営室</v>
      </c>
    </row>
    <row r="4102" spans="1:18" s="1" customFormat="1" x14ac:dyDescent="0.45">
      <c r="A4102" s="7" t="str">
        <f t="shared" si="1450"/>
        <v>09940003559</v>
      </c>
      <c r="B4102" s="7" t="str">
        <f t="shared" si="1451"/>
        <v>八尾高砂</v>
      </c>
      <c r="C4102" s="7" t="str">
        <f t="shared" si="1439"/>
        <v>行政財産</v>
      </c>
      <c r="D4102" s="7" t="str">
        <f t="shared" si="1447"/>
        <v>公営住宅</v>
      </c>
      <c r="E4102" s="7" t="str">
        <f t="shared" si="1452"/>
        <v>大阪府八尾市高砂町２丁目</v>
      </c>
      <c r="F4102" s="7"/>
      <c r="G4102" s="7" t="str">
        <f t="shared" si="1437"/>
        <v>事業用資産</v>
      </c>
      <c r="H4102" s="7" t="str">
        <f t="shared" si="1454"/>
        <v>棚卸以外</v>
      </c>
      <c r="I4102" s="7">
        <v>4</v>
      </c>
      <c r="J4102" s="7" t="str">
        <f>"２５・２６号棟"</f>
        <v>２５・２６号棟</v>
      </c>
      <c r="K4102" s="7" t="str">
        <f t="shared" si="1453"/>
        <v>鉄筋コンクリート造</v>
      </c>
      <c r="L4102" s="7" t="str">
        <f>"S42.01.27"</f>
        <v>S42.01.27</v>
      </c>
      <c r="M4102" s="7">
        <v>2328.7199999999998</v>
      </c>
      <c r="N4102" s="7">
        <v>87137994</v>
      </c>
      <c r="O4102" s="7">
        <v>73294326</v>
      </c>
      <c r="P4102" s="7">
        <v>0</v>
      </c>
      <c r="Q4102" s="7" t="str">
        <f t="shared" si="1440"/>
        <v>都市整備部</v>
      </c>
      <c r="R4102" s="7" t="str">
        <f t="shared" si="1438"/>
        <v>住宅建築局住宅経営室</v>
      </c>
    </row>
    <row r="4103" spans="1:18" s="1" customFormat="1" x14ac:dyDescent="0.45">
      <c r="A4103" s="7" t="str">
        <f t="shared" si="1450"/>
        <v>09940003559</v>
      </c>
      <c r="B4103" s="7" t="str">
        <f t="shared" si="1451"/>
        <v>八尾高砂</v>
      </c>
      <c r="C4103" s="7" t="str">
        <f t="shared" si="1439"/>
        <v>行政財産</v>
      </c>
      <c r="D4103" s="7" t="str">
        <f t="shared" si="1447"/>
        <v>公営住宅</v>
      </c>
      <c r="E4103" s="7" t="str">
        <f t="shared" si="1452"/>
        <v>大阪府八尾市高砂町２丁目</v>
      </c>
      <c r="F4103" s="7"/>
      <c r="G4103" s="7" t="str">
        <f t="shared" si="1437"/>
        <v>事業用資産</v>
      </c>
      <c r="H4103" s="7" t="str">
        <f t="shared" si="1454"/>
        <v>棚卸以外</v>
      </c>
      <c r="I4103" s="7">
        <v>5</v>
      </c>
      <c r="J4103" s="7" t="str">
        <f>"２７号棟"</f>
        <v>２７号棟</v>
      </c>
      <c r="K4103" s="7" t="str">
        <f t="shared" si="1453"/>
        <v>鉄筋コンクリート造</v>
      </c>
      <c r="L4103" s="7" t="str">
        <f>"S42.01.27"</f>
        <v>S42.01.27</v>
      </c>
      <c r="M4103" s="7">
        <v>2950.05</v>
      </c>
      <c r="N4103" s="7">
        <v>222648317</v>
      </c>
      <c r="O4103" s="7">
        <v>218818548</v>
      </c>
      <c r="P4103" s="7">
        <v>0</v>
      </c>
      <c r="Q4103" s="7" t="str">
        <f t="shared" si="1440"/>
        <v>都市整備部</v>
      </c>
      <c r="R4103" s="7" t="str">
        <f t="shared" si="1438"/>
        <v>住宅建築局住宅経営室</v>
      </c>
    </row>
    <row r="4104" spans="1:18" s="1" customFormat="1" x14ac:dyDescent="0.45">
      <c r="A4104" s="7" t="str">
        <f t="shared" si="1450"/>
        <v>09940003559</v>
      </c>
      <c r="B4104" s="7" t="str">
        <f t="shared" si="1451"/>
        <v>八尾高砂</v>
      </c>
      <c r="C4104" s="7" t="str">
        <f t="shared" si="1439"/>
        <v>行政財産</v>
      </c>
      <c r="D4104" s="7" t="str">
        <f t="shared" si="1447"/>
        <v>公営住宅</v>
      </c>
      <c r="E4104" s="7" t="str">
        <f t="shared" si="1452"/>
        <v>大阪府八尾市高砂町２丁目</v>
      </c>
      <c r="F4104" s="7"/>
      <c r="G4104" s="7" t="str">
        <f t="shared" si="1437"/>
        <v>事業用資産</v>
      </c>
      <c r="H4104" s="7" t="str">
        <f t="shared" si="1454"/>
        <v>棚卸以外</v>
      </c>
      <c r="I4104" s="7">
        <v>6</v>
      </c>
      <c r="J4104" s="7" t="str">
        <f>"２１～２３号棟"</f>
        <v>２１～２３号棟</v>
      </c>
      <c r="K4104" s="7" t="str">
        <f t="shared" si="1453"/>
        <v>鉄筋コンクリート造</v>
      </c>
      <c r="L4104" s="7" t="str">
        <f>"S42.01.27"</f>
        <v>S42.01.27</v>
      </c>
      <c r="M4104" s="7">
        <v>3284.79</v>
      </c>
      <c r="N4104" s="7">
        <v>97905522</v>
      </c>
      <c r="O4104" s="7">
        <v>81368336</v>
      </c>
      <c r="P4104" s="7">
        <v>0</v>
      </c>
      <c r="Q4104" s="7" t="str">
        <f t="shared" si="1440"/>
        <v>都市整備部</v>
      </c>
      <c r="R4104" s="7" t="str">
        <f t="shared" si="1438"/>
        <v>住宅建築局住宅経営室</v>
      </c>
    </row>
    <row r="4105" spans="1:18" s="1" customFormat="1" x14ac:dyDescent="0.45">
      <c r="A4105" s="7" t="str">
        <f t="shared" si="1450"/>
        <v>09940003559</v>
      </c>
      <c r="B4105" s="7" t="str">
        <f t="shared" si="1451"/>
        <v>八尾高砂</v>
      </c>
      <c r="C4105" s="7" t="str">
        <f t="shared" si="1439"/>
        <v>行政財産</v>
      </c>
      <c r="D4105" s="7" t="str">
        <f t="shared" si="1447"/>
        <v>公営住宅</v>
      </c>
      <c r="E4105" s="7" t="str">
        <f t="shared" si="1452"/>
        <v>大阪府八尾市高砂町２丁目</v>
      </c>
      <c r="F4105" s="7"/>
      <c r="G4105" s="7" t="str">
        <f t="shared" si="1437"/>
        <v>事業用資産</v>
      </c>
      <c r="H4105" s="7" t="str">
        <f t="shared" si="1454"/>
        <v>棚卸以外</v>
      </c>
      <c r="I4105" s="7">
        <v>7</v>
      </c>
      <c r="J4105" s="7" t="str">
        <f>"２４号棟"</f>
        <v>２４号棟</v>
      </c>
      <c r="K4105" s="7" t="str">
        <f t="shared" si="1453"/>
        <v>鉄筋コンクリート造</v>
      </c>
      <c r="L4105" s="7" t="str">
        <f>"S42.01.27"</f>
        <v>S42.01.27</v>
      </c>
      <c r="M4105" s="7">
        <v>620.99</v>
      </c>
      <c r="N4105" s="7">
        <v>19558452</v>
      </c>
      <c r="O4105" s="7">
        <v>16902049</v>
      </c>
      <c r="P4105" s="7">
        <v>0</v>
      </c>
      <c r="Q4105" s="7" t="str">
        <f t="shared" si="1440"/>
        <v>都市整備部</v>
      </c>
      <c r="R4105" s="7" t="str">
        <f t="shared" si="1438"/>
        <v>住宅建築局住宅経営室</v>
      </c>
    </row>
    <row r="4106" spans="1:18" s="1" customFormat="1" x14ac:dyDescent="0.45">
      <c r="A4106" s="7" t="str">
        <f t="shared" si="1450"/>
        <v>09940003559</v>
      </c>
      <c r="B4106" s="7" t="str">
        <f t="shared" si="1451"/>
        <v>八尾高砂</v>
      </c>
      <c r="C4106" s="7" t="str">
        <f t="shared" si="1439"/>
        <v>行政財産</v>
      </c>
      <c r="D4106" s="7" t="str">
        <f t="shared" si="1447"/>
        <v>公営住宅</v>
      </c>
      <c r="E4106" s="7" t="str">
        <f t="shared" si="1452"/>
        <v>大阪府八尾市高砂町２丁目</v>
      </c>
      <c r="F4106" s="7"/>
      <c r="G4106" s="7" t="str">
        <f t="shared" si="1437"/>
        <v>事業用資産</v>
      </c>
      <c r="H4106" s="7" t="str">
        <f t="shared" si="1454"/>
        <v>棚卸以外</v>
      </c>
      <c r="I4106" s="7">
        <v>8</v>
      </c>
      <c r="J4106" s="7" t="str">
        <f>"２号棟増築"</f>
        <v>２号棟増築</v>
      </c>
      <c r="K4106" s="7" t="str">
        <f t="shared" si="1453"/>
        <v>鉄筋コンクリート造</v>
      </c>
      <c r="L4106" s="7" t="str">
        <f t="shared" ref="L4106:L4111" si="1455">"S57.01.28"</f>
        <v>S57.01.28</v>
      </c>
      <c r="M4106" s="7">
        <v>779.45</v>
      </c>
      <c r="N4106" s="7">
        <v>111213000</v>
      </c>
      <c r="O4106" s="7">
        <v>97410378</v>
      </c>
      <c r="P4106" s="7">
        <v>0</v>
      </c>
      <c r="Q4106" s="7" t="str">
        <f t="shared" si="1440"/>
        <v>都市整備部</v>
      </c>
      <c r="R4106" s="7" t="str">
        <f t="shared" si="1438"/>
        <v>住宅建築局住宅経営室</v>
      </c>
    </row>
    <row r="4107" spans="1:18" s="1" customFormat="1" x14ac:dyDescent="0.45">
      <c r="A4107" s="7" t="str">
        <f t="shared" si="1450"/>
        <v>09940003559</v>
      </c>
      <c r="B4107" s="7" t="str">
        <f t="shared" si="1451"/>
        <v>八尾高砂</v>
      </c>
      <c r="C4107" s="7" t="str">
        <f t="shared" si="1439"/>
        <v>行政財産</v>
      </c>
      <c r="D4107" s="7" t="str">
        <f t="shared" si="1447"/>
        <v>公営住宅</v>
      </c>
      <c r="E4107" s="7" t="str">
        <f t="shared" si="1452"/>
        <v>大阪府八尾市高砂町２丁目</v>
      </c>
      <c r="F4107" s="7"/>
      <c r="G4107" s="7" t="str">
        <f t="shared" si="1437"/>
        <v>事業用資産</v>
      </c>
      <c r="H4107" s="7" t="str">
        <f t="shared" si="1454"/>
        <v>棚卸以外</v>
      </c>
      <c r="I4107" s="7">
        <v>9</v>
      </c>
      <c r="J4107" s="7" t="str">
        <f>"８号棟増築"</f>
        <v>８号棟増築</v>
      </c>
      <c r="K4107" s="7" t="str">
        <f t="shared" si="1453"/>
        <v>鉄筋コンクリート造</v>
      </c>
      <c r="L4107" s="7" t="str">
        <f t="shared" si="1455"/>
        <v>S57.01.28</v>
      </c>
      <c r="M4107" s="7">
        <v>500.58</v>
      </c>
      <c r="N4107" s="7">
        <v>61019000</v>
      </c>
      <c r="O4107" s="7">
        <v>53445860</v>
      </c>
      <c r="P4107" s="7">
        <v>0</v>
      </c>
      <c r="Q4107" s="7" t="str">
        <f t="shared" si="1440"/>
        <v>都市整備部</v>
      </c>
      <c r="R4107" s="7" t="str">
        <f t="shared" si="1438"/>
        <v>住宅建築局住宅経営室</v>
      </c>
    </row>
    <row r="4108" spans="1:18" s="1" customFormat="1" x14ac:dyDescent="0.45">
      <c r="A4108" s="7" t="str">
        <f t="shared" si="1450"/>
        <v>09940003559</v>
      </c>
      <c r="B4108" s="7" t="str">
        <f t="shared" si="1451"/>
        <v>八尾高砂</v>
      </c>
      <c r="C4108" s="7" t="str">
        <f t="shared" si="1439"/>
        <v>行政財産</v>
      </c>
      <c r="D4108" s="7" t="str">
        <f t="shared" si="1447"/>
        <v>公営住宅</v>
      </c>
      <c r="E4108" s="7" t="str">
        <f t="shared" si="1452"/>
        <v>大阪府八尾市高砂町２丁目</v>
      </c>
      <c r="F4108" s="7"/>
      <c r="G4108" s="7" t="str">
        <f t="shared" si="1437"/>
        <v>事業用資産</v>
      </c>
      <c r="H4108" s="7" t="str">
        <f t="shared" si="1454"/>
        <v>棚卸以外</v>
      </c>
      <c r="I4108" s="7">
        <v>10</v>
      </c>
      <c r="J4108" s="7" t="str">
        <f>"１３号棟増築"</f>
        <v>１３号棟増築</v>
      </c>
      <c r="K4108" s="7" t="str">
        <f t="shared" si="1453"/>
        <v>鉄筋コンクリート造</v>
      </c>
      <c r="L4108" s="7" t="str">
        <f t="shared" si="1455"/>
        <v>S57.01.28</v>
      </c>
      <c r="M4108" s="7">
        <v>834.3</v>
      </c>
      <c r="N4108" s="7">
        <v>96967000</v>
      </c>
      <c r="O4108" s="7">
        <v>84932432</v>
      </c>
      <c r="P4108" s="7">
        <v>0</v>
      </c>
      <c r="Q4108" s="7" t="str">
        <f t="shared" si="1440"/>
        <v>都市整備部</v>
      </c>
      <c r="R4108" s="7" t="str">
        <f t="shared" si="1438"/>
        <v>住宅建築局住宅経営室</v>
      </c>
    </row>
    <row r="4109" spans="1:18" s="1" customFormat="1" x14ac:dyDescent="0.45">
      <c r="A4109" s="7" t="str">
        <f t="shared" si="1450"/>
        <v>09940003559</v>
      </c>
      <c r="B4109" s="7" t="str">
        <f t="shared" si="1451"/>
        <v>八尾高砂</v>
      </c>
      <c r="C4109" s="7" t="str">
        <f t="shared" si="1439"/>
        <v>行政財産</v>
      </c>
      <c r="D4109" s="7" t="str">
        <f t="shared" si="1447"/>
        <v>公営住宅</v>
      </c>
      <c r="E4109" s="7" t="str">
        <f t="shared" si="1452"/>
        <v>大阪府八尾市高砂町２丁目</v>
      </c>
      <c r="F4109" s="7"/>
      <c r="G4109" s="7" t="str">
        <f t="shared" si="1437"/>
        <v>事業用資産</v>
      </c>
      <c r="H4109" s="7" t="str">
        <f t="shared" si="1454"/>
        <v>棚卸以外</v>
      </c>
      <c r="I4109" s="7">
        <v>11</v>
      </c>
      <c r="J4109" s="7" t="str">
        <f>"１４号棟増築"</f>
        <v>１４号棟増築</v>
      </c>
      <c r="K4109" s="7" t="str">
        <f t="shared" si="1453"/>
        <v>鉄筋コンクリート造</v>
      </c>
      <c r="L4109" s="7" t="str">
        <f t="shared" si="1455"/>
        <v>S57.01.28</v>
      </c>
      <c r="M4109" s="7">
        <v>817.23</v>
      </c>
      <c r="N4109" s="7">
        <v>102168000</v>
      </c>
      <c r="O4109" s="7">
        <v>89487606</v>
      </c>
      <c r="P4109" s="7">
        <v>0</v>
      </c>
      <c r="Q4109" s="7" t="str">
        <f t="shared" si="1440"/>
        <v>都市整備部</v>
      </c>
      <c r="R4109" s="7" t="str">
        <f t="shared" si="1438"/>
        <v>住宅建築局住宅経営室</v>
      </c>
    </row>
    <row r="4110" spans="1:18" s="1" customFormat="1" x14ac:dyDescent="0.45">
      <c r="A4110" s="7" t="str">
        <f t="shared" si="1450"/>
        <v>09940003559</v>
      </c>
      <c r="B4110" s="7" t="str">
        <f t="shared" si="1451"/>
        <v>八尾高砂</v>
      </c>
      <c r="C4110" s="7" t="str">
        <f t="shared" si="1439"/>
        <v>行政財産</v>
      </c>
      <c r="D4110" s="7" t="str">
        <f t="shared" si="1447"/>
        <v>公営住宅</v>
      </c>
      <c r="E4110" s="7" t="str">
        <f t="shared" si="1452"/>
        <v>大阪府八尾市高砂町２丁目</v>
      </c>
      <c r="F4110" s="7"/>
      <c r="G4110" s="7" t="str">
        <f t="shared" si="1437"/>
        <v>事業用資産</v>
      </c>
      <c r="H4110" s="7" t="str">
        <f t="shared" si="1454"/>
        <v>棚卸以外</v>
      </c>
      <c r="I4110" s="7">
        <v>12</v>
      </c>
      <c r="J4110" s="7" t="str">
        <f>"２４号棟増築"</f>
        <v>２４号棟増築</v>
      </c>
      <c r="K4110" s="7" t="str">
        <f t="shared" si="1453"/>
        <v>鉄筋コンクリート造</v>
      </c>
      <c r="L4110" s="7" t="str">
        <f t="shared" si="1455"/>
        <v>S57.01.28</v>
      </c>
      <c r="M4110" s="7">
        <v>695.52</v>
      </c>
      <c r="N4110" s="7">
        <v>42262000</v>
      </c>
      <c r="O4110" s="7">
        <v>37016902</v>
      </c>
      <c r="P4110" s="7">
        <v>0</v>
      </c>
      <c r="Q4110" s="7" t="str">
        <f t="shared" si="1440"/>
        <v>都市整備部</v>
      </c>
      <c r="R4110" s="7" t="str">
        <f t="shared" si="1438"/>
        <v>住宅建築局住宅経営室</v>
      </c>
    </row>
    <row r="4111" spans="1:18" s="1" customFormat="1" x14ac:dyDescent="0.45">
      <c r="A4111" s="7" t="str">
        <f t="shared" si="1450"/>
        <v>09940003559</v>
      </c>
      <c r="B4111" s="7" t="str">
        <f t="shared" si="1451"/>
        <v>八尾高砂</v>
      </c>
      <c r="C4111" s="7" t="str">
        <f t="shared" si="1439"/>
        <v>行政財産</v>
      </c>
      <c r="D4111" s="7" t="str">
        <f t="shared" si="1447"/>
        <v>公営住宅</v>
      </c>
      <c r="E4111" s="7" t="str">
        <f t="shared" si="1452"/>
        <v>大阪府八尾市高砂町２丁目</v>
      </c>
      <c r="F4111" s="7"/>
      <c r="G4111" s="7" t="str">
        <f t="shared" si="1437"/>
        <v>事業用資産</v>
      </c>
      <c r="H4111" s="7" t="str">
        <f t="shared" si="1454"/>
        <v>棚卸以外</v>
      </c>
      <c r="I4111" s="7">
        <v>13</v>
      </c>
      <c r="J4111" s="7" t="str">
        <f>"２５号棟増築"</f>
        <v>２５号棟増築</v>
      </c>
      <c r="K4111" s="7" t="str">
        <f t="shared" si="1453"/>
        <v>鉄筋コンクリート造</v>
      </c>
      <c r="L4111" s="7" t="str">
        <f t="shared" si="1455"/>
        <v>S57.01.28</v>
      </c>
      <c r="M4111" s="7">
        <v>695.52</v>
      </c>
      <c r="N4111" s="7">
        <v>75066000</v>
      </c>
      <c r="O4111" s="7">
        <v>65749424</v>
      </c>
      <c r="P4111" s="7">
        <v>0</v>
      </c>
      <c r="Q4111" s="7" t="str">
        <f t="shared" si="1440"/>
        <v>都市整備部</v>
      </c>
      <c r="R4111" s="7" t="str">
        <f t="shared" si="1438"/>
        <v>住宅建築局住宅経営室</v>
      </c>
    </row>
    <row r="4112" spans="1:18" s="1" customFormat="1" x14ac:dyDescent="0.45">
      <c r="A4112" s="7" t="str">
        <f t="shared" si="1450"/>
        <v>09940003559</v>
      </c>
      <c r="B4112" s="7" t="str">
        <f t="shared" si="1451"/>
        <v>八尾高砂</v>
      </c>
      <c r="C4112" s="7" t="str">
        <f t="shared" si="1439"/>
        <v>行政財産</v>
      </c>
      <c r="D4112" s="7" t="str">
        <f t="shared" si="1447"/>
        <v>公営住宅</v>
      </c>
      <c r="E4112" s="7" t="str">
        <f t="shared" si="1452"/>
        <v>大阪府八尾市高砂町２丁目</v>
      </c>
      <c r="F4112" s="7"/>
      <c r="G4112" s="7" t="str">
        <f t="shared" si="1437"/>
        <v>事業用資産</v>
      </c>
      <c r="H4112" s="7" t="str">
        <f t="shared" si="1454"/>
        <v>棚卸以外</v>
      </c>
      <c r="I4112" s="7">
        <v>14</v>
      </c>
      <c r="J4112" s="7" t="str">
        <f>"２０号棟増築"</f>
        <v>２０号棟増築</v>
      </c>
      <c r="K4112" s="7" t="str">
        <f t="shared" si="1453"/>
        <v>鉄筋コンクリート造</v>
      </c>
      <c r="L4112" s="7" t="str">
        <f t="shared" ref="L4112:L4118" si="1456">"S57.06.26"</f>
        <v>S57.06.26</v>
      </c>
      <c r="M4112" s="7">
        <v>834.3</v>
      </c>
      <c r="N4112" s="7">
        <v>109280000</v>
      </c>
      <c r="O4112" s="7">
        <v>94748151</v>
      </c>
      <c r="P4112" s="7">
        <v>0</v>
      </c>
      <c r="Q4112" s="7" t="str">
        <f t="shared" si="1440"/>
        <v>都市整備部</v>
      </c>
      <c r="R4112" s="7" t="str">
        <f t="shared" si="1438"/>
        <v>住宅建築局住宅経営室</v>
      </c>
    </row>
    <row r="4113" spans="1:18" s="1" customFormat="1" x14ac:dyDescent="0.45">
      <c r="A4113" s="7" t="str">
        <f t="shared" si="1450"/>
        <v>09940003559</v>
      </c>
      <c r="B4113" s="7" t="str">
        <f t="shared" si="1451"/>
        <v>八尾高砂</v>
      </c>
      <c r="C4113" s="7" t="str">
        <f t="shared" si="1439"/>
        <v>行政財産</v>
      </c>
      <c r="D4113" s="7" t="str">
        <f t="shared" si="1447"/>
        <v>公営住宅</v>
      </c>
      <c r="E4113" s="7" t="str">
        <f t="shared" si="1452"/>
        <v>大阪府八尾市高砂町２丁目</v>
      </c>
      <c r="F4113" s="7"/>
      <c r="G4113" s="7" t="str">
        <f t="shared" si="1437"/>
        <v>事業用資産</v>
      </c>
      <c r="H4113" s="7" t="str">
        <f t="shared" si="1454"/>
        <v>棚卸以外</v>
      </c>
      <c r="I4113" s="7">
        <v>15</v>
      </c>
      <c r="J4113" s="7" t="str">
        <f>"１８号棟増築"</f>
        <v>１８号棟増築</v>
      </c>
      <c r="K4113" s="7" t="str">
        <f t="shared" si="1453"/>
        <v>鉄筋コンクリート造</v>
      </c>
      <c r="L4113" s="7" t="str">
        <f t="shared" si="1456"/>
        <v>S57.06.26</v>
      </c>
      <c r="M4113" s="7">
        <v>667.44</v>
      </c>
      <c r="N4113" s="7">
        <v>85939000</v>
      </c>
      <c r="O4113" s="7">
        <v>74511375</v>
      </c>
      <c r="P4113" s="7">
        <v>0</v>
      </c>
      <c r="Q4113" s="7" t="str">
        <f t="shared" si="1440"/>
        <v>都市整備部</v>
      </c>
      <c r="R4113" s="7" t="str">
        <f t="shared" si="1438"/>
        <v>住宅建築局住宅経営室</v>
      </c>
    </row>
    <row r="4114" spans="1:18" s="1" customFormat="1" x14ac:dyDescent="0.45">
      <c r="A4114" s="7" t="str">
        <f t="shared" si="1450"/>
        <v>09940003559</v>
      </c>
      <c r="B4114" s="7" t="str">
        <f t="shared" si="1451"/>
        <v>八尾高砂</v>
      </c>
      <c r="C4114" s="7" t="str">
        <f t="shared" si="1439"/>
        <v>行政財産</v>
      </c>
      <c r="D4114" s="7" t="str">
        <f t="shared" si="1447"/>
        <v>公営住宅</v>
      </c>
      <c r="E4114" s="7" t="str">
        <f t="shared" si="1452"/>
        <v>大阪府八尾市高砂町２丁目</v>
      </c>
      <c r="F4114" s="7"/>
      <c r="G4114" s="7" t="str">
        <f t="shared" si="1437"/>
        <v>事業用資産</v>
      </c>
      <c r="H4114" s="7" t="str">
        <f t="shared" si="1454"/>
        <v>棚卸以外</v>
      </c>
      <c r="I4114" s="7">
        <v>16</v>
      </c>
      <c r="J4114" s="7" t="str">
        <f>"１９号棟増築"</f>
        <v>１９号棟増築</v>
      </c>
      <c r="K4114" s="7" t="str">
        <f t="shared" si="1453"/>
        <v>鉄筋コンクリート造</v>
      </c>
      <c r="L4114" s="7" t="str">
        <f t="shared" si="1456"/>
        <v>S57.06.26</v>
      </c>
      <c r="M4114" s="7">
        <v>667.44</v>
      </c>
      <c r="N4114" s="7">
        <v>85939000</v>
      </c>
      <c r="O4114" s="7">
        <v>74511375</v>
      </c>
      <c r="P4114" s="7">
        <v>0</v>
      </c>
      <c r="Q4114" s="7" t="str">
        <f t="shared" si="1440"/>
        <v>都市整備部</v>
      </c>
      <c r="R4114" s="7" t="str">
        <f t="shared" si="1438"/>
        <v>住宅建築局住宅経営室</v>
      </c>
    </row>
    <row r="4115" spans="1:18" s="1" customFormat="1" x14ac:dyDescent="0.45">
      <c r="A4115" s="7" t="str">
        <f t="shared" si="1450"/>
        <v>09940003559</v>
      </c>
      <c r="B4115" s="7" t="str">
        <f t="shared" si="1451"/>
        <v>八尾高砂</v>
      </c>
      <c r="C4115" s="7" t="str">
        <f t="shared" si="1439"/>
        <v>行政財産</v>
      </c>
      <c r="D4115" s="7" t="str">
        <f t="shared" si="1447"/>
        <v>公営住宅</v>
      </c>
      <c r="E4115" s="7" t="str">
        <f t="shared" si="1452"/>
        <v>大阪府八尾市高砂町２丁目</v>
      </c>
      <c r="F4115" s="7"/>
      <c r="G4115" s="7" t="str">
        <f t="shared" si="1437"/>
        <v>事業用資産</v>
      </c>
      <c r="H4115" s="7" t="str">
        <f t="shared" si="1454"/>
        <v>棚卸以外</v>
      </c>
      <c r="I4115" s="7">
        <v>17</v>
      </c>
      <c r="J4115" s="7" t="str">
        <f>"１７号棟増築"</f>
        <v>１７号棟増築</v>
      </c>
      <c r="K4115" s="7" t="str">
        <f t="shared" si="1453"/>
        <v>鉄筋コンクリート造</v>
      </c>
      <c r="L4115" s="7" t="str">
        <f t="shared" si="1456"/>
        <v>S57.06.26</v>
      </c>
      <c r="M4115" s="7">
        <v>667.44</v>
      </c>
      <c r="N4115" s="7">
        <v>82447000</v>
      </c>
      <c r="O4115" s="7">
        <v>71483487</v>
      </c>
      <c r="P4115" s="7">
        <v>0</v>
      </c>
      <c r="Q4115" s="7" t="str">
        <f t="shared" si="1440"/>
        <v>都市整備部</v>
      </c>
      <c r="R4115" s="7" t="str">
        <f t="shared" si="1438"/>
        <v>住宅建築局住宅経営室</v>
      </c>
    </row>
    <row r="4116" spans="1:18" s="1" customFormat="1" x14ac:dyDescent="0.45">
      <c r="A4116" s="7" t="str">
        <f t="shared" si="1450"/>
        <v>09940003559</v>
      </c>
      <c r="B4116" s="7" t="str">
        <f t="shared" si="1451"/>
        <v>八尾高砂</v>
      </c>
      <c r="C4116" s="7" t="str">
        <f t="shared" si="1439"/>
        <v>行政財産</v>
      </c>
      <c r="D4116" s="7" t="str">
        <f t="shared" si="1447"/>
        <v>公営住宅</v>
      </c>
      <c r="E4116" s="7" t="str">
        <f t="shared" si="1452"/>
        <v>大阪府八尾市高砂町２丁目</v>
      </c>
      <c r="F4116" s="7"/>
      <c r="G4116" s="7" t="str">
        <f t="shared" si="1437"/>
        <v>事業用資産</v>
      </c>
      <c r="H4116" s="7" t="str">
        <f t="shared" si="1454"/>
        <v>棚卸以外</v>
      </c>
      <c r="I4116" s="7">
        <v>18</v>
      </c>
      <c r="J4116" s="7" t="str">
        <f>"１６号棟増築"</f>
        <v>１６号棟増築</v>
      </c>
      <c r="K4116" s="7" t="str">
        <f t="shared" si="1453"/>
        <v>鉄筋コンクリート造</v>
      </c>
      <c r="L4116" s="7" t="str">
        <f t="shared" si="1456"/>
        <v>S57.06.26</v>
      </c>
      <c r="M4116" s="7">
        <v>834.3</v>
      </c>
      <c r="N4116" s="7">
        <v>101368000</v>
      </c>
      <c r="O4116" s="7">
        <v>87888459</v>
      </c>
      <c r="P4116" s="7">
        <v>0</v>
      </c>
      <c r="Q4116" s="7" t="str">
        <f t="shared" si="1440"/>
        <v>都市整備部</v>
      </c>
      <c r="R4116" s="7" t="str">
        <f t="shared" si="1438"/>
        <v>住宅建築局住宅経営室</v>
      </c>
    </row>
    <row r="4117" spans="1:18" s="1" customFormat="1" x14ac:dyDescent="0.45">
      <c r="A4117" s="7" t="str">
        <f t="shared" si="1450"/>
        <v>09940003559</v>
      </c>
      <c r="B4117" s="7" t="str">
        <f t="shared" si="1451"/>
        <v>八尾高砂</v>
      </c>
      <c r="C4117" s="7" t="str">
        <f t="shared" si="1439"/>
        <v>行政財産</v>
      </c>
      <c r="D4117" s="7" t="str">
        <f t="shared" si="1447"/>
        <v>公営住宅</v>
      </c>
      <c r="E4117" s="7" t="str">
        <f t="shared" si="1452"/>
        <v>大阪府八尾市高砂町２丁目</v>
      </c>
      <c r="F4117" s="7"/>
      <c r="G4117" s="7" t="str">
        <f t="shared" si="1437"/>
        <v>事業用資産</v>
      </c>
      <c r="H4117" s="7" t="str">
        <f t="shared" si="1454"/>
        <v>棚卸以外</v>
      </c>
      <c r="I4117" s="7">
        <v>19</v>
      </c>
      <c r="J4117" s="7" t="str">
        <f>"５号棟増築"</f>
        <v>５号棟増築</v>
      </c>
      <c r="K4117" s="7" t="str">
        <f t="shared" si="1453"/>
        <v>鉄筋コンクリート造</v>
      </c>
      <c r="L4117" s="7" t="str">
        <f t="shared" si="1456"/>
        <v>S57.06.26</v>
      </c>
      <c r="M4117" s="7">
        <v>779.45</v>
      </c>
      <c r="N4117" s="7">
        <v>113030000</v>
      </c>
      <c r="O4117" s="7">
        <v>97999512</v>
      </c>
      <c r="P4117" s="7">
        <v>0</v>
      </c>
      <c r="Q4117" s="7" t="str">
        <f t="shared" si="1440"/>
        <v>都市整備部</v>
      </c>
      <c r="R4117" s="7" t="str">
        <f t="shared" si="1438"/>
        <v>住宅建築局住宅経営室</v>
      </c>
    </row>
    <row r="4118" spans="1:18" s="1" customFormat="1" x14ac:dyDescent="0.45">
      <c r="A4118" s="7" t="str">
        <f t="shared" si="1450"/>
        <v>09940003559</v>
      </c>
      <c r="B4118" s="7" t="str">
        <f t="shared" si="1451"/>
        <v>八尾高砂</v>
      </c>
      <c r="C4118" s="7" t="str">
        <f t="shared" si="1439"/>
        <v>行政財産</v>
      </c>
      <c r="D4118" s="7" t="str">
        <f t="shared" si="1447"/>
        <v>公営住宅</v>
      </c>
      <c r="E4118" s="7" t="str">
        <f t="shared" si="1452"/>
        <v>大阪府八尾市高砂町２丁目</v>
      </c>
      <c r="F4118" s="7"/>
      <c r="G4118" s="7" t="str">
        <f t="shared" si="1437"/>
        <v>事業用資産</v>
      </c>
      <c r="H4118" s="7" t="str">
        <f t="shared" si="1454"/>
        <v>棚卸以外</v>
      </c>
      <c r="I4118" s="7">
        <v>20</v>
      </c>
      <c r="J4118" s="7" t="str">
        <f>"１５号棟増築"</f>
        <v>１５号棟増築</v>
      </c>
      <c r="K4118" s="7" t="str">
        <f t="shared" si="1453"/>
        <v>鉄筋コンクリート造</v>
      </c>
      <c r="L4118" s="7" t="str">
        <f t="shared" si="1456"/>
        <v>S57.06.26</v>
      </c>
      <c r="M4118" s="7">
        <v>625.72</v>
      </c>
      <c r="N4118" s="7">
        <v>79194000</v>
      </c>
      <c r="O4118" s="7">
        <v>68662935</v>
      </c>
      <c r="P4118" s="7">
        <v>0</v>
      </c>
      <c r="Q4118" s="7" t="str">
        <f t="shared" si="1440"/>
        <v>都市整備部</v>
      </c>
      <c r="R4118" s="7" t="str">
        <f t="shared" si="1438"/>
        <v>住宅建築局住宅経営室</v>
      </c>
    </row>
    <row r="4119" spans="1:18" s="1" customFormat="1" x14ac:dyDescent="0.45">
      <c r="A4119" s="7" t="str">
        <f t="shared" si="1450"/>
        <v>09940003559</v>
      </c>
      <c r="B4119" s="7" t="str">
        <f t="shared" si="1451"/>
        <v>八尾高砂</v>
      </c>
      <c r="C4119" s="7" t="str">
        <f t="shared" si="1439"/>
        <v>行政財産</v>
      </c>
      <c r="D4119" s="7" t="str">
        <f t="shared" si="1447"/>
        <v>公営住宅</v>
      </c>
      <c r="E4119" s="7" t="str">
        <f t="shared" si="1452"/>
        <v>大阪府八尾市高砂町２丁目</v>
      </c>
      <c r="F4119" s="7"/>
      <c r="G4119" s="7" t="str">
        <f t="shared" ref="G4119:G4182" si="1457">"事業用資産"</f>
        <v>事業用資産</v>
      </c>
      <c r="H4119" s="7" t="str">
        <f t="shared" si="1454"/>
        <v>棚卸以外</v>
      </c>
      <c r="I4119" s="7">
        <v>21</v>
      </c>
      <c r="J4119" s="7" t="str">
        <f>"２６号棟増築"</f>
        <v>２６号棟増築</v>
      </c>
      <c r="K4119" s="7" t="str">
        <f t="shared" si="1453"/>
        <v>鉄筋コンクリート造</v>
      </c>
      <c r="L4119" s="7" t="str">
        <f>"S07.08.26"</f>
        <v>S07.08.26</v>
      </c>
      <c r="M4119" s="7">
        <v>408.61</v>
      </c>
      <c r="N4119" s="7">
        <v>56718000</v>
      </c>
      <c r="O4119" s="7">
        <v>56717999</v>
      </c>
      <c r="P4119" s="7">
        <v>0</v>
      </c>
      <c r="Q4119" s="7" t="str">
        <f t="shared" si="1440"/>
        <v>都市整備部</v>
      </c>
      <c r="R4119" s="7" t="str">
        <f t="shared" si="1438"/>
        <v>住宅建築局住宅経営室</v>
      </c>
    </row>
    <row r="4120" spans="1:18" s="1" customFormat="1" x14ac:dyDescent="0.45">
      <c r="A4120" s="7" t="str">
        <f t="shared" si="1450"/>
        <v>09940003559</v>
      </c>
      <c r="B4120" s="7" t="str">
        <f t="shared" si="1451"/>
        <v>八尾高砂</v>
      </c>
      <c r="C4120" s="7" t="str">
        <f t="shared" si="1439"/>
        <v>行政財産</v>
      </c>
      <c r="D4120" s="7" t="str">
        <f t="shared" si="1447"/>
        <v>公営住宅</v>
      </c>
      <c r="E4120" s="7" t="str">
        <f t="shared" si="1452"/>
        <v>大阪府八尾市高砂町２丁目</v>
      </c>
      <c r="F4120" s="7"/>
      <c r="G4120" s="7" t="str">
        <f t="shared" si="1457"/>
        <v>事業用資産</v>
      </c>
      <c r="H4120" s="7" t="str">
        <f t="shared" si="1454"/>
        <v>棚卸以外</v>
      </c>
      <c r="I4120" s="7">
        <v>22</v>
      </c>
      <c r="J4120" s="7" t="str">
        <f>"３号棟増築"</f>
        <v>３号棟増築</v>
      </c>
      <c r="K4120" s="7" t="str">
        <f t="shared" si="1453"/>
        <v>鉄筋コンクリート造</v>
      </c>
      <c r="L4120" s="7" t="str">
        <f>"S57.12.20"</f>
        <v>S57.12.20</v>
      </c>
      <c r="M4120" s="7">
        <v>467.77</v>
      </c>
      <c r="N4120" s="7">
        <v>69288000</v>
      </c>
      <c r="O4120" s="7">
        <v>59337516</v>
      </c>
      <c r="P4120" s="7">
        <v>0</v>
      </c>
      <c r="Q4120" s="7" t="str">
        <f t="shared" si="1440"/>
        <v>都市整備部</v>
      </c>
      <c r="R4120" s="7" t="str">
        <f t="shared" ref="R4120:R4183" si="1458">"住宅建築局住宅経営室"</f>
        <v>住宅建築局住宅経営室</v>
      </c>
    </row>
    <row r="4121" spans="1:18" s="1" customFormat="1" x14ac:dyDescent="0.45">
      <c r="A4121" s="7" t="str">
        <f t="shared" si="1450"/>
        <v>09940003559</v>
      </c>
      <c r="B4121" s="7" t="str">
        <f t="shared" si="1451"/>
        <v>八尾高砂</v>
      </c>
      <c r="C4121" s="7" t="str">
        <f t="shared" si="1439"/>
        <v>行政財産</v>
      </c>
      <c r="D4121" s="7" t="str">
        <f t="shared" si="1447"/>
        <v>公営住宅</v>
      </c>
      <c r="E4121" s="7" t="str">
        <f t="shared" si="1452"/>
        <v>大阪府八尾市高砂町２丁目</v>
      </c>
      <c r="F4121" s="7"/>
      <c r="G4121" s="7" t="str">
        <f t="shared" si="1457"/>
        <v>事業用資産</v>
      </c>
      <c r="H4121" s="7" t="str">
        <f t="shared" si="1454"/>
        <v>棚卸以外</v>
      </c>
      <c r="I4121" s="7">
        <v>23</v>
      </c>
      <c r="J4121" s="7" t="str">
        <f>"９号棟増築"</f>
        <v>９号棟増築</v>
      </c>
      <c r="K4121" s="7" t="str">
        <f t="shared" si="1453"/>
        <v>鉄筋コンクリート造</v>
      </c>
      <c r="L4121" s="7" t="str">
        <f>"S57.12.20"</f>
        <v>S57.12.20</v>
      </c>
      <c r="M4121" s="7">
        <v>375.43</v>
      </c>
      <c r="N4121" s="7">
        <v>50433000</v>
      </c>
      <c r="O4121" s="7">
        <v>43190343</v>
      </c>
      <c r="P4121" s="7">
        <v>0</v>
      </c>
      <c r="Q4121" s="7" t="str">
        <f t="shared" si="1440"/>
        <v>都市整備部</v>
      </c>
      <c r="R4121" s="7" t="str">
        <f t="shared" si="1458"/>
        <v>住宅建築局住宅経営室</v>
      </c>
    </row>
    <row r="4122" spans="1:18" s="1" customFormat="1" x14ac:dyDescent="0.45">
      <c r="A4122" s="7" t="str">
        <f t="shared" si="1450"/>
        <v>09940003559</v>
      </c>
      <c r="B4122" s="7" t="str">
        <f t="shared" si="1451"/>
        <v>八尾高砂</v>
      </c>
      <c r="C4122" s="7" t="str">
        <f t="shared" ref="C4122:C4185" si="1459">"行政財産"</f>
        <v>行政財産</v>
      </c>
      <c r="D4122" s="7" t="str">
        <f t="shared" si="1447"/>
        <v>公営住宅</v>
      </c>
      <c r="E4122" s="7" t="str">
        <f t="shared" si="1452"/>
        <v>大阪府八尾市高砂町２丁目</v>
      </c>
      <c r="F4122" s="7"/>
      <c r="G4122" s="7" t="str">
        <f t="shared" si="1457"/>
        <v>事業用資産</v>
      </c>
      <c r="H4122" s="7" t="str">
        <f t="shared" si="1454"/>
        <v>棚卸以外</v>
      </c>
      <c r="I4122" s="7">
        <v>24</v>
      </c>
      <c r="J4122" s="7" t="str">
        <f>"１０号棟増築"</f>
        <v>１０号棟増築</v>
      </c>
      <c r="K4122" s="7" t="str">
        <f t="shared" si="1453"/>
        <v>鉄筋コンクリート造</v>
      </c>
      <c r="L4122" s="7" t="str">
        <f>"S57.12.20"</f>
        <v>S57.12.20</v>
      </c>
      <c r="M4122" s="7">
        <v>375.43</v>
      </c>
      <c r="N4122" s="7">
        <v>50433000</v>
      </c>
      <c r="O4122" s="7">
        <v>43190343</v>
      </c>
      <c r="P4122" s="7">
        <v>0</v>
      </c>
      <c r="Q4122" s="7" t="str">
        <f t="shared" si="1440"/>
        <v>都市整備部</v>
      </c>
      <c r="R4122" s="7" t="str">
        <f t="shared" si="1458"/>
        <v>住宅建築局住宅経営室</v>
      </c>
    </row>
    <row r="4123" spans="1:18" s="1" customFormat="1" x14ac:dyDescent="0.45">
      <c r="A4123" s="7" t="str">
        <f t="shared" si="1450"/>
        <v>09940003559</v>
      </c>
      <c r="B4123" s="7" t="str">
        <f t="shared" si="1451"/>
        <v>八尾高砂</v>
      </c>
      <c r="C4123" s="7" t="str">
        <f t="shared" si="1459"/>
        <v>行政財産</v>
      </c>
      <c r="D4123" s="7" t="str">
        <f t="shared" si="1447"/>
        <v>公営住宅</v>
      </c>
      <c r="E4123" s="7" t="str">
        <f t="shared" si="1452"/>
        <v>大阪府八尾市高砂町２丁目</v>
      </c>
      <c r="F4123" s="7"/>
      <c r="G4123" s="7" t="str">
        <f t="shared" si="1457"/>
        <v>事業用資産</v>
      </c>
      <c r="H4123" s="7" t="str">
        <f t="shared" si="1454"/>
        <v>棚卸以外</v>
      </c>
      <c r="I4123" s="7">
        <v>25</v>
      </c>
      <c r="J4123" s="7" t="str">
        <f>"２３号棟増築"</f>
        <v>２３号棟増築</v>
      </c>
      <c r="K4123" s="7" t="str">
        <f t="shared" si="1453"/>
        <v>鉄筋コンクリート造</v>
      </c>
      <c r="L4123" s="7" t="str">
        <f>"S57.12.20"</f>
        <v>S57.12.20</v>
      </c>
      <c r="M4123" s="7">
        <v>375.43</v>
      </c>
      <c r="N4123" s="7">
        <v>50433000</v>
      </c>
      <c r="O4123" s="7">
        <v>43190343</v>
      </c>
      <c r="P4123" s="7">
        <v>0</v>
      </c>
      <c r="Q4123" s="7" t="str">
        <f t="shared" ref="Q4123:Q4186" si="1460">"都市整備部"</f>
        <v>都市整備部</v>
      </c>
      <c r="R4123" s="7" t="str">
        <f t="shared" si="1458"/>
        <v>住宅建築局住宅経営室</v>
      </c>
    </row>
    <row r="4124" spans="1:18" s="1" customFormat="1" x14ac:dyDescent="0.45">
      <c r="A4124" s="7" t="str">
        <f t="shared" ref="A4124:A4129" si="1461">"09940003560"</f>
        <v>09940003560</v>
      </c>
      <c r="B4124" s="7" t="str">
        <f t="shared" ref="B4124:B4129" si="1462">"松原上田"</f>
        <v>松原上田</v>
      </c>
      <c r="C4124" s="7" t="str">
        <f t="shared" si="1459"/>
        <v>行政財産</v>
      </c>
      <c r="D4124" s="7" t="str">
        <f t="shared" si="1447"/>
        <v>公営住宅</v>
      </c>
      <c r="E4124" s="7" t="str">
        <f t="shared" ref="E4124:E4129" si="1463">"大阪府松原市上田８丁目"</f>
        <v>大阪府松原市上田８丁目</v>
      </c>
      <c r="F4124" s="7"/>
      <c r="G4124" s="7" t="str">
        <f t="shared" si="1457"/>
        <v>事業用資産</v>
      </c>
      <c r="H4124" s="7" t="str">
        <f t="shared" si="1454"/>
        <v>棚卸以外</v>
      </c>
      <c r="I4124" s="7">
        <v>1</v>
      </c>
      <c r="J4124" s="7" t="str">
        <f>"１号棟"</f>
        <v>１号棟</v>
      </c>
      <c r="K4124" s="7" t="str">
        <f t="shared" si="1453"/>
        <v>鉄筋コンクリート造</v>
      </c>
      <c r="L4124" s="7" t="str">
        <f>"H14.11.29"</f>
        <v>H14.11.29</v>
      </c>
      <c r="M4124" s="7">
        <v>4757.54</v>
      </c>
      <c r="N4124" s="7">
        <v>748746101</v>
      </c>
      <c r="O4124" s="7">
        <v>325386762</v>
      </c>
      <c r="P4124" s="7">
        <v>0</v>
      </c>
      <c r="Q4124" s="7" t="str">
        <f t="shared" si="1460"/>
        <v>都市整備部</v>
      </c>
      <c r="R4124" s="7" t="str">
        <f t="shared" si="1458"/>
        <v>住宅建築局住宅経営室</v>
      </c>
    </row>
    <row r="4125" spans="1:18" s="1" customFormat="1" x14ac:dyDescent="0.45">
      <c r="A4125" s="7" t="str">
        <f t="shared" si="1461"/>
        <v>09940003560</v>
      </c>
      <c r="B4125" s="7" t="str">
        <f t="shared" si="1462"/>
        <v>松原上田</v>
      </c>
      <c r="C4125" s="7" t="str">
        <f t="shared" si="1459"/>
        <v>行政財産</v>
      </c>
      <c r="D4125" s="7" t="str">
        <f t="shared" si="1447"/>
        <v>公営住宅</v>
      </c>
      <c r="E4125" s="7" t="str">
        <f t="shared" si="1463"/>
        <v>大阪府松原市上田８丁目</v>
      </c>
      <c r="F4125" s="7"/>
      <c r="G4125" s="7" t="str">
        <f t="shared" si="1457"/>
        <v>事業用資産</v>
      </c>
      <c r="H4125" s="7" t="str">
        <f t="shared" si="1454"/>
        <v>棚卸以外</v>
      </c>
      <c r="I4125" s="7">
        <v>2</v>
      </c>
      <c r="J4125" s="7" t="str">
        <f>"２号棟"</f>
        <v>２号棟</v>
      </c>
      <c r="K4125" s="7" t="str">
        <f t="shared" si="1453"/>
        <v>鉄筋コンクリート造</v>
      </c>
      <c r="L4125" s="7" t="str">
        <f>"H14.11.29"</f>
        <v>H14.11.29</v>
      </c>
      <c r="M4125" s="7">
        <v>4850.6000000000004</v>
      </c>
      <c r="N4125" s="7">
        <v>821621102</v>
      </c>
      <c r="O4125" s="7">
        <v>356914246</v>
      </c>
      <c r="P4125" s="7">
        <v>0</v>
      </c>
      <c r="Q4125" s="7" t="str">
        <f t="shared" si="1460"/>
        <v>都市整備部</v>
      </c>
      <c r="R4125" s="7" t="str">
        <f t="shared" si="1458"/>
        <v>住宅建築局住宅経営室</v>
      </c>
    </row>
    <row r="4126" spans="1:18" s="1" customFormat="1" x14ac:dyDescent="0.45">
      <c r="A4126" s="7" t="str">
        <f t="shared" si="1461"/>
        <v>09940003560</v>
      </c>
      <c r="B4126" s="7" t="str">
        <f t="shared" si="1462"/>
        <v>松原上田</v>
      </c>
      <c r="C4126" s="7" t="str">
        <f t="shared" si="1459"/>
        <v>行政財産</v>
      </c>
      <c r="D4126" s="7" t="str">
        <f t="shared" si="1447"/>
        <v>公営住宅</v>
      </c>
      <c r="E4126" s="7" t="str">
        <f t="shared" si="1463"/>
        <v>大阪府松原市上田８丁目</v>
      </c>
      <c r="F4126" s="7"/>
      <c r="G4126" s="7" t="str">
        <f t="shared" si="1457"/>
        <v>事業用資産</v>
      </c>
      <c r="H4126" s="7" t="str">
        <f t="shared" si="1454"/>
        <v>棚卸以外</v>
      </c>
      <c r="I4126" s="7">
        <v>3</v>
      </c>
      <c r="J4126" s="7" t="str">
        <f>"電気室・受水槽"</f>
        <v>電気室・受水槽</v>
      </c>
      <c r="K4126" s="7" t="str">
        <f t="shared" si="1453"/>
        <v>鉄筋コンクリート造</v>
      </c>
      <c r="L4126" s="7" t="str">
        <f>"H14.11.29"</f>
        <v>H14.11.29</v>
      </c>
      <c r="M4126" s="7">
        <v>92.72</v>
      </c>
      <c r="N4126" s="7">
        <v>18550000</v>
      </c>
      <c r="O4126" s="7">
        <v>8025404</v>
      </c>
      <c r="P4126" s="7">
        <v>0</v>
      </c>
      <c r="Q4126" s="7" t="str">
        <f t="shared" si="1460"/>
        <v>都市整備部</v>
      </c>
      <c r="R4126" s="7" t="str">
        <f t="shared" si="1458"/>
        <v>住宅建築局住宅経営室</v>
      </c>
    </row>
    <row r="4127" spans="1:18" s="1" customFormat="1" x14ac:dyDescent="0.45">
      <c r="A4127" s="7" t="str">
        <f t="shared" si="1461"/>
        <v>09940003560</v>
      </c>
      <c r="B4127" s="7" t="str">
        <f t="shared" si="1462"/>
        <v>松原上田</v>
      </c>
      <c r="C4127" s="7" t="str">
        <f t="shared" si="1459"/>
        <v>行政財産</v>
      </c>
      <c r="D4127" s="7" t="str">
        <f t="shared" si="1447"/>
        <v>公営住宅</v>
      </c>
      <c r="E4127" s="7" t="str">
        <f t="shared" si="1463"/>
        <v>大阪府松原市上田８丁目</v>
      </c>
      <c r="F4127" s="7"/>
      <c r="G4127" s="7" t="str">
        <f t="shared" si="1457"/>
        <v>事業用資産</v>
      </c>
      <c r="H4127" s="7" t="str">
        <f t="shared" si="1454"/>
        <v>棚卸以外</v>
      </c>
      <c r="I4127" s="7">
        <v>4</v>
      </c>
      <c r="J4127" s="7" t="str">
        <f>"集会所"</f>
        <v>集会所</v>
      </c>
      <c r="K4127" s="7" t="str">
        <f t="shared" si="1453"/>
        <v>鉄筋コンクリート造</v>
      </c>
      <c r="L4127" s="7" t="str">
        <f>"H14.11.29"</f>
        <v>H14.11.29</v>
      </c>
      <c r="M4127" s="7">
        <v>99.97</v>
      </c>
      <c r="N4127" s="7">
        <v>19817000</v>
      </c>
      <c r="O4127" s="7">
        <v>8573428</v>
      </c>
      <c r="P4127" s="7">
        <v>0</v>
      </c>
      <c r="Q4127" s="7" t="str">
        <f t="shared" si="1460"/>
        <v>都市整備部</v>
      </c>
      <c r="R4127" s="7" t="str">
        <f t="shared" si="1458"/>
        <v>住宅建築局住宅経営室</v>
      </c>
    </row>
    <row r="4128" spans="1:18" s="1" customFormat="1" x14ac:dyDescent="0.45">
      <c r="A4128" s="7" t="str">
        <f t="shared" si="1461"/>
        <v>09940003560</v>
      </c>
      <c r="B4128" s="7" t="str">
        <f t="shared" si="1462"/>
        <v>松原上田</v>
      </c>
      <c r="C4128" s="7" t="str">
        <f t="shared" si="1459"/>
        <v>行政財産</v>
      </c>
      <c r="D4128" s="7" t="str">
        <f t="shared" si="1447"/>
        <v>公営住宅</v>
      </c>
      <c r="E4128" s="7" t="str">
        <f t="shared" si="1463"/>
        <v>大阪府松原市上田８丁目</v>
      </c>
      <c r="F4128" s="7"/>
      <c r="G4128" s="7" t="str">
        <f t="shared" si="1457"/>
        <v>事業用資産</v>
      </c>
      <c r="H4128" s="7" t="str">
        <f t="shared" si="1454"/>
        <v>棚卸以外</v>
      </c>
      <c r="I4128" s="7">
        <v>5</v>
      </c>
      <c r="J4128" s="7" t="str">
        <f>"３号棟"</f>
        <v>３号棟</v>
      </c>
      <c r="K4128" s="7" t="str">
        <f t="shared" si="1453"/>
        <v>鉄筋コンクリート造</v>
      </c>
      <c r="L4128" s="7" t="str">
        <f>"H16.09.28"</f>
        <v>H16.09.28</v>
      </c>
      <c r="M4128" s="7">
        <v>2889.77</v>
      </c>
      <c r="N4128" s="7">
        <v>384035102</v>
      </c>
      <c r="O4128" s="7">
        <v>153048960</v>
      </c>
      <c r="P4128" s="7">
        <v>0</v>
      </c>
      <c r="Q4128" s="7" t="str">
        <f t="shared" si="1460"/>
        <v>都市整備部</v>
      </c>
      <c r="R4128" s="7" t="str">
        <f t="shared" si="1458"/>
        <v>住宅建築局住宅経営室</v>
      </c>
    </row>
    <row r="4129" spans="1:18" s="1" customFormat="1" x14ac:dyDescent="0.45">
      <c r="A4129" s="7" t="str">
        <f t="shared" si="1461"/>
        <v>09940003560</v>
      </c>
      <c r="B4129" s="7" t="str">
        <f t="shared" si="1462"/>
        <v>松原上田</v>
      </c>
      <c r="C4129" s="7" t="str">
        <f t="shared" si="1459"/>
        <v>行政財産</v>
      </c>
      <c r="D4129" s="7" t="str">
        <f t="shared" si="1447"/>
        <v>公営住宅</v>
      </c>
      <c r="E4129" s="7" t="str">
        <f t="shared" si="1463"/>
        <v>大阪府松原市上田８丁目</v>
      </c>
      <c r="F4129" s="7"/>
      <c r="G4129" s="7" t="str">
        <f t="shared" si="1457"/>
        <v>事業用資産</v>
      </c>
      <c r="H4129" s="7" t="str">
        <f t="shared" si="1454"/>
        <v>棚卸以外</v>
      </c>
      <c r="I4129" s="7">
        <v>6</v>
      </c>
      <c r="J4129" s="7" t="str">
        <f>"電気室"</f>
        <v>電気室</v>
      </c>
      <c r="K4129" s="7" t="str">
        <f t="shared" si="1453"/>
        <v>鉄筋コンクリート造</v>
      </c>
      <c r="L4129" s="7" t="str">
        <f>"H16.09.28"</f>
        <v>H16.09.28</v>
      </c>
      <c r="M4129" s="7">
        <v>20</v>
      </c>
      <c r="N4129" s="7">
        <v>3301000</v>
      </c>
      <c r="O4129" s="7">
        <v>1299366</v>
      </c>
      <c r="P4129" s="7">
        <v>0</v>
      </c>
      <c r="Q4129" s="7" t="str">
        <f t="shared" si="1460"/>
        <v>都市整備部</v>
      </c>
      <c r="R4129" s="7" t="str">
        <f t="shared" si="1458"/>
        <v>住宅建築局住宅経営室</v>
      </c>
    </row>
    <row r="4130" spans="1:18" s="1" customFormat="1" x14ac:dyDescent="0.45">
      <c r="A4130" s="7" t="str">
        <f t="shared" ref="A4130:A4139" si="1464">"09940003562"</f>
        <v>09940003562</v>
      </c>
      <c r="B4130" s="7" t="str">
        <f t="shared" ref="B4130:B4139" si="1465">"東鴻池第２"</f>
        <v>東鴻池第２</v>
      </c>
      <c r="C4130" s="7" t="str">
        <f t="shared" si="1459"/>
        <v>行政財産</v>
      </c>
      <c r="D4130" s="7" t="str">
        <f t="shared" si="1447"/>
        <v>公営住宅</v>
      </c>
      <c r="E4130" s="7" t="str">
        <f t="shared" ref="E4130:E4139" si="1466">"大阪府東大阪市東鴻池町２丁目"</f>
        <v>大阪府東大阪市東鴻池町２丁目</v>
      </c>
      <c r="F4130" s="7"/>
      <c r="G4130" s="7" t="str">
        <f t="shared" si="1457"/>
        <v>事業用資産</v>
      </c>
      <c r="H4130" s="7" t="str">
        <f t="shared" si="1454"/>
        <v>棚卸以外</v>
      </c>
      <c r="I4130" s="7">
        <v>1</v>
      </c>
      <c r="J4130" s="7" t="str">
        <f>"１～２号棟"</f>
        <v>１～２号棟</v>
      </c>
      <c r="K4130" s="7" t="str">
        <f t="shared" si="1453"/>
        <v>鉄筋コンクリート造</v>
      </c>
      <c r="L4130" s="7" t="str">
        <f t="shared" ref="L4130:L4138" si="1467">"S53.11.30"</f>
        <v>S53.11.30</v>
      </c>
      <c r="M4130" s="7">
        <v>5855.2</v>
      </c>
      <c r="N4130" s="7">
        <v>654956343</v>
      </c>
      <c r="O4130" s="7">
        <v>479715987</v>
      </c>
      <c r="P4130" s="7">
        <v>0</v>
      </c>
      <c r="Q4130" s="7" t="str">
        <f t="shared" si="1460"/>
        <v>都市整備部</v>
      </c>
      <c r="R4130" s="7" t="str">
        <f t="shared" si="1458"/>
        <v>住宅建築局住宅経営室</v>
      </c>
    </row>
    <row r="4131" spans="1:18" s="1" customFormat="1" x14ac:dyDescent="0.45">
      <c r="A4131" s="7" t="str">
        <f t="shared" si="1464"/>
        <v>09940003562</v>
      </c>
      <c r="B4131" s="7" t="str">
        <f t="shared" si="1465"/>
        <v>東鴻池第２</v>
      </c>
      <c r="C4131" s="7" t="str">
        <f t="shared" si="1459"/>
        <v>行政財産</v>
      </c>
      <c r="D4131" s="7" t="str">
        <f t="shared" si="1447"/>
        <v>公営住宅</v>
      </c>
      <c r="E4131" s="7" t="str">
        <f t="shared" si="1466"/>
        <v>大阪府東大阪市東鴻池町２丁目</v>
      </c>
      <c r="F4131" s="7"/>
      <c r="G4131" s="7" t="str">
        <f t="shared" si="1457"/>
        <v>事業用資産</v>
      </c>
      <c r="H4131" s="7" t="str">
        <f t="shared" si="1454"/>
        <v>棚卸以外</v>
      </c>
      <c r="I4131" s="7">
        <v>2</v>
      </c>
      <c r="J4131" s="7" t="str">
        <f>"３・６棟"</f>
        <v>３・６棟</v>
      </c>
      <c r="K4131" s="7" t="str">
        <f t="shared" ref="K4131:K4158" si="1468">"鉄筋コンクリート造"</f>
        <v>鉄筋コンクリート造</v>
      </c>
      <c r="L4131" s="7" t="str">
        <f t="shared" si="1467"/>
        <v>S53.11.30</v>
      </c>
      <c r="M4131" s="7">
        <v>5455.41</v>
      </c>
      <c r="N4131" s="7">
        <v>614245138</v>
      </c>
      <c r="O4131" s="7">
        <v>450645106</v>
      </c>
      <c r="P4131" s="7">
        <v>0</v>
      </c>
      <c r="Q4131" s="7" t="str">
        <f t="shared" si="1460"/>
        <v>都市整備部</v>
      </c>
      <c r="R4131" s="7" t="str">
        <f t="shared" si="1458"/>
        <v>住宅建築局住宅経営室</v>
      </c>
    </row>
    <row r="4132" spans="1:18" s="1" customFormat="1" x14ac:dyDescent="0.45">
      <c r="A4132" s="7" t="str">
        <f t="shared" si="1464"/>
        <v>09940003562</v>
      </c>
      <c r="B4132" s="7" t="str">
        <f t="shared" si="1465"/>
        <v>東鴻池第２</v>
      </c>
      <c r="C4132" s="7" t="str">
        <f t="shared" si="1459"/>
        <v>行政財産</v>
      </c>
      <c r="D4132" s="7" t="str">
        <f t="shared" si="1447"/>
        <v>公営住宅</v>
      </c>
      <c r="E4132" s="7" t="str">
        <f t="shared" si="1466"/>
        <v>大阪府東大阪市東鴻池町２丁目</v>
      </c>
      <c r="F4132" s="7"/>
      <c r="G4132" s="7" t="str">
        <f t="shared" si="1457"/>
        <v>事業用資産</v>
      </c>
      <c r="H4132" s="7" t="str">
        <f t="shared" si="1454"/>
        <v>棚卸以外</v>
      </c>
      <c r="I4132" s="7">
        <v>3</v>
      </c>
      <c r="J4132" s="7" t="str">
        <f>"４棟"</f>
        <v>４棟</v>
      </c>
      <c r="K4132" s="7" t="str">
        <f t="shared" si="1468"/>
        <v>鉄筋コンクリート造</v>
      </c>
      <c r="L4132" s="7" t="str">
        <f t="shared" si="1467"/>
        <v>S53.11.30</v>
      </c>
      <c r="M4132" s="7">
        <v>3658.02</v>
      </c>
      <c r="N4132" s="7">
        <v>441190848</v>
      </c>
      <c r="O4132" s="7">
        <v>311011108</v>
      </c>
      <c r="P4132" s="7">
        <v>0</v>
      </c>
      <c r="Q4132" s="7" t="str">
        <f t="shared" si="1460"/>
        <v>都市整備部</v>
      </c>
      <c r="R4132" s="7" t="str">
        <f t="shared" si="1458"/>
        <v>住宅建築局住宅経営室</v>
      </c>
    </row>
    <row r="4133" spans="1:18" s="1" customFormat="1" x14ac:dyDescent="0.45">
      <c r="A4133" s="7" t="str">
        <f t="shared" si="1464"/>
        <v>09940003562</v>
      </c>
      <c r="B4133" s="7" t="str">
        <f t="shared" si="1465"/>
        <v>東鴻池第２</v>
      </c>
      <c r="C4133" s="7" t="str">
        <f t="shared" si="1459"/>
        <v>行政財産</v>
      </c>
      <c r="D4133" s="7" t="str">
        <f t="shared" si="1447"/>
        <v>公営住宅</v>
      </c>
      <c r="E4133" s="7" t="str">
        <f t="shared" si="1466"/>
        <v>大阪府東大阪市東鴻池町２丁目</v>
      </c>
      <c r="F4133" s="7"/>
      <c r="G4133" s="7" t="str">
        <f t="shared" si="1457"/>
        <v>事業用資産</v>
      </c>
      <c r="H4133" s="7" t="str">
        <f t="shared" si="1454"/>
        <v>棚卸以外</v>
      </c>
      <c r="I4133" s="7">
        <v>4</v>
      </c>
      <c r="J4133" s="7" t="str">
        <f>"５号棟"</f>
        <v>５号棟</v>
      </c>
      <c r="K4133" s="7" t="str">
        <f t="shared" si="1468"/>
        <v>鉄筋コンクリート造</v>
      </c>
      <c r="L4133" s="7" t="str">
        <f t="shared" si="1467"/>
        <v>S53.11.30</v>
      </c>
      <c r="M4133" s="7">
        <v>3658.02</v>
      </c>
      <c r="N4133" s="7">
        <v>446746081</v>
      </c>
      <c r="O4133" s="7">
        <v>315120776</v>
      </c>
      <c r="P4133" s="7">
        <v>0</v>
      </c>
      <c r="Q4133" s="7" t="str">
        <f t="shared" si="1460"/>
        <v>都市整備部</v>
      </c>
      <c r="R4133" s="7" t="str">
        <f t="shared" si="1458"/>
        <v>住宅建築局住宅経営室</v>
      </c>
    </row>
    <row r="4134" spans="1:18" s="1" customFormat="1" x14ac:dyDescent="0.45">
      <c r="A4134" s="7" t="str">
        <f t="shared" si="1464"/>
        <v>09940003562</v>
      </c>
      <c r="B4134" s="7" t="str">
        <f t="shared" si="1465"/>
        <v>東鴻池第２</v>
      </c>
      <c r="C4134" s="7" t="str">
        <f t="shared" si="1459"/>
        <v>行政財産</v>
      </c>
      <c r="D4134" s="7" t="str">
        <f t="shared" si="1447"/>
        <v>公営住宅</v>
      </c>
      <c r="E4134" s="7" t="str">
        <f t="shared" si="1466"/>
        <v>大阪府東大阪市東鴻池町２丁目</v>
      </c>
      <c r="F4134" s="7"/>
      <c r="G4134" s="7" t="str">
        <f t="shared" si="1457"/>
        <v>事業用資産</v>
      </c>
      <c r="H4134" s="7" t="str">
        <f t="shared" si="1454"/>
        <v>棚卸以外</v>
      </c>
      <c r="I4134" s="7">
        <v>5</v>
      </c>
      <c r="J4134" s="7" t="str">
        <f>"集会所"</f>
        <v>集会所</v>
      </c>
      <c r="K4134" s="7" t="str">
        <f t="shared" si="1468"/>
        <v>鉄筋コンクリート造</v>
      </c>
      <c r="L4134" s="7" t="str">
        <f t="shared" si="1467"/>
        <v>S53.11.30</v>
      </c>
      <c r="M4134" s="7">
        <v>84</v>
      </c>
      <c r="N4134" s="7">
        <v>9960000</v>
      </c>
      <c r="O4134" s="7">
        <v>9395120</v>
      </c>
      <c r="P4134" s="7">
        <v>0</v>
      </c>
      <c r="Q4134" s="7" t="str">
        <f t="shared" si="1460"/>
        <v>都市整備部</v>
      </c>
      <c r="R4134" s="7" t="str">
        <f t="shared" si="1458"/>
        <v>住宅建築局住宅経営室</v>
      </c>
    </row>
    <row r="4135" spans="1:18" s="1" customFormat="1" x14ac:dyDescent="0.45">
      <c r="A4135" s="7" t="str">
        <f t="shared" si="1464"/>
        <v>09940003562</v>
      </c>
      <c r="B4135" s="7" t="str">
        <f t="shared" si="1465"/>
        <v>東鴻池第２</v>
      </c>
      <c r="C4135" s="7" t="str">
        <f t="shared" si="1459"/>
        <v>行政財産</v>
      </c>
      <c r="D4135" s="7" t="str">
        <f t="shared" si="1447"/>
        <v>公営住宅</v>
      </c>
      <c r="E4135" s="7" t="str">
        <f t="shared" si="1466"/>
        <v>大阪府東大阪市東鴻池町２丁目</v>
      </c>
      <c r="F4135" s="7"/>
      <c r="G4135" s="7" t="str">
        <f t="shared" si="1457"/>
        <v>事業用資産</v>
      </c>
      <c r="H4135" s="7" t="str">
        <f t="shared" si="1454"/>
        <v>棚卸以外</v>
      </c>
      <c r="I4135" s="7">
        <v>6</v>
      </c>
      <c r="J4135" s="7" t="str">
        <f>"ポンプ室"</f>
        <v>ポンプ室</v>
      </c>
      <c r="K4135" s="7" t="str">
        <f t="shared" si="1468"/>
        <v>鉄筋コンクリート造</v>
      </c>
      <c r="L4135" s="7" t="str">
        <f t="shared" si="1467"/>
        <v>S53.11.30</v>
      </c>
      <c r="M4135" s="7">
        <v>88</v>
      </c>
      <c r="N4135" s="7">
        <v>7970000</v>
      </c>
      <c r="O4135" s="7">
        <v>7518224</v>
      </c>
      <c r="P4135" s="7">
        <v>0</v>
      </c>
      <c r="Q4135" s="7" t="str">
        <f t="shared" si="1460"/>
        <v>都市整備部</v>
      </c>
      <c r="R4135" s="7" t="str">
        <f t="shared" si="1458"/>
        <v>住宅建築局住宅経営室</v>
      </c>
    </row>
    <row r="4136" spans="1:18" s="1" customFormat="1" x14ac:dyDescent="0.45">
      <c r="A4136" s="7" t="str">
        <f t="shared" si="1464"/>
        <v>09940003562</v>
      </c>
      <c r="B4136" s="7" t="str">
        <f t="shared" si="1465"/>
        <v>東鴻池第２</v>
      </c>
      <c r="C4136" s="7" t="str">
        <f t="shared" si="1459"/>
        <v>行政財産</v>
      </c>
      <c r="D4136" s="7" t="str">
        <f t="shared" si="1447"/>
        <v>公営住宅</v>
      </c>
      <c r="E4136" s="7" t="str">
        <f t="shared" si="1466"/>
        <v>大阪府東大阪市東鴻池町２丁目</v>
      </c>
      <c r="F4136" s="7"/>
      <c r="G4136" s="7" t="str">
        <f t="shared" si="1457"/>
        <v>事業用資産</v>
      </c>
      <c r="H4136" s="7" t="str">
        <f t="shared" si="1454"/>
        <v>棚卸以外</v>
      </c>
      <c r="I4136" s="7">
        <v>7</v>
      </c>
      <c r="J4136" s="7" t="str">
        <f>"電機室１"</f>
        <v>電機室１</v>
      </c>
      <c r="K4136" s="7" t="str">
        <f t="shared" si="1468"/>
        <v>鉄筋コンクリート造</v>
      </c>
      <c r="L4136" s="7" t="str">
        <f t="shared" si="1467"/>
        <v>S53.11.30</v>
      </c>
      <c r="M4136" s="7">
        <v>94.02</v>
      </c>
      <c r="N4136" s="7">
        <v>12449000</v>
      </c>
      <c r="O4136" s="7">
        <v>11742836</v>
      </c>
      <c r="P4136" s="7">
        <v>0</v>
      </c>
      <c r="Q4136" s="7" t="str">
        <f t="shared" si="1460"/>
        <v>都市整備部</v>
      </c>
      <c r="R4136" s="7" t="str">
        <f t="shared" si="1458"/>
        <v>住宅建築局住宅経営室</v>
      </c>
    </row>
    <row r="4137" spans="1:18" s="1" customFormat="1" x14ac:dyDescent="0.45">
      <c r="A4137" s="7" t="str">
        <f t="shared" si="1464"/>
        <v>09940003562</v>
      </c>
      <c r="B4137" s="7" t="str">
        <f t="shared" si="1465"/>
        <v>東鴻池第２</v>
      </c>
      <c r="C4137" s="7" t="str">
        <f t="shared" si="1459"/>
        <v>行政財産</v>
      </c>
      <c r="D4137" s="7" t="str">
        <f t="shared" si="1447"/>
        <v>公営住宅</v>
      </c>
      <c r="E4137" s="7" t="str">
        <f t="shared" si="1466"/>
        <v>大阪府東大阪市東鴻池町２丁目</v>
      </c>
      <c r="F4137" s="7"/>
      <c r="G4137" s="7" t="str">
        <f t="shared" si="1457"/>
        <v>事業用資産</v>
      </c>
      <c r="H4137" s="7" t="str">
        <f t="shared" si="1454"/>
        <v>棚卸以外</v>
      </c>
      <c r="I4137" s="7">
        <v>8</v>
      </c>
      <c r="J4137" s="7" t="str">
        <f>"電機室２"</f>
        <v>電機室２</v>
      </c>
      <c r="K4137" s="7" t="str">
        <f t="shared" si="1468"/>
        <v>鉄筋コンクリート造</v>
      </c>
      <c r="L4137" s="7" t="str">
        <f t="shared" si="1467"/>
        <v>S53.11.30</v>
      </c>
      <c r="M4137" s="7">
        <v>94.02</v>
      </c>
      <c r="N4137" s="7">
        <v>12449000</v>
      </c>
      <c r="O4137" s="7">
        <v>11742836</v>
      </c>
      <c r="P4137" s="7">
        <v>0</v>
      </c>
      <c r="Q4137" s="7" t="str">
        <f t="shared" si="1460"/>
        <v>都市整備部</v>
      </c>
      <c r="R4137" s="7" t="str">
        <f t="shared" si="1458"/>
        <v>住宅建築局住宅経営室</v>
      </c>
    </row>
    <row r="4138" spans="1:18" s="1" customFormat="1" x14ac:dyDescent="0.45">
      <c r="A4138" s="7" t="str">
        <f t="shared" si="1464"/>
        <v>09940003562</v>
      </c>
      <c r="B4138" s="7" t="str">
        <f t="shared" si="1465"/>
        <v>東鴻池第２</v>
      </c>
      <c r="C4138" s="7" t="str">
        <f t="shared" si="1459"/>
        <v>行政財産</v>
      </c>
      <c r="D4138" s="7" t="str">
        <f t="shared" si="1447"/>
        <v>公営住宅</v>
      </c>
      <c r="E4138" s="7" t="str">
        <f t="shared" si="1466"/>
        <v>大阪府東大阪市東鴻池町２丁目</v>
      </c>
      <c r="F4138" s="7"/>
      <c r="G4138" s="7" t="str">
        <f t="shared" si="1457"/>
        <v>事業用資産</v>
      </c>
      <c r="H4138" s="7" t="str">
        <f t="shared" si="1454"/>
        <v>棚卸以外</v>
      </c>
      <c r="I4138" s="7">
        <v>9</v>
      </c>
      <c r="J4138" s="7" t="str">
        <f>"焼却室"</f>
        <v>焼却室</v>
      </c>
      <c r="K4138" s="7" t="str">
        <f t="shared" si="1468"/>
        <v>鉄筋コンクリート造</v>
      </c>
      <c r="L4138" s="7" t="str">
        <f t="shared" si="1467"/>
        <v>S53.11.30</v>
      </c>
      <c r="M4138" s="7">
        <v>10.81</v>
      </c>
      <c r="N4138" s="7">
        <v>960000</v>
      </c>
      <c r="O4138" s="7">
        <v>905996</v>
      </c>
      <c r="P4138" s="7">
        <v>0</v>
      </c>
      <c r="Q4138" s="7" t="str">
        <f t="shared" si="1460"/>
        <v>都市整備部</v>
      </c>
      <c r="R4138" s="7" t="str">
        <f t="shared" si="1458"/>
        <v>住宅建築局住宅経営室</v>
      </c>
    </row>
    <row r="4139" spans="1:18" s="1" customFormat="1" x14ac:dyDescent="0.45">
      <c r="A4139" s="7" t="str">
        <f t="shared" si="1464"/>
        <v>09940003562</v>
      </c>
      <c r="B4139" s="7" t="str">
        <f t="shared" si="1465"/>
        <v>東鴻池第２</v>
      </c>
      <c r="C4139" s="7" t="str">
        <f t="shared" si="1459"/>
        <v>行政財産</v>
      </c>
      <c r="D4139" s="7" t="str">
        <f t="shared" si="1447"/>
        <v>公営住宅</v>
      </c>
      <c r="E4139" s="7" t="str">
        <f t="shared" si="1466"/>
        <v>大阪府東大阪市東鴻池町２丁目</v>
      </c>
      <c r="F4139" s="7"/>
      <c r="G4139" s="7" t="str">
        <f t="shared" si="1457"/>
        <v>事業用資産</v>
      </c>
      <c r="H4139" s="7" t="str">
        <f t="shared" si="1454"/>
        <v>棚卸以外</v>
      </c>
      <c r="I4139" s="7">
        <v>10</v>
      </c>
      <c r="J4139" s="7" t="str">
        <f>"集会所増築"</f>
        <v>集会所増築</v>
      </c>
      <c r="K4139" s="7" t="str">
        <f t="shared" si="1468"/>
        <v>鉄筋コンクリート造</v>
      </c>
      <c r="L4139" s="7" t="str">
        <f>"S63.03.31"</f>
        <v>S63.03.31</v>
      </c>
      <c r="M4139" s="7">
        <v>33.950000000000003</v>
      </c>
      <c r="N4139" s="7">
        <v>8000000</v>
      </c>
      <c r="O4139" s="7">
        <v>5957700</v>
      </c>
      <c r="P4139" s="7">
        <v>0</v>
      </c>
      <c r="Q4139" s="7" t="str">
        <f t="shared" si="1460"/>
        <v>都市整備部</v>
      </c>
      <c r="R4139" s="7" t="str">
        <f t="shared" si="1458"/>
        <v>住宅建築局住宅経営室</v>
      </c>
    </row>
    <row r="4140" spans="1:18" s="1" customFormat="1" x14ac:dyDescent="0.45">
      <c r="A4140" s="7" t="str">
        <f t="shared" ref="A4140:A4152" si="1469">"09940003563"</f>
        <v>09940003563</v>
      </c>
      <c r="B4140" s="7" t="str">
        <f t="shared" ref="B4140:B4152" si="1470">"高槻津之江"</f>
        <v>高槻津之江</v>
      </c>
      <c r="C4140" s="7" t="str">
        <f t="shared" si="1459"/>
        <v>行政財産</v>
      </c>
      <c r="D4140" s="7" t="str">
        <f t="shared" si="1447"/>
        <v>公営住宅</v>
      </c>
      <c r="E4140" s="7" t="str">
        <f t="shared" ref="E4140:E4152" si="1471">"大阪府高槻市津之江町３丁目"</f>
        <v>大阪府高槻市津之江町３丁目</v>
      </c>
      <c r="F4140" s="7"/>
      <c r="G4140" s="7" t="str">
        <f t="shared" si="1457"/>
        <v>事業用資産</v>
      </c>
      <c r="H4140" s="7" t="str">
        <f t="shared" si="1454"/>
        <v>棚卸以外</v>
      </c>
      <c r="I4140" s="7">
        <v>1</v>
      </c>
      <c r="J4140" s="7" t="str">
        <f>"１号棟"</f>
        <v>１号棟</v>
      </c>
      <c r="K4140" s="7" t="str">
        <f t="shared" si="1468"/>
        <v>鉄筋コンクリート造</v>
      </c>
      <c r="L4140" s="7" t="str">
        <f t="shared" ref="L4140:L4148" si="1472">"H07.03.31"</f>
        <v>H07.03.31</v>
      </c>
      <c r="M4140" s="7">
        <v>858.85</v>
      </c>
      <c r="N4140" s="7">
        <v>139251000</v>
      </c>
      <c r="O4140" s="7">
        <v>82958064</v>
      </c>
      <c r="P4140" s="7">
        <v>0</v>
      </c>
      <c r="Q4140" s="7" t="str">
        <f t="shared" si="1460"/>
        <v>都市整備部</v>
      </c>
      <c r="R4140" s="7" t="str">
        <f t="shared" si="1458"/>
        <v>住宅建築局住宅経営室</v>
      </c>
    </row>
    <row r="4141" spans="1:18" s="1" customFormat="1" x14ac:dyDescent="0.45">
      <c r="A4141" s="7" t="str">
        <f t="shared" si="1469"/>
        <v>09940003563</v>
      </c>
      <c r="B4141" s="7" t="str">
        <f t="shared" si="1470"/>
        <v>高槻津之江</v>
      </c>
      <c r="C4141" s="7" t="str">
        <f t="shared" si="1459"/>
        <v>行政財産</v>
      </c>
      <c r="D4141" s="7" t="str">
        <f t="shared" si="1447"/>
        <v>公営住宅</v>
      </c>
      <c r="E4141" s="7" t="str">
        <f t="shared" si="1471"/>
        <v>大阪府高槻市津之江町３丁目</v>
      </c>
      <c r="F4141" s="7"/>
      <c r="G4141" s="7" t="str">
        <f t="shared" si="1457"/>
        <v>事業用資産</v>
      </c>
      <c r="H4141" s="7" t="str">
        <f t="shared" si="1454"/>
        <v>棚卸以外</v>
      </c>
      <c r="I4141" s="7">
        <v>2</v>
      </c>
      <c r="J4141" s="7" t="str">
        <f>"２号棟"</f>
        <v>２号棟</v>
      </c>
      <c r="K4141" s="7" t="str">
        <f t="shared" si="1468"/>
        <v>鉄筋コンクリート造</v>
      </c>
      <c r="L4141" s="7" t="str">
        <f t="shared" si="1472"/>
        <v>H07.03.31</v>
      </c>
      <c r="M4141" s="7">
        <v>1273.26</v>
      </c>
      <c r="N4141" s="7">
        <v>204186939</v>
      </c>
      <c r="O4141" s="7">
        <v>121480128</v>
      </c>
      <c r="P4141" s="7">
        <v>0</v>
      </c>
      <c r="Q4141" s="7" t="str">
        <f t="shared" si="1460"/>
        <v>都市整備部</v>
      </c>
      <c r="R4141" s="7" t="str">
        <f t="shared" si="1458"/>
        <v>住宅建築局住宅経営室</v>
      </c>
    </row>
    <row r="4142" spans="1:18" s="1" customFormat="1" x14ac:dyDescent="0.45">
      <c r="A4142" s="7" t="str">
        <f t="shared" si="1469"/>
        <v>09940003563</v>
      </c>
      <c r="B4142" s="7" t="str">
        <f t="shared" si="1470"/>
        <v>高槻津之江</v>
      </c>
      <c r="C4142" s="7" t="str">
        <f t="shared" si="1459"/>
        <v>行政財産</v>
      </c>
      <c r="D4142" s="7" t="str">
        <f t="shared" si="1447"/>
        <v>公営住宅</v>
      </c>
      <c r="E4142" s="7" t="str">
        <f t="shared" si="1471"/>
        <v>大阪府高槻市津之江町３丁目</v>
      </c>
      <c r="F4142" s="7"/>
      <c r="G4142" s="7" t="str">
        <f t="shared" si="1457"/>
        <v>事業用資産</v>
      </c>
      <c r="H4142" s="7" t="str">
        <f t="shared" si="1454"/>
        <v>棚卸以外</v>
      </c>
      <c r="I4142" s="7">
        <v>3</v>
      </c>
      <c r="J4142" s="7" t="str">
        <f>"３号棟"</f>
        <v>３号棟</v>
      </c>
      <c r="K4142" s="7" t="str">
        <f t="shared" si="1468"/>
        <v>鉄筋コンクリート造</v>
      </c>
      <c r="L4142" s="7" t="str">
        <f t="shared" si="1472"/>
        <v>H07.03.31</v>
      </c>
      <c r="M4142" s="7">
        <v>1273.26</v>
      </c>
      <c r="N4142" s="7">
        <v>209004000</v>
      </c>
      <c r="O4142" s="7">
        <v>124513200</v>
      </c>
      <c r="P4142" s="7">
        <v>0</v>
      </c>
      <c r="Q4142" s="7" t="str">
        <f t="shared" si="1460"/>
        <v>都市整備部</v>
      </c>
      <c r="R4142" s="7" t="str">
        <f t="shared" si="1458"/>
        <v>住宅建築局住宅経営室</v>
      </c>
    </row>
    <row r="4143" spans="1:18" s="1" customFormat="1" x14ac:dyDescent="0.45">
      <c r="A4143" s="7" t="str">
        <f t="shared" si="1469"/>
        <v>09940003563</v>
      </c>
      <c r="B4143" s="7" t="str">
        <f t="shared" si="1470"/>
        <v>高槻津之江</v>
      </c>
      <c r="C4143" s="7" t="str">
        <f t="shared" si="1459"/>
        <v>行政財産</v>
      </c>
      <c r="D4143" s="7" t="str">
        <f t="shared" si="1447"/>
        <v>公営住宅</v>
      </c>
      <c r="E4143" s="7" t="str">
        <f t="shared" si="1471"/>
        <v>大阪府高槻市津之江町３丁目</v>
      </c>
      <c r="F4143" s="7"/>
      <c r="G4143" s="7" t="str">
        <f t="shared" si="1457"/>
        <v>事業用資産</v>
      </c>
      <c r="H4143" s="7" t="str">
        <f t="shared" si="1454"/>
        <v>棚卸以外</v>
      </c>
      <c r="I4143" s="7">
        <v>4</v>
      </c>
      <c r="J4143" s="7" t="str">
        <f>"４号棟"</f>
        <v>４号棟</v>
      </c>
      <c r="K4143" s="7" t="str">
        <f t="shared" si="1468"/>
        <v>鉄筋コンクリート造</v>
      </c>
      <c r="L4143" s="7" t="str">
        <f t="shared" si="1472"/>
        <v>H07.03.31</v>
      </c>
      <c r="M4143" s="7">
        <v>832.75</v>
      </c>
      <c r="N4143" s="7">
        <v>142572000</v>
      </c>
      <c r="O4143" s="7">
        <v>84936768</v>
      </c>
      <c r="P4143" s="7">
        <v>0</v>
      </c>
      <c r="Q4143" s="7" t="str">
        <f t="shared" si="1460"/>
        <v>都市整備部</v>
      </c>
      <c r="R4143" s="7" t="str">
        <f t="shared" si="1458"/>
        <v>住宅建築局住宅経営室</v>
      </c>
    </row>
    <row r="4144" spans="1:18" s="1" customFormat="1" x14ac:dyDescent="0.45">
      <c r="A4144" s="7" t="str">
        <f t="shared" si="1469"/>
        <v>09940003563</v>
      </c>
      <c r="B4144" s="7" t="str">
        <f t="shared" si="1470"/>
        <v>高槻津之江</v>
      </c>
      <c r="C4144" s="7" t="str">
        <f t="shared" si="1459"/>
        <v>行政財産</v>
      </c>
      <c r="D4144" s="7" t="str">
        <f t="shared" si="1447"/>
        <v>公営住宅</v>
      </c>
      <c r="E4144" s="7" t="str">
        <f t="shared" si="1471"/>
        <v>大阪府高槻市津之江町３丁目</v>
      </c>
      <c r="F4144" s="7"/>
      <c r="G4144" s="7" t="str">
        <f t="shared" si="1457"/>
        <v>事業用資産</v>
      </c>
      <c r="H4144" s="7" t="str">
        <f t="shared" si="1454"/>
        <v>棚卸以外</v>
      </c>
      <c r="I4144" s="7">
        <v>5</v>
      </c>
      <c r="J4144" s="7" t="str">
        <f>"５号棟"</f>
        <v>５号棟</v>
      </c>
      <c r="K4144" s="7" t="str">
        <f t="shared" si="1468"/>
        <v>鉄筋コンクリート造</v>
      </c>
      <c r="L4144" s="7" t="str">
        <f t="shared" si="1472"/>
        <v>H07.03.31</v>
      </c>
      <c r="M4144" s="7">
        <v>1277.2</v>
      </c>
      <c r="N4144" s="7">
        <v>238868000</v>
      </c>
      <c r="O4144" s="7">
        <v>142304400</v>
      </c>
      <c r="P4144" s="7">
        <v>0</v>
      </c>
      <c r="Q4144" s="7" t="str">
        <f t="shared" si="1460"/>
        <v>都市整備部</v>
      </c>
      <c r="R4144" s="7" t="str">
        <f t="shared" si="1458"/>
        <v>住宅建築局住宅経営室</v>
      </c>
    </row>
    <row r="4145" spans="1:18" s="1" customFormat="1" x14ac:dyDescent="0.45">
      <c r="A4145" s="7" t="str">
        <f t="shared" si="1469"/>
        <v>09940003563</v>
      </c>
      <c r="B4145" s="7" t="str">
        <f t="shared" si="1470"/>
        <v>高槻津之江</v>
      </c>
      <c r="C4145" s="7" t="str">
        <f t="shared" si="1459"/>
        <v>行政財産</v>
      </c>
      <c r="D4145" s="7" t="str">
        <f t="shared" si="1447"/>
        <v>公営住宅</v>
      </c>
      <c r="E4145" s="7" t="str">
        <f t="shared" si="1471"/>
        <v>大阪府高槻市津之江町３丁目</v>
      </c>
      <c r="F4145" s="7"/>
      <c r="G4145" s="7" t="str">
        <f t="shared" si="1457"/>
        <v>事業用資産</v>
      </c>
      <c r="H4145" s="7" t="str">
        <f t="shared" si="1454"/>
        <v>棚卸以外</v>
      </c>
      <c r="I4145" s="7">
        <v>6</v>
      </c>
      <c r="J4145" s="7" t="str">
        <f>"６号棟"</f>
        <v>６号棟</v>
      </c>
      <c r="K4145" s="7" t="str">
        <f t="shared" si="1468"/>
        <v>鉄筋コンクリート造</v>
      </c>
      <c r="L4145" s="7" t="str">
        <f t="shared" si="1472"/>
        <v>H07.03.31</v>
      </c>
      <c r="M4145" s="7">
        <v>858.85</v>
      </c>
      <c r="N4145" s="7">
        <v>164896000</v>
      </c>
      <c r="O4145" s="7">
        <v>98235984</v>
      </c>
      <c r="P4145" s="7">
        <v>0</v>
      </c>
      <c r="Q4145" s="7" t="str">
        <f t="shared" si="1460"/>
        <v>都市整備部</v>
      </c>
      <c r="R4145" s="7" t="str">
        <f t="shared" si="1458"/>
        <v>住宅建築局住宅経営室</v>
      </c>
    </row>
    <row r="4146" spans="1:18" s="1" customFormat="1" x14ac:dyDescent="0.45">
      <c r="A4146" s="7" t="str">
        <f t="shared" si="1469"/>
        <v>09940003563</v>
      </c>
      <c r="B4146" s="7" t="str">
        <f t="shared" si="1470"/>
        <v>高槻津之江</v>
      </c>
      <c r="C4146" s="7" t="str">
        <f t="shared" si="1459"/>
        <v>行政財産</v>
      </c>
      <c r="D4146" s="7" t="str">
        <f t="shared" ref="D4146:D4209" si="1473">"公営住宅"</f>
        <v>公営住宅</v>
      </c>
      <c r="E4146" s="7" t="str">
        <f t="shared" si="1471"/>
        <v>大阪府高槻市津之江町３丁目</v>
      </c>
      <c r="F4146" s="7"/>
      <c r="G4146" s="7" t="str">
        <f t="shared" si="1457"/>
        <v>事業用資産</v>
      </c>
      <c r="H4146" s="7" t="str">
        <f t="shared" si="1454"/>
        <v>棚卸以外</v>
      </c>
      <c r="I4146" s="7">
        <v>7</v>
      </c>
      <c r="J4146" s="7" t="str">
        <f>"７号棟"</f>
        <v>７号棟</v>
      </c>
      <c r="K4146" s="7" t="str">
        <f t="shared" si="1468"/>
        <v>鉄筋コンクリート造</v>
      </c>
      <c r="L4146" s="7" t="str">
        <f t="shared" si="1472"/>
        <v>H07.03.31</v>
      </c>
      <c r="M4146" s="7">
        <v>858.85</v>
      </c>
      <c r="N4146" s="7">
        <v>262136000</v>
      </c>
      <c r="O4146" s="7">
        <v>156166416</v>
      </c>
      <c r="P4146" s="7">
        <v>0</v>
      </c>
      <c r="Q4146" s="7" t="str">
        <f t="shared" si="1460"/>
        <v>都市整備部</v>
      </c>
      <c r="R4146" s="7" t="str">
        <f t="shared" si="1458"/>
        <v>住宅建築局住宅経営室</v>
      </c>
    </row>
    <row r="4147" spans="1:18" s="1" customFormat="1" x14ac:dyDescent="0.45">
      <c r="A4147" s="7" t="str">
        <f t="shared" si="1469"/>
        <v>09940003563</v>
      </c>
      <c r="B4147" s="7" t="str">
        <f t="shared" si="1470"/>
        <v>高槻津之江</v>
      </c>
      <c r="C4147" s="7" t="str">
        <f t="shared" si="1459"/>
        <v>行政財産</v>
      </c>
      <c r="D4147" s="7" t="str">
        <f t="shared" si="1473"/>
        <v>公営住宅</v>
      </c>
      <c r="E4147" s="7" t="str">
        <f t="shared" si="1471"/>
        <v>大阪府高槻市津之江町３丁目</v>
      </c>
      <c r="F4147" s="7"/>
      <c r="G4147" s="7" t="str">
        <f t="shared" si="1457"/>
        <v>事業用資産</v>
      </c>
      <c r="H4147" s="7" t="str">
        <f t="shared" si="1454"/>
        <v>棚卸以外</v>
      </c>
      <c r="I4147" s="7">
        <v>8</v>
      </c>
      <c r="J4147" s="7" t="str">
        <f>"８号棟"</f>
        <v>８号棟</v>
      </c>
      <c r="K4147" s="7" t="str">
        <f t="shared" si="1468"/>
        <v>鉄筋コンクリート造</v>
      </c>
      <c r="L4147" s="7" t="str">
        <f t="shared" si="1472"/>
        <v>H07.03.31</v>
      </c>
      <c r="M4147" s="7">
        <v>858.85</v>
      </c>
      <c r="N4147" s="7">
        <v>131604000</v>
      </c>
      <c r="O4147" s="7">
        <v>78402576</v>
      </c>
      <c r="P4147" s="7">
        <v>0</v>
      </c>
      <c r="Q4147" s="7" t="str">
        <f t="shared" si="1460"/>
        <v>都市整備部</v>
      </c>
      <c r="R4147" s="7" t="str">
        <f t="shared" si="1458"/>
        <v>住宅建築局住宅経営室</v>
      </c>
    </row>
    <row r="4148" spans="1:18" s="1" customFormat="1" x14ac:dyDescent="0.45">
      <c r="A4148" s="7" t="str">
        <f t="shared" si="1469"/>
        <v>09940003563</v>
      </c>
      <c r="B4148" s="7" t="str">
        <f t="shared" si="1470"/>
        <v>高槻津之江</v>
      </c>
      <c r="C4148" s="7" t="str">
        <f t="shared" si="1459"/>
        <v>行政財産</v>
      </c>
      <c r="D4148" s="7" t="str">
        <f t="shared" si="1473"/>
        <v>公営住宅</v>
      </c>
      <c r="E4148" s="7" t="str">
        <f t="shared" si="1471"/>
        <v>大阪府高槻市津之江町３丁目</v>
      </c>
      <c r="F4148" s="7"/>
      <c r="G4148" s="7" t="str">
        <f t="shared" si="1457"/>
        <v>事業用資産</v>
      </c>
      <c r="H4148" s="7" t="str">
        <f t="shared" si="1454"/>
        <v>棚卸以外</v>
      </c>
      <c r="I4148" s="7">
        <v>9</v>
      </c>
      <c r="J4148" s="7" t="str">
        <f>"集会所"</f>
        <v>集会所</v>
      </c>
      <c r="K4148" s="7" t="str">
        <f t="shared" si="1468"/>
        <v>鉄筋コンクリート造</v>
      </c>
      <c r="L4148" s="7" t="str">
        <f t="shared" si="1472"/>
        <v>H07.03.31</v>
      </c>
      <c r="M4148" s="7">
        <v>155.05000000000001</v>
      </c>
      <c r="N4148" s="7">
        <v>35854000</v>
      </c>
      <c r="O4148" s="7">
        <v>21359856</v>
      </c>
      <c r="P4148" s="7">
        <v>0</v>
      </c>
      <c r="Q4148" s="7" t="str">
        <f t="shared" si="1460"/>
        <v>都市整備部</v>
      </c>
      <c r="R4148" s="7" t="str">
        <f t="shared" si="1458"/>
        <v>住宅建築局住宅経営室</v>
      </c>
    </row>
    <row r="4149" spans="1:18" s="1" customFormat="1" x14ac:dyDescent="0.45">
      <c r="A4149" s="7" t="str">
        <f t="shared" si="1469"/>
        <v>09940003563</v>
      </c>
      <c r="B4149" s="7" t="str">
        <f t="shared" si="1470"/>
        <v>高槻津之江</v>
      </c>
      <c r="C4149" s="7" t="str">
        <f t="shared" si="1459"/>
        <v>行政財産</v>
      </c>
      <c r="D4149" s="7" t="str">
        <f t="shared" si="1473"/>
        <v>公営住宅</v>
      </c>
      <c r="E4149" s="7" t="str">
        <f t="shared" si="1471"/>
        <v>大阪府高槻市津之江町３丁目</v>
      </c>
      <c r="F4149" s="7"/>
      <c r="G4149" s="7" t="str">
        <f t="shared" si="1457"/>
        <v>事業用資産</v>
      </c>
      <c r="H4149" s="7" t="str">
        <f t="shared" si="1454"/>
        <v>棚卸以外</v>
      </c>
      <c r="I4149" s="7">
        <v>10</v>
      </c>
      <c r="J4149" s="7" t="str">
        <f>"１０号棟・１１号棟"</f>
        <v>１０号棟・１１号棟</v>
      </c>
      <c r="K4149" s="7" t="str">
        <f t="shared" si="1468"/>
        <v>鉄筋コンクリート造</v>
      </c>
      <c r="L4149" s="7" t="str">
        <f>"H08.09.26"</f>
        <v>H08.09.26</v>
      </c>
      <c r="M4149" s="7">
        <v>2097.6</v>
      </c>
      <c r="N4149" s="7">
        <v>364951939</v>
      </c>
      <c r="O4149" s="7">
        <v>205616574</v>
      </c>
      <c r="P4149" s="7">
        <v>0</v>
      </c>
      <c r="Q4149" s="7" t="str">
        <f t="shared" si="1460"/>
        <v>都市整備部</v>
      </c>
      <c r="R4149" s="7" t="str">
        <f t="shared" si="1458"/>
        <v>住宅建築局住宅経営室</v>
      </c>
    </row>
    <row r="4150" spans="1:18" s="1" customFormat="1" x14ac:dyDescent="0.45">
      <c r="A4150" s="7" t="str">
        <f t="shared" si="1469"/>
        <v>09940003563</v>
      </c>
      <c r="B4150" s="7" t="str">
        <f t="shared" si="1470"/>
        <v>高槻津之江</v>
      </c>
      <c r="C4150" s="7" t="str">
        <f t="shared" si="1459"/>
        <v>行政財産</v>
      </c>
      <c r="D4150" s="7" t="str">
        <f t="shared" si="1473"/>
        <v>公営住宅</v>
      </c>
      <c r="E4150" s="7" t="str">
        <f t="shared" si="1471"/>
        <v>大阪府高槻市津之江町３丁目</v>
      </c>
      <c r="F4150" s="7"/>
      <c r="G4150" s="7" t="str">
        <f t="shared" si="1457"/>
        <v>事業用資産</v>
      </c>
      <c r="H4150" s="7" t="str">
        <f t="shared" si="1454"/>
        <v>棚卸以外</v>
      </c>
      <c r="I4150" s="7">
        <v>11</v>
      </c>
      <c r="J4150" s="7" t="str">
        <f>"１２号棟"</f>
        <v>１２号棟</v>
      </c>
      <c r="K4150" s="7" t="str">
        <f t="shared" si="1468"/>
        <v>鉄筋コンクリート造</v>
      </c>
      <c r="L4150" s="7" t="str">
        <f>"H08.09.26"</f>
        <v>H08.09.26</v>
      </c>
      <c r="M4150" s="7">
        <v>1687.66</v>
      </c>
      <c r="N4150" s="7">
        <v>299935939</v>
      </c>
      <c r="O4150" s="7">
        <v>168958488</v>
      </c>
      <c r="P4150" s="7">
        <v>0</v>
      </c>
      <c r="Q4150" s="7" t="str">
        <f t="shared" si="1460"/>
        <v>都市整備部</v>
      </c>
      <c r="R4150" s="7" t="str">
        <f t="shared" si="1458"/>
        <v>住宅建築局住宅経営室</v>
      </c>
    </row>
    <row r="4151" spans="1:18" s="1" customFormat="1" x14ac:dyDescent="0.45">
      <c r="A4151" s="7" t="str">
        <f t="shared" si="1469"/>
        <v>09940003563</v>
      </c>
      <c r="B4151" s="7" t="str">
        <f t="shared" si="1470"/>
        <v>高槻津之江</v>
      </c>
      <c r="C4151" s="7" t="str">
        <f t="shared" si="1459"/>
        <v>行政財産</v>
      </c>
      <c r="D4151" s="7" t="str">
        <f t="shared" si="1473"/>
        <v>公営住宅</v>
      </c>
      <c r="E4151" s="7" t="str">
        <f t="shared" si="1471"/>
        <v>大阪府高槻市津之江町３丁目</v>
      </c>
      <c r="F4151" s="7"/>
      <c r="G4151" s="7" t="str">
        <f t="shared" si="1457"/>
        <v>事業用資産</v>
      </c>
      <c r="H4151" s="7" t="str">
        <f t="shared" si="1454"/>
        <v>棚卸以外</v>
      </c>
      <c r="I4151" s="7">
        <v>12</v>
      </c>
      <c r="J4151" s="7" t="str">
        <f>"９号棟"</f>
        <v>９号棟</v>
      </c>
      <c r="K4151" s="7" t="str">
        <f t="shared" si="1468"/>
        <v>鉄筋コンクリート造</v>
      </c>
      <c r="L4151" s="7" t="str">
        <f>"H08.09.26"</f>
        <v>H08.09.26</v>
      </c>
      <c r="M4151" s="7">
        <v>1246.6199999999999</v>
      </c>
      <c r="N4151" s="7">
        <v>220953000</v>
      </c>
      <c r="O4151" s="7">
        <v>124579998</v>
      </c>
      <c r="P4151" s="7">
        <v>0</v>
      </c>
      <c r="Q4151" s="7" t="str">
        <f t="shared" si="1460"/>
        <v>都市整備部</v>
      </c>
      <c r="R4151" s="7" t="str">
        <f t="shared" si="1458"/>
        <v>住宅建築局住宅経営室</v>
      </c>
    </row>
    <row r="4152" spans="1:18" s="1" customFormat="1" x14ac:dyDescent="0.45">
      <c r="A4152" s="7" t="str">
        <f t="shared" si="1469"/>
        <v>09940003563</v>
      </c>
      <c r="B4152" s="7" t="str">
        <f t="shared" si="1470"/>
        <v>高槻津之江</v>
      </c>
      <c r="C4152" s="7" t="str">
        <f t="shared" si="1459"/>
        <v>行政財産</v>
      </c>
      <c r="D4152" s="7" t="str">
        <f t="shared" si="1473"/>
        <v>公営住宅</v>
      </c>
      <c r="E4152" s="7" t="str">
        <f t="shared" si="1471"/>
        <v>大阪府高槻市津之江町３丁目</v>
      </c>
      <c r="F4152" s="7"/>
      <c r="G4152" s="7" t="str">
        <f t="shared" si="1457"/>
        <v>事業用資産</v>
      </c>
      <c r="H4152" s="7" t="str">
        <f t="shared" si="1454"/>
        <v>棚卸以外</v>
      </c>
      <c r="I4152" s="7">
        <v>13</v>
      </c>
      <c r="J4152" s="7" t="str">
        <f>"１３号棟"</f>
        <v>１３号棟</v>
      </c>
      <c r="K4152" s="7" t="str">
        <f t="shared" si="1468"/>
        <v>鉄筋コンクリート造</v>
      </c>
      <c r="L4152" s="7" t="str">
        <f>"H08.09.26"</f>
        <v>H08.09.26</v>
      </c>
      <c r="M4152" s="7">
        <v>858.84</v>
      </c>
      <c r="N4152" s="7">
        <v>121837000</v>
      </c>
      <c r="O4152" s="7">
        <v>68695632</v>
      </c>
      <c r="P4152" s="7">
        <v>0</v>
      </c>
      <c r="Q4152" s="7" t="str">
        <f t="shared" si="1460"/>
        <v>都市整備部</v>
      </c>
      <c r="R4152" s="7" t="str">
        <f t="shared" si="1458"/>
        <v>住宅建築局住宅経営室</v>
      </c>
    </row>
    <row r="4153" spans="1:18" s="1" customFormat="1" x14ac:dyDescent="0.45">
      <c r="A4153" s="7" t="str">
        <f t="shared" ref="A4153:A4185" si="1474">"09940003564"</f>
        <v>09940003564</v>
      </c>
      <c r="B4153" s="7" t="str">
        <f t="shared" ref="B4153:B4185" si="1475">"河内長野木戸"</f>
        <v>河内長野木戸</v>
      </c>
      <c r="C4153" s="7" t="str">
        <f t="shared" si="1459"/>
        <v>行政財産</v>
      </c>
      <c r="D4153" s="7" t="str">
        <f t="shared" si="1473"/>
        <v>公営住宅</v>
      </c>
      <c r="E4153" s="7" t="str">
        <f t="shared" ref="E4153:E4185" si="1476">"大阪府河内長野市木戸東町"</f>
        <v>大阪府河内長野市木戸東町</v>
      </c>
      <c r="F4153" s="7"/>
      <c r="G4153" s="7" t="str">
        <f t="shared" si="1457"/>
        <v>事業用資産</v>
      </c>
      <c r="H4153" s="7" t="str">
        <f t="shared" si="1454"/>
        <v>棚卸以外</v>
      </c>
      <c r="I4153" s="7">
        <v>1</v>
      </c>
      <c r="J4153" s="7" t="str">
        <f>"４号棟"</f>
        <v>４号棟</v>
      </c>
      <c r="K4153" s="7" t="str">
        <f t="shared" si="1468"/>
        <v>鉄筋コンクリート造</v>
      </c>
      <c r="L4153" s="7" t="str">
        <f>"H02.10.29"</f>
        <v>H02.10.29</v>
      </c>
      <c r="M4153" s="7">
        <v>2182.73</v>
      </c>
      <c r="N4153" s="7">
        <v>272899200</v>
      </c>
      <c r="O4153" s="7">
        <v>187713506</v>
      </c>
      <c r="P4153" s="7">
        <v>0</v>
      </c>
      <c r="Q4153" s="7" t="str">
        <f t="shared" si="1460"/>
        <v>都市整備部</v>
      </c>
      <c r="R4153" s="7" t="str">
        <f t="shared" si="1458"/>
        <v>住宅建築局住宅経営室</v>
      </c>
    </row>
    <row r="4154" spans="1:18" s="1" customFormat="1" x14ac:dyDescent="0.45">
      <c r="A4154" s="7" t="str">
        <f t="shared" si="1474"/>
        <v>09940003564</v>
      </c>
      <c r="B4154" s="7" t="str">
        <f t="shared" si="1475"/>
        <v>河内長野木戸</v>
      </c>
      <c r="C4154" s="7" t="str">
        <f t="shared" si="1459"/>
        <v>行政財産</v>
      </c>
      <c r="D4154" s="7" t="str">
        <f t="shared" si="1473"/>
        <v>公営住宅</v>
      </c>
      <c r="E4154" s="7" t="str">
        <f t="shared" si="1476"/>
        <v>大阪府河内長野市木戸東町</v>
      </c>
      <c r="F4154" s="7"/>
      <c r="G4154" s="7" t="str">
        <f t="shared" si="1457"/>
        <v>事業用資産</v>
      </c>
      <c r="H4154" s="7" t="str">
        <f t="shared" si="1454"/>
        <v>棚卸以外</v>
      </c>
      <c r="I4154" s="7">
        <v>2</v>
      </c>
      <c r="J4154" s="7" t="str">
        <f>"５号棟"</f>
        <v>５号棟</v>
      </c>
      <c r="K4154" s="7" t="str">
        <f t="shared" si="1468"/>
        <v>鉄筋コンクリート造</v>
      </c>
      <c r="L4154" s="7" t="str">
        <f>"H02.10.29"</f>
        <v>H02.10.29</v>
      </c>
      <c r="M4154" s="7">
        <v>1752.44</v>
      </c>
      <c r="N4154" s="7">
        <v>207872600</v>
      </c>
      <c r="O4154" s="7">
        <v>143118546</v>
      </c>
      <c r="P4154" s="7">
        <v>0</v>
      </c>
      <c r="Q4154" s="7" t="str">
        <f t="shared" si="1460"/>
        <v>都市整備部</v>
      </c>
      <c r="R4154" s="7" t="str">
        <f t="shared" si="1458"/>
        <v>住宅建築局住宅経営室</v>
      </c>
    </row>
    <row r="4155" spans="1:18" s="1" customFormat="1" x14ac:dyDescent="0.45">
      <c r="A4155" s="7" t="str">
        <f t="shared" si="1474"/>
        <v>09940003564</v>
      </c>
      <c r="B4155" s="7" t="str">
        <f t="shared" si="1475"/>
        <v>河内長野木戸</v>
      </c>
      <c r="C4155" s="7" t="str">
        <f t="shared" si="1459"/>
        <v>行政財産</v>
      </c>
      <c r="D4155" s="7" t="str">
        <f t="shared" si="1473"/>
        <v>公営住宅</v>
      </c>
      <c r="E4155" s="7" t="str">
        <f t="shared" si="1476"/>
        <v>大阪府河内長野市木戸東町</v>
      </c>
      <c r="F4155" s="7"/>
      <c r="G4155" s="7" t="str">
        <f t="shared" si="1457"/>
        <v>事業用資産</v>
      </c>
      <c r="H4155" s="7" t="str">
        <f t="shared" si="1454"/>
        <v>棚卸以外</v>
      </c>
      <c r="I4155" s="7">
        <v>3</v>
      </c>
      <c r="J4155" s="7" t="str">
        <f>"６号棟"</f>
        <v>６号棟</v>
      </c>
      <c r="K4155" s="7" t="str">
        <f t="shared" si="1468"/>
        <v>鉄筋コンクリート造</v>
      </c>
      <c r="L4155" s="7" t="str">
        <f>"H02.10.29"</f>
        <v>H02.10.29</v>
      </c>
      <c r="M4155" s="7">
        <v>2120.09</v>
      </c>
      <c r="N4155" s="7">
        <v>264640000</v>
      </c>
      <c r="O4155" s="7">
        <v>182526580</v>
      </c>
      <c r="P4155" s="7">
        <v>0</v>
      </c>
      <c r="Q4155" s="7" t="str">
        <f t="shared" si="1460"/>
        <v>都市整備部</v>
      </c>
      <c r="R4155" s="7" t="str">
        <f t="shared" si="1458"/>
        <v>住宅建築局住宅経営室</v>
      </c>
    </row>
    <row r="4156" spans="1:18" s="1" customFormat="1" x14ac:dyDescent="0.45">
      <c r="A4156" s="7" t="str">
        <f t="shared" si="1474"/>
        <v>09940003564</v>
      </c>
      <c r="B4156" s="7" t="str">
        <f t="shared" si="1475"/>
        <v>河内長野木戸</v>
      </c>
      <c r="C4156" s="7" t="str">
        <f t="shared" si="1459"/>
        <v>行政財産</v>
      </c>
      <c r="D4156" s="7" t="str">
        <f t="shared" si="1473"/>
        <v>公営住宅</v>
      </c>
      <c r="E4156" s="7" t="str">
        <f t="shared" si="1476"/>
        <v>大阪府河内長野市木戸東町</v>
      </c>
      <c r="F4156" s="7"/>
      <c r="G4156" s="7" t="str">
        <f t="shared" si="1457"/>
        <v>事業用資産</v>
      </c>
      <c r="H4156" s="7" t="str">
        <f t="shared" si="1454"/>
        <v>棚卸以外</v>
      </c>
      <c r="I4156" s="7">
        <v>4</v>
      </c>
      <c r="J4156" s="7" t="str">
        <f>"受水槽"</f>
        <v>受水槽</v>
      </c>
      <c r="K4156" s="7" t="str">
        <f t="shared" si="1468"/>
        <v>鉄筋コンクリート造</v>
      </c>
      <c r="L4156" s="7" t="str">
        <f>"H02.10.29"</f>
        <v>H02.10.29</v>
      </c>
      <c r="M4156" s="7">
        <v>163.28</v>
      </c>
      <c r="N4156" s="7">
        <v>52203000</v>
      </c>
      <c r="O4156" s="7">
        <v>36005451</v>
      </c>
      <c r="P4156" s="7">
        <v>0</v>
      </c>
      <c r="Q4156" s="7" t="str">
        <f t="shared" si="1460"/>
        <v>都市整備部</v>
      </c>
      <c r="R4156" s="7" t="str">
        <f t="shared" si="1458"/>
        <v>住宅建築局住宅経営室</v>
      </c>
    </row>
    <row r="4157" spans="1:18" s="1" customFormat="1" x14ac:dyDescent="0.45">
      <c r="A4157" s="7" t="str">
        <f t="shared" si="1474"/>
        <v>09940003564</v>
      </c>
      <c r="B4157" s="7" t="str">
        <f t="shared" si="1475"/>
        <v>河内長野木戸</v>
      </c>
      <c r="C4157" s="7" t="str">
        <f t="shared" si="1459"/>
        <v>行政財産</v>
      </c>
      <c r="D4157" s="7" t="str">
        <f t="shared" si="1473"/>
        <v>公営住宅</v>
      </c>
      <c r="E4157" s="7" t="str">
        <f t="shared" si="1476"/>
        <v>大阪府河内長野市木戸東町</v>
      </c>
      <c r="F4157" s="7"/>
      <c r="G4157" s="7" t="str">
        <f t="shared" si="1457"/>
        <v>事業用資産</v>
      </c>
      <c r="H4157" s="7" t="str">
        <f t="shared" si="1454"/>
        <v>棚卸以外</v>
      </c>
      <c r="I4157" s="7">
        <v>5</v>
      </c>
      <c r="J4157" s="7" t="str">
        <f>"７号棟"</f>
        <v>７号棟</v>
      </c>
      <c r="K4157" s="7" t="str">
        <f t="shared" si="1468"/>
        <v>鉄筋コンクリート造</v>
      </c>
      <c r="L4157" s="7" t="str">
        <f>"H02.10.29"</f>
        <v>H02.10.29</v>
      </c>
      <c r="M4157" s="7">
        <v>4734.03</v>
      </c>
      <c r="N4157" s="7">
        <v>688586109</v>
      </c>
      <c r="O4157" s="7">
        <v>468766729</v>
      </c>
      <c r="P4157" s="7">
        <v>0</v>
      </c>
      <c r="Q4157" s="7" t="str">
        <f t="shared" si="1460"/>
        <v>都市整備部</v>
      </c>
      <c r="R4157" s="7" t="str">
        <f t="shared" si="1458"/>
        <v>住宅建築局住宅経営室</v>
      </c>
    </row>
    <row r="4158" spans="1:18" s="1" customFormat="1" x14ac:dyDescent="0.45">
      <c r="A4158" s="7" t="str">
        <f t="shared" si="1474"/>
        <v>09940003564</v>
      </c>
      <c r="B4158" s="7" t="str">
        <f t="shared" si="1475"/>
        <v>河内長野木戸</v>
      </c>
      <c r="C4158" s="7" t="str">
        <f t="shared" si="1459"/>
        <v>行政財産</v>
      </c>
      <c r="D4158" s="7" t="str">
        <f t="shared" si="1473"/>
        <v>公営住宅</v>
      </c>
      <c r="E4158" s="7" t="str">
        <f t="shared" si="1476"/>
        <v>大阪府河内長野市木戸東町</v>
      </c>
      <c r="F4158" s="7"/>
      <c r="G4158" s="7" t="str">
        <f t="shared" si="1457"/>
        <v>事業用資産</v>
      </c>
      <c r="H4158" s="7" t="str">
        <f t="shared" si="1454"/>
        <v>棚卸以外</v>
      </c>
      <c r="I4158" s="7">
        <v>6</v>
      </c>
      <c r="J4158" s="7" t="str">
        <f>"１号棟"</f>
        <v>１号棟</v>
      </c>
      <c r="K4158" s="7" t="str">
        <f t="shared" si="1468"/>
        <v>鉄筋コンクリート造</v>
      </c>
      <c r="L4158" s="7" t="str">
        <f>"H04.06.29"</f>
        <v>H04.06.29</v>
      </c>
      <c r="M4158" s="7">
        <v>1751.79</v>
      </c>
      <c r="N4158" s="7">
        <v>270322800</v>
      </c>
      <c r="O4158" s="7">
        <v>176199714</v>
      </c>
      <c r="P4158" s="7">
        <v>0</v>
      </c>
      <c r="Q4158" s="7" t="str">
        <f t="shared" si="1460"/>
        <v>都市整備部</v>
      </c>
      <c r="R4158" s="7" t="str">
        <f t="shared" si="1458"/>
        <v>住宅建築局住宅経営室</v>
      </c>
    </row>
    <row r="4159" spans="1:18" s="1" customFormat="1" x14ac:dyDescent="0.45">
      <c r="A4159" s="7" t="str">
        <f t="shared" si="1474"/>
        <v>09940003564</v>
      </c>
      <c r="B4159" s="7" t="str">
        <f t="shared" si="1475"/>
        <v>河内長野木戸</v>
      </c>
      <c r="C4159" s="7" t="str">
        <f t="shared" si="1459"/>
        <v>行政財産</v>
      </c>
      <c r="D4159" s="7" t="str">
        <f t="shared" si="1473"/>
        <v>公営住宅</v>
      </c>
      <c r="E4159" s="7" t="str">
        <f t="shared" si="1476"/>
        <v>大阪府河内長野市木戸東町</v>
      </c>
      <c r="F4159" s="7"/>
      <c r="G4159" s="7" t="str">
        <f t="shared" si="1457"/>
        <v>事業用資産</v>
      </c>
      <c r="H4159" s="7" t="str">
        <f t="shared" si="1454"/>
        <v>棚卸以外</v>
      </c>
      <c r="I4159" s="7">
        <v>7</v>
      </c>
      <c r="J4159" s="7" t="str">
        <f>"２号棟"</f>
        <v>２号棟</v>
      </c>
      <c r="K4159" s="7" t="str">
        <f>"鉄筋"</f>
        <v>鉄筋</v>
      </c>
      <c r="L4159" s="7" t="str">
        <f>"H04.06.29"</f>
        <v>H04.06.29</v>
      </c>
      <c r="M4159" s="7">
        <v>2120.09</v>
      </c>
      <c r="N4159" s="7">
        <v>315186000</v>
      </c>
      <c r="O4159" s="7">
        <v>206212329</v>
      </c>
      <c r="P4159" s="7">
        <v>0</v>
      </c>
      <c r="Q4159" s="7" t="str">
        <f t="shared" si="1460"/>
        <v>都市整備部</v>
      </c>
      <c r="R4159" s="7" t="str">
        <f t="shared" si="1458"/>
        <v>住宅建築局住宅経営室</v>
      </c>
    </row>
    <row r="4160" spans="1:18" s="1" customFormat="1" x14ac:dyDescent="0.45">
      <c r="A4160" s="7" t="str">
        <f t="shared" si="1474"/>
        <v>09940003564</v>
      </c>
      <c r="B4160" s="7" t="str">
        <f t="shared" si="1475"/>
        <v>河内長野木戸</v>
      </c>
      <c r="C4160" s="7" t="str">
        <f t="shared" si="1459"/>
        <v>行政財産</v>
      </c>
      <c r="D4160" s="7" t="str">
        <f t="shared" si="1473"/>
        <v>公営住宅</v>
      </c>
      <c r="E4160" s="7" t="str">
        <f t="shared" si="1476"/>
        <v>大阪府河内長野市木戸東町</v>
      </c>
      <c r="F4160" s="7"/>
      <c r="G4160" s="7" t="str">
        <f t="shared" si="1457"/>
        <v>事業用資産</v>
      </c>
      <c r="H4160" s="7" t="str">
        <f t="shared" si="1454"/>
        <v>棚卸以外</v>
      </c>
      <c r="I4160" s="7">
        <v>8</v>
      </c>
      <c r="J4160" s="7" t="str">
        <f>"３号棟"</f>
        <v>３号棟</v>
      </c>
      <c r="K4160" s="7" t="str">
        <f t="shared" ref="K4160:K4191" si="1477">"鉄筋コンクリート造"</f>
        <v>鉄筋コンクリート造</v>
      </c>
      <c r="L4160" s="7" t="str">
        <f>"H04.06.29"</f>
        <v>H04.06.29</v>
      </c>
      <c r="M4160" s="7">
        <v>1792.16</v>
      </c>
      <c r="N4160" s="7">
        <v>262147800</v>
      </c>
      <c r="O4160" s="7">
        <v>170851059</v>
      </c>
      <c r="P4160" s="7">
        <v>0</v>
      </c>
      <c r="Q4160" s="7" t="str">
        <f t="shared" si="1460"/>
        <v>都市整備部</v>
      </c>
      <c r="R4160" s="7" t="str">
        <f t="shared" si="1458"/>
        <v>住宅建築局住宅経営室</v>
      </c>
    </row>
    <row r="4161" spans="1:18" s="1" customFormat="1" x14ac:dyDescent="0.45">
      <c r="A4161" s="7" t="str">
        <f t="shared" si="1474"/>
        <v>09940003564</v>
      </c>
      <c r="B4161" s="7" t="str">
        <f t="shared" si="1475"/>
        <v>河内長野木戸</v>
      </c>
      <c r="C4161" s="7" t="str">
        <f t="shared" si="1459"/>
        <v>行政財産</v>
      </c>
      <c r="D4161" s="7" t="str">
        <f t="shared" si="1473"/>
        <v>公営住宅</v>
      </c>
      <c r="E4161" s="7" t="str">
        <f t="shared" si="1476"/>
        <v>大阪府河内長野市木戸東町</v>
      </c>
      <c r="F4161" s="7"/>
      <c r="G4161" s="7" t="str">
        <f t="shared" si="1457"/>
        <v>事業用資産</v>
      </c>
      <c r="H4161" s="7" t="str">
        <f t="shared" si="1454"/>
        <v>棚卸以外</v>
      </c>
      <c r="I4161" s="7">
        <v>9</v>
      </c>
      <c r="J4161" s="7" t="str">
        <f>"集会所"</f>
        <v>集会所</v>
      </c>
      <c r="K4161" s="7" t="str">
        <f t="shared" si="1477"/>
        <v>鉄筋コンクリート造</v>
      </c>
      <c r="L4161" s="7" t="str">
        <f>"H04.06.29"</f>
        <v>H04.06.29</v>
      </c>
      <c r="M4161" s="7">
        <v>149.75</v>
      </c>
      <c r="N4161" s="7">
        <v>36167000</v>
      </c>
      <c r="O4161" s="7">
        <v>23662494</v>
      </c>
      <c r="P4161" s="7">
        <v>0</v>
      </c>
      <c r="Q4161" s="7" t="str">
        <f t="shared" si="1460"/>
        <v>都市整備部</v>
      </c>
      <c r="R4161" s="7" t="str">
        <f t="shared" si="1458"/>
        <v>住宅建築局住宅経営室</v>
      </c>
    </row>
    <row r="4162" spans="1:18" s="1" customFormat="1" x14ac:dyDescent="0.45">
      <c r="A4162" s="7" t="str">
        <f t="shared" si="1474"/>
        <v>09940003564</v>
      </c>
      <c r="B4162" s="7" t="str">
        <f t="shared" si="1475"/>
        <v>河内長野木戸</v>
      </c>
      <c r="C4162" s="7" t="str">
        <f t="shared" si="1459"/>
        <v>行政財産</v>
      </c>
      <c r="D4162" s="7" t="str">
        <f t="shared" si="1473"/>
        <v>公営住宅</v>
      </c>
      <c r="E4162" s="7" t="str">
        <f t="shared" si="1476"/>
        <v>大阪府河内長野市木戸東町</v>
      </c>
      <c r="F4162" s="7"/>
      <c r="G4162" s="7" t="str">
        <f t="shared" si="1457"/>
        <v>事業用資産</v>
      </c>
      <c r="H4162" s="7" t="str">
        <f t="shared" si="1454"/>
        <v>棚卸以外</v>
      </c>
      <c r="I4162" s="7">
        <v>10</v>
      </c>
      <c r="J4162" s="7" t="str">
        <f>"８号棟"</f>
        <v>８号棟</v>
      </c>
      <c r="K4162" s="7" t="str">
        <f t="shared" si="1477"/>
        <v>鉄筋コンクリート造</v>
      </c>
      <c r="L4162" s="7" t="str">
        <f t="shared" ref="L4162:L4168" si="1478">"H06.03.30"</f>
        <v>H06.03.30</v>
      </c>
      <c r="M4162" s="7">
        <v>5558.86</v>
      </c>
      <c r="N4162" s="7">
        <v>978452200</v>
      </c>
      <c r="O4162" s="7">
        <v>603310548</v>
      </c>
      <c r="P4162" s="7">
        <v>0</v>
      </c>
      <c r="Q4162" s="7" t="str">
        <f t="shared" si="1460"/>
        <v>都市整備部</v>
      </c>
      <c r="R4162" s="7" t="str">
        <f t="shared" si="1458"/>
        <v>住宅建築局住宅経営室</v>
      </c>
    </row>
    <row r="4163" spans="1:18" s="1" customFormat="1" x14ac:dyDescent="0.45">
      <c r="A4163" s="7" t="str">
        <f t="shared" si="1474"/>
        <v>09940003564</v>
      </c>
      <c r="B4163" s="7" t="str">
        <f t="shared" si="1475"/>
        <v>河内長野木戸</v>
      </c>
      <c r="C4163" s="7" t="str">
        <f t="shared" si="1459"/>
        <v>行政財産</v>
      </c>
      <c r="D4163" s="7" t="str">
        <f t="shared" si="1473"/>
        <v>公営住宅</v>
      </c>
      <c r="E4163" s="7" t="str">
        <f t="shared" si="1476"/>
        <v>大阪府河内長野市木戸東町</v>
      </c>
      <c r="F4163" s="7"/>
      <c r="G4163" s="7" t="str">
        <f t="shared" si="1457"/>
        <v>事業用資産</v>
      </c>
      <c r="H4163" s="7" t="str">
        <f t="shared" si="1454"/>
        <v>棚卸以外</v>
      </c>
      <c r="I4163" s="7">
        <v>11</v>
      </c>
      <c r="J4163" s="7" t="str">
        <f>"９号棟"</f>
        <v>９号棟</v>
      </c>
      <c r="K4163" s="7" t="str">
        <f t="shared" si="1477"/>
        <v>鉄筋コンクリート造</v>
      </c>
      <c r="L4163" s="7" t="str">
        <f t="shared" si="1478"/>
        <v>H06.03.30</v>
      </c>
      <c r="M4163" s="7">
        <v>2186.14</v>
      </c>
      <c r="N4163" s="7">
        <v>337372200</v>
      </c>
      <c r="O4163" s="7">
        <v>207750780</v>
      </c>
      <c r="P4163" s="7">
        <v>0</v>
      </c>
      <c r="Q4163" s="7" t="str">
        <f t="shared" si="1460"/>
        <v>都市整備部</v>
      </c>
      <c r="R4163" s="7" t="str">
        <f t="shared" si="1458"/>
        <v>住宅建築局住宅経営室</v>
      </c>
    </row>
    <row r="4164" spans="1:18" s="1" customFormat="1" x14ac:dyDescent="0.45">
      <c r="A4164" s="7" t="str">
        <f t="shared" si="1474"/>
        <v>09940003564</v>
      </c>
      <c r="B4164" s="7" t="str">
        <f t="shared" si="1475"/>
        <v>河内長野木戸</v>
      </c>
      <c r="C4164" s="7" t="str">
        <f t="shared" si="1459"/>
        <v>行政財産</v>
      </c>
      <c r="D4164" s="7" t="str">
        <f t="shared" si="1473"/>
        <v>公営住宅</v>
      </c>
      <c r="E4164" s="7" t="str">
        <f t="shared" si="1476"/>
        <v>大阪府河内長野市木戸東町</v>
      </c>
      <c r="F4164" s="7"/>
      <c r="G4164" s="7" t="str">
        <f t="shared" si="1457"/>
        <v>事業用資産</v>
      </c>
      <c r="H4164" s="7" t="str">
        <f t="shared" ref="H4164:H4227" si="1479">"棚卸以外"</f>
        <v>棚卸以外</v>
      </c>
      <c r="I4164" s="7">
        <v>12</v>
      </c>
      <c r="J4164" s="7" t="str">
        <f>"１０号棟"</f>
        <v>１０号棟</v>
      </c>
      <c r="K4164" s="7" t="str">
        <f t="shared" si="1477"/>
        <v>鉄筋コンクリート造</v>
      </c>
      <c r="L4164" s="7" t="str">
        <f t="shared" si="1478"/>
        <v>H06.03.30</v>
      </c>
      <c r="M4164" s="7">
        <v>1305.92</v>
      </c>
      <c r="N4164" s="7">
        <v>224568000</v>
      </c>
      <c r="O4164" s="7">
        <v>138563508</v>
      </c>
      <c r="P4164" s="7">
        <v>0</v>
      </c>
      <c r="Q4164" s="7" t="str">
        <f t="shared" si="1460"/>
        <v>都市整備部</v>
      </c>
      <c r="R4164" s="7" t="str">
        <f t="shared" si="1458"/>
        <v>住宅建築局住宅経営室</v>
      </c>
    </row>
    <row r="4165" spans="1:18" s="1" customFormat="1" x14ac:dyDescent="0.45">
      <c r="A4165" s="7" t="str">
        <f t="shared" si="1474"/>
        <v>09940003564</v>
      </c>
      <c r="B4165" s="7" t="str">
        <f t="shared" si="1475"/>
        <v>河内長野木戸</v>
      </c>
      <c r="C4165" s="7" t="str">
        <f t="shared" si="1459"/>
        <v>行政財産</v>
      </c>
      <c r="D4165" s="7" t="str">
        <f t="shared" si="1473"/>
        <v>公営住宅</v>
      </c>
      <c r="E4165" s="7" t="str">
        <f t="shared" si="1476"/>
        <v>大阪府河内長野市木戸東町</v>
      </c>
      <c r="F4165" s="7"/>
      <c r="G4165" s="7" t="str">
        <f t="shared" si="1457"/>
        <v>事業用資産</v>
      </c>
      <c r="H4165" s="7" t="str">
        <f t="shared" si="1479"/>
        <v>棚卸以外</v>
      </c>
      <c r="I4165" s="7">
        <v>13</v>
      </c>
      <c r="J4165" s="7" t="str">
        <f>"１１号棟"</f>
        <v>１１号棟</v>
      </c>
      <c r="K4165" s="7" t="str">
        <f t="shared" si="1477"/>
        <v>鉄筋コンクリート造</v>
      </c>
      <c r="L4165" s="7" t="str">
        <f t="shared" si="1478"/>
        <v>H06.03.30</v>
      </c>
      <c r="M4165" s="7">
        <v>1554.83</v>
      </c>
      <c r="N4165" s="7">
        <v>271719284</v>
      </c>
      <c r="O4165" s="7">
        <v>174048505</v>
      </c>
      <c r="P4165" s="7">
        <v>0</v>
      </c>
      <c r="Q4165" s="7" t="str">
        <f t="shared" si="1460"/>
        <v>都市整備部</v>
      </c>
      <c r="R4165" s="7" t="str">
        <f t="shared" si="1458"/>
        <v>住宅建築局住宅経営室</v>
      </c>
    </row>
    <row r="4166" spans="1:18" s="1" customFormat="1" x14ac:dyDescent="0.45">
      <c r="A4166" s="7" t="str">
        <f t="shared" si="1474"/>
        <v>09940003564</v>
      </c>
      <c r="B4166" s="7" t="str">
        <f t="shared" si="1475"/>
        <v>河内長野木戸</v>
      </c>
      <c r="C4166" s="7" t="str">
        <f t="shared" si="1459"/>
        <v>行政財産</v>
      </c>
      <c r="D4166" s="7" t="str">
        <f t="shared" si="1473"/>
        <v>公営住宅</v>
      </c>
      <c r="E4166" s="7" t="str">
        <f t="shared" si="1476"/>
        <v>大阪府河内長野市木戸東町</v>
      </c>
      <c r="F4166" s="7"/>
      <c r="G4166" s="7" t="str">
        <f t="shared" si="1457"/>
        <v>事業用資産</v>
      </c>
      <c r="H4166" s="7" t="str">
        <f t="shared" si="1479"/>
        <v>棚卸以外</v>
      </c>
      <c r="I4166" s="7">
        <v>14</v>
      </c>
      <c r="J4166" s="7" t="str">
        <f>"１２号棟"</f>
        <v>１２号棟</v>
      </c>
      <c r="K4166" s="7" t="str">
        <f t="shared" si="1477"/>
        <v>鉄筋コンクリート造</v>
      </c>
      <c r="L4166" s="7" t="str">
        <f t="shared" si="1478"/>
        <v>H06.03.30</v>
      </c>
      <c r="M4166" s="7">
        <v>1300.1300000000001</v>
      </c>
      <c r="N4166" s="7">
        <v>207413200</v>
      </c>
      <c r="O4166" s="7">
        <v>127563228</v>
      </c>
      <c r="P4166" s="7">
        <v>0</v>
      </c>
      <c r="Q4166" s="7" t="str">
        <f t="shared" si="1460"/>
        <v>都市整備部</v>
      </c>
      <c r="R4166" s="7" t="str">
        <f t="shared" si="1458"/>
        <v>住宅建築局住宅経営室</v>
      </c>
    </row>
    <row r="4167" spans="1:18" s="1" customFormat="1" x14ac:dyDescent="0.45">
      <c r="A4167" s="7" t="str">
        <f t="shared" si="1474"/>
        <v>09940003564</v>
      </c>
      <c r="B4167" s="7" t="str">
        <f t="shared" si="1475"/>
        <v>河内長野木戸</v>
      </c>
      <c r="C4167" s="7" t="str">
        <f t="shared" si="1459"/>
        <v>行政財産</v>
      </c>
      <c r="D4167" s="7" t="str">
        <f t="shared" si="1473"/>
        <v>公営住宅</v>
      </c>
      <c r="E4167" s="7" t="str">
        <f t="shared" si="1476"/>
        <v>大阪府河内長野市木戸東町</v>
      </c>
      <c r="F4167" s="7"/>
      <c r="G4167" s="7" t="str">
        <f t="shared" si="1457"/>
        <v>事業用資産</v>
      </c>
      <c r="H4167" s="7" t="str">
        <f t="shared" si="1479"/>
        <v>棚卸以外</v>
      </c>
      <c r="I4167" s="7">
        <v>15</v>
      </c>
      <c r="J4167" s="7" t="str">
        <f>"１３号棟"</f>
        <v>１３号棟</v>
      </c>
      <c r="K4167" s="7" t="str">
        <f t="shared" si="1477"/>
        <v>鉄筋コンクリート造</v>
      </c>
      <c r="L4167" s="7" t="str">
        <f t="shared" si="1478"/>
        <v>H06.03.30</v>
      </c>
      <c r="M4167" s="7">
        <v>1447</v>
      </c>
      <c r="N4167" s="7">
        <v>199620000</v>
      </c>
      <c r="O4167" s="7">
        <v>123170076</v>
      </c>
      <c r="P4167" s="7">
        <v>0</v>
      </c>
      <c r="Q4167" s="7" t="str">
        <f t="shared" si="1460"/>
        <v>都市整備部</v>
      </c>
      <c r="R4167" s="7" t="str">
        <f t="shared" si="1458"/>
        <v>住宅建築局住宅経営室</v>
      </c>
    </row>
    <row r="4168" spans="1:18" s="1" customFormat="1" x14ac:dyDescent="0.45">
      <c r="A4168" s="7" t="str">
        <f t="shared" si="1474"/>
        <v>09940003564</v>
      </c>
      <c r="B4168" s="7" t="str">
        <f t="shared" si="1475"/>
        <v>河内長野木戸</v>
      </c>
      <c r="C4168" s="7" t="str">
        <f t="shared" si="1459"/>
        <v>行政財産</v>
      </c>
      <c r="D4168" s="7" t="str">
        <f t="shared" si="1473"/>
        <v>公営住宅</v>
      </c>
      <c r="E4168" s="7" t="str">
        <f t="shared" si="1476"/>
        <v>大阪府河内長野市木戸東町</v>
      </c>
      <c r="F4168" s="7"/>
      <c r="G4168" s="7" t="str">
        <f t="shared" si="1457"/>
        <v>事業用資産</v>
      </c>
      <c r="H4168" s="7" t="str">
        <f t="shared" si="1479"/>
        <v>棚卸以外</v>
      </c>
      <c r="I4168" s="7">
        <v>16</v>
      </c>
      <c r="J4168" s="7" t="str">
        <f>"１４号棟"</f>
        <v>１４号棟</v>
      </c>
      <c r="K4168" s="7" t="str">
        <f t="shared" si="1477"/>
        <v>鉄筋コンクリート造</v>
      </c>
      <c r="L4168" s="7" t="str">
        <f t="shared" si="1478"/>
        <v>H06.03.30</v>
      </c>
      <c r="M4168" s="7">
        <v>2347.86</v>
      </c>
      <c r="N4168" s="7">
        <v>398513725</v>
      </c>
      <c r="O4168" s="7">
        <v>255954144</v>
      </c>
      <c r="P4168" s="7">
        <v>0</v>
      </c>
      <c r="Q4168" s="7" t="str">
        <f t="shared" si="1460"/>
        <v>都市整備部</v>
      </c>
      <c r="R4168" s="7" t="str">
        <f t="shared" si="1458"/>
        <v>住宅建築局住宅経営室</v>
      </c>
    </row>
    <row r="4169" spans="1:18" s="1" customFormat="1" x14ac:dyDescent="0.45">
      <c r="A4169" s="7" t="str">
        <f t="shared" si="1474"/>
        <v>09940003564</v>
      </c>
      <c r="B4169" s="7" t="str">
        <f t="shared" si="1475"/>
        <v>河内長野木戸</v>
      </c>
      <c r="C4169" s="7" t="str">
        <f t="shared" si="1459"/>
        <v>行政財産</v>
      </c>
      <c r="D4169" s="7" t="str">
        <f t="shared" si="1473"/>
        <v>公営住宅</v>
      </c>
      <c r="E4169" s="7" t="str">
        <f t="shared" si="1476"/>
        <v>大阪府河内長野市木戸東町</v>
      </c>
      <c r="F4169" s="7"/>
      <c r="G4169" s="7" t="str">
        <f t="shared" si="1457"/>
        <v>事業用資産</v>
      </c>
      <c r="H4169" s="7" t="str">
        <f t="shared" si="1479"/>
        <v>棚卸以外</v>
      </c>
      <c r="I4169" s="7">
        <v>17</v>
      </c>
      <c r="J4169" s="7" t="str">
        <f>"１９号棟"</f>
        <v>１９号棟</v>
      </c>
      <c r="K4169" s="7" t="str">
        <f t="shared" si="1477"/>
        <v>鉄筋コンクリート造</v>
      </c>
      <c r="L4169" s="7" t="str">
        <f t="shared" ref="L4169:L4174" si="1480">"H08.09.20"</f>
        <v>H08.09.20</v>
      </c>
      <c r="M4169" s="7">
        <v>5120.5200000000004</v>
      </c>
      <c r="N4169" s="7">
        <v>907996181</v>
      </c>
      <c r="O4169" s="7">
        <v>510114201</v>
      </c>
      <c r="P4169" s="7">
        <v>0</v>
      </c>
      <c r="Q4169" s="7" t="str">
        <f t="shared" si="1460"/>
        <v>都市整備部</v>
      </c>
      <c r="R4169" s="7" t="str">
        <f t="shared" si="1458"/>
        <v>住宅建築局住宅経営室</v>
      </c>
    </row>
    <row r="4170" spans="1:18" s="1" customFormat="1" x14ac:dyDescent="0.45">
      <c r="A4170" s="7" t="str">
        <f t="shared" si="1474"/>
        <v>09940003564</v>
      </c>
      <c r="B4170" s="7" t="str">
        <f t="shared" si="1475"/>
        <v>河内長野木戸</v>
      </c>
      <c r="C4170" s="7" t="str">
        <f t="shared" si="1459"/>
        <v>行政財産</v>
      </c>
      <c r="D4170" s="7" t="str">
        <f t="shared" si="1473"/>
        <v>公営住宅</v>
      </c>
      <c r="E4170" s="7" t="str">
        <f t="shared" si="1476"/>
        <v>大阪府河内長野市木戸東町</v>
      </c>
      <c r="F4170" s="7"/>
      <c r="G4170" s="7" t="str">
        <f t="shared" si="1457"/>
        <v>事業用資産</v>
      </c>
      <c r="H4170" s="7" t="str">
        <f t="shared" si="1479"/>
        <v>棚卸以外</v>
      </c>
      <c r="I4170" s="7">
        <v>18</v>
      </c>
      <c r="J4170" s="7" t="str">
        <f>"１７号棟"</f>
        <v>１７号棟</v>
      </c>
      <c r="K4170" s="7" t="str">
        <f t="shared" si="1477"/>
        <v>鉄筋コンクリート造</v>
      </c>
      <c r="L4170" s="7" t="str">
        <f t="shared" si="1480"/>
        <v>H08.09.20</v>
      </c>
      <c r="M4170" s="7">
        <v>3312.05</v>
      </c>
      <c r="N4170" s="7">
        <v>591018981</v>
      </c>
      <c r="O4170" s="7">
        <v>331282767</v>
      </c>
      <c r="P4170" s="7">
        <v>0</v>
      </c>
      <c r="Q4170" s="7" t="str">
        <f t="shared" si="1460"/>
        <v>都市整備部</v>
      </c>
      <c r="R4170" s="7" t="str">
        <f t="shared" si="1458"/>
        <v>住宅建築局住宅経営室</v>
      </c>
    </row>
    <row r="4171" spans="1:18" s="1" customFormat="1" x14ac:dyDescent="0.45">
      <c r="A4171" s="7" t="str">
        <f t="shared" si="1474"/>
        <v>09940003564</v>
      </c>
      <c r="B4171" s="7" t="str">
        <f t="shared" si="1475"/>
        <v>河内長野木戸</v>
      </c>
      <c r="C4171" s="7" t="str">
        <f t="shared" si="1459"/>
        <v>行政財産</v>
      </c>
      <c r="D4171" s="7" t="str">
        <f t="shared" si="1473"/>
        <v>公営住宅</v>
      </c>
      <c r="E4171" s="7" t="str">
        <f t="shared" si="1476"/>
        <v>大阪府河内長野市木戸東町</v>
      </c>
      <c r="F4171" s="7"/>
      <c r="G4171" s="7" t="str">
        <f t="shared" si="1457"/>
        <v>事業用資産</v>
      </c>
      <c r="H4171" s="7" t="str">
        <f t="shared" si="1479"/>
        <v>棚卸以外</v>
      </c>
      <c r="I4171" s="7">
        <v>19</v>
      </c>
      <c r="J4171" s="7" t="str">
        <f>"１５号棟"</f>
        <v>１５号棟</v>
      </c>
      <c r="K4171" s="7" t="str">
        <f t="shared" si="1477"/>
        <v>鉄筋コンクリート造</v>
      </c>
      <c r="L4171" s="7" t="str">
        <f t="shared" si="1480"/>
        <v>H08.09.20</v>
      </c>
      <c r="M4171" s="7">
        <v>1915.69</v>
      </c>
      <c r="N4171" s="7">
        <v>378453180</v>
      </c>
      <c r="O4171" s="7">
        <v>211796493</v>
      </c>
      <c r="P4171" s="7">
        <v>0</v>
      </c>
      <c r="Q4171" s="7" t="str">
        <f t="shared" si="1460"/>
        <v>都市整備部</v>
      </c>
      <c r="R4171" s="7" t="str">
        <f t="shared" si="1458"/>
        <v>住宅建築局住宅経営室</v>
      </c>
    </row>
    <row r="4172" spans="1:18" s="1" customFormat="1" x14ac:dyDescent="0.45">
      <c r="A4172" s="7" t="str">
        <f t="shared" si="1474"/>
        <v>09940003564</v>
      </c>
      <c r="B4172" s="7" t="str">
        <f t="shared" si="1475"/>
        <v>河内長野木戸</v>
      </c>
      <c r="C4172" s="7" t="str">
        <f t="shared" si="1459"/>
        <v>行政財産</v>
      </c>
      <c r="D4172" s="7" t="str">
        <f t="shared" si="1473"/>
        <v>公営住宅</v>
      </c>
      <c r="E4172" s="7" t="str">
        <f t="shared" si="1476"/>
        <v>大阪府河内長野市木戸東町</v>
      </c>
      <c r="F4172" s="7"/>
      <c r="G4172" s="7" t="str">
        <f t="shared" si="1457"/>
        <v>事業用資産</v>
      </c>
      <c r="H4172" s="7" t="str">
        <f t="shared" si="1479"/>
        <v>棚卸以外</v>
      </c>
      <c r="I4172" s="7">
        <v>20</v>
      </c>
      <c r="J4172" s="7" t="str">
        <f>"１６号棟"</f>
        <v>１６号棟</v>
      </c>
      <c r="K4172" s="7" t="str">
        <f t="shared" si="1477"/>
        <v>鉄筋コンクリート造</v>
      </c>
      <c r="L4172" s="7" t="str">
        <f t="shared" si="1480"/>
        <v>H08.09.20</v>
      </c>
      <c r="M4172" s="7">
        <v>2439.63</v>
      </c>
      <c r="N4172" s="7">
        <v>445355400</v>
      </c>
      <c r="O4172" s="7">
        <v>250922352</v>
      </c>
      <c r="P4172" s="7">
        <v>0</v>
      </c>
      <c r="Q4172" s="7" t="str">
        <f t="shared" si="1460"/>
        <v>都市整備部</v>
      </c>
      <c r="R4172" s="7" t="str">
        <f t="shared" si="1458"/>
        <v>住宅建築局住宅経営室</v>
      </c>
    </row>
    <row r="4173" spans="1:18" s="1" customFormat="1" x14ac:dyDescent="0.45">
      <c r="A4173" s="7" t="str">
        <f t="shared" si="1474"/>
        <v>09940003564</v>
      </c>
      <c r="B4173" s="7" t="str">
        <f t="shared" si="1475"/>
        <v>河内長野木戸</v>
      </c>
      <c r="C4173" s="7" t="str">
        <f t="shared" si="1459"/>
        <v>行政財産</v>
      </c>
      <c r="D4173" s="7" t="str">
        <f t="shared" si="1473"/>
        <v>公営住宅</v>
      </c>
      <c r="E4173" s="7" t="str">
        <f t="shared" si="1476"/>
        <v>大阪府河内長野市木戸東町</v>
      </c>
      <c r="F4173" s="7"/>
      <c r="G4173" s="7" t="str">
        <f t="shared" si="1457"/>
        <v>事業用資産</v>
      </c>
      <c r="H4173" s="7" t="str">
        <f t="shared" si="1479"/>
        <v>棚卸以外</v>
      </c>
      <c r="I4173" s="7">
        <v>21</v>
      </c>
      <c r="J4173" s="7" t="str">
        <f>"１８号棟"</f>
        <v>１８号棟</v>
      </c>
      <c r="K4173" s="7" t="str">
        <f t="shared" si="1477"/>
        <v>鉄筋コンクリート造</v>
      </c>
      <c r="L4173" s="7" t="str">
        <f t="shared" si="1480"/>
        <v>H08.09.20</v>
      </c>
      <c r="M4173" s="7">
        <v>4275.7</v>
      </c>
      <c r="N4173" s="7">
        <v>725648581</v>
      </c>
      <c r="O4173" s="7">
        <v>407354727</v>
      </c>
      <c r="P4173" s="7">
        <v>0</v>
      </c>
      <c r="Q4173" s="7" t="str">
        <f t="shared" si="1460"/>
        <v>都市整備部</v>
      </c>
      <c r="R4173" s="7" t="str">
        <f t="shared" si="1458"/>
        <v>住宅建築局住宅経営室</v>
      </c>
    </row>
    <row r="4174" spans="1:18" s="1" customFormat="1" x14ac:dyDescent="0.45">
      <c r="A4174" s="7" t="str">
        <f t="shared" si="1474"/>
        <v>09940003564</v>
      </c>
      <c r="B4174" s="7" t="str">
        <f t="shared" si="1475"/>
        <v>河内長野木戸</v>
      </c>
      <c r="C4174" s="7" t="str">
        <f t="shared" si="1459"/>
        <v>行政財産</v>
      </c>
      <c r="D4174" s="7" t="str">
        <f t="shared" si="1473"/>
        <v>公営住宅</v>
      </c>
      <c r="E4174" s="7" t="str">
        <f t="shared" si="1476"/>
        <v>大阪府河内長野市木戸東町</v>
      </c>
      <c r="F4174" s="7"/>
      <c r="G4174" s="7" t="str">
        <f t="shared" si="1457"/>
        <v>事業用資産</v>
      </c>
      <c r="H4174" s="7" t="str">
        <f t="shared" si="1479"/>
        <v>棚卸以外</v>
      </c>
      <c r="I4174" s="7">
        <v>22</v>
      </c>
      <c r="J4174" s="7" t="str">
        <f>"集会所・受水槽・電気室"</f>
        <v>集会所・受水槽・電気室</v>
      </c>
      <c r="K4174" s="7" t="str">
        <f t="shared" si="1477"/>
        <v>鉄筋コンクリート造</v>
      </c>
      <c r="L4174" s="7" t="str">
        <f t="shared" si="1480"/>
        <v>H08.09.20</v>
      </c>
      <c r="M4174" s="7">
        <v>341.76</v>
      </c>
      <c r="N4174" s="7">
        <v>167333000</v>
      </c>
      <c r="O4174" s="7">
        <v>94347420</v>
      </c>
      <c r="P4174" s="7">
        <v>0</v>
      </c>
      <c r="Q4174" s="7" t="str">
        <f t="shared" si="1460"/>
        <v>都市整備部</v>
      </c>
      <c r="R4174" s="7" t="str">
        <f t="shared" si="1458"/>
        <v>住宅建築局住宅経営室</v>
      </c>
    </row>
    <row r="4175" spans="1:18" s="1" customFormat="1" x14ac:dyDescent="0.45">
      <c r="A4175" s="7" t="str">
        <f t="shared" si="1474"/>
        <v>09940003564</v>
      </c>
      <c r="B4175" s="7" t="str">
        <f t="shared" si="1475"/>
        <v>河内長野木戸</v>
      </c>
      <c r="C4175" s="7" t="str">
        <f t="shared" si="1459"/>
        <v>行政財産</v>
      </c>
      <c r="D4175" s="7" t="str">
        <f t="shared" si="1473"/>
        <v>公営住宅</v>
      </c>
      <c r="E4175" s="7" t="str">
        <f t="shared" si="1476"/>
        <v>大阪府河内長野市木戸東町</v>
      </c>
      <c r="F4175" s="7"/>
      <c r="G4175" s="7" t="str">
        <f t="shared" si="1457"/>
        <v>事業用資産</v>
      </c>
      <c r="H4175" s="7" t="str">
        <f t="shared" si="1479"/>
        <v>棚卸以外</v>
      </c>
      <c r="I4175" s="7">
        <v>23</v>
      </c>
      <c r="J4175" s="7" t="str">
        <f>"汚水処理場"</f>
        <v>汚水処理場</v>
      </c>
      <c r="K4175" s="7" t="str">
        <f t="shared" si="1477"/>
        <v>鉄筋コンクリート造</v>
      </c>
      <c r="L4175" s="7" t="str">
        <f>"H02.10.29"</f>
        <v>H02.10.29</v>
      </c>
      <c r="M4175" s="7">
        <v>144.19</v>
      </c>
      <c r="N4175" s="7">
        <v>82862000</v>
      </c>
      <c r="O4175" s="7">
        <v>57151491</v>
      </c>
      <c r="P4175" s="7">
        <v>0</v>
      </c>
      <c r="Q4175" s="7" t="str">
        <f t="shared" si="1460"/>
        <v>都市整備部</v>
      </c>
      <c r="R4175" s="7" t="str">
        <f t="shared" si="1458"/>
        <v>住宅建築局住宅経営室</v>
      </c>
    </row>
    <row r="4176" spans="1:18" s="1" customFormat="1" x14ac:dyDescent="0.45">
      <c r="A4176" s="7" t="str">
        <f t="shared" si="1474"/>
        <v>09940003564</v>
      </c>
      <c r="B4176" s="7" t="str">
        <f t="shared" si="1475"/>
        <v>河内長野木戸</v>
      </c>
      <c r="C4176" s="7" t="str">
        <f t="shared" si="1459"/>
        <v>行政財産</v>
      </c>
      <c r="D4176" s="7" t="str">
        <f t="shared" si="1473"/>
        <v>公営住宅</v>
      </c>
      <c r="E4176" s="7" t="str">
        <f t="shared" si="1476"/>
        <v>大阪府河内長野市木戸東町</v>
      </c>
      <c r="F4176" s="7"/>
      <c r="G4176" s="7" t="str">
        <f t="shared" si="1457"/>
        <v>事業用資産</v>
      </c>
      <c r="H4176" s="7" t="str">
        <f t="shared" si="1479"/>
        <v>棚卸以外</v>
      </c>
      <c r="I4176" s="7">
        <v>24</v>
      </c>
      <c r="J4176" s="7" t="str">
        <f>"受水槽・電気室"</f>
        <v>受水槽・電気室</v>
      </c>
      <c r="K4176" s="7" t="str">
        <f t="shared" si="1477"/>
        <v>鉄筋コンクリート造</v>
      </c>
      <c r="L4176" s="7" t="str">
        <f>"H02.10.29"</f>
        <v>H02.10.29</v>
      </c>
      <c r="M4176" s="7">
        <v>163.28</v>
      </c>
      <c r="N4176" s="7">
        <v>53247000</v>
      </c>
      <c r="O4176" s="7">
        <v>36725490</v>
      </c>
      <c r="P4176" s="7">
        <v>0</v>
      </c>
      <c r="Q4176" s="7" t="str">
        <f t="shared" si="1460"/>
        <v>都市整備部</v>
      </c>
      <c r="R4176" s="7" t="str">
        <f t="shared" si="1458"/>
        <v>住宅建築局住宅経営室</v>
      </c>
    </row>
    <row r="4177" spans="1:18" s="1" customFormat="1" x14ac:dyDescent="0.45">
      <c r="A4177" s="7" t="str">
        <f t="shared" si="1474"/>
        <v>09940003564</v>
      </c>
      <c r="B4177" s="7" t="str">
        <f t="shared" si="1475"/>
        <v>河内長野木戸</v>
      </c>
      <c r="C4177" s="7" t="str">
        <f t="shared" si="1459"/>
        <v>行政財産</v>
      </c>
      <c r="D4177" s="7" t="str">
        <f t="shared" si="1473"/>
        <v>公営住宅</v>
      </c>
      <c r="E4177" s="7" t="str">
        <f t="shared" si="1476"/>
        <v>大阪府河内長野市木戸東町</v>
      </c>
      <c r="F4177" s="7"/>
      <c r="G4177" s="7" t="str">
        <f t="shared" si="1457"/>
        <v>事業用資産</v>
      </c>
      <c r="H4177" s="7" t="str">
        <f t="shared" si="1479"/>
        <v>棚卸以外</v>
      </c>
      <c r="I4177" s="7">
        <v>25</v>
      </c>
      <c r="J4177" s="7" t="str">
        <f>"２０号棟"</f>
        <v>２０号棟</v>
      </c>
      <c r="K4177" s="7" t="str">
        <f t="shared" si="1477"/>
        <v>鉄筋コンクリート造</v>
      </c>
      <c r="L4177" s="7" t="str">
        <f t="shared" ref="L4177:L4185" si="1481">"H09.11.20"</f>
        <v>H09.11.20</v>
      </c>
      <c r="M4177" s="7">
        <v>2285.13</v>
      </c>
      <c r="N4177" s="7">
        <v>438982514</v>
      </c>
      <c r="O4177" s="7">
        <v>235276863</v>
      </c>
      <c r="P4177" s="7">
        <v>0</v>
      </c>
      <c r="Q4177" s="7" t="str">
        <f t="shared" si="1460"/>
        <v>都市整備部</v>
      </c>
      <c r="R4177" s="7" t="str">
        <f t="shared" si="1458"/>
        <v>住宅建築局住宅経営室</v>
      </c>
    </row>
    <row r="4178" spans="1:18" s="1" customFormat="1" x14ac:dyDescent="0.45">
      <c r="A4178" s="7" t="str">
        <f t="shared" si="1474"/>
        <v>09940003564</v>
      </c>
      <c r="B4178" s="7" t="str">
        <f t="shared" si="1475"/>
        <v>河内長野木戸</v>
      </c>
      <c r="C4178" s="7" t="str">
        <f t="shared" si="1459"/>
        <v>行政財産</v>
      </c>
      <c r="D4178" s="7" t="str">
        <f t="shared" si="1473"/>
        <v>公営住宅</v>
      </c>
      <c r="E4178" s="7" t="str">
        <f t="shared" si="1476"/>
        <v>大阪府河内長野市木戸東町</v>
      </c>
      <c r="F4178" s="7"/>
      <c r="G4178" s="7" t="str">
        <f t="shared" si="1457"/>
        <v>事業用資産</v>
      </c>
      <c r="H4178" s="7" t="str">
        <f t="shared" si="1479"/>
        <v>棚卸以外</v>
      </c>
      <c r="I4178" s="7">
        <v>26</v>
      </c>
      <c r="J4178" s="7" t="str">
        <f>"２１号棟"</f>
        <v>２１号棟</v>
      </c>
      <c r="K4178" s="7" t="str">
        <f t="shared" si="1477"/>
        <v>鉄筋コンクリート造</v>
      </c>
      <c r="L4178" s="7" t="str">
        <f t="shared" si="1481"/>
        <v>H09.11.20</v>
      </c>
      <c r="M4178" s="7">
        <v>918.55</v>
      </c>
      <c r="N4178" s="7">
        <v>189680000</v>
      </c>
      <c r="O4178" s="7">
        <v>102239152</v>
      </c>
      <c r="P4178" s="7">
        <v>0</v>
      </c>
      <c r="Q4178" s="7" t="str">
        <f t="shared" si="1460"/>
        <v>都市整備部</v>
      </c>
      <c r="R4178" s="7" t="str">
        <f t="shared" si="1458"/>
        <v>住宅建築局住宅経営室</v>
      </c>
    </row>
    <row r="4179" spans="1:18" s="1" customFormat="1" x14ac:dyDescent="0.45">
      <c r="A4179" s="7" t="str">
        <f t="shared" si="1474"/>
        <v>09940003564</v>
      </c>
      <c r="B4179" s="7" t="str">
        <f t="shared" si="1475"/>
        <v>河内長野木戸</v>
      </c>
      <c r="C4179" s="7" t="str">
        <f t="shared" si="1459"/>
        <v>行政財産</v>
      </c>
      <c r="D4179" s="7" t="str">
        <f t="shared" si="1473"/>
        <v>公営住宅</v>
      </c>
      <c r="E4179" s="7" t="str">
        <f t="shared" si="1476"/>
        <v>大阪府河内長野市木戸東町</v>
      </c>
      <c r="F4179" s="7"/>
      <c r="G4179" s="7" t="str">
        <f t="shared" si="1457"/>
        <v>事業用資産</v>
      </c>
      <c r="H4179" s="7" t="str">
        <f t="shared" si="1479"/>
        <v>棚卸以外</v>
      </c>
      <c r="I4179" s="7">
        <v>27</v>
      </c>
      <c r="J4179" s="7" t="str">
        <f>"２２号棟"</f>
        <v>２２号棟</v>
      </c>
      <c r="K4179" s="7" t="str">
        <f t="shared" si="1477"/>
        <v>鉄筋コンクリート造</v>
      </c>
      <c r="L4179" s="7" t="str">
        <f t="shared" si="1481"/>
        <v>H09.11.20</v>
      </c>
      <c r="M4179" s="7">
        <v>4839.3599999999997</v>
      </c>
      <c r="N4179" s="7">
        <v>956649514</v>
      </c>
      <c r="O4179" s="7">
        <v>514302959</v>
      </c>
      <c r="P4179" s="7">
        <v>0</v>
      </c>
      <c r="Q4179" s="7" t="str">
        <f t="shared" si="1460"/>
        <v>都市整備部</v>
      </c>
      <c r="R4179" s="7" t="str">
        <f t="shared" si="1458"/>
        <v>住宅建築局住宅経営室</v>
      </c>
    </row>
    <row r="4180" spans="1:18" s="1" customFormat="1" x14ac:dyDescent="0.45">
      <c r="A4180" s="7" t="str">
        <f t="shared" si="1474"/>
        <v>09940003564</v>
      </c>
      <c r="B4180" s="7" t="str">
        <f t="shared" si="1475"/>
        <v>河内長野木戸</v>
      </c>
      <c r="C4180" s="7" t="str">
        <f t="shared" si="1459"/>
        <v>行政財産</v>
      </c>
      <c r="D4180" s="7" t="str">
        <f t="shared" si="1473"/>
        <v>公営住宅</v>
      </c>
      <c r="E4180" s="7" t="str">
        <f t="shared" si="1476"/>
        <v>大阪府河内長野市木戸東町</v>
      </c>
      <c r="F4180" s="7"/>
      <c r="G4180" s="7" t="str">
        <f t="shared" si="1457"/>
        <v>事業用資産</v>
      </c>
      <c r="H4180" s="7" t="str">
        <f t="shared" si="1479"/>
        <v>棚卸以外</v>
      </c>
      <c r="I4180" s="7">
        <v>28</v>
      </c>
      <c r="J4180" s="7" t="str">
        <f>"２３号棟"</f>
        <v>２３号棟</v>
      </c>
      <c r="K4180" s="7" t="str">
        <f t="shared" si="1477"/>
        <v>鉄筋コンクリート造</v>
      </c>
      <c r="L4180" s="7" t="str">
        <f t="shared" si="1481"/>
        <v>H09.11.20</v>
      </c>
      <c r="M4180" s="7">
        <v>5583.87</v>
      </c>
      <c r="N4180" s="7">
        <v>1028242029</v>
      </c>
      <c r="O4180" s="7">
        <v>551553918</v>
      </c>
      <c r="P4180" s="7">
        <v>0</v>
      </c>
      <c r="Q4180" s="7" t="str">
        <f t="shared" si="1460"/>
        <v>都市整備部</v>
      </c>
      <c r="R4180" s="7" t="str">
        <f t="shared" si="1458"/>
        <v>住宅建築局住宅経営室</v>
      </c>
    </row>
    <row r="4181" spans="1:18" s="1" customFormat="1" x14ac:dyDescent="0.45">
      <c r="A4181" s="7" t="str">
        <f t="shared" si="1474"/>
        <v>09940003564</v>
      </c>
      <c r="B4181" s="7" t="str">
        <f t="shared" si="1475"/>
        <v>河内長野木戸</v>
      </c>
      <c r="C4181" s="7" t="str">
        <f t="shared" si="1459"/>
        <v>行政財産</v>
      </c>
      <c r="D4181" s="7" t="str">
        <f t="shared" si="1473"/>
        <v>公営住宅</v>
      </c>
      <c r="E4181" s="7" t="str">
        <f t="shared" si="1476"/>
        <v>大阪府河内長野市木戸東町</v>
      </c>
      <c r="F4181" s="7"/>
      <c r="G4181" s="7" t="str">
        <f t="shared" si="1457"/>
        <v>事業用資産</v>
      </c>
      <c r="H4181" s="7" t="str">
        <f t="shared" si="1479"/>
        <v>棚卸以外</v>
      </c>
      <c r="I4181" s="7">
        <v>29</v>
      </c>
      <c r="J4181" s="7" t="str">
        <f>"２４号棟"</f>
        <v>２４号棟</v>
      </c>
      <c r="K4181" s="7" t="str">
        <f t="shared" si="1477"/>
        <v>鉄筋コンクリート造</v>
      </c>
      <c r="L4181" s="7" t="str">
        <f t="shared" si="1481"/>
        <v>H09.11.20</v>
      </c>
      <c r="M4181" s="7">
        <v>4416.71</v>
      </c>
      <c r="N4181" s="7">
        <v>909776514</v>
      </c>
      <c r="O4181" s="7">
        <v>489038127</v>
      </c>
      <c r="P4181" s="7">
        <v>0</v>
      </c>
      <c r="Q4181" s="7" t="str">
        <f t="shared" si="1460"/>
        <v>都市整備部</v>
      </c>
      <c r="R4181" s="7" t="str">
        <f t="shared" si="1458"/>
        <v>住宅建築局住宅経営室</v>
      </c>
    </row>
    <row r="4182" spans="1:18" s="1" customFormat="1" x14ac:dyDescent="0.45">
      <c r="A4182" s="7" t="str">
        <f t="shared" si="1474"/>
        <v>09940003564</v>
      </c>
      <c r="B4182" s="7" t="str">
        <f t="shared" si="1475"/>
        <v>河内長野木戸</v>
      </c>
      <c r="C4182" s="7" t="str">
        <f t="shared" si="1459"/>
        <v>行政財産</v>
      </c>
      <c r="D4182" s="7" t="str">
        <f t="shared" si="1473"/>
        <v>公営住宅</v>
      </c>
      <c r="E4182" s="7" t="str">
        <f t="shared" si="1476"/>
        <v>大阪府河内長野市木戸東町</v>
      </c>
      <c r="F4182" s="7"/>
      <c r="G4182" s="7" t="str">
        <f t="shared" si="1457"/>
        <v>事業用資産</v>
      </c>
      <c r="H4182" s="7" t="str">
        <f t="shared" si="1479"/>
        <v>棚卸以外</v>
      </c>
      <c r="I4182" s="7">
        <v>30</v>
      </c>
      <c r="J4182" s="7" t="str">
        <f>"２５号棟"</f>
        <v>２５号棟</v>
      </c>
      <c r="K4182" s="7" t="str">
        <f t="shared" si="1477"/>
        <v>鉄筋コンクリート造</v>
      </c>
      <c r="L4182" s="7" t="str">
        <f t="shared" si="1481"/>
        <v>H09.11.20</v>
      </c>
      <c r="M4182" s="7">
        <v>6062.51</v>
      </c>
      <c r="N4182" s="7">
        <v>1170244514</v>
      </c>
      <c r="O4182" s="7">
        <v>629432319</v>
      </c>
      <c r="P4182" s="7">
        <v>0</v>
      </c>
      <c r="Q4182" s="7" t="str">
        <f t="shared" si="1460"/>
        <v>都市整備部</v>
      </c>
      <c r="R4182" s="7" t="str">
        <f t="shared" si="1458"/>
        <v>住宅建築局住宅経営室</v>
      </c>
    </row>
    <row r="4183" spans="1:18" s="1" customFormat="1" x14ac:dyDescent="0.45">
      <c r="A4183" s="7" t="str">
        <f t="shared" si="1474"/>
        <v>09940003564</v>
      </c>
      <c r="B4183" s="7" t="str">
        <f t="shared" si="1475"/>
        <v>河内長野木戸</v>
      </c>
      <c r="C4183" s="7" t="str">
        <f t="shared" si="1459"/>
        <v>行政財産</v>
      </c>
      <c r="D4183" s="7" t="str">
        <f t="shared" si="1473"/>
        <v>公営住宅</v>
      </c>
      <c r="E4183" s="7" t="str">
        <f t="shared" si="1476"/>
        <v>大阪府河内長野市木戸東町</v>
      </c>
      <c r="F4183" s="7"/>
      <c r="G4183" s="7" t="str">
        <f t="shared" ref="G4183:G4246" si="1482">"事業用資産"</f>
        <v>事業用資産</v>
      </c>
      <c r="H4183" s="7" t="str">
        <f t="shared" si="1479"/>
        <v>棚卸以外</v>
      </c>
      <c r="I4183" s="7">
        <v>31</v>
      </c>
      <c r="J4183" s="7" t="str">
        <f>"受水槽ポンプ室・電気室"</f>
        <v>受水槽ポンプ室・電気室</v>
      </c>
      <c r="K4183" s="7" t="str">
        <f t="shared" si="1477"/>
        <v>鉄筋コンクリート造</v>
      </c>
      <c r="L4183" s="7" t="str">
        <f t="shared" si="1481"/>
        <v>H09.11.20</v>
      </c>
      <c r="M4183" s="7">
        <v>198.09</v>
      </c>
      <c r="N4183" s="7">
        <v>78470000</v>
      </c>
      <c r="O4183" s="7">
        <v>42296128</v>
      </c>
      <c r="P4183" s="7">
        <v>0</v>
      </c>
      <c r="Q4183" s="7" t="str">
        <f t="shared" si="1460"/>
        <v>都市整備部</v>
      </c>
      <c r="R4183" s="7" t="str">
        <f t="shared" si="1458"/>
        <v>住宅建築局住宅経営室</v>
      </c>
    </row>
    <row r="4184" spans="1:18" s="1" customFormat="1" x14ac:dyDescent="0.45">
      <c r="A4184" s="7" t="str">
        <f t="shared" si="1474"/>
        <v>09940003564</v>
      </c>
      <c r="B4184" s="7" t="str">
        <f t="shared" si="1475"/>
        <v>河内長野木戸</v>
      </c>
      <c r="C4184" s="7" t="str">
        <f t="shared" si="1459"/>
        <v>行政財産</v>
      </c>
      <c r="D4184" s="7" t="str">
        <f t="shared" si="1473"/>
        <v>公営住宅</v>
      </c>
      <c r="E4184" s="7" t="str">
        <f t="shared" si="1476"/>
        <v>大阪府河内長野市木戸東町</v>
      </c>
      <c r="F4184" s="7"/>
      <c r="G4184" s="7" t="str">
        <f t="shared" si="1482"/>
        <v>事業用資産</v>
      </c>
      <c r="H4184" s="7" t="str">
        <f t="shared" si="1479"/>
        <v>棚卸以外</v>
      </c>
      <c r="I4184" s="7">
        <v>32</v>
      </c>
      <c r="J4184" s="7" t="str">
        <f>"電気室"</f>
        <v>電気室</v>
      </c>
      <c r="K4184" s="7" t="str">
        <f t="shared" si="1477"/>
        <v>鉄筋コンクリート造</v>
      </c>
      <c r="L4184" s="7" t="str">
        <f t="shared" si="1481"/>
        <v>H09.11.20</v>
      </c>
      <c r="M4184" s="7">
        <v>67.239999999999995</v>
      </c>
      <c r="N4184" s="7">
        <v>13931000</v>
      </c>
      <c r="O4184" s="7">
        <v>7509104</v>
      </c>
      <c r="P4184" s="7">
        <v>0</v>
      </c>
      <c r="Q4184" s="7" t="str">
        <f t="shared" si="1460"/>
        <v>都市整備部</v>
      </c>
      <c r="R4184" s="7" t="str">
        <f t="shared" ref="R4184:R4247" si="1483">"住宅建築局住宅経営室"</f>
        <v>住宅建築局住宅経営室</v>
      </c>
    </row>
    <row r="4185" spans="1:18" s="1" customFormat="1" x14ac:dyDescent="0.45">
      <c r="A4185" s="7" t="str">
        <f t="shared" si="1474"/>
        <v>09940003564</v>
      </c>
      <c r="B4185" s="7" t="str">
        <f t="shared" si="1475"/>
        <v>河内長野木戸</v>
      </c>
      <c r="C4185" s="7" t="str">
        <f t="shared" si="1459"/>
        <v>行政財産</v>
      </c>
      <c r="D4185" s="7" t="str">
        <f t="shared" si="1473"/>
        <v>公営住宅</v>
      </c>
      <c r="E4185" s="7" t="str">
        <f t="shared" si="1476"/>
        <v>大阪府河内長野市木戸東町</v>
      </c>
      <c r="F4185" s="7"/>
      <c r="G4185" s="7" t="str">
        <f t="shared" si="1482"/>
        <v>事業用資産</v>
      </c>
      <c r="H4185" s="7" t="str">
        <f t="shared" si="1479"/>
        <v>棚卸以外</v>
      </c>
      <c r="I4185" s="7">
        <v>33</v>
      </c>
      <c r="J4185" s="7" t="str">
        <f>"集会所"</f>
        <v>集会所</v>
      </c>
      <c r="K4185" s="7" t="str">
        <f t="shared" si="1477"/>
        <v>鉄筋コンクリート造</v>
      </c>
      <c r="L4185" s="7" t="str">
        <f t="shared" si="1481"/>
        <v>H09.11.20</v>
      </c>
      <c r="M4185" s="7">
        <v>129.24</v>
      </c>
      <c r="N4185" s="7">
        <v>43658000</v>
      </c>
      <c r="O4185" s="7">
        <v>23532032</v>
      </c>
      <c r="P4185" s="7">
        <v>0</v>
      </c>
      <c r="Q4185" s="7" t="str">
        <f t="shared" si="1460"/>
        <v>都市整備部</v>
      </c>
      <c r="R4185" s="7" t="str">
        <f t="shared" si="1483"/>
        <v>住宅建築局住宅経営室</v>
      </c>
    </row>
    <row r="4186" spans="1:18" s="1" customFormat="1" x14ac:dyDescent="0.45">
      <c r="A4186" s="7" t="str">
        <f>"09940003565"</f>
        <v>09940003565</v>
      </c>
      <c r="B4186" s="7" t="str">
        <f>"守口佐太東"</f>
        <v>守口佐太東</v>
      </c>
      <c r="C4186" s="7" t="str">
        <f t="shared" ref="C4186:C4249" si="1484">"行政財産"</f>
        <v>行政財産</v>
      </c>
      <c r="D4186" s="7" t="str">
        <f t="shared" si="1473"/>
        <v>公営住宅</v>
      </c>
      <c r="E4186" s="7" t="str">
        <f>"大阪府守口市佐太東町１丁目"</f>
        <v>大阪府守口市佐太東町１丁目</v>
      </c>
      <c r="F4186" s="7"/>
      <c r="G4186" s="7" t="str">
        <f t="shared" si="1482"/>
        <v>事業用資産</v>
      </c>
      <c r="H4186" s="7" t="str">
        <f t="shared" si="1479"/>
        <v>棚卸以外</v>
      </c>
      <c r="I4186" s="7">
        <v>1</v>
      </c>
      <c r="J4186" s="7" t="str">
        <f>"１号棟"</f>
        <v>１号棟</v>
      </c>
      <c r="K4186" s="7" t="str">
        <f t="shared" si="1477"/>
        <v>鉄筋コンクリート造</v>
      </c>
      <c r="L4186" s="7" t="str">
        <f>"H14.09.30"</f>
        <v>H14.09.30</v>
      </c>
      <c r="M4186" s="7">
        <v>4373.7</v>
      </c>
      <c r="N4186" s="7">
        <v>619753048</v>
      </c>
      <c r="O4186" s="7">
        <v>269426082</v>
      </c>
      <c r="P4186" s="7">
        <v>0</v>
      </c>
      <c r="Q4186" s="7" t="str">
        <f t="shared" si="1460"/>
        <v>都市整備部</v>
      </c>
      <c r="R4186" s="7" t="str">
        <f t="shared" si="1483"/>
        <v>住宅建築局住宅経営室</v>
      </c>
    </row>
    <row r="4187" spans="1:18" s="1" customFormat="1" x14ac:dyDescent="0.45">
      <c r="A4187" s="7" t="str">
        <f>"09940003565"</f>
        <v>09940003565</v>
      </c>
      <c r="B4187" s="7" t="str">
        <f>"守口佐太東"</f>
        <v>守口佐太東</v>
      </c>
      <c r="C4187" s="7" t="str">
        <f t="shared" si="1484"/>
        <v>行政財産</v>
      </c>
      <c r="D4187" s="7" t="str">
        <f t="shared" si="1473"/>
        <v>公営住宅</v>
      </c>
      <c r="E4187" s="7" t="str">
        <f>"大阪府守口市佐太東町１丁目"</f>
        <v>大阪府守口市佐太東町１丁目</v>
      </c>
      <c r="F4187" s="7"/>
      <c r="G4187" s="7" t="str">
        <f t="shared" si="1482"/>
        <v>事業用資産</v>
      </c>
      <c r="H4187" s="7" t="str">
        <f t="shared" si="1479"/>
        <v>棚卸以外</v>
      </c>
      <c r="I4187" s="7">
        <v>2</v>
      </c>
      <c r="J4187" s="7" t="str">
        <f>"２号棟"</f>
        <v>２号棟</v>
      </c>
      <c r="K4187" s="7" t="str">
        <f t="shared" si="1477"/>
        <v>鉄筋コンクリート造</v>
      </c>
      <c r="L4187" s="7" t="str">
        <f>"H14.09.30"</f>
        <v>H14.09.30</v>
      </c>
      <c r="M4187" s="7">
        <v>4933.1400000000003</v>
      </c>
      <c r="N4187" s="7">
        <v>651741048</v>
      </c>
      <c r="O4187" s="7">
        <v>283378218</v>
      </c>
      <c r="P4187" s="7">
        <v>0</v>
      </c>
      <c r="Q4187" s="7" t="str">
        <f t="shared" ref="Q4187:Q4250" si="1485">"都市整備部"</f>
        <v>都市整備部</v>
      </c>
      <c r="R4187" s="7" t="str">
        <f t="shared" si="1483"/>
        <v>住宅建築局住宅経営室</v>
      </c>
    </row>
    <row r="4188" spans="1:18" s="1" customFormat="1" x14ac:dyDescent="0.45">
      <c r="A4188" s="7" t="str">
        <f>"09940003565"</f>
        <v>09940003565</v>
      </c>
      <c r="B4188" s="7" t="str">
        <f>"守口佐太東"</f>
        <v>守口佐太東</v>
      </c>
      <c r="C4188" s="7" t="str">
        <f t="shared" si="1484"/>
        <v>行政財産</v>
      </c>
      <c r="D4188" s="7" t="str">
        <f t="shared" si="1473"/>
        <v>公営住宅</v>
      </c>
      <c r="E4188" s="7" t="str">
        <f>"大阪府守口市佐太東町１丁目"</f>
        <v>大阪府守口市佐太東町１丁目</v>
      </c>
      <c r="F4188" s="7"/>
      <c r="G4188" s="7" t="str">
        <f t="shared" si="1482"/>
        <v>事業用資産</v>
      </c>
      <c r="H4188" s="7" t="str">
        <f t="shared" si="1479"/>
        <v>棚卸以外</v>
      </c>
      <c r="I4188" s="7">
        <v>3</v>
      </c>
      <c r="J4188" s="7" t="str">
        <f>"受水槽ポンプ室・電気室"</f>
        <v>受水槽ポンプ室・電気室</v>
      </c>
      <c r="K4188" s="7" t="str">
        <f t="shared" si="1477"/>
        <v>鉄筋コンクリート造</v>
      </c>
      <c r="L4188" s="7" t="str">
        <f>"H14.09.30"</f>
        <v>H14.09.30</v>
      </c>
      <c r="M4188" s="7">
        <v>101.5</v>
      </c>
      <c r="N4188" s="7">
        <v>25562000</v>
      </c>
      <c r="O4188" s="7">
        <v>11149458</v>
      </c>
      <c r="P4188" s="7">
        <v>0</v>
      </c>
      <c r="Q4188" s="7" t="str">
        <f t="shared" si="1485"/>
        <v>都市整備部</v>
      </c>
      <c r="R4188" s="7" t="str">
        <f t="shared" si="1483"/>
        <v>住宅建築局住宅経営室</v>
      </c>
    </row>
    <row r="4189" spans="1:18" s="1" customFormat="1" x14ac:dyDescent="0.45">
      <c r="A4189" s="7" t="str">
        <f>"09940003565"</f>
        <v>09940003565</v>
      </c>
      <c r="B4189" s="7" t="str">
        <f>"守口佐太東"</f>
        <v>守口佐太東</v>
      </c>
      <c r="C4189" s="7" t="str">
        <f t="shared" si="1484"/>
        <v>行政財産</v>
      </c>
      <c r="D4189" s="7" t="str">
        <f t="shared" si="1473"/>
        <v>公営住宅</v>
      </c>
      <c r="E4189" s="7" t="str">
        <f>"大阪府守口市佐太東町１丁目"</f>
        <v>大阪府守口市佐太東町１丁目</v>
      </c>
      <c r="F4189" s="7"/>
      <c r="G4189" s="7" t="str">
        <f t="shared" si="1482"/>
        <v>事業用資産</v>
      </c>
      <c r="H4189" s="7" t="str">
        <f t="shared" si="1479"/>
        <v>棚卸以外</v>
      </c>
      <c r="I4189" s="7">
        <v>4</v>
      </c>
      <c r="J4189" s="7" t="str">
        <f>"集会所"</f>
        <v>集会所</v>
      </c>
      <c r="K4189" s="7" t="str">
        <f t="shared" si="1477"/>
        <v>鉄筋コンクリート造</v>
      </c>
      <c r="L4189" s="7" t="str">
        <f>"H14.09.30"</f>
        <v>H14.09.30</v>
      </c>
      <c r="M4189" s="7">
        <v>99.97</v>
      </c>
      <c r="N4189" s="7">
        <v>22358000</v>
      </c>
      <c r="O4189" s="7">
        <v>9751932</v>
      </c>
      <c r="P4189" s="7">
        <v>0</v>
      </c>
      <c r="Q4189" s="7" t="str">
        <f t="shared" si="1485"/>
        <v>都市整備部</v>
      </c>
      <c r="R4189" s="7" t="str">
        <f t="shared" si="1483"/>
        <v>住宅建築局住宅経営室</v>
      </c>
    </row>
    <row r="4190" spans="1:18" s="1" customFormat="1" x14ac:dyDescent="0.45">
      <c r="A4190" s="7" t="str">
        <f t="shared" ref="A4190:A4209" si="1486">"09940003566"</f>
        <v>09940003566</v>
      </c>
      <c r="B4190" s="7" t="str">
        <f t="shared" ref="B4190:B4209" si="1487">"寝屋川池田"</f>
        <v>寝屋川池田</v>
      </c>
      <c r="C4190" s="7" t="str">
        <f t="shared" si="1484"/>
        <v>行政財産</v>
      </c>
      <c r="D4190" s="7" t="str">
        <f t="shared" si="1473"/>
        <v>公営住宅</v>
      </c>
      <c r="E4190" s="7" t="str">
        <f t="shared" ref="E4190:E4209" si="1488">"大阪府寝屋川市池田西町"</f>
        <v>大阪府寝屋川市池田西町</v>
      </c>
      <c r="F4190" s="7"/>
      <c r="G4190" s="7" t="str">
        <f t="shared" si="1482"/>
        <v>事業用資産</v>
      </c>
      <c r="H4190" s="7" t="str">
        <f t="shared" si="1479"/>
        <v>棚卸以外</v>
      </c>
      <c r="I4190" s="7">
        <v>1</v>
      </c>
      <c r="J4190" s="7" t="str">
        <f>"１号棟"</f>
        <v>１号棟</v>
      </c>
      <c r="K4190" s="7" t="str">
        <f t="shared" si="1477"/>
        <v>鉄筋コンクリート造</v>
      </c>
      <c r="L4190" s="7" t="str">
        <f t="shared" ref="L4190:L4197" si="1489">"H03.04.30"</f>
        <v>H03.04.30</v>
      </c>
      <c r="M4190" s="7">
        <v>1590.78</v>
      </c>
      <c r="N4190" s="7">
        <v>236761000</v>
      </c>
      <c r="O4190" s="7">
        <v>160779570</v>
      </c>
      <c r="P4190" s="7">
        <v>0</v>
      </c>
      <c r="Q4190" s="7" t="str">
        <f t="shared" si="1485"/>
        <v>都市整備部</v>
      </c>
      <c r="R4190" s="7" t="str">
        <f t="shared" si="1483"/>
        <v>住宅建築局住宅経営室</v>
      </c>
    </row>
    <row r="4191" spans="1:18" s="1" customFormat="1" x14ac:dyDescent="0.45">
      <c r="A4191" s="7" t="str">
        <f t="shared" si="1486"/>
        <v>09940003566</v>
      </c>
      <c r="B4191" s="7" t="str">
        <f t="shared" si="1487"/>
        <v>寝屋川池田</v>
      </c>
      <c r="C4191" s="7" t="str">
        <f t="shared" si="1484"/>
        <v>行政財産</v>
      </c>
      <c r="D4191" s="7" t="str">
        <f t="shared" si="1473"/>
        <v>公営住宅</v>
      </c>
      <c r="E4191" s="7" t="str">
        <f t="shared" si="1488"/>
        <v>大阪府寝屋川市池田西町</v>
      </c>
      <c r="F4191" s="7"/>
      <c r="G4191" s="7" t="str">
        <f t="shared" si="1482"/>
        <v>事業用資産</v>
      </c>
      <c r="H4191" s="7" t="str">
        <f t="shared" si="1479"/>
        <v>棚卸以外</v>
      </c>
      <c r="I4191" s="7">
        <v>2</v>
      </c>
      <c r="J4191" s="7" t="str">
        <f>"２号棟"</f>
        <v>２号棟</v>
      </c>
      <c r="K4191" s="7" t="str">
        <f t="shared" si="1477"/>
        <v>鉄筋コンクリート造</v>
      </c>
      <c r="L4191" s="7" t="str">
        <f t="shared" si="1489"/>
        <v>H03.04.30</v>
      </c>
      <c r="M4191" s="7">
        <v>2225.0100000000002</v>
      </c>
      <c r="N4191" s="7">
        <v>168377367</v>
      </c>
      <c r="O4191" s="7">
        <v>113078546</v>
      </c>
      <c r="P4191" s="7">
        <v>0</v>
      </c>
      <c r="Q4191" s="7" t="str">
        <f t="shared" si="1485"/>
        <v>都市整備部</v>
      </c>
      <c r="R4191" s="7" t="str">
        <f t="shared" si="1483"/>
        <v>住宅建築局住宅経営室</v>
      </c>
    </row>
    <row r="4192" spans="1:18" s="1" customFormat="1" x14ac:dyDescent="0.45">
      <c r="A4192" s="7" t="str">
        <f t="shared" si="1486"/>
        <v>09940003566</v>
      </c>
      <c r="B4192" s="7" t="str">
        <f t="shared" si="1487"/>
        <v>寝屋川池田</v>
      </c>
      <c r="C4192" s="7" t="str">
        <f t="shared" si="1484"/>
        <v>行政財産</v>
      </c>
      <c r="D4192" s="7" t="str">
        <f t="shared" si="1473"/>
        <v>公営住宅</v>
      </c>
      <c r="E4192" s="7" t="str">
        <f t="shared" si="1488"/>
        <v>大阪府寝屋川市池田西町</v>
      </c>
      <c r="F4192" s="7"/>
      <c r="G4192" s="7" t="str">
        <f t="shared" si="1482"/>
        <v>事業用資産</v>
      </c>
      <c r="H4192" s="7" t="str">
        <f t="shared" si="1479"/>
        <v>棚卸以外</v>
      </c>
      <c r="I4192" s="7">
        <v>3</v>
      </c>
      <c r="J4192" s="7" t="str">
        <f>"３号棟"</f>
        <v>３号棟</v>
      </c>
      <c r="K4192" s="7" t="str">
        <f t="shared" ref="K4192:K4223" si="1490">"鉄筋コンクリート造"</f>
        <v>鉄筋コンクリート造</v>
      </c>
      <c r="L4192" s="7" t="str">
        <f t="shared" si="1489"/>
        <v>H03.04.30</v>
      </c>
      <c r="M4192" s="7">
        <v>915.04</v>
      </c>
      <c r="N4192" s="7">
        <v>263459000</v>
      </c>
      <c r="O4192" s="7">
        <v>178909258</v>
      </c>
      <c r="P4192" s="7">
        <v>0</v>
      </c>
      <c r="Q4192" s="7" t="str">
        <f t="shared" si="1485"/>
        <v>都市整備部</v>
      </c>
      <c r="R4192" s="7" t="str">
        <f t="shared" si="1483"/>
        <v>住宅建築局住宅経営室</v>
      </c>
    </row>
    <row r="4193" spans="1:18" s="1" customFormat="1" x14ac:dyDescent="0.45">
      <c r="A4193" s="7" t="str">
        <f t="shared" si="1486"/>
        <v>09940003566</v>
      </c>
      <c r="B4193" s="7" t="str">
        <f t="shared" si="1487"/>
        <v>寝屋川池田</v>
      </c>
      <c r="C4193" s="7" t="str">
        <f t="shared" si="1484"/>
        <v>行政財産</v>
      </c>
      <c r="D4193" s="7" t="str">
        <f t="shared" si="1473"/>
        <v>公営住宅</v>
      </c>
      <c r="E4193" s="7" t="str">
        <f t="shared" si="1488"/>
        <v>大阪府寝屋川市池田西町</v>
      </c>
      <c r="F4193" s="7"/>
      <c r="G4193" s="7" t="str">
        <f t="shared" si="1482"/>
        <v>事業用資産</v>
      </c>
      <c r="H4193" s="7" t="str">
        <f t="shared" si="1479"/>
        <v>棚卸以外</v>
      </c>
      <c r="I4193" s="7">
        <v>4</v>
      </c>
      <c r="J4193" s="7" t="str">
        <f>"４号棟"</f>
        <v>４号棟</v>
      </c>
      <c r="K4193" s="7" t="str">
        <f t="shared" si="1490"/>
        <v>鉄筋コンクリート造</v>
      </c>
      <c r="L4193" s="7" t="str">
        <f t="shared" si="1489"/>
        <v>H03.04.30</v>
      </c>
      <c r="M4193" s="7">
        <v>1617.24</v>
      </c>
      <c r="N4193" s="7">
        <v>217899000</v>
      </c>
      <c r="O4193" s="7">
        <v>147970518</v>
      </c>
      <c r="P4193" s="7">
        <v>0</v>
      </c>
      <c r="Q4193" s="7" t="str">
        <f t="shared" si="1485"/>
        <v>都市整備部</v>
      </c>
      <c r="R4193" s="7" t="str">
        <f t="shared" si="1483"/>
        <v>住宅建築局住宅経営室</v>
      </c>
    </row>
    <row r="4194" spans="1:18" s="1" customFormat="1" x14ac:dyDescent="0.45">
      <c r="A4194" s="7" t="str">
        <f t="shared" si="1486"/>
        <v>09940003566</v>
      </c>
      <c r="B4194" s="7" t="str">
        <f t="shared" si="1487"/>
        <v>寝屋川池田</v>
      </c>
      <c r="C4194" s="7" t="str">
        <f t="shared" si="1484"/>
        <v>行政財産</v>
      </c>
      <c r="D4194" s="7" t="str">
        <f t="shared" si="1473"/>
        <v>公営住宅</v>
      </c>
      <c r="E4194" s="7" t="str">
        <f t="shared" si="1488"/>
        <v>大阪府寝屋川市池田西町</v>
      </c>
      <c r="F4194" s="7"/>
      <c r="G4194" s="7" t="str">
        <f t="shared" si="1482"/>
        <v>事業用資産</v>
      </c>
      <c r="H4194" s="7" t="str">
        <f t="shared" si="1479"/>
        <v>棚卸以外</v>
      </c>
      <c r="I4194" s="7">
        <v>5</v>
      </c>
      <c r="J4194" s="7" t="str">
        <f>"５号棟"</f>
        <v>５号棟</v>
      </c>
      <c r="K4194" s="7" t="str">
        <f t="shared" si="1490"/>
        <v>鉄筋コンクリート造</v>
      </c>
      <c r="L4194" s="7" t="str">
        <f t="shared" si="1489"/>
        <v>H03.04.30</v>
      </c>
      <c r="M4194" s="7">
        <v>1552.97</v>
      </c>
      <c r="N4194" s="7">
        <v>238092777</v>
      </c>
      <c r="O4194" s="7">
        <v>160209377</v>
      </c>
      <c r="P4194" s="7">
        <v>0</v>
      </c>
      <c r="Q4194" s="7" t="str">
        <f t="shared" si="1485"/>
        <v>都市整備部</v>
      </c>
      <c r="R4194" s="7" t="str">
        <f t="shared" si="1483"/>
        <v>住宅建築局住宅経営室</v>
      </c>
    </row>
    <row r="4195" spans="1:18" s="1" customFormat="1" x14ac:dyDescent="0.45">
      <c r="A4195" s="7" t="str">
        <f t="shared" si="1486"/>
        <v>09940003566</v>
      </c>
      <c r="B4195" s="7" t="str">
        <f t="shared" si="1487"/>
        <v>寝屋川池田</v>
      </c>
      <c r="C4195" s="7" t="str">
        <f t="shared" si="1484"/>
        <v>行政財産</v>
      </c>
      <c r="D4195" s="7" t="str">
        <f t="shared" si="1473"/>
        <v>公営住宅</v>
      </c>
      <c r="E4195" s="7" t="str">
        <f t="shared" si="1488"/>
        <v>大阪府寝屋川市池田西町</v>
      </c>
      <c r="F4195" s="7"/>
      <c r="G4195" s="7" t="str">
        <f t="shared" si="1482"/>
        <v>事業用資産</v>
      </c>
      <c r="H4195" s="7" t="str">
        <f t="shared" si="1479"/>
        <v>棚卸以外</v>
      </c>
      <c r="I4195" s="7">
        <v>6</v>
      </c>
      <c r="J4195" s="7" t="str">
        <f>"６号棟"</f>
        <v>６号棟</v>
      </c>
      <c r="K4195" s="7" t="str">
        <f t="shared" si="1490"/>
        <v>鉄筋コンクリート造</v>
      </c>
      <c r="L4195" s="7" t="str">
        <f t="shared" si="1489"/>
        <v>H03.04.30</v>
      </c>
      <c r="M4195" s="7">
        <v>1617.24</v>
      </c>
      <c r="N4195" s="7">
        <v>233230410</v>
      </c>
      <c r="O4195" s="7">
        <v>158170191</v>
      </c>
      <c r="P4195" s="7">
        <v>0</v>
      </c>
      <c r="Q4195" s="7" t="str">
        <f t="shared" si="1485"/>
        <v>都市整備部</v>
      </c>
      <c r="R4195" s="7" t="str">
        <f t="shared" si="1483"/>
        <v>住宅建築局住宅経営室</v>
      </c>
    </row>
    <row r="4196" spans="1:18" s="1" customFormat="1" x14ac:dyDescent="0.45">
      <c r="A4196" s="7" t="str">
        <f t="shared" si="1486"/>
        <v>09940003566</v>
      </c>
      <c r="B4196" s="7" t="str">
        <f t="shared" si="1487"/>
        <v>寝屋川池田</v>
      </c>
      <c r="C4196" s="7" t="str">
        <f t="shared" si="1484"/>
        <v>行政財産</v>
      </c>
      <c r="D4196" s="7" t="str">
        <f t="shared" si="1473"/>
        <v>公営住宅</v>
      </c>
      <c r="E4196" s="7" t="str">
        <f t="shared" si="1488"/>
        <v>大阪府寝屋川市池田西町</v>
      </c>
      <c r="F4196" s="7"/>
      <c r="G4196" s="7" t="str">
        <f t="shared" si="1482"/>
        <v>事業用資産</v>
      </c>
      <c r="H4196" s="7" t="str">
        <f t="shared" si="1479"/>
        <v>棚卸以外</v>
      </c>
      <c r="I4196" s="7">
        <v>7</v>
      </c>
      <c r="J4196" s="7" t="str">
        <f>"集会所"</f>
        <v>集会所</v>
      </c>
      <c r="K4196" s="7" t="str">
        <f t="shared" si="1490"/>
        <v>鉄筋コンクリート造</v>
      </c>
      <c r="L4196" s="7" t="str">
        <f t="shared" si="1489"/>
        <v>H03.04.30</v>
      </c>
      <c r="M4196" s="7">
        <v>182.09</v>
      </c>
      <c r="N4196" s="7">
        <v>35636000</v>
      </c>
      <c r="O4196" s="7">
        <v>24199855</v>
      </c>
      <c r="P4196" s="7">
        <v>0</v>
      </c>
      <c r="Q4196" s="7" t="str">
        <f t="shared" si="1485"/>
        <v>都市整備部</v>
      </c>
      <c r="R4196" s="7" t="str">
        <f t="shared" si="1483"/>
        <v>住宅建築局住宅経営室</v>
      </c>
    </row>
    <row r="4197" spans="1:18" s="1" customFormat="1" x14ac:dyDescent="0.45">
      <c r="A4197" s="7" t="str">
        <f t="shared" si="1486"/>
        <v>09940003566</v>
      </c>
      <c r="B4197" s="7" t="str">
        <f t="shared" si="1487"/>
        <v>寝屋川池田</v>
      </c>
      <c r="C4197" s="7" t="str">
        <f t="shared" si="1484"/>
        <v>行政財産</v>
      </c>
      <c r="D4197" s="7" t="str">
        <f t="shared" si="1473"/>
        <v>公営住宅</v>
      </c>
      <c r="E4197" s="7" t="str">
        <f t="shared" si="1488"/>
        <v>大阪府寝屋川市池田西町</v>
      </c>
      <c r="F4197" s="7"/>
      <c r="G4197" s="7" t="str">
        <f t="shared" si="1482"/>
        <v>事業用資産</v>
      </c>
      <c r="H4197" s="7" t="str">
        <f t="shared" si="1479"/>
        <v>棚卸以外</v>
      </c>
      <c r="I4197" s="7">
        <v>8</v>
      </c>
      <c r="J4197" s="7" t="str">
        <f>"受水槽"</f>
        <v>受水槽</v>
      </c>
      <c r="K4197" s="7" t="str">
        <f t="shared" si="1490"/>
        <v>鉄筋コンクリート造</v>
      </c>
      <c r="L4197" s="7" t="str">
        <f t="shared" si="1489"/>
        <v>H03.04.30</v>
      </c>
      <c r="M4197" s="7">
        <v>123.2</v>
      </c>
      <c r="N4197" s="7">
        <v>41577000</v>
      </c>
      <c r="O4197" s="7">
        <v>26645758</v>
      </c>
      <c r="P4197" s="7">
        <v>0</v>
      </c>
      <c r="Q4197" s="7" t="str">
        <f t="shared" si="1485"/>
        <v>都市整備部</v>
      </c>
      <c r="R4197" s="7" t="str">
        <f t="shared" si="1483"/>
        <v>住宅建築局住宅経営室</v>
      </c>
    </row>
    <row r="4198" spans="1:18" s="1" customFormat="1" x14ac:dyDescent="0.45">
      <c r="A4198" s="7" t="str">
        <f t="shared" si="1486"/>
        <v>09940003566</v>
      </c>
      <c r="B4198" s="7" t="str">
        <f t="shared" si="1487"/>
        <v>寝屋川池田</v>
      </c>
      <c r="C4198" s="7" t="str">
        <f t="shared" si="1484"/>
        <v>行政財産</v>
      </c>
      <c r="D4198" s="7" t="str">
        <f t="shared" si="1473"/>
        <v>公営住宅</v>
      </c>
      <c r="E4198" s="7" t="str">
        <f t="shared" si="1488"/>
        <v>大阪府寝屋川市池田西町</v>
      </c>
      <c r="F4198" s="7"/>
      <c r="G4198" s="7" t="str">
        <f t="shared" si="1482"/>
        <v>事業用資産</v>
      </c>
      <c r="H4198" s="7" t="str">
        <f t="shared" si="1479"/>
        <v>棚卸以外</v>
      </c>
      <c r="I4198" s="7">
        <v>9</v>
      </c>
      <c r="J4198" s="7" t="str">
        <f>"７号棟"</f>
        <v>７号棟</v>
      </c>
      <c r="K4198" s="7" t="str">
        <f t="shared" si="1490"/>
        <v>鉄筋コンクリート造</v>
      </c>
      <c r="L4198" s="7" t="str">
        <f>"H06.05.27"</f>
        <v>H06.05.27</v>
      </c>
      <c r="M4198" s="7">
        <v>1720.55</v>
      </c>
      <c r="N4198" s="7">
        <v>326447000</v>
      </c>
      <c r="O4198" s="7">
        <v>200267222</v>
      </c>
      <c r="P4198" s="7">
        <v>0</v>
      </c>
      <c r="Q4198" s="7" t="str">
        <f t="shared" si="1485"/>
        <v>都市整備部</v>
      </c>
      <c r="R4198" s="7" t="str">
        <f t="shared" si="1483"/>
        <v>住宅建築局住宅経営室</v>
      </c>
    </row>
    <row r="4199" spans="1:18" s="1" customFormat="1" x14ac:dyDescent="0.45">
      <c r="A4199" s="7" t="str">
        <f t="shared" si="1486"/>
        <v>09940003566</v>
      </c>
      <c r="B4199" s="7" t="str">
        <f t="shared" si="1487"/>
        <v>寝屋川池田</v>
      </c>
      <c r="C4199" s="7" t="str">
        <f t="shared" si="1484"/>
        <v>行政財産</v>
      </c>
      <c r="D4199" s="7" t="str">
        <f t="shared" si="1473"/>
        <v>公営住宅</v>
      </c>
      <c r="E4199" s="7" t="str">
        <f t="shared" si="1488"/>
        <v>大阪府寝屋川市池田西町</v>
      </c>
      <c r="F4199" s="7"/>
      <c r="G4199" s="7" t="str">
        <f t="shared" si="1482"/>
        <v>事業用資産</v>
      </c>
      <c r="H4199" s="7" t="str">
        <f t="shared" si="1479"/>
        <v>棚卸以外</v>
      </c>
      <c r="I4199" s="7">
        <v>10</v>
      </c>
      <c r="J4199" s="7" t="str">
        <f>"８号棟"</f>
        <v>８号棟</v>
      </c>
      <c r="K4199" s="7" t="str">
        <f t="shared" si="1490"/>
        <v>鉄筋コンクリート造</v>
      </c>
      <c r="L4199" s="7" t="str">
        <f>"H06.05.27"</f>
        <v>H06.05.27</v>
      </c>
      <c r="M4199" s="7">
        <v>2328.9899999999998</v>
      </c>
      <c r="N4199" s="7">
        <v>456698776</v>
      </c>
      <c r="O4199" s="7">
        <v>279016356</v>
      </c>
      <c r="P4199" s="7">
        <v>0</v>
      </c>
      <c r="Q4199" s="7" t="str">
        <f t="shared" si="1485"/>
        <v>都市整備部</v>
      </c>
      <c r="R4199" s="7" t="str">
        <f t="shared" si="1483"/>
        <v>住宅建築局住宅経営室</v>
      </c>
    </row>
    <row r="4200" spans="1:18" s="1" customFormat="1" x14ac:dyDescent="0.45">
      <c r="A4200" s="7" t="str">
        <f t="shared" si="1486"/>
        <v>09940003566</v>
      </c>
      <c r="B4200" s="7" t="str">
        <f t="shared" si="1487"/>
        <v>寝屋川池田</v>
      </c>
      <c r="C4200" s="7" t="str">
        <f t="shared" si="1484"/>
        <v>行政財産</v>
      </c>
      <c r="D4200" s="7" t="str">
        <f t="shared" si="1473"/>
        <v>公営住宅</v>
      </c>
      <c r="E4200" s="7" t="str">
        <f t="shared" si="1488"/>
        <v>大阪府寝屋川市池田西町</v>
      </c>
      <c r="F4200" s="7"/>
      <c r="G4200" s="7" t="str">
        <f t="shared" si="1482"/>
        <v>事業用資産</v>
      </c>
      <c r="H4200" s="7" t="str">
        <f t="shared" si="1479"/>
        <v>棚卸以外</v>
      </c>
      <c r="I4200" s="7">
        <v>11</v>
      </c>
      <c r="J4200" s="7" t="str">
        <f>"９号棟"</f>
        <v>９号棟</v>
      </c>
      <c r="K4200" s="7" t="str">
        <f t="shared" si="1490"/>
        <v>鉄筋コンクリート造</v>
      </c>
      <c r="L4200" s="7" t="str">
        <f>"H06.05.27"</f>
        <v>H06.05.27</v>
      </c>
      <c r="M4200" s="7">
        <v>875.04</v>
      </c>
      <c r="N4200" s="7">
        <v>178307000</v>
      </c>
      <c r="O4200" s="7">
        <v>109387208</v>
      </c>
      <c r="P4200" s="7">
        <v>0</v>
      </c>
      <c r="Q4200" s="7" t="str">
        <f t="shared" si="1485"/>
        <v>都市整備部</v>
      </c>
      <c r="R4200" s="7" t="str">
        <f t="shared" si="1483"/>
        <v>住宅建築局住宅経営室</v>
      </c>
    </row>
    <row r="4201" spans="1:18" s="1" customFormat="1" x14ac:dyDescent="0.45">
      <c r="A4201" s="7" t="str">
        <f t="shared" si="1486"/>
        <v>09940003566</v>
      </c>
      <c r="B4201" s="7" t="str">
        <f t="shared" si="1487"/>
        <v>寝屋川池田</v>
      </c>
      <c r="C4201" s="7" t="str">
        <f t="shared" si="1484"/>
        <v>行政財産</v>
      </c>
      <c r="D4201" s="7" t="str">
        <f t="shared" si="1473"/>
        <v>公営住宅</v>
      </c>
      <c r="E4201" s="7" t="str">
        <f t="shared" si="1488"/>
        <v>大阪府寝屋川市池田西町</v>
      </c>
      <c r="F4201" s="7"/>
      <c r="G4201" s="7" t="str">
        <f t="shared" si="1482"/>
        <v>事業用資産</v>
      </c>
      <c r="H4201" s="7" t="str">
        <f t="shared" si="1479"/>
        <v>棚卸以外</v>
      </c>
      <c r="I4201" s="7">
        <v>12</v>
      </c>
      <c r="J4201" s="7" t="str">
        <f>"１０号棟"</f>
        <v>１０号棟</v>
      </c>
      <c r="K4201" s="7" t="str">
        <f t="shared" si="1490"/>
        <v>鉄筋コンクリート造</v>
      </c>
      <c r="L4201" s="7" t="str">
        <f>"H07.08.28"</f>
        <v>H07.08.28</v>
      </c>
      <c r="M4201" s="7">
        <v>1913.66</v>
      </c>
      <c r="N4201" s="7">
        <v>317757000</v>
      </c>
      <c r="O4201" s="7">
        <v>186485069</v>
      </c>
      <c r="P4201" s="7">
        <v>0</v>
      </c>
      <c r="Q4201" s="7" t="str">
        <f t="shared" si="1485"/>
        <v>都市整備部</v>
      </c>
      <c r="R4201" s="7" t="str">
        <f t="shared" si="1483"/>
        <v>住宅建築局住宅経営室</v>
      </c>
    </row>
    <row r="4202" spans="1:18" s="1" customFormat="1" x14ac:dyDescent="0.45">
      <c r="A4202" s="7" t="str">
        <f t="shared" si="1486"/>
        <v>09940003566</v>
      </c>
      <c r="B4202" s="7" t="str">
        <f t="shared" si="1487"/>
        <v>寝屋川池田</v>
      </c>
      <c r="C4202" s="7" t="str">
        <f t="shared" si="1484"/>
        <v>行政財産</v>
      </c>
      <c r="D4202" s="7" t="str">
        <f t="shared" si="1473"/>
        <v>公営住宅</v>
      </c>
      <c r="E4202" s="7" t="str">
        <f t="shared" si="1488"/>
        <v>大阪府寝屋川市池田西町</v>
      </c>
      <c r="F4202" s="7"/>
      <c r="G4202" s="7" t="str">
        <f t="shared" si="1482"/>
        <v>事業用資産</v>
      </c>
      <c r="H4202" s="7" t="str">
        <f t="shared" si="1479"/>
        <v>棚卸以外</v>
      </c>
      <c r="I4202" s="7">
        <v>13</v>
      </c>
      <c r="J4202" s="7" t="str">
        <f>"１１号棟"</f>
        <v>１１号棟</v>
      </c>
      <c r="K4202" s="7" t="str">
        <f t="shared" si="1490"/>
        <v>鉄筋コンクリート造</v>
      </c>
      <c r="L4202" s="7" t="str">
        <f>"H07.08.28"</f>
        <v>H07.08.28</v>
      </c>
      <c r="M4202" s="7">
        <v>2763.87</v>
      </c>
      <c r="N4202" s="7">
        <v>461183366</v>
      </c>
      <c r="O4202" s="7">
        <v>269813570</v>
      </c>
      <c r="P4202" s="7">
        <v>0</v>
      </c>
      <c r="Q4202" s="7" t="str">
        <f t="shared" si="1485"/>
        <v>都市整備部</v>
      </c>
      <c r="R4202" s="7" t="str">
        <f t="shared" si="1483"/>
        <v>住宅建築局住宅経営室</v>
      </c>
    </row>
    <row r="4203" spans="1:18" s="1" customFormat="1" x14ac:dyDescent="0.45">
      <c r="A4203" s="7" t="str">
        <f t="shared" si="1486"/>
        <v>09940003566</v>
      </c>
      <c r="B4203" s="7" t="str">
        <f t="shared" si="1487"/>
        <v>寝屋川池田</v>
      </c>
      <c r="C4203" s="7" t="str">
        <f t="shared" si="1484"/>
        <v>行政財産</v>
      </c>
      <c r="D4203" s="7" t="str">
        <f t="shared" si="1473"/>
        <v>公営住宅</v>
      </c>
      <c r="E4203" s="7" t="str">
        <f t="shared" si="1488"/>
        <v>大阪府寝屋川市池田西町</v>
      </c>
      <c r="F4203" s="7"/>
      <c r="G4203" s="7" t="str">
        <f t="shared" si="1482"/>
        <v>事業用資産</v>
      </c>
      <c r="H4203" s="7" t="str">
        <f t="shared" si="1479"/>
        <v>棚卸以外</v>
      </c>
      <c r="I4203" s="7">
        <v>14</v>
      </c>
      <c r="J4203" s="7" t="str">
        <f>"１２号棟"</f>
        <v>１２号棟</v>
      </c>
      <c r="K4203" s="7" t="str">
        <f t="shared" si="1490"/>
        <v>鉄筋コンクリート造</v>
      </c>
      <c r="L4203" s="7" t="str">
        <f>"H07.08.28"</f>
        <v>H07.08.28</v>
      </c>
      <c r="M4203" s="7">
        <v>551.07000000000005</v>
      </c>
      <c r="N4203" s="7">
        <v>98632000</v>
      </c>
      <c r="O4203" s="7">
        <v>57885280</v>
      </c>
      <c r="P4203" s="7">
        <v>0</v>
      </c>
      <c r="Q4203" s="7" t="str">
        <f t="shared" si="1485"/>
        <v>都市整備部</v>
      </c>
      <c r="R4203" s="7" t="str">
        <f t="shared" si="1483"/>
        <v>住宅建築局住宅経営室</v>
      </c>
    </row>
    <row r="4204" spans="1:18" s="1" customFormat="1" x14ac:dyDescent="0.45">
      <c r="A4204" s="7" t="str">
        <f t="shared" si="1486"/>
        <v>09940003566</v>
      </c>
      <c r="B4204" s="7" t="str">
        <f t="shared" si="1487"/>
        <v>寝屋川池田</v>
      </c>
      <c r="C4204" s="7" t="str">
        <f t="shared" si="1484"/>
        <v>行政財産</v>
      </c>
      <c r="D4204" s="7" t="str">
        <f t="shared" si="1473"/>
        <v>公営住宅</v>
      </c>
      <c r="E4204" s="7" t="str">
        <f t="shared" si="1488"/>
        <v>大阪府寝屋川市池田西町</v>
      </c>
      <c r="F4204" s="7"/>
      <c r="G4204" s="7" t="str">
        <f t="shared" si="1482"/>
        <v>事業用資産</v>
      </c>
      <c r="H4204" s="7" t="str">
        <f t="shared" si="1479"/>
        <v>棚卸以外</v>
      </c>
      <c r="I4204" s="7">
        <v>15</v>
      </c>
      <c r="J4204" s="7" t="str">
        <f>"受水槽"</f>
        <v>受水槽</v>
      </c>
      <c r="K4204" s="7" t="str">
        <f t="shared" si="1490"/>
        <v>鉄筋コンクリート造</v>
      </c>
      <c r="L4204" s="7" t="str">
        <f>"H06.05.27"</f>
        <v>H06.05.27</v>
      </c>
      <c r="M4204" s="7">
        <v>50</v>
      </c>
      <c r="N4204" s="7">
        <v>24221000</v>
      </c>
      <c r="O4204" s="7">
        <v>14859316</v>
      </c>
      <c r="P4204" s="7">
        <v>0</v>
      </c>
      <c r="Q4204" s="7" t="str">
        <f t="shared" si="1485"/>
        <v>都市整備部</v>
      </c>
      <c r="R4204" s="7" t="str">
        <f t="shared" si="1483"/>
        <v>住宅建築局住宅経営室</v>
      </c>
    </row>
    <row r="4205" spans="1:18" s="1" customFormat="1" x14ac:dyDescent="0.45">
      <c r="A4205" s="7" t="str">
        <f t="shared" si="1486"/>
        <v>09940003566</v>
      </c>
      <c r="B4205" s="7" t="str">
        <f t="shared" si="1487"/>
        <v>寝屋川池田</v>
      </c>
      <c r="C4205" s="7" t="str">
        <f t="shared" si="1484"/>
        <v>行政財産</v>
      </c>
      <c r="D4205" s="7" t="str">
        <f t="shared" si="1473"/>
        <v>公営住宅</v>
      </c>
      <c r="E4205" s="7" t="str">
        <f t="shared" si="1488"/>
        <v>大阪府寝屋川市池田西町</v>
      </c>
      <c r="F4205" s="7"/>
      <c r="G4205" s="7" t="str">
        <f t="shared" si="1482"/>
        <v>事業用資産</v>
      </c>
      <c r="H4205" s="7" t="str">
        <f t="shared" si="1479"/>
        <v>棚卸以外</v>
      </c>
      <c r="I4205" s="7">
        <v>16</v>
      </c>
      <c r="J4205" s="7" t="str">
        <f>"１３号棟"</f>
        <v>１３号棟</v>
      </c>
      <c r="K4205" s="7" t="str">
        <f t="shared" si="1490"/>
        <v>鉄筋コンクリート造</v>
      </c>
      <c r="L4205" s="7" t="str">
        <f>"H11.04.07"</f>
        <v>H11.04.07</v>
      </c>
      <c r="M4205" s="7">
        <v>906.44</v>
      </c>
      <c r="N4205" s="7">
        <v>216425000</v>
      </c>
      <c r="O4205" s="7">
        <v>110131371</v>
      </c>
      <c r="P4205" s="7">
        <v>0</v>
      </c>
      <c r="Q4205" s="7" t="str">
        <f t="shared" si="1485"/>
        <v>都市整備部</v>
      </c>
      <c r="R4205" s="7" t="str">
        <f t="shared" si="1483"/>
        <v>住宅建築局住宅経営室</v>
      </c>
    </row>
    <row r="4206" spans="1:18" s="1" customFormat="1" x14ac:dyDescent="0.45">
      <c r="A4206" s="7" t="str">
        <f t="shared" si="1486"/>
        <v>09940003566</v>
      </c>
      <c r="B4206" s="7" t="str">
        <f t="shared" si="1487"/>
        <v>寝屋川池田</v>
      </c>
      <c r="C4206" s="7" t="str">
        <f t="shared" si="1484"/>
        <v>行政財産</v>
      </c>
      <c r="D4206" s="7" t="str">
        <f t="shared" si="1473"/>
        <v>公営住宅</v>
      </c>
      <c r="E4206" s="7" t="str">
        <f t="shared" si="1488"/>
        <v>大阪府寝屋川市池田西町</v>
      </c>
      <c r="F4206" s="7"/>
      <c r="G4206" s="7" t="str">
        <f t="shared" si="1482"/>
        <v>事業用資産</v>
      </c>
      <c r="H4206" s="7" t="str">
        <f t="shared" si="1479"/>
        <v>棚卸以外</v>
      </c>
      <c r="I4206" s="7">
        <v>17</v>
      </c>
      <c r="J4206" s="7" t="str">
        <f>"１４・１５号棟"</f>
        <v>１４・１５号棟</v>
      </c>
      <c r="K4206" s="7" t="str">
        <f t="shared" si="1490"/>
        <v>鉄筋コンクリート造</v>
      </c>
      <c r="L4206" s="7" t="str">
        <f>"H11.04.07"</f>
        <v>H11.04.07</v>
      </c>
      <c r="M4206" s="7">
        <v>1481.54</v>
      </c>
      <c r="N4206" s="7">
        <v>325086000</v>
      </c>
      <c r="O4206" s="7">
        <v>165425078</v>
      </c>
      <c r="P4206" s="7">
        <v>0</v>
      </c>
      <c r="Q4206" s="7" t="str">
        <f t="shared" si="1485"/>
        <v>都市整備部</v>
      </c>
      <c r="R4206" s="7" t="str">
        <f t="shared" si="1483"/>
        <v>住宅建築局住宅経営室</v>
      </c>
    </row>
    <row r="4207" spans="1:18" s="1" customFormat="1" x14ac:dyDescent="0.45">
      <c r="A4207" s="7" t="str">
        <f t="shared" si="1486"/>
        <v>09940003566</v>
      </c>
      <c r="B4207" s="7" t="str">
        <f t="shared" si="1487"/>
        <v>寝屋川池田</v>
      </c>
      <c r="C4207" s="7" t="str">
        <f t="shared" si="1484"/>
        <v>行政財産</v>
      </c>
      <c r="D4207" s="7" t="str">
        <f t="shared" si="1473"/>
        <v>公営住宅</v>
      </c>
      <c r="E4207" s="7" t="str">
        <f t="shared" si="1488"/>
        <v>大阪府寝屋川市池田西町</v>
      </c>
      <c r="F4207" s="7"/>
      <c r="G4207" s="7" t="str">
        <f t="shared" si="1482"/>
        <v>事業用資産</v>
      </c>
      <c r="H4207" s="7" t="str">
        <f t="shared" si="1479"/>
        <v>棚卸以外</v>
      </c>
      <c r="I4207" s="7">
        <v>18</v>
      </c>
      <c r="J4207" s="7" t="str">
        <f>"１６号棟"</f>
        <v>１６号棟</v>
      </c>
      <c r="K4207" s="7" t="str">
        <f t="shared" si="1490"/>
        <v>鉄筋コンクリート造</v>
      </c>
      <c r="L4207" s="7" t="str">
        <f>"H11.04.07"</f>
        <v>H11.04.07</v>
      </c>
      <c r="M4207" s="7">
        <v>2393.9299999999998</v>
      </c>
      <c r="N4207" s="7">
        <v>531469366</v>
      </c>
      <c r="O4207" s="7">
        <v>269953678</v>
      </c>
      <c r="P4207" s="7">
        <v>0</v>
      </c>
      <c r="Q4207" s="7" t="str">
        <f t="shared" si="1485"/>
        <v>都市整備部</v>
      </c>
      <c r="R4207" s="7" t="str">
        <f t="shared" si="1483"/>
        <v>住宅建築局住宅経営室</v>
      </c>
    </row>
    <row r="4208" spans="1:18" s="1" customFormat="1" x14ac:dyDescent="0.45">
      <c r="A4208" s="7" t="str">
        <f t="shared" si="1486"/>
        <v>09940003566</v>
      </c>
      <c r="B4208" s="7" t="str">
        <f t="shared" si="1487"/>
        <v>寝屋川池田</v>
      </c>
      <c r="C4208" s="7" t="str">
        <f t="shared" si="1484"/>
        <v>行政財産</v>
      </c>
      <c r="D4208" s="7" t="str">
        <f t="shared" si="1473"/>
        <v>公営住宅</v>
      </c>
      <c r="E4208" s="7" t="str">
        <f t="shared" si="1488"/>
        <v>大阪府寝屋川市池田西町</v>
      </c>
      <c r="F4208" s="7"/>
      <c r="G4208" s="7" t="str">
        <f t="shared" si="1482"/>
        <v>事業用資産</v>
      </c>
      <c r="H4208" s="7" t="str">
        <f t="shared" si="1479"/>
        <v>棚卸以外</v>
      </c>
      <c r="I4208" s="7">
        <v>19</v>
      </c>
      <c r="J4208" s="7" t="str">
        <f>"１７号棟"</f>
        <v>１７号棟</v>
      </c>
      <c r="K4208" s="7" t="str">
        <f t="shared" si="1490"/>
        <v>鉄筋コンクリート造</v>
      </c>
      <c r="L4208" s="7" t="str">
        <f>"H11.04.07"</f>
        <v>H11.04.07</v>
      </c>
      <c r="M4208" s="7">
        <v>917.46</v>
      </c>
      <c r="N4208" s="7">
        <v>204721000</v>
      </c>
      <c r="O4208" s="7">
        <v>104175547</v>
      </c>
      <c r="P4208" s="7">
        <v>0</v>
      </c>
      <c r="Q4208" s="7" t="str">
        <f t="shared" si="1485"/>
        <v>都市整備部</v>
      </c>
      <c r="R4208" s="7" t="str">
        <f t="shared" si="1483"/>
        <v>住宅建築局住宅経営室</v>
      </c>
    </row>
    <row r="4209" spans="1:18" s="1" customFormat="1" x14ac:dyDescent="0.45">
      <c r="A4209" s="7" t="str">
        <f t="shared" si="1486"/>
        <v>09940003566</v>
      </c>
      <c r="B4209" s="7" t="str">
        <f t="shared" si="1487"/>
        <v>寝屋川池田</v>
      </c>
      <c r="C4209" s="7" t="str">
        <f t="shared" si="1484"/>
        <v>行政財産</v>
      </c>
      <c r="D4209" s="7" t="str">
        <f t="shared" si="1473"/>
        <v>公営住宅</v>
      </c>
      <c r="E4209" s="7" t="str">
        <f t="shared" si="1488"/>
        <v>大阪府寝屋川市池田西町</v>
      </c>
      <c r="F4209" s="7"/>
      <c r="G4209" s="7" t="str">
        <f t="shared" si="1482"/>
        <v>事業用資産</v>
      </c>
      <c r="H4209" s="7" t="str">
        <f t="shared" si="1479"/>
        <v>棚卸以外</v>
      </c>
      <c r="I4209" s="7">
        <v>20</v>
      </c>
      <c r="J4209" s="7" t="str">
        <f>"設備棟"</f>
        <v>設備棟</v>
      </c>
      <c r="K4209" s="7" t="str">
        <f t="shared" si="1490"/>
        <v>鉄筋コンクリート造</v>
      </c>
      <c r="L4209" s="7" t="str">
        <f>"H11.04.07"</f>
        <v>H11.04.07</v>
      </c>
      <c r="M4209" s="7">
        <v>36</v>
      </c>
      <c r="N4209" s="7">
        <v>22969000</v>
      </c>
      <c r="O4209" s="7">
        <v>11688362</v>
      </c>
      <c r="P4209" s="7">
        <v>0</v>
      </c>
      <c r="Q4209" s="7" t="str">
        <f t="shared" si="1485"/>
        <v>都市整備部</v>
      </c>
      <c r="R4209" s="7" t="str">
        <f t="shared" si="1483"/>
        <v>住宅建築局住宅経営室</v>
      </c>
    </row>
    <row r="4210" spans="1:18" s="1" customFormat="1" x14ac:dyDescent="0.45">
      <c r="A4210" s="7" t="str">
        <f t="shared" ref="A4210:A4219" si="1491">"09940003567"</f>
        <v>09940003567</v>
      </c>
      <c r="B4210" s="7" t="str">
        <f t="shared" ref="B4210:B4219" si="1492">"守口金田北"</f>
        <v>守口金田北</v>
      </c>
      <c r="C4210" s="7" t="str">
        <f t="shared" si="1484"/>
        <v>行政財産</v>
      </c>
      <c r="D4210" s="7" t="str">
        <f t="shared" ref="D4210:D4273" si="1493">"公営住宅"</f>
        <v>公営住宅</v>
      </c>
      <c r="E4210" s="7" t="str">
        <f t="shared" ref="E4210:E4219" si="1494">"大阪府守口市金田町３丁目"</f>
        <v>大阪府守口市金田町３丁目</v>
      </c>
      <c r="F4210" s="7"/>
      <c r="G4210" s="7" t="str">
        <f t="shared" si="1482"/>
        <v>事業用資産</v>
      </c>
      <c r="H4210" s="7" t="str">
        <f t="shared" si="1479"/>
        <v>棚卸以外</v>
      </c>
      <c r="I4210" s="7">
        <v>1</v>
      </c>
      <c r="J4210" s="7" t="str">
        <f>"２号棟"</f>
        <v>２号棟</v>
      </c>
      <c r="K4210" s="7" t="str">
        <f t="shared" si="1490"/>
        <v>鉄筋コンクリート造</v>
      </c>
      <c r="L4210" s="7" t="str">
        <f>"S62.03.29"</f>
        <v>S62.03.29</v>
      </c>
      <c r="M4210" s="7">
        <v>1437.57</v>
      </c>
      <c r="N4210" s="7">
        <v>139980000</v>
      </c>
      <c r="O4210" s="7">
        <v>107218944</v>
      </c>
      <c r="P4210" s="7">
        <v>0</v>
      </c>
      <c r="Q4210" s="7" t="str">
        <f t="shared" si="1485"/>
        <v>都市整備部</v>
      </c>
      <c r="R4210" s="7" t="str">
        <f t="shared" si="1483"/>
        <v>住宅建築局住宅経営室</v>
      </c>
    </row>
    <row r="4211" spans="1:18" s="1" customFormat="1" x14ac:dyDescent="0.45">
      <c r="A4211" s="7" t="str">
        <f t="shared" si="1491"/>
        <v>09940003567</v>
      </c>
      <c r="B4211" s="7" t="str">
        <f t="shared" si="1492"/>
        <v>守口金田北</v>
      </c>
      <c r="C4211" s="7" t="str">
        <f t="shared" si="1484"/>
        <v>行政財産</v>
      </c>
      <c r="D4211" s="7" t="str">
        <f t="shared" si="1493"/>
        <v>公営住宅</v>
      </c>
      <c r="E4211" s="7" t="str">
        <f t="shared" si="1494"/>
        <v>大阪府守口市金田町３丁目</v>
      </c>
      <c r="F4211" s="7"/>
      <c r="G4211" s="7" t="str">
        <f t="shared" si="1482"/>
        <v>事業用資産</v>
      </c>
      <c r="H4211" s="7" t="str">
        <f t="shared" si="1479"/>
        <v>棚卸以外</v>
      </c>
      <c r="I4211" s="7">
        <v>2</v>
      </c>
      <c r="J4211" s="7" t="str">
        <f>"３号棟"</f>
        <v>３号棟</v>
      </c>
      <c r="K4211" s="7" t="str">
        <f t="shared" si="1490"/>
        <v>鉄筋コンクリート造</v>
      </c>
      <c r="L4211" s="7" t="str">
        <f>"S62.03.29"</f>
        <v>S62.03.29</v>
      </c>
      <c r="M4211" s="7">
        <v>1437.57</v>
      </c>
      <c r="N4211" s="7">
        <v>140320950</v>
      </c>
      <c r="O4211" s="7">
        <v>107349840</v>
      </c>
      <c r="P4211" s="7">
        <v>0</v>
      </c>
      <c r="Q4211" s="7" t="str">
        <f t="shared" si="1485"/>
        <v>都市整備部</v>
      </c>
      <c r="R4211" s="7" t="str">
        <f t="shared" si="1483"/>
        <v>住宅建築局住宅経営室</v>
      </c>
    </row>
    <row r="4212" spans="1:18" s="1" customFormat="1" x14ac:dyDescent="0.45">
      <c r="A4212" s="7" t="str">
        <f t="shared" si="1491"/>
        <v>09940003567</v>
      </c>
      <c r="B4212" s="7" t="str">
        <f t="shared" si="1492"/>
        <v>守口金田北</v>
      </c>
      <c r="C4212" s="7" t="str">
        <f t="shared" si="1484"/>
        <v>行政財産</v>
      </c>
      <c r="D4212" s="7" t="str">
        <f t="shared" si="1493"/>
        <v>公営住宅</v>
      </c>
      <c r="E4212" s="7" t="str">
        <f t="shared" si="1494"/>
        <v>大阪府守口市金田町３丁目</v>
      </c>
      <c r="F4212" s="7"/>
      <c r="G4212" s="7" t="str">
        <f t="shared" si="1482"/>
        <v>事業用資産</v>
      </c>
      <c r="H4212" s="7" t="str">
        <f t="shared" si="1479"/>
        <v>棚卸以外</v>
      </c>
      <c r="I4212" s="7">
        <v>3</v>
      </c>
      <c r="J4212" s="7" t="str">
        <f>"５号棟"</f>
        <v>５号棟</v>
      </c>
      <c r="K4212" s="7" t="str">
        <f t="shared" si="1490"/>
        <v>鉄筋コンクリート造</v>
      </c>
      <c r="L4212" s="7" t="str">
        <f>"S62.03.29"</f>
        <v>S62.03.29</v>
      </c>
      <c r="M4212" s="7">
        <v>1437.57</v>
      </c>
      <c r="N4212" s="7">
        <v>153721950</v>
      </c>
      <c r="O4212" s="7">
        <v>117614592</v>
      </c>
      <c r="P4212" s="7">
        <v>0</v>
      </c>
      <c r="Q4212" s="7" t="str">
        <f t="shared" si="1485"/>
        <v>都市整備部</v>
      </c>
      <c r="R4212" s="7" t="str">
        <f t="shared" si="1483"/>
        <v>住宅建築局住宅経営室</v>
      </c>
    </row>
    <row r="4213" spans="1:18" s="1" customFormat="1" x14ac:dyDescent="0.45">
      <c r="A4213" s="7" t="str">
        <f t="shared" si="1491"/>
        <v>09940003567</v>
      </c>
      <c r="B4213" s="7" t="str">
        <f t="shared" si="1492"/>
        <v>守口金田北</v>
      </c>
      <c r="C4213" s="7" t="str">
        <f t="shared" si="1484"/>
        <v>行政財産</v>
      </c>
      <c r="D4213" s="7" t="str">
        <f t="shared" si="1493"/>
        <v>公営住宅</v>
      </c>
      <c r="E4213" s="7" t="str">
        <f t="shared" si="1494"/>
        <v>大阪府守口市金田町３丁目</v>
      </c>
      <c r="F4213" s="7"/>
      <c r="G4213" s="7" t="str">
        <f t="shared" si="1482"/>
        <v>事業用資産</v>
      </c>
      <c r="H4213" s="7" t="str">
        <f t="shared" si="1479"/>
        <v>棚卸以外</v>
      </c>
      <c r="I4213" s="7">
        <v>4</v>
      </c>
      <c r="J4213" s="7" t="str">
        <f>"４号棟"</f>
        <v>４号棟</v>
      </c>
      <c r="K4213" s="7" t="str">
        <f t="shared" si="1490"/>
        <v>鉄筋コンクリート造</v>
      </c>
      <c r="L4213" s="7" t="str">
        <f>"S62.03.29"</f>
        <v>S62.03.29</v>
      </c>
      <c r="M4213" s="7">
        <v>1437.57</v>
      </c>
      <c r="N4213" s="7">
        <v>153366000</v>
      </c>
      <c r="O4213" s="7">
        <v>117472032</v>
      </c>
      <c r="P4213" s="7">
        <v>0</v>
      </c>
      <c r="Q4213" s="7" t="str">
        <f t="shared" si="1485"/>
        <v>都市整備部</v>
      </c>
      <c r="R4213" s="7" t="str">
        <f t="shared" si="1483"/>
        <v>住宅建築局住宅経営室</v>
      </c>
    </row>
    <row r="4214" spans="1:18" s="1" customFormat="1" x14ac:dyDescent="0.45">
      <c r="A4214" s="7" t="str">
        <f t="shared" si="1491"/>
        <v>09940003567</v>
      </c>
      <c r="B4214" s="7" t="str">
        <f t="shared" si="1492"/>
        <v>守口金田北</v>
      </c>
      <c r="C4214" s="7" t="str">
        <f t="shared" si="1484"/>
        <v>行政財産</v>
      </c>
      <c r="D4214" s="7" t="str">
        <f t="shared" si="1493"/>
        <v>公営住宅</v>
      </c>
      <c r="E4214" s="7" t="str">
        <f t="shared" si="1494"/>
        <v>大阪府守口市金田町３丁目</v>
      </c>
      <c r="F4214" s="7"/>
      <c r="G4214" s="7" t="str">
        <f t="shared" si="1482"/>
        <v>事業用資産</v>
      </c>
      <c r="H4214" s="7" t="str">
        <f t="shared" si="1479"/>
        <v>棚卸以外</v>
      </c>
      <c r="I4214" s="7">
        <v>5</v>
      </c>
      <c r="J4214" s="7" t="str">
        <f>"受水槽"</f>
        <v>受水槽</v>
      </c>
      <c r="K4214" s="7" t="str">
        <f t="shared" si="1490"/>
        <v>鉄筋コンクリート造</v>
      </c>
      <c r="L4214" s="7" t="str">
        <f>"S62.03.29"</f>
        <v>S62.03.29</v>
      </c>
      <c r="M4214" s="7">
        <v>71.37</v>
      </c>
      <c r="N4214" s="7">
        <v>22273000</v>
      </c>
      <c r="O4214" s="7">
        <v>17060544</v>
      </c>
      <c r="P4214" s="7">
        <v>0</v>
      </c>
      <c r="Q4214" s="7" t="str">
        <f t="shared" si="1485"/>
        <v>都市整備部</v>
      </c>
      <c r="R4214" s="7" t="str">
        <f t="shared" si="1483"/>
        <v>住宅建築局住宅経営室</v>
      </c>
    </row>
    <row r="4215" spans="1:18" s="1" customFormat="1" x14ac:dyDescent="0.45">
      <c r="A4215" s="7" t="str">
        <f t="shared" si="1491"/>
        <v>09940003567</v>
      </c>
      <c r="B4215" s="7" t="str">
        <f t="shared" si="1492"/>
        <v>守口金田北</v>
      </c>
      <c r="C4215" s="7" t="str">
        <f t="shared" si="1484"/>
        <v>行政財産</v>
      </c>
      <c r="D4215" s="7" t="str">
        <f t="shared" si="1493"/>
        <v>公営住宅</v>
      </c>
      <c r="E4215" s="7" t="str">
        <f t="shared" si="1494"/>
        <v>大阪府守口市金田町３丁目</v>
      </c>
      <c r="F4215" s="7"/>
      <c r="G4215" s="7" t="str">
        <f t="shared" si="1482"/>
        <v>事業用資産</v>
      </c>
      <c r="H4215" s="7" t="str">
        <f t="shared" si="1479"/>
        <v>棚卸以外</v>
      </c>
      <c r="I4215" s="7">
        <v>6</v>
      </c>
      <c r="J4215" s="7" t="str">
        <f>"１号棟"</f>
        <v>１号棟</v>
      </c>
      <c r="K4215" s="7" t="str">
        <f t="shared" si="1490"/>
        <v>鉄筋コンクリート造</v>
      </c>
      <c r="L4215" s="7" t="str">
        <f>"S63.12.03"</f>
        <v>S63.12.03</v>
      </c>
      <c r="M4215" s="7">
        <v>1152.32</v>
      </c>
      <c r="N4215" s="7">
        <v>122989000</v>
      </c>
      <c r="O4215" s="7">
        <v>89625126</v>
      </c>
      <c r="P4215" s="7">
        <v>0</v>
      </c>
      <c r="Q4215" s="7" t="str">
        <f t="shared" si="1485"/>
        <v>都市整備部</v>
      </c>
      <c r="R4215" s="7" t="str">
        <f t="shared" si="1483"/>
        <v>住宅建築局住宅経営室</v>
      </c>
    </row>
    <row r="4216" spans="1:18" s="1" customFormat="1" x14ac:dyDescent="0.45">
      <c r="A4216" s="7" t="str">
        <f t="shared" si="1491"/>
        <v>09940003567</v>
      </c>
      <c r="B4216" s="7" t="str">
        <f t="shared" si="1492"/>
        <v>守口金田北</v>
      </c>
      <c r="C4216" s="7" t="str">
        <f t="shared" si="1484"/>
        <v>行政財産</v>
      </c>
      <c r="D4216" s="7" t="str">
        <f t="shared" si="1493"/>
        <v>公営住宅</v>
      </c>
      <c r="E4216" s="7" t="str">
        <f t="shared" si="1494"/>
        <v>大阪府守口市金田町３丁目</v>
      </c>
      <c r="F4216" s="7"/>
      <c r="G4216" s="7" t="str">
        <f t="shared" si="1482"/>
        <v>事業用資産</v>
      </c>
      <c r="H4216" s="7" t="str">
        <f t="shared" si="1479"/>
        <v>棚卸以外</v>
      </c>
      <c r="I4216" s="7">
        <v>7</v>
      </c>
      <c r="J4216" s="7" t="str">
        <f>"６号棟"</f>
        <v>６号棟</v>
      </c>
      <c r="K4216" s="7" t="str">
        <f t="shared" si="1490"/>
        <v>鉄筋コンクリート造</v>
      </c>
      <c r="L4216" s="7" t="str">
        <f>"S63.12.03"</f>
        <v>S63.12.03</v>
      </c>
      <c r="M4216" s="7">
        <v>2156.36</v>
      </c>
      <c r="N4216" s="7">
        <v>219415000</v>
      </c>
      <c r="O4216" s="7">
        <v>159892974</v>
      </c>
      <c r="P4216" s="7">
        <v>0</v>
      </c>
      <c r="Q4216" s="7" t="str">
        <f t="shared" si="1485"/>
        <v>都市整備部</v>
      </c>
      <c r="R4216" s="7" t="str">
        <f t="shared" si="1483"/>
        <v>住宅建築局住宅経営室</v>
      </c>
    </row>
    <row r="4217" spans="1:18" s="1" customFormat="1" x14ac:dyDescent="0.45">
      <c r="A4217" s="7" t="str">
        <f t="shared" si="1491"/>
        <v>09940003567</v>
      </c>
      <c r="B4217" s="7" t="str">
        <f t="shared" si="1492"/>
        <v>守口金田北</v>
      </c>
      <c r="C4217" s="7" t="str">
        <f t="shared" si="1484"/>
        <v>行政財産</v>
      </c>
      <c r="D4217" s="7" t="str">
        <f t="shared" si="1493"/>
        <v>公営住宅</v>
      </c>
      <c r="E4217" s="7" t="str">
        <f t="shared" si="1494"/>
        <v>大阪府守口市金田町３丁目</v>
      </c>
      <c r="F4217" s="7"/>
      <c r="G4217" s="7" t="str">
        <f t="shared" si="1482"/>
        <v>事業用資産</v>
      </c>
      <c r="H4217" s="7" t="str">
        <f t="shared" si="1479"/>
        <v>棚卸以外</v>
      </c>
      <c r="I4217" s="7">
        <v>8</v>
      </c>
      <c r="J4217" s="7" t="str">
        <f>"７号棟"</f>
        <v>７号棟</v>
      </c>
      <c r="K4217" s="7" t="str">
        <f t="shared" si="1490"/>
        <v>鉄筋コンクリート造</v>
      </c>
      <c r="L4217" s="7" t="str">
        <f>"S63.12.03"</f>
        <v>S63.12.03</v>
      </c>
      <c r="M4217" s="7">
        <v>2172.61</v>
      </c>
      <c r="N4217" s="7">
        <v>234095000</v>
      </c>
      <c r="O4217" s="7">
        <v>170590893</v>
      </c>
      <c r="P4217" s="7">
        <v>0</v>
      </c>
      <c r="Q4217" s="7" t="str">
        <f t="shared" si="1485"/>
        <v>都市整備部</v>
      </c>
      <c r="R4217" s="7" t="str">
        <f t="shared" si="1483"/>
        <v>住宅建築局住宅経営室</v>
      </c>
    </row>
    <row r="4218" spans="1:18" s="1" customFormat="1" x14ac:dyDescent="0.45">
      <c r="A4218" s="7" t="str">
        <f t="shared" si="1491"/>
        <v>09940003567</v>
      </c>
      <c r="B4218" s="7" t="str">
        <f t="shared" si="1492"/>
        <v>守口金田北</v>
      </c>
      <c r="C4218" s="7" t="str">
        <f t="shared" si="1484"/>
        <v>行政財産</v>
      </c>
      <c r="D4218" s="7" t="str">
        <f t="shared" si="1493"/>
        <v>公営住宅</v>
      </c>
      <c r="E4218" s="7" t="str">
        <f t="shared" si="1494"/>
        <v>大阪府守口市金田町３丁目</v>
      </c>
      <c r="F4218" s="7"/>
      <c r="G4218" s="7" t="str">
        <f t="shared" si="1482"/>
        <v>事業用資産</v>
      </c>
      <c r="H4218" s="7" t="str">
        <f t="shared" si="1479"/>
        <v>棚卸以外</v>
      </c>
      <c r="I4218" s="7">
        <v>9</v>
      </c>
      <c r="J4218" s="7" t="str">
        <f>"８号棟"</f>
        <v>８号棟</v>
      </c>
      <c r="K4218" s="7" t="str">
        <f t="shared" si="1490"/>
        <v>鉄筋コンクリート造</v>
      </c>
      <c r="L4218" s="7" t="str">
        <f>"S63.12.03"</f>
        <v>S63.12.03</v>
      </c>
      <c r="M4218" s="7">
        <v>1462.4</v>
      </c>
      <c r="N4218" s="7">
        <v>146398210</v>
      </c>
      <c r="O4218" s="7">
        <v>106258296</v>
      </c>
      <c r="P4218" s="7">
        <v>0</v>
      </c>
      <c r="Q4218" s="7" t="str">
        <f t="shared" si="1485"/>
        <v>都市整備部</v>
      </c>
      <c r="R4218" s="7" t="str">
        <f t="shared" si="1483"/>
        <v>住宅建築局住宅経営室</v>
      </c>
    </row>
    <row r="4219" spans="1:18" s="1" customFormat="1" x14ac:dyDescent="0.45">
      <c r="A4219" s="7" t="str">
        <f t="shared" si="1491"/>
        <v>09940003567</v>
      </c>
      <c r="B4219" s="7" t="str">
        <f t="shared" si="1492"/>
        <v>守口金田北</v>
      </c>
      <c r="C4219" s="7" t="str">
        <f t="shared" si="1484"/>
        <v>行政財産</v>
      </c>
      <c r="D4219" s="7" t="str">
        <f t="shared" si="1493"/>
        <v>公営住宅</v>
      </c>
      <c r="E4219" s="7" t="str">
        <f t="shared" si="1494"/>
        <v>大阪府守口市金田町３丁目</v>
      </c>
      <c r="F4219" s="7"/>
      <c r="G4219" s="7" t="str">
        <f t="shared" si="1482"/>
        <v>事業用資産</v>
      </c>
      <c r="H4219" s="7" t="str">
        <f t="shared" si="1479"/>
        <v>棚卸以外</v>
      </c>
      <c r="I4219" s="7">
        <v>10</v>
      </c>
      <c r="J4219" s="7" t="str">
        <f>"集会所"</f>
        <v>集会所</v>
      </c>
      <c r="K4219" s="7" t="str">
        <f t="shared" si="1490"/>
        <v>鉄筋コンクリート造</v>
      </c>
      <c r="L4219" s="7" t="str">
        <f>"S63.12.03"</f>
        <v>S63.12.03</v>
      </c>
      <c r="M4219" s="7">
        <v>148.21</v>
      </c>
      <c r="N4219" s="7">
        <v>21024000</v>
      </c>
      <c r="O4219" s="7">
        <v>15320847</v>
      </c>
      <c r="P4219" s="7">
        <v>0</v>
      </c>
      <c r="Q4219" s="7" t="str">
        <f t="shared" si="1485"/>
        <v>都市整備部</v>
      </c>
      <c r="R4219" s="7" t="str">
        <f t="shared" si="1483"/>
        <v>住宅建築局住宅経営室</v>
      </c>
    </row>
    <row r="4220" spans="1:18" s="1" customFormat="1" x14ac:dyDescent="0.45">
      <c r="A4220" s="7" t="str">
        <f t="shared" ref="A4220:A4229" si="1495">"09940003568"</f>
        <v>09940003568</v>
      </c>
      <c r="B4220" s="7" t="str">
        <f t="shared" ref="B4220:B4229" si="1496">"寝屋川高柳"</f>
        <v>寝屋川高柳</v>
      </c>
      <c r="C4220" s="7" t="str">
        <f t="shared" si="1484"/>
        <v>行政財産</v>
      </c>
      <c r="D4220" s="7" t="str">
        <f t="shared" si="1493"/>
        <v>公営住宅</v>
      </c>
      <c r="E4220" s="7" t="str">
        <f t="shared" ref="E4220:E4229" si="1497">"大阪府寝屋川市高柳２丁目"</f>
        <v>大阪府寝屋川市高柳２丁目</v>
      </c>
      <c r="F4220" s="7"/>
      <c r="G4220" s="7" t="str">
        <f t="shared" si="1482"/>
        <v>事業用資産</v>
      </c>
      <c r="H4220" s="7" t="str">
        <f t="shared" si="1479"/>
        <v>棚卸以外</v>
      </c>
      <c r="I4220" s="7">
        <v>1</v>
      </c>
      <c r="J4220" s="7" t="str">
        <f>"２号棟"</f>
        <v>２号棟</v>
      </c>
      <c r="K4220" s="7" t="str">
        <f t="shared" si="1490"/>
        <v>鉄筋コンクリート造</v>
      </c>
      <c r="L4220" s="7" t="str">
        <f t="shared" ref="L4220:L4225" si="1498">"H03.05.24"</f>
        <v>H03.05.24</v>
      </c>
      <c r="M4220" s="7">
        <v>1384.36</v>
      </c>
      <c r="N4220" s="7">
        <v>195631000</v>
      </c>
      <c r="O4220" s="7">
        <v>131241731</v>
      </c>
      <c r="P4220" s="7">
        <v>0</v>
      </c>
      <c r="Q4220" s="7" t="str">
        <f t="shared" si="1485"/>
        <v>都市整備部</v>
      </c>
      <c r="R4220" s="7" t="str">
        <f t="shared" si="1483"/>
        <v>住宅建築局住宅経営室</v>
      </c>
    </row>
    <row r="4221" spans="1:18" s="1" customFormat="1" x14ac:dyDescent="0.45">
      <c r="A4221" s="7" t="str">
        <f t="shared" si="1495"/>
        <v>09940003568</v>
      </c>
      <c r="B4221" s="7" t="str">
        <f t="shared" si="1496"/>
        <v>寝屋川高柳</v>
      </c>
      <c r="C4221" s="7" t="str">
        <f t="shared" si="1484"/>
        <v>行政財産</v>
      </c>
      <c r="D4221" s="7" t="str">
        <f t="shared" si="1493"/>
        <v>公営住宅</v>
      </c>
      <c r="E4221" s="7" t="str">
        <f t="shared" si="1497"/>
        <v>大阪府寝屋川市高柳２丁目</v>
      </c>
      <c r="F4221" s="7"/>
      <c r="G4221" s="7" t="str">
        <f t="shared" si="1482"/>
        <v>事業用資産</v>
      </c>
      <c r="H4221" s="7" t="str">
        <f t="shared" si="1479"/>
        <v>棚卸以外</v>
      </c>
      <c r="I4221" s="7">
        <v>2</v>
      </c>
      <c r="J4221" s="7" t="str">
        <f>"受水槽"</f>
        <v>受水槽</v>
      </c>
      <c r="K4221" s="7" t="str">
        <f t="shared" si="1490"/>
        <v>鉄筋コンクリート造</v>
      </c>
      <c r="L4221" s="7" t="str">
        <f t="shared" si="1498"/>
        <v>H03.05.24</v>
      </c>
      <c r="M4221" s="7">
        <v>60.4</v>
      </c>
      <c r="N4221" s="7">
        <v>26140000</v>
      </c>
      <c r="O4221" s="7">
        <v>17704936</v>
      </c>
      <c r="P4221" s="7">
        <v>0</v>
      </c>
      <c r="Q4221" s="7" t="str">
        <f t="shared" si="1485"/>
        <v>都市整備部</v>
      </c>
      <c r="R4221" s="7" t="str">
        <f t="shared" si="1483"/>
        <v>住宅建築局住宅経営室</v>
      </c>
    </row>
    <row r="4222" spans="1:18" s="1" customFormat="1" x14ac:dyDescent="0.45">
      <c r="A4222" s="7" t="str">
        <f t="shared" si="1495"/>
        <v>09940003568</v>
      </c>
      <c r="B4222" s="7" t="str">
        <f t="shared" si="1496"/>
        <v>寝屋川高柳</v>
      </c>
      <c r="C4222" s="7" t="str">
        <f t="shared" si="1484"/>
        <v>行政財産</v>
      </c>
      <c r="D4222" s="7" t="str">
        <f t="shared" si="1493"/>
        <v>公営住宅</v>
      </c>
      <c r="E4222" s="7" t="str">
        <f t="shared" si="1497"/>
        <v>大阪府寝屋川市高柳２丁目</v>
      </c>
      <c r="F4222" s="7"/>
      <c r="G4222" s="7" t="str">
        <f t="shared" si="1482"/>
        <v>事業用資産</v>
      </c>
      <c r="H4222" s="7" t="str">
        <f t="shared" si="1479"/>
        <v>棚卸以外</v>
      </c>
      <c r="I4222" s="7">
        <v>3</v>
      </c>
      <c r="J4222" s="7" t="str">
        <f>"１号棟"</f>
        <v>１号棟</v>
      </c>
      <c r="K4222" s="7" t="str">
        <f t="shared" si="1490"/>
        <v>鉄筋コンクリート造</v>
      </c>
      <c r="L4222" s="7" t="str">
        <f t="shared" si="1498"/>
        <v>H03.05.24</v>
      </c>
      <c r="M4222" s="7">
        <v>2181.94</v>
      </c>
      <c r="N4222" s="7">
        <v>386093000</v>
      </c>
      <c r="O4222" s="7">
        <v>261503066</v>
      </c>
      <c r="P4222" s="7">
        <v>0</v>
      </c>
      <c r="Q4222" s="7" t="str">
        <f t="shared" si="1485"/>
        <v>都市整備部</v>
      </c>
      <c r="R4222" s="7" t="str">
        <f t="shared" si="1483"/>
        <v>住宅建築局住宅経営室</v>
      </c>
    </row>
    <row r="4223" spans="1:18" s="1" customFormat="1" x14ac:dyDescent="0.45">
      <c r="A4223" s="7" t="str">
        <f t="shared" si="1495"/>
        <v>09940003568</v>
      </c>
      <c r="B4223" s="7" t="str">
        <f t="shared" si="1496"/>
        <v>寝屋川高柳</v>
      </c>
      <c r="C4223" s="7" t="str">
        <f t="shared" si="1484"/>
        <v>行政財産</v>
      </c>
      <c r="D4223" s="7" t="str">
        <f t="shared" si="1493"/>
        <v>公営住宅</v>
      </c>
      <c r="E4223" s="7" t="str">
        <f t="shared" si="1497"/>
        <v>大阪府寝屋川市高柳２丁目</v>
      </c>
      <c r="F4223" s="7"/>
      <c r="G4223" s="7" t="str">
        <f t="shared" si="1482"/>
        <v>事業用資産</v>
      </c>
      <c r="H4223" s="7" t="str">
        <f t="shared" si="1479"/>
        <v>棚卸以外</v>
      </c>
      <c r="I4223" s="7">
        <v>4</v>
      </c>
      <c r="J4223" s="7" t="str">
        <f>"３号棟"</f>
        <v>３号棟</v>
      </c>
      <c r="K4223" s="7" t="str">
        <f t="shared" si="1490"/>
        <v>鉄筋コンクリート造</v>
      </c>
      <c r="L4223" s="7" t="str">
        <f t="shared" si="1498"/>
        <v>H03.05.24</v>
      </c>
      <c r="M4223" s="7">
        <v>4098.66</v>
      </c>
      <c r="N4223" s="7">
        <v>808342300</v>
      </c>
      <c r="O4223" s="7">
        <v>547082446</v>
      </c>
      <c r="P4223" s="7">
        <v>0</v>
      </c>
      <c r="Q4223" s="7" t="str">
        <f t="shared" si="1485"/>
        <v>都市整備部</v>
      </c>
      <c r="R4223" s="7" t="str">
        <f t="shared" si="1483"/>
        <v>住宅建築局住宅経営室</v>
      </c>
    </row>
    <row r="4224" spans="1:18" s="1" customFormat="1" x14ac:dyDescent="0.45">
      <c r="A4224" s="7" t="str">
        <f t="shared" si="1495"/>
        <v>09940003568</v>
      </c>
      <c r="B4224" s="7" t="str">
        <f t="shared" si="1496"/>
        <v>寝屋川高柳</v>
      </c>
      <c r="C4224" s="7" t="str">
        <f t="shared" si="1484"/>
        <v>行政財産</v>
      </c>
      <c r="D4224" s="7" t="str">
        <f t="shared" si="1493"/>
        <v>公営住宅</v>
      </c>
      <c r="E4224" s="7" t="str">
        <f t="shared" si="1497"/>
        <v>大阪府寝屋川市高柳２丁目</v>
      </c>
      <c r="F4224" s="7"/>
      <c r="G4224" s="7" t="str">
        <f t="shared" si="1482"/>
        <v>事業用資産</v>
      </c>
      <c r="H4224" s="7" t="str">
        <f t="shared" si="1479"/>
        <v>棚卸以外</v>
      </c>
      <c r="I4224" s="7">
        <v>5</v>
      </c>
      <c r="J4224" s="7" t="str">
        <f>"集会所"</f>
        <v>集会所</v>
      </c>
      <c r="K4224" s="7" t="str">
        <f t="shared" ref="K4224:K4255" si="1499">"鉄筋コンクリート造"</f>
        <v>鉄筋コンクリート造</v>
      </c>
      <c r="L4224" s="7" t="str">
        <f t="shared" si="1498"/>
        <v>H03.05.24</v>
      </c>
      <c r="M4224" s="7">
        <v>99.81</v>
      </c>
      <c r="N4224" s="7">
        <v>31023000</v>
      </c>
      <c r="O4224" s="7">
        <v>21012292</v>
      </c>
      <c r="P4224" s="7">
        <v>0</v>
      </c>
      <c r="Q4224" s="7" t="str">
        <f t="shared" si="1485"/>
        <v>都市整備部</v>
      </c>
      <c r="R4224" s="7" t="str">
        <f t="shared" si="1483"/>
        <v>住宅建築局住宅経営室</v>
      </c>
    </row>
    <row r="4225" spans="1:18" s="1" customFormat="1" x14ac:dyDescent="0.45">
      <c r="A4225" s="7" t="str">
        <f t="shared" si="1495"/>
        <v>09940003568</v>
      </c>
      <c r="B4225" s="7" t="str">
        <f t="shared" si="1496"/>
        <v>寝屋川高柳</v>
      </c>
      <c r="C4225" s="7" t="str">
        <f t="shared" si="1484"/>
        <v>行政財産</v>
      </c>
      <c r="D4225" s="7" t="str">
        <f t="shared" si="1493"/>
        <v>公営住宅</v>
      </c>
      <c r="E4225" s="7" t="str">
        <f t="shared" si="1497"/>
        <v>大阪府寝屋川市高柳２丁目</v>
      </c>
      <c r="F4225" s="7"/>
      <c r="G4225" s="7" t="str">
        <f t="shared" si="1482"/>
        <v>事業用資産</v>
      </c>
      <c r="H4225" s="7" t="str">
        <f t="shared" si="1479"/>
        <v>棚卸以外</v>
      </c>
      <c r="I4225" s="7">
        <v>6</v>
      </c>
      <c r="J4225" s="7" t="str">
        <f>"電気室"</f>
        <v>電気室</v>
      </c>
      <c r="K4225" s="7" t="str">
        <f t="shared" si="1499"/>
        <v>鉄筋コンクリート造</v>
      </c>
      <c r="L4225" s="7" t="str">
        <f t="shared" si="1498"/>
        <v>H03.05.24</v>
      </c>
      <c r="M4225" s="7">
        <v>31.2</v>
      </c>
      <c r="N4225" s="7">
        <v>8137000</v>
      </c>
      <c r="O4225" s="7">
        <v>5511496</v>
      </c>
      <c r="P4225" s="7">
        <v>0</v>
      </c>
      <c r="Q4225" s="7" t="str">
        <f t="shared" si="1485"/>
        <v>都市整備部</v>
      </c>
      <c r="R4225" s="7" t="str">
        <f t="shared" si="1483"/>
        <v>住宅建築局住宅経営室</v>
      </c>
    </row>
    <row r="4226" spans="1:18" s="1" customFormat="1" x14ac:dyDescent="0.45">
      <c r="A4226" s="7" t="str">
        <f t="shared" si="1495"/>
        <v>09940003568</v>
      </c>
      <c r="B4226" s="7" t="str">
        <f t="shared" si="1496"/>
        <v>寝屋川高柳</v>
      </c>
      <c r="C4226" s="7" t="str">
        <f t="shared" si="1484"/>
        <v>行政財産</v>
      </c>
      <c r="D4226" s="7" t="str">
        <f t="shared" si="1493"/>
        <v>公営住宅</v>
      </c>
      <c r="E4226" s="7" t="str">
        <f t="shared" si="1497"/>
        <v>大阪府寝屋川市高柳２丁目</v>
      </c>
      <c r="F4226" s="7"/>
      <c r="G4226" s="7" t="str">
        <f t="shared" si="1482"/>
        <v>事業用資産</v>
      </c>
      <c r="H4226" s="7" t="str">
        <f t="shared" si="1479"/>
        <v>棚卸以外</v>
      </c>
      <c r="I4226" s="7">
        <v>7</v>
      </c>
      <c r="J4226" s="7" t="str">
        <f>"４号棟"</f>
        <v>４号棟</v>
      </c>
      <c r="K4226" s="7" t="str">
        <f t="shared" si="1499"/>
        <v>鉄筋コンクリート造</v>
      </c>
      <c r="L4226" s="7" t="str">
        <f>"H06.06.01"</f>
        <v>H06.06.01</v>
      </c>
      <c r="M4226" s="7">
        <v>3438.64</v>
      </c>
      <c r="N4226" s="7">
        <v>656735150</v>
      </c>
      <c r="O4226" s="7">
        <v>401540325</v>
      </c>
      <c r="P4226" s="7">
        <v>0</v>
      </c>
      <c r="Q4226" s="7" t="str">
        <f t="shared" si="1485"/>
        <v>都市整備部</v>
      </c>
      <c r="R4226" s="7" t="str">
        <f t="shared" si="1483"/>
        <v>住宅建築局住宅経営室</v>
      </c>
    </row>
    <row r="4227" spans="1:18" s="1" customFormat="1" x14ac:dyDescent="0.45">
      <c r="A4227" s="7" t="str">
        <f t="shared" si="1495"/>
        <v>09940003568</v>
      </c>
      <c r="B4227" s="7" t="str">
        <f t="shared" si="1496"/>
        <v>寝屋川高柳</v>
      </c>
      <c r="C4227" s="7" t="str">
        <f t="shared" si="1484"/>
        <v>行政財産</v>
      </c>
      <c r="D4227" s="7" t="str">
        <f t="shared" si="1493"/>
        <v>公営住宅</v>
      </c>
      <c r="E4227" s="7" t="str">
        <f t="shared" si="1497"/>
        <v>大阪府寝屋川市高柳２丁目</v>
      </c>
      <c r="F4227" s="7"/>
      <c r="G4227" s="7" t="str">
        <f t="shared" si="1482"/>
        <v>事業用資産</v>
      </c>
      <c r="H4227" s="7" t="str">
        <f t="shared" si="1479"/>
        <v>棚卸以外</v>
      </c>
      <c r="I4227" s="7">
        <v>8</v>
      </c>
      <c r="J4227" s="7" t="str">
        <f>"５号棟"</f>
        <v>５号棟</v>
      </c>
      <c r="K4227" s="7" t="str">
        <f t="shared" si="1499"/>
        <v>鉄筋コンクリート造</v>
      </c>
      <c r="L4227" s="7" t="str">
        <f>"H06.06.01"</f>
        <v>H06.06.01</v>
      </c>
      <c r="M4227" s="7">
        <v>1446.81</v>
      </c>
      <c r="N4227" s="7">
        <v>241970000</v>
      </c>
      <c r="O4227" s="7">
        <v>148013625</v>
      </c>
      <c r="P4227" s="7">
        <v>0</v>
      </c>
      <c r="Q4227" s="7" t="str">
        <f t="shared" si="1485"/>
        <v>都市整備部</v>
      </c>
      <c r="R4227" s="7" t="str">
        <f t="shared" si="1483"/>
        <v>住宅建築局住宅経営室</v>
      </c>
    </row>
    <row r="4228" spans="1:18" s="1" customFormat="1" x14ac:dyDescent="0.45">
      <c r="A4228" s="7" t="str">
        <f t="shared" si="1495"/>
        <v>09940003568</v>
      </c>
      <c r="B4228" s="7" t="str">
        <f t="shared" si="1496"/>
        <v>寝屋川高柳</v>
      </c>
      <c r="C4228" s="7" t="str">
        <f t="shared" si="1484"/>
        <v>行政財産</v>
      </c>
      <c r="D4228" s="7" t="str">
        <f t="shared" si="1493"/>
        <v>公営住宅</v>
      </c>
      <c r="E4228" s="7" t="str">
        <f t="shared" si="1497"/>
        <v>大阪府寝屋川市高柳２丁目</v>
      </c>
      <c r="F4228" s="7"/>
      <c r="G4228" s="7" t="str">
        <f t="shared" si="1482"/>
        <v>事業用資産</v>
      </c>
      <c r="H4228" s="7" t="str">
        <f t="shared" ref="H4228:H4291" si="1500">"棚卸以外"</f>
        <v>棚卸以外</v>
      </c>
      <c r="I4228" s="7">
        <v>9</v>
      </c>
      <c r="J4228" s="7" t="str">
        <f>"６号棟"</f>
        <v>６号棟</v>
      </c>
      <c r="K4228" s="7" t="str">
        <f t="shared" si="1499"/>
        <v>鉄筋コンクリート造</v>
      </c>
      <c r="L4228" s="7" t="str">
        <f>"H06.06.01"</f>
        <v>H06.06.01</v>
      </c>
      <c r="M4228" s="7">
        <v>1439.02</v>
      </c>
      <c r="N4228" s="7">
        <v>236301000</v>
      </c>
      <c r="O4228" s="7">
        <v>144546030</v>
      </c>
      <c r="P4228" s="7">
        <v>0</v>
      </c>
      <c r="Q4228" s="7" t="str">
        <f t="shared" si="1485"/>
        <v>都市整備部</v>
      </c>
      <c r="R4228" s="7" t="str">
        <f t="shared" si="1483"/>
        <v>住宅建築局住宅経営室</v>
      </c>
    </row>
    <row r="4229" spans="1:18" s="1" customFormat="1" x14ac:dyDescent="0.45">
      <c r="A4229" s="7" t="str">
        <f t="shared" si="1495"/>
        <v>09940003568</v>
      </c>
      <c r="B4229" s="7" t="str">
        <f t="shared" si="1496"/>
        <v>寝屋川高柳</v>
      </c>
      <c r="C4229" s="7" t="str">
        <f t="shared" si="1484"/>
        <v>行政財産</v>
      </c>
      <c r="D4229" s="7" t="str">
        <f t="shared" si="1493"/>
        <v>公営住宅</v>
      </c>
      <c r="E4229" s="7" t="str">
        <f t="shared" si="1497"/>
        <v>大阪府寝屋川市高柳２丁目</v>
      </c>
      <c r="F4229" s="7"/>
      <c r="G4229" s="7" t="str">
        <f t="shared" si="1482"/>
        <v>事業用資産</v>
      </c>
      <c r="H4229" s="7" t="str">
        <f t="shared" si="1500"/>
        <v>棚卸以外</v>
      </c>
      <c r="I4229" s="7">
        <v>10</v>
      </c>
      <c r="J4229" s="7" t="str">
        <f>"受水槽"</f>
        <v>受水槽</v>
      </c>
      <c r="K4229" s="7" t="str">
        <f t="shared" si="1499"/>
        <v>鉄筋コンクリート造</v>
      </c>
      <c r="L4229" s="7" t="str">
        <f>"H06.06.01"</f>
        <v>H06.06.01</v>
      </c>
      <c r="M4229" s="7">
        <v>54.26</v>
      </c>
      <c r="N4229" s="7">
        <v>30754000</v>
      </c>
      <c r="O4229" s="7">
        <v>18812505</v>
      </c>
      <c r="P4229" s="7">
        <v>0</v>
      </c>
      <c r="Q4229" s="7" t="str">
        <f t="shared" si="1485"/>
        <v>都市整備部</v>
      </c>
      <c r="R4229" s="7" t="str">
        <f t="shared" si="1483"/>
        <v>住宅建築局住宅経営室</v>
      </c>
    </row>
    <row r="4230" spans="1:18" s="1" customFormat="1" x14ac:dyDescent="0.45">
      <c r="A4230" s="7" t="str">
        <f t="shared" ref="A4230:A4236" si="1501">"09940003569"</f>
        <v>09940003569</v>
      </c>
      <c r="B4230" s="7" t="str">
        <f t="shared" ref="B4230:B4236" si="1502">"枚方高田"</f>
        <v>枚方高田</v>
      </c>
      <c r="C4230" s="7" t="str">
        <f t="shared" si="1484"/>
        <v>行政財産</v>
      </c>
      <c r="D4230" s="7" t="str">
        <f t="shared" si="1493"/>
        <v>公営住宅</v>
      </c>
      <c r="E4230" s="7" t="str">
        <f t="shared" ref="E4230:E4236" si="1503">"大阪府枚方市高田２丁目"</f>
        <v>大阪府枚方市高田２丁目</v>
      </c>
      <c r="F4230" s="7"/>
      <c r="G4230" s="7" t="str">
        <f t="shared" si="1482"/>
        <v>事業用資産</v>
      </c>
      <c r="H4230" s="7" t="str">
        <f t="shared" si="1500"/>
        <v>棚卸以外</v>
      </c>
      <c r="I4230" s="7">
        <v>1</v>
      </c>
      <c r="J4230" s="7" t="str">
        <f>"２号棟"</f>
        <v>２号棟</v>
      </c>
      <c r="K4230" s="7" t="str">
        <f t="shared" si="1499"/>
        <v>鉄筋コンクリート造</v>
      </c>
      <c r="L4230" s="7" t="str">
        <f>"S50.04.30"</f>
        <v>S50.04.30</v>
      </c>
      <c r="M4230" s="7">
        <v>1607.4</v>
      </c>
      <c r="N4230" s="7">
        <v>115284000</v>
      </c>
      <c r="O4230" s="7">
        <v>115283999</v>
      </c>
      <c r="P4230" s="7">
        <v>0</v>
      </c>
      <c r="Q4230" s="7" t="str">
        <f t="shared" si="1485"/>
        <v>都市整備部</v>
      </c>
      <c r="R4230" s="7" t="str">
        <f t="shared" si="1483"/>
        <v>住宅建築局住宅経営室</v>
      </c>
    </row>
    <row r="4231" spans="1:18" s="1" customFormat="1" x14ac:dyDescent="0.45">
      <c r="A4231" s="7" t="str">
        <f t="shared" si="1501"/>
        <v>09940003569</v>
      </c>
      <c r="B4231" s="7" t="str">
        <f t="shared" si="1502"/>
        <v>枚方高田</v>
      </c>
      <c r="C4231" s="7" t="str">
        <f t="shared" si="1484"/>
        <v>行政財産</v>
      </c>
      <c r="D4231" s="7" t="str">
        <f t="shared" si="1493"/>
        <v>公営住宅</v>
      </c>
      <c r="E4231" s="7" t="str">
        <f t="shared" si="1503"/>
        <v>大阪府枚方市高田２丁目</v>
      </c>
      <c r="F4231" s="7"/>
      <c r="G4231" s="7" t="str">
        <f t="shared" si="1482"/>
        <v>事業用資産</v>
      </c>
      <c r="H4231" s="7" t="str">
        <f t="shared" si="1500"/>
        <v>棚卸以外</v>
      </c>
      <c r="I4231" s="7">
        <v>2</v>
      </c>
      <c r="J4231" s="7" t="str">
        <f>"１号棟"</f>
        <v>１号棟</v>
      </c>
      <c r="K4231" s="7" t="str">
        <f t="shared" si="1499"/>
        <v>鉄筋コンクリート造</v>
      </c>
      <c r="L4231" s="7" t="str">
        <f>"S50.04.30"</f>
        <v>S50.04.30</v>
      </c>
      <c r="M4231" s="7">
        <v>1507.2</v>
      </c>
      <c r="N4231" s="7">
        <v>119096000</v>
      </c>
      <c r="O4231" s="7">
        <v>119095999</v>
      </c>
      <c r="P4231" s="7">
        <v>0</v>
      </c>
      <c r="Q4231" s="7" t="str">
        <f t="shared" si="1485"/>
        <v>都市整備部</v>
      </c>
      <c r="R4231" s="7" t="str">
        <f t="shared" si="1483"/>
        <v>住宅建築局住宅経営室</v>
      </c>
    </row>
    <row r="4232" spans="1:18" s="1" customFormat="1" x14ac:dyDescent="0.45">
      <c r="A4232" s="7" t="str">
        <f t="shared" si="1501"/>
        <v>09940003569</v>
      </c>
      <c r="B4232" s="7" t="str">
        <f t="shared" si="1502"/>
        <v>枚方高田</v>
      </c>
      <c r="C4232" s="7" t="str">
        <f t="shared" si="1484"/>
        <v>行政財産</v>
      </c>
      <c r="D4232" s="7" t="str">
        <f t="shared" si="1493"/>
        <v>公営住宅</v>
      </c>
      <c r="E4232" s="7" t="str">
        <f t="shared" si="1503"/>
        <v>大阪府枚方市高田２丁目</v>
      </c>
      <c r="F4232" s="7"/>
      <c r="G4232" s="7" t="str">
        <f t="shared" si="1482"/>
        <v>事業用資産</v>
      </c>
      <c r="H4232" s="7" t="str">
        <f t="shared" si="1500"/>
        <v>棚卸以外</v>
      </c>
      <c r="I4232" s="7">
        <v>3</v>
      </c>
      <c r="J4232" s="7" t="str">
        <f>"集会所"</f>
        <v>集会所</v>
      </c>
      <c r="K4232" s="7" t="str">
        <f t="shared" si="1499"/>
        <v>鉄筋コンクリート造</v>
      </c>
      <c r="L4232" s="7" t="str">
        <f>"S50.12.24"</f>
        <v>S50.12.24</v>
      </c>
      <c r="M4232" s="7">
        <v>61.21</v>
      </c>
      <c r="N4232" s="7">
        <v>15092000</v>
      </c>
      <c r="O4232" s="7">
        <v>15091999</v>
      </c>
      <c r="P4232" s="7">
        <v>0</v>
      </c>
      <c r="Q4232" s="7" t="str">
        <f t="shared" si="1485"/>
        <v>都市整備部</v>
      </c>
      <c r="R4232" s="7" t="str">
        <f t="shared" si="1483"/>
        <v>住宅建築局住宅経営室</v>
      </c>
    </row>
    <row r="4233" spans="1:18" s="1" customFormat="1" x14ac:dyDescent="0.45">
      <c r="A4233" s="7" t="str">
        <f t="shared" si="1501"/>
        <v>09940003569</v>
      </c>
      <c r="B4233" s="7" t="str">
        <f t="shared" si="1502"/>
        <v>枚方高田</v>
      </c>
      <c r="C4233" s="7" t="str">
        <f t="shared" si="1484"/>
        <v>行政財産</v>
      </c>
      <c r="D4233" s="7" t="str">
        <f t="shared" si="1493"/>
        <v>公営住宅</v>
      </c>
      <c r="E4233" s="7" t="str">
        <f t="shared" si="1503"/>
        <v>大阪府枚方市高田２丁目</v>
      </c>
      <c r="F4233" s="7"/>
      <c r="G4233" s="7" t="str">
        <f t="shared" si="1482"/>
        <v>事業用資産</v>
      </c>
      <c r="H4233" s="7" t="str">
        <f t="shared" si="1500"/>
        <v>棚卸以外</v>
      </c>
      <c r="I4233" s="7">
        <v>4</v>
      </c>
      <c r="J4233" s="7" t="str">
        <f>"４号棟"</f>
        <v>４号棟</v>
      </c>
      <c r="K4233" s="7" t="str">
        <f t="shared" si="1499"/>
        <v>鉄筋コンクリート造</v>
      </c>
      <c r="L4233" s="7" t="str">
        <f>"S57.03.26"</f>
        <v>S57.03.26</v>
      </c>
      <c r="M4233" s="7">
        <v>2822.8</v>
      </c>
      <c r="N4233" s="7">
        <v>281340000</v>
      </c>
      <c r="O4233" s="7">
        <v>245424360</v>
      </c>
      <c r="P4233" s="7">
        <v>0</v>
      </c>
      <c r="Q4233" s="7" t="str">
        <f t="shared" si="1485"/>
        <v>都市整備部</v>
      </c>
      <c r="R4233" s="7" t="str">
        <f t="shared" si="1483"/>
        <v>住宅建築局住宅経営室</v>
      </c>
    </row>
    <row r="4234" spans="1:18" s="1" customFormat="1" x14ac:dyDescent="0.45">
      <c r="A4234" s="7" t="str">
        <f t="shared" si="1501"/>
        <v>09940003569</v>
      </c>
      <c r="B4234" s="7" t="str">
        <f t="shared" si="1502"/>
        <v>枚方高田</v>
      </c>
      <c r="C4234" s="7" t="str">
        <f t="shared" si="1484"/>
        <v>行政財産</v>
      </c>
      <c r="D4234" s="7" t="str">
        <f t="shared" si="1493"/>
        <v>公営住宅</v>
      </c>
      <c r="E4234" s="7" t="str">
        <f t="shared" si="1503"/>
        <v>大阪府枚方市高田２丁目</v>
      </c>
      <c r="F4234" s="7"/>
      <c r="G4234" s="7" t="str">
        <f t="shared" si="1482"/>
        <v>事業用資産</v>
      </c>
      <c r="H4234" s="7" t="str">
        <f t="shared" si="1500"/>
        <v>棚卸以外</v>
      </c>
      <c r="I4234" s="7">
        <v>5</v>
      </c>
      <c r="J4234" s="7" t="str">
        <f>"３号棟"</f>
        <v>３号棟</v>
      </c>
      <c r="K4234" s="7" t="str">
        <f t="shared" si="1499"/>
        <v>鉄筋コンクリート造</v>
      </c>
      <c r="L4234" s="7" t="str">
        <f>"S57.03.26"</f>
        <v>S57.03.26</v>
      </c>
      <c r="M4234" s="7">
        <v>2013.75</v>
      </c>
      <c r="N4234" s="7">
        <v>40097468</v>
      </c>
      <c r="O4234" s="7">
        <v>34978740</v>
      </c>
      <c r="P4234" s="7">
        <v>0</v>
      </c>
      <c r="Q4234" s="7" t="str">
        <f t="shared" si="1485"/>
        <v>都市整備部</v>
      </c>
      <c r="R4234" s="7" t="str">
        <f t="shared" si="1483"/>
        <v>住宅建築局住宅経営室</v>
      </c>
    </row>
    <row r="4235" spans="1:18" s="1" customFormat="1" x14ac:dyDescent="0.45">
      <c r="A4235" s="7" t="str">
        <f t="shared" si="1501"/>
        <v>09940003569</v>
      </c>
      <c r="B4235" s="7" t="str">
        <f t="shared" si="1502"/>
        <v>枚方高田</v>
      </c>
      <c r="C4235" s="7" t="str">
        <f t="shared" si="1484"/>
        <v>行政財産</v>
      </c>
      <c r="D4235" s="7" t="str">
        <f t="shared" si="1493"/>
        <v>公営住宅</v>
      </c>
      <c r="E4235" s="7" t="str">
        <f t="shared" si="1503"/>
        <v>大阪府枚方市高田２丁目</v>
      </c>
      <c r="F4235" s="7"/>
      <c r="G4235" s="7" t="str">
        <f t="shared" si="1482"/>
        <v>事業用資産</v>
      </c>
      <c r="H4235" s="7" t="str">
        <f t="shared" si="1500"/>
        <v>棚卸以外</v>
      </c>
      <c r="I4235" s="7">
        <v>6</v>
      </c>
      <c r="J4235" s="7" t="str">
        <f>"５号棟"</f>
        <v>５号棟</v>
      </c>
      <c r="K4235" s="7" t="str">
        <f t="shared" si="1499"/>
        <v>鉄筋コンクリート造</v>
      </c>
      <c r="L4235" s="7" t="str">
        <f>"S57.03.26"</f>
        <v>S57.03.26</v>
      </c>
      <c r="M4235" s="7">
        <v>2151.5500000000002</v>
      </c>
      <c r="N4235" s="7">
        <v>221096000</v>
      </c>
      <c r="O4235" s="7">
        <v>192871380</v>
      </c>
      <c r="P4235" s="7">
        <v>0</v>
      </c>
      <c r="Q4235" s="7" t="str">
        <f t="shared" si="1485"/>
        <v>都市整備部</v>
      </c>
      <c r="R4235" s="7" t="str">
        <f t="shared" si="1483"/>
        <v>住宅建築局住宅経営室</v>
      </c>
    </row>
    <row r="4236" spans="1:18" s="1" customFormat="1" x14ac:dyDescent="0.45">
      <c r="A4236" s="7" t="str">
        <f t="shared" si="1501"/>
        <v>09940003569</v>
      </c>
      <c r="B4236" s="7" t="str">
        <f t="shared" si="1502"/>
        <v>枚方高田</v>
      </c>
      <c r="C4236" s="7" t="str">
        <f t="shared" si="1484"/>
        <v>行政財産</v>
      </c>
      <c r="D4236" s="7" t="str">
        <f t="shared" si="1493"/>
        <v>公営住宅</v>
      </c>
      <c r="E4236" s="7" t="str">
        <f t="shared" si="1503"/>
        <v>大阪府枚方市高田２丁目</v>
      </c>
      <c r="F4236" s="7"/>
      <c r="G4236" s="7" t="str">
        <f t="shared" si="1482"/>
        <v>事業用資産</v>
      </c>
      <c r="H4236" s="7" t="str">
        <f t="shared" si="1500"/>
        <v>棚卸以外</v>
      </c>
      <c r="I4236" s="7">
        <v>7</v>
      </c>
      <c r="J4236" s="7" t="str">
        <f>"ポンプ室"</f>
        <v>ポンプ室</v>
      </c>
      <c r="K4236" s="7" t="str">
        <f t="shared" si="1499"/>
        <v>鉄筋コンクリート造</v>
      </c>
      <c r="L4236" s="7" t="str">
        <f>"S57.03.26"</f>
        <v>S57.03.26</v>
      </c>
      <c r="M4236" s="7">
        <v>60.4</v>
      </c>
      <c r="N4236" s="7">
        <v>18601000</v>
      </c>
      <c r="O4236" s="7">
        <v>16226652</v>
      </c>
      <c r="P4236" s="7">
        <v>0</v>
      </c>
      <c r="Q4236" s="7" t="str">
        <f t="shared" si="1485"/>
        <v>都市整備部</v>
      </c>
      <c r="R4236" s="7" t="str">
        <f t="shared" si="1483"/>
        <v>住宅建築局住宅経営室</v>
      </c>
    </row>
    <row r="4237" spans="1:18" s="1" customFormat="1" x14ac:dyDescent="0.45">
      <c r="A4237" s="7" t="str">
        <f t="shared" ref="A4237:A4250" si="1504">"09940003570"</f>
        <v>09940003570</v>
      </c>
      <c r="B4237" s="7" t="str">
        <f t="shared" ref="B4237:B4250" si="1505">"寝屋川春日"</f>
        <v>寝屋川春日</v>
      </c>
      <c r="C4237" s="7" t="str">
        <f t="shared" si="1484"/>
        <v>行政財産</v>
      </c>
      <c r="D4237" s="7" t="str">
        <f t="shared" si="1493"/>
        <v>公営住宅</v>
      </c>
      <c r="E4237" s="7" t="str">
        <f t="shared" ref="E4237:E4250" si="1506">"大阪府寝屋川市春日町"</f>
        <v>大阪府寝屋川市春日町</v>
      </c>
      <c r="F4237" s="7" t="str">
        <f t="shared" ref="F4237:F4250" si="1507">"・葛原新町"</f>
        <v>・葛原新町</v>
      </c>
      <c r="G4237" s="7" t="str">
        <f t="shared" si="1482"/>
        <v>事業用資産</v>
      </c>
      <c r="H4237" s="7" t="str">
        <f t="shared" si="1500"/>
        <v>棚卸以外</v>
      </c>
      <c r="I4237" s="7">
        <v>1</v>
      </c>
      <c r="J4237" s="7" t="str">
        <f>"１号棟"</f>
        <v>１号棟</v>
      </c>
      <c r="K4237" s="7" t="str">
        <f t="shared" si="1499"/>
        <v>鉄筋コンクリート造</v>
      </c>
      <c r="L4237" s="7" t="str">
        <f t="shared" ref="L4237:L4242" si="1508">"H03.04.26"</f>
        <v>H03.04.26</v>
      </c>
      <c r="M4237" s="7">
        <v>1770.49</v>
      </c>
      <c r="N4237" s="7">
        <v>242234708</v>
      </c>
      <c r="O4237" s="7">
        <v>162941282</v>
      </c>
      <c r="P4237" s="7">
        <v>0</v>
      </c>
      <c r="Q4237" s="7" t="str">
        <f t="shared" si="1485"/>
        <v>都市整備部</v>
      </c>
      <c r="R4237" s="7" t="str">
        <f t="shared" si="1483"/>
        <v>住宅建築局住宅経営室</v>
      </c>
    </row>
    <row r="4238" spans="1:18" s="1" customFormat="1" x14ac:dyDescent="0.45">
      <c r="A4238" s="7" t="str">
        <f t="shared" si="1504"/>
        <v>09940003570</v>
      </c>
      <c r="B4238" s="7" t="str">
        <f t="shared" si="1505"/>
        <v>寝屋川春日</v>
      </c>
      <c r="C4238" s="7" t="str">
        <f t="shared" si="1484"/>
        <v>行政財産</v>
      </c>
      <c r="D4238" s="7" t="str">
        <f t="shared" si="1493"/>
        <v>公営住宅</v>
      </c>
      <c r="E4238" s="7" t="str">
        <f t="shared" si="1506"/>
        <v>大阪府寝屋川市春日町</v>
      </c>
      <c r="F4238" s="7" t="str">
        <f t="shared" si="1507"/>
        <v>・葛原新町</v>
      </c>
      <c r="G4238" s="7" t="str">
        <f t="shared" si="1482"/>
        <v>事業用資産</v>
      </c>
      <c r="H4238" s="7" t="str">
        <f t="shared" si="1500"/>
        <v>棚卸以外</v>
      </c>
      <c r="I4238" s="7">
        <v>2</v>
      </c>
      <c r="J4238" s="7" t="str">
        <f>"２号棟"</f>
        <v>２号棟</v>
      </c>
      <c r="K4238" s="7" t="str">
        <f t="shared" si="1499"/>
        <v>鉄筋コンクリート造</v>
      </c>
      <c r="L4238" s="7" t="str">
        <f t="shared" si="1508"/>
        <v>H03.04.26</v>
      </c>
      <c r="M4238" s="7">
        <v>1034.6400000000001</v>
      </c>
      <c r="N4238" s="7">
        <v>157648000</v>
      </c>
      <c r="O4238" s="7">
        <v>107055394</v>
      </c>
      <c r="P4238" s="7">
        <v>0</v>
      </c>
      <c r="Q4238" s="7" t="str">
        <f t="shared" si="1485"/>
        <v>都市整備部</v>
      </c>
      <c r="R4238" s="7" t="str">
        <f t="shared" si="1483"/>
        <v>住宅建築局住宅経営室</v>
      </c>
    </row>
    <row r="4239" spans="1:18" s="1" customFormat="1" x14ac:dyDescent="0.45">
      <c r="A4239" s="7" t="str">
        <f t="shared" si="1504"/>
        <v>09940003570</v>
      </c>
      <c r="B4239" s="7" t="str">
        <f t="shared" si="1505"/>
        <v>寝屋川春日</v>
      </c>
      <c r="C4239" s="7" t="str">
        <f t="shared" si="1484"/>
        <v>行政財産</v>
      </c>
      <c r="D4239" s="7" t="str">
        <f t="shared" si="1493"/>
        <v>公営住宅</v>
      </c>
      <c r="E4239" s="7" t="str">
        <f t="shared" si="1506"/>
        <v>大阪府寝屋川市春日町</v>
      </c>
      <c r="F4239" s="7" t="str">
        <f t="shared" si="1507"/>
        <v>・葛原新町</v>
      </c>
      <c r="G4239" s="7" t="str">
        <f t="shared" si="1482"/>
        <v>事業用資産</v>
      </c>
      <c r="H4239" s="7" t="str">
        <f t="shared" si="1500"/>
        <v>棚卸以外</v>
      </c>
      <c r="I4239" s="7">
        <v>3</v>
      </c>
      <c r="J4239" s="7" t="str">
        <f>"３号棟"</f>
        <v>３号棟</v>
      </c>
      <c r="K4239" s="7" t="str">
        <f t="shared" si="1499"/>
        <v>鉄筋コンクリート造</v>
      </c>
      <c r="L4239" s="7" t="str">
        <f t="shared" si="1508"/>
        <v>H03.04.26</v>
      </c>
      <c r="M4239" s="7">
        <v>1291.1300000000001</v>
      </c>
      <c r="N4239" s="7">
        <v>184027000</v>
      </c>
      <c r="O4239" s="7">
        <v>124969070</v>
      </c>
      <c r="P4239" s="7">
        <v>0</v>
      </c>
      <c r="Q4239" s="7" t="str">
        <f t="shared" si="1485"/>
        <v>都市整備部</v>
      </c>
      <c r="R4239" s="7" t="str">
        <f t="shared" si="1483"/>
        <v>住宅建築局住宅経営室</v>
      </c>
    </row>
    <row r="4240" spans="1:18" s="1" customFormat="1" x14ac:dyDescent="0.45">
      <c r="A4240" s="7" t="str">
        <f t="shared" si="1504"/>
        <v>09940003570</v>
      </c>
      <c r="B4240" s="7" t="str">
        <f t="shared" si="1505"/>
        <v>寝屋川春日</v>
      </c>
      <c r="C4240" s="7" t="str">
        <f t="shared" si="1484"/>
        <v>行政財産</v>
      </c>
      <c r="D4240" s="7" t="str">
        <f t="shared" si="1493"/>
        <v>公営住宅</v>
      </c>
      <c r="E4240" s="7" t="str">
        <f t="shared" si="1506"/>
        <v>大阪府寝屋川市春日町</v>
      </c>
      <c r="F4240" s="7" t="str">
        <f t="shared" si="1507"/>
        <v>・葛原新町</v>
      </c>
      <c r="G4240" s="7" t="str">
        <f t="shared" si="1482"/>
        <v>事業用資産</v>
      </c>
      <c r="H4240" s="7" t="str">
        <f t="shared" si="1500"/>
        <v>棚卸以外</v>
      </c>
      <c r="I4240" s="7">
        <v>4</v>
      </c>
      <c r="J4240" s="7" t="str">
        <f>"集会所"</f>
        <v>集会所</v>
      </c>
      <c r="K4240" s="7" t="str">
        <f t="shared" si="1499"/>
        <v>鉄筋コンクリート造</v>
      </c>
      <c r="L4240" s="7" t="str">
        <f t="shared" si="1508"/>
        <v>H03.04.26</v>
      </c>
      <c r="M4240" s="7">
        <v>99.81</v>
      </c>
      <c r="N4240" s="7">
        <v>18014000</v>
      </c>
      <c r="O4240" s="7">
        <v>12233020</v>
      </c>
      <c r="P4240" s="7">
        <v>0</v>
      </c>
      <c r="Q4240" s="7" t="str">
        <f t="shared" si="1485"/>
        <v>都市整備部</v>
      </c>
      <c r="R4240" s="7" t="str">
        <f t="shared" si="1483"/>
        <v>住宅建築局住宅経営室</v>
      </c>
    </row>
    <row r="4241" spans="1:18" s="1" customFormat="1" x14ac:dyDescent="0.45">
      <c r="A4241" s="7" t="str">
        <f t="shared" si="1504"/>
        <v>09940003570</v>
      </c>
      <c r="B4241" s="7" t="str">
        <f t="shared" si="1505"/>
        <v>寝屋川春日</v>
      </c>
      <c r="C4241" s="7" t="str">
        <f t="shared" si="1484"/>
        <v>行政財産</v>
      </c>
      <c r="D4241" s="7" t="str">
        <f t="shared" si="1493"/>
        <v>公営住宅</v>
      </c>
      <c r="E4241" s="7" t="str">
        <f t="shared" si="1506"/>
        <v>大阪府寝屋川市春日町</v>
      </c>
      <c r="F4241" s="7" t="str">
        <f t="shared" si="1507"/>
        <v>・葛原新町</v>
      </c>
      <c r="G4241" s="7" t="str">
        <f t="shared" si="1482"/>
        <v>事業用資産</v>
      </c>
      <c r="H4241" s="7" t="str">
        <f t="shared" si="1500"/>
        <v>棚卸以外</v>
      </c>
      <c r="I4241" s="7">
        <v>5</v>
      </c>
      <c r="J4241" s="7" t="str">
        <f>"受水槽"</f>
        <v>受水槽</v>
      </c>
      <c r="K4241" s="7" t="str">
        <f t="shared" si="1499"/>
        <v>鉄筋コンクリート造</v>
      </c>
      <c r="L4241" s="7" t="str">
        <f t="shared" si="1508"/>
        <v>H03.04.26</v>
      </c>
      <c r="M4241" s="7">
        <v>38.25</v>
      </c>
      <c r="N4241" s="7">
        <v>16809000</v>
      </c>
      <c r="O4241" s="7">
        <v>11414932</v>
      </c>
      <c r="P4241" s="7">
        <v>0</v>
      </c>
      <c r="Q4241" s="7" t="str">
        <f t="shared" si="1485"/>
        <v>都市整備部</v>
      </c>
      <c r="R4241" s="7" t="str">
        <f t="shared" si="1483"/>
        <v>住宅建築局住宅経営室</v>
      </c>
    </row>
    <row r="4242" spans="1:18" s="1" customFormat="1" x14ac:dyDescent="0.45">
      <c r="A4242" s="7" t="str">
        <f t="shared" si="1504"/>
        <v>09940003570</v>
      </c>
      <c r="B4242" s="7" t="str">
        <f t="shared" si="1505"/>
        <v>寝屋川春日</v>
      </c>
      <c r="C4242" s="7" t="str">
        <f t="shared" si="1484"/>
        <v>行政財産</v>
      </c>
      <c r="D4242" s="7" t="str">
        <f t="shared" si="1493"/>
        <v>公営住宅</v>
      </c>
      <c r="E4242" s="7" t="str">
        <f t="shared" si="1506"/>
        <v>大阪府寝屋川市春日町</v>
      </c>
      <c r="F4242" s="7" t="str">
        <f t="shared" si="1507"/>
        <v>・葛原新町</v>
      </c>
      <c r="G4242" s="7" t="str">
        <f t="shared" si="1482"/>
        <v>事業用資産</v>
      </c>
      <c r="H4242" s="7" t="str">
        <f t="shared" si="1500"/>
        <v>棚卸以外</v>
      </c>
      <c r="I4242" s="7">
        <v>6</v>
      </c>
      <c r="J4242" s="7" t="str">
        <f>"電気室"</f>
        <v>電気室</v>
      </c>
      <c r="K4242" s="7" t="str">
        <f t="shared" si="1499"/>
        <v>鉄筋コンクリート造</v>
      </c>
      <c r="L4242" s="7" t="str">
        <f t="shared" si="1508"/>
        <v>H03.04.26</v>
      </c>
      <c r="M4242" s="7">
        <v>29.25</v>
      </c>
      <c r="N4242" s="7">
        <v>4372000</v>
      </c>
      <c r="O4242" s="7">
        <v>2969016</v>
      </c>
      <c r="P4242" s="7">
        <v>0</v>
      </c>
      <c r="Q4242" s="7" t="str">
        <f t="shared" si="1485"/>
        <v>都市整備部</v>
      </c>
      <c r="R4242" s="7" t="str">
        <f t="shared" si="1483"/>
        <v>住宅建築局住宅経営室</v>
      </c>
    </row>
    <row r="4243" spans="1:18" s="1" customFormat="1" x14ac:dyDescent="0.45">
      <c r="A4243" s="7" t="str">
        <f t="shared" si="1504"/>
        <v>09940003570</v>
      </c>
      <c r="B4243" s="7" t="str">
        <f t="shared" si="1505"/>
        <v>寝屋川春日</v>
      </c>
      <c r="C4243" s="7" t="str">
        <f t="shared" si="1484"/>
        <v>行政財産</v>
      </c>
      <c r="D4243" s="7" t="str">
        <f t="shared" si="1493"/>
        <v>公営住宅</v>
      </c>
      <c r="E4243" s="7" t="str">
        <f t="shared" si="1506"/>
        <v>大阪府寝屋川市春日町</v>
      </c>
      <c r="F4243" s="7" t="str">
        <f t="shared" si="1507"/>
        <v>・葛原新町</v>
      </c>
      <c r="G4243" s="7" t="str">
        <f t="shared" si="1482"/>
        <v>事業用資産</v>
      </c>
      <c r="H4243" s="7" t="str">
        <f t="shared" si="1500"/>
        <v>棚卸以外</v>
      </c>
      <c r="I4243" s="7">
        <v>7</v>
      </c>
      <c r="J4243" s="7" t="str">
        <f>"４号棟"</f>
        <v>４号棟</v>
      </c>
      <c r="K4243" s="7" t="str">
        <f t="shared" si="1499"/>
        <v>鉄筋コンクリート造</v>
      </c>
      <c r="L4243" s="7" t="str">
        <f>"H06.05.27"</f>
        <v>H06.05.27</v>
      </c>
      <c r="M4243" s="7">
        <v>1960.59</v>
      </c>
      <c r="N4243" s="7">
        <v>323257000</v>
      </c>
      <c r="O4243" s="7">
        <v>198310246</v>
      </c>
      <c r="P4243" s="7">
        <v>0</v>
      </c>
      <c r="Q4243" s="7" t="str">
        <f t="shared" si="1485"/>
        <v>都市整備部</v>
      </c>
      <c r="R4243" s="7" t="str">
        <f t="shared" si="1483"/>
        <v>住宅建築局住宅経営室</v>
      </c>
    </row>
    <row r="4244" spans="1:18" s="1" customFormat="1" x14ac:dyDescent="0.45">
      <c r="A4244" s="7" t="str">
        <f t="shared" si="1504"/>
        <v>09940003570</v>
      </c>
      <c r="B4244" s="7" t="str">
        <f t="shared" si="1505"/>
        <v>寝屋川春日</v>
      </c>
      <c r="C4244" s="7" t="str">
        <f t="shared" si="1484"/>
        <v>行政財産</v>
      </c>
      <c r="D4244" s="7" t="str">
        <f t="shared" si="1493"/>
        <v>公営住宅</v>
      </c>
      <c r="E4244" s="7" t="str">
        <f t="shared" si="1506"/>
        <v>大阪府寝屋川市春日町</v>
      </c>
      <c r="F4244" s="7" t="str">
        <f t="shared" si="1507"/>
        <v>・葛原新町</v>
      </c>
      <c r="G4244" s="7" t="str">
        <f t="shared" si="1482"/>
        <v>事業用資産</v>
      </c>
      <c r="H4244" s="7" t="str">
        <f t="shared" si="1500"/>
        <v>棚卸以外</v>
      </c>
      <c r="I4244" s="7">
        <v>8</v>
      </c>
      <c r="J4244" s="7" t="str">
        <f>"５号棟"</f>
        <v>５号棟</v>
      </c>
      <c r="K4244" s="7" t="str">
        <f t="shared" si="1499"/>
        <v>鉄筋コンクリート造</v>
      </c>
      <c r="L4244" s="7" t="str">
        <f>"H06.05.27"</f>
        <v>H06.05.27</v>
      </c>
      <c r="M4244" s="7">
        <v>2409.0500000000002</v>
      </c>
      <c r="N4244" s="7">
        <v>425178708</v>
      </c>
      <c r="O4244" s="7">
        <v>259647238</v>
      </c>
      <c r="P4244" s="7">
        <v>0</v>
      </c>
      <c r="Q4244" s="7" t="str">
        <f t="shared" si="1485"/>
        <v>都市整備部</v>
      </c>
      <c r="R4244" s="7" t="str">
        <f t="shared" si="1483"/>
        <v>住宅建築局住宅経営室</v>
      </c>
    </row>
    <row r="4245" spans="1:18" s="1" customFormat="1" x14ac:dyDescent="0.45">
      <c r="A4245" s="7" t="str">
        <f t="shared" si="1504"/>
        <v>09940003570</v>
      </c>
      <c r="B4245" s="7" t="str">
        <f t="shared" si="1505"/>
        <v>寝屋川春日</v>
      </c>
      <c r="C4245" s="7" t="str">
        <f t="shared" si="1484"/>
        <v>行政財産</v>
      </c>
      <c r="D4245" s="7" t="str">
        <f t="shared" si="1493"/>
        <v>公営住宅</v>
      </c>
      <c r="E4245" s="7" t="str">
        <f t="shared" si="1506"/>
        <v>大阪府寝屋川市春日町</v>
      </c>
      <c r="F4245" s="7" t="str">
        <f t="shared" si="1507"/>
        <v>・葛原新町</v>
      </c>
      <c r="G4245" s="7" t="str">
        <f t="shared" si="1482"/>
        <v>事業用資産</v>
      </c>
      <c r="H4245" s="7" t="str">
        <f t="shared" si="1500"/>
        <v>棚卸以外</v>
      </c>
      <c r="I4245" s="7">
        <v>9</v>
      </c>
      <c r="J4245" s="7" t="str">
        <f>"６号棟"</f>
        <v>６号棟</v>
      </c>
      <c r="K4245" s="7" t="str">
        <f t="shared" si="1499"/>
        <v>鉄筋コンクリート造</v>
      </c>
      <c r="L4245" s="7" t="str">
        <f>"H06.05.27"</f>
        <v>H06.05.27</v>
      </c>
      <c r="M4245" s="7">
        <v>2801.93</v>
      </c>
      <c r="N4245" s="7">
        <v>496204000</v>
      </c>
      <c r="O4245" s="7">
        <v>304409070</v>
      </c>
      <c r="P4245" s="7">
        <v>0</v>
      </c>
      <c r="Q4245" s="7" t="str">
        <f t="shared" si="1485"/>
        <v>都市整備部</v>
      </c>
      <c r="R4245" s="7" t="str">
        <f t="shared" si="1483"/>
        <v>住宅建築局住宅経営室</v>
      </c>
    </row>
    <row r="4246" spans="1:18" s="1" customFormat="1" x14ac:dyDescent="0.45">
      <c r="A4246" s="7" t="str">
        <f t="shared" si="1504"/>
        <v>09940003570</v>
      </c>
      <c r="B4246" s="7" t="str">
        <f t="shared" si="1505"/>
        <v>寝屋川春日</v>
      </c>
      <c r="C4246" s="7" t="str">
        <f t="shared" si="1484"/>
        <v>行政財産</v>
      </c>
      <c r="D4246" s="7" t="str">
        <f t="shared" si="1493"/>
        <v>公営住宅</v>
      </c>
      <c r="E4246" s="7" t="str">
        <f t="shared" si="1506"/>
        <v>大阪府寝屋川市春日町</v>
      </c>
      <c r="F4246" s="7" t="str">
        <f t="shared" si="1507"/>
        <v>・葛原新町</v>
      </c>
      <c r="G4246" s="7" t="str">
        <f t="shared" si="1482"/>
        <v>事業用資産</v>
      </c>
      <c r="H4246" s="7" t="str">
        <f t="shared" si="1500"/>
        <v>棚卸以外</v>
      </c>
      <c r="I4246" s="7">
        <v>10</v>
      </c>
      <c r="J4246" s="7" t="str">
        <f>"受水槽"</f>
        <v>受水槽</v>
      </c>
      <c r="K4246" s="7" t="str">
        <f t="shared" si="1499"/>
        <v>鉄筋コンクリート造</v>
      </c>
      <c r="L4246" s="7" t="str">
        <f>"H06.05.27"</f>
        <v>H06.05.27</v>
      </c>
      <c r="M4246" s="7">
        <v>87.75</v>
      </c>
      <c r="N4246" s="7">
        <v>40754000</v>
      </c>
      <c r="O4246" s="7">
        <v>25001614</v>
      </c>
      <c r="P4246" s="7">
        <v>0</v>
      </c>
      <c r="Q4246" s="7" t="str">
        <f t="shared" si="1485"/>
        <v>都市整備部</v>
      </c>
      <c r="R4246" s="7" t="str">
        <f t="shared" si="1483"/>
        <v>住宅建築局住宅経営室</v>
      </c>
    </row>
    <row r="4247" spans="1:18" s="1" customFormat="1" x14ac:dyDescent="0.45">
      <c r="A4247" s="7" t="str">
        <f t="shared" si="1504"/>
        <v>09940003570</v>
      </c>
      <c r="B4247" s="7" t="str">
        <f t="shared" si="1505"/>
        <v>寝屋川春日</v>
      </c>
      <c r="C4247" s="7" t="str">
        <f t="shared" si="1484"/>
        <v>行政財産</v>
      </c>
      <c r="D4247" s="7" t="str">
        <f t="shared" si="1493"/>
        <v>公営住宅</v>
      </c>
      <c r="E4247" s="7" t="str">
        <f t="shared" si="1506"/>
        <v>大阪府寝屋川市春日町</v>
      </c>
      <c r="F4247" s="7" t="str">
        <f t="shared" si="1507"/>
        <v>・葛原新町</v>
      </c>
      <c r="G4247" s="7" t="str">
        <f t="shared" ref="G4247:G4310" si="1509">"事業用資産"</f>
        <v>事業用資産</v>
      </c>
      <c r="H4247" s="7" t="str">
        <f t="shared" si="1500"/>
        <v>棚卸以外</v>
      </c>
      <c r="I4247" s="7">
        <v>11</v>
      </c>
      <c r="J4247" s="7" t="str">
        <f>"７号棟"</f>
        <v>７号棟</v>
      </c>
      <c r="K4247" s="7" t="str">
        <f t="shared" si="1499"/>
        <v>鉄筋コンクリート造</v>
      </c>
      <c r="L4247" s="7" t="str">
        <f>"H08.05.31"</f>
        <v>H08.05.31</v>
      </c>
      <c r="M4247" s="7">
        <v>1644.91</v>
      </c>
      <c r="N4247" s="7">
        <v>353796000</v>
      </c>
      <c r="O4247" s="7">
        <v>201989956</v>
      </c>
      <c r="P4247" s="7">
        <v>0</v>
      </c>
      <c r="Q4247" s="7" t="str">
        <f t="shared" si="1485"/>
        <v>都市整備部</v>
      </c>
      <c r="R4247" s="7" t="str">
        <f t="shared" si="1483"/>
        <v>住宅建築局住宅経営室</v>
      </c>
    </row>
    <row r="4248" spans="1:18" s="1" customFormat="1" x14ac:dyDescent="0.45">
      <c r="A4248" s="7" t="str">
        <f t="shared" si="1504"/>
        <v>09940003570</v>
      </c>
      <c r="B4248" s="7" t="str">
        <f t="shared" si="1505"/>
        <v>寝屋川春日</v>
      </c>
      <c r="C4248" s="7" t="str">
        <f t="shared" si="1484"/>
        <v>行政財産</v>
      </c>
      <c r="D4248" s="7" t="str">
        <f t="shared" si="1493"/>
        <v>公営住宅</v>
      </c>
      <c r="E4248" s="7" t="str">
        <f t="shared" si="1506"/>
        <v>大阪府寝屋川市春日町</v>
      </c>
      <c r="F4248" s="7" t="str">
        <f t="shared" si="1507"/>
        <v>・葛原新町</v>
      </c>
      <c r="G4248" s="7" t="str">
        <f t="shared" si="1509"/>
        <v>事業用資産</v>
      </c>
      <c r="H4248" s="7" t="str">
        <f t="shared" si="1500"/>
        <v>棚卸以外</v>
      </c>
      <c r="I4248" s="7">
        <v>12</v>
      </c>
      <c r="J4248" s="7" t="str">
        <f>"８、９号棟"</f>
        <v>８、９号棟</v>
      </c>
      <c r="K4248" s="7" t="str">
        <f t="shared" si="1499"/>
        <v>鉄筋コンクリート造</v>
      </c>
      <c r="L4248" s="7" t="str">
        <f>"H08.05.31"</f>
        <v>H08.05.31</v>
      </c>
      <c r="M4248" s="7">
        <v>4250.84</v>
      </c>
      <c r="N4248" s="7">
        <v>654061528</v>
      </c>
      <c r="O4248" s="7">
        <v>372110198</v>
      </c>
      <c r="P4248" s="7">
        <v>0</v>
      </c>
      <c r="Q4248" s="7" t="str">
        <f t="shared" si="1485"/>
        <v>都市整備部</v>
      </c>
      <c r="R4248" s="7" t="str">
        <f t="shared" ref="R4248:R4314" si="1510">"住宅建築局住宅経営室"</f>
        <v>住宅建築局住宅経営室</v>
      </c>
    </row>
    <row r="4249" spans="1:18" s="1" customFormat="1" x14ac:dyDescent="0.45">
      <c r="A4249" s="7" t="str">
        <f t="shared" si="1504"/>
        <v>09940003570</v>
      </c>
      <c r="B4249" s="7" t="str">
        <f t="shared" si="1505"/>
        <v>寝屋川春日</v>
      </c>
      <c r="C4249" s="7" t="str">
        <f t="shared" si="1484"/>
        <v>行政財産</v>
      </c>
      <c r="D4249" s="7" t="str">
        <f t="shared" si="1493"/>
        <v>公営住宅</v>
      </c>
      <c r="E4249" s="7" t="str">
        <f t="shared" si="1506"/>
        <v>大阪府寝屋川市春日町</v>
      </c>
      <c r="F4249" s="7" t="str">
        <f t="shared" si="1507"/>
        <v>・葛原新町</v>
      </c>
      <c r="G4249" s="7" t="str">
        <f t="shared" si="1509"/>
        <v>事業用資産</v>
      </c>
      <c r="H4249" s="7" t="str">
        <f t="shared" si="1500"/>
        <v>棚卸以外</v>
      </c>
      <c r="I4249" s="7">
        <v>13</v>
      </c>
      <c r="J4249" s="7" t="str">
        <f>"１０、１１号棟"</f>
        <v>１０、１１号棟</v>
      </c>
      <c r="K4249" s="7" t="str">
        <f t="shared" si="1499"/>
        <v>鉄筋コンクリート造</v>
      </c>
      <c r="L4249" s="7" t="str">
        <f>"H08.05.31"</f>
        <v>H08.05.31</v>
      </c>
      <c r="M4249" s="7">
        <v>2193.17</v>
      </c>
      <c r="N4249" s="7">
        <v>345065000</v>
      </c>
      <c r="O4249" s="7">
        <v>197005396</v>
      </c>
      <c r="P4249" s="7">
        <v>0</v>
      </c>
      <c r="Q4249" s="7" t="str">
        <f t="shared" si="1485"/>
        <v>都市整備部</v>
      </c>
      <c r="R4249" s="7" t="str">
        <f t="shared" si="1510"/>
        <v>住宅建築局住宅経営室</v>
      </c>
    </row>
    <row r="4250" spans="1:18" s="1" customFormat="1" x14ac:dyDescent="0.45">
      <c r="A4250" s="7" t="str">
        <f t="shared" si="1504"/>
        <v>09940003570</v>
      </c>
      <c r="B4250" s="7" t="str">
        <f t="shared" si="1505"/>
        <v>寝屋川春日</v>
      </c>
      <c r="C4250" s="7" t="str">
        <f t="shared" ref="C4250:C4313" si="1511">"行政財産"</f>
        <v>行政財産</v>
      </c>
      <c r="D4250" s="7" t="str">
        <f t="shared" si="1493"/>
        <v>公営住宅</v>
      </c>
      <c r="E4250" s="7" t="str">
        <f t="shared" si="1506"/>
        <v>大阪府寝屋川市春日町</v>
      </c>
      <c r="F4250" s="7" t="str">
        <f t="shared" si="1507"/>
        <v>・葛原新町</v>
      </c>
      <c r="G4250" s="7" t="str">
        <f t="shared" si="1509"/>
        <v>事業用資産</v>
      </c>
      <c r="H4250" s="7" t="str">
        <f t="shared" si="1500"/>
        <v>棚卸以外</v>
      </c>
      <c r="I4250" s="7">
        <v>14</v>
      </c>
      <c r="J4250" s="7" t="str">
        <f>"１２、１３号棟"</f>
        <v>１２、１３号棟</v>
      </c>
      <c r="K4250" s="7" t="str">
        <f t="shared" si="1499"/>
        <v>鉄筋コンクリート造</v>
      </c>
      <c r="L4250" s="7" t="str">
        <f>"H08.05.31"</f>
        <v>H08.05.31</v>
      </c>
      <c r="M4250" s="7">
        <v>3334.73</v>
      </c>
      <c r="N4250" s="7">
        <v>528624708</v>
      </c>
      <c r="O4250" s="7">
        <v>300851276</v>
      </c>
      <c r="P4250" s="7">
        <v>0</v>
      </c>
      <c r="Q4250" s="7" t="str">
        <f t="shared" si="1485"/>
        <v>都市整備部</v>
      </c>
      <c r="R4250" s="7" t="str">
        <f t="shared" si="1510"/>
        <v>住宅建築局住宅経営室</v>
      </c>
    </row>
    <row r="4251" spans="1:18" s="1" customFormat="1" x14ac:dyDescent="0.45">
      <c r="A4251" s="7" t="str">
        <f t="shared" ref="A4251:A4257" si="1512">"09940003571"</f>
        <v>09940003571</v>
      </c>
      <c r="B4251" s="7" t="str">
        <f t="shared" ref="B4251:B4257" si="1513">"富田林錦ヶ丘"</f>
        <v>富田林錦ヶ丘</v>
      </c>
      <c r="C4251" s="7" t="str">
        <f t="shared" si="1511"/>
        <v>行政財産</v>
      </c>
      <c r="D4251" s="7" t="str">
        <f t="shared" si="1493"/>
        <v>公営住宅</v>
      </c>
      <c r="E4251" s="7" t="str">
        <f t="shared" ref="E4251:E4257" si="1514">"大阪府富田林市錦ケ丘町"</f>
        <v>大阪府富田林市錦ケ丘町</v>
      </c>
      <c r="F4251" s="7"/>
      <c r="G4251" s="7" t="str">
        <f t="shared" si="1509"/>
        <v>事業用資産</v>
      </c>
      <c r="H4251" s="7" t="str">
        <f t="shared" si="1500"/>
        <v>棚卸以外</v>
      </c>
      <c r="I4251" s="7">
        <v>1</v>
      </c>
      <c r="J4251" s="7" t="str">
        <f>"４号棟"</f>
        <v>４号棟</v>
      </c>
      <c r="K4251" s="7" t="str">
        <f t="shared" si="1499"/>
        <v>鉄筋コンクリート造</v>
      </c>
      <c r="L4251" s="7" t="str">
        <f>"H05.11.10"</f>
        <v>H05.11.10</v>
      </c>
      <c r="M4251" s="7">
        <v>7668.87</v>
      </c>
      <c r="N4251" s="7">
        <v>1591803351</v>
      </c>
      <c r="O4251" s="7">
        <v>992930936</v>
      </c>
      <c r="P4251" s="7">
        <v>0</v>
      </c>
      <c r="Q4251" s="7" t="str">
        <f t="shared" ref="Q4251:Q4314" si="1515">"都市整備部"</f>
        <v>都市整備部</v>
      </c>
      <c r="R4251" s="7" t="str">
        <f t="shared" si="1510"/>
        <v>住宅建築局住宅経営室</v>
      </c>
    </row>
    <row r="4252" spans="1:18" s="1" customFormat="1" x14ac:dyDescent="0.45">
      <c r="A4252" s="7" t="str">
        <f t="shared" si="1512"/>
        <v>09940003571</v>
      </c>
      <c r="B4252" s="7" t="str">
        <f t="shared" si="1513"/>
        <v>富田林錦ヶ丘</v>
      </c>
      <c r="C4252" s="7" t="str">
        <f t="shared" si="1511"/>
        <v>行政財産</v>
      </c>
      <c r="D4252" s="7" t="str">
        <f t="shared" si="1493"/>
        <v>公営住宅</v>
      </c>
      <c r="E4252" s="7" t="str">
        <f t="shared" si="1514"/>
        <v>大阪府富田林市錦ケ丘町</v>
      </c>
      <c r="F4252" s="7"/>
      <c r="G4252" s="7" t="str">
        <f t="shared" si="1509"/>
        <v>事業用資産</v>
      </c>
      <c r="H4252" s="7" t="str">
        <f t="shared" si="1500"/>
        <v>棚卸以外</v>
      </c>
      <c r="I4252" s="7">
        <v>2</v>
      </c>
      <c r="J4252" s="7" t="str">
        <f>"５号棟"</f>
        <v>５号棟</v>
      </c>
      <c r="K4252" s="7" t="str">
        <f t="shared" si="1499"/>
        <v>鉄筋コンクリート造</v>
      </c>
      <c r="L4252" s="7" t="str">
        <f>"H05.11.10"</f>
        <v>H05.11.10</v>
      </c>
      <c r="M4252" s="7">
        <v>2565.2399999999998</v>
      </c>
      <c r="N4252" s="7">
        <v>530371971</v>
      </c>
      <c r="O4252" s="7">
        <v>330824652</v>
      </c>
      <c r="P4252" s="7">
        <v>0</v>
      </c>
      <c r="Q4252" s="7" t="str">
        <f t="shared" si="1515"/>
        <v>都市整備部</v>
      </c>
      <c r="R4252" s="7" t="str">
        <f t="shared" si="1510"/>
        <v>住宅建築局住宅経営室</v>
      </c>
    </row>
    <row r="4253" spans="1:18" s="1" customFormat="1" x14ac:dyDescent="0.45">
      <c r="A4253" s="7" t="str">
        <f t="shared" si="1512"/>
        <v>09940003571</v>
      </c>
      <c r="B4253" s="7" t="str">
        <f t="shared" si="1513"/>
        <v>富田林錦ヶ丘</v>
      </c>
      <c r="C4253" s="7" t="str">
        <f t="shared" si="1511"/>
        <v>行政財産</v>
      </c>
      <c r="D4253" s="7" t="str">
        <f t="shared" si="1493"/>
        <v>公営住宅</v>
      </c>
      <c r="E4253" s="7" t="str">
        <f t="shared" si="1514"/>
        <v>大阪府富田林市錦ケ丘町</v>
      </c>
      <c r="F4253" s="7"/>
      <c r="G4253" s="7" t="str">
        <f t="shared" si="1509"/>
        <v>事業用資産</v>
      </c>
      <c r="H4253" s="7" t="str">
        <f t="shared" si="1500"/>
        <v>棚卸以外</v>
      </c>
      <c r="I4253" s="7">
        <v>3</v>
      </c>
      <c r="J4253" s="7" t="str">
        <f>"電気室"</f>
        <v>電気室</v>
      </c>
      <c r="K4253" s="7" t="str">
        <f t="shared" si="1499"/>
        <v>鉄筋コンクリート造</v>
      </c>
      <c r="L4253" s="7" t="str">
        <f>"H05.11.10"</f>
        <v>H05.11.10</v>
      </c>
      <c r="M4253" s="7">
        <v>45</v>
      </c>
      <c r="N4253" s="7">
        <v>9220000</v>
      </c>
      <c r="O4253" s="7">
        <v>5754496</v>
      </c>
      <c r="P4253" s="7">
        <v>0</v>
      </c>
      <c r="Q4253" s="7" t="str">
        <f t="shared" si="1515"/>
        <v>都市整備部</v>
      </c>
      <c r="R4253" s="7" t="str">
        <f t="shared" si="1510"/>
        <v>住宅建築局住宅経営室</v>
      </c>
    </row>
    <row r="4254" spans="1:18" s="1" customFormat="1" x14ac:dyDescent="0.45">
      <c r="A4254" s="7" t="str">
        <f t="shared" si="1512"/>
        <v>09940003571</v>
      </c>
      <c r="B4254" s="7" t="str">
        <f t="shared" si="1513"/>
        <v>富田林錦ヶ丘</v>
      </c>
      <c r="C4254" s="7" t="str">
        <f t="shared" si="1511"/>
        <v>行政財産</v>
      </c>
      <c r="D4254" s="7" t="str">
        <f t="shared" si="1493"/>
        <v>公営住宅</v>
      </c>
      <c r="E4254" s="7" t="str">
        <f t="shared" si="1514"/>
        <v>大阪府富田林市錦ケ丘町</v>
      </c>
      <c r="F4254" s="7"/>
      <c r="G4254" s="7" t="str">
        <f t="shared" si="1509"/>
        <v>事業用資産</v>
      </c>
      <c r="H4254" s="7" t="str">
        <f t="shared" si="1500"/>
        <v>棚卸以外</v>
      </c>
      <c r="I4254" s="7">
        <v>4</v>
      </c>
      <c r="J4254" s="7" t="str">
        <f>"集会所"</f>
        <v>集会所</v>
      </c>
      <c r="K4254" s="7" t="str">
        <f t="shared" si="1499"/>
        <v>鉄筋コンクリート造</v>
      </c>
      <c r="L4254" s="7" t="str">
        <f>"H05.11.10"</f>
        <v>H05.11.10</v>
      </c>
      <c r="M4254" s="7">
        <v>150</v>
      </c>
      <c r="N4254" s="7">
        <v>30988000</v>
      </c>
      <c r="O4254" s="7">
        <v>19340288</v>
      </c>
      <c r="P4254" s="7">
        <v>0</v>
      </c>
      <c r="Q4254" s="7" t="str">
        <f t="shared" si="1515"/>
        <v>都市整備部</v>
      </c>
      <c r="R4254" s="7" t="str">
        <f t="shared" si="1510"/>
        <v>住宅建築局住宅経営室</v>
      </c>
    </row>
    <row r="4255" spans="1:18" s="1" customFormat="1" x14ac:dyDescent="0.45">
      <c r="A4255" s="7" t="str">
        <f t="shared" si="1512"/>
        <v>09940003571</v>
      </c>
      <c r="B4255" s="7" t="str">
        <f t="shared" si="1513"/>
        <v>富田林錦ヶ丘</v>
      </c>
      <c r="C4255" s="7" t="str">
        <f t="shared" si="1511"/>
        <v>行政財産</v>
      </c>
      <c r="D4255" s="7" t="str">
        <f t="shared" si="1493"/>
        <v>公営住宅</v>
      </c>
      <c r="E4255" s="7" t="str">
        <f t="shared" si="1514"/>
        <v>大阪府富田林市錦ケ丘町</v>
      </c>
      <c r="F4255" s="7"/>
      <c r="G4255" s="7" t="str">
        <f t="shared" si="1509"/>
        <v>事業用資産</v>
      </c>
      <c r="H4255" s="7" t="str">
        <f t="shared" si="1500"/>
        <v>棚卸以外</v>
      </c>
      <c r="I4255" s="7">
        <v>5</v>
      </c>
      <c r="J4255" s="7" t="str">
        <f>"１号棟"</f>
        <v>１号棟</v>
      </c>
      <c r="K4255" s="7" t="str">
        <f t="shared" si="1499"/>
        <v>鉄筋コンクリート造</v>
      </c>
      <c r="L4255" s="7" t="str">
        <f>"H08.01.31"</f>
        <v>H08.01.31</v>
      </c>
      <c r="M4255" s="7">
        <v>2379.4299999999998</v>
      </c>
      <c r="N4255" s="7">
        <v>448228477</v>
      </c>
      <c r="O4255" s="7">
        <v>256094892</v>
      </c>
      <c r="P4255" s="7">
        <v>0</v>
      </c>
      <c r="Q4255" s="7" t="str">
        <f t="shared" si="1515"/>
        <v>都市整備部</v>
      </c>
      <c r="R4255" s="7" t="str">
        <f t="shared" si="1510"/>
        <v>住宅建築局住宅経営室</v>
      </c>
    </row>
    <row r="4256" spans="1:18" s="1" customFormat="1" x14ac:dyDescent="0.45">
      <c r="A4256" s="7" t="str">
        <f t="shared" si="1512"/>
        <v>09940003571</v>
      </c>
      <c r="B4256" s="7" t="str">
        <f t="shared" si="1513"/>
        <v>富田林錦ヶ丘</v>
      </c>
      <c r="C4256" s="7" t="str">
        <f t="shared" si="1511"/>
        <v>行政財産</v>
      </c>
      <c r="D4256" s="7" t="str">
        <f t="shared" si="1493"/>
        <v>公営住宅</v>
      </c>
      <c r="E4256" s="7" t="str">
        <f t="shared" si="1514"/>
        <v>大阪府富田林市錦ケ丘町</v>
      </c>
      <c r="F4256" s="7"/>
      <c r="G4256" s="7" t="str">
        <f t="shared" si="1509"/>
        <v>事業用資産</v>
      </c>
      <c r="H4256" s="7" t="str">
        <f t="shared" si="1500"/>
        <v>棚卸以外</v>
      </c>
      <c r="I4256" s="7">
        <v>6</v>
      </c>
      <c r="J4256" s="7" t="str">
        <f>"２号棟"</f>
        <v>２号棟</v>
      </c>
      <c r="K4256" s="7" t="str">
        <f t="shared" ref="K4256:K4262" si="1516">"鉄筋コンクリート造"</f>
        <v>鉄筋コンクリート造</v>
      </c>
      <c r="L4256" s="7" t="str">
        <f>"H08.01.31"</f>
        <v>H08.01.31</v>
      </c>
      <c r="M4256" s="7">
        <v>2379.4299999999998</v>
      </c>
      <c r="N4256" s="7">
        <v>464878477</v>
      </c>
      <c r="O4256" s="7">
        <v>265718738</v>
      </c>
      <c r="P4256" s="7">
        <v>0</v>
      </c>
      <c r="Q4256" s="7" t="str">
        <f t="shared" si="1515"/>
        <v>都市整備部</v>
      </c>
      <c r="R4256" s="7" t="str">
        <f t="shared" si="1510"/>
        <v>住宅建築局住宅経営室</v>
      </c>
    </row>
    <row r="4257" spans="1:18" s="1" customFormat="1" x14ac:dyDescent="0.45">
      <c r="A4257" s="7" t="str">
        <f t="shared" si="1512"/>
        <v>09940003571</v>
      </c>
      <c r="B4257" s="7" t="str">
        <f t="shared" si="1513"/>
        <v>富田林錦ヶ丘</v>
      </c>
      <c r="C4257" s="7" t="str">
        <f t="shared" si="1511"/>
        <v>行政財産</v>
      </c>
      <c r="D4257" s="7" t="str">
        <f t="shared" si="1493"/>
        <v>公営住宅</v>
      </c>
      <c r="E4257" s="7" t="str">
        <f t="shared" si="1514"/>
        <v>大阪府富田林市錦ケ丘町</v>
      </c>
      <c r="F4257" s="7"/>
      <c r="G4257" s="7" t="str">
        <f t="shared" si="1509"/>
        <v>事業用資産</v>
      </c>
      <c r="H4257" s="7" t="str">
        <f t="shared" si="1500"/>
        <v>棚卸以外</v>
      </c>
      <c r="I4257" s="7">
        <v>7</v>
      </c>
      <c r="J4257" s="7" t="str">
        <f>"３号棟"</f>
        <v>３号棟</v>
      </c>
      <c r="K4257" s="7" t="str">
        <f t="shared" si="1516"/>
        <v>鉄筋コンクリート造</v>
      </c>
      <c r="L4257" s="7" t="str">
        <f>"H08.01.31"</f>
        <v>H08.01.31</v>
      </c>
      <c r="M4257" s="7">
        <v>7613.06</v>
      </c>
      <c r="N4257" s="7">
        <v>1514466087</v>
      </c>
      <c r="O4257" s="7">
        <v>863219154</v>
      </c>
      <c r="P4257" s="7">
        <v>0</v>
      </c>
      <c r="Q4257" s="7" t="str">
        <f t="shared" si="1515"/>
        <v>都市整備部</v>
      </c>
      <c r="R4257" s="7" t="str">
        <f t="shared" si="1510"/>
        <v>住宅建築局住宅経営室</v>
      </c>
    </row>
    <row r="4258" spans="1:18" s="1" customFormat="1" x14ac:dyDescent="0.45">
      <c r="A4258" s="7" t="str">
        <f t="shared" ref="A4258:A4265" si="1517">"09940003572"</f>
        <v>09940003572</v>
      </c>
      <c r="B4258" s="7" t="str">
        <f t="shared" ref="B4258:B4265" si="1518">"泉佐野鶴原北"</f>
        <v>泉佐野鶴原北</v>
      </c>
      <c r="C4258" s="7" t="str">
        <f t="shared" si="1511"/>
        <v>行政財産</v>
      </c>
      <c r="D4258" s="7" t="str">
        <f t="shared" si="1493"/>
        <v>公営住宅</v>
      </c>
      <c r="E4258" s="7" t="str">
        <f t="shared" ref="E4258:E4265" si="1519">"大阪府泉佐野市鶴原"</f>
        <v>大阪府泉佐野市鶴原</v>
      </c>
      <c r="F4258" s="7"/>
      <c r="G4258" s="7" t="str">
        <f t="shared" si="1509"/>
        <v>事業用資産</v>
      </c>
      <c r="H4258" s="7" t="str">
        <f t="shared" si="1500"/>
        <v>棚卸以外</v>
      </c>
      <c r="I4258" s="7">
        <v>1</v>
      </c>
      <c r="J4258" s="7" t="str">
        <f>"１号棟"</f>
        <v>１号棟</v>
      </c>
      <c r="K4258" s="7" t="str">
        <f t="shared" si="1516"/>
        <v>鉄筋コンクリート造</v>
      </c>
      <c r="L4258" s="7" t="str">
        <f>"H03.10.29"</f>
        <v>H03.10.29</v>
      </c>
      <c r="M4258" s="7">
        <v>2107.04</v>
      </c>
      <c r="N4258" s="7">
        <v>323028000</v>
      </c>
      <c r="O4258" s="7">
        <v>215924865</v>
      </c>
      <c r="P4258" s="7">
        <v>0</v>
      </c>
      <c r="Q4258" s="7" t="str">
        <f t="shared" si="1515"/>
        <v>都市整備部</v>
      </c>
      <c r="R4258" s="7" t="str">
        <f t="shared" si="1510"/>
        <v>住宅建築局住宅経営室</v>
      </c>
    </row>
    <row r="4259" spans="1:18" s="1" customFormat="1" x14ac:dyDescent="0.45">
      <c r="A4259" s="7" t="str">
        <f t="shared" si="1517"/>
        <v>09940003572</v>
      </c>
      <c r="B4259" s="7" t="str">
        <f t="shared" si="1518"/>
        <v>泉佐野鶴原北</v>
      </c>
      <c r="C4259" s="7" t="str">
        <f t="shared" si="1511"/>
        <v>行政財産</v>
      </c>
      <c r="D4259" s="7" t="str">
        <f t="shared" si="1493"/>
        <v>公営住宅</v>
      </c>
      <c r="E4259" s="7" t="str">
        <f t="shared" si="1519"/>
        <v>大阪府泉佐野市鶴原</v>
      </c>
      <c r="F4259" s="7"/>
      <c r="G4259" s="7" t="str">
        <f t="shared" si="1509"/>
        <v>事業用資産</v>
      </c>
      <c r="H4259" s="7" t="str">
        <f t="shared" si="1500"/>
        <v>棚卸以外</v>
      </c>
      <c r="I4259" s="7">
        <v>2</v>
      </c>
      <c r="J4259" s="7" t="str">
        <f>"２号棟"</f>
        <v>２号棟</v>
      </c>
      <c r="K4259" s="7" t="str">
        <f t="shared" si="1516"/>
        <v>鉄筋コンクリート造</v>
      </c>
      <c r="L4259" s="7" t="str">
        <f>"H03.10.29"</f>
        <v>H03.10.29</v>
      </c>
      <c r="M4259" s="7">
        <v>2759.25</v>
      </c>
      <c r="N4259" s="7">
        <v>431948000</v>
      </c>
      <c r="O4259" s="7">
        <v>288731482</v>
      </c>
      <c r="P4259" s="7">
        <v>0</v>
      </c>
      <c r="Q4259" s="7" t="str">
        <f t="shared" si="1515"/>
        <v>都市整備部</v>
      </c>
      <c r="R4259" s="7" t="str">
        <f t="shared" si="1510"/>
        <v>住宅建築局住宅経営室</v>
      </c>
    </row>
    <row r="4260" spans="1:18" s="1" customFormat="1" x14ac:dyDescent="0.45">
      <c r="A4260" s="7" t="str">
        <f t="shared" si="1517"/>
        <v>09940003572</v>
      </c>
      <c r="B4260" s="7" t="str">
        <f t="shared" si="1518"/>
        <v>泉佐野鶴原北</v>
      </c>
      <c r="C4260" s="7" t="str">
        <f t="shared" si="1511"/>
        <v>行政財産</v>
      </c>
      <c r="D4260" s="7" t="str">
        <f t="shared" si="1493"/>
        <v>公営住宅</v>
      </c>
      <c r="E4260" s="7" t="str">
        <f t="shared" si="1519"/>
        <v>大阪府泉佐野市鶴原</v>
      </c>
      <c r="F4260" s="7"/>
      <c r="G4260" s="7" t="str">
        <f t="shared" si="1509"/>
        <v>事業用資産</v>
      </c>
      <c r="H4260" s="7" t="str">
        <f t="shared" si="1500"/>
        <v>棚卸以外</v>
      </c>
      <c r="I4260" s="7">
        <v>3</v>
      </c>
      <c r="J4260" s="7" t="str">
        <f>"３号棟"</f>
        <v>３号棟</v>
      </c>
      <c r="K4260" s="7" t="str">
        <f t="shared" si="1516"/>
        <v>鉄筋コンクリート造</v>
      </c>
      <c r="L4260" s="7" t="str">
        <f>"H03.10.29"</f>
        <v>H03.10.29</v>
      </c>
      <c r="M4260" s="7">
        <v>2107.4</v>
      </c>
      <c r="N4260" s="7">
        <v>308769000</v>
      </c>
      <c r="O4260" s="7">
        <v>206393551</v>
      </c>
      <c r="P4260" s="7">
        <v>0</v>
      </c>
      <c r="Q4260" s="7" t="str">
        <f t="shared" si="1515"/>
        <v>都市整備部</v>
      </c>
      <c r="R4260" s="7" t="str">
        <f t="shared" si="1510"/>
        <v>住宅建築局住宅経営室</v>
      </c>
    </row>
    <row r="4261" spans="1:18" s="1" customFormat="1" x14ac:dyDescent="0.45">
      <c r="A4261" s="7" t="str">
        <f t="shared" si="1517"/>
        <v>09940003572</v>
      </c>
      <c r="B4261" s="7" t="str">
        <f t="shared" si="1518"/>
        <v>泉佐野鶴原北</v>
      </c>
      <c r="C4261" s="7" t="str">
        <f t="shared" si="1511"/>
        <v>行政財産</v>
      </c>
      <c r="D4261" s="7" t="str">
        <f t="shared" si="1493"/>
        <v>公営住宅</v>
      </c>
      <c r="E4261" s="7" t="str">
        <f t="shared" si="1519"/>
        <v>大阪府泉佐野市鶴原</v>
      </c>
      <c r="F4261" s="7"/>
      <c r="G4261" s="7" t="str">
        <f t="shared" si="1509"/>
        <v>事業用資産</v>
      </c>
      <c r="H4261" s="7" t="str">
        <f t="shared" si="1500"/>
        <v>棚卸以外</v>
      </c>
      <c r="I4261" s="7">
        <v>4</v>
      </c>
      <c r="J4261" s="7" t="str">
        <f>"集会所"</f>
        <v>集会所</v>
      </c>
      <c r="K4261" s="7" t="str">
        <f t="shared" si="1516"/>
        <v>鉄筋コンクリート造</v>
      </c>
      <c r="L4261" s="7" t="str">
        <f>"H03.10.29"</f>
        <v>H03.10.29</v>
      </c>
      <c r="M4261" s="7">
        <v>102.67</v>
      </c>
      <c r="N4261" s="7">
        <v>31136000</v>
      </c>
      <c r="O4261" s="7">
        <v>20812662</v>
      </c>
      <c r="P4261" s="7">
        <v>0</v>
      </c>
      <c r="Q4261" s="7" t="str">
        <f t="shared" si="1515"/>
        <v>都市整備部</v>
      </c>
      <c r="R4261" s="7" t="str">
        <f t="shared" si="1510"/>
        <v>住宅建築局住宅経営室</v>
      </c>
    </row>
    <row r="4262" spans="1:18" s="1" customFormat="1" x14ac:dyDescent="0.45">
      <c r="A4262" s="7" t="str">
        <f t="shared" si="1517"/>
        <v>09940003572</v>
      </c>
      <c r="B4262" s="7" t="str">
        <f t="shared" si="1518"/>
        <v>泉佐野鶴原北</v>
      </c>
      <c r="C4262" s="7" t="str">
        <f t="shared" si="1511"/>
        <v>行政財産</v>
      </c>
      <c r="D4262" s="7" t="str">
        <f t="shared" si="1493"/>
        <v>公営住宅</v>
      </c>
      <c r="E4262" s="7" t="str">
        <f t="shared" si="1519"/>
        <v>大阪府泉佐野市鶴原</v>
      </c>
      <c r="F4262" s="7"/>
      <c r="G4262" s="7" t="str">
        <f t="shared" si="1509"/>
        <v>事業用資産</v>
      </c>
      <c r="H4262" s="7" t="str">
        <f t="shared" si="1500"/>
        <v>棚卸以外</v>
      </c>
      <c r="I4262" s="7">
        <v>5</v>
      </c>
      <c r="J4262" s="7" t="str">
        <f>"受水槽"</f>
        <v>受水槽</v>
      </c>
      <c r="K4262" s="7" t="str">
        <f t="shared" si="1516"/>
        <v>鉄筋コンクリート造</v>
      </c>
      <c r="L4262" s="7" t="str">
        <f>"H03.10.29"</f>
        <v>H03.10.29</v>
      </c>
      <c r="M4262" s="7">
        <v>62.16</v>
      </c>
      <c r="N4262" s="7">
        <v>16099000</v>
      </c>
      <c r="O4262" s="7">
        <v>10761465</v>
      </c>
      <c r="P4262" s="7">
        <v>0</v>
      </c>
      <c r="Q4262" s="7" t="str">
        <f t="shared" si="1515"/>
        <v>都市整備部</v>
      </c>
      <c r="R4262" s="7" t="str">
        <f t="shared" si="1510"/>
        <v>住宅建築局住宅経営室</v>
      </c>
    </row>
    <row r="4263" spans="1:18" s="1" customFormat="1" x14ac:dyDescent="0.45">
      <c r="A4263" s="7" t="str">
        <f t="shared" si="1517"/>
        <v>09940003572</v>
      </c>
      <c r="B4263" s="7" t="str">
        <f t="shared" si="1518"/>
        <v>泉佐野鶴原北</v>
      </c>
      <c r="C4263" s="7" t="str">
        <f t="shared" si="1511"/>
        <v>行政財産</v>
      </c>
      <c r="D4263" s="7" t="str">
        <f t="shared" si="1493"/>
        <v>公営住宅</v>
      </c>
      <c r="E4263" s="7" t="str">
        <f t="shared" si="1519"/>
        <v>大阪府泉佐野市鶴原</v>
      </c>
      <c r="F4263" s="7"/>
      <c r="G4263" s="7" t="str">
        <f t="shared" si="1509"/>
        <v>事業用資産</v>
      </c>
      <c r="H4263" s="7" t="str">
        <f t="shared" si="1500"/>
        <v>棚卸以外</v>
      </c>
      <c r="I4263" s="7">
        <v>6</v>
      </c>
      <c r="J4263" s="7" t="str">
        <f>"４号棟"</f>
        <v>４号棟</v>
      </c>
      <c r="K4263" s="7" t="str">
        <f>"鉄筋"</f>
        <v>鉄筋</v>
      </c>
      <c r="L4263" s="7" t="str">
        <f>"H05.03.30"</f>
        <v>H05.03.30</v>
      </c>
      <c r="M4263" s="7">
        <v>1103.7</v>
      </c>
      <c r="N4263" s="7">
        <v>190793000</v>
      </c>
      <c r="O4263" s="7">
        <v>121782960</v>
      </c>
      <c r="P4263" s="7">
        <v>0</v>
      </c>
      <c r="Q4263" s="7" t="str">
        <f t="shared" si="1515"/>
        <v>都市整備部</v>
      </c>
      <c r="R4263" s="7" t="str">
        <f t="shared" si="1510"/>
        <v>住宅建築局住宅経営室</v>
      </c>
    </row>
    <row r="4264" spans="1:18" s="1" customFormat="1" x14ac:dyDescent="0.45">
      <c r="A4264" s="7" t="str">
        <f t="shared" si="1517"/>
        <v>09940003572</v>
      </c>
      <c r="B4264" s="7" t="str">
        <f t="shared" si="1518"/>
        <v>泉佐野鶴原北</v>
      </c>
      <c r="C4264" s="7" t="str">
        <f t="shared" si="1511"/>
        <v>行政財産</v>
      </c>
      <c r="D4264" s="7" t="str">
        <f t="shared" si="1493"/>
        <v>公営住宅</v>
      </c>
      <c r="E4264" s="7" t="str">
        <f t="shared" si="1519"/>
        <v>大阪府泉佐野市鶴原</v>
      </c>
      <c r="F4264" s="7"/>
      <c r="G4264" s="7" t="str">
        <f t="shared" si="1509"/>
        <v>事業用資産</v>
      </c>
      <c r="H4264" s="7" t="str">
        <f t="shared" si="1500"/>
        <v>棚卸以外</v>
      </c>
      <c r="I4264" s="7">
        <v>7</v>
      </c>
      <c r="J4264" s="7" t="str">
        <f>"５号棟"</f>
        <v>５号棟</v>
      </c>
      <c r="K4264" s="7" t="str">
        <f>"鉄筋"</f>
        <v>鉄筋</v>
      </c>
      <c r="L4264" s="7" t="str">
        <f>"H05.03.30"</f>
        <v>H05.03.30</v>
      </c>
      <c r="M4264" s="7">
        <v>1103.7</v>
      </c>
      <c r="N4264" s="7">
        <v>188174000</v>
      </c>
      <c r="O4264" s="7">
        <v>120111120</v>
      </c>
      <c r="P4264" s="7">
        <v>0</v>
      </c>
      <c r="Q4264" s="7" t="str">
        <f t="shared" si="1515"/>
        <v>都市整備部</v>
      </c>
      <c r="R4264" s="7" t="str">
        <f t="shared" si="1510"/>
        <v>住宅建築局住宅経営室</v>
      </c>
    </row>
    <row r="4265" spans="1:18" s="1" customFormat="1" x14ac:dyDescent="0.45">
      <c r="A4265" s="7" t="str">
        <f t="shared" si="1517"/>
        <v>09940003572</v>
      </c>
      <c r="B4265" s="7" t="str">
        <f t="shared" si="1518"/>
        <v>泉佐野鶴原北</v>
      </c>
      <c r="C4265" s="7" t="str">
        <f t="shared" si="1511"/>
        <v>行政財産</v>
      </c>
      <c r="D4265" s="7" t="str">
        <f t="shared" si="1493"/>
        <v>公営住宅</v>
      </c>
      <c r="E4265" s="7" t="str">
        <f t="shared" si="1519"/>
        <v>大阪府泉佐野市鶴原</v>
      </c>
      <c r="F4265" s="7"/>
      <c r="G4265" s="7" t="str">
        <f t="shared" si="1509"/>
        <v>事業用資産</v>
      </c>
      <c r="H4265" s="7" t="str">
        <f t="shared" si="1500"/>
        <v>棚卸以外</v>
      </c>
      <c r="I4265" s="7">
        <v>8</v>
      </c>
      <c r="J4265" s="7" t="str">
        <f>"６号棟"</f>
        <v>６号棟</v>
      </c>
      <c r="K4265" s="7" t="str">
        <f>"鉄筋"</f>
        <v>鉄筋</v>
      </c>
      <c r="L4265" s="7" t="str">
        <f>"H05.03.30"</f>
        <v>H05.03.30</v>
      </c>
      <c r="M4265" s="7">
        <v>2207.4</v>
      </c>
      <c r="N4265" s="7">
        <v>376348000</v>
      </c>
      <c r="O4265" s="7">
        <v>240222240</v>
      </c>
      <c r="P4265" s="7">
        <v>0</v>
      </c>
      <c r="Q4265" s="7" t="str">
        <f t="shared" si="1515"/>
        <v>都市整備部</v>
      </c>
      <c r="R4265" s="7" t="str">
        <f t="shared" si="1510"/>
        <v>住宅建築局住宅経営室</v>
      </c>
    </row>
    <row r="4266" spans="1:18" s="1" customFormat="1" x14ac:dyDescent="0.45">
      <c r="A4266" s="7" t="str">
        <f t="shared" ref="A4266:A4280" si="1520">"09940003573"</f>
        <v>09940003573</v>
      </c>
      <c r="B4266" s="7" t="str">
        <f t="shared" ref="B4266:B4280" si="1521">"枚方三栗"</f>
        <v>枚方三栗</v>
      </c>
      <c r="C4266" s="7" t="str">
        <f t="shared" si="1511"/>
        <v>行政財産</v>
      </c>
      <c r="D4266" s="7" t="str">
        <f t="shared" si="1493"/>
        <v>公営住宅</v>
      </c>
      <c r="E4266" s="7" t="str">
        <f t="shared" ref="E4266:E4280" si="1522">"大阪府枚方市三栗２丁目"</f>
        <v>大阪府枚方市三栗２丁目</v>
      </c>
      <c r="F4266" s="7"/>
      <c r="G4266" s="7" t="str">
        <f t="shared" si="1509"/>
        <v>事業用資産</v>
      </c>
      <c r="H4266" s="7" t="str">
        <f t="shared" si="1500"/>
        <v>棚卸以外</v>
      </c>
      <c r="I4266" s="7">
        <v>1</v>
      </c>
      <c r="J4266" s="7" t="str">
        <f>"６号棟"</f>
        <v>６号棟</v>
      </c>
      <c r="K4266" s="7" t="str">
        <f t="shared" ref="K4266:K4297" si="1523">"鉄筋コンクリート造"</f>
        <v>鉄筋コンクリート造</v>
      </c>
      <c r="L4266" s="7" t="str">
        <f t="shared" ref="L4266:L4272" si="1524">"H07.10.19"</f>
        <v>H07.10.19</v>
      </c>
      <c r="M4266" s="7">
        <v>1921.26</v>
      </c>
      <c r="N4266" s="7">
        <v>352142000</v>
      </c>
      <c r="O4266" s="7">
        <v>205416414</v>
      </c>
      <c r="P4266" s="7">
        <v>0</v>
      </c>
      <c r="Q4266" s="7" t="str">
        <f t="shared" si="1515"/>
        <v>都市整備部</v>
      </c>
      <c r="R4266" s="7" t="str">
        <f t="shared" si="1510"/>
        <v>住宅建築局住宅経営室</v>
      </c>
    </row>
    <row r="4267" spans="1:18" s="1" customFormat="1" x14ac:dyDescent="0.45">
      <c r="A4267" s="7" t="str">
        <f t="shared" si="1520"/>
        <v>09940003573</v>
      </c>
      <c r="B4267" s="7" t="str">
        <f t="shared" si="1521"/>
        <v>枚方三栗</v>
      </c>
      <c r="C4267" s="7" t="str">
        <f t="shared" si="1511"/>
        <v>行政財産</v>
      </c>
      <c r="D4267" s="7" t="str">
        <f t="shared" si="1493"/>
        <v>公営住宅</v>
      </c>
      <c r="E4267" s="7" t="str">
        <f t="shared" si="1522"/>
        <v>大阪府枚方市三栗２丁目</v>
      </c>
      <c r="F4267" s="7"/>
      <c r="G4267" s="7" t="str">
        <f t="shared" si="1509"/>
        <v>事業用資産</v>
      </c>
      <c r="H4267" s="7" t="str">
        <f t="shared" si="1500"/>
        <v>棚卸以外</v>
      </c>
      <c r="I4267" s="7">
        <v>2</v>
      </c>
      <c r="J4267" s="7" t="str">
        <f>"７号棟"</f>
        <v>７号棟</v>
      </c>
      <c r="K4267" s="7" t="str">
        <f t="shared" si="1523"/>
        <v>鉄筋コンクリート造</v>
      </c>
      <c r="L4267" s="7" t="str">
        <f t="shared" si="1524"/>
        <v>H07.10.19</v>
      </c>
      <c r="M4267" s="7">
        <v>3212.42</v>
      </c>
      <c r="N4267" s="7">
        <v>672626208</v>
      </c>
      <c r="O4267" s="7">
        <v>392103845</v>
      </c>
      <c r="P4267" s="7">
        <v>0</v>
      </c>
      <c r="Q4267" s="7" t="str">
        <f t="shared" si="1515"/>
        <v>都市整備部</v>
      </c>
      <c r="R4267" s="7" t="str">
        <f t="shared" si="1510"/>
        <v>住宅建築局住宅経営室</v>
      </c>
    </row>
    <row r="4268" spans="1:18" s="1" customFormat="1" x14ac:dyDescent="0.45">
      <c r="A4268" s="7" t="str">
        <f t="shared" si="1520"/>
        <v>09940003573</v>
      </c>
      <c r="B4268" s="7" t="str">
        <f t="shared" si="1521"/>
        <v>枚方三栗</v>
      </c>
      <c r="C4268" s="7" t="str">
        <f t="shared" si="1511"/>
        <v>行政財産</v>
      </c>
      <c r="D4268" s="7" t="str">
        <f t="shared" si="1493"/>
        <v>公営住宅</v>
      </c>
      <c r="E4268" s="7" t="str">
        <f t="shared" si="1522"/>
        <v>大阪府枚方市三栗２丁目</v>
      </c>
      <c r="F4268" s="7"/>
      <c r="G4268" s="7" t="str">
        <f t="shared" si="1509"/>
        <v>事業用資産</v>
      </c>
      <c r="H4268" s="7" t="str">
        <f t="shared" si="1500"/>
        <v>棚卸以外</v>
      </c>
      <c r="I4268" s="7">
        <v>3</v>
      </c>
      <c r="J4268" s="7" t="str">
        <f>"８号棟"</f>
        <v>８号棟</v>
      </c>
      <c r="K4268" s="7" t="str">
        <f t="shared" si="1523"/>
        <v>鉄筋コンクリート造</v>
      </c>
      <c r="L4268" s="7" t="str">
        <f t="shared" si="1524"/>
        <v>H07.10.19</v>
      </c>
      <c r="M4268" s="7">
        <v>3786.29</v>
      </c>
      <c r="N4268" s="7">
        <v>858697686</v>
      </c>
      <c r="O4268" s="7">
        <v>500777944</v>
      </c>
      <c r="P4268" s="7">
        <v>0</v>
      </c>
      <c r="Q4268" s="7" t="str">
        <f t="shared" si="1515"/>
        <v>都市整備部</v>
      </c>
      <c r="R4268" s="7" t="str">
        <f t="shared" si="1510"/>
        <v>住宅建築局住宅経営室</v>
      </c>
    </row>
    <row r="4269" spans="1:18" s="1" customFormat="1" x14ac:dyDescent="0.45">
      <c r="A4269" s="7" t="str">
        <f t="shared" si="1520"/>
        <v>09940003573</v>
      </c>
      <c r="B4269" s="7" t="str">
        <f t="shared" si="1521"/>
        <v>枚方三栗</v>
      </c>
      <c r="C4269" s="7" t="str">
        <f t="shared" si="1511"/>
        <v>行政財産</v>
      </c>
      <c r="D4269" s="7" t="str">
        <f t="shared" si="1493"/>
        <v>公営住宅</v>
      </c>
      <c r="E4269" s="7" t="str">
        <f t="shared" si="1522"/>
        <v>大阪府枚方市三栗２丁目</v>
      </c>
      <c r="F4269" s="7"/>
      <c r="G4269" s="7" t="str">
        <f t="shared" si="1509"/>
        <v>事業用資産</v>
      </c>
      <c r="H4269" s="7" t="str">
        <f t="shared" si="1500"/>
        <v>棚卸以外</v>
      </c>
      <c r="I4269" s="7">
        <v>4</v>
      </c>
      <c r="J4269" s="7" t="str">
        <f>"９号棟"</f>
        <v>９号棟</v>
      </c>
      <c r="K4269" s="7" t="str">
        <f t="shared" si="1523"/>
        <v>鉄筋コンクリート造</v>
      </c>
      <c r="L4269" s="7" t="str">
        <f t="shared" si="1524"/>
        <v>H07.10.19</v>
      </c>
      <c r="M4269" s="7">
        <v>2729.54</v>
      </c>
      <c r="N4269" s="7">
        <v>573460791</v>
      </c>
      <c r="O4269" s="7">
        <v>334258871</v>
      </c>
      <c r="P4269" s="7">
        <v>0</v>
      </c>
      <c r="Q4269" s="7" t="str">
        <f t="shared" si="1515"/>
        <v>都市整備部</v>
      </c>
      <c r="R4269" s="7" t="str">
        <f t="shared" si="1510"/>
        <v>住宅建築局住宅経営室</v>
      </c>
    </row>
    <row r="4270" spans="1:18" s="1" customFormat="1" x14ac:dyDescent="0.45">
      <c r="A4270" s="7" t="str">
        <f t="shared" si="1520"/>
        <v>09940003573</v>
      </c>
      <c r="B4270" s="7" t="str">
        <f t="shared" si="1521"/>
        <v>枚方三栗</v>
      </c>
      <c r="C4270" s="7" t="str">
        <f t="shared" si="1511"/>
        <v>行政財産</v>
      </c>
      <c r="D4270" s="7" t="str">
        <f t="shared" si="1493"/>
        <v>公営住宅</v>
      </c>
      <c r="E4270" s="7" t="str">
        <f t="shared" si="1522"/>
        <v>大阪府枚方市三栗２丁目</v>
      </c>
      <c r="F4270" s="7"/>
      <c r="G4270" s="7" t="str">
        <f t="shared" si="1509"/>
        <v>事業用資産</v>
      </c>
      <c r="H4270" s="7" t="str">
        <f t="shared" si="1500"/>
        <v>棚卸以外</v>
      </c>
      <c r="I4270" s="7">
        <v>5</v>
      </c>
      <c r="J4270" s="7" t="str">
        <f>"１０号棟"</f>
        <v>１０号棟</v>
      </c>
      <c r="K4270" s="7" t="str">
        <f t="shared" si="1523"/>
        <v>鉄筋コンクリート造</v>
      </c>
      <c r="L4270" s="7" t="str">
        <f t="shared" si="1524"/>
        <v>H07.10.19</v>
      </c>
      <c r="M4270" s="7">
        <v>4593.09</v>
      </c>
      <c r="N4270" s="7">
        <v>1012187895</v>
      </c>
      <c r="O4270" s="7">
        <v>590052423</v>
      </c>
      <c r="P4270" s="7">
        <v>0</v>
      </c>
      <c r="Q4270" s="7" t="str">
        <f t="shared" si="1515"/>
        <v>都市整備部</v>
      </c>
      <c r="R4270" s="7" t="str">
        <f t="shared" si="1510"/>
        <v>住宅建築局住宅経営室</v>
      </c>
    </row>
    <row r="4271" spans="1:18" s="1" customFormat="1" x14ac:dyDescent="0.45">
      <c r="A4271" s="7" t="str">
        <f t="shared" si="1520"/>
        <v>09940003573</v>
      </c>
      <c r="B4271" s="7" t="str">
        <f t="shared" si="1521"/>
        <v>枚方三栗</v>
      </c>
      <c r="C4271" s="7" t="str">
        <f t="shared" si="1511"/>
        <v>行政財産</v>
      </c>
      <c r="D4271" s="7" t="str">
        <f t="shared" si="1493"/>
        <v>公営住宅</v>
      </c>
      <c r="E4271" s="7" t="str">
        <f t="shared" si="1522"/>
        <v>大阪府枚方市三栗２丁目</v>
      </c>
      <c r="F4271" s="7"/>
      <c r="G4271" s="7" t="str">
        <f t="shared" si="1509"/>
        <v>事業用資産</v>
      </c>
      <c r="H4271" s="7" t="str">
        <f t="shared" si="1500"/>
        <v>棚卸以外</v>
      </c>
      <c r="I4271" s="7">
        <v>6</v>
      </c>
      <c r="J4271" s="7" t="str">
        <f>"集会所"</f>
        <v>集会所</v>
      </c>
      <c r="K4271" s="7" t="str">
        <f t="shared" si="1523"/>
        <v>鉄筋コンクリート造</v>
      </c>
      <c r="L4271" s="7" t="str">
        <f t="shared" si="1524"/>
        <v>H07.10.19</v>
      </c>
      <c r="M4271" s="7">
        <v>199.97</v>
      </c>
      <c r="N4271" s="7">
        <v>60290000</v>
      </c>
      <c r="O4271" s="7">
        <v>35169442</v>
      </c>
      <c r="P4271" s="7">
        <v>0</v>
      </c>
      <c r="Q4271" s="7" t="str">
        <f t="shared" si="1515"/>
        <v>都市整備部</v>
      </c>
      <c r="R4271" s="7" t="str">
        <f t="shared" si="1510"/>
        <v>住宅建築局住宅経営室</v>
      </c>
    </row>
    <row r="4272" spans="1:18" s="1" customFormat="1" x14ac:dyDescent="0.45">
      <c r="A4272" s="7" t="str">
        <f t="shared" si="1520"/>
        <v>09940003573</v>
      </c>
      <c r="B4272" s="7" t="str">
        <f t="shared" si="1521"/>
        <v>枚方三栗</v>
      </c>
      <c r="C4272" s="7" t="str">
        <f t="shared" si="1511"/>
        <v>行政財産</v>
      </c>
      <c r="D4272" s="7" t="str">
        <f t="shared" si="1493"/>
        <v>公営住宅</v>
      </c>
      <c r="E4272" s="7" t="str">
        <f t="shared" si="1522"/>
        <v>大阪府枚方市三栗２丁目</v>
      </c>
      <c r="F4272" s="7"/>
      <c r="G4272" s="7" t="str">
        <f t="shared" si="1509"/>
        <v>事業用資産</v>
      </c>
      <c r="H4272" s="7" t="str">
        <f t="shared" si="1500"/>
        <v>棚卸以外</v>
      </c>
      <c r="I4272" s="7">
        <v>7</v>
      </c>
      <c r="J4272" s="7" t="str">
        <f>"受水槽"</f>
        <v>受水槽</v>
      </c>
      <c r="K4272" s="7" t="str">
        <f t="shared" si="1523"/>
        <v>鉄筋コンクリート造</v>
      </c>
      <c r="L4272" s="7" t="str">
        <f t="shared" si="1524"/>
        <v>H07.10.19</v>
      </c>
      <c r="M4272" s="7">
        <v>206.36</v>
      </c>
      <c r="N4272" s="7">
        <v>70448000</v>
      </c>
      <c r="O4272" s="7">
        <v>41094732</v>
      </c>
      <c r="P4272" s="7">
        <v>0</v>
      </c>
      <c r="Q4272" s="7" t="str">
        <f t="shared" si="1515"/>
        <v>都市整備部</v>
      </c>
      <c r="R4272" s="7" t="str">
        <f t="shared" si="1510"/>
        <v>住宅建築局住宅経営室</v>
      </c>
    </row>
    <row r="4273" spans="1:18" s="1" customFormat="1" x14ac:dyDescent="0.45">
      <c r="A4273" s="7" t="str">
        <f t="shared" si="1520"/>
        <v>09940003573</v>
      </c>
      <c r="B4273" s="7" t="str">
        <f t="shared" si="1521"/>
        <v>枚方三栗</v>
      </c>
      <c r="C4273" s="7" t="str">
        <f t="shared" si="1511"/>
        <v>行政財産</v>
      </c>
      <c r="D4273" s="7" t="str">
        <f t="shared" si="1493"/>
        <v>公営住宅</v>
      </c>
      <c r="E4273" s="7" t="str">
        <f t="shared" si="1522"/>
        <v>大阪府枚方市三栗２丁目</v>
      </c>
      <c r="F4273" s="7"/>
      <c r="G4273" s="7" t="str">
        <f t="shared" si="1509"/>
        <v>事業用資産</v>
      </c>
      <c r="H4273" s="7" t="str">
        <f t="shared" si="1500"/>
        <v>棚卸以外</v>
      </c>
      <c r="I4273" s="7">
        <v>8</v>
      </c>
      <c r="J4273" s="7" t="str">
        <f>"１１号棟"</f>
        <v>１１号棟</v>
      </c>
      <c r="K4273" s="7" t="str">
        <f t="shared" si="1523"/>
        <v>鉄筋コンクリート造</v>
      </c>
      <c r="L4273" s="7" t="str">
        <f>"H10.03.14"</f>
        <v>H10.03.14</v>
      </c>
      <c r="M4273" s="7">
        <v>7269.07</v>
      </c>
      <c r="N4273" s="7">
        <v>1281050312</v>
      </c>
      <c r="O4273" s="7">
        <v>681052200</v>
      </c>
      <c r="P4273" s="7">
        <v>0</v>
      </c>
      <c r="Q4273" s="7" t="str">
        <f t="shared" si="1515"/>
        <v>都市整備部</v>
      </c>
      <c r="R4273" s="7" t="str">
        <f t="shared" si="1510"/>
        <v>住宅建築局住宅経営室</v>
      </c>
    </row>
    <row r="4274" spans="1:18" s="1" customFormat="1" x14ac:dyDescent="0.45">
      <c r="A4274" s="7" t="str">
        <f t="shared" si="1520"/>
        <v>09940003573</v>
      </c>
      <c r="B4274" s="7" t="str">
        <f t="shared" si="1521"/>
        <v>枚方三栗</v>
      </c>
      <c r="C4274" s="7" t="str">
        <f t="shared" si="1511"/>
        <v>行政財産</v>
      </c>
      <c r="D4274" s="7" t="str">
        <f t="shared" ref="D4274:D4314" si="1525">"公営住宅"</f>
        <v>公営住宅</v>
      </c>
      <c r="E4274" s="7" t="str">
        <f t="shared" si="1522"/>
        <v>大阪府枚方市三栗２丁目</v>
      </c>
      <c r="F4274" s="7"/>
      <c r="G4274" s="7" t="str">
        <f t="shared" si="1509"/>
        <v>事業用資産</v>
      </c>
      <c r="H4274" s="7" t="str">
        <f t="shared" si="1500"/>
        <v>棚卸以外</v>
      </c>
      <c r="I4274" s="7">
        <v>9</v>
      </c>
      <c r="J4274" s="7" t="str">
        <f>"１２号棟"</f>
        <v>１２号棟</v>
      </c>
      <c r="K4274" s="7" t="str">
        <f t="shared" si="1523"/>
        <v>鉄筋コンクリート造</v>
      </c>
      <c r="L4274" s="7" t="str">
        <f>"H10.03.14"</f>
        <v>H10.03.14</v>
      </c>
      <c r="M4274" s="7">
        <v>6253.79</v>
      </c>
      <c r="N4274" s="7">
        <v>1243579477</v>
      </c>
      <c r="O4274" s="7">
        <v>661898838</v>
      </c>
      <c r="P4274" s="7">
        <v>0</v>
      </c>
      <c r="Q4274" s="7" t="str">
        <f t="shared" si="1515"/>
        <v>都市整備部</v>
      </c>
      <c r="R4274" s="7" t="str">
        <f t="shared" si="1510"/>
        <v>住宅建築局住宅経営室</v>
      </c>
    </row>
    <row r="4275" spans="1:18" s="1" customFormat="1" x14ac:dyDescent="0.45">
      <c r="A4275" s="7" t="str">
        <f t="shared" si="1520"/>
        <v>09940003573</v>
      </c>
      <c r="B4275" s="7" t="str">
        <f t="shared" si="1521"/>
        <v>枚方三栗</v>
      </c>
      <c r="C4275" s="7" t="str">
        <f t="shared" si="1511"/>
        <v>行政財産</v>
      </c>
      <c r="D4275" s="7" t="str">
        <f t="shared" si="1525"/>
        <v>公営住宅</v>
      </c>
      <c r="E4275" s="7" t="str">
        <f t="shared" si="1522"/>
        <v>大阪府枚方市三栗２丁目</v>
      </c>
      <c r="F4275" s="7"/>
      <c r="G4275" s="7" t="str">
        <f t="shared" si="1509"/>
        <v>事業用資産</v>
      </c>
      <c r="H4275" s="7" t="str">
        <f t="shared" si="1500"/>
        <v>棚卸以外</v>
      </c>
      <c r="I4275" s="7">
        <v>10</v>
      </c>
      <c r="J4275" s="7" t="str">
        <f>"１３号棟"</f>
        <v>１３号棟</v>
      </c>
      <c r="K4275" s="7" t="str">
        <f t="shared" si="1523"/>
        <v>鉄筋コンクリート造</v>
      </c>
      <c r="L4275" s="7" t="str">
        <f>"H10.03.14"</f>
        <v>H10.03.14</v>
      </c>
      <c r="M4275" s="7">
        <v>5028.8</v>
      </c>
      <c r="N4275" s="7">
        <v>948402477</v>
      </c>
      <c r="O4275" s="7">
        <v>504889638</v>
      </c>
      <c r="P4275" s="7">
        <v>0</v>
      </c>
      <c r="Q4275" s="7" t="str">
        <f t="shared" si="1515"/>
        <v>都市整備部</v>
      </c>
      <c r="R4275" s="7" t="str">
        <f t="shared" si="1510"/>
        <v>住宅建築局住宅経営室</v>
      </c>
    </row>
    <row r="4276" spans="1:18" s="1" customFormat="1" x14ac:dyDescent="0.45">
      <c r="A4276" s="7" t="str">
        <f t="shared" si="1520"/>
        <v>09940003573</v>
      </c>
      <c r="B4276" s="7" t="str">
        <f t="shared" si="1521"/>
        <v>枚方三栗</v>
      </c>
      <c r="C4276" s="7" t="str">
        <f t="shared" si="1511"/>
        <v>行政財産</v>
      </c>
      <c r="D4276" s="7" t="str">
        <f t="shared" si="1525"/>
        <v>公営住宅</v>
      </c>
      <c r="E4276" s="7" t="str">
        <f t="shared" si="1522"/>
        <v>大阪府枚方市三栗２丁目</v>
      </c>
      <c r="F4276" s="7"/>
      <c r="G4276" s="7" t="str">
        <f t="shared" si="1509"/>
        <v>事業用資産</v>
      </c>
      <c r="H4276" s="7" t="str">
        <f t="shared" si="1500"/>
        <v>棚卸以外</v>
      </c>
      <c r="I4276" s="7">
        <v>11</v>
      </c>
      <c r="J4276" s="7" t="str">
        <f>"１４号棟"</f>
        <v>１４号棟</v>
      </c>
      <c r="K4276" s="7" t="str">
        <f t="shared" si="1523"/>
        <v>鉄筋コンクリート造</v>
      </c>
      <c r="L4276" s="7" t="str">
        <f>"H12.11.28"</f>
        <v>H12.11.28</v>
      </c>
      <c r="M4276" s="7">
        <v>4763.8500000000004</v>
      </c>
      <c r="N4276" s="7">
        <v>922425537</v>
      </c>
      <c r="O4276" s="7">
        <v>439526766</v>
      </c>
      <c r="P4276" s="7">
        <v>0</v>
      </c>
      <c r="Q4276" s="7" t="str">
        <f t="shared" si="1515"/>
        <v>都市整備部</v>
      </c>
      <c r="R4276" s="7" t="str">
        <f t="shared" si="1510"/>
        <v>住宅建築局住宅経営室</v>
      </c>
    </row>
    <row r="4277" spans="1:18" s="1" customFormat="1" x14ac:dyDescent="0.45">
      <c r="A4277" s="7" t="str">
        <f t="shared" si="1520"/>
        <v>09940003573</v>
      </c>
      <c r="B4277" s="7" t="str">
        <f t="shared" si="1521"/>
        <v>枚方三栗</v>
      </c>
      <c r="C4277" s="7" t="str">
        <f t="shared" si="1511"/>
        <v>行政財産</v>
      </c>
      <c r="D4277" s="7" t="str">
        <f t="shared" si="1525"/>
        <v>公営住宅</v>
      </c>
      <c r="E4277" s="7" t="str">
        <f t="shared" si="1522"/>
        <v>大阪府枚方市三栗２丁目</v>
      </c>
      <c r="F4277" s="7"/>
      <c r="G4277" s="7" t="str">
        <f t="shared" si="1509"/>
        <v>事業用資産</v>
      </c>
      <c r="H4277" s="7" t="str">
        <f t="shared" si="1500"/>
        <v>棚卸以外</v>
      </c>
      <c r="I4277" s="7">
        <v>12</v>
      </c>
      <c r="J4277" s="7" t="str">
        <f>"１５号棟"</f>
        <v>１５号棟</v>
      </c>
      <c r="K4277" s="7" t="str">
        <f t="shared" si="1523"/>
        <v>鉄筋コンクリート造</v>
      </c>
      <c r="L4277" s="7" t="str">
        <f>"H12.11.28"</f>
        <v>H12.11.28</v>
      </c>
      <c r="M4277" s="7">
        <v>4082.25</v>
      </c>
      <c r="N4277" s="7">
        <v>601660109</v>
      </c>
      <c r="O4277" s="7">
        <v>286595246</v>
      </c>
      <c r="P4277" s="7">
        <v>0</v>
      </c>
      <c r="Q4277" s="7" t="str">
        <f t="shared" si="1515"/>
        <v>都市整備部</v>
      </c>
      <c r="R4277" s="7" t="str">
        <f t="shared" si="1510"/>
        <v>住宅建築局住宅経営室</v>
      </c>
    </row>
    <row r="4278" spans="1:18" s="1" customFormat="1" x14ac:dyDescent="0.45">
      <c r="A4278" s="7" t="str">
        <f t="shared" si="1520"/>
        <v>09940003573</v>
      </c>
      <c r="B4278" s="7" t="str">
        <f t="shared" si="1521"/>
        <v>枚方三栗</v>
      </c>
      <c r="C4278" s="7" t="str">
        <f t="shared" si="1511"/>
        <v>行政財産</v>
      </c>
      <c r="D4278" s="7" t="str">
        <f t="shared" si="1525"/>
        <v>公営住宅</v>
      </c>
      <c r="E4278" s="7" t="str">
        <f t="shared" si="1522"/>
        <v>大阪府枚方市三栗２丁目</v>
      </c>
      <c r="F4278" s="7"/>
      <c r="G4278" s="7" t="str">
        <f t="shared" si="1509"/>
        <v>事業用資産</v>
      </c>
      <c r="H4278" s="7" t="str">
        <f t="shared" si="1500"/>
        <v>棚卸以外</v>
      </c>
      <c r="I4278" s="7">
        <v>14</v>
      </c>
      <c r="J4278" s="7" t="str">
        <f>"１７号棟"</f>
        <v>１７号棟</v>
      </c>
      <c r="K4278" s="7" t="str">
        <f t="shared" si="1523"/>
        <v>鉄筋コンクリート造</v>
      </c>
      <c r="L4278" s="7" t="str">
        <f>"H21.02.24"</f>
        <v>H21.02.24</v>
      </c>
      <c r="M4278" s="7">
        <v>7809.34</v>
      </c>
      <c r="N4278" s="7">
        <v>958791325</v>
      </c>
      <c r="O4278" s="7">
        <v>290002443</v>
      </c>
      <c r="P4278" s="7">
        <v>0</v>
      </c>
      <c r="Q4278" s="7" t="str">
        <f t="shared" si="1515"/>
        <v>都市整備部</v>
      </c>
      <c r="R4278" s="7" t="str">
        <f t="shared" si="1510"/>
        <v>住宅建築局住宅経営室</v>
      </c>
    </row>
    <row r="4279" spans="1:18" s="1" customFormat="1" x14ac:dyDescent="0.45">
      <c r="A4279" s="7" t="str">
        <f t="shared" si="1520"/>
        <v>09940003573</v>
      </c>
      <c r="B4279" s="7" t="str">
        <f t="shared" si="1521"/>
        <v>枚方三栗</v>
      </c>
      <c r="C4279" s="7" t="str">
        <f t="shared" si="1511"/>
        <v>行政財産</v>
      </c>
      <c r="D4279" s="7" t="str">
        <f t="shared" si="1525"/>
        <v>公営住宅</v>
      </c>
      <c r="E4279" s="7" t="str">
        <f t="shared" si="1522"/>
        <v>大阪府枚方市三栗２丁目</v>
      </c>
      <c r="F4279" s="7"/>
      <c r="G4279" s="7" t="str">
        <f t="shared" si="1509"/>
        <v>事業用資産</v>
      </c>
      <c r="H4279" s="7" t="str">
        <f t="shared" si="1500"/>
        <v>棚卸以外</v>
      </c>
      <c r="I4279" s="7">
        <v>15</v>
      </c>
      <c r="J4279" s="7" t="str">
        <f>"ポンプ室・電気室"</f>
        <v>ポンプ室・電気室</v>
      </c>
      <c r="K4279" s="7" t="str">
        <f t="shared" si="1523"/>
        <v>鉄筋コンクリート造</v>
      </c>
      <c r="L4279" s="7" t="str">
        <f>"H21.02.24"</f>
        <v>H21.02.24</v>
      </c>
      <c r="M4279" s="7">
        <v>68.099999999999994</v>
      </c>
      <c r="N4279" s="7">
        <v>21073000</v>
      </c>
      <c r="O4279" s="7">
        <v>6314516</v>
      </c>
      <c r="P4279" s="7">
        <v>0</v>
      </c>
      <c r="Q4279" s="7" t="str">
        <f t="shared" si="1515"/>
        <v>都市整備部</v>
      </c>
      <c r="R4279" s="7" t="str">
        <f t="shared" si="1510"/>
        <v>住宅建築局住宅経営室</v>
      </c>
    </row>
    <row r="4280" spans="1:18" s="1" customFormat="1" x14ac:dyDescent="0.45">
      <c r="A4280" s="7" t="str">
        <f t="shared" si="1520"/>
        <v>09940003573</v>
      </c>
      <c r="B4280" s="7" t="str">
        <f t="shared" si="1521"/>
        <v>枚方三栗</v>
      </c>
      <c r="C4280" s="7" t="str">
        <f t="shared" si="1511"/>
        <v>行政財産</v>
      </c>
      <c r="D4280" s="7" t="str">
        <f t="shared" si="1525"/>
        <v>公営住宅</v>
      </c>
      <c r="E4280" s="7" t="str">
        <f t="shared" si="1522"/>
        <v>大阪府枚方市三栗２丁目</v>
      </c>
      <c r="F4280" s="7"/>
      <c r="G4280" s="7" t="str">
        <f t="shared" si="1509"/>
        <v>事業用資産</v>
      </c>
      <c r="H4280" s="7" t="str">
        <f t="shared" si="1500"/>
        <v>棚卸以外</v>
      </c>
      <c r="I4280" s="7">
        <v>16</v>
      </c>
      <c r="J4280" s="7" t="str">
        <f>"１６号棟"</f>
        <v>１６号棟</v>
      </c>
      <c r="K4280" s="7" t="str">
        <f t="shared" si="1523"/>
        <v>鉄筋コンクリート造</v>
      </c>
      <c r="L4280" s="7" t="str">
        <f>"H12.11.28"</f>
        <v>H12.11.28</v>
      </c>
      <c r="M4280" s="7">
        <v>2243.39</v>
      </c>
      <c r="N4280" s="7">
        <v>389179159</v>
      </c>
      <c r="O4280" s="7">
        <v>184834934</v>
      </c>
      <c r="P4280" s="7">
        <v>0</v>
      </c>
      <c r="Q4280" s="7" t="str">
        <f t="shared" si="1515"/>
        <v>都市整備部</v>
      </c>
      <c r="R4280" s="7" t="str">
        <f t="shared" si="1510"/>
        <v>住宅建築局住宅経営室</v>
      </c>
    </row>
    <row r="4281" spans="1:18" s="1" customFormat="1" x14ac:dyDescent="0.45">
      <c r="A4281" s="7" t="str">
        <f t="shared" ref="A4281:A4301" si="1526">"09940003574"</f>
        <v>09940003574</v>
      </c>
      <c r="B4281" s="7" t="str">
        <f t="shared" ref="B4281:B4301" si="1527">"茨木玉櫛"</f>
        <v>茨木玉櫛</v>
      </c>
      <c r="C4281" s="7" t="str">
        <f t="shared" si="1511"/>
        <v>行政財産</v>
      </c>
      <c r="D4281" s="7" t="str">
        <f t="shared" si="1525"/>
        <v>公営住宅</v>
      </c>
      <c r="E4281" s="7" t="str">
        <f t="shared" ref="E4281:E4301" si="1528">"大阪府茨木市玉櫛１丁目"</f>
        <v>大阪府茨木市玉櫛１丁目</v>
      </c>
      <c r="F4281" s="7"/>
      <c r="G4281" s="7" t="str">
        <f t="shared" si="1509"/>
        <v>事業用資産</v>
      </c>
      <c r="H4281" s="7" t="str">
        <f t="shared" si="1500"/>
        <v>棚卸以外</v>
      </c>
      <c r="I4281" s="7">
        <v>1</v>
      </c>
      <c r="J4281" s="7" t="str">
        <f>"１号棟"</f>
        <v>１号棟</v>
      </c>
      <c r="K4281" s="7" t="str">
        <f t="shared" si="1523"/>
        <v>鉄筋コンクリート造</v>
      </c>
      <c r="L4281" s="7" t="str">
        <f>"H05.05.31"</f>
        <v>H05.05.31</v>
      </c>
      <c r="M4281" s="7">
        <v>1509.37</v>
      </c>
      <c r="N4281" s="7">
        <v>268718000</v>
      </c>
      <c r="O4281" s="7">
        <v>170569458</v>
      </c>
      <c r="P4281" s="7">
        <v>0</v>
      </c>
      <c r="Q4281" s="7" t="str">
        <f t="shared" si="1515"/>
        <v>都市整備部</v>
      </c>
      <c r="R4281" s="7" t="str">
        <f t="shared" si="1510"/>
        <v>住宅建築局住宅経営室</v>
      </c>
    </row>
    <row r="4282" spans="1:18" s="1" customFormat="1" x14ac:dyDescent="0.45">
      <c r="A4282" s="7" t="str">
        <f t="shared" si="1526"/>
        <v>09940003574</v>
      </c>
      <c r="B4282" s="7" t="str">
        <f t="shared" si="1527"/>
        <v>茨木玉櫛</v>
      </c>
      <c r="C4282" s="7" t="str">
        <f t="shared" si="1511"/>
        <v>行政財産</v>
      </c>
      <c r="D4282" s="7" t="str">
        <f t="shared" si="1525"/>
        <v>公営住宅</v>
      </c>
      <c r="E4282" s="7" t="str">
        <f t="shared" si="1528"/>
        <v>大阪府茨木市玉櫛１丁目</v>
      </c>
      <c r="F4282" s="7"/>
      <c r="G4282" s="7" t="str">
        <f t="shared" si="1509"/>
        <v>事業用資産</v>
      </c>
      <c r="H4282" s="7" t="str">
        <f t="shared" si="1500"/>
        <v>棚卸以外</v>
      </c>
      <c r="I4282" s="7">
        <v>2</v>
      </c>
      <c r="J4282" s="7" t="str">
        <f>"２号棟"</f>
        <v>２号棟</v>
      </c>
      <c r="K4282" s="7" t="str">
        <f t="shared" si="1523"/>
        <v>鉄筋コンクリート造</v>
      </c>
      <c r="L4282" s="7" t="str">
        <f>"H05.05.31"</f>
        <v>H05.05.31</v>
      </c>
      <c r="M4282" s="7">
        <v>2184.23</v>
      </c>
      <c r="N4282" s="7">
        <v>373227349</v>
      </c>
      <c r="O4282" s="7">
        <v>240064323</v>
      </c>
      <c r="P4282" s="7">
        <v>0</v>
      </c>
      <c r="Q4282" s="7" t="str">
        <f t="shared" si="1515"/>
        <v>都市整備部</v>
      </c>
      <c r="R4282" s="7" t="str">
        <f t="shared" si="1510"/>
        <v>住宅建築局住宅経営室</v>
      </c>
    </row>
    <row r="4283" spans="1:18" s="1" customFormat="1" x14ac:dyDescent="0.45">
      <c r="A4283" s="7" t="str">
        <f t="shared" si="1526"/>
        <v>09940003574</v>
      </c>
      <c r="B4283" s="7" t="str">
        <f t="shared" si="1527"/>
        <v>茨木玉櫛</v>
      </c>
      <c r="C4283" s="7" t="str">
        <f t="shared" si="1511"/>
        <v>行政財産</v>
      </c>
      <c r="D4283" s="7" t="str">
        <f t="shared" si="1525"/>
        <v>公営住宅</v>
      </c>
      <c r="E4283" s="7" t="str">
        <f t="shared" si="1528"/>
        <v>大阪府茨木市玉櫛１丁目</v>
      </c>
      <c r="F4283" s="7"/>
      <c r="G4283" s="7" t="str">
        <f t="shared" si="1509"/>
        <v>事業用資産</v>
      </c>
      <c r="H4283" s="7" t="str">
        <f t="shared" si="1500"/>
        <v>棚卸以外</v>
      </c>
      <c r="I4283" s="7">
        <v>3</v>
      </c>
      <c r="J4283" s="7" t="str">
        <f>"３号棟"</f>
        <v>３号棟</v>
      </c>
      <c r="K4283" s="7" t="str">
        <f t="shared" si="1523"/>
        <v>鉄筋コンクリート造</v>
      </c>
      <c r="L4283" s="7" t="str">
        <f>"H05.05.31"</f>
        <v>H05.05.31</v>
      </c>
      <c r="M4283" s="7">
        <v>2233.8000000000002</v>
      </c>
      <c r="N4283" s="7">
        <v>421789639</v>
      </c>
      <c r="O4283" s="7">
        <v>273872615</v>
      </c>
      <c r="P4283" s="7">
        <v>0</v>
      </c>
      <c r="Q4283" s="7" t="str">
        <f t="shared" si="1515"/>
        <v>都市整備部</v>
      </c>
      <c r="R4283" s="7" t="str">
        <f t="shared" si="1510"/>
        <v>住宅建築局住宅経営室</v>
      </c>
    </row>
    <row r="4284" spans="1:18" s="1" customFormat="1" x14ac:dyDescent="0.45">
      <c r="A4284" s="7" t="str">
        <f t="shared" si="1526"/>
        <v>09940003574</v>
      </c>
      <c r="B4284" s="7" t="str">
        <f t="shared" si="1527"/>
        <v>茨木玉櫛</v>
      </c>
      <c r="C4284" s="7" t="str">
        <f t="shared" si="1511"/>
        <v>行政財産</v>
      </c>
      <c r="D4284" s="7" t="str">
        <f t="shared" si="1525"/>
        <v>公営住宅</v>
      </c>
      <c r="E4284" s="7" t="str">
        <f t="shared" si="1528"/>
        <v>大阪府茨木市玉櫛１丁目</v>
      </c>
      <c r="F4284" s="7"/>
      <c r="G4284" s="7" t="str">
        <f t="shared" si="1509"/>
        <v>事業用資産</v>
      </c>
      <c r="H4284" s="7" t="str">
        <f t="shared" si="1500"/>
        <v>棚卸以外</v>
      </c>
      <c r="I4284" s="7">
        <v>4</v>
      </c>
      <c r="J4284" s="7" t="str">
        <f>"４号棟"</f>
        <v>４号棟</v>
      </c>
      <c r="K4284" s="7" t="str">
        <f t="shared" si="1523"/>
        <v>鉄筋コンクリート造</v>
      </c>
      <c r="L4284" s="7" t="str">
        <f>"H05.05.31"</f>
        <v>H05.05.31</v>
      </c>
      <c r="M4284" s="7">
        <v>2184.12</v>
      </c>
      <c r="N4284" s="7">
        <v>335540000</v>
      </c>
      <c r="O4284" s="7">
        <v>212984940</v>
      </c>
      <c r="P4284" s="7">
        <v>0</v>
      </c>
      <c r="Q4284" s="7" t="str">
        <f t="shared" si="1515"/>
        <v>都市整備部</v>
      </c>
      <c r="R4284" s="7" t="str">
        <f t="shared" si="1510"/>
        <v>住宅建築局住宅経営室</v>
      </c>
    </row>
    <row r="4285" spans="1:18" s="1" customFormat="1" x14ac:dyDescent="0.45">
      <c r="A4285" s="7" t="str">
        <f t="shared" si="1526"/>
        <v>09940003574</v>
      </c>
      <c r="B4285" s="7" t="str">
        <f t="shared" si="1527"/>
        <v>茨木玉櫛</v>
      </c>
      <c r="C4285" s="7" t="str">
        <f t="shared" si="1511"/>
        <v>行政財産</v>
      </c>
      <c r="D4285" s="7" t="str">
        <f t="shared" si="1525"/>
        <v>公営住宅</v>
      </c>
      <c r="E4285" s="7" t="str">
        <f t="shared" si="1528"/>
        <v>大阪府茨木市玉櫛１丁目</v>
      </c>
      <c r="F4285" s="7"/>
      <c r="G4285" s="7" t="str">
        <f t="shared" si="1509"/>
        <v>事業用資産</v>
      </c>
      <c r="H4285" s="7" t="str">
        <f t="shared" si="1500"/>
        <v>棚卸以外</v>
      </c>
      <c r="I4285" s="7">
        <v>5</v>
      </c>
      <c r="J4285" s="7" t="str">
        <f>"受水槽（１～４号棟）"</f>
        <v>受水槽（１～４号棟）</v>
      </c>
      <c r="K4285" s="7" t="str">
        <f t="shared" si="1523"/>
        <v>鉄筋コンクリート造</v>
      </c>
      <c r="L4285" s="7" t="str">
        <f>"H05.05.31"</f>
        <v>H05.05.31</v>
      </c>
      <c r="M4285" s="7">
        <v>63.25</v>
      </c>
      <c r="N4285" s="7">
        <v>30240000</v>
      </c>
      <c r="O4285" s="7">
        <v>19195244</v>
      </c>
      <c r="P4285" s="7">
        <v>0</v>
      </c>
      <c r="Q4285" s="7" t="str">
        <f t="shared" si="1515"/>
        <v>都市整備部</v>
      </c>
      <c r="R4285" s="7" t="str">
        <f t="shared" si="1510"/>
        <v>住宅建築局住宅経営室</v>
      </c>
    </row>
    <row r="4286" spans="1:18" s="1" customFormat="1" x14ac:dyDescent="0.45">
      <c r="A4286" s="7" t="str">
        <f t="shared" si="1526"/>
        <v>09940003574</v>
      </c>
      <c r="B4286" s="7" t="str">
        <f t="shared" si="1527"/>
        <v>茨木玉櫛</v>
      </c>
      <c r="C4286" s="7" t="str">
        <f t="shared" si="1511"/>
        <v>行政財産</v>
      </c>
      <c r="D4286" s="7" t="str">
        <f t="shared" si="1525"/>
        <v>公営住宅</v>
      </c>
      <c r="E4286" s="7" t="str">
        <f t="shared" si="1528"/>
        <v>大阪府茨木市玉櫛１丁目</v>
      </c>
      <c r="F4286" s="7"/>
      <c r="G4286" s="7" t="str">
        <f t="shared" si="1509"/>
        <v>事業用資産</v>
      </c>
      <c r="H4286" s="7" t="str">
        <f t="shared" si="1500"/>
        <v>棚卸以外</v>
      </c>
      <c r="I4286" s="7">
        <v>6</v>
      </c>
      <c r="J4286" s="7" t="str">
        <f>"５号棟"</f>
        <v>５号棟</v>
      </c>
      <c r="K4286" s="7" t="str">
        <f t="shared" si="1523"/>
        <v>鉄筋コンクリート造</v>
      </c>
      <c r="L4286" s="7" t="str">
        <f>"H06.06.27"</f>
        <v>H06.06.27</v>
      </c>
      <c r="M4286" s="7">
        <v>1445.45</v>
      </c>
      <c r="N4286" s="7">
        <v>243799939</v>
      </c>
      <c r="O4286" s="7">
        <v>148965480</v>
      </c>
      <c r="P4286" s="7">
        <v>0</v>
      </c>
      <c r="Q4286" s="7" t="str">
        <f t="shared" si="1515"/>
        <v>都市整備部</v>
      </c>
      <c r="R4286" s="7" t="str">
        <f t="shared" si="1510"/>
        <v>住宅建築局住宅経営室</v>
      </c>
    </row>
    <row r="4287" spans="1:18" s="1" customFormat="1" x14ac:dyDescent="0.45">
      <c r="A4287" s="7" t="str">
        <f t="shared" si="1526"/>
        <v>09940003574</v>
      </c>
      <c r="B4287" s="7" t="str">
        <f t="shared" si="1527"/>
        <v>茨木玉櫛</v>
      </c>
      <c r="C4287" s="7" t="str">
        <f t="shared" si="1511"/>
        <v>行政財産</v>
      </c>
      <c r="D4287" s="7" t="str">
        <f t="shared" si="1525"/>
        <v>公営住宅</v>
      </c>
      <c r="E4287" s="7" t="str">
        <f t="shared" si="1528"/>
        <v>大阪府茨木市玉櫛１丁目</v>
      </c>
      <c r="F4287" s="7"/>
      <c r="G4287" s="7" t="str">
        <f t="shared" si="1509"/>
        <v>事業用資産</v>
      </c>
      <c r="H4287" s="7" t="str">
        <f t="shared" si="1500"/>
        <v>棚卸以外</v>
      </c>
      <c r="I4287" s="7">
        <v>7</v>
      </c>
      <c r="J4287" s="7" t="str">
        <f>"６号棟"</f>
        <v>６号棟</v>
      </c>
      <c r="K4287" s="7" t="str">
        <f t="shared" si="1523"/>
        <v>鉄筋コンクリート造</v>
      </c>
      <c r="L4287" s="7" t="str">
        <f>"H06.06.27"</f>
        <v>H06.06.27</v>
      </c>
      <c r="M4287" s="7">
        <v>1157.92</v>
      </c>
      <c r="N4287" s="7">
        <v>180220000</v>
      </c>
      <c r="O4287" s="7">
        <v>110241300</v>
      </c>
      <c r="P4287" s="7">
        <v>0</v>
      </c>
      <c r="Q4287" s="7" t="str">
        <f t="shared" si="1515"/>
        <v>都市整備部</v>
      </c>
      <c r="R4287" s="7" t="str">
        <f t="shared" si="1510"/>
        <v>住宅建築局住宅経営室</v>
      </c>
    </row>
    <row r="4288" spans="1:18" s="1" customFormat="1" x14ac:dyDescent="0.45">
      <c r="A4288" s="7" t="str">
        <f t="shared" si="1526"/>
        <v>09940003574</v>
      </c>
      <c r="B4288" s="7" t="str">
        <f t="shared" si="1527"/>
        <v>茨木玉櫛</v>
      </c>
      <c r="C4288" s="7" t="str">
        <f t="shared" si="1511"/>
        <v>行政財産</v>
      </c>
      <c r="D4288" s="7" t="str">
        <f t="shared" si="1525"/>
        <v>公営住宅</v>
      </c>
      <c r="E4288" s="7" t="str">
        <f t="shared" si="1528"/>
        <v>大阪府茨木市玉櫛１丁目</v>
      </c>
      <c r="F4288" s="7"/>
      <c r="G4288" s="7" t="str">
        <f t="shared" si="1509"/>
        <v>事業用資産</v>
      </c>
      <c r="H4288" s="7" t="str">
        <f t="shared" si="1500"/>
        <v>棚卸以外</v>
      </c>
      <c r="I4288" s="7">
        <v>8</v>
      </c>
      <c r="J4288" s="7" t="str">
        <f>"７号棟"</f>
        <v>７号棟</v>
      </c>
      <c r="K4288" s="7" t="str">
        <f t="shared" si="1523"/>
        <v>鉄筋コンクリート造</v>
      </c>
      <c r="L4288" s="7" t="str">
        <f>"H06.06.27"</f>
        <v>H06.06.27</v>
      </c>
      <c r="M4288" s="7">
        <v>2343.46</v>
      </c>
      <c r="N4288" s="7">
        <v>399778939</v>
      </c>
      <c r="O4288" s="7">
        <v>244378335</v>
      </c>
      <c r="P4288" s="7">
        <v>0</v>
      </c>
      <c r="Q4288" s="7" t="str">
        <f t="shared" si="1515"/>
        <v>都市整備部</v>
      </c>
      <c r="R4288" s="7" t="str">
        <f t="shared" si="1510"/>
        <v>住宅建築局住宅経営室</v>
      </c>
    </row>
    <row r="4289" spans="1:18" s="1" customFormat="1" x14ac:dyDescent="0.45">
      <c r="A4289" s="7" t="str">
        <f t="shared" si="1526"/>
        <v>09940003574</v>
      </c>
      <c r="B4289" s="7" t="str">
        <f t="shared" si="1527"/>
        <v>茨木玉櫛</v>
      </c>
      <c r="C4289" s="7" t="str">
        <f t="shared" si="1511"/>
        <v>行政財産</v>
      </c>
      <c r="D4289" s="7" t="str">
        <f t="shared" si="1525"/>
        <v>公営住宅</v>
      </c>
      <c r="E4289" s="7" t="str">
        <f t="shared" si="1528"/>
        <v>大阪府茨木市玉櫛１丁目</v>
      </c>
      <c r="F4289" s="7"/>
      <c r="G4289" s="7" t="str">
        <f t="shared" si="1509"/>
        <v>事業用資産</v>
      </c>
      <c r="H4289" s="7" t="str">
        <f t="shared" si="1500"/>
        <v>棚卸以外</v>
      </c>
      <c r="I4289" s="7">
        <v>9</v>
      </c>
      <c r="J4289" s="7" t="str">
        <f>"受水槽（５０ｔ）"</f>
        <v>受水槽（５０ｔ）</v>
      </c>
      <c r="K4289" s="7" t="str">
        <f t="shared" si="1523"/>
        <v>鉄筋コンクリート造</v>
      </c>
      <c r="L4289" s="7" t="str">
        <f>"H06.06.27"</f>
        <v>H06.06.27</v>
      </c>
      <c r="M4289" s="7">
        <v>64.28</v>
      </c>
      <c r="N4289" s="7">
        <v>28812000</v>
      </c>
      <c r="O4289" s="7">
        <v>17624670</v>
      </c>
      <c r="P4289" s="7">
        <v>0</v>
      </c>
      <c r="Q4289" s="7" t="str">
        <f t="shared" si="1515"/>
        <v>都市整備部</v>
      </c>
      <c r="R4289" s="7" t="str">
        <f t="shared" si="1510"/>
        <v>住宅建築局住宅経営室</v>
      </c>
    </row>
    <row r="4290" spans="1:18" s="1" customFormat="1" x14ac:dyDescent="0.45">
      <c r="A4290" s="7" t="str">
        <f t="shared" si="1526"/>
        <v>09940003574</v>
      </c>
      <c r="B4290" s="7" t="str">
        <f t="shared" si="1527"/>
        <v>茨木玉櫛</v>
      </c>
      <c r="C4290" s="7" t="str">
        <f t="shared" si="1511"/>
        <v>行政財産</v>
      </c>
      <c r="D4290" s="7" t="str">
        <f t="shared" si="1525"/>
        <v>公営住宅</v>
      </c>
      <c r="E4290" s="7" t="str">
        <f t="shared" si="1528"/>
        <v>大阪府茨木市玉櫛１丁目</v>
      </c>
      <c r="F4290" s="7"/>
      <c r="G4290" s="7" t="str">
        <f t="shared" si="1509"/>
        <v>事業用資産</v>
      </c>
      <c r="H4290" s="7" t="str">
        <f t="shared" si="1500"/>
        <v>棚卸以外</v>
      </c>
      <c r="I4290" s="7">
        <v>10</v>
      </c>
      <c r="J4290" s="7" t="str">
        <f>"８号棟"</f>
        <v>８号棟</v>
      </c>
      <c r="K4290" s="7" t="str">
        <f t="shared" si="1523"/>
        <v>鉄筋コンクリート造</v>
      </c>
      <c r="L4290" s="7" t="str">
        <f t="shared" ref="L4290:L4295" si="1529">"H09.06.26"</f>
        <v>H09.06.26</v>
      </c>
      <c r="M4290" s="7">
        <v>1444.99</v>
      </c>
      <c r="N4290" s="7">
        <v>181633000</v>
      </c>
      <c r="O4290" s="7">
        <v>99511905</v>
      </c>
      <c r="P4290" s="7">
        <v>0</v>
      </c>
      <c r="Q4290" s="7" t="str">
        <f t="shared" si="1515"/>
        <v>都市整備部</v>
      </c>
      <c r="R4290" s="7" t="str">
        <f t="shared" si="1510"/>
        <v>住宅建築局住宅経営室</v>
      </c>
    </row>
    <row r="4291" spans="1:18" s="1" customFormat="1" x14ac:dyDescent="0.45">
      <c r="A4291" s="7" t="str">
        <f t="shared" si="1526"/>
        <v>09940003574</v>
      </c>
      <c r="B4291" s="7" t="str">
        <f t="shared" si="1527"/>
        <v>茨木玉櫛</v>
      </c>
      <c r="C4291" s="7" t="str">
        <f t="shared" si="1511"/>
        <v>行政財産</v>
      </c>
      <c r="D4291" s="7" t="str">
        <f t="shared" si="1525"/>
        <v>公営住宅</v>
      </c>
      <c r="E4291" s="7" t="str">
        <f t="shared" si="1528"/>
        <v>大阪府茨木市玉櫛１丁目</v>
      </c>
      <c r="F4291" s="7"/>
      <c r="G4291" s="7" t="str">
        <f t="shared" si="1509"/>
        <v>事業用資産</v>
      </c>
      <c r="H4291" s="7" t="str">
        <f t="shared" si="1500"/>
        <v>棚卸以外</v>
      </c>
      <c r="I4291" s="7">
        <v>11</v>
      </c>
      <c r="J4291" s="7" t="str">
        <f>"９号棟"</f>
        <v>９号棟</v>
      </c>
      <c r="K4291" s="7" t="str">
        <f t="shared" si="1523"/>
        <v>鉄筋コンクリート造</v>
      </c>
      <c r="L4291" s="7" t="str">
        <f t="shared" si="1529"/>
        <v>H09.06.26</v>
      </c>
      <c r="M4291" s="7">
        <v>1394.84</v>
      </c>
      <c r="N4291" s="7">
        <v>204234000</v>
      </c>
      <c r="O4291" s="7">
        <v>111894462</v>
      </c>
      <c r="P4291" s="7">
        <v>0</v>
      </c>
      <c r="Q4291" s="7" t="str">
        <f t="shared" si="1515"/>
        <v>都市整備部</v>
      </c>
      <c r="R4291" s="7" t="str">
        <f t="shared" si="1510"/>
        <v>住宅建築局住宅経営室</v>
      </c>
    </row>
    <row r="4292" spans="1:18" s="1" customFormat="1" x14ac:dyDescent="0.45">
      <c r="A4292" s="7" t="str">
        <f t="shared" si="1526"/>
        <v>09940003574</v>
      </c>
      <c r="B4292" s="7" t="str">
        <f t="shared" si="1527"/>
        <v>茨木玉櫛</v>
      </c>
      <c r="C4292" s="7" t="str">
        <f t="shared" si="1511"/>
        <v>行政財産</v>
      </c>
      <c r="D4292" s="7" t="str">
        <f t="shared" si="1525"/>
        <v>公営住宅</v>
      </c>
      <c r="E4292" s="7" t="str">
        <f t="shared" si="1528"/>
        <v>大阪府茨木市玉櫛１丁目</v>
      </c>
      <c r="F4292" s="7"/>
      <c r="G4292" s="7" t="str">
        <f t="shared" si="1509"/>
        <v>事業用資産</v>
      </c>
      <c r="H4292" s="7" t="str">
        <f t="shared" ref="H4292:H4355" si="1530">"棚卸以外"</f>
        <v>棚卸以外</v>
      </c>
      <c r="I4292" s="7">
        <v>12</v>
      </c>
      <c r="J4292" s="7" t="str">
        <f>"１０号棟"</f>
        <v>１０号棟</v>
      </c>
      <c r="K4292" s="7" t="str">
        <f t="shared" si="1523"/>
        <v>鉄筋コンクリート造</v>
      </c>
      <c r="L4292" s="7" t="str">
        <f t="shared" si="1529"/>
        <v>H09.06.26</v>
      </c>
      <c r="M4292" s="7">
        <v>2817.55</v>
      </c>
      <c r="N4292" s="7">
        <v>412901939</v>
      </c>
      <c r="O4292" s="7">
        <v>226067490</v>
      </c>
      <c r="P4292" s="7">
        <v>0</v>
      </c>
      <c r="Q4292" s="7" t="str">
        <f t="shared" si="1515"/>
        <v>都市整備部</v>
      </c>
      <c r="R4292" s="7" t="str">
        <f t="shared" si="1510"/>
        <v>住宅建築局住宅経営室</v>
      </c>
    </row>
    <row r="4293" spans="1:18" s="1" customFormat="1" x14ac:dyDescent="0.45">
      <c r="A4293" s="7" t="str">
        <f t="shared" si="1526"/>
        <v>09940003574</v>
      </c>
      <c r="B4293" s="7" t="str">
        <f t="shared" si="1527"/>
        <v>茨木玉櫛</v>
      </c>
      <c r="C4293" s="7" t="str">
        <f t="shared" si="1511"/>
        <v>行政財産</v>
      </c>
      <c r="D4293" s="7" t="str">
        <f t="shared" si="1525"/>
        <v>公営住宅</v>
      </c>
      <c r="E4293" s="7" t="str">
        <f t="shared" si="1528"/>
        <v>大阪府茨木市玉櫛１丁目</v>
      </c>
      <c r="F4293" s="7"/>
      <c r="G4293" s="7" t="str">
        <f t="shared" si="1509"/>
        <v>事業用資産</v>
      </c>
      <c r="H4293" s="7" t="str">
        <f t="shared" si="1530"/>
        <v>棚卸以外</v>
      </c>
      <c r="I4293" s="7">
        <v>13</v>
      </c>
      <c r="J4293" s="7" t="str">
        <f>"１１号棟"</f>
        <v>１１号棟</v>
      </c>
      <c r="K4293" s="7" t="str">
        <f t="shared" si="1523"/>
        <v>鉄筋コンクリート造</v>
      </c>
      <c r="L4293" s="7" t="str">
        <f t="shared" si="1529"/>
        <v>H09.06.26</v>
      </c>
      <c r="M4293" s="7">
        <v>2228.62</v>
      </c>
      <c r="N4293" s="7">
        <v>366860700</v>
      </c>
      <c r="O4293" s="7">
        <v>211025063</v>
      </c>
      <c r="P4293" s="7">
        <v>0</v>
      </c>
      <c r="Q4293" s="7" t="str">
        <f t="shared" si="1515"/>
        <v>都市整備部</v>
      </c>
      <c r="R4293" s="7" t="str">
        <f t="shared" si="1510"/>
        <v>住宅建築局住宅経営室</v>
      </c>
    </row>
    <row r="4294" spans="1:18" s="1" customFormat="1" x14ac:dyDescent="0.45">
      <c r="A4294" s="7" t="str">
        <f t="shared" si="1526"/>
        <v>09940003574</v>
      </c>
      <c r="B4294" s="7" t="str">
        <f t="shared" si="1527"/>
        <v>茨木玉櫛</v>
      </c>
      <c r="C4294" s="7" t="str">
        <f t="shared" si="1511"/>
        <v>行政財産</v>
      </c>
      <c r="D4294" s="7" t="str">
        <f t="shared" si="1525"/>
        <v>公営住宅</v>
      </c>
      <c r="E4294" s="7" t="str">
        <f t="shared" si="1528"/>
        <v>大阪府茨木市玉櫛１丁目</v>
      </c>
      <c r="F4294" s="7"/>
      <c r="G4294" s="7" t="str">
        <f t="shared" si="1509"/>
        <v>事業用資産</v>
      </c>
      <c r="H4294" s="7" t="str">
        <f t="shared" si="1530"/>
        <v>棚卸以外</v>
      </c>
      <c r="I4294" s="7">
        <v>14</v>
      </c>
      <c r="J4294" s="7" t="str">
        <f>"１２号棟"</f>
        <v>１２号棟</v>
      </c>
      <c r="K4294" s="7" t="str">
        <f t="shared" si="1523"/>
        <v>鉄筋コンクリート造</v>
      </c>
      <c r="L4294" s="7" t="str">
        <f t="shared" si="1529"/>
        <v>H09.06.26</v>
      </c>
      <c r="M4294" s="7">
        <v>2222.16</v>
      </c>
      <c r="N4294" s="7">
        <v>334538939</v>
      </c>
      <c r="O4294" s="7">
        <v>183134721</v>
      </c>
      <c r="P4294" s="7">
        <v>0</v>
      </c>
      <c r="Q4294" s="7" t="str">
        <f t="shared" si="1515"/>
        <v>都市整備部</v>
      </c>
      <c r="R4294" s="7" t="str">
        <f t="shared" si="1510"/>
        <v>住宅建築局住宅経営室</v>
      </c>
    </row>
    <row r="4295" spans="1:18" s="1" customFormat="1" x14ac:dyDescent="0.45">
      <c r="A4295" s="7" t="str">
        <f t="shared" si="1526"/>
        <v>09940003574</v>
      </c>
      <c r="B4295" s="7" t="str">
        <f t="shared" si="1527"/>
        <v>茨木玉櫛</v>
      </c>
      <c r="C4295" s="7" t="str">
        <f t="shared" si="1511"/>
        <v>行政財産</v>
      </c>
      <c r="D4295" s="7" t="str">
        <f t="shared" si="1525"/>
        <v>公営住宅</v>
      </c>
      <c r="E4295" s="7" t="str">
        <f t="shared" si="1528"/>
        <v>大阪府茨木市玉櫛１丁目</v>
      </c>
      <c r="F4295" s="7"/>
      <c r="G4295" s="7" t="str">
        <f t="shared" si="1509"/>
        <v>事業用資産</v>
      </c>
      <c r="H4295" s="7" t="str">
        <f t="shared" si="1530"/>
        <v>棚卸以外</v>
      </c>
      <c r="I4295" s="7">
        <v>15</v>
      </c>
      <c r="J4295" s="7" t="str">
        <f>"受水槽ポンプ室"</f>
        <v>受水槽ポンプ室</v>
      </c>
      <c r="K4295" s="7" t="str">
        <f t="shared" si="1523"/>
        <v>鉄筋コンクリート造</v>
      </c>
      <c r="L4295" s="7" t="str">
        <f t="shared" si="1529"/>
        <v>H09.06.26</v>
      </c>
      <c r="M4295" s="7">
        <v>72.239999999999995</v>
      </c>
      <c r="N4295" s="7">
        <v>23105000</v>
      </c>
      <c r="O4295" s="7">
        <v>12658803</v>
      </c>
      <c r="P4295" s="7">
        <v>0</v>
      </c>
      <c r="Q4295" s="7" t="str">
        <f t="shared" si="1515"/>
        <v>都市整備部</v>
      </c>
      <c r="R4295" s="7" t="str">
        <f t="shared" si="1510"/>
        <v>住宅建築局住宅経営室</v>
      </c>
    </row>
    <row r="4296" spans="1:18" s="1" customFormat="1" x14ac:dyDescent="0.45">
      <c r="A4296" s="7" t="str">
        <f t="shared" si="1526"/>
        <v>09940003574</v>
      </c>
      <c r="B4296" s="7" t="str">
        <f t="shared" si="1527"/>
        <v>茨木玉櫛</v>
      </c>
      <c r="C4296" s="7" t="str">
        <f t="shared" si="1511"/>
        <v>行政財産</v>
      </c>
      <c r="D4296" s="7" t="str">
        <f t="shared" si="1525"/>
        <v>公営住宅</v>
      </c>
      <c r="E4296" s="7" t="str">
        <f t="shared" si="1528"/>
        <v>大阪府茨木市玉櫛１丁目</v>
      </c>
      <c r="F4296" s="7"/>
      <c r="G4296" s="7" t="str">
        <f t="shared" si="1509"/>
        <v>事業用資産</v>
      </c>
      <c r="H4296" s="7" t="str">
        <f t="shared" si="1530"/>
        <v>棚卸以外</v>
      </c>
      <c r="I4296" s="7">
        <v>16</v>
      </c>
      <c r="J4296" s="7" t="str">
        <f>"集会所"</f>
        <v>集会所</v>
      </c>
      <c r="K4296" s="7" t="str">
        <f t="shared" si="1523"/>
        <v>鉄筋コンクリート造</v>
      </c>
      <c r="L4296" s="7" t="str">
        <f>"H10.12.24"</f>
        <v>H10.12.24</v>
      </c>
      <c r="M4296" s="7">
        <v>199.97</v>
      </c>
      <c r="N4296" s="7">
        <v>54761000</v>
      </c>
      <c r="O4296" s="7">
        <v>28254354</v>
      </c>
      <c r="P4296" s="7">
        <v>0</v>
      </c>
      <c r="Q4296" s="7" t="str">
        <f t="shared" si="1515"/>
        <v>都市整備部</v>
      </c>
      <c r="R4296" s="7" t="str">
        <f t="shared" si="1510"/>
        <v>住宅建築局住宅経営室</v>
      </c>
    </row>
    <row r="4297" spans="1:18" s="1" customFormat="1" x14ac:dyDescent="0.45">
      <c r="A4297" s="7" t="str">
        <f t="shared" si="1526"/>
        <v>09940003574</v>
      </c>
      <c r="B4297" s="7" t="str">
        <f t="shared" si="1527"/>
        <v>茨木玉櫛</v>
      </c>
      <c r="C4297" s="7" t="str">
        <f t="shared" si="1511"/>
        <v>行政財産</v>
      </c>
      <c r="D4297" s="7" t="str">
        <f t="shared" si="1525"/>
        <v>公営住宅</v>
      </c>
      <c r="E4297" s="7" t="str">
        <f t="shared" si="1528"/>
        <v>大阪府茨木市玉櫛１丁目</v>
      </c>
      <c r="F4297" s="7"/>
      <c r="G4297" s="7" t="str">
        <f t="shared" si="1509"/>
        <v>事業用資産</v>
      </c>
      <c r="H4297" s="7" t="str">
        <f t="shared" si="1530"/>
        <v>棚卸以外</v>
      </c>
      <c r="I4297" s="7">
        <v>17</v>
      </c>
      <c r="J4297" s="7" t="str">
        <f>"１３号棟"</f>
        <v>１３号棟</v>
      </c>
      <c r="K4297" s="7" t="str">
        <f t="shared" si="1523"/>
        <v>鉄筋コンクリート造</v>
      </c>
      <c r="L4297" s="7" t="str">
        <f>"H12.04.27"</f>
        <v>H12.04.27</v>
      </c>
      <c r="M4297" s="7">
        <v>6828.91</v>
      </c>
      <c r="N4297" s="7">
        <v>1151453363</v>
      </c>
      <c r="O4297" s="7">
        <v>560210875</v>
      </c>
      <c r="P4297" s="7">
        <v>0</v>
      </c>
      <c r="Q4297" s="7" t="str">
        <f t="shared" si="1515"/>
        <v>都市整備部</v>
      </c>
      <c r="R4297" s="7" t="str">
        <f t="shared" si="1510"/>
        <v>住宅建築局住宅経営室</v>
      </c>
    </row>
    <row r="4298" spans="1:18" s="1" customFormat="1" x14ac:dyDescent="0.45">
      <c r="A4298" s="7" t="str">
        <f t="shared" si="1526"/>
        <v>09940003574</v>
      </c>
      <c r="B4298" s="7" t="str">
        <f t="shared" si="1527"/>
        <v>茨木玉櫛</v>
      </c>
      <c r="C4298" s="7" t="str">
        <f t="shared" si="1511"/>
        <v>行政財産</v>
      </c>
      <c r="D4298" s="7" t="str">
        <f t="shared" si="1525"/>
        <v>公営住宅</v>
      </c>
      <c r="E4298" s="7" t="str">
        <f t="shared" si="1528"/>
        <v>大阪府茨木市玉櫛１丁目</v>
      </c>
      <c r="F4298" s="7"/>
      <c r="G4298" s="7" t="str">
        <f t="shared" si="1509"/>
        <v>事業用資産</v>
      </c>
      <c r="H4298" s="7" t="str">
        <f t="shared" si="1530"/>
        <v>棚卸以外</v>
      </c>
      <c r="I4298" s="7">
        <v>18</v>
      </c>
      <c r="J4298" s="7" t="str">
        <f>"受水槽ポンプ室"</f>
        <v>受水槽ポンプ室</v>
      </c>
      <c r="K4298" s="7" t="str">
        <f t="shared" ref="K4298:K4314" si="1531">"鉄筋コンクリート造"</f>
        <v>鉄筋コンクリート造</v>
      </c>
      <c r="L4298" s="7" t="str">
        <f>"H12.04.27"</f>
        <v>H12.04.27</v>
      </c>
      <c r="M4298" s="7">
        <v>61.44</v>
      </c>
      <c r="N4298" s="7">
        <v>25466000</v>
      </c>
      <c r="O4298" s="7">
        <v>12417075</v>
      </c>
      <c r="P4298" s="7">
        <v>0</v>
      </c>
      <c r="Q4298" s="7" t="str">
        <f t="shared" si="1515"/>
        <v>都市整備部</v>
      </c>
      <c r="R4298" s="7" t="str">
        <f t="shared" si="1510"/>
        <v>住宅建築局住宅経営室</v>
      </c>
    </row>
    <row r="4299" spans="1:18" s="1" customFormat="1" x14ac:dyDescent="0.45">
      <c r="A4299" s="7" t="str">
        <f t="shared" si="1526"/>
        <v>09940003574</v>
      </c>
      <c r="B4299" s="7" t="str">
        <f t="shared" si="1527"/>
        <v>茨木玉櫛</v>
      </c>
      <c r="C4299" s="7" t="str">
        <f t="shared" si="1511"/>
        <v>行政財産</v>
      </c>
      <c r="D4299" s="7" t="str">
        <f t="shared" si="1525"/>
        <v>公営住宅</v>
      </c>
      <c r="E4299" s="7" t="str">
        <f t="shared" si="1528"/>
        <v>大阪府茨木市玉櫛１丁目</v>
      </c>
      <c r="F4299" s="7"/>
      <c r="G4299" s="7" t="str">
        <f t="shared" si="1509"/>
        <v>事業用資産</v>
      </c>
      <c r="H4299" s="7" t="str">
        <f t="shared" si="1530"/>
        <v>棚卸以外</v>
      </c>
      <c r="I4299" s="7">
        <v>19</v>
      </c>
      <c r="J4299" s="7" t="str">
        <f>"１４号棟"</f>
        <v>１４号棟</v>
      </c>
      <c r="K4299" s="7" t="str">
        <f t="shared" si="1531"/>
        <v>鉄筋コンクリート造</v>
      </c>
      <c r="L4299" s="7" t="str">
        <f>"H15.09.11"</f>
        <v>H15.09.11</v>
      </c>
      <c r="M4299" s="7">
        <v>4970.8999999999996</v>
      </c>
      <c r="N4299" s="7">
        <v>745804641</v>
      </c>
      <c r="O4299" s="7">
        <v>308825274</v>
      </c>
      <c r="P4299" s="7">
        <v>0</v>
      </c>
      <c r="Q4299" s="7" t="str">
        <f t="shared" si="1515"/>
        <v>都市整備部</v>
      </c>
      <c r="R4299" s="7" t="str">
        <f t="shared" si="1510"/>
        <v>住宅建築局住宅経営室</v>
      </c>
    </row>
    <row r="4300" spans="1:18" s="1" customFormat="1" x14ac:dyDescent="0.45">
      <c r="A4300" s="7" t="str">
        <f t="shared" si="1526"/>
        <v>09940003574</v>
      </c>
      <c r="B4300" s="7" t="str">
        <f t="shared" si="1527"/>
        <v>茨木玉櫛</v>
      </c>
      <c r="C4300" s="7" t="str">
        <f t="shared" si="1511"/>
        <v>行政財産</v>
      </c>
      <c r="D4300" s="7" t="str">
        <f t="shared" si="1525"/>
        <v>公営住宅</v>
      </c>
      <c r="E4300" s="7" t="str">
        <f t="shared" si="1528"/>
        <v>大阪府茨木市玉櫛１丁目</v>
      </c>
      <c r="F4300" s="7"/>
      <c r="G4300" s="7" t="str">
        <f t="shared" si="1509"/>
        <v>事業用資産</v>
      </c>
      <c r="H4300" s="7" t="str">
        <f t="shared" si="1530"/>
        <v>棚卸以外</v>
      </c>
      <c r="I4300" s="7">
        <v>20</v>
      </c>
      <c r="J4300" s="7" t="str">
        <f>"受水槽ポンプ室・電気室"</f>
        <v>受水槽ポンプ室・電気室</v>
      </c>
      <c r="K4300" s="7" t="str">
        <f t="shared" si="1531"/>
        <v>鉄筋コンクリート造</v>
      </c>
      <c r="L4300" s="7" t="str">
        <f>"H15.09.11"</f>
        <v>H15.09.11</v>
      </c>
      <c r="M4300" s="7">
        <v>94.09</v>
      </c>
      <c r="N4300" s="7">
        <v>19344000</v>
      </c>
      <c r="O4300" s="7">
        <v>8025732</v>
      </c>
      <c r="P4300" s="7">
        <v>0</v>
      </c>
      <c r="Q4300" s="7" t="str">
        <f t="shared" si="1515"/>
        <v>都市整備部</v>
      </c>
      <c r="R4300" s="7" t="str">
        <f t="shared" si="1510"/>
        <v>住宅建築局住宅経営室</v>
      </c>
    </row>
    <row r="4301" spans="1:18" s="1" customFormat="1" x14ac:dyDescent="0.45">
      <c r="A4301" s="7" t="str">
        <f t="shared" si="1526"/>
        <v>09940003574</v>
      </c>
      <c r="B4301" s="7" t="str">
        <f t="shared" si="1527"/>
        <v>茨木玉櫛</v>
      </c>
      <c r="C4301" s="7" t="str">
        <f t="shared" si="1511"/>
        <v>行政財産</v>
      </c>
      <c r="D4301" s="7" t="str">
        <f t="shared" si="1525"/>
        <v>公営住宅</v>
      </c>
      <c r="E4301" s="7" t="str">
        <f t="shared" si="1528"/>
        <v>大阪府茨木市玉櫛１丁目</v>
      </c>
      <c r="F4301" s="7"/>
      <c r="G4301" s="7" t="str">
        <f t="shared" si="1509"/>
        <v>事業用資産</v>
      </c>
      <c r="H4301" s="7" t="str">
        <f t="shared" si="1530"/>
        <v>棚卸以外</v>
      </c>
      <c r="I4301" s="7">
        <v>21</v>
      </c>
      <c r="J4301" s="7" t="str">
        <f>"１５号棟"</f>
        <v>１５号棟</v>
      </c>
      <c r="K4301" s="7" t="str">
        <f t="shared" si="1531"/>
        <v>鉄筋コンクリート造</v>
      </c>
      <c r="L4301" s="7" t="str">
        <f>"H21.02.26"</f>
        <v>H21.02.26</v>
      </c>
      <c r="M4301" s="7">
        <v>2999.8</v>
      </c>
      <c r="N4301" s="7">
        <v>394117594</v>
      </c>
      <c r="O4301" s="7">
        <v>119202350</v>
      </c>
      <c r="P4301" s="7">
        <v>0</v>
      </c>
      <c r="Q4301" s="7" t="str">
        <f t="shared" si="1515"/>
        <v>都市整備部</v>
      </c>
      <c r="R4301" s="7" t="str">
        <f t="shared" si="1510"/>
        <v>住宅建築局住宅経営室</v>
      </c>
    </row>
    <row r="4302" spans="1:18" s="1" customFormat="1" x14ac:dyDescent="0.45">
      <c r="A4302" s="7" t="str">
        <f t="shared" ref="A4302:A4314" si="1532">"09940003575"</f>
        <v>09940003575</v>
      </c>
      <c r="B4302" s="7" t="str">
        <f t="shared" ref="B4302:B4314" si="1533">"和泉今福"</f>
        <v>和泉今福</v>
      </c>
      <c r="C4302" s="7" t="str">
        <f t="shared" si="1511"/>
        <v>行政財産</v>
      </c>
      <c r="D4302" s="7" t="str">
        <f t="shared" si="1525"/>
        <v>公営住宅</v>
      </c>
      <c r="E4302" s="7" t="str">
        <f t="shared" ref="E4302:E4314" si="1534">"大阪府和泉市今福町２丁目"</f>
        <v>大阪府和泉市今福町２丁目</v>
      </c>
      <c r="F4302" s="7"/>
      <c r="G4302" s="7" t="str">
        <f t="shared" si="1509"/>
        <v>事業用資産</v>
      </c>
      <c r="H4302" s="7" t="str">
        <f t="shared" si="1530"/>
        <v>棚卸以外</v>
      </c>
      <c r="I4302" s="7">
        <v>1</v>
      </c>
      <c r="J4302" s="7" t="str">
        <f>"１号棟"</f>
        <v>１号棟</v>
      </c>
      <c r="K4302" s="7" t="str">
        <f t="shared" si="1531"/>
        <v>鉄筋コンクリート造</v>
      </c>
      <c r="L4302" s="7" t="str">
        <f>"S58.03.18"</f>
        <v>S58.03.18</v>
      </c>
      <c r="M4302" s="7">
        <v>2087.8200000000002</v>
      </c>
      <c r="N4302" s="7">
        <v>195326000</v>
      </c>
      <c r="O4302" s="7">
        <v>166235040</v>
      </c>
      <c r="P4302" s="7">
        <v>0</v>
      </c>
      <c r="Q4302" s="7" t="str">
        <f t="shared" si="1515"/>
        <v>都市整備部</v>
      </c>
      <c r="R4302" s="7" t="str">
        <f t="shared" si="1510"/>
        <v>住宅建築局住宅経営室</v>
      </c>
    </row>
    <row r="4303" spans="1:18" s="1" customFormat="1" x14ac:dyDescent="0.45">
      <c r="A4303" s="7" t="str">
        <f t="shared" si="1532"/>
        <v>09940003575</v>
      </c>
      <c r="B4303" s="7" t="str">
        <f t="shared" si="1533"/>
        <v>和泉今福</v>
      </c>
      <c r="C4303" s="7" t="str">
        <f t="shared" si="1511"/>
        <v>行政財産</v>
      </c>
      <c r="D4303" s="7" t="str">
        <f t="shared" si="1525"/>
        <v>公営住宅</v>
      </c>
      <c r="E4303" s="7" t="str">
        <f t="shared" si="1534"/>
        <v>大阪府和泉市今福町２丁目</v>
      </c>
      <c r="F4303" s="7"/>
      <c r="G4303" s="7" t="str">
        <f t="shared" si="1509"/>
        <v>事業用資産</v>
      </c>
      <c r="H4303" s="7" t="str">
        <f t="shared" si="1530"/>
        <v>棚卸以外</v>
      </c>
      <c r="I4303" s="7">
        <v>2</v>
      </c>
      <c r="J4303" s="7" t="str">
        <f>"２号棟"</f>
        <v>２号棟</v>
      </c>
      <c r="K4303" s="7" t="str">
        <f t="shared" si="1531"/>
        <v>鉄筋コンクリート造</v>
      </c>
      <c r="L4303" s="7" t="str">
        <f>"S58.03.18"</f>
        <v>S58.03.18</v>
      </c>
      <c r="M4303" s="7">
        <v>2685</v>
      </c>
      <c r="N4303" s="7">
        <v>271065000</v>
      </c>
      <c r="O4303" s="7">
        <v>230693760</v>
      </c>
      <c r="P4303" s="7">
        <v>0</v>
      </c>
      <c r="Q4303" s="7" t="str">
        <f t="shared" si="1515"/>
        <v>都市整備部</v>
      </c>
      <c r="R4303" s="7" t="str">
        <f t="shared" si="1510"/>
        <v>住宅建築局住宅経営室</v>
      </c>
    </row>
    <row r="4304" spans="1:18" s="1" customFormat="1" x14ac:dyDescent="0.45">
      <c r="A4304" s="7" t="str">
        <f t="shared" si="1532"/>
        <v>09940003575</v>
      </c>
      <c r="B4304" s="7" t="str">
        <f t="shared" si="1533"/>
        <v>和泉今福</v>
      </c>
      <c r="C4304" s="7" t="str">
        <f t="shared" si="1511"/>
        <v>行政財産</v>
      </c>
      <c r="D4304" s="7" t="str">
        <f t="shared" si="1525"/>
        <v>公営住宅</v>
      </c>
      <c r="E4304" s="7" t="str">
        <f t="shared" si="1534"/>
        <v>大阪府和泉市今福町２丁目</v>
      </c>
      <c r="F4304" s="7"/>
      <c r="G4304" s="7" t="str">
        <f t="shared" si="1509"/>
        <v>事業用資産</v>
      </c>
      <c r="H4304" s="7" t="str">
        <f t="shared" si="1530"/>
        <v>棚卸以外</v>
      </c>
      <c r="I4304" s="7">
        <v>3</v>
      </c>
      <c r="J4304" s="7" t="str">
        <f>"３号棟"</f>
        <v>３号棟</v>
      </c>
      <c r="K4304" s="7" t="str">
        <f t="shared" si="1531"/>
        <v>鉄筋コンクリート造</v>
      </c>
      <c r="L4304" s="7" t="str">
        <f>"S58.03.18"</f>
        <v>S58.03.18</v>
      </c>
      <c r="M4304" s="7">
        <v>2082.65</v>
      </c>
      <c r="N4304" s="7">
        <v>203803000</v>
      </c>
      <c r="O4304" s="7">
        <v>173449440</v>
      </c>
      <c r="P4304" s="7">
        <v>0</v>
      </c>
      <c r="Q4304" s="7" t="str">
        <f t="shared" si="1515"/>
        <v>都市整備部</v>
      </c>
      <c r="R4304" s="7" t="str">
        <f t="shared" si="1510"/>
        <v>住宅建築局住宅経営室</v>
      </c>
    </row>
    <row r="4305" spans="1:18" s="1" customFormat="1" x14ac:dyDescent="0.45">
      <c r="A4305" s="7" t="str">
        <f t="shared" si="1532"/>
        <v>09940003575</v>
      </c>
      <c r="B4305" s="7" t="str">
        <f t="shared" si="1533"/>
        <v>和泉今福</v>
      </c>
      <c r="C4305" s="7" t="str">
        <f t="shared" si="1511"/>
        <v>行政財産</v>
      </c>
      <c r="D4305" s="7" t="str">
        <f t="shared" si="1525"/>
        <v>公営住宅</v>
      </c>
      <c r="E4305" s="7" t="str">
        <f t="shared" si="1534"/>
        <v>大阪府和泉市今福町２丁目</v>
      </c>
      <c r="F4305" s="7"/>
      <c r="G4305" s="7" t="str">
        <f t="shared" si="1509"/>
        <v>事業用資産</v>
      </c>
      <c r="H4305" s="7" t="str">
        <f t="shared" si="1530"/>
        <v>棚卸以外</v>
      </c>
      <c r="I4305" s="7">
        <v>4</v>
      </c>
      <c r="J4305" s="7" t="str">
        <f>"４号棟"</f>
        <v>４号棟</v>
      </c>
      <c r="K4305" s="7" t="str">
        <f t="shared" si="1531"/>
        <v>鉄筋コンクリート造</v>
      </c>
      <c r="L4305" s="7" t="str">
        <f>"S58.03.18"</f>
        <v>S58.03.18</v>
      </c>
      <c r="M4305" s="7">
        <v>2822.8</v>
      </c>
      <c r="N4305" s="7">
        <v>283389000</v>
      </c>
      <c r="O4305" s="7">
        <v>241182240</v>
      </c>
      <c r="P4305" s="7">
        <v>0</v>
      </c>
      <c r="Q4305" s="7" t="str">
        <f t="shared" si="1515"/>
        <v>都市整備部</v>
      </c>
      <c r="R4305" s="7" t="str">
        <f t="shared" si="1510"/>
        <v>住宅建築局住宅経営室</v>
      </c>
    </row>
    <row r="4306" spans="1:18" s="1" customFormat="1" x14ac:dyDescent="0.45">
      <c r="A4306" s="7" t="str">
        <f t="shared" si="1532"/>
        <v>09940003575</v>
      </c>
      <c r="B4306" s="7" t="str">
        <f t="shared" si="1533"/>
        <v>和泉今福</v>
      </c>
      <c r="C4306" s="7" t="str">
        <f t="shared" si="1511"/>
        <v>行政財産</v>
      </c>
      <c r="D4306" s="7" t="str">
        <f t="shared" si="1525"/>
        <v>公営住宅</v>
      </c>
      <c r="E4306" s="7" t="str">
        <f t="shared" si="1534"/>
        <v>大阪府和泉市今福町２丁目</v>
      </c>
      <c r="F4306" s="7"/>
      <c r="G4306" s="7" t="str">
        <f t="shared" si="1509"/>
        <v>事業用資産</v>
      </c>
      <c r="H4306" s="7" t="str">
        <f t="shared" si="1530"/>
        <v>棚卸以外</v>
      </c>
      <c r="I4306" s="7">
        <v>5</v>
      </c>
      <c r="J4306" s="7" t="str">
        <f>"５号棟"</f>
        <v>５号棟</v>
      </c>
      <c r="K4306" s="7" t="str">
        <f t="shared" si="1531"/>
        <v>鉄筋コンクリート造</v>
      </c>
      <c r="L4306" s="7" t="str">
        <f t="shared" ref="L4306:L4314" si="1535">"S57.08.24"</f>
        <v>S57.08.24</v>
      </c>
      <c r="M4306" s="7">
        <v>1342.5</v>
      </c>
      <c r="N4306" s="7">
        <v>139905000</v>
      </c>
      <c r="O4306" s="7">
        <v>120804733</v>
      </c>
      <c r="P4306" s="7">
        <v>0</v>
      </c>
      <c r="Q4306" s="7" t="str">
        <f t="shared" si="1515"/>
        <v>都市整備部</v>
      </c>
      <c r="R4306" s="7" t="str">
        <f t="shared" si="1510"/>
        <v>住宅建築局住宅経営室</v>
      </c>
    </row>
    <row r="4307" spans="1:18" s="1" customFormat="1" x14ac:dyDescent="0.45">
      <c r="A4307" s="7" t="str">
        <f t="shared" si="1532"/>
        <v>09940003575</v>
      </c>
      <c r="B4307" s="7" t="str">
        <f t="shared" si="1533"/>
        <v>和泉今福</v>
      </c>
      <c r="C4307" s="7" t="str">
        <f t="shared" si="1511"/>
        <v>行政財産</v>
      </c>
      <c r="D4307" s="7" t="str">
        <f t="shared" si="1525"/>
        <v>公営住宅</v>
      </c>
      <c r="E4307" s="7" t="str">
        <f t="shared" si="1534"/>
        <v>大阪府和泉市今福町２丁目</v>
      </c>
      <c r="F4307" s="7"/>
      <c r="G4307" s="7" t="str">
        <f t="shared" si="1509"/>
        <v>事業用資産</v>
      </c>
      <c r="H4307" s="7" t="str">
        <f t="shared" si="1530"/>
        <v>棚卸以外</v>
      </c>
      <c r="I4307" s="7">
        <v>6</v>
      </c>
      <c r="J4307" s="7" t="str">
        <f>"６号棟"</f>
        <v>６号棟</v>
      </c>
      <c r="K4307" s="7" t="str">
        <f t="shared" si="1531"/>
        <v>鉄筋コンクリート造</v>
      </c>
      <c r="L4307" s="7" t="str">
        <f t="shared" si="1535"/>
        <v>S57.08.24</v>
      </c>
      <c r="M4307" s="7">
        <v>2082.65</v>
      </c>
      <c r="N4307" s="7">
        <v>208767000</v>
      </c>
      <c r="O4307" s="7">
        <v>180265485</v>
      </c>
      <c r="P4307" s="7">
        <v>0</v>
      </c>
      <c r="Q4307" s="7" t="str">
        <f t="shared" si="1515"/>
        <v>都市整備部</v>
      </c>
      <c r="R4307" s="7" t="str">
        <f t="shared" si="1510"/>
        <v>住宅建築局住宅経営室</v>
      </c>
    </row>
    <row r="4308" spans="1:18" s="1" customFormat="1" x14ac:dyDescent="0.45">
      <c r="A4308" s="7" t="str">
        <f t="shared" si="1532"/>
        <v>09940003575</v>
      </c>
      <c r="B4308" s="7" t="str">
        <f t="shared" si="1533"/>
        <v>和泉今福</v>
      </c>
      <c r="C4308" s="7" t="str">
        <f t="shared" si="1511"/>
        <v>行政財産</v>
      </c>
      <c r="D4308" s="7" t="str">
        <f t="shared" si="1525"/>
        <v>公営住宅</v>
      </c>
      <c r="E4308" s="7" t="str">
        <f t="shared" si="1534"/>
        <v>大阪府和泉市今福町２丁目</v>
      </c>
      <c r="F4308" s="7"/>
      <c r="G4308" s="7" t="str">
        <f t="shared" si="1509"/>
        <v>事業用資産</v>
      </c>
      <c r="H4308" s="7" t="str">
        <f t="shared" si="1530"/>
        <v>棚卸以外</v>
      </c>
      <c r="I4308" s="7">
        <v>7</v>
      </c>
      <c r="J4308" s="7" t="str">
        <f>"７号棟"</f>
        <v>７号棟</v>
      </c>
      <c r="K4308" s="7" t="str">
        <f t="shared" si="1531"/>
        <v>鉄筋コンクリート造</v>
      </c>
      <c r="L4308" s="7" t="str">
        <f t="shared" si="1535"/>
        <v>S57.08.24</v>
      </c>
      <c r="M4308" s="7">
        <v>1367.18</v>
      </c>
      <c r="N4308" s="7">
        <v>158582534</v>
      </c>
      <c r="O4308" s="7">
        <v>125056546</v>
      </c>
      <c r="P4308" s="7">
        <v>0</v>
      </c>
      <c r="Q4308" s="7" t="str">
        <f t="shared" si="1515"/>
        <v>都市整備部</v>
      </c>
      <c r="R4308" s="7" t="str">
        <f t="shared" si="1510"/>
        <v>住宅建築局住宅経営室</v>
      </c>
    </row>
    <row r="4309" spans="1:18" s="1" customFormat="1" x14ac:dyDescent="0.45">
      <c r="A4309" s="7" t="str">
        <f t="shared" si="1532"/>
        <v>09940003575</v>
      </c>
      <c r="B4309" s="7" t="str">
        <f t="shared" si="1533"/>
        <v>和泉今福</v>
      </c>
      <c r="C4309" s="7" t="str">
        <f t="shared" si="1511"/>
        <v>行政財産</v>
      </c>
      <c r="D4309" s="7" t="str">
        <f t="shared" si="1525"/>
        <v>公営住宅</v>
      </c>
      <c r="E4309" s="7" t="str">
        <f t="shared" si="1534"/>
        <v>大阪府和泉市今福町２丁目</v>
      </c>
      <c r="F4309" s="7"/>
      <c r="G4309" s="7" t="str">
        <f t="shared" si="1509"/>
        <v>事業用資産</v>
      </c>
      <c r="H4309" s="7" t="str">
        <f t="shared" si="1530"/>
        <v>棚卸以外</v>
      </c>
      <c r="I4309" s="7">
        <v>8</v>
      </c>
      <c r="J4309" s="7" t="str">
        <f>"８号棟"</f>
        <v>８号棟</v>
      </c>
      <c r="K4309" s="7" t="str">
        <f t="shared" si="1531"/>
        <v>鉄筋コンクリート造</v>
      </c>
      <c r="L4309" s="7" t="str">
        <f t="shared" si="1535"/>
        <v>S57.08.24</v>
      </c>
      <c r="M4309" s="7">
        <v>2082.65</v>
      </c>
      <c r="N4309" s="7">
        <v>204342000</v>
      </c>
      <c r="O4309" s="7">
        <v>176444483</v>
      </c>
      <c r="P4309" s="7">
        <v>0</v>
      </c>
      <c r="Q4309" s="7" t="str">
        <f t="shared" si="1515"/>
        <v>都市整備部</v>
      </c>
      <c r="R4309" s="7" t="str">
        <f t="shared" si="1510"/>
        <v>住宅建築局住宅経営室</v>
      </c>
    </row>
    <row r="4310" spans="1:18" s="1" customFormat="1" x14ac:dyDescent="0.45">
      <c r="A4310" s="7" t="str">
        <f t="shared" si="1532"/>
        <v>09940003575</v>
      </c>
      <c r="B4310" s="7" t="str">
        <f t="shared" si="1533"/>
        <v>和泉今福</v>
      </c>
      <c r="C4310" s="7" t="str">
        <f t="shared" si="1511"/>
        <v>行政財産</v>
      </c>
      <c r="D4310" s="7" t="str">
        <f t="shared" si="1525"/>
        <v>公営住宅</v>
      </c>
      <c r="E4310" s="7" t="str">
        <f t="shared" si="1534"/>
        <v>大阪府和泉市今福町２丁目</v>
      </c>
      <c r="F4310" s="7"/>
      <c r="G4310" s="7" t="str">
        <f t="shared" si="1509"/>
        <v>事業用資産</v>
      </c>
      <c r="H4310" s="7" t="str">
        <f t="shared" si="1530"/>
        <v>棚卸以外</v>
      </c>
      <c r="I4310" s="7">
        <v>9</v>
      </c>
      <c r="J4310" s="7" t="str">
        <f>"９号棟"</f>
        <v>９号棟</v>
      </c>
      <c r="K4310" s="7" t="str">
        <f t="shared" si="1531"/>
        <v>鉄筋コンクリート造</v>
      </c>
      <c r="L4310" s="7" t="str">
        <f t="shared" si="1535"/>
        <v>S57.08.24</v>
      </c>
      <c r="M4310" s="7">
        <v>1342.5</v>
      </c>
      <c r="N4310" s="7">
        <v>123726000</v>
      </c>
      <c r="O4310" s="7">
        <v>106834651</v>
      </c>
      <c r="P4310" s="7">
        <v>0</v>
      </c>
      <c r="Q4310" s="7" t="str">
        <f t="shared" si="1515"/>
        <v>都市整備部</v>
      </c>
      <c r="R4310" s="7" t="str">
        <f t="shared" si="1510"/>
        <v>住宅建築局住宅経営室</v>
      </c>
    </row>
    <row r="4311" spans="1:18" s="1" customFormat="1" x14ac:dyDescent="0.45">
      <c r="A4311" s="7" t="str">
        <f t="shared" si="1532"/>
        <v>09940003575</v>
      </c>
      <c r="B4311" s="7" t="str">
        <f t="shared" si="1533"/>
        <v>和泉今福</v>
      </c>
      <c r="C4311" s="7" t="str">
        <f t="shared" si="1511"/>
        <v>行政財産</v>
      </c>
      <c r="D4311" s="7" t="str">
        <f t="shared" si="1525"/>
        <v>公営住宅</v>
      </c>
      <c r="E4311" s="7" t="str">
        <f t="shared" si="1534"/>
        <v>大阪府和泉市今福町２丁目</v>
      </c>
      <c r="F4311" s="7"/>
      <c r="G4311" s="7" t="str">
        <f t="shared" ref="G4311:G4374" si="1536">"事業用資産"</f>
        <v>事業用資産</v>
      </c>
      <c r="H4311" s="7" t="str">
        <f t="shared" si="1530"/>
        <v>棚卸以外</v>
      </c>
      <c r="I4311" s="7">
        <v>10</v>
      </c>
      <c r="J4311" s="7" t="str">
        <f>"１０号棟"</f>
        <v>１０号棟</v>
      </c>
      <c r="K4311" s="7" t="str">
        <f t="shared" si="1531"/>
        <v>鉄筋コンクリート造</v>
      </c>
      <c r="L4311" s="7" t="str">
        <f t="shared" si="1535"/>
        <v>S57.08.24</v>
      </c>
      <c r="M4311" s="7">
        <v>2107.33</v>
      </c>
      <c r="N4311" s="7">
        <v>222561535</v>
      </c>
      <c r="O4311" s="7">
        <v>180300852</v>
      </c>
      <c r="P4311" s="7">
        <v>0</v>
      </c>
      <c r="Q4311" s="7" t="str">
        <f t="shared" si="1515"/>
        <v>都市整備部</v>
      </c>
      <c r="R4311" s="7" t="str">
        <f t="shared" si="1510"/>
        <v>住宅建築局住宅経営室</v>
      </c>
    </row>
    <row r="4312" spans="1:18" s="1" customFormat="1" x14ac:dyDescent="0.45">
      <c r="A4312" s="7" t="str">
        <f t="shared" si="1532"/>
        <v>09940003575</v>
      </c>
      <c r="B4312" s="7" t="str">
        <f t="shared" si="1533"/>
        <v>和泉今福</v>
      </c>
      <c r="C4312" s="7" t="str">
        <f t="shared" si="1511"/>
        <v>行政財産</v>
      </c>
      <c r="D4312" s="7" t="str">
        <f t="shared" si="1525"/>
        <v>公営住宅</v>
      </c>
      <c r="E4312" s="7" t="str">
        <f t="shared" si="1534"/>
        <v>大阪府和泉市今福町２丁目</v>
      </c>
      <c r="F4312" s="7"/>
      <c r="G4312" s="7" t="str">
        <f t="shared" si="1536"/>
        <v>事業用資産</v>
      </c>
      <c r="H4312" s="7" t="str">
        <f t="shared" si="1530"/>
        <v>棚卸以外</v>
      </c>
      <c r="I4312" s="7">
        <v>11</v>
      </c>
      <c r="J4312" s="7" t="str">
        <f>"１１号棟"</f>
        <v>１１号棟</v>
      </c>
      <c r="K4312" s="7" t="str">
        <f t="shared" si="1531"/>
        <v>鉄筋コンクリート造</v>
      </c>
      <c r="L4312" s="7" t="str">
        <f t="shared" si="1535"/>
        <v>S57.08.24</v>
      </c>
      <c r="M4312" s="7">
        <v>2896.84</v>
      </c>
      <c r="N4312" s="7">
        <v>335508844</v>
      </c>
      <c r="O4312" s="7">
        <v>253453304</v>
      </c>
      <c r="P4312" s="7">
        <v>0</v>
      </c>
      <c r="Q4312" s="7" t="str">
        <f t="shared" si="1515"/>
        <v>都市整備部</v>
      </c>
      <c r="R4312" s="7" t="str">
        <f t="shared" si="1510"/>
        <v>住宅建築局住宅経営室</v>
      </c>
    </row>
    <row r="4313" spans="1:18" s="1" customFormat="1" x14ac:dyDescent="0.45">
      <c r="A4313" s="7" t="str">
        <f t="shared" si="1532"/>
        <v>09940003575</v>
      </c>
      <c r="B4313" s="7" t="str">
        <f t="shared" si="1533"/>
        <v>和泉今福</v>
      </c>
      <c r="C4313" s="7" t="str">
        <f t="shared" si="1511"/>
        <v>行政財産</v>
      </c>
      <c r="D4313" s="7" t="str">
        <f t="shared" si="1525"/>
        <v>公営住宅</v>
      </c>
      <c r="E4313" s="7" t="str">
        <f t="shared" si="1534"/>
        <v>大阪府和泉市今福町２丁目</v>
      </c>
      <c r="F4313" s="7"/>
      <c r="G4313" s="7" t="str">
        <f t="shared" si="1536"/>
        <v>事業用資産</v>
      </c>
      <c r="H4313" s="7" t="str">
        <f t="shared" si="1530"/>
        <v>棚卸以外</v>
      </c>
      <c r="I4313" s="7">
        <v>12</v>
      </c>
      <c r="J4313" s="7" t="str">
        <f>"集会所"</f>
        <v>集会所</v>
      </c>
      <c r="K4313" s="7" t="str">
        <f t="shared" si="1531"/>
        <v>鉄筋コンクリート造</v>
      </c>
      <c r="L4313" s="7" t="str">
        <f t="shared" si="1535"/>
        <v>S57.08.24</v>
      </c>
      <c r="M4313" s="7">
        <v>148.21</v>
      </c>
      <c r="N4313" s="7">
        <v>25950000</v>
      </c>
      <c r="O4313" s="7">
        <v>22407357</v>
      </c>
      <c r="P4313" s="7">
        <v>0</v>
      </c>
      <c r="Q4313" s="7" t="str">
        <f t="shared" si="1515"/>
        <v>都市整備部</v>
      </c>
      <c r="R4313" s="7" t="str">
        <f t="shared" si="1510"/>
        <v>住宅建築局住宅経営室</v>
      </c>
    </row>
    <row r="4314" spans="1:18" s="1" customFormat="1" x14ac:dyDescent="0.45">
      <c r="A4314" s="7" t="str">
        <f t="shared" si="1532"/>
        <v>09940003575</v>
      </c>
      <c r="B4314" s="7" t="str">
        <f t="shared" si="1533"/>
        <v>和泉今福</v>
      </c>
      <c r="C4314" s="7" t="str">
        <f t="shared" ref="C4314:C4363" si="1537">"行政財産"</f>
        <v>行政財産</v>
      </c>
      <c r="D4314" s="7" t="str">
        <f t="shared" si="1525"/>
        <v>公営住宅</v>
      </c>
      <c r="E4314" s="7" t="str">
        <f t="shared" si="1534"/>
        <v>大阪府和泉市今福町２丁目</v>
      </c>
      <c r="F4314" s="7"/>
      <c r="G4314" s="7" t="str">
        <f t="shared" si="1536"/>
        <v>事業用資産</v>
      </c>
      <c r="H4314" s="7" t="str">
        <f t="shared" si="1530"/>
        <v>棚卸以外</v>
      </c>
      <c r="I4314" s="7">
        <v>13</v>
      </c>
      <c r="J4314" s="7" t="str">
        <f>"ポンプ室"</f>
        <v>ポンプ室</v>
      </c>
      <c r="K4314" s="7" t="str">
        <f t="shared" si="1531"/>
        <v>鉄筋コンクリート造</v>
      </c>
      <c r="L4314" s="7" t="str">
        <f t="shared" si="1535"/>
        <v>S57.08.24</v>
      </c>
      <c r="M4314" s="7">
        <v>146.4</v>
      </c>
      <c r="N4314" s="7">
        <v>37587000</v>
      </c>
      <c r="O4314" s="7">
        <v>32455628</v>
      </c>
      <c r="P4314" s="7">
        <v>0</v>
      </c>
      <c r="Q4314" s="7" t="str">
        <f t="shared" si="1515"/>
        <v>都市整備部</v>
      </c>
      <c r="R4314" s="7" t="str">
        <f t="shared" si="1510"/>
        <v>住宅建築局住宅経営室</v>
      </c>
    </row>
    <row r="4315" spans="1:18" s="1" customFormat="1" x14ac:dyDescent="0.45">
      <c r="A4315" s="7" t="str">
        <f>"10263000066"</f>
        <v>10263000066</v>
      </c>
      <c r="B4315" s="7" t="str">
        <f>"大阪府体育研修センター"</f>
        <v>大阪府体育研修センター</v>
      </c>
      <c r="C4315" s="7" t="str">
        <f t="shared" si="1537"/>
        <v>行政財産</v>
      </c>
      <c r="D4315" s="7" t="str">
        <f>"学校"</f>
        <v>学校</v>
      </c>
      <c r="E4315" s="7" t="str">
        <f>"大阪府東大阪市稲葉２丁目"</f>
        <v>大阪府東大阪市稲葉２丁目</v>
      </c>
      <c r="F4315" s="7"/>
      <c r="G4315" s="7" t="str">
        <f t="shared" si="1536"/>
        <v>事業用資産</v>
      </c>
      <c r="H4315" s="7" t="str">
        <f t="shared" si="1530"/>
        <v>棚卸以外</v>
      </c>
      <c r="I4315" s="7">
        <v>1</v>
      </c>
      <c r="J4315" s="7" t="str">
        <f>"大阪府体育研修センター"</f>
        <v>大阪府体育研修センター</v>
      </c>
      <c r="K4315" s="7" t="str">
        <f>"鉄骨造"</f>
        <v>鉄骨造</v>
      </c>
      <c r="L4315" s="7" t="str">
        <f>"S62.12.26"</f>
        <v>S62.12.26</v>
      </c>
      <c r="M4315" s="7">
        <v>420</v>
      </c>
      <c r="N4315" s="7">
        <v>47052500</v>
      </c>
      <c r="O4315" s="7">
        <v>21335847</v>
      </c>
      <c r="P4315" s="7">
        <v>0</v>
      </c>
      <c r="Q4315" s="7" t="str">
        <f t="shared" ref="Q4315:Q4378" si="1538">"教育庁"</f>
        <v>教育庁</v>
      </c>
      <c r="R4315" s="7" t="str">
        <f t="shared" ref="R4315:R4328" si="1539">"教育振興室"</f>
        <v>教育振興室</v>
      </c>
    </row>
    <row r="4316" spans="1:18" s="1" customFormat="1" x14ac:dyDescent="0.45">
      <c r="A4316" s="7" t="str">
        <f>"10263001015"</f>
        <v>10263001015</v>
      </c>
      <c r="B4316" s="7" t="str">
        <f>"府立漕艇センター"</f>
        <v>府立漕艇センター</v>
      </c>
      <c r="C4316" s="7" t="str">
        <f t="shared" si="1537"/>
        <v>行政財産</v>
      </c>
      <c r="D4316" s="7" t="str">
        <f t="shared" ref="D4316:D4322" si="1540">"その他（公共用）の施設"</f>
        <v>その他（公共用）の施設</v>
      </c>
      <c r="E4316" s="7" t="str">
        <f>"大阪府高石市高砂１丁目"</f>
        <v>大阪府高石市高砂１丁目</v>
      </c>
      <c r="F4316" s="7"/>
      <c r="G4316" s="7" t="str">
        <f t="shared" si="1536"/>
        <v>事業用資産</v>
      </c>
      <c r="H4316" s="7" t="str">
        <f t="shared" si="1530"/>
        <v>棚卸以外</v>
      </c>
      <c r="I4316" s="7">
        <v>1</v>
      </c>
      <c r="J4316" s="7" t="str">
        <f>"艇庫"</f>
        <v>艇庫</v>
      </c>
      <c r="K4316" s="7" t="str">
        <f>"鉄筋コンクリート造"</f>
        <v>鉄筋コンクリート造</v>
      </c>
      <c r="L4316" s="7" t="str">
        <f>"S44.04.01"</f>
        <v>S44.04.01</v>
      </c>
      <c r="M4316" s="7">
        <v>1219.53</v>
      </c>
      <c r="N4316" s="7">
        <v>77186768</v>
      </c>
      <c r="O4316" s="7">
        <v>65939327</v>
      </c>
      <c r="P4316" s="7">
        <v>0</v>
      </c>
      <c r="Q4316" s="7" t="str">
        <f t="shared" si="1538"/>
        <v>教育庁</v>
      </c>
      <c r="R4316" s="7" t="str">
        <f t="shared" si="1539"/>
        <v>教育振興室</v>
      </c>
    </row>
    <row r="4317" spans="1:18" s="1" customFormat="1" x14ac:dyDescent="0.45">
      <c r="A4317" s="7" t="str">
        <f>"10263001015"</f>
        <v>10263001015</v>
      </c>
      <c r="B4317" s="7" t="str">
        <f>"府立漕艇センター"</f>
        <v>府立漕艇センター</v>
      </c>
      <c r="C4317" s="7" t="str">
        <f t="shared" si="1537"/>
        <v>行政財産</v>
      </c>
      <c r="D4317" s="7" t="str">
        <f t="shared" si="1540"/>
        <v>その他（公共用）の施設</v>
      </c>
      <c r="E4317" s="7" t="str">
        <f>"大阪府高石市高砂１丁目"</f>
        <v>大阪府高石市高砂１丁目</v>
      </c>
      <c r="F4317" s="7"/>
      <c r="G4317" s="7" t="str">
        <f t="shared" si="1536"/>
        <v>事業用資産</v>
      </c>
      <c r="H4317" s="7" t="str">
        <f t="shared" si="1530"/>
        <v>棚卸以外</v>
      </c>
      <c r="I4317" s="7">
        <v>2</v>
      </c>
      <c r="J4317" s="7" t="str">
        <f>"Ａ棟"</f>
        <v>Ａ棟</v>
      </c>
      <c r="K4317" s="7" t="str">
        <f>"鉄筋コンクリート造"</f>
        <v>鉄筋コンクリート造</v>
      </c>
      <c r="L4317" s="7" t="str">
        <f>"H08.05.31"</f>
        <v>H08.05.31</v>
      </c>
      <c r="M4317" s="7">
        <v>1491.9</v>
      </c>
      <c r="N4317" s="7">
        <v>509420355</v>
      </c>
      <c r="O4317" s="7">
        <v>273167405</v>
      </c>
      <c r="P4317" s="7">
        <v>0</v>
      </c>
      <c r="Q4317" s="7" t="str">
        <f t="shared" si="1538"/>
        <v>教育庁</v>
      </c>
      <c r="R4317" s="7" t="str">
        <f t="shared" si="1539"/>
        <v>教育振興室</v>
      </c>
    </row>
    <row r="4318" spans="1:18" s="1" customFormat="1" ht="26.4" x14ac:dyDescent="0.45">
      <c r="A4318" s="7" t="str">
        <f>"10263001017"</f>
        <v>10263001017</v>
      </c>
      <c r="B4318" s="7" t="str">
        <f>"大阪府立臨海スポーツセンター"</f>
        <v>大阪府立臨海スポーツセンター</v>
      </c>
      <c r="C4318" s="7" t="str">
        <f t="shared" si="1537"/>
        <v>行政財産</v>
      </c>
      <c r="D4318" s="7" t="str">
        <f t="shared" si="1540"/>
        <v>その他（公共用）の施設</v>
      </c>
      <c r="E4318" s="7" t="str">
        <f>"大阪府高石市高師浜丁"</f>
        <v>大阪府高石市高師浜丁</v>
      </c>
      <c r="F4318" s="7"/>
      <c r="G4318" s="7" t="str">
        <f t="shared" si="1536"/>
        <v>事業用資産</v>
      </c>
      <c r="H4318" s="7" t="str">
        <f t="shared" si="1530"/>
        <v>棚卸以外</v>
      </c>
      <c r="I4318" s="7">
        <v>1</v>
      </c>
      <c r="J4318" s="7" t="str">
        <f>"本館"</f>
        <v>本館</v>
      </c>
      <c r="K4318" s="7" t="str">
        <f>"鉄骨鉄筋コンクリート造"</f>
        <v>鉄骨鉄筋コンクリート造</v>
      </c>
      <c r="L4318" s="7" t="str">
        <f>"S47.07.07"</f>
        <v>S47.07.07</v>
      </c>
      <c r="M4318" s="7">
        <v>11930.69</v>
      </c>
      <c r="N4318" s="7">
        <v>2246427860</v>
      </c>
      <c r="O4318" s="7">
        <v>2020088244</v>
      </c>
      <c r="P4318" s="7">
        <v>0</v>
      </c>
      <c r="Q4318" s="7" t="str">
        <f t="shared" si="1538"/>
        <v>教育庁</v>
      </c>
      <c r="R4318" s="7" t="str">
        <f t="shared" si="1539"/>
        <v>教育振興室</v>
      </c>
    </row>
    <row r="4319" spans="1:18" s="1" customFormat="1" x14ac:dyDescent="0.45">
      <c r="A4319" s="7" t="str">
        <f>"10263001017"</f>
        <v>10263001017</v>
      </c>
      <c r="B4319" s="7" t="str">
        <f>"大阪府立臨海スポーツセンター"</f>
        <v>大阪府立臨海スポーツセンター</v>
      </c>
      <c r="C4319" s="7" t="str">
        <f t="shared" si="1537"/>
        <v>行政財産</v>
      </c>
      <c r="D4319" s="7" t="str">
        <f t="shared" si="1540"/>
        <v>その他（公共用）の施設</v>
      </c>
      <c r="E4319" s="7" t="str">
        <f>"大阪府高石市高師浜丁"</f>
        <v>大阪府高石市高師浜丁</v>
      </c>
      <c r="F4319" s="7"/>
      <c r="G4319" s="7" t="str">
        <f t="shared" si="1536"/>
        <v>事業用資産</v>
      </c>
      <c r="H4319" s="7" t="str">
        <f t="shared" si="1530"/>
        <v>棚卸以外</v>
      </c>
      <c r="I4319" s="7">
        <v>2</v>
      </c>
      <c r="J4319" s="7" t="str">
        <f>"会議室棟"</f>
        <v>会議室棟</v>
      </c>
      <c r="K4319" s="7" t="str">
        <f>"鉄骨造"</f>
        <v>鉄骨造</v>
      </c>
      <c r="L4319" s="7" t="str">
        <f>"S47.07.07"</f>
        <v>S47.07.07</v>
      </c>
      <c r="M4319" s="7">
        <v>234.43</v>
      </c>
      <c r="N4319" s="7">
        <v>40914000</v>
      </c>
      <c r="O4319" s="7">
        <v>40913999</v>
      </c>
      <c r="P4319" s="7">
        <v>0</v>
      </c>
      <c r="Q4319" s="7" t="str">
        <f t="shared" si="1538"/>
        <v>教育庁</v>
      </c>
      <c r="R4319" s="7" t="str">
        <f t="shared" si="1539"/>
        <v>教育振興室</v>
      </c>
    </row>
    <row r="4320" spans="1:18" s="1" customFormat="1" x14ac:dyDescent="0.45">
      <c r="A4320" s="7" t="str">
        <f>"10263001017"</f>
        <v>10263001017</v>
      </c>
      <c r="B4320" s="7" t="str">
        <f>"大阪府立臨海スポーツセンター"</f>
        <v>大阪府立臨海スポーツセンター</v>
      </c>
      <c r="C4320" s="7" t="str">
        <f t="shared" si="1537"/>
        <v>行政財産</v>
      </c>
      <c r="D4320" s="7" t="str">
        <f t="shared" si="1540"/>
        <v>その他（公共用）の施設</v>
      </c>
      <c r="E4320" s="7" t="str">
        <f>"大阪府高石市高師浜丁"</f>
        <v>大阪府高石市高師浜丁</v>
      </c>
      <c r="F4320" s="7"/>
      <c r="G4320" s="7" t="str">
        <f t="shared" si="1536"/>
        <v>事業用資産</v>
      </c>
      <c r="H4320" s="7" t="str">
        <f t="shared" si="1530"/>
        <v>棚卸以外</v>
      </c>
      <c r="I4320" s="7">
        <v>3</v>
      </c>
      <c r="J4320" s="7" t="str">
        <f>"倉庫棟"</f>
        <v>倉庫棟</v>
      </c>
      <c r="K4320" s="7" t="str">
        <f>"鉄骨造"</f>
        <v>鉄骨造</v>
      </c>
      <c r="L4320" s="7" t="str">
        <f>"S47.07.07"</f>
        <v>S47.07.07</v>
      </c>
      <c r="M4320" s="7">
        <v>216.15</v>
      </c>
      <c r="N4320" s="7">
        <v>21101000</v>
      </c>
      <c r="O4320" s="7">
        <v>21100999</v>
      </c>
      <c r="P4320" s="7">
        <v>0</v>
      </c>
      <c r="Q4320" s="7" t="str">
        <f t="shared" si="1538"/>
        <v>教育庁</v>
      </c>
      <c r="R4320" s="7" t="str">
        <f t="shared" si="1539"/>
        <v>教育振興室</v>
      </c>
    </row>
    <row r="4321" spans="1:18" s="1" customFormat="1" ht="26.4" x14ac:dyDescent="0.45">
      <c r="A4321" s="7" t="str">
        <f>"10263001018"</f>
        <v>10263001018</v>
      </c>
      <c r="B4321" s="7" t="str">
        <f>"体育会館"</f>
        <v>体育会館</v>
      </c>
      <c r="C4321" s="7" t="str">
        <f t="shared" si="1537"/>
        <v>行政財産</v>
      </c>
      <c r="D4321" s="7" t="str">
        <f t="shared" si="1540"/>
        <v>その他（公共用）の施設</v>
      </c>
      <c r="E4321" s="7" t="str">
        <f>"大阪府大阪市　浪速区難波中３丁目"</f>
        <v>大阪府大阪市　浪速区難波中３丁目</v>
      </c>
      <c r="F4321" s="7"/>
      <c r="G4321" s="7" t="str">
        <f t="shared" si="1536"/>
        <v>事業用資産</v>
      </c>
      <c r="H4321" s="7" t="str">
        <f t="shared" si="1530"/>
        <v>棚卸以外</v>
      </c>
      <c r="I4321" s="7">
        <v>10</v>
      </c>
      <c r="J4321" s="7" t="str">
        <f>"体育会館"</f>
        <v>体育会館</v>
      </c>
      <c r="K4321" s="7" t="str">
        <f>"鉄骨鉄筋コンクリート造"</f>
        <v>鉄骨鉄筋コンクリート造</v>
      </c>
      <c r="L4321" s="7" t="str">
        <f>"S62.01.31"</f>
        <v>S62.01.31</v>
      </c>
      <c r="M4321" s="7">
        <v>28206.17</v>
      </c>
      <c r="N4321" s="7">
        <v>10797676756</v>
      </c>
      <c r="O4321" s="7">
        <v>8285130241</v>
      </c>
      <c r="P4321" s="7">
        <v>0</v>
      </c>
      <c r="Q4321" s="7" t="str">
        <f t="shared" si="1538"/>
        <v>教育庁</v>
      </c>
      <c r="R4321" s="7" t="str">
        <f t="shared" si="1539"/>
        <v>教育振興室</v>
      </c>
    </row>
    <row r="4322" spans="1:18" s="1" customFormat="1" x14ac:dyDescent="0.45">
      <c r="A4322" s="7" t="str">
        <f>"10263001020"</f>
        <v>10263001020</v>
      </c>
      <c r="B4322" s="7" t="str">
        <f>"大阪府立門真スポーツセンター"</f>
        <v>大阪府立門真スポーツセンター</v>
      </c>
      <c r="C4322" s="7" t="str">
        <f t="shared" si="1537"/>
        <v>行政財産</v>
      </c>
      <c r="D4322" s="7" t="str">
        <f t="shared" si="1540"/>
        <v>その他（公共用）の施設</v>
      </c>
      <c r="E4322" s="7" t="str">
        <f>"大阪府門真市"</f>
        <v>大阪府門真市</v>
      </c>
      <c r="F4322" s="7" t="str">
        <f>"三ツ島"</f>
        <v>三ツ島</v>
      </c>
      <c r="G4322" s="7" t="str">
        <f t="shared" si="1536"/>
        <v>事業用資産</v>
      </c>
      <c r="H4322" s="7" t="str">
        <f t="shared" si="1530"/>
        <v>棚卸以外</v>
      </c>
      <c r="I4322" s="7">
        <v>1</v>
      </c>
      <c r="J4322" s="7" t="str">
        <f>"本館"</f>
        <v>本館</v>
      </c>
      <c r="K4322" s="7" t="str">
        <f>"鉄筋コンクリート造"</f>
        <v>鉄筋コンクリート造</v>
      </c>
      <c r="L4322" s="7" t="str">
        <f>"H08.03.29"</f>
        <v>H08.03.29</v>
      </c>
      <c r="M4322" s="7">
        <v>35906.93</v>
      </c>
      <c r="N4322" s="7">
        <v>27625980000</v>
      </c>
      <c r="O4322" s="7">
        <v>14918029200</v>
      </c>
      <c r="P4322" s="7">
        <v>0</v>
      </c>
      <c r="Q4322" s="7" t="str">
        <f t="shared" si="1538"/>
        <v>教育庁</v>
      </c>
      <c r="R4322" s="7" t="str">
        <f t="shared" si="1539"/>
        <v>教育振興室</v>
      </c>
    </row>
    <row r="4323" spans="1:18" s="1" customFormat="1" x14ac:dyDescent="0.45">
      <c r="A4323" s="7" t="str">
        <f t="shared" ref="A4323:A4328" si="1541">"10340000010"</f>
        <v>10340000010</v>
      </c>
      <c r="B4323" s="7" t="str">
        <f t="shared" ref="B4323:B4328" si="1542">"西淀川高等学校"</f>
        <v>西淀川高等学校</v>
      </c>
      <c r="C4323" s="7" t="str">
        <f t="shared" si="1537"/>
        <v>行政財産</v>
      </c>
      <c r="D4323" s="7" t="str">
        <f t="shared" ref="D4323:D4363" si="1543">"学校"</f>
        <v>学校</v>
      </c>
      <c r="E4323" s="7" t="str">
        <f t="shared" ref="E4323:E4328" si="1544">"大阪府大阪市　西淀川区出来島３丁目"</f>
        <v>大阪府大阪市　西淀川区出来島３丁目</v>
      </c>
      <c r="F4323" s="7"/>
      <c r="G4323" s="7" t="str">
        <f t="shared" si="1536"/>
        <v>事業用資産</v>
      </c>
      <c r="H4323" s="7" t="str">
        <f t="shared" si="1530"/>
        <v>棚卸以外</v>
      </c>
      <c r="I4323" s="7">
        <v>1</v>
      </c>
      <c r="J4323" s="7" t="str">
        <f>"本館"</f>
        <v>本館</v>
      </c>
      <c r="K4323" s="7" t="str">
        <f>"鉄筋コンクリート造"</f>
        <v>鉄筋コンクリート造</v>
      </c>
      <c r="L4323" s="7" t="str">
        <f>"S53.04.07"</f>
        <v>S53.04.07</v>
      </c>
      <c r="M4323" s="7">
        <v>11049.04</v>
      </c>
      <c r="N4323" s="7">
        <v>1494428961</v>
      </c>
      <c r="O4323" s="7">
        <v>1235858763</v>
      </c>
      <c r="P4323" s="7">
        <v>0</v>
      </c>
      <c r="Q4323" s="7" t="str">
        <f t="shared" si="1538"/>
        <v>教育庁</v>
      </c>
      <c r="R4323" s="7" t="str">
        <f t="shared" si="1539"/>
        <v>教育振興室</v>
      </c>
    </row>
    <row r="4324" spans="1:18" s="1" customFormat="1" x14ac:dyDescent="0.45">
      <c r="A4324" s="7" t="str">
        <f t="shared" si="1541"/>
        <v>10340000010</v>
      </c>
      <c r="B4324" s="7" t="str">
        <f t="shared" si="1542"/>
        <v>西淀川高等学校</v>
      </c>
      <c r="C4324" s="7" t="str">
        <f t="shared" si="1537"/>
        <v>行政財産</v>
      </c>
      <c r="D4324" s="7" t="str">
        <f t="shared" si="1543"/>
        <v>学校</v>
      </c>
      <c r="E4324" s="7" t="str">
        <f t="shared" si="1544"/>
        <v>大阪府大阪市　西淀川区出来島３丁目</v>
      </c>
      <c r="F4324" s="7"/>
      <c r="G4324" s="7" t="str">
        <f t="shared" si="1536"/>
        <v>事業用資産</v>
      </c>
      <c r="H4324" s="7" t="str">
        <f t="shared" si="1530"/>
        <v>棚卸以外</v>
      </c>
      <c r="I4324" s="7">
        <v>2</v>
      </c>
      <c r="J4324" s="7" t="str">
        <f>"倉庫"</f>
        <v>倉庫</v>
      </c>
      <c r="K4324" s="7" t="str">
        <f>"鉄骨造"</f>
        <v>鉄骨造</v>
      </c>
      <c r="L4324" s="7" t="str">
        <f>"S53.06.13"</f>
        <v>S53.06.13</v>
      </c>
      <c r="M4324" s="7">
        <v>100</v>
      </c>
      <c r="N4324" s="7">
        <v>6464000</v>
      </c>
      <c r="O4324" s="7">
        <v>6463999</v>
      </c>
      <c r="P4324" s="7">
        <v>0</v>
      </c>
      <c r="Q4324" s="7" t="str">
        <f t="shared" si="1538"/>
        <v>教育庁</v>
      </c>
      <c r="R4324" s="7" t="str">
        <f t="shared" si="1539"/>
        <v>教育振興室</v>
      </c>
    </row>
    <row r="4325" spans="1:18" s="1" customFormat="1" x14ac:dyDescent="0.45">
      <c r="A4325" s="7" t="str">
        <f t="shared" si="1541"/>
        <v>10340000010</v>
      </c>
      <c r="B4325" s="7" t="str">
        <f t="shared" si="1542"/>
        <v>西淀川高等学校</v>
      </c>
      <c r="C4325" s="7" t="str">
        <f t="shared" si="1537"/>
        <v>行政財産</v>
      </c>
      <c r="D4325" s="7" t="str">
        <f t="shared" si="1543"/>
        <v>学校</v>
      </c>
      <c r="E4325" s="7" t="str">
        <f t="shared" si="1544"/>
        <v>大阪府大阪市　西淀川区出来島３丁目</v>
      </c>
      <c r="F4325" s="7"/>
      <c r="G4325" s="7" t="str">
        <f t="shared" si="1536"/>
        <v>事業用資産</v>
      </c>
      <c r="H4325" s="7" t="str">
        <f t="shared" si="1530"/>
        <v>棚卸以外</v>
      </c>
      <c r="I4325" s="7">
        <v>3</v>
      </c>
      <c r="J4325" s="7" t="str">
        <f>"プール附属棟"</f>
        <v>プール附属棟</v>
      </c>
      <c r="K4325" s="7" t="str">
        <f>"鉄筋コンクリート造"</f>
        <v>鉄筋コンクリート造</v>
      </c>
      <c r="L4325" s="7" t="str">
        <f>"S54.06.06"</f>
        <v>S54.06.06</v>
      </c>
      <c r="M4325" s="7">
        <v>138</v>
      </c>
      <c r="N4325" s="7">
        <v>19303000</v>
      </c>
      <c r="O4325" s="7">
        <v>19302999</v>
      </c>
      <c r="P4325" s="7">
        <v>0</v>
      </c>
      <c r="Q4325" s="7" t="str">
        <f t="shared" si="1538"/>
        <v>教育庁</v>
      </c>
      <c r="R4325" s="7" t="str">
        <f t="shared" si="1539"/>
        <v>教育振興室</v>
      </c>
    </row>
    <row r="4326" spans="1:18" s="1" customFormat="1" x14ac:dyDescent="0.45">
      <c r="A4326" s="7" t="str">
        <f t="shared" si="1541"/>
        <v>10340000010</v>
      </c>
      <c r="B4326" s="7" t="str">
        <f t="shared" si="1542"/>
        <v>西淀川高等学校</v>
      </c>
      <c r="C4326" s="7" t="str">
        <f t="shared" si="1537"/>
        <v>行政財産</v>
      </c>
      <c r="D4326" s="7" t="str">
        <f t="shared" si="1543"/>
        <v>学校</v>
      </c>
      <c r="E4326" s="7" t="str">
        <f t="shared" si="1544"/>
        <v>大阪府大阪市　西淀川区出来島３丁目</v>
      </c>
      <c r="F4326" s="7"/>
      <c r="G4326" s="7" t="str">
        <f t="shared" si="1536"/>
        <v>事業用資産</v>
      </c>
      <c r="H4326" s="7" t="str">
        <f t="shared" si="1530"/>
        <v>棚卸以外</v>
      </c>
      <c r="I4326" s="7">
        <v>4</v>
      </c>
      <c r="J4326" s="7" t="str">
        <f>"体育館"</f>
        <v>体育館</v>
      </c>
      <c r="K4326" s="7" t="str">
        <f>"鉄筋コンクリート造"</f>
        <v>鉄筋コンクリート造</v>
      </c>
      <c r="L4326" s="7" t="str">
        <f>"S53.11.27"</f>
        <v>S53.11.27</v>
      </c>
      <c r="M4326" s="7">
        <v>3054.89</v>
      </c>
      <c r="N4326" s="7">
        <v>420949819</v>
      </c>
      <c r="O4326" s="7">
        <v>372952142</v>
      </c>
      <c r="P4326" s="7">
        <v>0</v>
      </c>
      <c r="Q4326" s="7" t="str">
        <f t="shared" si="1538"/>
        <v>教育庁</v>
      </c>
      <c r="R4326" s="7" t="str">
        <f t="shared" si="1539"/>
        <v>教育振興室</v>
      </c>
    </row>
    <row r="4327" spans="1:18" s="1" customFormat="1" x14ac:dyDescent="0.45">
      <c r="A4327" s="7" t="str">
        <f t="shared" si="1541"/>
        <v>10340000010</v>
      </c>
      <c r="B4327" s="7" t="str">
        <f t="shared" si="1542"/>
        <v>西淀川高等学校</v>
      </c>
      <c r="C4327" s="7" t="str">
        <f t="shared" si="1537"/>
        <v>行政財産</v>
      </c>
      <c r="D4327" s="7" t="str">
        <f t="shared" si="1543"/>
        <v>学校</v>
      </c>
      <c r="E4327" s="7" t="str">
        <f t="shared" si="1544"/>
        <v>大阪府大阪市　西淀川区出来島３丁目</v>
      </c>
      <c r="F4327" s="7"/>
      <c r="G4327" s="7" t="str">
        <f t="shared" si="1536"/>
        <v>事業用資産</v>
      </c>
      <c r="H4327" s="7" t="str">
        <f t="shared" si="1530"/>
        <v>棚卸以外</v>
      </c>
      <c r="I4327" s="7">
        <v>6</v>
      </c>
      <c r="J4327" s="7" t="str">
        <f>"ごみ集積場"</f>
        <v>ごみ集積場</v>
      </c>
      <c r="K4327" s="7" t="str">
        <f>"鉄筋コンクリート造"</f>
        <v>鉄筋コンクリート造</v>
      </c>
      <c r="L4327" s="7" t="str">
        <f>"S56.04.28"</f>
        <v>S56.04.28</v>
      </c>
      <c r="M4327" s="7">
        <v>8.9</v>
      </c>
      <c r="N4327" s="7">
        <v>1277000</v>
      </c>
      <c r="O4327" s="7">
        <v>1276999</v>
      </c>
      <c r="P4327" s="7">
        <v>0</v>
      </c>
      <c r="Q4327" s="7" t="str">
        <f t="shared" si="1538"/>
        <v>教育庁</v>
      </c>
      <c r="R4327" s="7" t="str">
        <f t="shared" si="1539"/>
        <v>教育振興室</v>
      </c>
    </row>
    <row r="4328" spans="1:18" s="1" customFormat="1" x14ac:dyDescent="0.45">
      <c r="A4328" s="7" t="str">
        <f t="shared" si="1541"/>
        <v>10340000010</v>
      </c>
      <c r="B4328" s="7" t="str">
        <f t="shared" si="1542"/>
        <v>西淀川高等学校</v>
      </c>
      <c r="C4328" s="7" t="str">
        <f t="shared" si="1537"/>
        <v>行政財産</v>
      </c>
      <c r="D4328" s="7" t="str">
        <f t="shared" si="1543"/>
        <v>学校</v>
      </c>
      <c r="E4328" s="7" t="str">
        <f t="shared" si="1544"/>
        <v>大阪府大阪市　西淀川区出来島３丁目</v>
      </c>
      <c r="F4328" s="7"/>
      <c r="G4328" s="7" t="str">
        <f t="shared" si="1536"/>
        <v>事業用資産</v>
      </c>
      <c r="H4328" s="7" t="str">
        <f t="shared" si="1530"/>
        <v>棚卸以外</v>
      </c>
      <c r="I4328" s="7">
        <v>7</v>
      </c>
      <c r="J4328" s="7" t="str">
        <f>"体育倉庫"</f>
        <v>体育倉庫</v>
      </c>
      <c r="K4328" s="7" t="str">
        <f>"軽量鉄骨造"</f>
        <v>軽量鉄骨造</v>
      </c>
      <c r="L4328" s="7" t="str">
        <f>"H07.10.20"</f>
        <v>H07.10.20</v>
      </c>
      <c r="M4328" s="7">
        <v>133.24</v>
      </c>
      <c r="N4328" s="7">
        <v>8252000</v>
      </c>
      <c r="O4328" s="7">
        <v>8251999</v>
      </c>
      <c r="P4328" s="7">
        <v>0</v>
      </c>
      <c r="Q4328" s="7" t="str">
        <f t="shared" si="1538"/>
        <v>教育庁</v>
      </c>
      <c r="R4328" s="7" t="str">
        <f t="shared" si="1539"/>
        <v>教育振興室</v>
      </c>
    </row>
    <row r="4329" spans="1:18" s="1" customFormat="1" x14ac:dyDescent="0.45">
      <c r="A4329" s="7" t="str">
        <f t="shared" ref="A4329:A4335" si="1545">"10364000500"</f>
        <v>10364000500</v>
      </c>
      <c r="B4329" s="7" t="str">
        <f t="shared" ref="B4329:B4335" si="1546">"池田北高校"</f>
        <v>池田北高校</v>
      </c>
      <c r="C4329" s="7" t="str">
        <f t="shared" si="1537"/>
        <v>行政財産</v>
      </c>
      <c r="D4329" s="7" t="str">
        <f t="shared" si="1543"/>
        <v>学校</v>
      </c>
      <c r="E4329" s="7" t="str">
        <f t="shared" ref="E4329:E4335" si="1547">"大阪府池田市伏尾台２丁目"</f>
        <v>大阪府池田市伏尾台２丁目</v>
      </c>
      <c r="F4329" s="7"/>
      <c r="G4329" s="7" t="str">
        <f t="shared" si="1536"/>
        <v>事業用資産</v>
      </c>
      <c r="H4329" s="7" t="str">
        <f t="shared" si="1530"/>
        <v>棚卸以外</v>
      </c>
      <c r="I4329" s="7">
        <v>1</v>
      </c>
      <c r="J4329" s="7" t="str">
        <f>"教室管理室棟"</f>
        <v>教室管理室棟</v>
      </c>
      <c r="K4329" s="7" t="str">
        <f>"鉄筋コンクリート造"</f>
        <v>鉄筋コンクリート造</v>
      </c>
      <c r="L4329" s="7" t="str">
        <f>"S58.10.17"</f>
        <v>S58.10.17</v>
      </c>
      <c r="M4329" s="7">
        <v>11044.4</v>
      </c>
      <c r="N4329" s="7">
        <v>1416331926</v>
      </c>
      <c r="O4329" s="7">
        <v>1173864452</v>
      </c>
      <c r="P4329" s="7">
        <v>0</v>
      </c>
      <c r="Q4329" s="7" t="str">
        <f t="shared" si="1538"/>
        <v>教育庁</v>
      </c>
      <c r="R4329" s="7" t="str">
        <f t="shared" ref="R4329:R4363" si="1548">"施設財務課"</f>
        <v>施設財務課</v>
      </c>
    </row>
    <row r="4330" spans="1:18" s="1" customFormat="1" x14ac:dyDescent="0.45">
      <c r="A4330" s="7" t="str">
        <f t="shared" si="1545"/>
        <v>10364000500</v>
      </c>
      <c r="B4330" s="7" t="str">
        <f t="shared" si="1546"/>
        <v>池田北高校</v>
      </c>
      <c r="C4330" s="7" t="str">
        <f t="shared" si="1537"/>
        <v>行政財産</v>
      </c>
      <c r="D4330" s="7" t="str">
        <f t="shared" si="1543"/>
        <v>学校</v>
      </c>
      <c r="E4330" s="7" t="str">
        <f t="shared" si="1547"/>
        <v>大阪府池田市伏尾台２丁目</v>
      </c>
      <c r="F4330" s="7"/>
      <c r="G4330" s="7" t="str">
        <f t="shared" si="1536"/>
        <v>事業用資産</v>
      </c>
      <c r="H4330" s="7" t="str">
        <f t="shared" si="1530"/>
        <v>棚卸以外</v>
      </c>
      <c r="I4330" s="7">
        <v>2</v>
      </c>
      <c r="J4330" s="7" t="str">
        <f>"体育倉庫"</f>
        <v>体育倉庫</v>
      </c>
      <c r="K4330" s="7" t="str">
        <f>"鉄筋コンクリート造"</f>
        <v>鉄筋コンクリート造</v>
      </c>
      <c r="L4330" s="7" t="str">
        <f>"S59.01.31"</f>
        <v>S59.01.31</v>
      </c>
      <c r="M4330" s="7">
        <v>21.43</v>
      </c>
      <c r="N4330" s="7">
        <v>2865000</v>
      </c>
      <c r="O4330" s="7">
        <v>2864999</v>
      </c>
      <c r="P4330" s="7">
        <v>0</v>
      </c>
      <c r="Q4330" s="7" t="str">
        <f t="shared" si="1538"/>
        <v>教育庁</v>
      </c>
      <c r="R4330" s="7" t="str">
        <f t="shared" si="1548"/>
        <v>施設財務課</v>
      </c>
    </row>
    <row r="4331" spans="1:18" s="1" customFormat="1" x14ac:dyDescent="0.45">
      <c r="A4331" s="7" t="str">
        <f t="shared" si="1545"/>
        <v>10364000500</v>
      </c>
      <c r="B4331" s="7" t="str">
        <f t="shared" si="1546"/>
        <v>池田北高校</v>
      </c>
      <c r="C4331" s="7" t="str">
        <f t="shared" si="1537"/>
        <v>行政財産</v>
      </c>
      <c r="D4331" s="7" t="str">
        <f t="shared" si="1543"/>
        <v>学校</v>
      </c>
      <c r="E4331" s="7" t="str">
        <f t="shared" si="1547"/>
        <v>大阪府池田市伏尾台２丁目</v>
      </c>
      <c r="F4331" s="7"/>
      <c r="G4331" s="7" t="str">
        <f t="shared" si="1536"/>
        <v>事業用資産</v>
      </c>
      <c r="H4331" s="7" t="str">
        <f t="shared" si="1530"/>
        <v>棚卸以外</v>
      </c>
      <c r="I4331" s="7">
        <v>3</v>
      </c>
      <c r="J4331" s="7" t="str">
        <f>"体育館棟"</f>
        <v>体育館棟</v>
      </c>
      <c r="K4331" s="7" t="str">
        <f>"鉄筋コンクリート造"</f>
        <v>鉄筋コンクリート造</v>
      </c>
      <c r="L4331" s="7" t="str">
        <f>"S59.12.27"</f>
        <v>S59.12.27</v>
      </c>
      <c r="M4331" s="7">
        <v>3003.69</v>
      </c>
      <c r="N4331" s="7">
        <v>429619840</v>
      </c>
      <c r="O4331" s="7">
        <v>349403098</v>
      </c>
      <c r="P4331" s="7">
        <v>0</v>
      </c>
      <c r="Q4331" s="7" t="str">
        <f t="shared" si="1538"/>
        <v>教育庁</v>
      </c>
      <c r="R4331" s="7" t="str">
        <f t="shared" si="1548"/>
        <v>施設財務課</v>
      </c>
    </row>
    <row r="4332" spans="1:18" s="1" customFormat="1" x14ac:dyDescent="0.45">
      <c r="A4332" s="7" t="str">
        <f t="shared" si="1545"/>
        <v>10364000500</v>
      </c>
      <c r="B4332" s="7" t="str">
        <f t="shared" si="1546"/>
        <v>池田北高校</v>
      </c>
      <c r="C4332" s="7" t="str">
        <f t="shared" si="1537"/>
        <v>行政財産</v>
      </c>
      <c r="D4332" s="7" t="str">
        <f t="shared" si="1543"/>
        <v>学校</v>
      </c>
      <c r="E4332" s="7" t="str">
        <f t="shared" si="1547"/>
        <v>大阪府池田市伏尾台２丁目</v>
      </c>
      <c r="F4332" s="7"/>
      <c r="G4332" s="7" t="str">
        <f t="shared" si="1536"/>
        <v>事業用資産</v>
      </c>
      <c r="H4332" s="7" t="str">
        <f t="shared" si="1530"/>
        <v>棚卸以外</v>
      </c>
      <c r="I4332" s="7">
        <v>4</v>
      </c>
      <c r="J4332" s="7" t="str">
        <f>"プ－ル附属棟"</f>
        <v>プ－ル附属棟</v>
      </c>
      <c r="K4332" s="7" t="str">
        <f>"鉄筋コンクリート造"</f>
        <v>鉄筋コンクリート造</v>
      </c>
      <c r="L4332" s="7" t="str">
        <f>"S60.05.23"</f>
        <v>S60.05.23</v>
      </c>
      <c r="M4332" s="7">
        <v>138</v>
      </c>
      <c r="N4332" s="7">
        <v>36763000</v>
      </c>
      <c r="O4332" s="7">
        <v>29593021</v>
      </c>
      <c r="P4332" s="7">
        <v>0</v>
      </c>
      <c r="Q4332" s="7" t="str">
        <f t="shared" si="1538"/>
        <v>教育庁</v>
      </c>
      <c r="R4332" s="7" t="str">
        <f t="shared" si="1548"/>
        <v>施設財務課</v>
      </c>
    </row>
    <row r="4333" spans="1:18" s="1" customFormat="1" x14ac:dyDescent="0.45">
      <c r="A4333" s="7" t="str">
        <f t="shared" si="1545"/>
        <v>10364000500</v>
      </c>
      <c r="B4333" s="7" t="str">
        <f t="shared" si="1546"/>
        <v>池田北高校</v>
      </c>
      <c r="C4333" s="7" t="str">
        <f t="shared" si="1537"/>
        <v>行政財産</v>
      </c>
      <c r="D4333" s="7" t="str">
        <f t="shared" si="1543"/>
        <v>学校</v>
      </c>
      <c r="E4333" s="7" t="str">
        <f t="shared" si="1547"/>
        <v>大阪府池田市伏尾台２丁目</v>
      </c>
      <c r="F4333" s="7"/>
      <c r="G4333" s="7" t="str">
        <f t="shared" si="1536"/>
        <v>事業用資産</v>
      </c>
      <c r="H4333" s="7" t="str">
        <f t="shared" si="1530"/>
        <v>棚卸以外</v>
      </c>
      <c r="I4333" s="7">
        <v>5</v>
      </c>
      <c r="J4333" s="7" t="str">
        <f>"倉庫棟１"</f>
        <v>倉庫棟１</v>
      </c>
      <c r="K4333" s="7" t="str">
        <f>"鉄骨造"</f>
        <v>鉄骨造</v>
      </c>
      <c r="L4333" s="7" t="str">
        <f>"S61.03.31"</f>
        <v>S61.03.31</v>
      </c>
      <c r="M4333" s="7">
        <v>100</v>
      </c>
      <c r="N4333" s="7">
        <v>8786000</v>
      </c>
      <c r="O4333" s="7">
        <v>8785999</v>
      </c>
      <c r="P4333" s="7">
        <v>0</v>
      </c>
      <c r="Q4333" s="7" t="str">
        <f t="shared" si="1538"/>
        <v>教育庁</v>
      </c>
      <c r="R4333" s="7" t="str">
        <f t="shared" si="1548"/>
        <v>施設財務課</v>
      </c>
    </row>
    <row r="4334" spans="1:18" s="1" customFormat="1" x14ac:dyDescent="0.45">
      <c r="A4334" s="7" t="str">
        <f t="shared" si="1545"/>
        <v>10364000500</v>
      </c>
      <c r="B4334" s="7" t="str">
        <f t="shared" si="1546"/>
        <v>池田北高校</v>
      </c>
      <c r="C4334" s="7" t="str">
        <f t="shared" si="1537"/>
        <v>行政財産</v>
      </c>
      <c r="D4334" s="7" t="str">
        <f t="shared" si="1543"/>
        <v>学校</v>
      </c>
      <c r="E4334" s="7" t="str">
        <f t="shared" si="1547"/>
        <v>大阪府池田市伏尾台２丁目</v>
      </c>
      <c r="F4334" s="7"/>
      <c r="G4334" s="7" t="str">
        <f t="shared" si="1536"/>
        <v>事業用資産</v>
      </c>
      <c r="H4334" s="7" t="str">
        <f t="shared" si="1530"/>
        <v>棚卸以外</v>
      </c>
      <c r="I4334" s="7">
        <v>6</v>
      </c>
      <c r="J4334" s="7" t="str">
        <f>"倉庫棟２"</f>
        <v>倉庫棟２</v>
      </c>
      <c r="K4334" s="7" t="str">
        <f>"鉄骨造"</f>
        <v>鉄骨造</v>
      </c>
      <c r="L4334" s="7" t="str">
        <f>"S62.03.25"</f>
        <v>S62.03.25</v>
      </c>
      <c r="M4334" s="7">
        <v>80</v>
      </c>
      <c r="N4334" s="7">
        <v>9014000</v>
      </c>
      <c r="O4334" s="7">
        <v>9013999</v>
      </c>
      <c r="P4334" s="7">
        <v>0</v>
      </c>
      <c r="Q4334" s="7" t="str">
        <f t="shared" si="1538"/>
        <v>教育庁</v>
      </c>
      <c r="R4334" s="7" t="str">
        <f t="shared" si="1548"/>
        <v>施設財務課</v>
      </c>
    </row>
    <row r="4335" spans="1:18" s="1" customFormat="1" x14ac:dyDescent="0.45">
      <c r="A4335" s="7" t="str">
        <f t="shared" si="1545"/>
        <v>10364000500</v>
      </c>
      <c r="B4335" s="7" t="str">
        <f t="shared" si="1546"/>
        <v>池田北高校</v>
      </c>
      <c r="C4335" s="7" t="str">
        <f t="shared" si="1537"/>
        <v>行政財産</v>
      </c>
      <c r="D4335" s="7" t="str">
        <f t="shared" si="1543"/>
        <v>学校</v>
      </c>
      <c r="E4335" s="7" t="str">
        <f t="shared" si="1547"/>
        <v>大阪府池田市伏尾台２丁目</v>
      </c>
      <c r="F4335" s="7"/>
      <c r="G4335" s="7" t="str">
        <f t="shared" si="1536"/>
        <v>事業用資産</v>
      </c>
      <c r="H4335" s="7" t="str">
        <f t="shared" si="1530"/>
        <v>棚卸以外</v>
      </c>
      <c r="I4335" s="7">
        <v>7</v>
      </c>
      <c r="J4335" s="7" t="str">
        <f>"倉庫棟３"</f>
        <v>倉庫棟３</v>
      </c>
      <c r="K4335" s="7" t="str">
        <f>"軽量鉄骨造"</f>
        <v>軽量鉄骨造</v>
      </c>
      <c r="L4335" s="7" t="str">
        <f>"S62.03.25"</f>
        <v>S62.03.25</v>
      </c>
      <c r="M4335" s="7">
        <v>50.05</v>
      </c>
      <c r="N4335" s="7">
        <v>1217000</v>
      </c>
      <c r="O4335" s="7">
        <v>1216999</v>
      </c>
      <c r="P4335" s="7">
        <v>0</v>
      </c>
      <c r="Q4335" s="7" t="str">
        <f t="shared" si="1538"/>
        <v>教育庁</v>
      </c>
      <c r="R4335" s="7" t="str">
        <f t="shared" si="1548"/>
        <v>施設財務課</v>
      </c>
    </row>
    <row r="4336" spans="1:18" s="1" customFormat="1" x14ac:dyDescent="0.45">
      <c r="A4336" s="7" t="str">
        <f t="shared" ref="A4336:A4346" si="1549">"10430000000"</f>
        <v>10430000000</v>
      </c>
      <c r="B4336" s="7" t="str">
        <f t="shared" ref="B4336:B4346" si="1550">"柏原東高等学校"</f>
        <v>柏原東高等学校</v>
      </c>
      <c r="C4336" s="7" t="str">
        <f t="shared" si="1537"/>
        <v>行政財産</v>
      </c>
      <c r="D4336" s="7" t="str">
        <f t="shared" si="1543"/>
        <v>学校</v>
      </c>
      <c r="E4336" s="7" t="str">
        <f t="shared" ref="E4336:E4346" si="1551">"大阪府柏原市大字高井田"</f>
        <v>大阪府柏原市大字高井田</v>
      </c>
      <c r="F4336" s="7"/>
      <c r="G4336" s="7" t="str">
        <f t="shared" si="1536"/>
        <v>事業用資産</v>
      </c>
      <c r="H4336" s="7" t="str">
        <f t="shared" si="1530"/>
        <v>棚卸以外</v>
      </c>
      <c r="I4336" s="7">
        <v>1</v>
      </c>
      <c r="J4336" s="7" t="str">
        <f>"校舎棟"</f>
        <v>校舎棟</v>
      </c>
      <c r="K4336" s="7" t="str">
        <f>"鉄筋コンクリート造"</f>
        <v>鉄筋コンクリート造</v>
      </c>
      <c r="L4336" s="7" t="str">
        <f>"S52.03.01"</f>
        <v>S52.03.01</v>
      </c>
      <c r="M4336" s="7">
        <v>10959.97</v>
      </c>
      <c r="N4336" s="7">
        <v>1164383173</v>
      </c>
      <c r="O4336" s="7">
        <v>1016119351</v>
      </c>
      <c r="P4336" s="7">
        <v>0</v>
      </c>
      <c r="Q4336" s="7" t="str">
        <f t="shared" si="1538"/>
        <v>教育庁</v>
      </c>
      <c r="R4336" s="7" t="str">
        <f t="shared" si="1548"/>
        <v>施設財務課</v>
      </c>
    </row>
    <row r="4337" spans="1:18" s="1" customFormat="1" x14ac:dyDescent="0.45">
      <c r="A4337" s="7" t="str">
        <f t="shared" si="1549"/>
        <v>10430000000</v>
      </c>
      <c r="B4337" s="7" t="str">
        <f t="shared" si="1550"/>
        <v>柏原東高等学校</v>
      </c>
      <c r="C4337" s="7" t="str">
        <f t="shared" si="1537"/>
        <v>行政財産</v>
      </c>
      <c r="D4337" s="7" t="str">
        <f t="shared" si="1543"/>
        <v>学校</v>
      </c>
      <c r="E4337" s="7" t="str">
        <f t="shared" si="1551"/>
        <v>大阪府柏原市大字高井田</v>
      </c>
      <c r="F4337" s="7"/>
      <c r="G4337" s="7" t="str">
        <f t="shared" si="1536"/>
        <v>事業用資産</v>
      </c>
      <c r="H4337" s="7" t="str">
        <f t="shared" si="1530"/>
        <v>棚卸以外</v>
      </c>
      <c r="I4337" s="7">
        <v>2</v>
      </c>
      <c r="J4337" s="7" t="str">
        <f>"倉庫．プロパン庫棟"</f>
        <v>倉庫．プロパン庫棟</v>
      </c>
      <c r="K4337" s="7" t="str">
        <f>"鉄筋コンクリート造"</f>
        <v>鉄筋コンクリート造</v>
      </c>
      <c r="L4337" s="7" t="str">
        <f>"S52.03.31"</f>
        <v>S52.03.31</v>
      </c>
      <c r="M4337" s="7">
        <v>73.36</v>
      </c>
      <c r="N4337" s="7">
        <v>6083000</v>
      </c>
      <c r="O4337" s="7">
        <v>5588052</v>
      </c>
      <c r="P4337" s="7">
        <v>0</v>
      </c>
      <c r="Q4337" s="7" t="str">
        <f t="shared" si="1538"/>
        <v>教育庁</v>
      </c>
      <c r="R4337" s="7" t="str">
        <f t="shared" si="1548"/>
        <v>施設財務課</v>
      </c>
    </row>
    <row r="4338" spans="1:18" s="1" customFormat="1" x14ac:dyDescent="0.45">
      <c r="A4338" s="7" t="str">
        <f t="shared" si="1549"/>
        <v>10430000000</v>
      </c>
      <c r="B4338" s="7" t="str">
        <f t="shared" si="1550"/>
        <v>柏原東高等学校</v>
      </c>
      <c r="C4338" s="7" t="str">
        <f t="shared" si="1537"/>
        <v>行政財産</v>
      </c>
      <c r="D4338" s="7" t="str">
        <f t="shared" si="1543"/>
        <v>学校</v>
      </c>
      <c r="E4338" s="7" t="str">
        <f t="shared" si="1551"/>
        <v>大阪府柏原市大字高井田</v>
      </c>
      <c r="F4338" s="7"/>
      <c r="G4338" s="7" t="str">
        <f t="shared" si="1536"/>
        <v>事業用資産</v>
      </c>
      <c r="H4338" s="7" t="str">
        <f t="shared" si="1530"/>
        <v>棚卸以外</v>
      </c>
      <c r="I4338" s="7">
        <v>3</v>
      </c>
      <c r="J4338" s="7" t="str">
        <f>"汚水処理場"</f>
        <v>汚水処理場</v>
      </c>
      <c r="K4338" s="7" t="str">
        <f>"鉄筋コンクリート造"</f>
        <v>鉄筋コンクリート造</v>
      </c>
      <c r="L4338" s="7" t="str">
        <f>"S52.03.01"</f>
        <v>S52.03.01</v>
      </c>
      <c r="M4338" s="7">
        <v>207.15</v>
      </c>
      <c r="N4338" s="7">
        <v>45984990</v>
      </c>
      <c r="O4338" s="7">
        <v>45687774</v>
      </c>
      <c r="P4338" s="7">
        <v>0</v>
      </c>
      <c r="Q4338" s="7" t="str">
        <f t="shared" si="1538"/>
        <v>教育庁</v>
      </c>
      <c r="R4338" s="7" t="str">
        <f t="shared" si="1548"/>
        <v>施設財務課</v>
      </c>
    </row>
    <row r="4339" spans="1:18" s="1" customFormat="1" x14ac:dyDescent="0.45">
      <c r="A4339" s="7" t="str">
        <f t="shared" si="1549"/>
        <v>10430000000</v>
      </c>
      <c r="B4339" s="7" t="str">
        <f t="shared" si="1550"/>
        <v>柏原東高等学校</v>
      </c>
      <c r="C4339" s="7" t="str">
        <f t="shared" si="1537"/>
        <v>行政財産</v>
      </c>
      <c r="D4339" s="7" t="str">
        <f t="shared" si="1543"/>
        <v>学校</v>
      </c>
      <c r="E4339" s="7" t="str">
        <f t="shared" si="1551"/>
        <v>大阪府柏原市大字高井田</v>
      </c>
      <c r="F4339" s="7"/>
      <c r="G4339" s="7" t="str">
        <f t="shared" si="1536"/>
        <v>事業用資産</v>
      </c>
      <c r="H4339" s="7" t="str">
        <f t="shared" si="1530"/>
        <v>棚卸以外</v>
      </c>
      <c r="I4339" s="7">
        <v>5</v>
      </c>
      <c r="J4339" s="7" t="str">
        <f>"渡り廊下"</f>
        <v>渡り廊下</v>
      </c>
      <c r="K4339" s="7" t="str">
        <f>"鉄骨造"</f>
        <v>鉄骨造</v>
      </c>
      <c r="L4339" s="7" t="str">
        <f>"S52.03.31"</f>
        <v>S52.03.31</v>
      </c>
      <c r="M4339" s="7">
        <v>18.48</v>
      </c>
      <c r="N4339" s="7">
        <v>590000</v>
      </c>
      <c r="O4339" s="7">
        <v>589999</v>
      </c>
      <c r="P4339" s="7">
        <v>0</v>
      </c>
      <c r="Q4339" s="7" t="str">
        <f t="shared" si="1538"/>
        <v>教育庁</v>
      </c>
      <c r="R4339" s="7" t="str">
        <f t="shared" si="1548"/>
        <v>施設財務課</v>
      </c>
    </row>
    <row r="4340" spans="1:18" s="1" customFormat="1" x14ac:dyDescent="0.45">
      <c r="A4340" s="7" t="str">
        <f t="shared" si="1549"/>
        <v>10430000000</v>
      </c>
      <c r="B4340" s="7" t="str">
        <f t="shared" si="1550"/>
        <v>柏原東高等学校</v>
      </c>
      <c r="C4340" s="7" t="str">
        <f t="shared" si="1537"/>
        <v>行政財産</v>
      </c>
      <c r="D4340" s="7" t="str">
        <f t="shared" si="1543"/>
        <v>学校</v>
      </c>
      <c r="E4340" s="7" t="str">
        <f t="shared" si="1551"/>
        <v>大阪府柏原市大字高井田</v>
      </c>
      <c r="F4340" s="7"/>
      <c r="G4340" s="7" t="str">
        <f t="shared" si="1536"/>
        <v>事業用資産</v>
      </c>
      <c r="H4340" s="7" t="str">
        <f t="shared" si="1530"/>
        <v>棚卸以外</v>
      </c>
      <c r="I4340" s="7">
        <v>6</v>
      </c>
      <c r="J4340" s="7" t="str">
        <f>"プール附属棟"</f>
        <v>プール附属棟</v>
      </c>
      <c r="K4340" s="7" t="str">
        <f>"鉄筋コンクリート造"</f>
        <v>鉄筋コンクリート造</v>
      </c>
      <c r="L4340" s="7" t="str">
        <f>"S53.07.10"</f>
        <v>S53.07.10</v>
      </c>
      <c r="M4340" s="7">
        <v>138</v>
      </c>
      <c r="N4340" s="7">
        <v>23884000</v>
      </c>
      <c r="O4340" s="7">
        <v>22698403</v>
      </c>
      <c r="P4340" s="7">
        <v>0</v>
      </c>
      <c r="Q4340" s="7" t="str">
        <f t="shared" si="1538"/>
        <v>教育庁</v>
      </c>
      <c r="R4340" s="7" t="str">
        <f t="shared" si="1548"/>
        <v>施設財務課</v>
      </c>
    </row>
    <row r="4341" spans="1:18" s="1" customFormat="1" x14ac:dyDescent="0.45">
      <c r="A4341" s="7" t="str">
        <f t="shared" si="1549"/>
        <v>10430000000</v>
      </c>
      <c r="B4341" s="7" t="str">
        <f t="shared" si="1550"/>
        <v>柏原東高等学校</v>
      </c>
      <c r="C4341" s="7" t="str">
        <f t="shared" si="1537"/>
        <v>行政財産</v>
      </c>
      <c r="D4341" s="7" t="str">
        <f t="shared" si="1543"/>
        <v>学校</v>
      </c>
      <c r="E4341" s="7" t="str">
        <f t="shared" si="1551"/>
        <v>大阪府柏原市大字高井田</v>
      </c>
      <c r="F4341" s="7"/>
      <c r="G4341" s="7" t="str">
        <f t="shared" si="1536"/>
        <v>事業用資産</v>
      </c>
      <c r="H4341" s="7" t="str">
        <f t="shared" si="1530"/>
        <v>棚卸以外</v>
      </c>
      <c r="I4341" s="7">
        <v>7</v>
      </c>
      <c r="J4341" s="7" t="str">
        <f>"体育館"</f>
        <v>体育館</v>
      </c>
      <c r="K4341" s="7" t="str">
        <f>"鉄筋コンクリート造"</f>
        <v>鉄筋コンクリート造</v>
      </c>
      <c r="L4341" s="7" t="str">
        <f>"S53.11.10"</f>
        <v>S53.11.10</v>
      </c>
      <c r="M4341" s="7">
        <v>3059.07</v>
      </c>
      <c r="N4341" s="7">
        <v>427370382</v>
      </c>
      <c r="O4341" s="7">
        <v>354329636</v>
      </c>
      <c r="P4341" s="7">
        <v>0</v>
      </c>
      <c r="Q4341" s="7" t="str">
        <f t="shared" si="1538"/>
        <v>教育庁</v>
      </c>
      <c r="R4341" s="7" t="str">
        <f t="shared" si="1548"/>
        <v>施設財務課</v>
      </c>
    </row>
    <row r="4342" spans="1:18" s="1" customFormat="1" x14ac:dyDescent="0.45">
      <c r="A4342" s="7" t="str">
        <f t="shared" si="1549"/>
        <v>10430000000</v>
      </c>
      <c r="B4342" s="7" t="str">
        <f t="shared" si="1550"/>
        <v>柏原東高等学校</v>
      </c>
      <c r="C4342" s="7" t="str">
        <f t="shared" si="1537"/>
        <v>行政財産</v>
      </c>
      <c r="D4342" s="7" t="str">
        <f t="shared" si="1543"/>
        <v>学校</v>
      </c>
      <c r="E4342" s="7" t="str">
        <f t="shared" si="1551"/>
        <v>大阪府柏原市大字高井田</v>
      </c>
      <c r="F4342" s="7"/>
      <c r="G4342" s="7" t="str">
        <f t="shared" si="1536"/>
        <v>事業用資産</v>
      </c>
      <c r="H4342" s="7" t="str">
        <f t="shared" si="1530"/>
        <v>棚卸以外</v>
      </c>
      <c r="I4342" s="7">
        <v>8</v>
      </c>
      <c r="J4342" s="7" t="str">
        <f>"体育館渡り廊下"</f>
        <v>体育館渡り廊下</v>
      </c>
      <c r="K4342" s="7" t="str">
        <f>"鉄骨造"</f>
        <v>鉄骨造</v>
      </c>
      <c r="L4342" s="7" t="str">
        <f>"S53.11.10"</f>
        <v>S53.11.10</v>
      </c>
      <c r="M4342" s="7">
        <v>53.68</v>
      </c>
      <c r="N4342" s="7">
        <v>14904580</v>
      </c>
      <c r="O4342" s="7">
        <v>14839203</v>
      </c>
      <c r="P4342" s="7">
        <v>0</v>
      </c>
      <c r="Q4342" s="7" t="str">
        <f t="shared" si="1538"/>
        <v>教育庁</v>
      </c>
      <c r="R4342" s="7" t="str">
        <f t="shared" si="1548"/>
        <v>施設財務課</v>
      </c>
    </row>
    <row r="4343" spans="1:18" s="1" customFormat="1" x14ac:dyDescent="0.45">
      <c r="A4343" s="7" t="str">
        <f t="shared" si="1549"/>
        <v>10430000000</v>
      </c>
      <c r="B4343" s="7" t="str">
        <f t="shared" si="1550"/>
        <v>柏原東高等学校</v>
      </c>
      <c r="C4343" s="7" t="str">
        <f t="shared" si="1537"/>
        <v>行政財産</v>
      </c>
      <c r="D4343" s="7" t="str">
        <f t="shared" si="1543"/>
        <v>学校</v>
      </c>
      <c r="E4343" s="7" t="str">
        <f t="shared" si="1551"/>
        <v>大阪府柏原市大字高井田</v>
      </c>
      <c r="F4343" s="7"/>
      <c r="G4343" s="7" t="str">
        <f t="shared" si="1536"/>
        <v>事業用資産</v>
      </c>
      <c r="H4343" s="7" t="str">
        <f t="shared" si="1530"/>
        <v>棚卸以外</v>
      </c>
      <c r="I4343" s="7">
        <v>9</v>
      </c>
      <c r="J4343" s="7" t="str">
        <f>"倉庫"</f>
        <v>倉庫</v>
      </c>
      <c r="K4343" s="7" t="str">
        <f>"鉄骨造"</f>
        <v>鉄骨造</v>
      </c>
      <c r="L4343" s="7" t="str">
        <f>"S53.11.10"</f>
        <v>S53.11.10</v>
      </c>
      <c r="M4343" s="7">
        <v>100</v>
      </c>
      <c r="N4343" s="7">
        <v>6215000</v>
      </c>
      <c r="O4343" s="7">
        <v>6214999</v>
      </c>
      <c r="P4343" s="7">
        <v>0</v>
      </c>
      <c r="Q4343" s="7" t="str">
        <f t="shared" si="1538"/>
        <v>教育庁</v>
      </c>
      <c r="R4343" s="7" t="str">
        <f t="shared" si="1548"/>
        <v>施設財務課</v>
      </c>
    </row>
    <row r="4344" spans="1:18" s="1" customFormat="1" x14ac:dyDescent="0.45">
      <c r="A4344" s="7" t="str">
        <f t="shared" si="1549"/>
        <v>10430000000</v>
      </c>
      <c r="B4344" s="7" t="str">
        <f t="shared" si="1550"/>
        <v>柏原東高等学校</v>
      </c>
      <c r="C4344" s="7" t="str">
        <f t="shared" si="1537"/>
        <v>行政財産</v>
      </c>
      <c r="D4344" s="7" t="str">
        <f t="shared" si="1543"/>
        <v>学校</v>
      </c>
      <c r="E4344" s="7" t="str">
        <f t="shared" si="1551"/>
        <v>大阪府柏原市大字高井田</v>
      </c>
      <c r="F4344" s="7"/>
      <c r="G4344" s="7" t="str">
        <f t="shared" si="1536"/>
        <v>事業用資産</v>
      </c>
      <c r="H4344" s="7" t="str">
        <f t="shared" si="1530"/>
        <v>棚卸以外</v>
      </c>
      <c r="I4344" s="7">
        <v>10</v>
      </c>
      <c r="J4344" s="7" t="str">
        <f>"体育倉庫"</f>
        <v>体育倉庫</v>
      </c>
      <c r="K4344" s="7" t="str">
        <f>"レンガ、石積造"</f>
        <v>レンガ、石積造</v>
      </c>
      <c r="L4344" s="7" t="str">
        <f>"S53.12.04"</f>
        <v>S53.12.04</v>
      </c>
      <c r="M4344" s="7">
        <v>15.19</v>
      </c>
      <c r="N4344" s="7">
        <v>770000</v>
      </c>
      <c r="O4344" s="7">
        <v>769999</v>
      </c>
      <c r="P4344" s="7">
        <v>0</v>
      </c>
      <c r="Q4344" s="7" t="str">
        <f t="shared" si="1538"/>
        <v>教育庁</v>
      </c>
      <c r="R4344" s="7" t="str">
        <f t="shared" si="1548"/>
        <v>施設財務課</v>
      </c>
    </row>
    <row r="4345" spans="1:18" s="1" customFormat="1" x14ac:dyDescent="0.45">
      <c r="A4345" s="7" t="str">
        <f t="shared" si="1549"/>
        <v>10430000000</v>
      </c>
      <c r="B4345" s="7" t="str">
        <f t="shared" si="1550"/>
        <v>柏原東高等学校</v>
      </c>
      <c r="C4345" s="7" t="str">
        <f t="shared" si="1537"/>
        <v>行政財産</v>
      </c>
      <c r="D4345" s="7" t="str">
        <f t="shared" si="1543"/>
        <v>学校</v>
      </c>
      <c r="E4345" s="7" t="str">
        <f t="shared" si="1551"/>
        <v>大阪府柏原市大字高井田</v>
      </c>
      <c r="F4345" s="7"/>
      <c r="G4345" s="7" t="str">
        <f t="shared" si="1536"/>
        <v>事業用資産</v>
      </c>
      <c r="H4345" s="7" t="str">
        <f t="shared" si="1530"/>
        <v>棚卸以外</v>
      </c>
      <c r="I4345" s="7">
        <v>11</v>
      </c>
      <c r="J4345" s="7" t="str">
        <f>"ソウコ"</f>
        <v>ソウコ</v>
      </c>
      <c r="K4345" s="7" t="str">
        <f>"鉄骨造"</f>
        <v>鉄骨造</v>
      </c>
      <c r="L4345" s="7" t="str">
        <f>"S57.12.13"</f>
        <v>S57.12.13</v>
      </c>
      <c r="M4345" s="7">
        <v>103.48</v>
      </c>
      <c r="N4345" s="7">
        <v>3150000</v>
      </c>
      <c r="O4345" s="7">
        <v>3149999</v>
      </c>
      <c r="P4345" s="7">
        <v>0</v>
      </c>
      <c r="Q4345" s="7" t="str">
        <f t="shared" si="1538"/>
        <v>教育庁</v>
      </c>
      <c r="R4345" s="7" t="str">
        <f t="shared" si="1548"/>
        <v>施設財務課</v>
      </c>
    </row>
    <row r="4346" spans="1:18" s="1" customFormat="1" x14ac:dyDescent="0.45">
      <c r="A4346" s="7" t="str">
        <f t="shared" si="1549"/>
        <v>10430000000</v>
      </c>
      <c r="B4346" s="7" t="str">
        <f t="shared" si="1550"/>
        <v>柏原東高等学校</v>
      </c>
      <c r="C4346" s="7" t="str">
        <f t="shared" si="1537"/>
        <v>行政財産</v>
      </c>
      <c r="D4346" s="7" t="str">
        <f t="shared" si="1543"/>
        <v>学校</v>
      </c>
      <c r="E4346" s="7" t="str">
        <f t="shared" si="1551"/>
        <v>大阪府柏原市大字高井田</v>
      </c>
      <c r="F4346" s="7"/>
      <c r="G4346" s="7" t="str">
        <f t="shared" si="1536"/>
        <v>事業用資産</v>
      </c>
      <c r="H4346" s="7" t="str">
        <f t="shared" si="1530"/>
        <v>棚卸以外</v>
      </c>
      <c r="I4346" s="7">
        <v>12</v>
      </c>
      <c r="J4346" s="7" t="str">
        <f>"倉庫（陶芸釜）"</f>
        <v>倉庫（陶芸釜）</v>
      </c>
      <c r="K4346" s="7" t="str">
        <f>"コンクリートブロック造"</f>
        <v>コンクリートブロック造</v>
      </c>
      <c r="L4346" s="7" t="str">
        <f>"S55.06.16"</f>
        <v>S55.06.16</v>
      </c>
      <c r="M4346" s="7">
        <v>12.39</v>
      </c>
      <c r="N4346" s="7">
        <v>576000</v>
      </c>
      <c r="O4346" s="7">
        <v>575999</v>
      </c>
      <c r="P4346" s="7">
        <v>0</v>
      </c>
      <c r="Q4346" s="7" t="str">
        <f t="shared" si="1538"/>
        <v>教育庁</v>
      </c>
      <c r="R4346" s="7" t="str">
        <f t="shared" si="1548"/>
        <v>施設財務課</v>
      </c>
    </row>
    <row r="4347" spans="1:18" s="1" customFormat="1" x14ac:dyDescent="0.45">
      <c r="A4347" s="7" t="str">
        <f t="shared" ref="A4347:A4356" si="1552">"10437000000"</f>
        <v>10437000000</v>
      </c>
      <c r="B4347" s="7" t="str">
        <f t="shared" ref="B4347:B4356" si="1553">"長野北高等学校"</f>
        <v>長野北高等学校</v>
      </c>
      <c r="C4347" s="7" t="str">
        <f t="shared" si="1537"/>
        <v>行政財産</v>
      </c>
      <c r="D4347" s="7" t="str">
        <f t="shared" si="1543"/>
        <v>学校</v>
      </c>
      <c r="E4347" s="7" t="str">
        <f t="shared" ref="E4347:E4356" si="1554">"大阪府河内長野市木戸東町"</f>
        <v>大阪府河内長野市木戸東町</v>
      </c>
      <c r="F4347" s="7"/>
      <c r="G4347" s="7" t="str">
        <f t="shared" si="1536"/>
        <v>事業用資産</v>
      </c>
      <c r="H4347" s="7" t="str">
        <f t="shared" si="1530"/>
        <v>棚卸以外</v>
      </c>
      <c r="I4347" s="7">
        <v>1</v>
      </c>
      <c r="J4347" s="7" t="str">
        <f>"本館"</f>
        <v>本館</v>
      </c>
      <c r="K4347" s="7" t="str">
        <f>"鉄骨造"</f>
        <v>鉄骨造</v>
      </c>
      <c r="L4347" s="7" t="str">
        <f>"S49.03.28"</f>
        <v>S49.03.28</v>
      </c>
      <c r="M4347" s="7">
        <v>11015.23</v>
      </c>
      <c r="N4347" s="7">
        <v>512585683</v>
      </c>
      <c r="O4347" s="7">
        <v>450750477</v>
      </c>
      <c r="P4347" s="7">
        <v>0</v>
      </c>
      <c r="Q4347" s="7" t="str">
        <f t="shared" si="1538"/>
        <v>教育庁</v>
      </c>
      <c r="R4347" s="7" t="str">
        <f t="shared" si="1548"/>
        <v>施設財務課</v>
      </c>
    </row>
    <row r="4348" spans="1:18" s="1" customFormat="1" x14ac:dyDescent="0.45">
      <c r="A4348" s="7" t="str">
        <f t="shared" si="1552"/>
        <v>10437000000</v>
      </c>
      <c r="B4348" s="7" t="str">
        <f t="shared" si="1553"/>
        <v>長野北高等学校</v>
      </c>
      <c r="C4348" s="7" t="str">
        <f t="shared" si="1537"/>
        <v>行政財産</v>
      </c>
      <c r="D4348" s="7" t="str">
        <f t="shared" si="1543"/>
        <v>学校</v>
      </c>
      <c r="E4348" s="7" t="str">
        <f t="shared" si="1554"/>
        <v>大阪府河内長野市木戸東町</v>
      </c>
      <c r="F4348" s="7"/>
      <c r="G4348" s="7" t="str">
        <f t="shared" si="1536"/>
        <v>事業用資産</v>
      </c>
      <c r="H4348" s="7" t="str">
        <f t="shared" si="1530"/>
        <v>棚卸以外</v>
      </c>
      <c r="I4348" s="7">
        <v>2</v>
      </c>
      <c r="J4348" s="7" t="str">
        <f>"設備棟"</f>
        <v>設備棟</v>
      </c>
      <c r="K4348" s="7" t="str">
        <f>"鉄筋コンクリート造"</f>
        <v>鉄筋コンクリート造</v>
      </c>
      <c r="L4348" s="7" t="str">
        <f>"S49.03.28"</f>
        <v>S49.03.28</v>
      </c>
      <c r="M4348" s="7">
        <v>91.26</v>
      </c>
      <c r="N4348" s="7">
        <v>29325510</v>
      </c>
      <c r="O4348" s="7">
        <v>21204471</v>
      </c>
      <c r="P4348" s="7">
        <v>0</v>
      </c>
      <c r="Q4348" s="7" t="str">
        <f t="shared" si="1538"/>
        <v>教育庁</v>
      </c>
      <c r="R4348" s="7" t="str">
        <f t="shared" si="1548"/>
        <v>施設財務課</v>
      </c>
    </row>
    <row r="4349" spans="1:18" s="1" customFormat="1" x14ac:dyDescent="0.45">
      <c r="A4349" s="7" t="str">
        <f t="shared" si="1552"/>
        <v>10437000000</v>
      </c>
      <c r="B4349" s="7" t="str">
        <f t="shared" si="1553"/>
        <v>長野北高等学校</v>
      </c>
      <c r="C4349" s="7" t="str">
        <f t="shared" si="1537"/>
        <v>行政財産</v>
      </c>
      <c r="D4349" s="7" t="str">
        <f t="shared" si="1543"/>
        <v>学校</v>
      </c>
      <c r="E4349" s="7" t="str">
        <f t="shared" si="1554"/>
        <v>大阪府河内長野市木戸東町</v>
      </c>
      <c r="F4349" s="7"/>
      <c r="G4349" s="7" t="str">
        <f t="shared" si="1536"/>
        <v>事業用資産</v>
      </c>
      <c r="H4349" s="7" t="str">
        <f t="shared" si="1530"/>
        <v>棚卸以外</v>
      </c>
      <c r="I4349" s="7">
        <v>5</v>
      </c>
      <c r="J4349" s="7" t="str">
        <f>"プロパン庫"</f>
        <v>プロパン庫</v>
      </c>
      <c r="K4349" s="7" t="str">
        <f>"コンクリートブロック造"</f>
        <v>コンクリートブロック造</v>
      </c>
      <c r="L4349" s="7" t="str">
        <f>"S49.03.28"</f>
        <v>S49.03.28</v>
      </c>
      <c r="M4349" s="7">
        <v>13.04</v>
      </c>
      <c r="N4349" s="7">
        <v>619000</v>
      </c>
      <c r="O4349" s="7">
        <v>618999</v>
      </c>
      <c r="P4349" s="7">
        <v>0</v>
      </c>
      <c r="Q4349" s="7" t="str">
        <f t="shared" si="1538"/>
        <v>教育庁</v>
      </c>
      <c r="R4349" s="7" t="str">
        <f t="shared" si="1548"/>
        <v>施設財務課</v>
      </c>
    </row>
    <row r="4350" spans="1:18" s="1" customFormat="1" x14ac:dyDescent="0.45">
      <c r="A4350" s="7" t="str">
        <f t="shared" si="1552"/>
        <v>10437000000</v>
      </c>
      <c r="B4350" s="7" t="str">
        <f t="shared" si="1553"/>
        <v>長野北高等学校</v>
      </c>
      <c r="C4350" s="7" t="str">
        <f t="shared" si="1537"/>
        <v>行政財産</v>
      </c>
      <c r="D4350" s="7" t="str">
        <f t="shared" si="1543"/>
        <v>学校</v>
      </c>
      <c r="E4350" s="7" t="str">
        <f t="shared" si="1554"/>
        <v>大阪府河内長野市木戸東町</v>
      </c>
      <c r="F4350" s="7"/>
      <c r="G4350" s="7" t="str">
        <f t="shared" si="1536"/>
        <v>事業用資産</v>
      </c>
      <c r="H4350" s="7" t="str">
        <f t="shared" si="1530"/>
        <v>棚卸以外</v>
      </c>
      <c r="I4350" s="7">
        <v>6</v>
      </c>
      <c r="J4350" s="7" t="str">
        <f>"自転車置場"</f>
        <v>自転車置場</v>
      </c>
      <c r="K4350" s="7" t="str">
        <f>"鉄骨造"</f>
        <v>鉄骨造</v>
      </c>
      <c r="L4350" s="7" t="str">
        <f>"S49.03.28"</f>
        <v>S49.03.28</v>
      </c>
      <c r="M4350" s="7">
        <v>112.51</v>
      </c>
      <c r="N4350" s="7">
        <v>2406000</v>
      </c>
      <c r="O4350" s="7">
        <v>2405999</v>
      </c>
      <c r="P4350" s="7">
        <v>0</v>
      </c>
      <c r="Q4350" s="7" t="str">
        <f t="shared" si="1538"/>
        <v>教育庁</v>
      </c>
      <c r="R4350" s="7" t="str">
        <f t="shared" si="1548"/>
        <v>施設財務課</v>
      </c>
    </row>
    <row r="4351" spans="1:18" s="1" customFormat="1" x14ac:dyDescent="0.45">
      <c r="A4351" s="7" t="str">
        <f t="shared" si="1552"/>
        <v>10437000000</v>
      </c>
      <c r="B4351" s="7" t="str">
        <f t="shared" si="1553"/>
        <v>長野北高等学校</v>
      </c>
      <c r="C4351" s="7" t="str">
        <f t="shared" si="1537"/>
        <v>行政財産</v>
      </c>
      <c r="D4351" s="7" t="str">
        <f t="shared" si="1543"/>
        <v>学校</v>
      </c>
      <c r="E4351" s="7" t="str">
        <f t="shared" si="1554"/>
        <v>大阪府河内長野市木戸東町</v>
      </c>
      <c r="F4351" s="7"/>
      <c r="G4351" s="7" t="str">
        <f t="shared" si="1536"/>
        <v>事業用資産</v>
      </c>
      <c r="H4351" s="7" t="str">
        <f t="shared" si="1530"/>
        <v>棚卸以外</v>
      </c>
      <c r="I4351" s="7">
        <v>7</v>
      </c>
      <c r="J4351" s="7" t="str">
        <f>"自転車置場"</f>
        <v>自転車置場</v>
      </c>
      <c r="K4351" s="7" t="str">
        <f>"鉄骨造"</f>
        <v>鉄骨造</v>
      </c>
      <c r="L4351" s="7" t="str">
        <f>"S50.02.28"</f>
        <v>S50.02.28</v>
      </c>
      <c r="M4351" s="7">
        <v>67.5</v>
      </c>
      <c r="N4351" s="7">
        <v>1509429</v>
      </c>
      <c r="O4351" s="7">
        <v>1509428</v>
      </c>
      <c r="P4351" s="7">
        <v>0</v>
      </c>
      <c r="Q4351" s="7" t="str">
        <f t="shared" si="1538"/>
        <v>教育庁</v>
      </c>
      <c r="R4351" s="7" t="str">
        <f t="shared" si="1548"/>
        <v>施設財務課</v>
      </c>
    </row>
    <row r="4352" spans="1:18" s="1" customFormat="1" x14ac:dyDescent="0.45">
      <c r="A4352" s="7" t="str">
        <f t="shared" si="1552"/>
        <v>10437000000</v>
      </c>
      <c r="B4352" s="7" t="str">
        <f t="shared" si="1553"/>
        <v>長野北高等学校</v>
      </c>
      <c r="C4352" s="7" t="str">
        <f t="shared" si="1537"/>
        <v>行政財産</v>
      </c>
      <c r="D4352" s="7" t="str">
        <f t="shared" si="1543"/>
        <v>学校</v>
      </c>
      <c r="E4352" s="7" t="str">
        <f t="shared" si="1554"/>
        <v>大阪府河内長野市木戸東町</v>
      </c>
      <c r="F4352" s="7"/>
      <c r="G4352" s="7" t="str">
        <f t="shared" si="1536"/>
        <v>事業用資産</v>
      </c>
      <c r="H4352" s="7" t="str">
        <f t="shared" si="1530"/>
        <v>棚卸以外</v>
      </c>
      <c r="I4352" s="7">
        <v>8</v>
      </c>
      <c r="J4352" s="7" t="str">
        <f>"体育館"</f>
        <v>体育館</v>
      </c>
      <c r="K4352" s="7" t="str">
        <f>"鉄筋コンクリート造"</f>
        <v>鉄筋コンクリート造</v>
      </c>
      <c r="L4352" s="7" t="str">
        <f>"S50.06.30"</f>
        <v>S50.06.30</v>
      </c>
      <c r="M4352" s="7">
        <v>3139</v>
      </c>
      <c r="N4352" s="7">
        <v>292294111</v>
      </c>
      <c r="O4352" s="7">
        <v>275464764</v>
      </c>
      <c r="P4352" s="7">
        <v>0</v>
      </c>
      <c r="Q4352" s="7" t="str">
        <f t="shared" si="1538"/>
        <v>教育庁</v>
      </c>
      <c r="R4352" s="7" t="str">
        <f t="shared" si="1548"/>
        <v>施設財務課</v>
      </c>
    </row>
    <row r="4353" spans="1:18" s="1" customFormat="1" x14ac:dyDescent="0.45">
      <c r="A4353" s="7" t="str">
        <f t="shared" si="1552"/>
        <v>10437000000</v>
      </c>
      <c r="B4353" s="7" t="str">
        <f t="shared" si="1553"/>
        <v>長野北高等学校</v>
      </c>
      <c r="C4353" s="7" t="str">
        <f t="shared" si="1537"/>
        <v>行政財産</v>
      </c>
      <c r="D4353" s="7" t="str">
        <f t="shared" si="1543"/>
        <v>学校</v>
      </c>
      <c r="E4353" s="7" t="str">
        <f t="shared" si="1554"/>
        <v>大阪府河内長野市木戸東町</v>
      </c>
      <c r="F4353" s="7"/>
      <c r="G4353" s="7" t="str">
        <f t="shared" si="1536"/>
        <v>事業用資産</v>
      </c>
      <c r="H4353" s="7" t="str">
        <f t="shared" si="1530"/>
        <v>棚卸以外</v>
      </c>
      <c r="I4353" s="7">
        <v>9</v>
      </c>
      <c r="J4353" s="7" t="str">
        <f>"プール附属棟"</f>
        <v>プール附属棟</v>
      </c>
      <c r="K4353" s="7" t="str">
        <f>"コンクリートブロック造"</f>
        <v>コンクリートブロック造</v>
      </c>
      <c r="L4353" s="7" t="str">
        <f>"S50.08.31"</f>
        <v>S50.08.31</v>
      </c>
      <c r="M4353" s="7">
        <v>138</v>
      </c>
      <c r="N4353" s="7">
        <v>29915000</v>
      </c>
      <c r="O4353" s="7">
        <v>29914999</v>
      </c>
      <c r="P4353" s="7">
        <v>0</v>
      </c>
      <c r="Q4353" s="7" t="str">
        <f t="shared" si="1538"/>
        <v>教育庁</v>
      </c>
      <c r="R4353" s="7" t="str">
        <f t="shared" si="1548"/>
        <v>施設財務課</v>
      </c>
    </row>
    <row r="4354" spans="1:18" s="1" customFormat="1" x14ac:dyDescent="0.45">
      <c r="A4354" s="7" t="str">
        <f t="shared" si="1552"/>
        <v>10437000000</v>
      </c>
      <c r="B4354" s="7" t="str">
        <f t="shared" si="1553"/>
        <v>長野北高等学校</v>
      </c>
      <c r="C4354" s="7" t="str">
        <f t="shared" si="1537"/>
        <v>行政財産</v>
      </c>
      <c r="D4354" s="7" t="str">
        <f t="shared" si="1543"/>
        <v>学校</v>
      </c>
      <c r="E4354" s="7" t="str">
        <f t="shared" si="1554"/>
        <v>大阪府河内長野市木戸東町</v>
      </c>
      <c r="F4354" s="7"/>
      <c r="G4354" s="7" t="str">
        <f t="shared" si="1536"/>
        <v>事業用資産</v>
      </c>
      <c r="H4354" s="7" t="str">
        <f t="shared" si="1530"/>
        <v>棚卸以外</v>
      </c>
      <c r="I4354" s="7">
        <v>13</v>
      </c>
      <c r="J4354" s="7" t="str">
        <f>"クラブ室"</f>
        <v>クラブ室</v>
      </c>
      <c r="K4354" s="7" t="str">
        <f>"鉄骨造"</f>
        <v>鉄骨造</v>
      </c>
      <c r="L4354" s="7" t="str">
        <f>"H18.03.31"</f>
        <v>H18.03.31</v>
      </c>
      <c r="M4354" s="7">
        <v>100</v>
      </c>
      <c r="N4354" s="7">
        <v>12066000</v>
      </c>
      <c r="O4354" s="7">
        <v>6033096</v>
      </c>
      <c r="P4354" s="7">
        <v>0</v>
      </c>
      <c r="Q4354" s="7" t="str">
        <f t="shared" si="1538"/>
        <v>教育庁</v>
      </c>
      <c r="R4354" s="7" t="str">
        <f t="shared" si="1548"/>
        <v>施設財務課</v>
      </c>
    </row>
    <row r="4355" spans="1:18" s="1" customFormat="1" x14ac:dyDescent="0.45">
      <c r="A4355" s="7" t="str">
        <f t="shared" si="1552"/>
        <v>10437000000</v>
      </c>
      <c r="B4355" s="7" t="str">
        <f t="shared" si="1553"/>
        <v>長野北高等学校</v>
      </c>
      <c r="C4355" s="7" t="str">
        <f t="shared" si="1537"/>
        <v>行政財産</v>
      </c>
      <c r="D4355" s="7" t="str">
        <f t="shared" si="1543"/>
        <v>学校</v>
      </c>
      <c r="E4355" s="7" t="str">
        <f t="shared" si="1554"/>
        <v>大阪府河内長野市木戸東町</v>
      </c>
      <c r="F4355" s="7"/>
      <c r="G4355" s="7" t="str">
        <f t="shared" si="1536"/>
        <v>事業用資産</v>
      </c>
      <c r="H4355" s="7" t="str">
        <f t="shared" si="1530"/>
        <v>棚卸以外</v>
      </c>
      <c r="I4355" s="7">
        <v>14</v>
      </c>
      <c r="J4355" s="7" t="str">
        <f>"エレベータ棟"</f>
        <v>エレベータ棟</v>
      </c>
      <c r="K4355" s="7" t="str">
        <f>"鉄骨造"</f>
        <v>鉄骨造</v>
      </c>
      <c r="L4355" s="7" t="str">
        <f>"H18.03.31"</f>
        <v>H18.03.31</v>
      </c>
      <c r="M4355" s="7">
        <v>44.4</v>
      </c>
      <c r="N4355" s="7">
        <v>16577000</v>
      </c>
      <c r="O4355" s="7">
        <v>9090648</v>
      </c>
      <c r="P4355" s="7">
        <v>0</v>
      </c>
      <c r="Q4355" s="7" t="str">
        <f t="shared" si="1538"/>
        <v>教育庁</v>
      </c>
      <c r="R4355" s="7" t="str">
        <f t="shared" si="1548"/>
        <v>施設財務課</v>
      </c>
    </row>
    <row r="4356" spans="1:18" s="1" customFormat="1" x14ac:dyDescent="0.45">
      <c r="A4356" s="7" t="str">
        <f t="shared" si="1552"/>
        <v>10437000000</v>
      </c>
      <c r="B4356" s="7" t="str">
        <f t="shared" si="1553"/>
        <v>長野北高等学校</v>
      </c>
      <c r="C4356" s="7" t="str">
        <f t="shared" si="1537"/>
        <v>行政財産</v>
      </c>
      <c r="D4356" s="7" t="str">
        <f t="shared" si="1543"/>
        <v>学校</v>
      </c>
      <c r="E4356" s="7" t="str">
        <f t="shared" si="1554"/>
        <v>大阪府河内長野市木戸東町</v>
      </c>
      <c r="F4356" s="7"/>
      <c r="G4356" s="7" t="str">
        <f t="shared" si="1536"/>
        <v>事業用資産</v>
      </c>
      <c r="H4356" s="7" t="str">
        <f t="shared" ref="H4356:H4419" si="1555">"棚卸以外"</f>
        <v>棚卸以外</v>
      </c>
      <c r="I4356" s="7">
        <v>15</v>
      </c>
      <c r="J4356" s="7" t="str">
        <f>"温室"</f>
        <v>温室</v>
      </c>
      <c r="K4356" s="7" t="str">
        <f>"軽量鉄骨造"</f>
        <v>軽量鉄骨造</v>
      </c>
      <c r="L4356" s="7" t="str">
        <f>"H16.01.06"</f>
        <v>H16.01.06</v>
      </c>
      <c r="M4356" s="7">
        <v>10.36</v>
      </c>
      <c r="N4356" s="7">
        <v>835000</v>
      </c>
      <c r="O4356" s="7">
        <v>568375</v>
      </c>
      <c r="P4356" s="7">
        <v>0</v>
      </c>
      <c r="Q4356" s="7" t="str">
        <f t="shared" si="1538"/>
        <v>教育庁</v>
      </c>
      <c r="R4356" s="7" t="str">
        <f t="shared" si="1548"/>
        <v>施設財務課</v>
      </c>
    </row>
    <row r="4357" spans="1:18" s="1" customFormat="1" x14ac:dyDescent="0.45">
      <c r="A4357" s="7" t="str">
        <f t="shared" ref="A4357:A4363" si="1556">"10489000000"</f>
        <v>10489000000</v>
      </c>
      <c r="B4357" s="7" t="str">
        <f t="shared" ref="B4357:B4363" si="1557">"咲洲高等学校"</f>
        <v>咲洲高等学校</v>
      </c>
      <c r="C4357" s="7" t="str">
        <f t="shared" si="1537"/>
        <v>行政財産</v>
      </c>
      <c r="D4357" s="7" t="str">
        <f t="shared" si="1543"/>
        <v>学校</v>
      </c>
      <c r="E4357" s="7" t="str">
        <f t="shared" ref="E4357:E4363" si="1558">"大阪府大阪市　住之江区南港中４丁目"</f>
        <v>大阪府大阪市　住之江区南港中４丁目</v>
      </c>
      <c r="F4357" s="7"/>
      <c r="G4357" s="7" t="str">
        <f t="shared" si="1536"/>
        <v>事業用資産</v>
      </c>
      <c r="H4357" s="7" t="str">
        <f t="shared" si="1555"/>
        <v>棚卸以外</v>
      </c>
      <c r="I4357" s="7">
        <v>1</v>
      </c>
      <c r="J4357" s="7" t="str">
        <f>"本館"</f>
        <v>本館</v>
      </c>
      <c r="K4357" s="7" t="str">
        <f>"鉄骨造"</f>
        <v>鉄骨造</v>
      </c>
      <c r="L4357" s="7" t="str">
        <f>"S52.03.28"</f>
        <v>S52.03.28</v>
      </c>
      <c r="M4357" s="7">
        <v>11014.57</v>
      </c>
      <c r="N4357" s="7">
        <v>1407954652</v>
      </c>
      <c r="O4357" s="7">
        <v>1341158970</v>
      </c>
      <c r="P4357" s="7">
        <v>0</v>
      </c>
      <c r="Q4357" s="7" t="str">
        <f t="shared" si="1538"/>
        <v>教育庁</v>
      </c>
      <c r="R4357" s="7" t="str">
        <f t="shared" si="1548"/>
        <v>施設財務課</v>
      </c>
    </row>
    <row r="4358" spans="1:18" s="1" customFormat="1" x14ac:dyDescent="0.45">
      <c r="A4358" s="7" t="str">
        <f t="shared" si="1556"/>
        <v>10489000000</v>
      </c>
      <c r="B4358" s="7" t="str">
        <f t="shared" si="1557"/>
        <v>咲洲高等学校</v>
      </c>
      <c r="C4358" s="7" t="str">
        <f t="shared" si="1537"/>
        <v>行政財産</v>
      </c>
      <c r="D4358" s="7" t="str">
        <f t="shared" si="1543"/>
        <v>学校</v>
      </c>
      <c r="E4358" s="7" t="str">
        <f t="shared" si="1558"/>
        <v>大阪府大阪市　住之江区南港中４丁目</v>
      </c>
      <c r="F4358" s="7"/>
      <c r="G4358" s="7" t="str">
        <f t="shared" si="1536"/>
        <v>事業用資産</v>
      </c>
      <c r="H4358" s="7" t="str">
        <f t="shared" si="1555"/>
        <v>棚卸以外</v>
      </c>
      <c r="I4358" s="7">
        <v>2</v>
      </c>
      <c r="J4358" s="7" t="str">
        <f>"電気室"</f>
        <v>電気室</v>
      </c>
      <c r="K4358" s="7" t="str">
        <f>"鉄筋コンクリート造"</f>
        <v>鉄筋コンクリート造</v>
      </c>
      <c r="L4358" s="7" t="str">
        <f>"S52.03.31"</f>
        <v>S52.03.31</v>
      </c>
      <c r="M4358" s="7">
        <v>31.92</v>
      </c>
      <c r="N4358" s="7">
        <v>14106000</v>
      </c>
      <c r="O4358" s="7">
        <v>14105999</v>
      </c>
      <c r="P4358" s="7">
        <v>0</v>
      </c>
      <c r="Q4358" s="7" t="str">
        <f t="shared" si="1538"/>
        <v>教育庁</v>
      </c>
      <c r="R4358" s="7" t="str">
        <f t="shared" si="1548"/>
        <v>施設財務課</v>
      </c>
    </row>
    <row r="4359" spans="1:18" s="1" customFormat="1" x14ac:dyDescent="0.45">
      <c r="A4359" s="7" t="str">
        <f t="shared" si="1556"/>
        <v>10489000000</v>
      </c>
      <c r="B4359" s="7" t="str">
        <f t="shared" si="1557"/>
        <v>咲洲高等学校</v>
      </c>
      <c r="C4359" s="7" t="str">
        <f t="shared" si="1537"/>
        <v>行政財産</v>
      </c>
      <c r="D4359" s="7" t="str">
        <f t="shared" si="1543"/>
        <v>学校</v>
      </c>
      <c r="E4359" s="7" t="str">
        <f t="shared" si="1558"/>
        <v>大阪府大阪市　住之江区南港中４丁目</v>
      </c>
      <c r="F4359" s="7"/>
      <c r="G4359" s="7" t="str">
        <f t="shared" si="1536"/>
        <v>事業用資産</v>
      </c>
      <c r="H4359" s="7" t="str">
        <f t="shared" si="1555"/>
        <v>棚卸以外</v>
      </c>
      <c r="I4359" s="7">
        <v>3</v>
      </c>
      <c r="J4359" s="7" t="str">
        <f>"倉庫"</f>
        <v>倉庫</v>
      </c>
      <c r="K4359" s="7" t="str">
        <f>"鉄骨造"</f>
        <v>鉄骨造</v>
      </c>
      <c r="L4359" s="7" t="str">
        <f>"S52.03.31"</f>
        <v>S52.03.31</v>
      </c>
      <c r="M4359" s="7">
        <v>50</v>
      </c>
      <c r="N4359" s="7">
        <v>3156000</v>
      </c>
      <c r="O4359" s="7">
        <v>3155999</v>
      </c>
      <c r="P4359" s="7">
        <v>0</v>
      </c>
      <c r="Q4359" s="7" t="str">
        <f t="shared" si="1538"/>
        <v>教育庁</v>
      </c>
      <c r="R4359" s="7" t="str">
        <f t="shared" si="1548"/>
        <v>施設財務課</v>
      </c>
    </row>
    <row r="4360" spans="1:18" s="1" customFormat="1" x14ac:dyDescent="0.45">
      <c r="A4360" s="7" t="str">
        <f t="shared" si="1556"/>
        <v>10489000000</v>
      </c>
      <c r="B4360" s="7" t="str">
        <f t="shared" si="1557"/>
        <v>咲洲高等学校</v>
      </c>
      <c r="C4360" s="7" t="str">
        <f t="shared" si="1537"/>
        <v>行政財産</v>
      </c>
      <c r="D4360" s="7" t="str">
        <f t="shared" si="1543"/>
        <v>学校</v>
      </c>
      <c r="E4360" s="7" t="str">
        <f t="shared" si="1558"/>
        <v>大阪府大阪市　住之江区南港中４丁目</v>
      </c>
      <c r="F4360" s="7"/>
      <c r="G4360" s="7" t="str">
        <f t="shared" si="1536"/>
        <v>事業用資産</v>
      </c>
      <c r="H4360" s="7" t="str">
        <f t="shared" si="1555"/>
        <v>棚卸以外</v>
      </c>
      <c r="I4360" s="7">
        <v>7</v>
      </c>
      <c r="J4360" s="7" t="str">
        <f>"プール附属棟"</f>
        <v>プール附属棟</v>
      </c>
      <c r="K4360" s="7" t="str">
        <f>"鉄筋コンクリート造"</f>
        <v>鉄筋コンクリート造</v>
      </c>
      <c r="L4360" s="7" t="str">
        <f>"S53.06.30"</f>
        <v>S53.06.30</v>
      </c>
      <c r="M4360" s="7">
        <v>138</v>
      </c>
      <c r="N4360" s="7">
        <v>32179000</v>
      </c>
      <c r="O4360" s="7">
        <v>32178999</v>
      </c>
      <c r="P4360" s="7">
        <v>0</v>
      </c>
      <c r="Q4360" s="7" t="str">
        <f t="shared" si="1538"/>
        <v>教育庁</v>
      </c>
      <c r="R4360" s="7" t="str">
        <f t="shared" si="1548"/>
        <v>施設財務課</v>
      </c>
    </row>
    <row r="4361" spans="1:18" s="1" customFormat="1" x14ac:dyDescent="0.45">
      <c r="A4361" s="7" t="str">
        <f t="shared" si="1556"/>
        <v>10489000000</v>
      </c>
      <c r="B4361" s="7" t="str">
        <f t="shared" si="1557"/>
        <v>咲洲高等学校</v>
      </c>
      <c r="C4361" s="7" t="str">
        <f t="shared" si="1537"/>
        <v>行政財産</v>
      </c>
      <c r="D4361" s="7" t="str">
        <f t="shared" si="1543"/>
        <v>学校</v>
      </c>
      <c r="E4361" s="7" t="str">
        <f t="shared" si="1558"/>
        <v>大阪府大阪市　住之江区南港中４丁目</v>
      </c>
      <c r="F4361" s="7"/>
      <c r="G4361" s="7" t="str">
        <f t="shared" si="1536"/>
        <v>事業用資産</v>
      </c>
      <c r="H4361" s="7" t="str">
        <f t="shared" si="1555"/>
        <v>棚卸以外</v>
      </c>
      <c r="I4361" s="7">
        <v>8</v>
      </c>
      <c r="J4361" s="7" t="str">
        <f>"体育館"</f>
        <v>体育館</v>
      </c>
      <c r="K4361" s="7" t="str">
        <f>"鉄筋コンクリート造"</f>
        <v>鉄筋コンクリート造</v>
      </c>
      <c r="L4361" s="7" t="str">
        <f>"S53.09.11"</f>
        <v>S53.09.11</v>
      </c>
      <c r="M4361" s="7">
        <v>2953.9</v>
      </c>
      <c r="N4361" s="7">
        <v>431163500</v>
      </c>
      <c r="O4361" s="7">
        <v>389819048</v>
      </c>
      <c r="P4361" s="7">
        <v>0</v>
      </c>
      <c r="Q4361" s="7" t="str">
        <f t="shared" si="1538"/>
        <v>教育庁</v>
      </c>
      <c r="R4361" s="7" t="str">
        <f t="shared" si="1548"/>
        <v>施設財務課</v>
      </c>
    </row>
    <row r="4362" spans="1:18" s="1" customFormat="1" x14ac:dyDescent="0.45">
      <c r="A4362" s="7" t="str">
        <f t="shared" si="1556"/>
        <v>10489000000</v>
      </c>
      <c r="B4362" s="7" t="str">
        <f t="shared" si="1557"/>
        <v>咲洲高等学校</v>
      </c>
      <c r="C4362" s="7" t="str">
        <f t="shared" si="1537"/>
        <v>行政財産</v>
      </c>
      <c r="D4362" s="7" t="str">
        <f t="shared" si="1543"/>
        <v>学校</v>
      </c>
      <c r="E4362" s="7" t="str">
        <f t="shared" si="1558"/>
        <v>大阪府大阪市　住之江区南港中４丁目</v>
      </c>
      <c r="F4362" s="7"/>
      <c r="G4362" s="7" t="str">
        <f t="shared" si="1536"/>
        <v>事業用資産</v>
      </c>
      <c r="H4362" s="7" t="str">
        <f t="shared" si="1555"/>
        <v>棚卸以外</v>
      </c>
      <c r="I4362" s="7">
        <v>9</v>
      </c>
      <c r="J4362" s="7" t="str">
        <f>"倉庫"</f>
        <v>倉庫</v>
      </c>
      <c r="K4362" s="7" t="str">
        <f>"鉄骨造"</f>
        <v>鉄骨造</v>
      </c>
      <c r="L4362" s="7" t="str">
        <f>"S54.03.31"</f>
        <v>S54.03.31</v>
      </c>
      <c r="M4362" s="7">
        <v>137.5</v>
      </c>
      <c r="N4362" s="7">
        <v>9834000</v>
      </c>
      <c r="O4362" s="7">
        <v>9833999</v>
      </c>
      <c r="P4362" s="7">
        <v>0</v>
      </c>
      <c r="Q4362" s="7" t="str">
        <f t="shared" si="1538"/>
        <v>教育庁</v>
      </c>
      <c r="R4362" s="7" t="str">
        <f t="shared" si="1548"/>
        <v>施設財務課</v>
      </c>
    </row>
    <row r="4363" spans="1:18" s="1" customFormat="1" x14ac:dyDescent="0.45">
      <c r="A4363" s="7" t="str">
        <f t="shared" si="1556"/>
        <v>10489000000</v>
      </c>
      <c r="B4363" s="7" t="str">
        <f t="shared" si="1557"/>
        <v>咲洲高等学校</v>
      </c>
      <c r="C4363" s="7" t="str">
        <f t="shared" si="1537"/>
        <v>行政財産</v>
      </c>
      <c r="D4363" s="7" t="str">
        <f t="shared" si="1543"/>
        <v>学校</v>
      </c>
      <c r="E4363" s="7" t="str">
        <f t="shared" si="1558"/>
        <v>大阪府大阪市　住之江区南港中４丁目</v>
      </c>
      <c r="F4363" s="7"/>
      <c r="G4363" s="7" t="str">
        <f t="shared" si="1536"/>
        <v>事業用資産</v>
      </c>
      <c r="H4363" s="7" t="str">
        <f t="shared" si="1555"/>
        <v>棚卸以外</v>
      </c>
      <c r="I4363" s="7">
        <v>10</v>
      </c>
      <c r="J4363" s="7" t="str">
        <f>"粗大ゴミ置場"</f>
        <v>粗大ゴミ置場</v>
      </c>
      <c r="K4363" s="7" t="str">
        <f>"軽量鉄骨造"</f>
        <v>軽量鉄骨造</v>
      </c>
      <c r="L4363" s="7" t="str">
        <f>"S57.02.10"</f>
        <v>S57.02.10</v>
      </c>
      <c r="M4363" s="7">
        <v>14.35</v>
      </c>
      <c r="N4363" s="7">
        <v>980000</v>
      </c>
      <c r="O4363" s="7">
        <v>979999</v>
      </c>
      <c r="P4363" s="7">
        <v>0</v>
      </c>
      <c r="Q4363" s="7" t="str">
        <f t="shared" si="1538"/>
        <v>教育庁</v>
      </c>
      <c r="R4363" s="7" t="str">
        <f t="shared" si="1548"/>
        <v>施設財務課</v>
      </c>
    </row>
    <row r="4364" spans="1:18" s="1" customFormat="1" x14ac:dyDescent="0.45">
      <c r="A4364" s="7" t="str">
        <f>"10276000095"</f>
        <v>10276000095</v>
      </c>
      <c r="B4364" s="7" t="str">
        <f>"泉佐野勤労青少年研修センター"</f>
        <v>泉佐野勤労青少年研修センター</v>
      </c>
      <c r="C4364" s="7" t="str">
        <f>"普通財産"</f>
        <v>普通財産</v>
      </c>
      <c r="D4364" s="7" t="str">
        <f>"元施設"</f>
        <v>元施設</v>
      </c>
      <c r="E4364" s="7" t="str">
        <f>"大阪府泉佐野市日根野"</f>
        <v>大阪府泉佐野市日根野</v>
      </c>
      <c r="F4364" s="7"/>
      <c r="G4364" s="7" t="str">
        <f t="shared" si="1536"/>
        <v>事業用資産</v>
      </c>
      <c r="H4364" s="7" t="str">
        <f t="shared" si="1555"/>
        <v>棚卸以外</v>
      </c>
      <c r="I4364" s="7">
        <v>1</v>
      </c>
      <c r="J4364" s="7" t="str">
        <f>"本棟"</f>
        <v>本棟</v>
      </c>
      <c r="K4364" s="7" t="str">
        <f>"鉄筋コンクリート造"</f>
        <v>鉄筋コンクリート造</v>
      </c>
      <c r="L4364" s="7" t="str">
        <f>"S53.07.13"</f>
        <v>S53.07.13</v>
      </c>
      <c r="M4364" s="7">
        <v>4884.16</v>
      </c>
      <c r="N4364" s="7">
        <v>908572000</v>
      </c>
      <c r="O4364" s="7">
        <v>908571999</v>
      </c>
      <c r="P4364" s="7">
        <v>0</v>
      </c>
      <c r="Q4364" s="7" t="str">
        <f t="shared" si="1538"/>
        <v>教育庁</v>
      </c>
      <c r="R4364" s="7" t="str">
        <f t="shared" ref="R4364:R4385" si="1559">"文化財保護課"</f>
        <v>文化財保護課</v>
      </c>
    </row>
    <row r="4365" spans="1:18" s="1" customFormat="1" x14ac:dyDescent="0.45">
      <c r="A4365" s="7" t="str">
        <f t="shared" ref="A4365:A4371" si="1560">"10276001004"</f>
        <v>10276001004</v>
      </c>
      <c r="B4365" s="7" t="str">
        <f t="shared" ref="B4365:B4371" si="1561">"大阪府立近つ飛鳥風土記の丘"</f>
        <v>大阪府立近つ飛鳥風土記の丘</v>
      </c>
      <c r="C4365" s="7" t="str">
        <f t="shared" ref="C4365:C4428" si="1562">"行政財産"</f>
        <v>行政財産</v>
      </c>
      <c r="D4365" s="7" t="str">
        <f t="shared" ref="D4365:D4371" si="1563">"その他（公共用）の施設"</f>
        <v>その他（公共用）の施設</v>
      </c>
      <c r="E4365" s="7" t="str">
        <f t="shared" ref="E4365:E4371" si="1564">"大阪府南河内郡　河南町大字東山"</f>
        <v>大阪府南河内郡　河南町大字東山</v>
      </c>
      <c r="F4365" s="7"/>
      <c r="G4365" s="7" t="str">
        <f t="shared" si="1536"/>
        <v>事業用資産</v>
      </c>
      <c r="H4365" s="7" t="str">
        <f t="shared" si="1555"/>
        <v>棚卸以外</v>
      </c>
      <c r="I4365" s="7">
        <v>1</v>
      </c>
      <c r="J4365" s="7" t="str">
        <f>"管理棟"</f>
        <v>管理棟</v>
      </c>
      <c r="K4365" s="7" t="str">
        <f>"鉄筋コンクリート造"</f>
        <v>鉄筋コンクリート造</v>
      </c>
      <c r="L4365" s="7" t="str">
        <f>"S61.03.31"</f>
        <v>S61.03.31</v>
      </c>
      <c r="M4365" s="7">
        <v>415.17</v>
      </c>
      <c r="N4365" s="7">
        <v>55190000</v>
      </c>
      <c r="O4365" s="7">
        <v>40840896</v>
      </c>
      <c r="P4365" s="7">
        <v>0</v>
      </c>
      <c r="Q4365" s="7" t="str">
        <f t="shared" si="1538"/>
        <v>教育庁</v>
      </c>
      <c r="R4365" s="7" t="str">
        <f t="shared" si="1559"/>
        <v>文化財保護課</v>
      </c>
    </row>
    <row r="4366" spans="1:18" s="1" customFormat="1" x14ac:dyDescent="0.45">
      <c r="A4366" s="7" t="str">
        <f t="shared" si="1560"/>
        <v>10276001004</v>
      </c>
      <c r="B4366" s="7" t="str">
        <f t="shared" si="1561"/>
        <v>大阪府立近つ飛鳥風土記の丘</v>
      </c>
      <c r="C4366" s="7" t="str">
        <f t="shared" si="1562"/>
        <v>行政財産</v>
      </c>
      <c r="D4366" s="7" t="str">
        <f t="shared" si="1563"/>
        <v>その他（公共用）の施設</v>
      </c>
      <c r="E4366" s="7" t="str">
        <f t="shared" si="1564"/>
        <v>大阪府南河内郡　河南町大字東山</v>
      </c>
      <c r="F4366" s="7"/>
      <c r="G4366" s="7" t="str">
        <f t="shared" si="1536"/>
        <v>事業用資産</v>
      </c>
      <c r="H4366" s="7" t="str">
        <f t="shared" si="1555"/>
        <v>棚卸以外</v>
      </c>
      <c r="I4366" s="7">
        <v>2</v>
      </c>
      <c r="J4366" s="7" t="str">
        <f>"浄化槽"</f>
        <v>浄化槽</v>
      </c>
      <c r="K4366" s="7" t="str">
        <f>"鉄筋コンクリート造"</f>
        <v>鉄筋コンクリート造</v>
      </c>
      <c r="L4366" s="7" t="str">
        <f>"S61.03.31"</f>
        <v>S61.03.31</v>
      </c>
      <c r="M4366" s="7">
        <v>16.91</v>
      </c>
      <c r="N4366" s="7">
        <v>20499000</v>
      </c>
      <c r="O4366" s="7">
        <v>19959576</v>
      </c>
      <c r="P4366" s="7">
        <v>0</v>
      </c>
      <c r="Q4366" s="7" t="str">
        <f t="shared" si="1538"/>
        <v>教育庁</v>
      </c>
      <c r="R4366" s="7" t="str">
        <f t="shared" si="1559"/>
        <v>文化財保護課</v>
      </c>
    </row>
    <row r="4367" spans="1:18" s="1" customFormat="1" x14ac:dyDescent="0.45">
      <c r="A4367" s="7" t="str">
        <f t="shared" si="1560"/>
        <v>10276001004</v>
      </c>
      <c r="B4367" s="7" t="str">
        <f t="shared" si="1561"/>
        <v>大阪府立近つ飛鳥風土記の丘</v>
      </c>
      <c r="C4367" s="7" t="str">
        <f t="shared" si="1562"/>
        <v>行政財産</v>
      </c>
      <c r="D4367" s="7" t="str">
        <f t="shared" si="1563"/>
        <v>その他（公共用）の施設</v>
      </c>
      <c r="E4367" s="7" t="str">
        <f t="shared" si="1564"/>
        <v>大阪府南河内郡　河南町大字東山</v>
      </c>
      <c r="F4367" s="7"/>
      <c r="G4367" s="7" t="str">
        <f t="shared" si="1536"/>
        <v>事業用資産</v>
      </c>
      <c r="H4367" s="7" t="str">
        <f t="shared" si="1555"/>
        <v>棚卸以外</v>
      </c>
      <c r="I4367" s="7">
        <v>3</v>
      </c>
      <c r="J4367" s="7" t="str">
        <f>"休憩所棟"</f>
        <v>休憩所棟</v>
      </c>
      <c r="K4367" s="7" t="str">
        <f>"鉄筋コンクリート造"</f>
        <v>鉄筋コンクリート造</v>
      </c>
      <c r="L4367" s="7" t="str">
        <f>"H06.03.18"</f>
        <v>H06.03.18</v>
      </c>
      <c r="M4367" s="7">
        <v>23.04</v>
      </c>
      <c r="N4367" s="7">
        <v>8685000</v>
      </c>
      <c r="O4367" s="7">
        <v>5358852</v>
      </c>
      <c r="P4367" s="7">
        <v>0</v>
      </c>
      <c r="Q4367" s="7" t="str">
        <f t="shared" si="1538"/>
        <v>教育庁</v>
      </c>
      <c r="R4367" s="7" t="str">
        <f t="shared" si="1559"/>
        <v>文化財保護課</v>
      </c>
    </row>
    <row r="4368" spans="1:18" s="1" customFormat="1" x14ac:dyDescent="0.45">
      <c r="A4368" s="7" t="str">
        <f t="shared" si="1560"/>
        <v>10276001004</v>
      </c>
      <c r="B4368" s="7" t="str">
        <f t="shared" si="1561"/>
        <v>大阪府立近つ飛鳥風土記の丘</v>
      </c>
      <c r="C4368" s="7" t="str">
        <f t="shared" si="1562"/>
        <v>行政財産</v>
      </c>
      <c r="D4368" s="7" t="str">
        <f t="shared" si="1563"/>
        <v>その他（公共用）の施設</v>
      </c>
      <c r="E4368" s="7" t="str">
        <f t="shared" si="1564"/>
        <v>大阪府南河内郡　河南町大字東山</v>
      </c>
      <c r="F4368" s="7"/>
      <c r="G4368" s="7" t="str">
        <f t="shared" si="1536"/>
        <v>事業用資産</v>
      </c>
      <c r="H4368" s="7" t="str">
        <f t="shared" si="1555"/>
        <v>棚卸以外</v>
      </c>
      <c r="I4368" s="7">
        <v>4</v>
      </c>
      <c r="J4368" s="7" t="str">
        <f>"男子便所棟"</f>
        <v>男子便所棟</v>
      </c>
      <c r="K4368" s="7" t="str">
        <f>"木造"</f>
        <v>木造</v>
      </c>
      <c r="L4368" s="7" t="str">
        <f>"H06.03.18"</f>
        <v>H06.03.18</v>
      </c>
      <c r="M4368" s="7">
        <v>6.76</v>
      </c>
      <c r="N4368" s="7">
        <v>2530000</v>
      </c>
      <c r="O4368" s="7">
        <v>2529999</v>
      </c>
      <c r="P4368" s="7">
        <v>0</v>
      </c>
      <c r="Q4368" s="7" t="str">
        <f t="shared" si="1538"/>
        <v>教育庁</v>
      </c>
      <c r="R4368" s="7" t="str">
        <f t="shared" si="1559"/>
        <v>文化財保護課</v>
      </c>
    </row>
    <row r="4369" spans="1:18" s="1" customFormat="1" x14ac:dyDescent="0.45">
      <c r="A4369" s="7" t="str">
        <f t="shared" si="1560"/>
        <v>10276001004</v>
      </c>
      <c r="B4369" s="7" t="str">
        <f t="shared" si="1561"/>
        <v>大阪府立近つ飛鳥風土記の丘</v>
      </c>
      <c r="C4369" s="7" t="str">
        <f t="shared" si="1562"/>
        <v>行政財産</v>
      </c>
      <c r="D4369" s="7" t="str">
        <f t="shared" si="1563"/>
        <v>その他（公共用）の施設</v>
      </c>
      <c r="E4369" s="7" t="str">
        <f t="shared" si="1564"/>
        <v>大阪府南河内郡　河南町大字東山</v>
      </c>
      <c r="F4369" s="7"/>
      <c r="G4369" s="7" t="str">
        <f t="shared" si="1536"/>
        <v>事業用資産</v>
      </c>
      <c r="H4369" s="7" t="str">
        <f t="shared" si="1555"/>
        <v>棚卸以外</v>
      </c>
      <c r="I4369" s="7">
        <v>5</v>
      </c>
      <c r="J4369" s="7" t="str">
        <f>"女子便所棟"</f>
        <v>女子便所棟</v>
      </c>
      <c r="K4369" s="7" t="str">
        <f>"木造"</f>
        <v>木造</v>
      </c>
      <c r="L4369" s="7" t="str">
        <f>"H06.03.18"</f>
        <v>H06.03.18</v>
      </c>
      <c r="M4369" s="7">
        <v>6.76</v>
      </c>
      <c r="N4369" s="7">
        <v>2560000</v>
      </c>
      <c r="O4369" s="7">
        <v>2559999</v>
      </c>
      <c r="P4369" s="7">
        <v>0</v>
      </c>
      <c r="Q4369" s="7" t="str">
        <f t="shared" si="1538"/>
        <v>教育庁</v>
      </c>
      <c r="R4369" s="7" t="str">
        <f t="shared" si="1559"/>
        <v>文化財保護課</v>
      </c>
    </row>
    <row r="4370" spans="1:18" s="1" customFormat="1" x14ac:dyDescent="0.45">
      <c r="A4370" s="7" t="str">
        <f t="shared" si="1560"/>
        <v>10276001004</v>
      </c>
      <c r="B4370" s="7" t="str">
        <f t="shared" si="1561"/>
        <v>大阪府立近つ飛鳥風土記の丘</v>
      </c>
      <c r="C4370" s="7" t="str">
        <f t="shared" si="1562"/>
        <v>行政財産</v>
      </c>
      <c r="D4370" s="7" t="str">
        <f t="shared" si="1563"/>
        <v>その他（公共用）の施設</v>
      </c>
      <c r="E4370" s="7" t="str">
        <f t="shared" si="1564"/>
        <v>大阪府南河内郡　河南町大字東山</v>
      </c>
      <c r="F4370" s="7"/>
      <c r="G4370" s="7" t="str">
        <f t="shared" si="1536"/>
        <v>事業用資産</v>
      </c>
      <c r="H4370" s="7" t="str">
        <f t="shared" si="1555"/>
        <v>棚卸以外</v>
      </c>
      <c r="I4370" s="7">
        <v>6</v>
      </c>
      <c r="J4370" s="7" t="str">
        <f>"福祉対応便所棟"</f>
        <v>福祉対応便所棟</v>
      </c>
      <c r="K4370" s="7" t="str">
        <f>"木造"</f>
        <v>木造</v>
      </c>
      <c r="L4370" s="7" t="str">
        <f>"H06.03.18"</f>
        <v>H06.03.18</v>
      </c>
      <c r="M4370" s="7">
        <v>5.0199999999999996</v>
      </c>
      <c r="N4370" s="7">
        <v>2400000</v>
      </c>
      <c r="O4370" s="7">
        <v>2399999</v>
      </c>
      <c r="P4370" s="7">
        <v>0</v>
      </c>
      <c r="Q4370" s="7" t="str">
        <f t="shared" si="1538"/>
        <v>教育庁</v>
      </c>
      <c r="R4370" s="7" t="str">
        <f t="shared" si="1559"/>
        <v>文化財保護課</v>
      </c>
    </row>
    <row r="4371" spans="1:18" s="1" customFormat="1" x14ac:dyDescent="0.45">
      <c r="A4371" s="7" t="str">
        <f t="shared" si="1560"/>
        <v>10276001004</v>
      </c>
      <c r="B4371" s="7" t="str">
        <f t="shared" si="1561"/>
        <v>大阪府立近つ飛鳥風土記の丘</v>
      </c>
      <c r="C4371" s="7" t="str">
        <f t="shared" si="1562"/>
        <v>行政財産</v>
      </c>
      <c r="D4371" s="7" t="str">
        <f t="shared" si="1563"/>
        <v>その他（公共用）の施設</v>
      </c>
      <c r="E4371" s="7" t="str">
        <f t="shared" si="1564"/>
        <v>大阪府南河内郡　河南町大字東山</v>
      </c>
      <c r="F4371" s="7"/>
      <c r="G4371" s="7" t="str">
        <f t="shared" si="1536"/>
        <v>事業用資産</v>
      </c>
      <c r="H4371" s="7" t="str">
        <f t="shared" si="1555"/>
        <v>棚卸以外</v>
      </c>
      <c r="I4371" s="7">
        <v>7</v>
      </c>
      <c r="J4371" s="7" t="str">
        <f>"第２展望台（休憩所棟）"</f>
        <v>第２展望台（休憩所棟）</v>
      </c>
      <c r="K4371" s="7" t="str">
        <f>"鉄筋コンクリート造"</f>
        <v>鉄筋コンクリート造</v>
      </c>
      <c r="L4371" s="7" t="str">
        <f>"H06.03.18"</f>
        <v>H06.03.18</v>
      </c>
      <c r="M4371" s="7">
        <v>9</v>
      </c>
      <c r="N4371" s="7">
        <v>4380000</v>
      </c>
      <c r="O4371" s="7">
        <v>2702568</v>
      </c>
      <c r="P4371" s="7">
        <v>0</v>
      </c>
      <c r="Q4371" s="7" t="str">
        <f t="shared" si="1538"/>
        <v>教育庁</v>
      </c>
      <c r="R4371" s="7" t="str">
        <f t="shared" si="1559"/>
        <v>文化財保護課</v>
      </c>
    </row>
    <row r="4372" spans="1:18" s="1" customFormat="1" x14ac:dyDescent="0.45">
      <c r="A4372" s="7" t="str">
        <f>"10276001005"</f>
        <v>10276001005</v>
      </c>
      <c r="B4372" s="7" t="str">
        <f>"松原泉大津線出土遺物収蔵庫"</f>
        <v>松原泉大津線出土遺物収蔵庫</v>
      </c>
      <c r="C4372" s="7" t="str">
        <f t="shared" si="1562"/>
        <v>行政財産</v>
      </c>
      <c r="D4372" s="7" t="str">
        <f t="shared" ref="D4372:D4378" si="1565">"その他（行政機関）の施設"</f>
        <v>その他（行政機関）の施設</v>
      </c>
      <c r="E4372" s="7" t="str">
        <f>"大阪府高石市綾園６丁目"</f>
        <v>大阪府高石市綾園６丁目</v>
      </c>
      <c r="F4372" s="7"/>
      <c r="G4372" s="7" t="str">
        <f t="shared" si="1536"/>
        <v>事業用資産</v>
      </c>
      <c r="H4372" s="7" t="str">
        <f t="shared" si="1555"/>
        <v>棚卸以外</v>
      </c>
      <c r="I4372" s="7">
        <v>1</v>
      </c>
      <c r="J4372" s="7" t="str">
        <f>"松原泉大津線出土遺物収蔵庫"</f>
        <v>松原泉大津線出土遺物収蔵庫</v>
      </c>
      <c r="K4372" s="7" t="str">
        <f>"鉄骨造"</f>
        <v>鉄骨造</v>
      </c>
      <c r="L4372" s="7" t="str">
        <f>"S54.03.31"</f>
        <v>S54.03.31</v>
      </c>
      <c r="M4372" s="7">
        <v>336</v>
      </c>
      <c r="N4372" s="7">
        <v>17900000</v>
      </c>
      <c r="O4372" s="7">
        <v>17899999</v>
      </c>
      <c r="P4372" s="7">
        <v>0</v>
      </c>
      <c r="Q4372" s="7" t="str">
        <f t="shared" si="1538"/>
        <v>教育庁</v>
      </c>
      <c r="R4372" s="7" t="str">
        <f t="shared" si="1559"/>
        <v>文化財保護課</v>
      </c>
    </row>
    <row r="4373" spans="1:18" s="1" customFormat="1" x14ac:dyDescent="0.45">
      <c r="A4373" s="7" t="str">
        <f>"10276001005"</f>
        <v>10276001005</v>
      </c>
      <c r="B4373" s="7" t="str">
        <f>"松原泉大津線出土遺物収蔵庫"</f>
        <v>松原泉大津線出土遺物収蔵庫</v>
      </c>
      <c r="C4373" s="7" t="str">
        <f t="shared" si="1562"/>
        <v>行政財産</v>
      </c>
      <c r="D4373" s="7" t="str">
        <f t="shared" si="1565"/>
        <v>その他（行政機関）の施設</v>
      </c>
      <c r="E4373" s="7" t="str">
        <f>"大阪府高石市綾園６丁目"</f>
        <v>大阪府高石市綾園６丁目</v>
      </c>
      <c r="F4373" s="7"/>
      <c r="G4373" s="7" t="str">
        <f t="shared" si="1536"/>
        <v>事業用資産</v>
      </c>
      <c r="H4373" s="7" t="str">
        <f t="shared" si="1555"/>
        <v>棚卸以外</v>
      </c>
      <c r="I4373" s="7">
        <v>2</v>
      </c>
      <c r="J4373" s="7" t="str">
        <f>"第２収蔵庫"</f>
        <v>第２収蔵庫</v>
      </c>
      <c r="K4373" s="7" t="str">
        <f>"鉄骨造"</f>
        <v>鉄骨造</v>
      </c>
      <c r="L4373" s="7" t="str">
        <f>"S61.08.11"</f>
        <v>S61.08.11</v>
      </c>
      <c r="M4373" s="7">
        <v>485.14</v>
      </c>
      <c r="N4373" s="7">
        <v>15000000</v>
      </c>
      <c r="O4373" s="7">
        <v>14999999</v>
      </c>
      <c r="P4373" s="7">
        <v>0</v>
      </c>
      <c r="Q4373" s="7" t="str">
        <f t="shared" si="1538"/>
        <v>教育庁</v>
      </c>
      <c r="R4373" s="7" t="str">
        <f t="shared" si="1559"/>
        <v>文化財保護課</v>
      </c>
    </row>
    <row r="4374" spans="1:18" s="1" customFormat="1" x14ac:dyDescent="0.45">
      <c r="A4374" s="7" t="str">
        <f>"10276001005"</f>
        <v>10276001005</v>
      </c>
      <c r="B4374" s="7" t="str">
        <f>"松原泉大津線出土遺物収蔵庫"</f>
        <v>松原泉大津線出土遺物収蔵庫</v>
      </c>
      <c r="C4374" s="7" t="str">
        <f t="shared" si="1562"/>
        <v>行政財産</v>
      </c>
      <c r="D4374" s="7" t="str">
        <f t="shared" si="1565"/>
        <v>その他（行政機関）の施設</v>
      </c>
      <c r="E4374" s="7" t="str">
        <f>"大阪府高石市綾園６丁目"</f>
        <v>大阪府高石市綾園６丁目</v>
      </c>
      <c r="F4374" s="7"/>
      <c r="G4374" s="7" t="str">
        <f t="shared" si="1536"/>
        <v>事業用資産</v>
      </c>
      <c r="H4374" s="7" t="str">
        <f t="shared" si="1555"/>
        <v>棚卸以外</v>
      </c>
      <c r="I4374" s="7">
        <v>3</v>
      </c>
      <c r="J4374" s="7" t="str">
        <f>"第３収蔵庫"</f>
        <v>第３収蔵庫</v>
      </c>
      <c r="K4374" s="7" t="str">
        <f>"鉄骨造"</f>
        <v>鉄骨造</v>
      </c>
      <c r="L4374" s="7" t="str">
        <f>"S62.03.31"</f>
        <v>S62.03.31</v>
      </c>
      <c r="M4374" s="7">
        <v>245.14</v>
      </c>
      <c r="N4374" s="7">
        <v>11926000</v>
      </c>
      <c r="O4374" s="7">
        <v>11925999</v>
      </c>
      <c r="P4374" s="7">
        <v>0</v>
      </c>
      <c r="Q4374" s="7" t="str">
        <f t="shared" si="1538"/>
        <v>教育庁</v>
      </c>
      <c r="R4374" s="7" t="str">
        <f t="shared" si="1559"/>
        <v>文化財保護課</v>
      </c>
    </row>
    <row r="4375" spans="1:18" s="1" customFormat="1" x14ac:dyDescent="0.45">
      <c r="A4375" s="7" t="str">
        <f>"10276001005"</f>
        <v>10276001005</v>
      </c>
      <c r="B4375" s="7" t="str">
        <f>"松原泉大津線出土遺物収蔵庫"</f>
        <v>松原泉大津線出土遺物収蔵庫</v>
      </c>
      <c r="C4375" s="7" t="str">
        <f t="shared" si="1562"/>
        <v>行政財産</v>
      </c>
      <c r="D4375" s="7" t="str">
        <f t="shared" si="1565"/>
        <v>その他（行政機関）の施設</v>
      </c>
      <c r="E4375" s="7" t="str">
        <f>"大阪府高石市綾園６丁目"</f>
        <v>大阪府高石市綾園６丁目</v>
      </c>
      <c r="F4375" s="7"/>
      <c r="G4375" s="7" t="str">
        <f t="shared" ref="G4375:G4438" si="1566">"事業用資産"</f>
        <v>事業用資産</v>
      </c>
      <c r="H4375" s="7" t="str">
        <f t="shared" si="1555"/>
        <v>棚卸以外</v>
      </c>
      <c r="I4375" s="7">
        <v>4</v>
      </c>
      <c r="J4375" s="7" t="str">
        <f>"第４収蔵庫"</f>
        <v>第４収蔵庫</v>
      </c>
      <c r="K4375" s="7" t="str">
        <f>"鉄骨造"</f>
        <v>鉄骨造</v>
      </c>
      <c r="L4375" s="7" t="str">
        <f>"S62.03.31"</f>
        <v>S62.03.31</v>
      </c>
      <c r="M4375" s="7">
        <v>245.14</v>
      </c>
      <c r="N4375" s="7">
        <v>11926000</v>
      </c>
      <c r="O4375" s="7">
        <v>11925999</v>
      </c>
      <c r="P4375" s="7">
        <v>0</v>
      </c>
      <c r="Q4375" s="7" t="str">
        <f t="shared" si="1538"/>
        <v>教育庁</v>
      </c>
      <c r="R4375" s="7" t="str">
        <f t="shared" si="1559"/>
        <v>文化財保護課</v>
      </c>
    </row>
    <row r="4376" spans="1:18" s="1" customFormat="1" x14ac:dyDescent="0.45">
      <c r="A4376" s="7" t="str">
        <f>"10276001008"</f>
        <v>10276001008</v>
      </c>
      <c r="B4376" s="7" t="str">
        <f>"史跡伝王仁墓土地"</f>
        <v>史跡伝王仁墓土地</v>
      </c>
      <c r="C4376" s="7" t="str">
        <f t="shared" si="1562"/>
        <v>行政財産</v>
      </c>
      <c r="D4376" s="7" t="str">
        <f t="shared" si="1565"/>
        <v>その他（行政機関）の施設</v>
      </c>
      <c r="E4376" s="7" t="str">
        <f>"大阪府枚方市藤阪東町２丁目"</f>
        <v>大阪府枚方市藤阪東町２丁目</v>
      </c>
      <c r="F4376" s="7"/>
      <c r="G4376" s="7" t="str">
        <f t="shared" si="1566"/>
        <v>事業用資産</v>
      </c>
      <c r="H4376" s="7" t="str">
        <f t="shared" si="1555"/>
        <v>棚卸以外</v>
      </c>
      <c r="I4376" s="7">
        <v>2</v>
      </c>
      <c r="J4376" s="7" t="str">
        <f>"便所"</f>
        <v>便所</v>
      </c>
      <c r="K4376" s="7" t="str">
        <f>"鉄筋コンクリート造"</f>
        <v>鉄筋コンクリート造</v>
      </c>
      <c r="L4376" s="7" t="str">
        <f>"H04.03.31"</f>
        <v>H04.03.31</v>
      </c>
      <c r="M4376" s="7">
        <v>24.46</v>
      </c>
      <c r="N4376" s="7">
        <v>9783380</v>
      </c>
      <c r="O4376" s="7">
        <v>7913436</v>
      </c>
      <c r="P4376" s="7">
        <v>0</v>
      </c>
      <c r="Q4376" s="7" t="str">
        <f t="shared" si="1538"/>
        <v>教育庁</v>
      </c>
      <c r="R4376" s="7" t="str">
        <f t="shared" si="1559"/>
        <v>文化財保護課</v>
      </c>
    </row>
    <row r="4377" spans="1:18" s="1" customFormat="1" x14ac:dyDescent="0.45">
      <c r="A4377" s="7" t="str">
        <f>"10276001010"</f>
        <v>10276001010</v>
      </c>
      <c r="B4377" s="7" t="str">
        <f>"鶴田池東遺跡瓦窯収蔵庫"</f>
        <v>鶴田池東遺跡瓦窯収蔵庫</v>
      </c>
      <c r="C4377" s="7" t="str">
        <f t="shared" si="1562"/>
        <v>行政財産</v>
      </c>
      <c r="D4377" s="7" t="str">
        <f t="shared" si="1565"/>
        <v>その他（行政機関）の施設</v>
      </c>
      <c r="E4377" s="7" t="str">
        <f>"大阪府堺市　西区山田１丁"</f>
        <v>大阪府堺市　西区山田１丁</v>
      </c>
      <c r="F4377" s="7"/>
      <c r="G4377" s="7" t="str">
        <f t="shared" si="1566"/>
        <v>事業用資産</v>
      </c>
      <c r="H4377" s="7" t="str">
        <f t="shared" si="1555"/>
        <v>棚卸以外</v>
      </c>
      <c r="I4377" s="7">
        <v>1</v>
      </c>
      <c r="J4377" s="7" t="str">
        <f>"鶴田池東遺跡瓦窯収蔵庫"</f>
        <v>鶴田池東遺跡瓦窯収蔵庫</v>
      </c>
      <c r="K4377" s="7" t="str">
        <f>"鉄骨造"</f>
        <v>鉄骨造</v>
      </c>
      <c r="L4377" s="7" t="str">
        <f>"S61.08.11"</f>
        <v>S61.08.11</v>
      </c>
      <c r="M4377" s="7">
        <v>106.81</v>
      </c>
      <c r="N4377" s="7">
        <v>8000000</v>
      </c>
      <c r="O4377" s="7">
        <v>7999999</v>
      </c>
      <c r="P4377" s="7">
        <v>0</v>
      </c>
      <c r="Q4377" s="7" t="str">
        <f t="shared" si="1538"/>
        <v>教育庁</v>
      </c>
      <c r="R4377" s="7" t="str">
        <f t="shared" si="1559"/>
        <v>文化財保護課</v>
      </c>
    </row>
    <row r="4378" spans="1:18" s="1" customFormat="1" x14ac:dyDescent="0.45">
      <c r="A4378" s="7" t="str">
        <f>"10276001012"</f>
        <v>10276001012</v>
      </c>
      <c r="B4378" s="7" t="str">
        <f>"大阪府北部地域埋蔵文化財遺物収蔵庫"</f>
        <v>大阪府北部地域埋蔵文化財遺物収蔵庫</v>
      </c>
      <c r="C4378" s="7" t="str">
        <f t="shared" si="1562"/>
        <v>行政財産</v>
      </c>
      <c r="D4378" s="7" t="str">
        <f t="shared" si="1565"/>
        <v>その他（行政機関）の施設</v>
      </c>
      <c r="E4378" s="7" t="str">
        <f>"大阪府摂津市鳥飼中１丁目"</f>
        <v>大阪府摂津市鳥飼中１丁目</v>
      </c>
      <c r="F4378" s="7"/>
      <c r="G4378" s="7" t="str">
        <f t="shared" si="1566"/>
        <v>事業用資産</v>
      </c>
      <c r="H4378" s="7" t="str">
        <f t="shared" si="1555"/>
        <v>棚卸以外</v>
      </c>
      <c r="I4378" s="7">
        <v>1</v>
      </c>
      <c r="J4378" s="7" t="str">
        <f>"収蔵庫"</f>
        <v>収蔵庫</v>
      </c>
      <c r="K4378" s="7" t="str">
        <f>"鉄骨造"</f>
        <v>鉄骨造</v>
      </c>
      <c r="L4378" s="7" t="str">
        <f>"H02.03.31"</f>
        <v>H02.03.31</v>
      </c>
      <c r="M4378" s="7">
        <v>211.78</v>
      </c>
      <c r="N4378" s="7">
        <v>24735000</v>
      </c>
      <c r="O4378" s="7">
        <v>24734999</v>
      </c>
      <c r="P4378" s="7">
        <v>0</v>
      </c>
      <c r="Q4378" s="7" t="str">
        <f t="shared" si="1538"/>
        <v>教育庁</v>
      </c>
      <c r="R4378" s="7" t="str">
        <f t="shared" si="1559"/>
        <v>文化財保護課</v>
      </c>
    </row>
    <row r="4379" spans="1:18" s="1" customFormat="1" x14ac:dyDescent="0.45">
      <c r="A4379" s="7" t="str">
        <f>"10276001013"</f>
        <v>10276001013</v>
      </c>
      <c r="B4379" s="7" t="str">
        <f>"大阪府立弥生文化博物館"</f>
        <v>大阪府立弥生文化博物館</v>
      </c>
      <c r="C4379" s="7" t="str">
        <f t="shared" si="1562"/>
        <v>行政財産</v>
      </c>
      <c r="D4379" s="7" t="str">
        <f>"その他（公共用）の施設"</f>
        <v>その他（公共用）の施設</v>
      </c>
      <c r="E4379" s="7" t="str">
        <f>"大阪府和泉市池上町"</f>
        <v>大阪府和泉市池上町</v>
      </c>
      <c r="F4379" s="7"/>
      <c r="G4379" s="7" t="str">
        <f t="shared" si="1566"/>
        <v>事業用資産</v>
      </c>
      <c r="H4379" s="7" t="str">
        <f t="shared" si="1555"/>
        <v>棚卸以外</v>
      </c>
      <c r="I4379" s="7">
        <v>1</v>
      </c>
      <c r="J4379" s="7" t="str">
        <f>"大阪府立弥生文化博物館"</f>
        <v>大阪府立弥生文化博物館</v>
      </c>
      <c r="K4379" s="7" t="str">
        <f>"鉄筋コンクリート造"</f>
        <v>鉄筋コンクリート造</v>
      </c>
      <c r="L4379" s="7" t="str">
        <f>"H02.09.01"</f>
        <v>H02.09.01</v>
      </c>
      <c r="M4379" s="7">
        <v>4000.54</v>
      </c>
      <c r="N4379" s="7">
        <v>1626942007</v>
      </c>
      <c r="O4379" s="7">
        <v>828760314</v>
      </c>
      <c r="P4379" s="7">
        <v>0</v>
      </c>
      <c r="Q4379" s="7" t="str">
        <f t="shared" ref="Q4379:Q4442" si="1567">"教育庁"</f>
        <v>教育庁</v>
      </c>
      <c r="R4379" s="7" t="str">
        <f t="shared" si="1559"/>
        <v>文化財保護課</v>
      </c>
    </row>
    <row r="4380" spans="1:18" s="1" customFormat="1" ht="26.4" x14ac:dyDescent="0.45">
      <c r="A4380" s="7" t="str">
        <f>"10276001014"</f>
        <v>10276001014</v>
      </c>
      <c r="B4380" s="7" t="str">
        <f>"大阪府立近つ飛鳥博物館"</f>
        <v>大阪府立近つ飛鳥博物館</v>
      </c>
      <c r="C4380" s="7" t="str">
        <f t="shared" si="1562"/>
        <v>行政財産</v>
      </c>
      <c r="D4380" s="7" t="str">
        <f>"その他（公共用）の施設"</f>
        <v>その他（公共用）の施設</v>
      </c>
      <c r="E4380" s="7" t="str">
        <f>"大阪府南河内郡　河南町大字東山"</f>
        <v>大阪府南河内郡　河南町大字東山</v>
      </c>
      <c r="F4380" s="7"/>
      <c r="G4380" s="7" t="str">
        <f t="shared" si="1566"/>
        <v>事業用資産</v>
      </c>
      <c r="H4380" s="7" t="str">
        <f t="shared" si="1555"/>
        <v>棚卸以外</v>
      </c>
      <c r="I4380" s="7">
        <v>1</v>
      </c>
      <c r="J4380" s="7" t="str">
        <f>"大阪府立近つ飛鳥博物館"</f>
        <v>大阪府立近つ飛鳥博物館</v>
      </c>
      <c r="K4380" s="7" t="str">
        <f>"鉄骨鉄筋コンクリート造"</f>
        <v>鉄骨鉄筋コンクリート造</v>
      </c>
      <c r="L4380" s="7" t="str">
        <f>"H05.11.10"</f>
        <v>H05.11.10</v>
      </c>
      <c r="M4380" s="7">
        <v>5925.2</v>
      </c>
      <c r="N4380" s="7">
        <v>3673313418</v>
      </c>
      <c r="O4380" s="7">
        <v>2143642601</v>
      </c>
      <c r="P4380" s="7">
        <v>0</v>
      </c>
      <c r="Q4380" s="7" t="str">
        <f t="shared" si="1567"/>
        <v>教育庁</v>
      </c>
      <c r="R4380" s="7" t="str">
        <f t="shared" si="1559"/>
        <v>文化財保護課</v>
      </c>
    </row>
    <row r="4381" spans="1:18" s="1" customFormat="1" x14ac:dyDescent="0.45">
      <c r="A4381" s="7" t="str">
        <f>"10276001019"</f>
        <v>10276001019</v>
      </c>
      <c r="B4381" s="7" t="str">
        <f>"大阪府教育庁文化財調査事務所"</f>
        <v>大阪府教育庁文化財調査事務所</v>
      </c>
      <c r="C4381" s="7" t="str">
        <f t="shared" si="1562"/>
        <v>行政財産</v>
      </c>
      <c r="D4381" s="7" t="str">
        <f>"その他（行政機関）の施設"</f>
        <v>その他（行政機関）の施設</v>
      </c>
      <c r="E4381" s="7" t="str">
        <f>"大阪府堺市　南区竹城台３丁"</f>
        <v>大阪府堺市　南区竹城台３丁</v>
      </c>
      <c r="F4381" s="7"/>
      <c r="G4381" s="7" t="str">
        <f t="shared" si="1566"/>
        <v>事業用資産</v>
      </c>
      <c r="H4381" s="7" t="str">
        <f t="shared" si="1555"/>
        <v>棚卸以外</v>
      </c>
      <c r="I4381" s="7">
        <v>2</v>
      </c>
      <c r="J4381" s="7" t="str">
        <f>"庁舎"</f>
        <v>庁舎</v>
      </c>
      <c r="K4381" s="7" t="str">
        <f>"鉄骨造"</f>
        <v>鉄骨造</v>
      </c>
      <c r="L4381" s="7" t="str">
        <f>"H09.03.12"</f>
        <v>H09.03.12</v>
      </c>
      <c r="M4381" s="7">
        <v>3665.93</v>
      </c>
      <c r="N4381" s="7">
        <v>887962887</v>
      </c>
      <c r="O4381" s="7">
        <v>590659344</v>
      </c>
      <c r="P4381" s="7">
        <v>0</v>
      </c>
      <c r="Q4381" s="7" t="str">
        <f t="shared" si="1567"/>
        <v>教育庁</v>
      </c>
      <c r="R4381" s="7" t="str">
        <f t="shared" si="1559"/>
        <v>文化財保護課</v>
      </c>
    </row>
    <row r="4382" spans="1:18" s="1" customFormat="1" x14ac:dyDescent="0.45">
      <c r="A4382" s="7" t="str">
        <f>"10276001019"</f>
        <v>10276001019</v>
      </c>
      <c r="B4382" s="7" t="str">
        <f>"大阪府教育庁文化財調査事務所"</f>
        <v>大阪府教育庁文化財調査事務所</v>
      </c>
      <c r="C4382" s="7" t="str">
        <f t="shared" si="1562"/>
        <v>行政財産</v>
      </c>
      <c r="D4382" s="7" t="str">
        <f>"その他（行政機関）の施設"</f>
        <v>その他（行政機関）の施設</v>
      </c>
      <c r="E4382" s="7" t="str">
        <f>"大阪府堺市　南区竹城台３丁"</f>
        <v>大阪府堺市　南区竹城台３丁</v>
      </c>
      <c r="F4382" s="7"/>
      <c r="G4382" s="7" t="str">
        <f t="shared" si="1566"/>
        <v>事業用資産</v>
      </c>
      <c r="H4382" s="7" t="str">
        <f t="shared" si="1555"/>
        <v>棚卸以外</v>
      </c>
      <c r="I4382" s="7">
        <v>3</v>
      </c>
      <c r="J4382" s="7" t="str">
        <f>"自転車置場"</f>
        <v>自転車置場</v>
      </c>
      <c r="K4382" s="7" t="str">
        <f>"鉄骨造"</f>
        <v>鉄骨造</v>
      </c>
      <c r="L4382" s="7" t="str">
        <f>"H09.03.12"</f>
        <v>H09.03.12</v>
      </c>
      <c r="M4382" s="7">
        <v>20.11</v>
      </c>
      <c r="N4382" s="7">
        <v>1671000</v>
      </c>
      <c r="O4382" s="7">
        <v>1401504</v>
      </c>
      <c r="P4382" s="7">
        <v>0</v>
      </c>
      <c r="Q4382" s="7" t="str">
        <f t="shared" si="1567"/>
        <v>教育庁</v>
      </c>
      <c r="R4382" s="7" t="str">
        <f t="shared" si="1559"/>
        <v>文化財保護課</v>
      </c>
    </row>
    <row r="4383" spans="1:18" s="1" customFormat="1" x14ac:dyDescent="0.45">
      <c r="A4383" s="7" t="str">
        <f>"10276001022"</f>
        <v>10276001022</v>
      </c>
      <c r="B4383" s="7" t="str">
        <f>"大阪府立東大阪文化財収蔵庫"</f>
        <v>大阪府立東大阪文化財収蔵庫</v>
      </c>
      <c r="C4383" s="7" t="str">
        <f t="shared" si="1562"/>
        <v>行政財産</v>
      </c>
      <c r="D4383" s="7" t="str">
        <f>"その他（行政機関）の施設"</f>
        <v>その他（行政機関）の施設</v>
      </c>
      <c r="E4383" s="7" t="str">
        <f>"大阪府東大阪市長田東１丁目"</f>
        <v>大阪府東大阪市長田東１丁目</v>
      </c>
      <c r="F4383" s="7"/>
      <c r="G4383" s="7" t="str">
        <f t="shared" si="1566"/>
        <v>事業用資産</v>
      </c>
      <c r="H4383" s="7" t="str">
        <f t="shared" si="1555"/>
        <v>棚卸以外</v>
      </c>
      <c r="I4383" s="7">
        <v>1</v>
      </c>
      <c r="J4383" s="7" t="str">
        <f>"大阪府立東大阪文化財収蔵庫"</f>
        <v>大阪府立東大阪文化財収蔵庫</v>
      </c>
      <c r="K4383" s="7" t="str">
        <f>"鉄骨造"</f>
        <v>鉄骨造</v>
      </c>
      <c r="L4383" s="7" t="str">
        <f>"H06.03.10"</f>
        <v>H06.03.10</v>
      </c>
      <c r="M4383" s="7">
        <v>2001.61</v>
      </c>
      <c r="N4383" s="7">
        <v>287713000</v>
      </c>
      <c r="O4383" s="7">
        <v>269151204</v>
      </c>
      <c r="P4383" s="7">
        <v>0</v>
      </c>
      <c r="Q4383" s="7" t="str">
        <f t="shared" si="1567"/>
        <v>教育庁</v>
      </c>
      <c r="R4383" s="7" t="str">
        <f t="shared" si="1559"/>
        <v>文化財保護課</v>
      </c>
    </row>
    <row r="4384" spans="1:18" s="1" customFormat="1" ht="26.4" x14ac:dyDescent="0.45">
      <c r="A4384" s="7" t="str">
        <f>"10276003002"</f>
        <v>10276003002</v>
      </c>
      <c r="B4384" s="7" t="str">
        <f>"大阪府教育委員会和泉池上文化財収蔵庫"</f>
        <v>大阪府教育委員会和泉池上文化財収蔵庫</v>
      </c>
      <c r="C4384" s="7" t="str">
        <f t="shared" si="1562"/>
        <v>行政財産</v>
      </c>
      <c r="D4384" s="7" t="str">
        <f>"その他（行政機関）の施設"</f>
        <v>その他（行政機関）の施設</v>
      </c>
      <c r="E4384" s="7" t="str">
        <f>"大阪府和泉市池上町"</f>
        <v>大阪府和泉市池上町</v>
      </c>
      <c r="F4384" s="7" t="str">
        <f>"4丁目190の1他"</f>
        <v>4丁目190の1他</v>
      </c>
      <c r="G4384" s="7" t="str">
        <f t="shared" si="1566"/>
        <v>事業用資産</v>
      </c>
      <c r="H4384" s="7" t="str">
        <f t="shared" si="1555"/>
        <v>棚卸以外</v>
      </c>
      <c r="I4384" s="7">
        <v>1</v>
      </c>
      <c r="J4384" s="7" t="str">
        <f>"大阪府教育委員会和泉池上文化財収蔵庫"</f>
        <v>大阪府教育委員会和泉池上文化財収蔵庫</v>
      </c>
      <c r="K4384" s="7" t="str">
        <f>"鉄骨造"</f>
        <v>鉄骨造</v>
      </c>
      <c r="L4384" s="7" t="str">
        <f>"H26.03.20"</f>
        <v>H26.03.20</v>
      </c>
      <c r="M4384" s="7">
        <v>2317.7800000000002</v>
      </c>
      <c r="N4384" s="7">
        <v>200368635</v>
      </c>
      <c r="O4384" s="7">
        <v>69374519</v>
      </c>
      <c r="P4384" s="7">
        <v>0</v>
      </c>
      <c r="Q4384" s="7" t="str">
        <f t="shared" si="1567"/>
        <v>教育庁</v>
      </c>
      <c r="R4384" s="7" t="str">
        <f t="shared" si="1559"/>
        <v>文化財保護課</v>
      </c>
    </row>
    <row r="4385" spans="1:18" s="1" customFormat="1" x14ac:dyDescent="0.45">
      <c r="A4385" s="7" t="str">
        <f>"10276003012"</f>
        <v>10276003012</v>
      </c>
      <c r="B4385" s="7" t="str">
        <f>"岸和田収蔵庫"</f>
        <v>岸和田収蔵庫</v>
      </c>
      <c r="C4385" s="7" t="str">
        <f t="shared" si="1562"/>
        <v>行政財産</v>
      </c>
      <c r="D4385" s="7" t="str">
        <f>"その他"</f>
        <v>その他</v>
      </c>
      <c r="E4385" s="7" t="str">
        <f>"大阪府岸和田市磯上町１丁目"</f>
        <v>大阪府岸和田市磯上町１丁目</v>
      </c>
      <c r="F4385" s="7"/>
      <c r="G4385" s="7" t="str">
        <f t="shared" si="1566"/>
        <v>事業用資産</v>
      </c>
      <c r="H4385" s="7" t="str">
        <f t="shared" si="1555"/>
        <v>棚卸以外</v>
      </c>
      <c r="I4385" s="7">
        <v>1</v>
      </c>
      <c r="J4385" s="7" t="str">
        <f>"岸和田収蔵庫"</f>
        <v>岸和田収蔵庫</v>
      </c>
      <c r="K4385" s="7" t="str">
        <f>"鉄骨造"</f>
        <v>鉄骨造</v>
      </c>
      <c r="L4385" s="7" t="str">
        <f>"H01.05.31"</f>
        <v>H01.05.31</v>
      </c>
      <c r="M4385" s="7">
        <v>698.25</v>
      </c>
      <c r="N4385" s="7">
        <v>959184</v>
      </c>
      <c r="O4385" s="7">
        <v>154740</v>
      </c>
      <c r="P4385" s="7">
        <v>0</v>
      </c>
      <c r="Q4385" s="7" t="str">
        <f t="shared" si="1567"/>
        <v>教育庁</v>
      </c>
      <c r="R4385" s="7" t="str">
        <f t="shared" si="1559"/>
        <v>文化財保護課</v>
      </c>
    </row>
    <row r="4386" spans="1:18" s="1" customFormat="1" x14ac:dyDescent="0.45">
      <c r="A4386" s="7" t="str">
        <f>"10280000000"</f>
        <v>10280000000</v>
      </c>
      <c r="B4386" s="7" t="str">
        <f>"大阪府教育センター"</f>
        <v>大阪府教育センター</v>
      </c>
      <c r="C4386" s="7" t="str">
        <f t="shared" si="1562"/>
        <v>行政財産</v>
      </c>
      <c r="D4386" s="7" t="str">
        <f>"その他（行政機関）の施設"</f>
        <v>その他（行政機関）の施設</v>
      </c>
      <c r="E4386" s="7" t="str">
        <f>"大阪府大阪市　住吉区苅田４丁目"</f>
        <v>大阪府大阪市　住吉区苅田４丁目</v>
      </c>
      <c r="F4386" s="7"/>
      <c r="G4386" s="7" t="str">
        <f t="shared" si="1566"/>
        <v>事業用資産</v>
      </c>
      <c r="H4386" s="7" t="str">
        <f t="shared" si="1555"/>
        <v>棚卸以外</v>
      </c>
      <c r="I4386" s="7">
        <v>9</v>
      </c>
      <c r="J4386" s="7" t="str">
        <f>"別館"</f>
        <v>別館</v>
      </c>
      <c r="K4386" s="7" t="str">
        <f>"鉄筋コンクリート造"</f>
        <v>鉄筋コンクリート造</v>
      </c>
      <c r="L4386" s="7" t="str">
        <f>"S45.09.25"</f>
        <v>S45.09.25</v>
      </c>
      <c r="M4386" s="7">
        <v>4271.6099999999997</v>
      </c>
      <c r="N4386" s="7">
        <v>1045688175</v>
      </c>
      <c r="O4386" s="7">
        <v>693336032</v>
      </c>
      <c r="P4386" s="7">
        <v>0</v>
      </c>
      <c r="Q4386" s="7" t="str">
        <f t="shared" si="1567"/>
        <v>教育庁</v>
      </c>
      <c r="R4386" s="7" t="str">
        <f>"教育センター"</f>
        <v>教育センター</v>
      </c>
    </row>
    <row r="4387" spans="1:18" s="1" customFormat="1" ht="26.4" x14ac:dyDescent="0.45">
      <c r="A4387" s="7" t="str">
        <f>"10280000000"</f>
        <v>10280000000</v>
      </c>
      <c r="B4387" s="7" t="str">
        <f>"大阪府教育センター"</f>
        <v>大阪府教育センター</v>
      </c>
      <c r="C4387" s="7" t="str">
        <f t="shared" si="1562"/>
        <v>行政財産</v>
      </c>
      <c r="D4387" s="7" t="str">
        <f>"その他（行政機関）の施設"</f>
        <v>その他（行政機関）の施設</v>
      </c>
      <c r="E4387" s="7" t="str">
        <f>"大阪府大阪市　住吉区苅田４丁目"</f>
        <v>大阪府大阪市　住吉区苅田４丁目</v>
      </c>
      <c r="F4387" s="7"/>
      <c r="G4387" s="7" t="str">
        <f t="shared" si="1566"/>
        <v>事業用資産</v>
      </c>
      <c r="H4387" s="7" t="str">
        <f t="shared" si="1555"/>
        <v>棚卸以外</v>
      </c>
      <c r="I4387" s="7">
        <v>13</v>
      </c>
      <c r="J4387" s="7" t="str">
        <f>"本館"</f>
        <v>本館</v>
      </c>
      <c r="K4387" s="7" t="str">
        <f>"鉄骨鉄筋コンクリート造"</f>
        <v>鉄骨鉄筋コンクリート造</v>
      </c>
      <c r="L4387" s="7" t="str">
        <f>"H04.08.13"</f>
        <v>H04.08.13</v>
      </c>
      <c r="M4387" s="7">
        <v>14466.72</v>
      </c>
      <c r="N4387" s="7">
        <v>5996892308</v>
      </c>
      <c r="O4387" s="7">
        <v>3539620871</v>
      </c>
      <c r="P4387" s="7">
        <v>0</v>
      </c>
      <c r="Q4387" s="7" t="str">
        <f t="shared" si="1567"/>
        <v>教育庁</v>
      </c>
      <c r="R4387" s="7" t="str">
        <f>"教育センター"</f>
        <v>教育センター</v>
      </c>
    </row>
    <row r="4388" spans="1:18" s="1" customFormat="1" x14ac:dyDescent="0.45">
      <c r="A4388" s="7" t="str">
        <f>"10280000000"</f>
        <v>10280000000</v>
      </c>
      <c r="B4388" s="7" t="str">
        <f>"大阪府教育センター"</f>
        <v>大阪府教育センター</v>
      </c>
      <c r="C4388" s="7" t="str">
        <f t="shared" si="1562"/>
        <v>行政財産</v>
      </c>
      <c r="D4388" s="7" t="str">
        <f>"その他（行政機関）の施設"</f>
        <v>その他（行政機関）の施設</v>
      </c>
      <c r="E4388" s="7" t="str">
        <f>"大阪府大阪市　住吉区苅田４丁目"</f>
        <v>大阪府大阪市　住吉区苅田４丁目</v>
      </c>
      <c r="F4388" s="7"/>
      <c r="G4388" s="7" t="str">
        <f t="shared" si="1566"/>
        <v>事業用資産</v>
      </c>
      <c r="H4388" s="7" t="str">
        <f t="shared" si="1555"/>
        <v>棚卸以外</v>
      </c>
      <c r="I4388" s="7">
        <v>14</v>
      </c>
      <c r="J4388" s="7" t="str">
        <f>"渡り廊下"</f>
        <v>渡り廊下</v>
      </c>
      <c r="K4388" s="7" t="str">
        <f t="shared" ref="K4388:K4398" si="1568">"鉄筋コンクリート造"</f>
        <v>鉄筋コンクリート造</v>
      </c>
      <c r="L4388" s="7" t="str">
        <f>"H05.03.19"</f>
        <v>H05.03.19</v>
      </c>
      <c r="M4388" s="7">
        <v>20.6</v>
      </c>
      <c r="N4388" s="7">
        <v>8840000</v>
      </c>
      <c r="O4388" s="7">
        <v>6468480</v>
      </c>
      <c r="P4388" s="7">
        <v>0</v>
      </c>
      <c r="Q4388" s="7" t="str">
        <f t="shared" si="1567"/>
        <v>教育庁</v>
      </c>
      <c r="R4388" s="7" t="str">
        <f>"教育センター"</f>
        <v>教育センター</v>
      </c>
    </row>
    <row r="4389" spans="1:18" s="1" customFormat="1" x14ac:dyDescent="0.45">
      <c r="A4389" s="7" t="str">
        <f>"10280000000"</f>
        <v>10280000000</v>
      </c>
      <c r="B4389" s="7" t="str">
        <f>"大阪府教育センター"</f>
        <v>大阪府教育センター</v>
      </c>
      <c r="C4389" s="7" t="str">
        <f t="shared" si="1562"/>
        <v>行政財産</v>
      </c>
      <c r="D4389" s="7" t="str">
        <f>"その他（行政機関）の施設"</f>
        <v>その他（行政機関）の施設</v>
      </c>
      <c r="E4389" s="7" t="str">
        <f>"大阪府大阪市　住吉区苅田４丁目"</f>
        <v>大阪府大阪市　住吉区苅田４丁目</v>
      </c>
      <c r="F4389" s="7"/>
      <c r="G4389" s="7" t="str">
        <f t="shared" si="1566"/>
        <v>事業用資産</v>
      </c>
      <c r="H4389" s="7" t="str">
        <f t="shared" si="1555"/>
        <v>棚卸以外</v>
      </c>
      <c r="I4389" s="7">
        <v>15</v>
      </c>
      <c r="J4389" s="7" t="str">
        <f>"倉庫棟"</f>
        <v>倉庫棟</v>
      </c>
      <c r="K4389" s="7" t="str">
        <f t="shared" si="1568"/>
        <v>鉄筋コンクリート造</v>
      </c>
      <c r="L4389" s="7" t="str">
        <f>"H05.03.19"</f>
        <v>H05.03.19</v>
      </c>
      <c r="M4389" s="7">
        <v>71.3</v>
      </c>
      <c r="N4389" s="7">
        <v>12339000</v>
      </c>
      <c r="O4389" s="7">
        <v>9741600</v>
      </c>
      <c r="P4389" s="7">
        <v>0</v>
      </c>
      <c r="Q4389" s="7" t="str">
        <f t="shared" si="1567"/>
        <v>教育庁</v>
      </c>
      <c r="R4389" s="7" t="str">
        <f>"教育センター"</f>
        <v>教育センター</v>
      </c>
    </row>
    <row r="4390" spans="1:18" s="1" customFormat="1" x14ac:dyDescent="0.45">
      <c r="A4390" s="7" t="str">
        <f t="shared" ref="A4390:A4398" si="1569">"10281000000"</f>
        <v>10281000000</v>
      </c>
      <c r="B4390" s="7" t="str">
        <f t="shared" ref="B4390:B4398" si="1570">"中之島図書館"</f>
        <v>中之島図書館</v>
      </c>
      <c r="C4390" s="7" t="str">
        <f t="shared" si="1562"/>
        <v>行政財産</v>
      </c>
      <c r="D4390" s="7" t="str">
        <f t="shared" ref="D4390:D4398" si="1571">"その他（公共用）の施設"</f>
        <v>その他（公共用）の施設</v>
      </c>
      <c r="E4390" s="7" t="str">
        <f t="shared" ref="E4390:E4398" si="1572">"大阪府大阪市　北区中之島１丁目"</f>
        <v>大阪府大阪市　北区中之島１丁目</v>
      </c>
      <c r="F4390" s="7"/>
      <c r="G4390" s="7" t="str">
        <f t="shared" si="1566"/>
        <v>事業用資産</v>
      </c>
      <c r="H4390" s="7" t="str">
        <f t="shared" si="1555"/>
        <v>棚卸以外</v>
      </c>
      <c r="I4390" s="7">
        <v>1</v>
      </c>
      <c r="J4390" s="7" t="str">
        <f>"本館"</f>
        <v>本館</v>
      </c>
      <c r="K4390" s="7" t="str">
        <f t="shared" si="1568"/>
        <v>鉄筋コンクリート造</v>
      </c>
      <c r="L4390" s="7" t="str">
        <f>"M37.02.01"</f>
        <v>M37.02.01</v>
      </c>
      <c r="M4390" s="7">
        <v>1820.82</v>
      </c>
      <c r="N4390" s="7">
        <v>609455247</v>
      </c>
      <c r="O4390" s="7">
        <v>161162906</v>
      </c>
      <c r="P4390" s="7">
        <v>0</v>
      </c>
      <c r="Q4390" s="7" t="str">
        <f t="shared" si="1567"/>
        <v>教育庁</v>
      </c>
      <c r="R4390" s="7" t="str">
        <f t="shared" ref="R4390:R4406" si="1573">"中之島図書館"</f>
        <v>中之島図書館</v>
      </c>
    </row>
    <row r="4391" spans="1:18" s="1" customFormat="1" x14ac:dyDescent="0.45">
      <c r="A4391" s="7" t="str">
        <f t="shared" si="1569"/>
        <v>10281000000</v>
      </c>
      <c r="B4391" s="7" t="str">
        <f t="shared" si="1570"/>
        <v>中之島図書館</v>
      </c>
      <c r="C4391" s="7" t="str">
        <f t="shared" si="1562"/>
        <v>行政財産</v>
      </c>
      <c r="D4391" s="7" t="str">
        <f t="shared" si="1571"/>
        <v>その他（公共用）の施設</v>
      </c>
      <c r="E4391" s="7" t="str">
        <f t="shared" si="1572"/>
        <v>大阪府大阪市　北区中之島１丁目</v>
      </c>
      <c r="F4391" s="7"/>
      <c r="G4391" s="7" t="str">
        <f t="shared" si="1566"/>
        <v>事業用資産</v>
      </c>
      <c r="H4391" s="7" t="str">
        <f t="shared" si="1555"/>
        <v>棚卸以外</v>
      </c>
      <c r="I4391" s="7">
        <v>2</v>
      </c>
      <c r="J4391" s="7" t="str">
        <f>"１号書庫"</f>
        <v>１号書庫</v>
      </c>
      <c r="K4391" s="7" t="str">
        <f t="shared" si="1568"/>
        <v>鉄筋コンクリート造</v>
      </c>
      <c r="L4391" s="7" t="str">
        <f>"M37.02.01"</f>
        <v>M37.02.01</v>
      </c>
      <c r="M4391" s="7">
        <v>446.28</v>
      </c>
      <c r="N4391" s="7">
        <v>120930653</v>
      </c>
      <c r="O4391" s="7">
        <v>30954481</v>
      </c>
      <c r="P4391" s="7">
        <v>0</v>
      </c>
      <c r="Q4391" s="7" t="str">
        <f t="shared" si="1567"/>
        <v>教育庁</v>
      </c>
      <c r="R4391" s="7" t="str">
        <f t="shared" si="1573"/>
        <v>中之島図書館</v>
      </c>
    </row>
    <row r="4392" spans="1:18" s="1" customFormat="1" x14ac:dyDescent="0.45">
      <c r="A4392" s="7" t="str">
        <f t="shared" si="1569"/>
        <v>10281000000</v>
      </c>
      <c r="B4392" s="7" t="str">
        <f t="shared" si="1570"/>
        <v>中之島図書館</v>
      </c>
      <c r="C4392" s="7" t="str">
        <f t="shared" si="1562"/>
        <v>行政財産</v>
      </c>
      <c r="D4392" s="7" t="str">
        <f t="shared" si="1571"/>
        <v>その他（公共用）の施設</v>
      </c>
      <c r="E4392" s="7" t="str">
        <f t="shared" si="1572"/>
        <v>大阪府大阪市　北区中之島１丁目</v>
      </c>
      <c r="F4392" s="7"/>
      <c r="G4392" s="7" t="str">
        <f t="shared" si="1566"/>
        <v>事業用資産</v>
      </c>
      <c r="H4392" s="7" t="str">
        <f t="shared" si="1555"/>
        <v>棚卸以外</v>
      </c>
      <c r="I4392" s="7">
        <v>3</v>
      </c>
      <c r="J4392" s="7" t="str">
        <f>"食堂棟"</f>
        <v>食堂棟</v>
      </c>
      <c r="K4392" s="7" t="str">
        <f t="shared" si="1568"/>
        <v>鉄筋コンクリート造</v>
      </c>
      <c r="L4392" s="7" t="str">
        <f>"S36.07.31"</f>
        <v>S36.07.31</v>
      </c>
      <c r="M4392" s="7">
        <v>188.99</v>
      </c>
      <c r="N4392" s="7">
        <v>30319501</v>
      </c>
      <c r="O4392" s="7">
        <v>15604562</v>
      </c>
      <c r="P4392" s="7">
        <v>0</v>
      </c>
      <c r="Q4392" s="7" t="str">
        <f t="shared" si="1567"/>
        <v>教育庁</v>
      </c>
      <c r="R4392" s="7" t="str">
        <f t="shared" si="1573"/>
        <v>中之島図書館</v>
      </c>
    </row>
    <row r="4393" spans="1:18" s="1" customFormat="1" x14ac:dyDescent="0.45">
      <c r="A4393" s="7" t="str">
        <f t="shared" si="1569"/>
        <v>10281000000</v>
      </c>
      <c r="B4393" s="7" t="str">
        <f t="shared" si="1570"/>
        <v>中之島図書館</v>
      </c>
      <c r="C4393" s="7" t="str">
        <f t="shared" si="1562"/>
        <v>行政財産</v>
      </c>
      <c r="D4393" s="7" t="str">
        <f t="shared" si="1571"/>
        <v>その他（公共用）の施設</v>
      </c>
      <c r="E4393" s="7" t="str">
        <f t="shared" si="1572"/>
        <v>大阪府大阪市　北区中之島１丁目</v>
      </c>
      <c r="F4393" s="7"/>
      <c r="G4393" s="7" t="str">
        <f t="shared" si="1566"/>
        <v>事業用資産</v>
      </c>
      <c r="H4393" s="7" t="str">
        <f t="shared" si="1555"/>
        <v>棚卸以外</v>
      </c>
      <c r="I4393" s="7">
        <v>9</v>
      </c>
      <c r="J4393" s="7" t="str">
        <f>"別館"</f>
        <v>別館</v>
      </c>
      <c r="K4393" s="7" t="str">
        <f t="shared" si="1568"/>
        <v>鉄筋コンクリート造</v>
      </c>
      <c r="L4393" s="7" t="str">
        <f>"S31.05.25"</f>
        <v>S31.05.25</v>
      </c>
      <c r="M4393" s="7">
        <v>806.5</v>
      </c>
      <c r="N4393" s="7">
        <v>363925145</v>
      </c>
      <c r="O4393" s="7">
        <v>234610147</v>
      </c>
      <c r="P4393" s="7">
        <v>0</v>
      </c>
      <c r="Q4393" s="7" t="str">
        <f t="shared" si="1567"/>
        <v>教育庁</v>
      </c>
      <c r="R4393" s="7" t="str">
        <f t="shared" si="1573"/>
        <v>中之島図書館</v>
      </c>
    </row>
    <row r="4394" spans="1:18" s="1" customFormat="1" x14ac:dyDescent="0.45">
      <c r="A4394" s="7" t="str">
        <f t="shared" si="1569"/>
        <v>10281000000</v>
      </c>
      <c r="B4394" s="7" t="str">
        <f t="shared" si="1570"/>
        <v>中之島図書館</v>
      </c>
      <c r="C4394" s="7" t="str">
        <f t="shared" si="1562"/>
        <v>行政財産</v>
      </c>
      <c r="D4394" s="7" t="str">
        <f t="shared" si="1571"/>
        <v>その他（公共用）の施設</v>
      </c>
      <c r="E4394" s="7" t="str">
        <f t="shared" si="1572"/>
        <v>大阪府大阪市　北区中之島１丁目</v>
      </c>
      <c r="F4394" s="7"/>
      <c r="G4394" s="7" t="str">
        <f t="shared" si="1566"/>
        <v>事業用資産</v>
      </c>
      <c r="H4394" s="7" t="str">
        <f t="shared" si="1555"/>
        <v>棚卸以外</v>
      </c>
      <c r="I4394" s="7">
        <v>16</v>
      </c>
      <c r="J4394" s="7" t="str">
        <f>"電気室棟"</f>
        <v>電気室棟</v>
      </c>
      <c r="K4394" s="7" t="str">
        <f t="shared" si="1568"/>
        <v>鉄筋コンクリート造</v>
      </c>
      <c r="L4394" s="7" t="str">
        <f>"S44.02.28"</f>
        <v>S44.02.28</v>
      </c>
      <c r="M4394" s="7">
        <v>272.97000000000003</v>
      </c>
      <c r="N4394" s="7">
        <v>28099594</v>
      </c>
      <c r="O4394" s="7">
        <v>22443406</v>
      </c>
      <c r="P4394" s="7">
        <v>0</v>
      </c>
      <c r="Q4394" s="7" t="str">
        <f t="shared" si="1567"/>
        <v>教育庁</v>
      </c>
      <c r="R4394" s="7" t="str">
        <f t="shared" si="1573"/>
        <v>中之島図書館</v>
      </c>
    </row>
    <row r="4395" spans="1:18" s="1" customFormat="1" x14ac:dyDescent="0.45">
      <c r="A4395" s="7" t="str">
        <f t="shared" si="1569"/>
        <v>10281000000</v>
      </c>
      <c r="B4395" s="7" t="str">
        <f t="shared" si="1570"/>
        <v>中之島図書館</v>
      </c>
      <c r="C4395" s="7" t="str">
        <f t="shared" si="1562"/>
        <v>行政財産</v>
      </c>
      <c r="D4395" s="7" t="str">
        <f t="shared" si="1571"/>
        <v>その他（公共用）の施設</v>
      </c>
      <c r="E4395" s="7" t="str">
        <f t="shared" si="1572"/>
        <v>大阪府大阪市　北区中之島１丁目</v>
      </c>
      <c r="F4395" s="7"/>
      <c r="G4395" s="7" t="str">
        <f t="shared" si="1566"/>
        <v>事業用資産</v>
      </c>
      <c r="H4395" s="7" t="str">
        <f t="shared" si="1555"/>
        <v>棚卸以外</v>
      </c>
      <c r="I4395" s="7">
        <v>17</v>
      </c>
      <c r="J4395" s="7" t="str">
        <f>"南館"</f>
        <v>南館</v>
      </c>
      <c r="K4395" s="7" t="str">
        <f t="shared" si="1568"/>
        <v>鉄筋コンクリート造</v>
      </c>
      <c r="L4395" s="7" t="str">
        <f>"T11.10.01"</f>
        <v>T11.10.01</v>
      </c>
      <c r="M4395" s="7">
        <v>988.35</v>
      </c>
      <c r="N4395" s="7">
        <v>295541779</v>
      </c>
      <c r="O4395" s="7">
        <v>76004613</v>
      </c>
      <c r="P4395" s="7">
        <v>0</v>
      </c>
      <c r="Q4395" s="7" t="str">
        <f t="shared" si="1567"/>
        <v>教育庁</v>
      </c>
      <c r="R4395" s="7" t="str">
        <f t="shared" si="1573"/>
        <v>中之島図書館</v>
      </c>
    </row>
    <row r="4396" spans="1:18" s="1" customFormat="1" x14ac:dyDescent="0.45">
      <c r="A4396" s="7" t="str">
        <f t="shared" si="1569"/>
        <v>10281000000</v>
      </c>
      <c r="B4396" s="7" t="str">
        <f t="shared" si="1570"/>
        <v>中之島図書館</v>
      </c>
      <c r="C4396" s="7" t="str">
        <f t="shared" si="1562"/>
        <v>行政財産</v>
      </c>
      <c r="D4396" s="7" t="str">
        <f t="shared" si="1571"/>
        <v>その他（公共用）の施設</v>
      </c>
      <c r="E4396" s="7" t="str">
        <f t="shared" si="1572"/>
        <v>大阪府大阪市　北区中之島１丁目</v>
      </c>
      <c r="F4396" s="7"/>
      <c r="G4396" s="7" t="str">
        <f t="shared" si="1566"/>
        <v>事業用資産</v>
      </c>
      <c r="H4396" s="7" t="str">
        <f t="shared" si="1555"/>
        <v>棚卸以外</v>
      </c>
      <c r="I4396" s="7">
        <v>18</v>
      </c>
      <c r="J4396" s="7" t="str">
        <f>"北館"</f>
        <v>北館</v>
      </c>
      <c r="K4396" s="7" t="str">
        <f t="shared" si="1568"/>
        <v>鉄筋コンクリート造</v>
      </c>
      <c r="L4396" s="7" t="str">
        <f>"T11.10.01"</f>
        <v>T11.10.01</v>
      </c>
      <c r="M4396" s="7">
        <v>1043.18</v>
      </c>
      <c r="N4396" s="7">
        <v>344500590</v>
      </c>
      <c r="O4396" s="7">
        <v>98148527</v>
      </c>
      <c r="P4396" s="7">
        <v>0</v>
      </c>
      <c r="Q4396" s="7" t="str">
        <f t="shared" si="1567"/>
        <v>教育庁</v>
      </c>
      <c r="R4396" s="7" t="str">
        <f t="shared" si="1573"/>
        <v>中之島図書館</v>
      </c>
    </row>
    <row r="4397" spans="1:18" s="1" customFormat="1" ht="26.4" x14ac:dyDescent="0.45">
      <c r="A4397" s="7" t="str">
        <f t="shared" si="1569"/>
        <v>10281000000</v>
      </c>
      <c r="B4397" s="7" t="str">
        <f t="shared" si="1570"/>
        <v>中之島図書館</v>
      </c>
      <c r="C4397" s="7" t="str">
        <f t="shared" si="1562"/>
        <v>行政財産</v>
      </c>
      <c r="D4397" s="7" t="str">
        <f t="shared" si="1571"/>
        <v>その他（公共用）の施設</v>
      </c>
      <c r="E4397" s="7" t="str">
        <f t="shared" si="1572"/>
        <v>大阪府大阪市　北区中之島１丁目</v>
      </c>
      <c r="F4397" s="7"/>
      <c r="G4397" s="7" t="str">
        <f t="shared" si="1566"/>
        <v>事業用資産</v>
      </c>
      <c r="H4397" s="7" t="str">
        <f t="shared" si="1555"/>
        <v>棚卸以外</v>
      </c>
      <c r="I4397" s="7">
        <v>19</v>
      </c>
      <c r="J4397" s="7" t="str">
        <f>"撮影室及び男子便所（旧：男子便所物置）"</f>
        <v>撮影室及び男子便所（旧：男子便所物置）</v>
      </c>
      <c r="K4397" s="7" t="str">
        <f t="shared" si="1568"/>
        <v>鉄筋コンクリート造</v>
      </c>
      <c r="L4397" s="7" t="str">
        <f>"S26.03.31"</f>
        <v>S26.03.31</v>
      </c>
      <c r="M4397" s="7">
        <v>31.14</v>
      </c>
      <c r="N4397" s="7">
        <v>2168950</v>
      </c>
      <c r="O4397" s="7">
        <v>1630615</v>
      </c>
      <c r="P4397" s="7">
        <v>0</v>
      </c>
      <c r="Q4397" s="7" t="str">
        <f t="shared" si="1567"/>
        <v>教育庁</v>
      </c>
      <c r="R4397" s="7" t="str">
        <f t="shared" si="1573"/>
        <v>中之島図書館</v>
      </c>
    </row>
    <row r="4398" spans="1:18" s="1" customFormat="1" x14ac:dyDescent="0.45">
      <c r="A4398" s="7" t="str">
        <f t="shared" si="1569"/>
        <v>10281000000</v>
      </c>
      <c r="B4398" s="7" t="str">
        <f t="shared" si="1570"/>
        <v>中之島図書館</v>
      </c>
      <c r="C4398" s="7" t="str">
        <f t="shared" si="1562"/>
        <v>行政財産</v>
      </c>
      <c r="D4398" s="7" t="str">
        <f t="shared" si="1571"/>
        <v>その他（公共用）の施設</v>
      </c>
      <c r="E4398" s="7" t="str">
        <f t="shared" si="1572"/>
        <v>大阪府大阪市　北区中之島１丁目</v>
      </c>
      <c r="F4398" s="7"/>
      <c r="G4398" s="7" t="str">
        <f t="shared" si="1566"/>
        <v>事業用資産</v>
      </c>
      <c r="H4398" s="7" t="str">
        <f t="shared" si="1555"/>
        <v>棚卸以外</v>
      </c>
      <c r="I4398" s="7">
        <v>20</v>
      </c>
      <c r="J4398" s="7" t="str">
        <f>"倉庫及び女子便所（旧：女子便所控室）"</f>
        <v>倉庫及び女子便所（旧：女子便所控室）</v>
      </c>
      <c r="K4398" s="7" t="str">
        <f t="shared" si="1568"/>
        <v>鉄筋コンクリート造</v>
      </c>
      <c r="L4398" s="7" t="str">
        <f>"S26.03.31"</f>
        <v>S26.03.31</v>
      </c>
      <c r="M4398" s="7">
        <v>32.33</v>
      </c>
      <c r="N4398" s="7">
        <v>2416865</v>
      </c>
      <c r="O4398" s="7">
        <v>1850199</v>
      </c>
      <c r="P4398" s="7">
        <v>0</v>
      </c>
      <c r="Q4398" s="7" t="str">
        <f t="shared" si="1567"/>
        <v>教育庁</v>
      </c>
      <c r="R4398" s="7" t="str">
        <f t="shared" si="1573"/>
        <v>中之島図書館</v>
      </c>
    </row>
    <row r="4399" spans="1:18" s="1" customFormat="1" x14ac:dyDescent="0.45">
      <c r="A4399" s="7" t="str">
        <f t="shared" ref="A4399:A4406" si="1574">"10348000000"</f>
        <v>10348000000</v>
      </c>
      <c r="B4399" s="7" t="str">
        <f t="shared" ref="B4399:B4406" si="1575">"大正高等学校"</f>
        <v>大正高等学校</v>
      </c>
      <c r="C4399" s="7" t="str">
        <f t="shared" si="1562"/>
        <v>行政財産</v>
      </c>
      <c r="D4399" s="7" t="str">
        <f t="shared" ref="D4399:D4406" si="1576">"学校"</f>
        <v>学校</v>
      </c>
      <c r="E4399" s="7" t="str">
        <f t="shared" ref="E4399:E4406" si="1577">"大阪府大阪市　大正区泉尾７丁目"</f>
        <v>大阪府大阪市　大正区泉尾７丁目</v>
      </c>
      <c r="F4399" s="7"/>
      <c r="G4399" s="7" t="str">
        <f t="shared" si="1566"/>
        <v>事業用資産</v>
      </c>
      <c r="H4399" s="7" t="str">
        <f t="shared" si="1555"/>
        <v>棚卸以外</v>
      </c>
      <c r="I4399" s="7">
        <v>1</v>
      </c>
      <c r="J4399" s="7" t="str">
        <f>"本館"</f>
        <v>本館</v>
      </c>
      <c r="K4399" s="7" t="str">
        <f>"鉄骨造"</f>
        <v>鉄骨造</v>
      </c>
      <c r="L4399" s="7" t="str">
        <f>"S53.04.07"</f>
        <v>S53.04.07</v>
      </c>
      <c r="M4399" s="7">
        <v>11001.48</v>
      </c>
      <c r="N4399" s="7">
        <v>1124065635</v>
      </c>
      <c r="O4399" s="7">
        <v>1084733053</v>
      </c>
      <c r="P4399" s="7">
        <v>0</v>
      </c>
      <c r="Q4399" s="7" t="str">
        <f t="shared" si="1567"/>
        <v>教育庁</v>
      </c>
      <c r="R4399" s="7" t="str">
        <f t="shared" si="1573"/>
        <v>中之島図書館</v>
      </c>
    </row>
    <row r="4400" spans="1:18" s="1" customFormat="1" x14ac:dyDescent="0.45">
      <c r="A4400" s="7" t="str">
        <f t="shared" si="1574"/>
        <v>10348000000</v>
      </c>
      <c r="B4400" s="7" t="str">
        <f t="shared" si="1575"/>
        <v>大正高等学校</v>
      </c>
      <c r="C4400" s="7" t="str">
        <f t="shared" si="1562"/>
        <v>行政財産</v>
      </c>
      <c r="D4400" s="7" t="str">
        <f t="shared" si="1576"/>
        <v>学校</v>
      </c>
      <c r="E4400" s="7" t="str">
        <f t="shared" si="1577"/>
        <v>大阪府大阪市　大正区泉尾７丁目</v>
      </c>
      <c r="F4400" s="7"/>
      <c r="G4400" s="7" t="str">
        <f t="shared" si="1566"/>
        <v>事業用資産</v>
      </c>
      <c r="H4400" s="7" t="str">
        <f t="shared" si="1555"/>
        <v>棚卸以外</v>
      </c>
      <c r="I4400" s="7">
        <v>2</v>
      </c>
      <c r="J4400" s="7" t="str">
        <f>"プール附属棟"</f>
        <v>プール附属棟</v>
      </c>
      <c r="K4400" s="7" t="str">
        <f>"鉄筋コンクリート造"</f>
        <v>鉄筋コンクリート造</v>
      </c>
      <c r="L4400" s="7" t="str">
        <f>"S54.06.13"</f>
        <v>S54.06.13</v>
      </c>
      <c r="M4400" s="7">
        <v>138</v>
      </c>
      <c r="N4400" s="7">
        <v>26927000</v>
      </c>
      <c r="O4400" s="7">
        <v>26926999</v>
      </c>
      <c r="P4400" s="7">
        <v>0</v>
      </c>
      <c r="Q4400" s="7" t="str">
        <f t="shared" si="1567"/>
        <v>教育庁</v>
      </c>
      <c r="R4400" s="7" t="str">
        <f t="shared" si="1573"/>
        <v>中之島図書館</v>
      </c>
    </row>
    <row r="4401" spans="1:18" s="1" customFormat="1" x14ac:dyDescent="0.45">
      <c r="A4401" s="7" t="str">
        <f t="shared" si="1574"/>
        <v>10348000000</v>
      </c>
      <c r="B4401" s="7" t="str">
        <f t="shared" si="1575"/>
        <v>大正高等学校</v>
      </c>
      <c r="C4401" s="7" t="str">
        <f t="shared" si="1562"/>
        <v>行政財産</v>
      </c>
      <c r="D4401" s="7" t="str">
        <f t="shared" si="1576"/>
        <v>学校</v>
      </c>
      <c r="E4401" s="7" t="str">
        <f t="shared" si="1577"/>
        <v>大阪府大阪市　大正区泉尾７丁目</v>
      </c>
      <c r="F4401" s="7"/>
      <c r="G4401" s="7" t="str">
        <f t="shared" si="1566"/>
        <v>事業用資産</v>
      </c>
      <c r="H4401" s="7" t="str">
        <f t="shared" si="1555"/>
        <v>棚卸以外</v>
      </c>
      <c r="I4401" s="7">
        <v>3</v>
      </c>
      <c r="J4401" s="7" t="str">
        <f>"体育倉庫Ａ"</f>
        <v>体育倉庫Ａ</v>
      </c>
      <c r="K4401" s="7" t="str">
        <f>"鉄骨造"</f>
        <v>鉄骨造</v>
      </c>
      <c r="L4401" s="7" t="str">
        <f>"S54.06.13"</f>
        <v>S54.06.13</v>
      </c>
      <c r="M4401" s="7">
        <v>100</v>
      </c>
      <c r="N4401" s="7">
        <v>5908600</v>
      </c>
      <c r="O4401" s="7">
        <v>5570274</v>
      </c>
      <c r="P4401" s="7">
        <v>0</v>
      </c>
      <c r="Q4401" s="7" t="str">
        <f t="shared" si="1567"/>
        <v>教育庁</v>
      </c>
      <c r="R4401" s="7" t="str">
        <f t="shared" si="1573"/>
        <v>中之島図書館</v>
      </c>
    </row>
    <row r="4402" spans="1:18" s="1" customFormat="1" x14ac:dyDescent="0.45">
      <c r="A4402" s="7" t="str">
        <f t="shared" si="1574"/>
        <v>10348000000</v>
      </c>
      <c r="B4402" s="7" t="str">
        <f t="shared" si="1575"/>
        <v>大正高等学校</v>
      </c>
      <c r="C4402" s="7" t="str">
        <f t="shared" si="1562"/>
        <v>行政財産</v>
      </c>
      <c r="D4402" s="7" t="str">
        <f t="shared" si="1576"/>
        <v>学校</v>
      </c>
      <c r="E4402" s="7" t="str">
        <f t="shared" si="1577"/>
        <v>大阪府大阪市　大正区泉尾７丁目</v>
      </c>
      <c r="F4402" s="7"/>
      <c r="G4402" s="7" t="str">
        <f t="shared" si="1566"/>
        <v>事業用資産</v>
      </c>
      <c r="H4402" s="7" t="str">
        <f t="shared" si="1555"/>
        <v>棚卸以外</v>
      </c>
      <c r="I4402" s="7">
        <v>4</v>
      </c>
      <c r="J4402" s="7" t="str">
        <f>"体育館"</f>
        <v>体育館</v>
      </c>
      <c r="K4402" s="7" t="str">
        <f>"鉄筋コンクリート造"</f>
        <v>鉄筋コンクリート造</v>
      </c>
      <c r="L4402" s="7" t="str">
        <f>"S54.09.13"</f>
        <v>S54.09.13</v>
      </c>
      <c r="M4402" s="7">
        <v>3143.79</v>
      </c>
      <c r="N4402" s="7">
        <v>396016598</v>
      </c>
      <c r="O4402" s="7">
        <v>315350776</v>
      </c>
      <c r="P4402" s="7">
        <v>0</v>
      </c>
      <c r="Q4402" s="7" t="str">
        <f t="shared" si="1567"/>
        <v>教育庁</v>
      </c>
      <c r="R4402" s="7" t="str">
        <f t="shared" si="1573"/>
        <v>中之島図書館</v>
      </c>
    </row>
    <row r="4403" spans="1:18" s="1" customFormat="1" x14ac:dyDescent="0.45">
      <c r="A4403" s="7" t="str">
        <f t="shared" si="1574"/>
        <v>10348000000</v>
      </c>
      <c r="B4403" s="7" t="str">
        <f t="shared" si="1575"/>
        <v>大正高等学校</v>
      </c>
      <c r="C4403" s="7" t="str">
        <f t="shared" si="1562"/>
        <v>行政財産</v>
      </c>
      <c r="D4403" s="7" t="str">
        <f t="shared" si="1576"/>
        <v>学校</v>
      </c>
      <c r="E4403" s="7" t="str">
        <f t="shared" si="1577"/>
        <v>大阪府大阪市　大正区泉尾７丁目</v>
      </c>
      <c r="F4403" s="7"/>
      <c r="G4403" s="7" t="str">
        <f t="shared" si="1566"/>
        <v>事業用資産</v>
      </c>
      <c r="H4403" s="7" t="str">
        <f t="shared" si="1555"/>
        <v>棚卸以外</v>
      </c>
      <c r="I4403" s="7">
        <v>5</v>
      </c>
      <c r="J4403" s="7" t="str">
        <f>"ごみ集積場"</f>
        <v>ごみ集積場</v>
      </c>
      <c r="K4403" s="7" t="str">
        <f>"鉄筋コンクリート造"</f>
        <v>鉄筋コンクリート造</v>
      </c>
      <c r="L4403" s="7" t="str">
        <f>"S54.09.13"</f>
        <v>S54.09.13</v>
      </c>
      <c r="M4403" s="7">
        <v>13.63</v>
      </c>
      <c r="N4403" s="7">
        <v>870000</v>
      </c>
      <c r="O4403" s="7">
        <v>869999</v>
      </c>
      <c r="P4403" s="7">
        <v>0</v>
      </c>
      <c r="Q4403" s="7" t="str">
        <f t="shared" si="1567"/>
        <v>教育庁</v>
      </c>
      <c r="R4403" s="7" t="str">
        <f t="shared" si="1573"/>
        <v>中之島図書館</v>
      </c>
    </row>
    <row r="4404" spans="1:18" s="1" customFormat="1" x14ac:dyDescent="0.45">
      <c r="A4404" s="7" t="str">
        <f t="shared" si="1574"/>
        <v>10348000000</v>
      </c>
      <c r="B4404" s="7" t="str">
        <f t="shared" si="1575"/>
        <v>大正高等学校</v>
      </c>
      <c r="C4404" s="7" t="str">
        <f t="shared" si="1562"/>
        <v>行政財産</v>
      </c>
      <c r="D4404" s="7" t="str">
        <f t="shared" si="1576"/>
        <v>学校</v>
      </c>
      <c r="E4404" s="7" t="str">
        <f t="shared" si="1577"/>
        <v>大阪府大阪市　大正区泉尾７丁目</v>
      </c>
      <c r="F4404" s="7"/>
      <c r="G4404" s="7" t="str">
        <f t="shared" si="1566"/>
        <v>事業用資産</v>
      </c>
      <c r="H4404" s="7" t="str">
        <f t="shared" si="1555"/>
        <v>棚卸以外</v>
      </c>
      <c r="I4404" s="7">
        <v>6</v>
      </c>
      <c r="J4404" s="7" t="str">
        <f>"倉庫Ａ"</f>
        <v>倉庫Ａ</v>
      </c>
      <c r="K4404" s="7" t="str">
        <f>"鉄骨造"</f>
        <v>鉄骨造</v>
      </c>
      <c r="L4404" s="7" t="str">
        <f>"S56.03.25"</f>
        <v>S56.03.25</v>
      </c>
      <c r="M4404" s="7">
        <v>50</v>
      </c>
      <c r="N4404" s="7">
        <v>5545000</v>
      </c>
      <c r="O4404" s="7">
        <v>5544999</v>
      </c>
      <c r="P4404" s="7">
        <v>0</v>
      </c>
      <c r="Q4404" s="7" t="str">
        <f t="shared" si="1567"/>
        <v>教育庁</v>
      </c>
      <c r="R4404" s="7" t="str">
        <f t="shared" si="1573"/>
        <v>中之島図書館</v>
      </c>
    </row>
    <row r="4405" spans="1:18" s="1" customFormat="1" x14ac:dyDescent="0.45">
      <c r="A4405" s="7" t="str">
        <f t="shared" si="1574"/>
        <v>10348000000</v>
      </c>
      <c r="B4405" s="7" t="str">
        <f t="shared" si="1575"/>
        <v>大正高等学校</v>
      </c>
      <c r="C4405" s="7" t="str">
        <f t="shared" si="1562"/>
        <v>行政財産</v>
      </c>
      <c r="D4405" s="7" t="str">
        <f t="shared" si="1576"/>
        <v>学校</v>
      </c>
      <c r="E4405" s="7" t="str">
        <f t="shared" si="1577"/>
        <v>大阪府大阪市　大正区泉尾７丁目</v>
      </c>
      <c r="F4405" s="7"/>
      <c r="G4405" s="7" t="str">
        <f t="shared" si="1566"/>
        <v>事業用資産</v>
      </c>
      <c r="H4405" s="7" t="str">
        <f t="shared" si="1555"/>
        <v>棚卸以外</v>
      </c>
      <c r="I4405" s="7">
        <v>7</v>
      </c>
      <c r="J4405" s="7" t="str">
        <f>"倉庫Ｂ"</f>
        <v>倉庫Ｂ</v>
      </c>
      <c r="K4405" s="7" t="str">
        <f>"鉄骨造"</f>
        <v>鉄骨造</v>
      </c>
      <c r="L4405" s="7" t="str">
        <f>"S56.03.25"</f>
        <v>S56.03.25</v>
      </c>
      <c r="M4405" s="7">
        <v>50</v>
      </c>
      <c r="N4405" s="7">
        <v>5521000</v>
      </c>
      <c r="O4405" s="7">
        <v>5520999</v>
      </c>
      <c r="P4405" s="7">
        <v>0</v>
      </c>
      <c r="Q4405" s="7" t="str">
        <f t="shared" si="1567"/>
        <v>教育庁</v>
      </c>
      <c r="R4405" s="7" t="str">
        <f t="shared" si="1573"/>
        <v>中之島図書館</v>
      </c>
    </row>
    <row r="4406" spans="1:18" s="1" customFormat="1" x14ac:dyDescent="0.45">
      <c r="A4406" s="7" t="str">
        <f t="shared" si="1574"/>
        <v>10348000000</v>
      </c>
      <c r="B4406" s="7" t="str">
        <f t="shared" si="1575"/>
        <v>大正高等学校</v>
      </c>
      <c r="C4406" s="7" t="str">
        <f t="shared" si="1562"/>
        <v>行政財産</v>
      </c>
      <c r="D4406" s="7" t="str">
        <f t="shared" si="1576"/>
        <v>学校</v>
      </c>
      <c r="E4406" s="7" t="str">
        <f t="shared" si="1577"/>
        <v>大阪府大阪市　大正区泉尾７丁目</v>
      </c>
      <c r="F4406" s="7"/>
      <c r="G4406" s="7" t="str">
        <f t="shared" si="1566"/>
        <v>事業用資産</v>
      </c>
      <c r="H4406" s="7" t="str">
        <f t="shared" si="1555"/>
        <v>棚卸以外</v>
      </c>
      <c r="I4406" s="7">
        <v>8</v>
      </c>
      <c r="J4406" s="7" t="str">
        <f>"体育倉庫Ｂ"</f>
        <v>体育倉庫Ｂ</v>
      </c>
      <c r="K4406" s="7" t="str">
        <f>"レンガ、石積造"</f>
        <v>レンガ、石積造</v>
      </c>
      <c r="L4406" s="7" t="str">
        <f>"H07.03.09"</f>
        <v>H07.03.09</v>
      </c>
      <c r="M4406" s="7">
        <v>29.24</v>
      </c>
      <c r="N4406" s="7">
        <v>995000</v>
      </c>
      <c r="O4406" s="7">
        <v>819467</v>
      </c>
      <c r="P4406" s="7">
        <v>0</v>
      </c>
      <c r="Q4406" s="7" t="str">
        <f t="shared" si="1567"/>
        <v>教育庁</v>
      </c>
      <c r="R4406" s="7" t="str">
        <f t="shared" si="1573"/>
        <v>中之島図書館</v>
      </c>
    </row>
    <row r="4407" spans="1:18" s="1" customFormat="1" ht="26.4" x14ac:dyDescent="0.45">
      <c r="A4407" s="7" t="str">
        <f>"10282000001"</f>
        <v>10282000001</v>
      </c>
      <c r="B4407" s="7" t="str">
        <f>"大阪府立中央図書館"</f>
        <v>大阪府立中央図書館</v>
      </c>
      <c r="C4407" s="7" t="str">
        <f t="shared" si="1562"/>
        <v>行政財産</v>
      </c>
      <c r="D4407" s="7" t="str">
        <f>"その他（公共用）の施設"</f>
        <v>その他（公共用）の施設</v>
      </c>
      <c r="E4407" s="7" t="str">
        <f>"大阪府東大阪市荒本北１丁目"</f>
        <v>大阪府東大阪市荒本北１丁目</v>
      </c>
      <c r="F4407" s="7" t="str">
        <f>"２番１号"</f>
        <v>２番１号</v>
      </c>
      <c r="G4407" s="7" t="str">
        <f t="shared" si="1566"/>
        <v>事業用資産</v>
      </c>
      <c r="H4407" s="7" t="str">
        <f t="shared" si="1555"/>
        <v>棚卸以外</v>
      </c>
      <c r="I4407" s="7">
        <v>1</v>
      </c>
      <c r="J4407" s="7" t="str">
        <f>"大阪府立中央図書館本館"</f>
        <v>大阪府立中央図書館本館</v>
      </c>
      <c r="K4407" s="7" t="str">
        <f>"鉄骨鉄筋コンクリート造"</f>
        <v>鉄骨鉄筋コンクリート造</v>
      </c>
      <c r="L4407" s="7" t="str">
        <f>"H07.10.02"</f>
        <v>H07.10.02</v>
      </c>
      <c r="M4407" s="7">
        <v>30770.67</v>
      </c>
      <c r="N4407" s="7">
        <v>17487245103</v>
      </c>
      <c r="O4407" s="7">
        <v>9202037367</v>
      </c>
      <c r="P4407" s="7">
        <v>0</v>
      </c>
      <c r="Q4407" s="7" t="str">
        <f t="shared" si="1567"/>
        <v>教育庁</v>
      </c>
      <c r="R4407" s="7" t="str">
        <f>"中央図書館"</f>
        <v>中央図書館</v>
      </c>
    </row>
    <row r="4408" spans="1:18" s="1" customFormat="1" x14ac:dyDescent="0.45">
      <c r="A4408" s="7" t="str">
        <f>"10282000001"</f>
        <v>10282000001</v>
      </c>
      <c r="B4408" s="7" t="str">
        <f>"大阪府立中央図書館"</f>
        <v>大阪府立中央図書館</v>
      </c>
      <c r="C4408" s="7" t="str">
        <f t="shared" si="1562"/>
        <v>行政財産</v>
      </c>
      <c r="D4408" s="7" t="str">
        <f>"その他（公共用）の施設"</f>
        <v>その他（公共用）の施設</v>
      </c>
      <c r="E4408" s="7" t="str">
        <f>"大阪府東大阪市荒本北１丁目"</f>
        <v>大阪府東大阪市荒本北１丁目</v>
      </c>
      <c r="F4408" s="7" t="str">
        <f>"２番１号"</f>
        <v>２番１号</v>
      </c>
      <c r="G4408" s="7" t="str">
        <f t="shared" si="1566"/>
        <v>事業用資産</v>
      </c>
      <c r="H4408" s="7" t="str">
        <f t="shared" si="1555"/>
        <v>棚卸以外</v>
      </c>
      <c r="I4408" s="7">
        <v>2</v>
      </c>
      <c r="J4408" s="7" t="str">
        <f>"大阪府立中央図書館駐輪場"</f>
        <v>大阪府立中央図書館駐輪場</v>
      </c>
      <c r="K4408" s="7" t="str">
        <f>"鉄骨造"</f>
        <v>鉄骨造</v>
      </c>
      <c r="L4408" s="7" t="str">
        <f>"H07.10.06"</f>
        <v>H07.10.06</v>
      </c>
      <c r="M4408" s="7">
        <v>247.96</v>
      </c>
      <c r="N4408" s="7">
        <v>33818000</v>
      </c>
      <c r="O4408" s="7">
        <v>29909061</v>
      </c>
      <c r="P4408" s="7">
        <v>0</v>
      </c>
      <c r="Q4408" s="7" t="str">
        <f t="shared" si="1567"/>
        <v>教育庁</v>
      </c>
      <c r="R4408" s="7" t="str">
        <f>"中央図書館"</f>
        <v>中央図書館</v>
      </c>
    </row>
    <row r="4409" spans="1:18" s="1" customFormat="1" x14ac:dyDescent="0.45">
      <c r="A4409" s="7" t="str">
        <f t="shared" ref="A4409:A4421" si="1578">"10334000000"</f>
        <v>10334000000</v>
      </c>
      <c r="B4409" s="7" t="str">
        <f t="shared" ref="B4409:B4421" si="1579">"北野高等学校"</f>
        <v>北野高等学校</v>
      </c>
      <c r="C4409" s="7" t="str">
        <f t="shared" si="1562"/>
        <v>行政財産</v>
      </c>
      <c r="D4409" s="7" t="str">
        <f t="shared" ref="D4409:D4472" si="1580">"学校"</f>
        <v>学校</v>
      </c>
      <c r="E4409" s="7" t="str">
        <f t="shared" ref="E4409:E4421" si="1581">"大阪府大阪市　淀川区新北野２丁目"</f>
        <v>大阪府大阪市　淀川区新北野２丁目</v>
      </c>
      <c r="F4409" s="7"/>
      <c r="G4409" s="7" t="str">
        <f t="shared" si="1566"/>
        <v>事業用資産</v>
      </c>
      <c r="H4409" s="7" t="str">
        <f t="shared" si="1555"/>
        <v>棚卸以外</v>
      </c>
      <c r="I4409" s="7">
        <v>13</v>
      </c>
      <c r="J4409" s="7" t="str">
        <f>"クラブ部室"</f>
        <v>クラブ部室</v>
      </c>
      <c r="K4409" s="7" t="str">
        <f>"鉄骨コンクリート造"</f>
        <v>鉄骨コンクリート造</v>
      </c>
      <c r="L4409" s="7" t="str">
        <f>"S37.07.31"</f>
        <v>S37.07.31</v>
      </c>
      <c r="M4409" s="7">
        <v>246.49</v>
      </c>
      <c r="N4409" s="7">
        <v>12651305</v>
      </c>
      <c r="O4409" s="7">
        <v>12651304</v>
      </c>
      <c r="P4409" s="7">
        <v>0</v>
      </c>
      <c r="Q4409" s="7" t="str">
        <f t="shared" si="1567"/>
        <v>教育庁</v>
      </c>
      <c r="R4409" s="7" t="str">
        <f t="shared" ref="R4409:R4421" si="1582">"北野高等学校"</f>
        <v>北野高等学校</v>
      </c>
    </row>
    <row r="4410" spans="1:18" s="1" customFormat="1" x14ac:dyDescent="0.45">
      <c r="A4410" s="7" t="str">
        <f t="shared" si="1578"/>
        <v>10334000000</v>
      </c>
      <c r="B4410" s="7" t="str">
        <f t="shared" si="1579"/>
        <v>北野高等学校</v>
      </c>
      <c r="C4410" s="7" t="str">
        <f t="shared" si="1562"/>
        <v>行政財産</v>
      </c>
      <c r="D4410" s="7" t="str">
        <f t="shared" si="1580"/>
        <v>学校</v>
      </c>
      <c r="E4410" s="7" t="str">
        <f t="shared" si="1581"/>
        <v>大阪府大阪市　淀川区新北野２丁目</v>
      </c>
      <c r="F4410" s="7"/>
      <c r="G4410" s="7" t="str">
        <f t="shared" si="1566"/>
        <v>事業用資産</v>
      </c>
      <c r="H4410" s="7" t="str">
        <f t="shared" si="1555"/>
        <v>棚卸以外</v>
      </c>
      <c r="I4410" s="7">
        <v>40</v>
      </c>
      <c r="J4410" s="7" t="str">
        <f>"体育館"</f>
        <v>体育館</v>
      </c>
      <c r="K4410" s="7" t="str">
        <f>"鉄筋コンクリート造"</f>
        <v>鉄筋コンクリート造</v>
      </c>
      <c r="L4410" s="7" t="str">
        <f>"S53.04.27"</f>
        <v>S53.04.27</v>
      </c>
      <c r="M4410" s="7">
        <v>2872.62</v>
      </c>
      <c r="N4410" s="7">
        <v>377982698</v>
      </c>
      <c r="O4410" s="7">
        <v>285182470</v>
      </c>
      <c r="P4410" s="7">
        <v>0</v>
      </c>
      <c r="Q4410" s="7" t="str">
        <f t="shared" si="1567"/>
        <v>教育庁</v>
      </c>
      <c r="R4410" s="7" t="str">
        <f t="shared" si="1582"/>
        <v>北野高等学校</v>
      </c>
    </row>
    <row r="4411" spans="1:18" s="1" customFormat="1" x14ac:dyDescent="0.45">
      <c r="A4411" s="7" t="str">
        <f t="shared" si="1578"/>
        <v>10334000000</v>
      </c>
      <c r="B4411" s="7" t="str">
        <f t="shared" si="1579"/>
        <v>北野高等学校</v>
      </c>
      <c r="C4411" s="7" t="str">
        <f t="shared" si="1562"/>
        <v>行政財産</v>
      </c>
      <c r="D4411" s="7" t="str">
        <f t="shared" si="1580"/>
        <v>学校</v>
      </c>
      <c r="E4411" s="7" t="str">
        <f t="shared" si="1581"/>
        <v>大阪府大阪市　淀川区新北野２丁目</v>
      </c>
      <c r="F4411" s="7"/>
      <c r="G4411" s="7" t="str">
        <f t="shared" si="1566"/>
        <v>事業用資産</v>
      </c>
      <c r="H4411" s="7" t="str">
        <f t="shared" si="1555"/>
        <v>棚卸以外</v>
      </c>
      <c r="I4411" s="7">
        <v>42</v>
      </c>
      <c r="J4411" s="7" t="str">
        <f>"セミナーハウス"</f>
        <v>セミナーハウス</v>
      </c>
      <c r="K4411" s="7" t="str">
        <f>"鉄筋コンクリート造"</f>
        <v>鉄筋コンクリート造</v>
      </c>
      <c r="L4411" s="7" t="str">
        <f>"S55.08.26"</f>
        <v>S55.08.26</v>
      </c>
      <c r="M4411" s="7">
        <v>937.11</v>
      </c>
      <c r="N4411" s="7">
        <v>154453000</v>
      </c>
      <c r="O4411" s="7">
        <v>115117205</v>
      </c>
      <c r="P4411" s="7">
        <v>0</v>
      </c>
      <c r="Q4411" s="7" t="str">
        <f t="shared" si="1567"/>
        <v>教育庁</v>
      </c>
      <c r="R4411" s="7" t="str">
        <f t="shared" si="1582"/>
        <v>北野高等学校</v>
      </c>
    </row>
    <row r="4412" spans="1:18" s="1" customFormat="1" x14ac:dyDescent="0.45">
      <c r="A4412" s="7" t="str">
        <f t="shared" si="1578"/>
        <v>10334000000</v>
      </c>
      <c r="B4412" s="7" t="str">
        <f t="shared" si="1579"/>
        <v>北野高等学校</v>
      </c>
      <c r="C4412" s="7" t="str">
        <f t="shared" si="1562"/>
        <v>行政財産</v>
      </c>
      <c r="D4412" s="7" t="str">
        <f t="shared" si="1580"/>
        <v>学校</v>
      </c>
      <c r="E4412" s="7" t="str">
        <f t="shared" si="1581"/>
        <v>大阪府大阪市　淀川区新北野２丁目</v>
      </c>
      <c r="F4412" s="7"/>
      <c r="G4412" s="7" t="str">
        <f t="shared" si="1566"/>
        <v>事業用資産</v>
      </c>
      <c r="H4412" s="7" t="str">
        <f t="shared" si="1555"/>
        <v>棚卸以外</v>
      </c>
      <c r="I4412" s="7">
        <v>48</v>
      </c>
      <c r="J4412" s="7" t="str">
        <f>"プール附属室"</f>
        <v>プール附属室</v>
      </c>
      <c r="K4412" s="7" t="str">
        <f>"軽量鉄骨造"</f>
        <v>軽量鉄骨造</v>
      </c>
      <c r="L4412" s="7" t="str">
        <f>"S62.03.31"</f>
        <v>S62.03.31</v>
      </c>
      <c r="M4412" s="7">
        <v>121.5</v>
      </c>
      <c r="N4412" s="7">
        <v>11730000</v>
      </c>
      <c r="O4412" s="7">
        <v>11729999</v>
      </c>
      <c r="P4412" s="7">
        <v>0</v>
      </c>
      <c r="Q4412" s="7" t="str">
        <f t="shared" si="1567"/>
        <v>教育庁</v>
      </c>
      <c r="R4412" s="7" t="str">
        <f t="shared" si="1582"/>
        <v>北野高等学校</v>
      </c>
    </row>
    <row r="4413" spans="1:18" s="1" customFormat="1" x14ac:dyDescent="0.45">
      <c r="A4413" s="7" t="str">
        <f t="shared" si="1578"/>
        <v>10334000000</v>
      </c>
      <c r="B4413" s="7" t="str">
        <f t="shared" si="1579"/>
        <v>北野高等学校</v>
      </c>
      <c r="C4413" s="7" t="str">
        <f t="shared" si="1562"/>
        <v>行政財産</v>
      </c>
      <c r="D4413" s="7" t="str">
        <f t="shared" si="1580"/>
        <v>学校</v>
      </c>
      <c r="E4413" s="7" t="str">
        <f t="shared" si="1581"/>
        <v>大阪府大阪市　淀川区新北野２丁目</v>
      </c>
      <c r="F4413" s="7"/>
      <c r="G4413" s="7" t="str">
        <f t="shared" si="1566"/>
        <v>事業用資産</v>
      </c>
      <c r="H4413" s="7" t="str">
        <f t="shared" si="1555"/>
        <v>棚卸以外</v>
      </c>
      <c r="I4413" s="7">
        <v>49</v>
      </c>
      <c r="J4413" s="7" t="str">
        <f>"プール更衣室"</f>
        <v>プール更衣室</v>
      </c>
      <c r="K4413" s="7" t="str">
        <f>"軽量鉄骨造"</f>
        <v>軽量鉄骨造</v>
      </c>
      <c r="L4413" s="7" t="str">
        <f>"H03.06.01"</f>
        <v>H03.06.01</v>
      </c>
      <c r="M4413" s="7">
        <v>60.86</v>
      </c>
      <c r="N4413" s="7">
        <v>55356109</v>
      </c>
      <c r="O4413" s="7">
        <v>14319037</v>
      </c>
      <c r="P4413" s="7">
        <v>0</v>
      </c>
      <c r="Q4413" s="7" t="str">
        <f t="shared" si="1567"/>
        <v>教育庁</v>
      </c>
      <c r="R4413" s="7" t="str">
        <f t="shared" si="1582"/>
        <v>北野高等学校</v>
      </c>
    </row>
    <row r="4414" spans="1:18" s="1" customFormat="1" x14ac:dyDescent="0.45">
      <c r="A4414" s="7" t="str">
        <f t="shared" si="1578"/>
        <v>10334000000</v>
      </c>
      <c r="B4414" s="7" t="str">
        <f t="shared" si="1579"/>
        <v>北野高等学校</v>
      </c>
      <c r="C4414" s="7" t="str">
        <f t="shared" si="1562"/>
        <v>行政財産</v>
      </c>
      <c r="D4414" s="7" t="str">
        <f t="shared" si="1580"/>
        <v>学校</v>
      </c>
      <c r="E4414" s="7" t="str">
        <f t="shared" si="1581"/>
        <v>大阪府大阪市　淀川区新北野２丁目</v>
      </c>
      <c r="F4414" s="7"/>
      <c r="G4414" s="7" t="str">
        <f t="shared" si="1566"/>
        <v>事業用資産</v>
      </c>
      <c r="H4414" s="7" t="str">
        <f t="shared" si="1555"/>
        <v>棚卸以外</v>
      </c>
      <c r="I4414" s="7">
        <v>50</v>
      </c>
      <c r="J4414" s="7" t="str">
        <f>"プール便所"</f>
        <v>プール便所</v>
      </c>
      <c r="K4414" s="7" t="str">
        <f>"軽量鉄骨造"</f>
        <v>軽量鉄骨造</v>
      </c>
      <c r="L4414" s="7" t="str">
        <f>"H04.03.28"</f>
        <v>H04.03.28</v>
      </c>
      <c r="M4414" s="7">
        <v>4.5999999999999996</v>
      </c>
      <c r="N4414" s="7">
        <v>919000</v>
      </c>
      <c r="O4414" s="7">
        <v>918999</v>
      </c>
      <c r="P4414" s="7">
        <v>0</v>
      </c>
      <c r="Q4414" s="7" t="str">
        <f t="shared" si="1567"/>
        <v>教育庁</v>
      </c>
      <c r="R4414" s="7" t="str">
        <f t="shared" si="1582"/>
        <v>北野高等学校</v>
      </c>
    </row>
    <row r="4415" spans="1:18" s="1" customFormat="1" ht="26.4" x14ac:dyDescent="0.45">
      <c r="A4415" s="7" t="str">
        <f t="shared" si="1578"/>
        <v>10334000000</v>
      </c>
      <c r="B4415" s="7" t="str">
        <f t="shared" si="1579"/>
        <v>北野高等学校</v>
      </c>
      <c r="C4415" s="7" t="str">
        <f t="shared" si="1562"/>
        <v>行政財産</v>
      </c>
      <c r="D4415" s="7" t="str">
        <f t="shared" si="1580"/>
        <v>学校</v>
      </c>
      <c r="E4415" s="7" t="str">
        <f t="shared" si="1581"/>
        <v>大阪府大阪市　淀川区新北野２丁目</v>
      </c>
      <c r="F4415" s="7"/>
      <c r="G4415" s="7" t="str">
        <f t="shared" si="1566"/>
        <v>事業用資産</v>
      </c>
      <c r="H4415" s="7" t="str">
        <f t="shared" si="1555"/>
        <v>棚卸以外</v>
      </c>
      <c r="I4415" s="7">
        <v>51</v>
      </c>
      <c r="J4415" s="7" t="str">
        <f>"本館"</f>
        <v>本館</v>
      </c>
      <c r="K4415" s="7" t="str">
        <f>"鉄骨鉄筋コンクリート造"</f>
        <v>鉄骨鉄筋コンクリート造</v>
      </c>
      <c r="L4415" s="7" t="str">
        <f>"H11.11.17"</f>
        <v>H11.11.17</v>
      </c>
      <c r="M4415" s="7">
        <v>7439.72</v>
      </c>
      <c r="N4415" s="7">
        <v>1669478290</v>
      </c>
      <c r="O4415" s="7">
        <v>750842256</v>
      </c>
      <c r="P4415" s="7">
        <v>0</v>
      </c>
      <c r="Q4415" s="7" t="str">
        <f t="shared" si="1567"/>
        <v>教育庁</v>
      </c>
      <c r="R4415" s="7" t="str">
        <f t="shared" si="1582"/>
        <v>北野高等学校</v>
      </c>
    </row>
    <row r="4416" spans="1:18" s="1" customFormat="1" ht="26.4" x14ac:dyDescent="0.45">
      <c r="A4416" s="7" t="str">
        <f t="shared" si="1578"/>
        <v>10334000000</v>
      </c>
      <c r="B4416" s="7" t="str">
        <f t="shared" si="1579"/>
        <v>北野高等学校</v>
      </c>
      <c r="C4416" s="7" t="str">
        <f t="shared" si="1562"/>
        <v>行政財産</v>
      </c>
      <c r="D4416" s="7" t="str">
        <f t="shared" si="1580"/>
        <v>学校</v>
      </c>
      <c r="E4416" s="7" t="str">
        <f t="shared" si="1581"/>
        <v>大阪府大阪市　淀川区新北野２丁目</v>
      </c>
      <c r="F4416" s="7"/>
      <c r="G4416" s="7" t="str">
        <f t="shared" si="1566"/>
        <v>事業用資産</v>
      </c>
      <c r="H4416" s="7" t="str">
        <f t="shared" si="1555"/>
        <v>棚卸以外</v>
      </c>
      <c r="I4416" s="7">
        <v>52</v>
      </c>
      <c r="J4416" s="7" t="str">
        <f>"図書館"</f>
        <v>図書館</v>
      </c>
      <c r="K4416" s="7" t="str">
        <f>"鉄骨鉄筋コンクリート造"</f>
        <v>鉄骨鉄筋コンクリート造</v>
      </c>
      <c r="L4416" s="7" t="str">
        <f>"H11.11.17"</f>
        <v>H11.11.17</v>
      </c>
      <c r="M4416" s="7">
        <v>729.95</v>
      </c>
      <c r="N4416" s="7">
        <v>190165887</v>
      </c>
      <c r="O4416" s="7">
        <v>87921147</v>
      </c>
      <c r="P4416" s="7">
        <v>0</v>
      </c>
      <c r="Q4416" s="7" t="str">
        <f t="shared" si="1567"/>
        <v>教育庁</v>
      </c>
      <c r="R4416" s="7" t="str">
        <f t="shared" si="1582"/>
        <v>北野高等学校</v>
      </c>
    </row>
    <row r="4417" spans="1:18" s="1" customFormat="1" x14ac:dyDescent="0.45">
      <c r="A4417" s="7" t="str">
        <f t="shared" si="1578"/>
        <v>10334000000</v>
      </c>
      <c r="B4417" s="7" t="str">
        <f t="shared" si="1579"/>
        <v>北野高等学校</v>
      </c>
      <c r="C4417" s="7" t="str">
        <f t="shared" si="1562"/>
        <v>行政財産</v>
      </c>
      <c r="D4417" s="7" t="str">
        <f t="shared" si="1580"/>
        <v>学校</v>
      </c>
      <c r="E4417" s="7" t="str">
        <f t="shared" si="1581"/>
        <v>大阪府大阪市　淀川区新北野２丁目</v>
      </c>
      <c r="F4417" s="7"/>
      <c r="G4417" s="7" t="str">
        <f t="shared" si="1566"/>
        <v>事業用資産</v>
      </c>
      <c r="H4417" s="7" t="str">
        <f t="shared" si="1555"/>
        <v>棚卸以外</v>
      </c>
      <c r="I4417" s="7">
        <v>53</v>
      </c>
      <c r="J4417" s="7" t="str">
        <f>"教室棟"</f>
        <v>教室棟</v>
      </c>
      <c r="K4417" s="7" t="str">
        <f>"鉄筋コンクリート造"</f>
        <v>鉄筋コンクリート造</v>
      </c>
      <c r="L4417" s="7" t="str">
        <f>"H14.02.14"</f>
        <v>H14.02.14</v>
      </c>
      <c r="M4417" s="7">
        <v>2755.01</v>
      </c>
      <c r="N4417" s="7">
        <v>590820100</v>
      </c>
      <c r="O4417" s="7">
        <v>250864927</v>
      </c>
      <c r="P4417" s="7">
        <v>0</v>
      </c>
      <c r="Q4417" s="7" t="str">
        <f t="shared" si="1567"/>
        <v>教育庁</v>
      </c>
      <c r="R4417" s="7" t="str">
        <f t="shared" si="1582"/>
        <v>北野高等学校</v>
      </c>
    </row>
    <row r="4418" spans="1:18" s="1" customFormat="1" x14ac:dyDescent="0.45">
      <c r="A4418" s="7" t="str">
        <f t="shared" si="1578"/>
        <v>10334000000</v>
      </c>
      <c r="B4418" s="7" t="str">
        <f t="shared" si="1579"/>
        <v>北野高等学校</v>
      </c>
      <c r="C4418" s="7" t="str">
        <f t="shared" si="1562"/>
        <v>行政財産</v>
      </c>
      <c r="D4418" s="7" t="str">
        <f t="shared" si="1580"/>
        <v>学校</v>
      </c>
      <c r="E4418" s="7" t="str">
        <f t="shared" si="1581"/>
        <v>大阪府大阪市　淀川区新北野２丁目</v>
      </c>
      <c r="F4418" s="7"/>
      <c r="G4418" s="7" t="str">
        <f t="shared" si="1566"/>
        <v>事業用資産</v>
      </c>
      <c r="H4418" s="7" t="str">
        <f t="shared" si="1555"/>
        <v>棚卸以外</v>
      </c>
      <c r="I4418" s="7">
        <v>54</v>
      </c>
      <c r="J4418" s="7" t="str">
        <f>"東体育倉庫"</f>
        <v>東体育倉庫</v>
      </c>
      <c r="K4418" s="7" t="str">
        <f>"鉄骨コンクリート造"</f>
        <v>鉄骨コンクリート造</v>
      </c>
      <c r="L4418" s="7" t="str">
        <f>"H15.01.14"</f>
        <v>H15.01.14</v>
      </c>
      <c r="M4418" s="7">
        <v>63.3</v>
      </c>
      <c r="N4418" s="7">
        <v>7559000</v>
      </c>
      <c r="O4418" s="7">
        <v>4891442</v>
      </c>
      <c r="P4418" s="7">
        <v>0</v>
      </c>
      <c r="Q4418" s="7" t="str">
        <f t="shared" si="1567"/>
        <v>教育庁</v>
      </c>
      <c r="R4418" s="7" t="str">
        <f t="shared" si="1582"/>
        <v>北野高等学校</v>
      </c>
    </row>
    <row r="4419" spans="1:18" s="1" customFormat="1" ht="26.4" x14ac:dyDescent="0.45">
      <c r="A4419" s="7" t="str">
        <f t="shared" si="1578"/>
        <v>10334000000</v>
      </c>
      <c r="B4419" s="7" t="str">
        <f t="shared" si="1579"/>
        <v>北野高等学校</v>
      </c>
      <c r="C4419" s="7" t="str">
        <f t="shared" si="1562"/>
        <v>行政財産</v>
      </c>
      <c r="D4419" s="7" t="str">
        <f t="shared" si="1580"/>
        <v>学校</v>
      </c>
      <c r="E4419" s="7" t="str">
        <f t="shared" si="1581"/>
        <v>大阪府大阪市　淀川区新北野２丁目</v>
      </c>
      <c r="F4419" s="7"/>
      <c r="G4419" s="7" t="str">
        <f t="shared" si="1566"/>
        <v>事業用資産</v>
      </c>
      <c r="H4419" s="7" t="str">
        <f t="shared" si="1555"/>
        <v>棚卸以外</v>
      </c>
      <c r="I4419" s="7">
        <v>55</v>
      </c>
      <c r="J4419" s="7" t="str">
        <f>"六稜会館"</f>
        <v>六稜会館</v>
      </c>
      <c r="K4419" s="7" t="str">
        <f>"鉄骨鉄筋コンクリート造"</f>
        <v>鉄骨鉄筋コンクリート造</v>
      </c>
      <c r="L4419" s="7" t="str">
        <f>"H15.03.20"</f>
        <v>H15.03.20</v>
      </c>
      <c r="M4419" s="7">
        <v>1307.25</v>
      </c>
      <c r="N4419" s="7">
        <v>305178408</v>
      </c>
      <c r="O4419" s="7">
        <v>122060380</v>
      </c>
      <c r="P4419" s="7">
        <v>0</v>
      </c>
      <c r="Q4419" s="7" t="str">
        <f t="shared" si="1567"/>
        <v>教育庁</v>
      </c>
      <c r="R4419" s="7" t="str">
        <f t="shared" si="1582"/>
        <v>北野高等学校</v>
      </c>
    </row>
    <row r="4420" spans="1:18" s="1" customFormat="1" x14ac:dyDescent="0.45">
      <c r="A4420" s="7" t="str">
        <f t="shared" si="1578"/>
        <v>10334000000</v>
      </c>
      <c r="B4420" s="7" t="str">
        <f t="shared" si="1579"/>
        <v>北野高等学校</v>
      </c>
      <c r="C4420" s="7" t="str">
        <f t="shared" si="1562"/>
        <v>行政財産</v>
      </c>
      <c r="D4420" s="7" t="str">
        <f t="shared" si="1580"/>
        <v>学校</v>
      </c>
      <c r="E4420" s="7" t="str">
        <f t="shared" si="1581"/>
        <v>大阪府大阪市　淀川区新北野２丁目</v>
      </c>
      <c r="F4420" s="7"/>
      <c r="G4420" s="7" t="str">
        <f t="shared" si="1566"/>
        <v>事業用資産</v>
      </c>
      <c r="H4420" s="7" t="str">
        <f t="shared" ref="H4420:H4483" si="1583">"棚卸以外"</f>
        <v>棚卸以外</v>
      </c>
      <c r="I4420" s="7">
        <v>56</v>
      </c>
      <c r="J4420" s="7" t="str">
        <f>"西体育倉庫"</f>
        <v>西体育倉庫</v>
      </c>
      <c r="K4420" s="7" t="str">
        <f>"鉄筋コンクリート造"</f>
        <v>鉄筋コンクリート造</v>
      </c>
      <c r="L4420" s="7" t="str">
        <f>"H15.11.04"</f>
        <v>H15.11.04</v>
      </c>
      <c r="M4420" s="7">
        <v>103.5</v>
      </c>
      <c r="N4420" s="7">
        <v>20086000</v>
      </c>
      <c r="O4420" s="7">
        <v>10219368</v>
      </c>
      <c r="P4420" s="7">
        <v>0</v>
      </c>
      <c r="Q4420" s="7" t="str">
        <f t="shared" si="1567"/>
        <v>教育庁</v>
      </c>
      <c r="R4420" s="7" t="str">
        <f t="shared" si="1582"/>
        <v>北野高等学校</v>
      </c>
    </row>
    <row r="4421" spans="1:18" s="1" customFormat="1" x14ac:dyDescent="0.45">
      <c r="A4421" s="7" t="str">
        <f t="shared" si="1578"/>
        <v>10334000000</v>
      </c>
      <c r="B4421" s="7" t="str">
        <f t="shared" si="1579"/>
        <v>北野高等学校</v>
      </c>
      <c r="C4421" s="7" t="str">
        <f t="shared" si="1562"/>
        <v>行政財産</v>
      </c>
      <c r="D4421" s="7" t="str">
        <f t="shared" si="1580"/>
        <v>学校</v>
      </c>
      <c r="E4421" s="7" t="str">
        <f t="shared" si="1581"/>
        <v>大阪府大阪市　淀川区新北野２丁目</v>
      </c>
      <c r="F4421" s="7"/>
      <c r="G4421" s="7" t="str">
        <f t="shared" si="1566"/>
        <v>事業用資産</v>
      </c>
      <c r="H4421" s="7" t="str">
        <f t="shared" si="1583"/>
        <v>棚卸以外</v>
      </c>
      <c r="I4421" s="7">
        <v>57</v>
      </c>
      <c r="J4421" s="7" t="str">
        <f>"ゴミ置場"</f>
        <v>ゴミ置場</v>
      </c>
      <c r="K4421" s="7" t="str">
        <f>"鉄筋コンクリート造"</f>
        <v>鉄筋コンクリート造</v>
      </c>
      <c r="L4421" s="7" t="str">
        <f>"H15.11.04"</f>
        <v>H15.11.04</v>
      </c>
      <c r="M4421" s="7">
        <v>19.84</v>
      </c>
      <c r="N4421" s="7">
        <v>2236000</v>
      </c>
      <c r="O4421" s="7">
        <v>1137728</v>
      </c>
      <c r="P4421" s="7">
        <v>0</v>
      </c>
      <c r="Q4421" s="7" t="str">
        <f t="shared" si="1567"/>
        <v>教育庁</v>
      </c>
      <c r="R4421" s="7" t="str">
        <f t="shared" si="1582"/>
        <v>北野高等学校</v>
      </c>
    </row>
    <row r="4422" spans="1:18" s="1" customFormat="1" x14ac:dyDescent="0.45">
      <c r="A4422" s="7" t="str">
        <f t="shared" ref="A4422:A4448" si="1584">"10335000000"</f>
        <v>10335000000</v>
      </c>
      <c r="B4422" s="7" t="str">
        <f t="shared" ref="B4422:B4448" si="1585">"東淀川高等学校"</f>
        <v>東淀川高等学校</v>
      </c>
      <c r="C4422" s="7" t="str">
        <f t="shared" si="1562"/>
        <v>行政財産</v>
      </c>
      <c r="D4422" s="7" t="str">
        <f t="shared" si="1580"/>
        <v>学校</v>
      </c>
      <c r="E4422" s="7" t="str">
        <f t="shared" ref="E4422:E4448" si="1586">"大阪府大阪市　淀川区宮原４丁目"</f>
        <v>大阪府大阪市　淀川区宮原４丁目</v>
      </c>
      <c r="F4422" s="7"/>
      <c r="G4422" s="7" t="str">
        <f t="shared" si="1566"/>
        <v>事業用資産</v>
      </c>
      <c r="H4422" s="7" t="str">
        <f t="shared" si="1583"/>
        <v>棚卸以外</v>
      </c>
      <c r="I4422" s="7">
        <v>1</v>
      </c>
      <c r="J4422" s="7" t="str">
        <f>"本館"</f>
        <v>本館</v>
      </c>
      <c r="K4422" s="7" t="str">
        <f>"鉄筋コンクリート造"</f>
        <v>鉄筋コンクリート造</v>
      </c>
      <c r="L4422" s="7" t="str">
        <f>"S32.03.25"</f>
        <v>S32.03.25</v>
      </c>
      <c r="M4422" s="7">
        <v>3160.55</v>
      </c>
      <c r="N4422" s="7">
        <v>328214477</v>
      </c>
      <c r="O4422" s="7">
        <v>244233419</v>
      </c>
      <c r="P4422" s="7">
        <v>0</v>
      </c>
      <c r="Q4422" s="7" t="str">
        <f t="shared" si="1567"/>
        <v>教育庁</v>
      </c>
      <c r="R4422" s="7" t="str">
        <f t="shared" ref="R4422:R4448" si="1587">"東淀川高等学校"</f>
        <v>東淀川高等学校</v>
      </c>
    </row>
    <row r="4423" spans="1:18" s="1" customFormat="1" x14ac:dyDescent="0.45">
      <c r="A4423" s="7" t="str">
        <f t="shared" si="1584"/>
        <v>10335000000</v>
      </c>
      <c r="B4423" s="7" t="str">
        <f t="shared" si="1585"/>
        <v>東淀川高等学校</v>
      </c>
      <c r="C4423" s="7" t="str">
        <f t="shared" si="1562"/>
        <v>行政財産</v>
      </c>
      <c r="D4423" s="7" t="str">
        <f t="shared" si="1580"/>
        <v>学校</v>
      </c>
      <c r="E4423" s="7" t="str">
        <f t="shared" si="1586"/>
        <v>大阪府大阪市　淀川区宮原４丁目</v>
      </c>
      <c r="F4423" s="7"/>
      <c r="G4423" s="7" t="str">
        <f t="shared" si="1566"/>
        <v>事業用資産</v>
      </c>
      <c r="H4423" s="7" t="str">
        <f t="shared" si="1583"/>
        <v>棚卸以外</v>
      </c>
      <c r="I4423" s="7">
        <v>12</v>
      </c>
      <c r="J4423" s="7" t="str">
        <f>"電気室"</f>
        <v>電気室</v>
      </c>
      <c r="K4423" s="7" t="str">
        <f>"鉄筋コンクリート造"</f>
        <v>鉄筋コンクリート造</v>
      </c>
      <c r="L4423" s="7" t="str">
        <f>"S32.03.25"</f>
        <v>S32.03.25</v>
      </c>
      <c r="M4423" s="7">
        <v>23.14</v>
      </c>
      <c r="N4423" s="7">
        <v>8042536</v>
      </c>
      <c r="O4423" s="7">
        <v>7890697</v>
      </c>
      <c r="P4423" s="7">
        <v>0</v>
      </c>
      <c r="Q4423" s="7" t="str">
        <f t="shared" si="1567"/>
        <v>教育庁</v>
      </c>
      <c r="R4423" s="7" t="str">
        <f t="shared" si="1587"/>
        <v>東淀川高等学校</v>
      </c>
    </row>
    <row r="4424" spans="1:18" s="1" customFormat="1" x14ac:dyDescent="0.45">
      <c r="A4424" s="7" t="str">
        <f t="shared" si="1584"/>
        <v>10335000000</v>
      </c>
      <c r="B4424" s="7" t="str">
        <f t="shared" si="1585"/>
        <v>東淀川高等学校</v>
      </c>
      <c r="C4424" s="7" t="str">
        <f t="shared" si="1562"/>
        <v>行政財産</v>
      </c>
      <c r="D4424" s="7" t="str">
        <f t="shared" si="1580"/>
        <v>学校</v>
      </c>
      <c r="E4424" s="7" t="str">
        <f t="shared" si="1586"/>
        <v>大阪府大阪市　淀川区宮原４丁目</v>
      </c>
      <c r="F4424" s="7"/>
      <c r="G4424" s="7" t="str">
        <f t="shared" si="1566"/>
        <v>事業用資産</v>
      </c>
      <c r="H4424" s="7" t="str">
        <f t="shared" si="1583"/>
        <v>棚卸以外</v>
      </c>
      <c r="I4424" s="7">
        <v>25</v>
      </c>
      <c r="J4424" s="7" t="str">
        <f>"渡り廊下"</f>
        <v>渡り廊下</v>
      </c>
      <c r="K4424" s="7" t="str">
        <f>"鉄骨造"</f>
        <v>鉄骨造</v>
      </c>
      <c r="L4424" s="7" t="str">
        <f>"S33.03.31"</f>
        <v>S33.03.31</v>
      </c>
      <c r="M4424" s="7">
        <v>11.25</v>
      </c>
      <c r="N4424" s="7">
        <v>124526</v>
      </c>
      <c r="O4424" s="7">
        <v>124525</v>
      </c>
      <c r="P4424" s="7">
        <v>0</v>
      </c>
      <c r="Q4424" s="7" t="str">
        <f t="shared" si="1567"/>
        <v>教育庁</v>
      </c>
      <c r="R4424" s="7" t="str">
        <f t="shared" si="1587"/>
        <v>東淀川高等学校</v>
      </c>
    </row>
    <row r="4425" spans="1:18" s="1" customFormat="1" x14ac:dyDescent="0.45">
      <c r="A4425" s="7" t="str">
        <f t="shared" si="1584"/>
        <v>10335000000</v>
      </c>
      <c r="B4425" s="7" t="str">
        <f t="shared" si="1585"/>
        <v>東淀川高等学校</v>
      </c>
      <c r="C4425" s="7" t="str">
        <f t="shared" si="1562"/>
        <v>行政財産</v>
      </c>
      <c r="D4425" s="7" t="str">
        <f t="shared" si="1580"/>
        <v>学校</v>
      </c>
      <c r="E4425" s="7" t="str">
        <f t="shared" si="1586"/>
        <v>大阪府大阪市　淀川区宮原４丁目</v>
      </c>
      <c r="F4425" s="7"/>
      <c r="G4425" s="7" t="str">
        <f t="shared" si="1566"/>
        <v>事業用資産</v>
      </c>
      <c r="H4425" s="7" t="str">
        <f t="shared" si="1583"/>
        <v>棚卸以外</v>
      </c>
      <c r="I4425" s="7">
        <v>31</v>
      </c>
      <c r="J4425" s="7" t="str">
        <f>"メーター小屋"</f>
        <v>メーター小屋</v>
      </c>
      <c r="K4425" s="7" t="str">
        <f>"鉄骨造"</f>
        <v>鉄骨造</v>
      </c>
      <c r="L4425" s="7" t="str">
        <f>"S32.03.25"</f>
        <v>S32.03.25</v>
      </c>
      <c r="M4425" s="7">
        <v>2.1</v>
      </c>
      <c r="N4425" s="7">
        <v>15000</v>
      </c>
      <c r="O4425" s="7">
        <v>14999</v>
      </c>
      <c r="P4425" s="7">
        <v>0</v>
      </c>
      <c r="Q4425" s="7" t="str">
        <f t="shared" si="1567"/>
        <v>教育庁</v>
      </c>
      <c r="R4425" s="7" t="str">
        <f t="shared" si="1587"/>
        <v>東淀川高等学校</v>
      </c>
    </row>
    <row r="4426" spans="1:18" s="1" customFormat="1" x14ac:dyDescent="0.45">
      <c r="A4426" s="7" t="str">
        <f t="shared" si="1584"/>
        <v>10335000000</v>
      </c>
      <c r="B4426" s="7" t="str">
        <f t="shared" si="1585"/>
        <v>東淀川高等学校</v>
      </c>
      <c r="C4426" s="7" t="str">
        <f t="shared" si="1562"/>
        <v>行政財産</v>
      </c>
      <c r="D4426" s="7" t="str">
        <f t="shared" si="1580"/>
        <v>学校</v>
      </c>
      <c r="E4426" s="7" t="str">
        <f t="shared" si="1586"/>
        <v>大阪府大阪市　淀川区宮原４丁目</v>
      </c>
      <c r="F4426" s="7"/>
      <c r="G4426" s="7" t="str">
        <f t="shared" si="1566"/>
        <v>事業用資産</v>
      </c>
      <c r="H4426" s="7" t="str">
        <f t="shared" si="1583"/>
        <v>棚卸以外</v>
      </c>
      <c r="I4426" s="7">
        <v>42</v>
      </c>
      <c r="J4426" s="7" t="str">
        <f>"プール附属室"</f>
        <v>プール附属室</v>
      </c>
      <c r="K4426" s="7" t="str">
        <f>"コンクリートブロック造"</f>
        <v>コンクリートブロック造</v>
      </c>
      <c r="L4426" s="7" t="str">
        <f>"S43.07.15"</f>
        <v>S43.07.15</v>
      </c>
      <c r="M4426" s="7">
        <v>95.4</v>
      </c>
      <c r="N4426" s="7">
        <v>5424400</v>
      </c>
      <c r="O4426" s="7">
        <v>5367309</v>
      </c>
      <c r="P4426" s="7">
        <v>0</v>
      </c>
      <c r="Q4426" s="7" t="str">
        <f t="shared" si="1567"/>
        <v>教育庁</v>
      </c>
      <c r="R4426" s="7" t="str">
        <f t="shared" si="1587"/>
        <v>東淀川高等学校</v>
      </c>
    </row>
    <row r="4427" spans="1:18" s="1" customFormat="1" x14ac:dyDescent="0.45">
      <c r="A4427" s="7" t="str">
        <f t="shared" si="1584"/>
        <v>10335000000</v>
      </c>
      <c r="B4427" s="7" t="str">
        <f t="shared" si="1585"/>
        <v>東淀川高等学校</v>
      </c>
      <c r="C4427" s="7" t="str">
        <f t="shared" si="1562"/>
        <v>行政財産</v>
      </c>
      <c r="D4427" s="7" t="str">
        <f t="shared" si="1580"/>
        <v>学校</v>
      </c>
      <c r="E4427" s="7" t="str">
        <f t="shared" si="1586"/>
        <v>大阪府大阪市　淀川区宮原４丁目</v>
      </c>
      <c r="F4427" s="7"/>
      <c r="G4427" s="7" t="str">
        <f t="shared" si="1566"/>
        <v>事業用資産</v>
      </c>
      <c r="H4427" s="7" t="str">
        <f t="shared" si="1583"/>
        <v>棚卸以外</v>
      </c>
      <c r="I4427" s="7">
        <v>46</v>
      </c>
      <c r="J4427" s="7" t="str">
        <f>"食堂"</f>
        <v>食堂</v>
      </c>
      <c r="K4427" s="7" t="str">
        <f>"鉄骨造"</f>
        <v>鉄骨造</v>
      </c>
      <c r="L4427" s="7" t="str">
        <f>"S45.02.28"</f>
        <v>S45.02.28</v>
      </c>
      <c r="M4427" s="7">
        <v>332.4</v>
      </c>
      <c r="N4427" s="7">
        <v>24740000</v>
      </c>
      <c r="O4427" s="7">
        <v>18672905</v>
      </c>
      <c r="P4427" s="7">
        <v>0</v>
      </c>
      <c r="Q4427" s="7" t="str">
        <f t="shared" si="1567"/>
        <v>教育庁</v>
      </c>
      <c r="R4427" s="7" t="str">
        <f t="shared" si="1587"/>
        <v>東淀川高等学校</v>
      </c>
    </row>
    <row r="4428" spans="1:18" s="1" customFormat="1" x14ac:dyDescent="0.45">
      <c r="A4428" s="7" t="str">
        <f t="shared" si="1584"/>
        <v>10335000000</v>
      </c>
      <c r="B4428" s="7" t="str">
        <f t="shared" si="1585"/>
        <v>東淀川高等学校</v>
      </c>
      <c r="C4428" s="7" t="str">
        <f t="shared" si="1562"/>
        <v>行政財産</v>
      </c>
      <c r="D4428" s="7" t="str">
        <f t="shared" si="1580"/>
        <v>学校</v>
      </c>
      <c r="E4428" s="7" t="str">
        <f t="shared" si="1586"/>
        <v>大阪府大阪市　淀川区宮原４丁目</v>
      </c>
      <c r="F4428" s="7"/>
      <c r="G4428" s="7" t="str">
        <f t="shared" si="1566"/>
        <v>事業用資産</v>
      </c>
      <c r="H4428" s="7" t="str">
        <f t="shared" si="1583"/>
        <v>棚卸以外</v>
      </c>
      <c r="I4428" s="7">
        <v>50</v>
      </c>
      <c r="J4428" s="7" t="str">
        <f>"道場"</f>
        <v>道場</v>
      </c>
      <c r="K4428" s="7" t="str">
        <f>"軽量鉄骨造"</f>
        <v>軽量鉄骨造</v>
      </c>
      <c r="L4428" s="7" t="str">
        <f>"S45.02.28"</f>
        <v>S45.02.28</v>
      </c>
      <c r="M4428" s="7">
        <v>128</v>
      </c>
      <c r="N4428" s="7">
        <v>3371000</v>
      </c>
      <c r="O4428" s="7">
        <v>3370999</v>
      </c>
      <c r="P4428" s="7">
        <v>0</v>
      </c>
      <c r="Q4428" s="7" t="str">
        <f t="shared" si="1567"/>
        <v>教育庁</v>
      </c>
      <c r="R4428" s="7" t="str">
        <f t="shared" si="1587"/>
        <v>東淀川高等学校</v>
      </c>
    </row>
    <row r="4429" spans="1:18" s="1" customFormat="1" x14ac:dyDescent="0.45">
      <c r="A4429" s="7" t="str">
        <f t="shared" si="1584"/>
        <v>10335000000</v>
      </c>
      <c r="B4429" s="7" t="str">
        <f t="shared" si="1585"/>
        <v>東淀川高等学校</v>
      </c>
      <c r="C4429" s="7" t="str">
        <f t="shared" ref="C4429:C4492" si="1588">"行政財産"</f>
        <v>行政財産</v>
      </c>
      <c r="D4429" s="7" t="str">
        <f t="shared" si="1580"/>
        <v>学校</v>
      </c>
      <c r="E4429" s="7" t="str">
        <f t="shared" si="1586"/>
        <v>大阪府大阪市　淀川区宮原４丁目</v>
      </c>
      <c r="F4429" s="7"/>
      <c r="G4429" s="7" t="str">
        <f t="shared" si="1566"/>
        <v>事業用資産</v>
      </c>
      <c r="H4429" s="7" t="str">
        <f t="shared" si="1583"/>
        <v>棚卸以外</v>
      </c>
      <c r="I4429" s="7">
        <v>51</v>
      </c>
      <c r="J4429" s="7" t="str">
        <f>"的場"</f>
        <v>的場</v>
      </c>
      <c r="K4429" s="7" t="str">
        <f>"軽量鉄骨造"</f>
        <v>軽量鉄骨造</v>
      </c>
      <c r="L4429" s="7" t="str">
        <f>"S39.02.28"</f>
        <v>S39.02.28</v>
      </c>
      <c r="M4429" s="7">
        <v>42.9</v>
      </c>
      <c r="N4429" s="7">
        <v>1429000</v>
      </c>
      <c r="O4429" s="7">
        <v>1428999</v>
      </c>
      <c r="P4429" s="7">
        <v>0</v>
      </c>
      <c r="Q4429" s="7" t="str">
        <f t="shared" si="1567"/>
        <v>教育庁</v>
      </c>
      <c r="R4429" s="7" t="str">
        <f t="shared" si="1587"/>
        <v>東淀川高等学校</v>
      </c>
    </row>
    <row r="4430" spans="1:18" s="1" customFormat="1" x14ac:dyDescent="0.45">
      <c r="A4430" s="7" t="str">
        <f t="shared" si="1584"/>
        <v>10335000000</v>
      </c>
      <c r="B4430" s="7" t="str">
        <f t="shared" si="1585"/>
        <v>東淀川高等学校</v>
      </c>
      <c r="C4430" s="7" t="str">
        <f t="shared" si="1588"/>
        <v>行政財産</v>
      </c>
      <c r="D4430" s="7" t="str">
        <f t="shared" si="1580"/>
        <v>学校</v>
      </c>
      <c r="E4430" s="7" t="str">
        <f t="shared" si="1586"/>
        <v>大阪府大阪市　淀川区宮原４丁目</v>
      </c>
      <c r="F4430" s="7"/>
      <c r="G4430" s="7" t="str">
        <f t="shared" si="1566"/>
        <v>事業用資産</v>
      </c>
      <c r="H4430" s="7" t="str">
        <f t="shared" si="1583"/>
        <v>棚卸以外</v>
      </c>
      <c r="I4430" s="7">
        <v>52</v>
      </c>
      <c r="J4430" s="7" t="str">
        <f>"２号館西"</f>
        <v>２号館西</v>
      </c>
      <c r="K4430" s="7" t="str">
        <f>"鉄筋コンクリート造"</f>
        <v>鉄筋コンクリート造</v>
      </c>
      <c r="L4430" s="7" t="str">
        <f>"S44.02.28"</f>
        <v>S44.02.28</v>
      </c>
      <c r="M4430" s="7">
        <v>2132.59</v>
      </c>
      <c r="N4430" s="7">
        <v>385714980</v>
      </c>
      <c r="O4430" s="7">
        <v>204511016</v>
      </c>
      <c r="P4430" s="7">
        <v>0</v>
      </c>
      <c r="Q4430" s="7" t="str">
        <f t="shared" si="1567"/>
        <v>教育庁</v>
      </c>
      <c r="R4430" s="7" t="str">
        <f t="shared" si="1587"/>
        <v>東淀川高等学校</v>
      </c>
    </row>
    <row r="4431" spans="1:18" s="1" customFormat="1" x14ac:dyDescent="0.45">
      <c r="A4431" s="7" t="str">
        <f t="shared" si="1584"/>
        <v>10335000000</v>
      </c>
      <c r="B4431" s="7" t="str">
        <f t="shared" si="1585"/>
        <v>東淀川高等学校</v>
      </c>
      <c r="C4431" s="7" t="str">
        <f t="shared" si="1588"/>
        <v>行政財産</v>
      </c>
      <c r="D4431" s="7" t="str">
        <f t="shared" si="1580"/>
        <v>学校</v>
      </c>
      <c r="E4431" s="7" t="str">
        <f t="shared" si="1586"/>
        <v>大阪府大阪市　淀川区宮原４丁目</v>
      </c>
      <c r="F4431" s="7"/>
      <c r="G4431" s="7" t="str">
        <f t="shared" si="1566"/>
        <v>事業用資産</v>
      </c>
      <c r="H4431" s="7" t="str">
        <f t="shared" si="1583"/>
        <v>棚卸以外</v>
      </c>
      <c r="I4431" s="7">
        <v>53</v>
      </c>
      <c r="J4431" s="7" t="str">
        <f>"渡り廊下"</f>
        <v>渡り廊下</v>
      </c>
      <c r="K4431" s="7" t="str">
        <f>"鉄筋コンクリート造"</f>
        <v>鉄筋コンクリート造</v>
      </c>
      <c r="L4431" s="7" t="str">
        <f>"S45.02.28"</f>
        <v>S45.02.28</v>
      </c>
      <c r="M4431" s="7">
        <v>159.26</v>
      </c>
      <c r="N4431" s="7">
        <v>9555000</v>
      </c>
      <c r="O4431" s="7">
        <v>8231185</v>
      </c>
      <c r="P4431" s="7">
        <v>0</v>
      </c>
      <c r="Q4431" s="7" t="str">
        <f t="shared" si="1567"/>
        <v>教育庁</v>
      </c>
      <c r="R4431" s="7" t="str">
        <f t="shared" si="1587"/>
        <v>東淀川高等学校</v>
      </c>
    </row>
    <row r="4432" spans="1:18" s="1" customFormat="1" x14ac:dyDescent="0.45">
      <c r="A4432" s="7" t="str">
        <f t="shared" si="1584"/>
        <v>10335000000</v>
      </c>
      <c r="B4432" s="7" t="str">
        <f t="shared" si="1585"/>
        <v>東淀川高等学校</v>
      </c>
      <c r="C4432" s="7" t="str">
        <f t="shared" si="1588"/>
        <v>行政財産</v>
      </c>
      <c r="D4432" s="7" t="str">
        <f t="shared" si="1580"/>
        <v>学校</v>
      </c>
      <c r="E4432" s="7" t="str">
        <f t="shared" si="1586"/>
        <v>大阪府大阪市　淀川区宮原４丁目</v>
      </c>
      <c r="F4432" s="7"/>
      <c r="G4432" s="7" t="str">
        <f t="shared" si="1566"/>
        <v>事業用資産</v>
      </c>
      <c r="H4432" s="7" t="str">
        <f t="shared" si="1583"/>
        <v>棚卸以外</v>
      </c>
      <c r="I4432" s="7">
        <v>55</v>
      </c>
      <c r="J4432" s="7" t="str">
        <f>"ポンプ室"</f>
        <v>ポンプ室</v>
      </c>
      <c r="K4432" s="7" t="str">
        <f>"鉄筋コンクリート造"</f>
        <v>鉄筋コンクリート造</v>
      </c>
      <c r="L4432" s="7" t="str">
        <f>"S45.02.28"</f>
        <v>S45.02.28</v>
      </c>
      <c r="M4432" s="7">
        <v>32.46</v>
      </c>
      <c r="N4432" s="7">
        <v>4374000</v>
      </c>
      <c r="O4432" s="7">
        <v>4373999</v>
      </c>
      <c r="P4432" s="7">
        <v>0</v>
      </c>
      <c r="Q4432" s="7" t="str">
        <f t="shared" si="1567"/>
        <v>教育庁</v>
      </c>
      <c r="R4432" s="7" t="str">
        <f t="shared" si="1587"/>
        <v>東淀川高等学校</v>
      </c>
    </row>
    <row r="4433" spans="1:18" s="1" customFormat="1" x14ac:dyDescent="0.45">
      <c r="A4433" s="7" t="str">
        <f t="shared" si="1584"/>
        <v>10335000000</v>
      </c>
      <c r="B4433" s="7" t="str">
        <f t="shared" si="1585"/>
        <v>東淀川高等学校</v>
      </c>
      <c r="C4433" s="7" t="str">
        <f t="shared" si="1588"/>
        <v>行政財産</v>
      </c>
      <c r="D4433" s="7" t="str">
        <f t="shared" si="1580"/>
        <v>学校</v>
      </c>
      <c r="E4433" s="7" t="str">
        <f t="shared" si="1586"/>
        <v>大阪府大阪市　淀川区宮原４丁目</v>
      </c>
      <c r="F4433" s="7"/>
      <c r="G4433" s="7" t="str">
        <f t="shared" si="1566"/>
        <v>事業用資産</v>
      </c>
      <c r="H4433" s="7" t="str">
        <f t="shared" si="1583"/>
        <v>棚卸以外</v>
      </c>
      <c r="I4433" s="7">
        <v>56</v>
      </c>
      <c r="J4433" s="7" t="str">
        <f>"２号館東"</f>
        <v>２号館東</v>
      </c>
      <c r="K4433" s="7" t="str">
        <f>"鉄筋コンクリート造"</f>
        <v>鉄筋コンクリート造</v>
      </c>
      <c r="L4433" s="7" t="str">
        <f>"S46.07.14"</f>
        <v>S46.07.14</v>
      </c>
      <c r="M4433" s="7">
        <v>3016.84</v>
      </c>
      <c r="N4433" s="7">
        <v>300756005</v>
      </c>
      <c r="O4433" s="7">
        <v>248667187</v>
      </c>
      <c r="P4433" s="7">
        <v>0</v>
      </c>
      <c r="Q4433" s="7" t="str">
        <f t="shared" si="1567"/>
        <v>教育庁</v>
      </c>
      <c r="R4433" s="7" t="str">
        <f t="shared" si="1587"/>
        <v>東淀川高等学校</v>
      </c>
    </row>
    <row r="4434" spans="1:18" s="1" customFormat="1" x14ac:dyDescent="0.45">
      <c r="A4434" s="7" t="str">
        <f t="shared" si="1584"/>
        <v>10335000000</v>
      </c>
      <c r="B4434" s="7" t="str">
        <f t="shared" si="1585"/>
        <v>東淀川高等学校</v>
      </c>
      <c r="C4434" s="7" t="str">
        <f t="shared" si="1588"/>
        <v>行政財産</v>
      </c>
      <c r="D4434" s="7" t="str">
        <f t="shared" si="1580"/>
        <v>学校</v>
      </c>
      <c r="E4434" s="7" t="str">
        <f t="shared" si="1586"/>
        <v>大阪府大阪市　淀川区宮原４丁目</v>
      </c>
      <c r="F4434" s="7"/>
      <c r="G4434" s="7" t="str">
        <f t="shared" si="1566"/>
        <v>事業用資産</v>
      </c>
      <c r="H4434" s="7" t="str">
        <f t="shared" si="1583"/>
        <v>棚卸以外</v>
      </c>
      <c r="I4434" s="7">
        <v>57</v>
      </c>
      <c r="J4434" s="7" t="str">
        <f>"渡り廊下"</f>
        <v>渡り廊下</v>
      </c>
      <c r="K4434" s="7" t="str">
        <f>"鉄筋コンクリート造"</f>
        <v>鉄筋コンクリート造</v>
      </c>
      <c r="L4434" s="7" t="str">
        <f>"S46.07.14"</f>
        <v>S46.07.14</v>
      </c>
      <c r="M4434" s="7">
        <v>176.83</v>
      </c>
      <c r="N4434" s="7">
        <v>12341100</v>
      </c>
      <c r="O4434" s="7">
        <v>9430103</v>
      </c>
      <c r="P4434" s="7">
        <v>0</v>
      </c>
      <c r="Q4434" s="7" t="str">
        <f t="shared" si="1567"/>
        <v>教育庁</v>
      </c>
      <c r="R4434" s="7" t="str">
        <f t="shared" si="1587"/>
        <v>東淀川高等学校</v>
      </c>
    </row>
    <row r="4435" spans="1:18" s="1" customFormat="1" x14ac:dyDescent="0.45">
      <c r="A4435" s="7" t="str">
        <f t="shared" si="1584"/>
        <v>10335000000</v>
      </c>
      <c r="B4435" s="7" t="str">
        <f t="shared" si="1585"/>
        <v>東淀川高等学校</v>
      </c>
      <c r="C4435" s="7" t="str">
        <f t="shared" si="1588"/>
        <v>行政財産</v>
      </c>
      <c r="D4435" s="7" t="str">
        <f t="shared" si="1580"/>
        <v>学校</v>
      </c>
      <c r="E4435" s="7" t="str">
        <f t="shared" si="1586"/>
        <v>大阪府大阪市　淀川区宮原４丁目</v>
      </c>
      <c r="F4435" s="7"/>
      <c r="G4435" s="7" t="str">
        <f t="shared" si="1566"/>
        <v>事業用資産</v>
      </c>
      <c r="H4435" s="7" t="str">
        <f t="shared" si="1583"/>
        <v>棚卸以外</v>
      </c>
      <c r="I4435" s="7">
        <v>59</v>
      </c>
      <c r="J4435" s="7" t="str">
        <f>"更衣室"</f>
        <v>更衣室</v>
      </c>
      <c r="K4435" s="7" t="str">
        <f>"鉄骨造"</f>
        <v>鉄骨造</v>
      </c>
      <c r="L4435" s="7" t="str">
        <f>"S47.11.12"</f>
        <v>S47.11.12</v>
      </c>
      <c r="M4435" s="7">
        <v>129.24</v>
      </c>
      <c r="N4435" s="7">
        <v>10282684</v>
      </c>
      <c r="O4435" s="7">
        <v>7018359</v>
      </c>
      <c r="P4435" s="7">
        <v>0</v>
      </c>
      <c r="Q4435" s="7" t="str">
        <f t="shared" si="1567"/>
        <v>教育庁</v>
      </c>
      <c r="R4435" s="7" t="str">
        <f t="shared" si="1587"/>
        <v>東淀川高等学校</v>
      </c>
    </row>
    <row r="4436" spans="1:18" s="1" customFormat="1" x14ac:dyDescent="0.45">
      <c r="A4436" s="7" t="str">
        <f t="shared" si="1584"/>
        <v>10335000000</v>
      </c>
      <c r="B4436" s="7" t="str">
        <f t="shared" si="1585"/>
        <v>東淀川高等学校</v>
      </c>
      <c r="C4436" s="7" t="str">
        <f t="shared" si="1588"/>
        <v>行政財産</v>
      </c>
      <c r="D4436" s="7" t="str">
        <f t="shared" si="1580"/>
        <v>学校</v>
      </c>
      <c r="E4436" s="7" t="str">
        <f t="shared" si="1586"/>
        <v>大阪府大阪市　淀川区宮原４丁目</v>
      </c>
      <c r="F4436" s="7"/>
      <c r="G4436" s="7" t="str">
        <f t="shared" si="1566"/>
        <v>事業用資産</v>
      </c>
      <c r="H4436" s="7" t="str">
        <f t="shared" si="1583"/>
        <v>棚卸以外</v>
      </c>
      <c r="I4436" s="7">
        <v>61</v>
      </c>
      <c r="J4436" s="7" t="str">
        <f>"西側機械室"</f>
        <v>西側機械室</v>
      </c>
      <c r="K4436" s="7" t="str">
        <f>"鉄筋コンクリート造"</f>
        <v>鉄筋コンクリート造</v>
      </c>
      <c r="L4436" s="7" t="str">
        <f>"S49.03.30"</f>
        <v>S49.03.30</v>
      </c>
      <c r="M4436" s="7">
        <v>45</v>
      </c>
      <c r="N4436" s="7">
        <v>15462000</v>
      </c>
      <c r="O4436" s="7">
        <v>15461999</v>
      </c>
      <c r="P4436" s="7">
        <v>0</v>
      </c>
      <c r="Q4436" s="7" t="str">
        <f t="shared" si="1567"/>
        <v>教育庁</v>
      </c>
      <c r="R4436" s="7" t="str">
        <f t="shared" si="1587"/>
        <v>東淀川高等学校</v>
      </c>
    </row>
    <row r="4437" spans="1:18" s="1" customFormat="1" x14ac:dyDescent="0.45">
      <c r="A4437" s="7" t="str">
        <f t="shared" si="1584"/>
        <v>10335000000</v>
      </c>
      <c r="B4437" s="7" t="str">
        <f t="shared" si="1585"/>
        <v>東淀川高等学校</v>
      </c>
      <c r="C4437" s="7" t="str">
        <f t="shared" si="1588"/>
        <v>行政財産</v>
      </c>
      <c r="D4437" s="7" t="str">
        <f t="shared" si="1580"/>
        <v>学校</v>
      </c>
      <c r="E4437" s="7" t="str">
        <f t="shared" si="1586"/>
        <v>大阪府大阪市　淀川区宮原４丁目</v>
      </c>
      <c r="F4437" s="7"/>
      <c r="G4437" s="7" t="str">
        <f t="shared" si="1566"/>
        <v>事業用資産</v>
      </c>
      <c r="H4437" s="7" t="str">
        <f t="shared" si="1583"/>
        <v>棚卸以外</v>
      </c>
      <c r="I4437" s="7">
        <v>65</v>
      </c>
      <c r="J4437" s="7" t="str">
        <f>"下足機械室"</f>
        <v>下足機械室</v>
      </c>
      <c r="K4437" s="7" t="str">
        <f>"鉄筋コンクリート造"</f>
        <v>鉄筋コンクリート造</v>
      </c>
      <c r="L4437" s="7" t="str">
        <f>"S51.03.10"</f>
        <v>S51.03.10</v>
      </c>
      <c r="M4437" s="7">
        <v>392.82</v>
      </c>
      <c r="N4437" s="7">
        <v>153268000</v>
      </c>
      <c r="O4437" s="7">
        <v>140364691</v>
      </c>
      <c r="P4437" s="7">
        <v>0</v>
      </c>
      <c r="Q4437" s="7" t="str">
        <f t="shared" si="1567"/>
        <v>教育庁</v>
      </c>
      <c r="R4437" s="7" t="str">
        <f t="shared" si="1587"/>
        <v>東淀川高等学校</v>
      </c>
    </row>
    <row r="4438" spans="1:18" s="1" customFormat="1" x14ac:dyDescent="0.45">
      <c r="A4438" s="7" t="str">
        <f t="shared" si="1584"/>
        <v>10335000000</v>
      </c>
      <c r="B4438" s="7" t="str">
        <f t="shared" si="1585"/>
        <v>東淀川高等学校</v>
      </c>
      <c r="C4438" s="7" t="str">
        <f t="shared" si="1588"/>
        <v>行政財産</v>
      </c>
      <c r="D4438" s="7" t="str">
        <f t="shared" si="1580"/>
        <v>学校</v>
      </c>
      <c r="E4438" s="7" t="str">
        <f t="shared" si="1586"/>
        <v>大阪府大阪市　淀川区宮原４丁目</v>
      </c>
      <c r="F4438" s="7"/>
      <c r="G4438" s="7" t="str">
        <f t="shared" si="1566"/>
        <v>事業用資産</v>
      </c>
      <c r="H4438" s="7" t="str">
        <f t="shared" si="1583"/>
        <v>棚卸以外</v>
      </c>
      <c r="I4438" s="7">
        <v>66</v>
      </c>
      <c r="J4438" s="7" t="str">
        <f>"渡り廊下"</f>
        <v>渡り廊下</v>
      </c>
      <c r="K4438" s="7" t="str">
        <f>"鉄骨造"</f>
        <v>鉄骨造</v>
      </c>
      <c r="L4438" s="7" t="str">
        <f>"S50.10.31"</f>
        <v>S50.10.31</v>
      </c>
      <c r="M4438" s="7">
        <v>30.14</v>
      </c>
      <c r="N4438" s="7">
        <v>3098000</v>
      </c>
      <c r="O4438" s="7">
        <v>3097999</v>
      </c>
      <c r="P4438" s="7">
        <v>0</v>
      </c>
      <c r="Q4438" s="7" t="str">
        <f t="shared" si="1567"/>
        <v>教育庁</v>
      </c>
      <c r="R4438" s="7" t="str">
        <f t="shared" si="1587"/>
        <v>東淀川高等学校</v>
      </c>
    </row>
    <row r="4439" spans="1:18" s="1" customFormat="1" x14ac:dyDescent="0.45">
      <c r="A4439" s="7" t="str">
        <f t="shared" si="1584"/>
        <v>10335000000</v>
      </c>
      <c r="B4439" s="7" t="str">
        <f t="shared" si="1585"/>
        <v>東淀川高等学校</v>
      </c>
      <c r="C4439" s="7" t="str">
        <f t="shared" si="1588"/>
        <v>行政財産</v>
      </c>
      <c r="D4439" s="7" t="str">
        <f t="shared" si="1580"/>
        <v>学校</v>
      </c>
      <c r="E4439" s="7" t="str">
        <f t="shared" si="1586"/>
        <v>大阪府大阪市　淀川区宮原４丁目</v>
      </c>
      <c r="F4439" s="7"/>
      <c r="G4439" s="7" t="str">
        <f t="shared" ref="G4439:G4502" si="1589">"事業用資産"</f>
        <v>事業用資産</v>
      </c>
      <c r="H4439" s="7" t="str">
        <f t="shared" si="1583"/>
        <v>棚卸以外</v>
      </c>
      <c r="I4439" s="7">
        <v>67</v>
      </c>
      <c r="J4439" s="7" t="str">
        <f>"倉庫"</f>
        <v>倉庫</v>
      </c>
      <c r="K4439" s="7" t="str">
        <f>"軽量鉄骨造"</f>
        <v>軽量鉄骨造</v>
      </c>
      <c r="L4439" s="7" t="str">
        <f>"S54.07.26"</f>
        <v>S54.07.26</v>
      </c>
      <c r="M4439" s="7">
        <v>57.62</v>
      </c>
      <c r="N4439" s="7">
        <v>3775000</v>
      </c>
      <c r="O4439" s="7">
        <v>3774999</v>
      </c>
      <c r="P4439" s="7">
        <v>0</v>
      </c>
      <c r="Q4439" s="7" t="str">
        <f t="shared" si="1567"/>
        <v>教育庁</v>
      </c>
      <c r="R4439" s="7" t="str">
        <f t="shared" si="1587"/>
        <v>東淀川高等学校</v>
      </c>
    </row>
    <row r="4440" spans="1:18" s="1" customFormat="1" x14ac:dyDescent="0.45">
      <c r="A4440" s="7" t="str">
        <f t="shared" si="1584"/>
        <v>10335000000</v>
      </c>
      <c r="B4440" s="7" t="str">
        <f t="shared" si="1585"/>
        <v>東淀川高等学校</v>
      </c>
      <c r="C4440" s="7" t="str">
        <f t="shared" si="1588"/>
        <v>行政財産</v>
      </c>
      <c r="D4440" s="7" t="str">
        <f t="shared" si="1580"/>
        <v>学校</v>
      </c>
      <c r="E4440" s="7" t="str">
        <f t="shared" si="1586"/>
        <v>大阪府大阪市　淀川区宮原４丁目</v>
      </c>
      <c r="F4440" s="7"/>
      <c r="G4440" s="7" t="str">
        <f t="shared" si="1589"/>
        <v>事業用資産</v>
      </c>
      <c r="H4440" s="7" t="str">
        <f t="shared" si="1583"/>
        <v>棚卸以外</v>
      </c>
      <c r="I4440" s="7">
        <v>68</v>
      </c>
      <c r="J4440" s="7" t="str">
        <f>"倉庫"</f>
        <v>倉庫</v>
      </c>
      <c r="K4440" s="7" t="str">
        <f>"軽量鉄骨造"</f>
        <v>軽量鉄骨造</v>
      </c>
      <c r="L4440" s="7" t="str">
        <f>"S54.07.26"</f>
        <v>S54.07.26</v>
      </c>
      <c r="M4440" s="7">
        <v>69.06</v>
      </c>
      <c r="N4440" s="7">
        <v>4525000</v>
      </c>
      <c r="O4440" s="7">
        <v>4524999</v>
      </c>
      <c r="P4440" s="7">
        <v>0</v>
      </c>
      <c r="Q4440" s="7" t="str">
        <f t="shared" si="1567"/>
        <v>教育庁</v>
      </c>
      <c r="R4440" s="7" t="str">
        <f t="shared" si="1587"/>
        <v>東淀川高等学校</v>
      </c>
    </row>
    <row r="4441" spans="1:18" s="1" customFormat="1" x14ac:dyDescent="0.45">
      <c r="A4441" s="7" t="str">
        <f t="shared" si="1584"/>
        <v>10335000000</v>
      </c>
      <c r="B4441" s="7" t="str">
        <f t="shared" si="1585"/>
        <v>東淀川高等学校</v>
      </c>
      <c r="C4441" s="7" t="str">
        <f t="shared" si="1588"/>
        <v>行政財産</v>
      </c>
      <c r="D4441" s="7" t="str">
        <f t="shared" si="1580"/>
        <v>学校</v>
      </c>
      <c r="E4441" s="7" t="str">
        <f t="shared" si="1586"/>
        <v>大阪府大阪市　淀川区宮原４丁目</v>
      </c>
      <c r="F4441" s="7"/>
      <c r="G4441" s="7" t="str">
        <f t="shared" si="1589"/>
        <v>事業用資産</v>
      </c>
      <c r="H4441" s="7" t="str">
        <f t="shared" si="1583"/>
        <v>棚卸以外</v>
      </c>
      <c r="I4441" s="7">
        <v>69</v>
      </c>
      <c r="J4441" s="7" t="str">
        <f>"３号館"</f>
        <v>３号館</v>
      </c>
      <c r="K4441" s="7" t="str">
        <f>"鉄筋コンクリート造"</f>
        <v>鉄筋コンクリート造</v>
      </c>
      <c r="L4441" s="7" t="str">
        <f>"S55.05.31"</f>
        <v>S55.05.31</v>
      </c>
      <c r="M4441" s="7">
        <v>1655.29</v>
      </c>
      <c r="N4441" s="7">
        <v>280137903</v>
      </c>
      <c r="O4441" s="7">
        <v>202758485</v>
      </c>
      <c r="P4441" s="7">
        <v>0</v>
      </c>
      <c r="Q4441" s="7" t="str">
        <f t="shared" si="1567"/>
        <v>教育庁</v>
      </c>
      <c r="R4441" s="7" t="str">
        <f t="shared" si="1587"/>
        <v>東淀川高等学校</v>
      </c>
    </row>
    <row r="4442" spans="1:18" s="1" customFormat="1" x14ac:dyDescent="0.45">
      <c r="A4442" s="7" t="str">
        <f t="shared" si="1584"/>
        <v>10335000000</v>
      </c>
      <c r="B4442" s="7" t="str">
        <f t="shared" si="1585"/>
        <v>東淀川高等学校</v>
      </c>
      <c r="C4442" s="7" t="str">
        <f t="shared" si="1588"/>
        <v>行政財産</v>
      </c>
      <c r="D4442" s="7" t="str">
        <f t="shared" si="1580"/>
        <v>学校</v>
      </c>
      <c r="E4442" s="7" t="str">
        <f t="shared" si="1586"/>
        <v>大阪府大阪市　淀川区宮原４丁目</v>
      </c>
      <c r="F4442" s="7"/>
      <c r="G4442" s="7" t="str">
        <f t="shared" si="1589"/>
        <v>事業用資産</v>
      </c>
      <c r="H4442" s="7" t="str">
        <f t="shared" si="1583"/>
        <v>棚卸以外</v>
      </c>
      <c r="I4442" s="7">
        <v>70</v>
      </c>
      <c r="J4442" s="7" t="str">
        <f>"３号館用機械室"</f>
        <v>３号館用機械室</v>
      </c>
      <c r="K4442" s="7" t="str">
        <f>"鉄筋コンクリート造"</f>
        <v>鉄筋コンクリート造</v>
      </c>
      <c r="L4442" s="7" t="str">
        <f>"S55.05.31"</f>
        <v>S55.05.31</v>
      </c>
      <c r="M4442" s="7">
        <v>54</v>
      </c>
      <c r="N4442" s="7">
        <v>47890000</v>
      </c>
      <c r="O4442" s="7">
        <v>45932431</v>
      </c>
      <c r="P4442" s="7">
        <v>0</v>
      </c>
      <c r="Q4442" s="7" t="str">
        <f t="shared" si="1567"/>
        <v>教育庁</v>
      </c>
      <c r="R4442" s="7" t="str">
        <f t="shared" si="1587"/>
        <v>東淀川高等学校</v>
      </c>
    </row>
    <row r="4443" spans="1:18" s="1" customFormat="1" x14ac:dyDescent="0.45">
      <c r="A4443" s="7" t="str">
        <f t="shared" si="1584"/>
        <v>10335000000</v>
      </c>
      <c r="B4443" s="7" t="str">
        <f t="shared" si="1585"/>
        <v>東淀川高等学校</v>
      </c>
      <c r="C4443" s="7" t="str">
        <f t="shared" si="1588"/>
        <v>行政財産</v>
      </c>
      <c r="D4443" s="7" t="str">
        <f t="shared" si="1580"/>
        <v>学校</v>
      </c>
      <c r="E4443" s="7" t="str">
        <f t="shared" si="1586"/>
        <v>大阪府大阪市　淀川区宮原４丁目</v>
      </c>
      <c r="F4443" s="7"/>
      <c r="G4443" s="7" t="str">
        <f t="shared" si="1589"/>
        <v>事業用資産</v>
      </c>
      <c r="H4443" s="7" t="str">
        <f t="shared" si="1583"/>
        <v>棚卸以外</v>
      </c>
      <c r="I4443" s="7">
        <v>71</v>
      </c>
      <c r="J4443" s="7" t="str">
        <f>"渡り廊下"</f>
        <v>渡り廊下</v>
      </c>
      <c r="K4443" s="7" t="str">
        <f>"鉄筋コンクリート造"</f>
        <v>鉄筋コンクリート造</v>
      </c>
      <c r="L4443" s="7" t="str">
        <f>"S55.05.31"</f>
        <v>S55.05.31</v>
      </c>
      <c r="M4443" s="7">
        <v>156.80000000000001</v>
      </c>
      <c r="N4443" s="7">
        <v>15133000</v>
      </c>
      <c r="O4443" s="7">
        <v>12669080</v>
      </c>
      <c r="P4443" s="7">
        <v>0</v>
      </c>
      <c r="Q4443" s="7" t="str">
        <f t="shared" ref="Q4443:Q4506" si="1590">"教育庁"</f>
        <v>教育庁</v>
      </c>
      <c r="R4443" s="7" t="str">
        <f t="shared" si="1587"/>
        <v>東淀川高等学校</v>
      </c>
    </row>
    <row r="4444" spans="1:18" s="1" customFormat="1" x14ac:dyDescent="0.45">
      <c r="A4444" s="7" t="str">
        <f t="shared" si="1584"/>
        <v>10335000000</v>
      </c>
      <c r="B4444" s="7" t="str">
        <f t="shared" si="1585"/>
        <v>東淀川高等学校</v>
      </c>
      <c r="C4444" s="7" t="str">
        <f t="shared" si="1588"/>
        <v>行政財産</v>
      </c>
      <c r="D4444" s="7" t="str">
        <f t="shared" si="1580"/>
        <v>学校</v>
      </c>
      <c r="E4444" s="7" t="str">
        <f t="shared" si="1586"/>
        <v>大阪府大阪市　淀川区宮原４丁目</v>
      </c>
      <c r="F4444" s="7"/>
      <c r="G4444" s="7" t="str">
        <f t="shared" si="1589"/>
        <v>事業用資産</v>
      </c>
      <c r="H4444" s="7" t="str">
        <f t="shared" si="1583"/>
        <v>棚卸以外</v>
      </c>
      <c r="I4444" s="7">
        <v>72</v>
      </c>
      <c r="J4444" s="7" t="str">
        <f>"渡り廊下"</f>
        <v>渡り廊下</v>
      </c>
      <c r="K4444" s="7" t="str">
        <f>"鉄骨造"</f>
        <v>鉄骨造</v>
      </c>
      <c r="L4444" s="7" t="str">
        <f>"S55.05.31"</f>
        <v>S55.05.31</v>
      </c>
      <c r="M4444" s="7">
        <v>45.65</v>
      </c>
      <c r="N4444" s="7">
        <v>1421000</v>
      </c>
      <c r="O4444" s="7">
        <v>1336032</v>
      </c>
      <c r="P4444" s="7">
        <v>0</v>
      </c>
      <c r="Q4444" s="7" t="str">
        <f t="shared" si="1590"/>
        <v>教育庁</v>
      </c>
      <c r="R4444" s="7" t="str">
        <f t="shared" si="1587"/>
        <v>東淀川高等学校</v>
      </c>
    </row>
    <row r="4445" spans="1:18" s="1" customFormat="1" x14ac:dyDescent="0.45">
      <c r="A4445" s="7" t="str">
        <f t="shared" si="1584"/>
        <v>10335000000</v>
      </c>
      <c r="B4445" s="7" t="str">
        <f t="shared" si="1585"/>
        <v>東淀川高等学校</v>
      </c>
      <c r="C4445" s="7" t="str">
        <f t="shared" si="1588"/>
        <v>行政財産</v>
      </c>
      <c r="D4445" s="7" t="str">
        <f t="shared" si="1580"/>
        <v>学校</v>
      </c>
      <c r="E4445" s="7" t="str">
        <f t="shared" si="1586"/>
        <v>大阪府大阪市　淀川区宮原４丁目</v>
      </c>
      <c r="F4445" s="7"/>
      <c r="G4445" s="7" t="str">
        <f t="shared" si="1589"/>
        <v>事業用資産</v>
      </c>
      <c r="H4445" s="7" t="str">
        <f t="shared" si="1583"/>
        <v>棚卸以外</v>
      </c>
      <c r="I4445" s="7">
        <v>73</v>
      </c>
      <c r="J4445" s="7" t="str">
        <f>"渡り廊下"</f>
        <v>渡り廊下</v>
      </c>
      <c r="K4445" s="7" t="str">
        <f>"鉄骨造"</f>
        <v>鉄骨造</v>
      </c>
      <c r="L4445" s="7" t="str">
        <f>"S55.05.31"</f>
        <v>S55.05.31</v>
      </c>
      <c r="M4445" s="7">
        <v>36.130000000000003</v>
      </c>
      <c r="N4445" s="7">
        <v>1997000</v>
      </c>
      <c r="O4445" s="7">
        <v>1826744</v>
      </c>
      <c r="P4445" s="7">
        <v>0</v>
      </c>
      <c r="Q4445" s="7" t="str">
        <f t="shared" si="1590"/>
        <v>教育庁</v>
      </c>
      <c r="R4445" s="7" t="str">
        <f t="shared" si="1587"/>
        <v>東淀川高等学校</v>
      </c>
    </row>
    <row r="4446" spans="1:18" s="1" customFormat="1" x14ac:dyDescent="0.45">
      <c r="A4446" s="7" t="str">
        <f t="shared" si="1584"/>
        <v>10335000000</v>
      </c>
      <c r="B4446" s="7" t="str">
        <f t="shared" si="1585"/>
        <v>東淀川高等学校</v>
      </c>
      <c r="C4446" s="7" t="str">
        <f t="shared" si="1588"/>
        <v>行政財産</v>
      </c>
      <c r="D4446" s="7" t="str">
        <f t="shared" si="1580"/>
        <v>学校</v>
      </c>
      <c r="E4446" s="7" t="str">
        <f t="shared" si="1586"/>
        <v>大阪府大阪市　淀川区宮原４丁目</v>
      </c>
      <c r="F4446" s="7"/>
      <c r="G4446" s="7" t="str">
        <f t="shared" si="1589"/>
        <v>事業用資産</v>
      </c>
      <c r="H4446" s="7" t="str">
        <f t="shared" si="1583"/>
        <v>棚卸以外</v>
      </c>
      <c r="I4446" s="7">
        <v>74</v>
      </c>
      <c r="J4446" s="7" t="str">
        <f>"体育館"</f>
        <v>体育館</v>
      </c>
      <c r="K4446" s="7" t="str">
        <f>"鉄筋コンクリート造"</f>
        <v>鉄筋コンクリート造</v>
      </c>
      <c r="L4446" s="7" t="str">
        <f>"S55.11.29"</f>
        <v>S55.11.29</v>
      </c>
      <c r="M4446" s="7">
        <v>3031.24</v>
      </c>
      <c r="N4446" s="7">
        <v>464502452</v>
      </c>
      <c r="O4446" s="7">
        <v>339714943</v>
      </c>
      <c r="P4446" s="7">
        <v>0</v>
      </c>
      <c r="Q4446" s="7" t="str">
        <f t="shared" si="1590"/>
        <v>教育庁</v>
      </c>
      <c r="R4446" s="7" t="str">
        <f t="shared" si="1587"/>
        <v>東淀川高等学校</v>
      </c>
    </row>
    <row r="4447" spans="1:18" s="1" customFormat="1" x14ac:dyDescent="0.45">
      <c r="A4447" s="7" t="str">
        <f t="shared" si="1584"/>
        <v>10335000000</v>
      </c>
      <c r="B4447" s="7" t="str">
        <f t="shared" si="1585"/>
        <v>東淀川高等学校</v>
      </c>
      <c r="C4447" s="7" t="str">
        <f t="shared" si="1588"/>
        <v>行政財産</v>
      </c>
      <c r="D4447" s="7" t="str">
        <f t="shared" si="1580"/>
        <v>学校</v>
      </c>
      <c r="E4447" s="7" t="str">
        <f t="shared" si="1586"/>
        <v>大阪府大阪市　淀川区宮原４丁目</v>
      </c>
      <c r="F4447" s="7"/>
      <c r="G4447" s="7" t="str">
        <f t="shared" si="1589"/>
        <v>事業用資産</v>
      </c>
      <c r="H4447" s="7" t="str">
        <f t="shared" si="1583"/>
        <v>棚卸以外</v>
      </c>
      <c r="I4447" s="7">
        <v>75</v>
      </c>
      <c r="J4447" s="7" t="str">
        <f>"渡り廊下"</f>
        <v>渡り廊下</v>
      </c>
      <c r="K4447" s="7" t="str">
        <f>"鉄筋コンクリート造"</f>
        <v>鉄筋コンクリート造</v>
      </c>
      <c r="L4447" s="7" t="str">
        <f>"S55.12.09"</f>
        <v>S55.12.09</v>
      </c>
      <c r="M4447" s="7">
        <v>72.95</v>
      </c>
      <c r="N4447" s="7">
        <v>4650000</v>
      </c>
      <c r="O4447" s="7">
        <v>4434064</v>
      </c>
      <c r="P4447" s="7">
        <v>0</v>
      </c>
      <c r="Q4447" s="7" t="str">
        <f t="shared" si="1590"/>
        <v>教育庁</v>
      </c>
      <c r="R4447" s="7" t="str">
        <f t="shared" si="1587"/>
        <v>東淀川高等学校</v>
      </c>
    </row>
    <row r="4448" spans="1:18" s="1" customFormat="1" x14ac:dyDescent="0.45">
      <c r="A4448" s="7" t="str">
        <f t="shared" si="1584"/>
        <v>10335000000</v>
      </c>
      <c r="B4448" s="7" t="str">
        <f t="shared" si="1585"/>
        <v>東淀川高等学校</v>
      </c>
      <c r="C4448" s="7" t="str">
        <f t="shared" si="1588"/>
        <v>行政財産</v>
      </c>
      <c r="D4448" s="7" t="str">
        <f t="shared" si="1580"/>
        <v>学校</v>
      </c>
      <c r="E4448" s="7" t="str">
        <f t="shared" si="1586"/>
        <v>大阪府大阪市　淀川区宮原４丁目</v>
      </c>
      <c r="F4448" s="7"/>
      <c r="G4448" s="7" t="str">
        <f t="shared" si="1589"/>
        <v>事業用資産</v>
      </c>
      <c r="H4448" s="7" t="str">
        <f t="shared" si="1583"/>
        <v>棚卸以外</v>
      </c>
      <c r="I4448" s="7">
        <v>76</v>
      </c>
      <c r="J4448" s="7" t="str">
        <f>"倉庫"</f>
        <v>倉庫</v>
      </c>
      <c r="K4448" s="7" t="str">
        <f>"鉄筋コンクリート造"</f>
        <v>鉄筋コンクリート造</v>
      </c>
      <c r="L4448" s="7" t="str">
        <f>"S56.03.31"</f>
        <v>S56.03.31</v>
      </c>
      <c r="M4448" s="7">
        <v>81.900000000000006</v>
      </c>
      <c r="N4448" s="7">
        <v>4253000</v>
      </c>
      <c r="O4448" s="7">
        <v>4252999</v>
      </c>
      <c r="P4448" s="7">
        <v>0</v>
      </c>
      <c r="Q4448" s="7" t="str">
        <f t="shared" si="1590"/>
        <v>教育庁</v>
      </c>
      <c r="R4448" s="7" t="str">
        <f t="shared" si="1587"/>
        <v>東淀川高等学校</v>
      </c>
    </row>
    <row r="4449" spans="1:18" s="1" customFormat="1" x14ac:dyDescent="0.45">
      <c r="A4449" s="7" t="str">
        <f t="shared" ref="A4449:A4461" si="1591">"10337000000"</f>
        <v>10337000000</v>
      </c>
      <c r="B4449" s="7" t="str">
        <f t="shared" ref="B4449:B4461" si="1592">"柴島高等学校"</f>
        <v>柴島高等学校</v>
      </c>
      <c r="C4449" s="7" t="str">
        <f t="shared" si="1588"/>
        <v>行政財産</v>
      </c>
      <c r="D4449" s="7" t="str">
        <f t="shared" si="1580"/>
        <v>学校</v>
      </c>
      <c r="E4449" s="7" t="str">
        <f t="shared" ref="E4449:E4461" si="1593">"大阪府大阪市　東淀川区柴島１丁目"</f>
        <v>大阪府大阪市　東淀川区柴島１丁目</v>
      </c>
      <c r="F4449" s="7"/>
      <c r="G4449" s="7" t="str">
        <f t="shared" si="1589"/>
        <v>事業用資産</v>
      </c>
      <c r="H4449" s="7" t="str">
        <f t="shared" si="1583"/>
        <v>棚卸以外</v>
      </c>
      <c r="I4449" s="7">
        <v>1</v>
      </c>
      <c r="J4449" s="7" t="str">
        <f>"校舎棟"</f>
        <v>校舎棟</v>
      </c>
      <c r="K4449" s="7" t="str">
        <f>"鉄筋コンクリート造"</f>
        <v>鉄筋コンクリート造</v>
      </c>
      <c r="L4449" s="7" t="str">
        <f>"S50.02.28"</f>
        <v>S50.02.28</v>
      </c>
      <c r="M4449" s="7">
        <v>12093.65</v>
      </c>
      <c r="N4449" s="7">
        <v>1891963232</v>
      </c>
      <c r="O4449" s="7">
        <v>1658185919</v>
      </c>
      <c r="P4449" s="7">
        <v>0</v>
      </c>
      <c r="Q4449" s="7" t="str">
        <f t="shared" si="1590"/>
        <v>教育庁</v>
      </c>
      <c r="R4449" s="7" t="str">
        <f t="shared" ref="R4449:R4461" si="1594">"柴島高等学校"</f>
        <v>柴島高等学校</v>
      </c>
    </row>
    <row r="4450" spans="1:18" s="1" customFormat="1" x14ac:dyDescent="0.45">
      <c r="A4450" s="7" t="str">
        <f t="shared" si="1591"/>
        <v>10337000000</v>
      </c>
      <c r="B4450" s="7" t="str">
        <f t="shared" si="1592"/>
        <v>柴島高等学校</v>
      </c>
      <c r="C4450" s="7" t="str">
        <f t="shared" si="1588"/>
        <v>行政財産</v>
      </c>
      <c r="D4450" s="7" t="str">
        <f t="shared" si="1580"/>
        <v>学校</v>
      </c>
      <c r="E4450" s="7" t="str">
        <f t="shared" si="1593"/>
        <v>大阪府大阪市　東淀川区柴島１丁目</v>
      </c>
      <c r="F4450" s="7"/>
      <c r="G4450" s="7" t="str">
        <f t="shared" si="1589"/>
        <v>事業用資産</v>
      </c>
      <c r="H4450" s="7" t="str">
        <f t="shared" si="1583"/>
        <v>棚卸以外</v>
      </c>
      <c r="I4450" s="7">
        <v>2</v>
      </c>
      <c r="J4450" s="7" t="str">
        <f>"設備棟"</f>
        <v>設備棟</v>
      </c>
      <c r="K4450" s="7" t="str">
        <f>"鉄筋コンクリート造"</f>
        <v>鉄筋コンクリート造</v>
      </c>
      <c r="L4450" s="7" t="str">
        <f>"S50.02.28"</f>
        <v>S50.02.28</v>
      </c>
      <c r="M4450" s="7">
        <v>72</v>
      </c>
      <c r="N4450" s="7">
        <v>10318000</v>
      </c>
      <c r="O4450" s="7">
        <v>10317999</v>
      </c>
      <c r="P4450" s="7">
        <v>0</v>
      </c>
      <c r="Q4450" s="7" t="str">
        <f t="shared" si="1590"/>
        <v>教育庁</v>
      </c>
      <c r="R4450" s="7" t="str">
        <f t="shared" si="1594"/>
        <v>柴島高等学校</v>
      </c>
    </row>
    <row r="4451" spans="1:18" s="1" customFormat="1" x14ac:dyDescent="0.45">
      <c r="A4451" s="7" t="str">
        <f t="shared" si="1591"/>
        <v>10337000000</v>
      </c>
      <c r="B4451" s="7" t="str">
        <f t="shared" si="1592"/>
        <v>柴島高等学校</v>
      </c>
      <c r="C4451" s="7" t="str">
        <f t="shared" si="1588"/>
        <v>行政財産</v>
      </c>
      <c r="D4451" s="7" t="str">
        <f t="shared" si="1580"/>
        <v>学校</v>
      </c>
      <c r="E4451" s="7" t="str">
        <f t="shared" si="1593"/>
        <v>大阪府大阪市　東淀川区柴島１丁目</v>
      </c>
      <c r="F4451" s="7"/>
      <c r="G4451" s="7" t="str">
        <f t="shared" si="1589"/>
        <v>事業用資産</v>
      </c>
      <c r="H4451" s="7" t="str">
        <f t="shared" si="1583"/>
        <v>棚卸以外</v>
      </c>
      <c r="I4451" s="7">
        <v>3</v>
      </c>
      <c r="J4451" s="7" t="str">
        <f>"陶芸室"</f>
        <v>陶芸室</v>
      </c>
      <c r="K4451" s="7" t="str">
        <f>"鉄骨造"</f>
        <v>鉄骨造</v>
      </c>
      <c r="L4451" s="7" t="str">
        <f>"S50.02.28"</f>
        <v>S50.02.28</v>
      </c>
      <c r="M4451" s="7">
        <v>50</v>
      </c>
      <c r="N4451" s="7">
        <v>7647000</v>
      </c>
      <c r="O4451" s="7">
        <v>7098143</v>
      </c>
      <c r="P4451" s="7">
        <v>0</v>
      </c>
      <c r="Q4451" s="7" t="str">
        <f t="shared" si="1590"/>
        <v>教育庁</v>
      </c>
      <c r="R4451" s="7" t="str">
        <f t="shared" si="1594"/>
        <v>柴島高等学校</v>
      </c>
    </row>
    <row r="4452" spans="1:18" s="1" customFormat="1" x14ac:dyDescent="0.45">
      <c r="A4452" s="7" t="str">
        <f t="shared" si="1591"/>
        <v>10337000000</v>
      </c>
      <c r="B4452" s="7" t="str">
        <f t="shared" si="1592"/>
        <v>柴島高等学校</v>
      </c>
      <c r="C4452" s="7" t="str">
        <f t="shared" si="1588"/>
        <v>行政財産</v>
      </c>
      <c r="D4452" s="7" t="str">
        <f t="shared" si="1580"/>
        <v>学校</v>
      </c>
      <c r="E4452" s="7" t="str">
        <f t="shared" si="1593"/>
        <v>大阪府大阪市　東淀川区柴島１丁目</v>
      </c>
      <c r="F4452" s="7"/>
      <c r="G4452" s="7" t="str">
        <f t="shared" si="1589"/>
        <v>事業用資産</v>
      </c>
      <c r="H4452" s="7" t="str">
        <f t="shared" si="1583"/>
        <v>棚卸以外</v>
      </c>
      <c r="I4452" s="7">
        <v>6</v>
      </c>
      <c r="J4452" s="7" t="str">
        <f>"体育館"</f>
        <v>体育館</v>
      </c>
      <c r="K4452" s="7" t="str">
        <f>"鉄筋コンクリート造"</f>
        <v>鉄筋コンクリート造</v>
      </c>
      <c r="L4452" s="7" t="str">
        <f>"S51.06.30"</f>
        <v>S51.06.30</v>
      </c>
      <c r="M4452" s="7">
        <v>3351</v>
      </c>
      <c r="N4452" s="7">
        <v>387736289</v>
      </c>
      <c r="O4452" s="7">
        <v>334688016</v>
      </c>
      <c r="P4452" s="7">
        <v>0</v>
      </c>
      <c r="Q4452" s="7" t="str">
        <f t="shared" si="1590"/>
        <v>教育庁</v>
      </c>
      <c r="R4452" s="7" t="str">
        <f t="shared" si="1594"/>
        <v>柴島高等学校</v>
      </c>
    </row>
    <row r="4453" spans="1:18" s="1" customFormat="1" x14ac:dyDescent="0.45">
      <c r="A4453" s="7" t="str">
        <f t="shared" si="1591"/>
        <v>10337000000</v>
      </c>
      <c r="B4453" s="7" t="str">
        <f t="shared" si="1592"/>
        <v>柴島高等学校</v>
      </c>
      <c r="C4453" s="7" t="str">
        <f t="shared" si="1588"/>
        <v>行政財産</v>
      </c>
      <c r="D4453" s="7" t="str">
        <f t="shared" si="1580"/>
        <v>学校</v>
      </c>
      <c r="E4453" s="7" t="str">
        <f t="shared" si="1593"/>
        <v>大阪府大阪市　東淀川区柴島１丁目</v>
      </c>
      <c r="F4453" s="7"/>
      <c r="G4453" s="7" t="str">
        <f t="shared" si="1589"/>
        <v>事業用資産</v>
      </c>
      <c r="H4453" s="7" t="str">
        <f t="shared" si="1583"/>
        <v>棚卸以外</v>
      </c>
      <c r="I4453" s="7">
        <v>8</v>
      </c>
      <c r="J4453" s="7" t="str">
        <f>"プール附属棟"</f>
        <v>プール附属棟</v>
      </c>
      <c r="K4453" s="7" t="str">
        <f>"コンクリートブロック造"</f>
        <v>コンクリートブロック造</v>
      </c>
      <c r="L4453" s="7" t="str">
        <f>"S51.06.30"</f>
        <v>S51.06.30</v>
      </c>
      <c r="M4453" s="7">
        <v>138</v>
      </c>
      <c r="N4453" s="7">
        <v>22636000</v>
      </c>
      <c r="O4453" s="7">
        <v>22635999</v>
      </c>
      <c r="P4453" s="7">
        <v>0</v>
      </c>
      <c r="Q4453" s="7" t="str">
        <f t="shared" si="1590"/>
        <v>教育庁</v>
      </c>
      <c r="R4453" s="7" t="str">
        <f t="shared" si="1594"/>
        <v>柴島高等学校</v>
      </c>
    </row>
    <row r="4454" spans="1:18" s="1" customFormat="1" x14ac:dyDescent="0.45">
      <c r="A4454" s="7" t="str">
        <f t="shared" si="1591"/>
        <v>10337000000</v>
      </c>
      <c r="B4454" s="7" t="str">
        <f t="shared" si="1592"/>
        <v>柴島高等学校</v>
      </c>
      <c r="C4454" s="7" t="str">
        <f t="shared" si="1588"/>
        <v>行政財産</v>
      </c>
      <c r="D4454" s="7" t="str">
        <f t="shared" si="1580"/>
        <v>学校</v>
      </c>
      <c r="E4454" s="7" t="str">
        <f t="shared" si="1593"/>
        <v>大阪府大阪市　東淀川区柴島１丁目</v>
      </c>
      <c r="F4454" s="7"/>
      <c r="G4454" s="7" t="str">
        <f t="shared" si="1589"/>
        <v>事業用資産</v>
      </c>
      <c r="H4454" s="7" t="str">
        <f t="shared" si="1583"/>
        <v>棚卸以外</v>
      </c>
      <c r="I4454" s="7">
        <v>9</v>
      </c>
      <c r="J4454" s="7" t="str">
        <f>"倉庫"</f>
        <v>倉庫</v>
      </c>
      <c r="K4454" s="7" t="str">
        <f>"コンクリートブロック造"</f>
        <v>コンクリートブロック造</v>
      </c>
      <c r="L4454" s="7" t="str">
        <f>"S51.06.30"</f>
        <v>S51.06.30</v>
      </c>
      <c r="M4454" s="7">
        <v>50.6</v>
      </c>
      <c r="N4454" s="7">
        <v>4024000</v>
      </c>
      <c r="O4454" s="7">
        <v>4023999</v>
      </c>
      <c r="P4454" s="7">
        <v>0</v>
      </c>
      <c r="Q4454" s="7" t="str">
        <f t="shared" si="1590"/>
        <v>教育庁</v>
      </c>
      <c r="R4454" s="7" t="str">
        <f t="shared" si="1594"/>
        <v>柴島高等学校</v>
      </c>
    </row>
    <row r="4455" spans="1:18" s="1" customFormat="1" x14ac:dyDescent="0.45">
      <c r="A4455" s="7" t="str">
        <f t="shared" si="1591"/>
        <v>10337000000</v>
      </c>
      <c r="B4455" s="7" t="str">
        <f t="shared" si="1592"/>
        <v>柴島高等学校</v>
      </c>
      <c r="C4455" s="7" t="str">
        <f t="shared" si="1588"/>
        <v>行政財産</v>
      </c>
      <c r="D4455" s="7" t="str">
        <f t="shared" si="1580"/>
        <v>学校</v>
      </c>
      <c r="E4455" s="7" t="str">
        <f t="shared" si="1593"/>
        <v>大阪府大阪市　東淀川区柴島１丁目</v>
      </c>
      <c r="F4455" s="7"/>
      <c r="G4455" s="7" t="str">
        <f t="shared" si="1589"/>
        <v>事業用資産</v>
      </c>
      <c r="H4455" s="7" t="str">
        <f t="shared" si="1583"/>
        <v>棚卸以外</v>
      </c>
      <c r="I4455" s="7">
        <v>10</v>
      </c>
      <c r="J4455" s="7" t="str">
        <f>"倉庫"</f>
        <v>倉庫</v>
      </c>
      <c r="K4455" s="7" t="str">
        <f>"鉄骨造"</f>
        <v>鉄骨造</v>
      </c>
      <c r="L4455" s="7" t="str">
        <f>"S52.08.10"</f>
        <v>S52.08.10</v>
      </c>
      <c r="M4455" s="7">
        <v>50</v>
      </c>
      <c r="N4455" s="7">
        <v>4193000</v>
      </c>
      <c r="O4455" s="7">
        <v>4192999</v>
      </c>
      <c r="P4455" s="7">
        <v>0</v>
      </c>
      <c r="Q4455" s="7" t="str">
        <f t="shared" si="1590"/>
        <v>教育庁</v>
      </c>
      <c r="R4455" s="7" t="str">
        <f t="shared" si="1594"/>
        <v>柴島高等学校</v>
      </c>
    </row>
    <row r="4456" spans="1:18" s="1" customFormat="1" x14ac:dyDescent="0.45">
      <c r="A4456" s="7" t="str">
        <f t="shared" si="1591"/>
        <v>10337000000</v>
      </c>
      <c r="B4456" s="7" t="str">
        <f t="shared" si="1592"/>
        <v>柴島高等学校</v>
      </c>
      <c r="C4456" s="7" t="str">
        <f t="shared" si="1588"/>
        <v>行政財産</v>
      </c>
      <c r="D4456" s="7" t="str">
        <f t="shared" si="1580"/>
        <v>学校</v>
      </c>
      <c r="E4456" s="7" t="str">
        <f t="shared" si="1593"/>
        <v>大阪府大阪市　東淀川区柴島１丁目</v>
      </c>
      <c r="F4456" s="7"/>
      <c r="G4456" s="7" t="str">
        <f t="shared" si="1589"/>
        <v>事業用資産</v>
      </c>
      <c r="H4456" s="7" t="str">
        <f t="shared" si="1583"/>
        <v>棚卸以外</v>
      </c>
      <c r="I4456" s="7">
        <v>25</v>
      </c>
      <c r="J4456" s="7" t="str">
        <f>"クラブ倉庫"</f>
        <v>クラブ倉庫</v>
      </c>
      <c r="K4456" s="7" t="str">
        <f>"鉄筋コンクリート造"</f>
        <v>鉄筋コンクリート造</v>
      </c>
      <c r="L4456" s="7" t="str">
        <f>"H04.03.25"</f>
        <v>H04.03.25</v>
      </c>
      <c r="M4456" s="7">
        <v>31.15</v>
      </c>
      <c r="N4456" s="7">
        <v>6225000</v>
      </c>
      <c r="O4456" s="7">
        <v>5078544</v>
      </c>
      <c r="P4456" s="7">
        <v>0</v>
      </c>
      <c r="Q4456" s="7" t="str">
        <f t="shared" si="1590"/>
        <v>教育庁</v>
      </c>
      <c r="R4456" s="7" t="str">
        <f t="shared" si="1594"/>
        <v>柴島高等学校</v>
      </c>
    </row>
    <row r="4457" spans="1:18" s="1" customFormat="1" x14ac:dyDescent="0.45">
      <c r="A4457" s="7" t="str">
        <f t="shared" si="1591"/>
        <v>10337000000</v>
      </c>
      <c r="B4457" s="7" t="str">
        <f t="shared" si="1592"/>
        <v>柴島高等学校</v>
      </c>
      <c r="C4457" s="7" t="str">
        <f t="shared" si="1588"/>
        <v>行政財産</v>
      </c>
      <c r="D4457" s="7" t="str">
        <f t="shared" si="1580"/>
        <v>学校</v>
      </c>
      <c r="E4457" s="7" t="str">
        <f t="shared" si="1593"/>
        <v>大阪府大阪市　東淀川区柴島１丁目</v>
      </c>
      <c r="F4457" s="7"/>
      <c r="G4457" s="7" t="str">
        <f t="shared" si="1589"/>
        <v>事業用資産</v>
      </c>
      <c r="H4457" s="7" t="str">
        <f t="shared" si="1583"/>
        <v>棚卸以外</v>
      </c>
      <c r="I4457" s="7">
        <v>26</v>
      </c>
      <c r="J4457" s="7" t="str">
        <f>"クラブ倉庫"</f>
        <v>クラブ倉庫</v>
      </c>
      <c r="K4457" s="7" t="str">
        <f>"鉄筋コンクリート造"</f>
        <v>鉄筋コンクリート造</v>
      </c>
      <c r="L4457" s="7" t="str">
        <f>"H04.03.25"</f>
        <v>H04.03.25</v>
      </c>
      <c r="M4457" s="7">
        <v>31.15</v>
      </c>
      <c r="N4457" s="7">
        <v>6225000</v>
      </c>
      <c r="O4457" s="7">
        <v>5078544</v>
      </c>
      <c r="P4457" s="7">
        <v>0</v>
      </c>
      <c r="Q4457" s="7" t="str">
        <f t="shared" si="1590"/>
        <v>教育庁</v>
      </c>
      <c r="R4457" s="7" t="str">
        <f t="shared" si="1594"/>
        <v>柴島高等学校</v>
      </c>
    </row>
    <row r="4458" spans="1:18" s="1" customFormat="1" x14ac:dyDescent="0.45">
      <c r="A4458" s="7" t="str">
        <f t="shared" si="1591"/>
        <v>10337000000</v>
      </c>
      <c r="B4458" s="7" t="str">
        <f t="shared" si="1592"/>
        <v>柴島高等学校</v>
      </c>
      <c r="C4458" s="7" t="str">
        <f t="shared" si="1588"/>
        <v>行政財産</v>
      </c>
      <c r="D4458" s="7" t="str">
        <f t="shared" si="1580"/>
        <v>学校</v>
      </c>
      <c r="E4458" s="7" t="str">
        <f t="shared" si="1593"/>
        <v>大阪府大阪市　東淀川区柴島１丁目</v>
      </c>
      <c r="F4458" s="7"/>
      <c r="G4458" s="7" t="str">
        <f t="shared" si="1589"/>
        <v>事業用資産</v>
      </c>
      <c r="H4458" s="7" t="str">
        <f t="shared" si="1583"/>
        <v>棚卸以外</v>
      </c>
      <c r="I4458" s="7">
        <v>27</v>
      </c>
      <c r="J4458" s="7" t="str">
        <f>"福祉実習棟"</f>
        <v>福祉実習棟</v>
      </c>
      <c r="K4458" s="7" t="str">
        <f>"鉄骨造"</f>
        <v>鉄骨造</v>
      </c>
      <c r="L4458" s="7" t="str">
        <f>"H10.03.30"</f>
        <v>H10.03.30</v>
      </c>
      <c r="M4458" s="7">
        <v>559.54</v>
      </c>
      <c r="N4458" s="7">
        <v>146930000</v>
      </c>
      <c r="O4458" s="7">
        <v>108010518</v>
      </c>
      <c r="P4458" s="7">
        <v>0</v>
      </c>
      <c r="Q4458" s="7" t="str">
        <f t="shared" si="1590"/>
        <v>教育庁</v>
      </c>
      <c r="R4458" s="7" t="str">
        <f t="shared" si="1594"/>
        <v>柴島高等学校</v>
      </c>
    </row>
    <row r="4459" spans="1:18" s="1" customFormat="1" x14ac:dyDescent="0.45">
      <c r="A4459" s="7" t="str">
        <f t="shared" si="1591"/>
        <v>10337000000</v>
      </c>
      <c r="B4459" s="7" t="str">
        <f t="shared" si="1592"/>
        <v>柴島高等学校</v>
      </c>
      <c r="C4459" s="7" t="str">
        <f t="shared" si="1588"/>
        <v>行政財産</v>
      </c>
      <c r="D4459" s="7" t="str">
        <f t="shared" si="1580"/>
        <v>学校</v>
      </c>
      <c r="E4459" s="7" t="str">
        <f t="shared" si="1593"/>
        <v>大阪府大阪市　東淀川区柴島１丁目</v>
      </c>
      <c r="F4459" s="7"/>
      <c r="G4459" s="7" t="str">
        <f t="shared" si="1589"/>
        <v>事業用資産</v>
      </c>
      <c r="H4459" s="7" t="str">
        <f t="shared" si="1583"/>
        <v>棚卸以外</v>
      </c>
      <c r="I4459" s="7">
        <v>28</v>
      </c>
      <c r="J4459" s="7" t="str">
        <f>"ゴミ置場"</f>
        <v>ゴミ置場</v>
      </c>
      <c r="K4459" s="7" t="str">
        <f>"コンクリートブロック造"</f>
        <v>コンクリートブロック造</v>
      </c>
      <c r="L4459" s="7" t="str">
        <f>"S52.03.25"</f>
        <v>S52.03.25</v>
      </c>
      <c r="M4459" s="7">
        <v>8.76</v>
      </c>
      <c r="N4459" s="7">
        <v>500000</v>
      </c>
      <c r="O4459" s="7">
        <v>499999</v>
      </c>
      <c r="P4459" s="7">
        <v>0</v>
      </c>
      <c r="Q4459" s="7" t="str">
        <f t="shared" si="1590"/>
        <v>教育庁</v>
      </c>
      <c r="R4459" s="7" t="str">
        <f t="shared" si="1594"/>
        <v>柴島高等学校</v>
      </c>
    </row>
    <row r="4460" spans="1:18" s="1" customFormat="1" x14ac:dyDescent="0.45">
      <c r="A4460" s="7" t="str">
        <f t="shared" si="1591"/>
        <v>10337000000</v>
      </c>
      <c r="B4460" s="7" t="str">
        <f t="shared" si="1592"/>
        <v>柴島高等学校</v>
      </c>
      <c r="C4460" s="7" t="str">
        <f t="shared" si="1588"/>
        <v>行政財産</v>
      </c>
      <c r="D4460" s="7" t="str">
        <f t="shared" si="1580"/>
        <v>学校</v>
      </c>
      <c r="E4460" s="7" t="str">
        <f t="shared" si="1593"/>
        <v>大阪府大阪市　東淀川区柴島１丁目</v>
      </c>
      <c r="F4460" s="7"/>
      <c r="G4460" s="7" t="str">
        <f t="shared" si="1589"/>
        <v>事業用資産</v>
      </c>
      <c r="H4460" s="7" t="str">
        <f t="shared" si="1583"/>
        <v>棚卸以外</v>
      </c>
      <c r="I4460" s="7">
        <v>29</v>
      </c>
      <c r="J4460" s="7" t="str">
        <f>"倉庫"</f>
        <v>倉庫</v>
      </c>
      <c r="K4460" s="7" t="str">
        <f>"土蔵造(簡易建物)"</f>
        <v>土蔵造(簡易建物)</v>
      </c>
      <c r="L4460" s="7" t="str">
        <f>"H12.08.30"</f>
        <v>H12.08.30</v>
      </c>
      <c r="M4460" s="7">
        <v>18.72</v>
      </c>
      <c r="N4460" s="7">
        <v>595000</v>
      </c>
      <c r="O4460" s="7">
        <v>559886</v>
      </c>
      <c r="P4460" s="7">
        <v>0</v>
      </c>
      <c r="Q4460" s="7" t="str">
        <f t="shared" si="1590"/>
        <v>教育庁</v>
      </c>
      <c r="R4460" s="7" t="str">
        <f t="shared" si="1594"/>
        <v>柴島高等学校</v>
      </c>
    </row>
    <row r="4461" spans="1:18" s="1" customFormat="1" x14ac:dyDescent="0.45">
      <c r="A4461" s="7" t="str">
        <f t="shared" si="1591"/>
        <v>10337000000</v>
      </c>
      <c r="B4461" s="7" t="str">
        <f t="shared" si="1592"/>
        <v>柴島高等学校</v>
      </c>
      <c r="C4461" s="7" t="str">
        <f t="shared" si="1588"/>
        <v>行政財産</v>
      </c>
      <c r="D4461" s="7" t="str">
        <f t="shared" si="1580"/>
        <v>学校</v>
      </c>
      <c r="E4461" s="7" t="str">
        <f t="shared" si="1593"/>
        <v>大阪府大阪市　東淀川区柴島１丁目</v>
      </c>
      <c r="F4461" s="7"/>
      <c r="G4461" s="7" t="str">
        <f t="shared" si="1589"/>
        <v>事業用資産</v>
      </c>
      <c r="H4461" s="7" t="str">
        <f t="shared" si="1583"/>
        <v>棚卸以外</v>
      </c>
      <c r="I4461" s="7">
        <v>30</v>
      </c>
      <c r="J4461" s="7" t="str">
        <f>"多目的教室棟"</f>
        <v>多目的教室棟</v>
      </c>
      <c r="K4461" s="7" t="str">
        <f>"鉄骨造"</f>
        <v>鉄骨造</v>
      </c>
      <c r="L4461" s="7" t="str">
        <f>"H16.03.19"</f>
        <v>H16.03.19</v>
      </c>
      <c r="M4461" s="7">
        <v>115.38</v>
      </c>
      <c r="N4461" s="7">
        <v>22667000</v>
      </c>
      <c r="O4461" s="7">
        <v>12666996</v>
      </c>
      <c r="P4461" s="7">
        <v>0</v>
      </c>
      <c r="Q4461" s="7" t="str">
        <f t="shared" si="1590"/>
        <v>教育庁</v>
      </c>
      <c r="R4461" s="7" t="str">
        <f t="shared" si="1594"/>
        <v>柴島高等学校</v>
      </c>
    </row>
    <row r="4462" spans="1:18" s="1" customFormat="1" x14ac:dyDescent="0.45">
      <c r="A4462" s="7" t="str">
        <f t="shared" ref="A4462:A4473" si="1595">"10338000000"</f>
        <v>10338000000</v>
      </c>
      <c r="B4462" s="7" t="str">
        <f t="shared" ref="B4462:B4473" si="1596">"大手前高等学校"</f>
        <v>大手前高等学校</v>
      </c>
      <c r="C4462" s="7" t="str">
        <f t="shared" si="1588"/>
        <v>行政財産</v>
      </c>
      <c r="D4462" s="7" t="str">
        <f t="shared" si="1580"/>
        <v>学校</v>
      </c>
      <c r="E4462" s="7" t="str">
        <f t="shared" ref="E4462:E4473" si="1597">"大阪府大阪市　中央区大手前２丁目"</f>
        <v>大阪府大阪市　中央区大手前２丁目</v>
      </c>
      <c r="F4462" s="7"/>
      <c r="G4462" s="7" t="str">
        <f t="shared" si="1589"/>
        <v>事業用資産</v>
      </c>
      <c r="H4462" s="7" t="str">
        <f t="shared" si="1583"/>
        <v>棚卸以外</v>
      </c>
      <c r="I4462" s="7">
        <v>7</v>
      </c>
      <c r="J4462" s="7" t="str">
        <f>"便所"</f>
        <v>便所</v>
      </c>
      <c r="K4462" s="7" t="str">
        <f>"鉄筋コンクリート造"</f>
        <v>鉄筋コンクリート造</v>
      </c>
      <c r="L4462" s="7" t="str">
        <f>"T13.02.09"</f>
        <v>T13.02.09</v>
      </c>
      <c r="M4462" s="7">
        <v>66.8</v>
      </c>
      <c r="N4462" s="7">
        <v>4525467</v>
      </c>
      <c r="O4462" s="7">
        <v>2778785</v>
      </c>
      <c r="P4462" s="7">
        <v>0</v>
      </c>
      <c r="Q4462" s="7" t="str">
        <f t="shared" si="1590"/>
        <v>教育庁</v>
      </c>
      <c r="R4462" s="7" t="str">
        <f t="shared" ref="R4462:R4473" si="1598">"大手前高等学校"</f>
        <v>大手前高等学校</v>
      </c>
    </row>
    <row r="4463" spans="1:18" s="1" customFormat="1" x14ac:dyDescent="0.45">
      <c r="A4463" s="7" t="str">
        <f t="shared" si="1595"/>
        <v>10338000000</v>
      </c>
      <c r="B4463" s="7" t="str">
        <f t="shared" si="1596"/>
        <v>大手前高等学校</v>
      </c>
      <c r="C4463" s="7" t="str">
        <f t="shared" si="1588"/>
        <v>行政財産</v>
      </c>
      <c r="D4463" s="7" t="str">
        <f t="shared" si="1580"/>
        <v>学校</v>
      </c>
      <c r="E4463" s="7" t="str">
        <f t="shared" si="1597"/>
        <v>大阪府大阪市　中央区大手前２丁目</v>
      </c>
      <c r="F4463" s="7"/>
      <c r="G4463" s="7" t="str">
        <f t="shared" si="1589"/>
        <v>事業用資産</v>
      </c>
      <c r="H4463" s="7" t="str">
        <f t="shared" si="1583"/>
        <v>棚卸以外</v>
      </c>
      <c r="I4463" s="7">
        <v>9</v>
      </c>
      <c r="J4463" s="7" t="str">
        <f>"別館"</f>
        <v>別館</v>
      </c>
      <c r="K4463" s="7" t="str">
        <f>"鉄筋コンクリート造"</f>
        <v>鉄筋コンクリート造</v>
      </c>
      <c r="L4463" s="7" t="str">
        <f>"S03.03.30"</f>
        <v>S03.03.30</v>
      </c>
      <c r="M4463" s="7">
        <v>578.51</v>
      </c>
      <c r="N4463" s="7">
        <v>50723976</v>
      </c>
      <c r="O4463" s="7">
        <v>21985283</v>
      </c>
      <c r="P4463" s="7">
        <v>0</v>
      </c>
      <c r="Q4463" s="7" t="str">
        <f t="shared" si="1590"/>
        <v>教育庁</v>
      </c>
      <c r="R4463" s="7" t="str">
        <f t="shared" si="1598"/>
        <v>大手前高等学校</v>
      </c>
    </row>
    <row r="4464" spans="1:18" s="1" customFormat="1" x14ac:dyDescent="0.45">
      <c r="A4464" s="7" t="str">
        <f t="shared" si="1595"/>
        <v>10338000000</v>
      </c>
      <c r="B4464" s="7" t="str">
        <f t="shared" si="1596"/>
        <v>大手前高等学校</v>
      </c>
      <c r="C4464" s="7" t="str">
        <f t="shared" si="1588"/>
        <v>行政財産</v>
      </c>
      <c r="D4464" s="7" t="str">
        <f t="shared" si="1580"/>
        <v>学校</v>
      </c>
      <c r="E4464" s="7" t="str">
        <f t="shared" si="1597"/>
        <v>大阪府大阪市　中央区大手前２丁目</v>
      </c>
      <c r="F4464" s="7"/>
      <c r="G4464" s="7" t="str">
        <f t="shared" si="1589"/>
        <v>事業用資産</v>
      </c>
      <c r="H4464" s="7" t="str">
        <f t="shared" si="1583"/>
        <v>棚卸以外</v>
      </c>
      <c r="I4464" s="7">
        <v>15</v>
      </c>
      <c r="J4464" s="7" t="str">
        <f>"新館"</f>
        <v>新館</v>
      </c>
      <c r="K4464" s="7" t="str">
        <f>"鉄筋コンクリート造"</f>
        <v>鉄筋コンクリート造</v>
      </c>
      <c r="L4464" s="7" t="str">
        <f>"S37.03.31"</f>
        <v>S37.03.31</v>
      </c>
      <c r="M4464" s="7">
        <v>605.88</v>
      </c>
      <c r="N4464" s="7">
        <v>20656504</v>
      </c>
      <c r="O4464" s="7">
        <v>17286891</v>
      </c>
      <c r="P4464" s="7">
        <v>0</v>
      </c>
      <c r="Q4464" s="7" t="str">
        <f t="shared" si="1590"/>
        <v>教育庁</v>
      </c>
      <c r="R4464" s="7" t="str">
        <f t="shared" si="1598"/>
        <v>大手前高等学校</v>
      </c>
    </row>
    <row r="4465" spans="1:18" s="1" customFormat="1" x14ac:dyDescent="0.45">
      <c r="A4465" s="7" t="str">
        <f t="shared" si="1595"/>
        <v>10338000000</v>
      </c>
      <c r="B4465" s="7" t="str">
        <f t="shared" si="1596"/>
        <v>大手前高等学校</v>
      </c>
      <c r="C4465" s="7" t="str">
        <f t="shared" si="1588"/>
        <v>行政財産</v>
      </c>
      <c r="D4465" s="7" t="str">
        <f t="shared" si="1580"/>
        <v>学校</v>
      </c>
      <c r="E4465" s="7" t="str">
        <f t="shared" si="1597"/>
        <v>大阪府大阪市　中央区大手前２丁目</v>
      </c>
      <c r="F4465" s="7"/>
      <c r="G4465" s="7" t="str">
        <f t="shared" si="1589"/>
        <v>事業用資産</v>
      </c>
      <c r="H4465" s="7" t="str">
        <f t="shared" si="1583"/>
        <v>棚卸以外</v>
      </c>
      <c r="I4465" s="7">
        <v>27</v>
      </c>
      <c r="J4465" s="7" t="str">
        <f>"女子更衣室"</f>
        <v>女子更衣室</v>
      </c>
      <c r="K4465" s="7" t="str">
        <f>"レンガ、石積造"</f>
        <v>レンガ、石積造</v>
      </c>
      <c r="L4465" s="7" t="str">
        <f>"S47.02.20"</f>
        <v>S47.02.20</v>
      </c>
      <c r="M4465" s="7">
        <v>150.81</v>
      </c>
      <c r="N4465" s="7">
        <v>22826224</v>
      </c>
      <c r="O4465" s="7">
        <v>10550819</v>
      </c>
      <c r="P4465" s="7">
        <v>0</v>
      </c>
      <c r="Q4465" s="7" t="str">
        <f t="shared" si="1590"/>
        <v>教育庁</v>
      </c>
      <c r="R4465" s="7" t="str">
        <f t="shared" si="1598"/>
        <v>大手前高等学校</v>
      </c>
    </row>
    <row r="4466" spans="1:18" s="1" customFormat="1" x14ac:dyDescent="0.45">
      <c r="A4466" s="7" t="str">
        <f t="shared" si="1595"/>
        <v>10338000000</v>
      </c>
      <c r="B4466" s="7" t="str">
        <f t="shared" si="1596"/>
        <v>大手前高等学校</v>
      </c>
      <c r="C4466" s="7" t="str">
        <f t="shared" si="1588"/>
        <v>行政財産</v>
      </c>
      <c r="D4466" s="7" t="str">
        <f t="shared" si="1580"/>
        <v>学校</v>
      </c>
      <c r="E4466" s="7" t="str">
        <f t="shared" si="1597"/>
        <v>大阪府大阪市　中央区大手前２丁目</v>
      </c>
      <c r="F4466" s="7"/>
      <c r="G4466" s="7" t="str">
        <f t="shared" si="1589"/>
        <v>事業用資産</v>
      </c>
      <c r="H4466" s="7" t="str">
        <f t="shared" si="1583"/>
        <v>棚卸以外</v>
      </c>
      <c r="I4466" s="7">
        <v>35</v>
      </c>
      <c r="J4466" s="7" t="str">
        <f>"理科教室棟"</f>
        <v>理科教室棟</v>
      </c>
      <c r="K4466" s="7" t="str">
        <f>"鉄筋コンクリート造"</f>
        <v>鉄筋コンクリート造</v>
      </c>
      <c r="L4466" s="7" t="str">
        <f>"S53.06.09"</f>
        <v>S53.06.09</v>
      </c>
      <c r="M4466" s="7">
        <v>1990.48</v>
      </c>
      <c r="N4466" s="7">
        <v>168050400</v>
      </c>
      <c r="O4466" s="7">
        <v>141543797</v>
      </c>
      <c r="P4466" s="7">
        <v>0</v>
      </c>
      <c r="Q4466" s="7" t="str">
        <f t="shared" si="1590"/>
        <v>教育庁</v>
      </c>
      <c r="R4466" s="7" t="str">
        <f t="shared" si="1598"/>
        <v>大手前高等学校</v>
      </c>
    </row>
    <row r="4467" spans="1:18" s="1" customFormat="1" x14ac:dyDescent="0.45">
      <c r="A4467" s="7" t="str">
        <f t="shared" si="1595"/>
        <v>10338000000</v>
      </c>
      <c r="B4467" s="7" t="str">
        <f t="shared" si="1596"/>
        <v>大手前高等学校</v>
      </c>
      <c r="C4467" s="7" t="str">
        <f t="shared" si="1588"/>
        <v>行政財産</v>
      </c>
      <c r="D4467" s="7" t="str">
        <f t="shared" si="1580"/>
        <v>学校</v>
      </c>
      <c r="E4467" s="7" t="str">
        <f t="shared" si="1597"/>
        <v>大阪府大阪市　中央区大手前２丁目</v>
      </c>
      <c r="F4467" s="7"/>
      <c r="G4467" s="7" t="str">
        <f t="shared" si="1589"/>
        <v>事業用資産</v>
      </c>
      <c r="H4467" s="7" t="str">
        <f t="shared" si="1583"/>
        <v>棚卸以外</v>
      </c>
      <c r="I4467" s="7">
        <v>38</v>
      </c>
      <c r="J4467" s="7" t="str">
        <f>"体育館"</f>
        <v>体育館</v>
      </c>
      <c r="K4467" s="7" t="str">
        <f>"鉄筋コンクリート造"</f>
        <v>鉄筋コンクリート造</v>
      </c>
      <c r="L4467" s="7" t="str">
        <f>"S55.12.17"</f>
        <v>S55.12.17</v>
      </c>
      <c r="M4467" s="7">
        <v>3009.04</v>
      </c>
      <c r="N4467" s="7">
        <v>422913744</v>
      </c>
      <c r="O4467" s="7">
        <v>308506975</v>
      </c>
      <c r="P4467" s="7">
        <v>0</v>
      </c>
      <c r="Q4467" s="7" t="str">
        <f t="shared" si="1590"/>
        <v>教育庁</v>
      </c>
      <c r="R4467" s="7" t="str">
        <f t="shared" si="1598"/>
        <v>大手前高等学校</v>
      </c>
    </row>
    <row r="4468" spans="1:18" s="1" customFormat="1" x14ac:dyDescent="0.45">
      <c r="A4468" s="7" t="str">
        <f t="shared" si="1595"/>
        <v>10338000000</v>
      </c>
      <c r="B4468" s="7" t="str">
        <f t="shared" si="1596"/>
        <v>大手前高等学校</v>
      </c>
      <c r="C4468" s="7" t="str">
        <f t="shared" si="1588"/>
        <v>行政財産</v>
      </c>
      <c r="D4468" s="7" t="str">
        <f t="shared" si="1580"/>
        <v>学校</v>
      </c>
      <c r="E4468" s="7" t="str">
        <f t="shared" si="1597"/>
        <v>大阪府大阪市　中央区大手前２丁目</v>
      </c>
      <c r="F4468" s="7"/>
      <c r="G4468" s="7" t="str">
        <f t="shared" si="1589"/>
        <v>事業用資産</v>
      </c>
      <c r="H4468" s="7" t="str">
        <f t="shared" si="1583"/>
        <v>棚卸以外</v>
      </c>
      <c r="I4468" s="7">
        <v>40</v>
      </c>
      <c r="J4468" s="7" t="str">
        <f>"プール循環ろ過装置室"</f>
        <v>プール循環ろ過装置室</v>
      </c>
      <c r="K4468" s="7" t="str">
        <f>"鉄筋コンクリート造"</f>
        <v>鉄筋コンクリート造</v>
      </c>
      <c r="L4468" s="7" t="str">
        <f>"S56.03.31"</f>
        <v>S56.03.31</v>
      </c>
      <c r="M4468" s="7">
        <v>9.9</v>
      </c>
      <c r="N4468" s="7">
        <v>8000000</v>
      </c>
      <c r="O4468" s="7">
        <v>7999999</v>
      </c>
      <c r="P4468" s="7">
        <v>0</v>
      </c>
      <c r="Q4468" s="7" t="str">
        <f t="shared" si="1590"/>
        <v>教育庁</v>
      </c>
      <c r="R4468" s="7" t="str">
        <f t="shared" si="1598"/>
        <v>大手前高等学校</v>
      </c>
    </row>
    <row r="4469" spans="1:18" s="1" customFormat="1" x14ac:dyDescent="0.45">
      <c r="A4469" s="7" t="str">
        <f t="shared" si="1595"/>
        <v>10338000000</v>
      </c>
      <c r="B4469" s="7" t="str">
        <f t="shared" si="1596"/>
        <v>大手前高等学校</v>
      </c>
      <c r="C4469" s="7" t="str">
        <f t="shared" si="1588"/>
        <v>行政財産</v>
      </c>
      <c r="D4469" s="7" t="str">
        <f t="shared" si="1580"/>
        <v>学校</v>
      </c>
      <c r="E4469" s="7" t="str">
        <f t="shared" si="1597"/>
        <v>大阪府大阪市　中央区大手前２丁目</v>
      </c>
      <c r="F4469" s="7"/>
      <c r="G4469" s="7" t="str">
        <f t="shared" si="1589"/>
        <v>事業用資産</v>
      </c>
      <c r="H4469" s="7" t="str">
        <f t="shared" si="1583"/>
        <v>棚卸以外</v>
      </c>
      <c r="I4469" s="7">
        <v>41</v>
      </c>
      <c r="J4469" s="7" t="str">
        <f>"石灰倉庫"</f>
        <v>石灰倉庫</v>
      </c>
      <c r="K4469" s="7" t="str">
        <f>"レンガ、石積造"</f>
        <v>レンガ、石積造</v>
      </c>
      <c r="L4469" s="7" t="str">
        <f>"S58.03.31"</f>
        <v>S58.03.31</v>
      </c>
      <c r="M4469" s="7">
        <v>6.82</v>
      </c>
      <c r="N4469" s="7">
        <v>545000</v>
      </c>
      <c r="O4469" s="7">
        <v>544999</v>
      </c>
      <c r="P4469" s="7">
        <v>0</v>
      </c>
      <c r="Q4469" s="7" t="str">
        <f t="shared" si="1590"/>
        <v>教育庁</v>
      </c>
      <c r="R4469" s="7" t="str">
        <f t="shared" si="1598"/>
        <v>大手前高等学校</v>
      </c>
    </row>
    <row r="4470" spans="1:18" s="1" customFormat="1" ht="26.4" x14ac:dyDescent="0.45">
      <c r="A4470" s="7" t="str">
        <f t="shared" si="1595"/>
        <v>10338000000</v>
      </c>
      <c r="B4470" s="7" t="str">
        <f t="shared" si="1596"/>
        <v>大手前高等学校</v>
      </c>
      <c r="C4470" s="7" t="str">
        <f t="shared" si="1588"/>
        <v>行政財産</v>
      </c>
      <c r="D4470" s="7" t="str">
        <f t="shared" si="1580"/>
        <v>学校</v>
      </c>
      <c r="E4470" s="7" t="str">
        <f t="shared" si="1597"/>
        <v>大阪府大阪市　中央区大手前２丁目</v>
      </c>
      <c r="F4470" s="7"/>
      <c r="G4470" s="7" t="str">
        <f t="shared" si="1589"/>
        <v>事業用資産</v>
      </c>
      <c r="H4470" s="7" t="str">
        <f t="shared" si="1583"/>
        <v>棚卸以外</v>
      </c>
      <c r="I4470" s="7">
        <v>44</v>
      </c>
      <c r="J4470" s="7" t="str">
        <f>"本館"</f>
        <v>本館</v>
      </c>
      <c r="K4470" s="7" t="str">
        <f>"鉄骨鉄筋コンクリート造"</f>
        <v>鉄骨鉄筋コンクリート造</v>
      </c>
      <c r="L4470" s="7" t="str">
        <f>"S63.03.31"</f>
        <v>S63.03.31</v>
      </c>
      <c r="M4470" s="7">
        <v>10489.78</v>
      </c>
      <c r="N4470" s="7">
        <v>831880693</v>
      </c>
      <c r="O4470" s="7">
        <v>486665096</v>
      </c>
      <c r="P4470" s="7">
        <v>0</v>
      </c>
      <c r="Q4470" s="7" t="str">
        <f t="shared" si="1590"/>
        <v>教育庁</v>
      </c>
      <c r="R4470" s="7" t="str">
        <f t="shared" si="1598"/>
        <v>大手前高等学校</v>
      </c>
    </row>
    <row r="4471" spans="1:18" s="1" customFormat="1" ht="26.4" x14ac:dyDescent="0.45">
      <c r="A4471" s="7" t="str">
        <f t="shared" si="1595"/>
        <v>10338000000</v>
      </c>
      <c r="B4471" s="7" t="str">
        <f t="shared" si="1596"/>
        <v>大手前高等学校</v>
      </c>
      <c r="C4471" s="7" t="str">
        <f t="shared" si="1588"/>
        <v>行政財産</v>
      </c>
      <c r="D4471" s="7" t="str">
        <f t="shared" si="1580"/>
        <v>学校</v>
      </c>
      <c r="E4471" s="7" t="str">
        <f t="shared" si="1597"/>
        <v>大阪府大阪市　中央区大手前２丁目</v>
      </c>
      <c r="F4471" s="7"/>
      <c r="G4471" s="7" t="str">
        <f t="shared" si="1589"/>
        <v>事業用資産</v>
      </c>
      <c r="H4471" s="7" t="str">
        <f t="shared" si="1583"/>
        <v>棚卸以外</v>
      </c>
      <c r="I4471" s="7">
        <v>45</v>
      </c>
      <c r="J4471" s="7" t="str">
        <f>"塵芥置場"</f>
        <v>塵芥置場</v>
      </c>
      <c r="K4471" s="7" t="str">
        <f>"鉄骨鉄筋コンクリート造"</f>
        <v>鉄骨鉄筋コンクリート造</v>
      </c>
      <c r="L4471" s="7" t="str">
        <f>"H02.03.31"</f>
        <v>H02.03.31</v>
      </c>
      <c r="M4471" s="7">
        <v>7.39</v>
      </c>
      <c r="N4471" s="7">
        <v>1830652</v>
      </c>
      <c r="O4471" s="7">
        <v>1453500</v>
      </c>
      <c r="P4471" s="7">
        <v>0</v>
      </c>
      <c r="Q4471" s="7" t="str">
        <f t="shared" si="1590"/>
        <v>教育庁</v>
      </c>
      <c r="R4471" s="7" t="str">
        <f t="shared" si="1598"/>
        <v>大手前高等学校</v>
      </c>
    </row>
    <row r="4472" spans="1:18" s="1" customFormat="1" x14ac:dyDescent="0.45">
      <c r="A4472" s="7" t="str">
        <f t="shared" si="1595"/>
        <v>10338000000</v>
      </c>
      <c r="B4472" s="7" t="str">
        <f t="shared" si="1596"/>
        <v>大手前高等学校</v>
      </c>
      <c r="C4472" s="7" t="str">
        <f t="shared" si="1588"/>
        <v>行政財産</v>
      </c>
      <c r="D4472" s="7" t="str">
        <f t="shared" si="1580"/>
        <v>学校</v>
      </c>
      <c r="E4472" s="7" t="str">
        <f t="shared" si="1597"/>
        <v>大阪府大阪市　中央区大手前２丁目</v>
      </c>
      <c r="F4472" s="7"/>
      <c r="G4472" s="7" t="str">
        <f t="shared" si="1589"/>
        <v>事業用資産</v>
      </c>
      <c r="H4472" s="7" t="str">
        <f t="shared" si="1583"/>
        <v>棚卸以外</v>
      </c>
      <c r="I4472" s="7">
        <v>46</v>
      </c>
      <c r="J4472" s="7" t="str">
        <f>"上空通路"</f>
        <v>上空通路</v>
      </c>
      <c r="K4472" s="7" t="str">
        <f>"鉄骨造"</f>
        <v>鉄骨造</v>
      </c>
      <c r="L4472" s="7" t="str">
        <f>"H03.03.30"</f>
        <v>H03.03.30</v>
      </c>
      <c r="M4472" s="7">
        <v>40.65</v>
      </c>
      <c r="N4472" s="7">
        <v>23360000</v>
      </c>
      <c r="O4472" s="7">
        <v>23359999</v>
      </c>
      <c r="P4472" s="7">
        <v>0</v>
      </c>
      <c r="Q4472" s="7" t="str">
        <f t="shared" si="1590"/>
        <v>教育庁</v>
      </c>
      <c r="R4472" s="7" t="str">
        <f t="shared" si="1598"/>
        <v>大手前高等学校</v>
      </c>
    </row>
    <row r="4473" spans="1:18" s="1" customFormat="1" x14ac:dyDescent="0.45">
      <c r="A4473" s="7" t="str">
        <f t="shared" si="1595"/>
        <v>10338000000</v>
      </c>
      <c r="B4473" s="7" t="str">
        <f t="shared" si="1596"/>
        <v>大手前高等学校</v>
      </c>
      <c r="C4473" s="7" t="str">
        <f t="shared" si="1588"/>
        <v>行政財産</v>
      </c>
      <c r="D4473" s="7" t="str">
        <f t="shared" ref="D4473:D4536" si="1599">"学校"</f>
        <v>学校</v>
      </c>
      <c r="E4473" s="7" t="str">
        <f t="shared" si="1597"/>
        <v>大阪府大阪市　中央区大手前２丁目</v>
      </c>
      <c r="F4473" s="7"/>
      <c r="G4473" s="7" t="str">
        <f t="shared" si="1589"/>
        <v>事業用資産</v>
      </c>
      <c r="H4473" s="7" t="str">
        <f t="shared" si="1583"/>
        <v>棚卸以外</v>
      </c>
      <c r="I4473" s="7">
        <v>47</v>
      </c>
      <c r="J4473" s="7" t="str">
        <f>"同窓会館"</f>
        <v>同窓会館</v>
      </c>
      <c r="K4473" s="7" t="str">
        <f t="shared" ref="K4473:K4481" si="1600">"鉄筋コンクリート造"</f>
        <v>鉄筋コンクリート造</v>
      </c>
      <c r="L4473" s="7" t="str">
        <f>"S10.04.29"</f>
        <v>S10.04.29</v>
      </c>
      <c r="M4473" s="7">
        <v>800.11</v>
      </c>
      <c r="N4473" s="7">
        <v>1</v>
      </c>
      <c r="O4473" s="7">
        <v>0</v>
      </c>
      <c r="P4473" s="7">
        <v>0</v>
      </c>
      <c r="Q4473" s="7" t="str">
        <f t="shared" si="1590"/>
        <v>教育庁</v>
      </c>
      <c r="R4473" s="7" t="str">
        <f t="shared" si="1598"/>
        <v>大手前高等学校</v>
      </c>
    </row>
    <row r="4474" spans="1:18" s="1" customFormat="1" x14ac:dyDescent="0.45">
      <c r="A4474" s="7" t="str">
        <f t="shared" ref="A4474:A4494" si="1601">"10339000000"</f>
        <v>10339000000</v>
      </c>
      <c r="B4474" s="7" t="str">
        <f t="shared" ref="B4474:B4494" si="1602">"旭高等学校"</f>
        <v>旭高等学校</v>
      </c>
      <c r="C4474" s="7" t="str">
        <f t="shared" si="1588"/>
        <v>行政財産</v>
      </c>
      <c r="D4474" s="7" t="str">
        <f t="shared" si="1599"/>
        <v>学校</v>
      </c>
      <c r="E4474" s="7" t="str">
        <f t="shared" ref="E4474:E4494" si="1603">"大阪府大阪市　旭区高殿５丁目"</f>
        <v>大阪府大阪市　旭区高殿５丁目</v>
      </c>
      <c r="F4474" s="7"/>
      <c r="G4474" s="7" t="str">
        <f t="shared" si="1589"/>
        <v>事業用資産</v>
      </c>
      <c r="H4474" s="7" t="str">
        <f t="shared" si="1583"/>
        <v>棚卸以外</v>
      </c>
      <c r="I4474" s="7">
        <v>1</v>
      </c>
      <c r="J4474" s="7" t="str">
        <f>"本館"</f>
        <v>本館</v>
      </c>
      <c r="K4474" s="7" t="str">
        <f t="shared" si="1600"/>
        <v>鉄筋コンクリート造</v>
      </c>
      <c r="L4474" s="7" t="str">
        <f>"S29.06.30"</f>
        <v>S29.06.30</v>
      </c>
      <c r="M4474" s="7">
        <v>2159.3000000000002</v>
      </c>
      <c r="N4474" s="7">
        <v>225530646</v>
      </c>
      <c r="O4474" s="7">
        <v>189600461</v>
      </c>
      <c r="P4474" s="7">
        <v>0</v>
      </c>
      <c r="Q4474" s="7" t="str">
        <f t="shared" si="1590"/>
        <v>教育庁</v>
      </c>
      <c r="R4474" s="7" t="str">
        <f t="shared" ref="R4474:R4494" si="1604">"旭高等学校"</f>
        <v>旭高等学校</v>
      </c>
    </row>
    <row r="4475" spans="1:18" s="1" customFormat="1" x14ac:dyDescent="0.45">
      <c r="A4475" s="7" t="str">
        <f t="shared" si="1601"/>
        <v>10339000000</v>
      </c>
      <c r="B4475" s="7" t="str">
        <f t="shared" si="1602"/>
        <v>旭高等学校</v>
      </c>
      <c r="C4475" s="7" t="str">
        <f t="shared" si="1588"/>
        <v>行政財産</v>
      </c>
      <c r="D4475" s="7" t="str">
        <f t="shared" si="1599"/>
        <v>学校</v>
      </c>
      <c r="E4475" s="7" t="str">
        <f t="shared" si="1603"/>
        <v>大阪府大阪市　旭区高殿５丁目</v>
      </c>
      <c r="F4475" s="7"/>
      <c r="G4475" s="7" t="str">
        <f t="shared" si="1589"/>
        <v>事業用資産</v>
      </c>
      <c r="H4475" s="7" t="str">
        <f t="shared" si="1583"/>
        <v>棚卸以外</v>
      </c>
      <c r="I4475" s="7">
        <v>2</v>
      </c>
      <c r="J4475" s="7" t="str">
        <f>"南館"</f>
        <v>南館</v>
      </c>
      <c r="K4475" s="7" t="str">
        <f t="shared" si="1600"/>
        <v>鉄筋コンクリート造</v>
      </c>
      <c r="L4475" s="7" t="str">
        <f>"S28.09.15"</f>
        <v>S28.09.15</v>
      </c>
      <c r="M4475" s="7">
        <v>2322.31</v>
      </c>
      <c r="N4475" s="7">
        <v>332761589</v>
      </c>
      <c r="O4475" s="7">
        <v>230551117</v>
      </c>
      <c r="P4475" s="7">
        <v>0</v>
      </c>
      <c r="Q4475" s="7" t="str">
        <f t="shared" si="1590"/>
        <v>教育庁</v>
      </c>
      <c r="R4475" s="7" t="str">
        <f t="shared" si="1604"/>
        <v>旭高等学校</v>
      </c>
    </row>
    <row r="4476" spans="1:18" s="1" customFormat="1" x14ac:dyDescent="0.45">
      <c r="A4476" s="7" t="str">
        <f t="shared" si="1601"/>
        <v>10339000000</v>
      </c>
      <c r="B4476" s="7" t="str">
        <f t="shared" si="1602"/>
        <v>旭高等学校</v>
      </c>
      <c r="C4476" s="7" t="str">
        <f t="shared" si="1588"/>
        <v>行政財産</v>
      </c>
      <c r="D4476" s="7" t="str">
        <f t="shared" si="1599"/>
        <v>学校</v>
      </c>
      <c r="E4476" s="7" t="str">
        <f t="shared" si="1603"/>
        <v>大阪府大阪市　旭区高殿５丁目</v>
      </c>
      <c r="F4476" s="7"/>
      <c r="G4476" s="7" t="str">
        <f t="shared" si="1589"/>
        <v>事業用資産</v>
      </c>
      <c r="H4476" s="7" t="str">
        <f t="shared" si="1583"/>
        <v>棚卸以外</v>
      </c>
      <c r="I4476" s="7">
        <v>3</v>
      </c>
      <c r="J4476" s="7" t="str">
        <f>"北館"</f>
        <v>北館</v>
      </c>
      <c r="K4476" s="7" t="str">
        <f t="shared" si="1600"/>
        <v>鉄筋コンクリート造</v>
      </c>
      <c r="L4476" s="7" t="str">
        <f>"S31.03.20"</f>
        <v>S31.03.20</v>
      </c>
      <c r="M4476" s="7">
        <v>1720.13</v>
      </c>
      <c r="N4476" s="7">
        <v>177395871</v>
      </c>
      <c r="O4476" s="7">
        <v>150223224</v>
      </c>
      <c r="P4476" s="7">
        <v>0</v>
      </c>
      <c r="Q4476" s="7" t="str">
        <f t="shared" si="1590"/>
        <v>教育庁</v>
      </c>
      <c r="R4476" s="7" t="str">
        <f t="shared" si="1604"/>
        <v>旭高等学校</v>
      </c>
    </row>
    <row r="4477" spans="1:18" s="1" customFormat="1" x14ac:dyDescent="0.45">
      <c r="A4477" s="7" t="str">
        <f t="shared" si="1601"/>
        <v>10339000000</v>
      </c>
      <c r="B4477" s="7" t="str">
        <f t="shared" si="1602"/>
        <v>旭高等学校</v>
      </c>
      <c r="C4477" s="7" t="str">
        <f t="shared" si="1588"/>
        <v>行政財産</v>
      </c>
      <c r="D4477" s="7" t="str">
        <f t="shared" si="1599"/>
        <v>学校</v>
      </c>
      <c r="E4477" s="7" t="str">
        <f t="shared" si="1603"/>
        <v>大阪府大阪市　旭区高殿５丁目</v>
      </c>
      <c r="F4477" s="7"/>
      <c r="G4477" s="7" t="str">
        <f t="shared" si="1589"/>
        <v>事業用資産</v>
      </c>
      <c r="H4477" s="7" t="str">
        <f t="shared" si="1583"/>
        <v>棚卸以外</v>
      </c>
      <c r="I4477" s="7">
        <v>4</v>
      </c>
      <c r="J4477" s="7" t="str">
        <f>"東館"</f>
        <v>東館</v>
      </c>
      <c r="K4477" s="7" t="str">
        <f t="shared" si="1600"/>
        <v>鉄筋コンクリート造</v>
      </c>
      <c r="L4477" s="7" t="str">
        <f>"S38.02.11"</f>
        <v>S38.02.11</v>
      </c>
      <c r="M4477" s="7">
        <v>962.24</v>
      </c>
      <c r="N4477" s="7">
        <v>72873557</v>
      </c>
      <c r="O4477" s="7">
        <v>51630204</v>
      </c>
      <c r="P4477" s="7">
        <v>0</v>
      </c>
      <c r="Q4477" s="7" t="str">
        <f t="shared" si="1590"/>
        <v>教育庁</v>
      </c>
      <c r="R4477" s="7" t="str">
        <f t="shared" si="1604"/>
        <v>旭高等学校</v>
      </c>
    </row>
    <row r="4478" spans="1:18" s="1" customFormat="1" x14ac:dyDescent="0.45">
      <c r="A4478" s="7" t="str">
        <f t="shared" si="1601"/>
        <v>10339000000</v>
      </c>
      <c r="B4478" s="7" t="str">
        <f t="shared" si="1602"/>
        <v>旭高等学校</v>
      </c>
      <c r="C4478" s="7" t="str">
        <f t="shared" si="1588"/>
        <v>行政財産</v>
      </c>
      <c r="D4478" s="7" t="str">
        <f t="shared" si="1599"/>
        <v>学校</v>
      </c>
      <c r="E4478" s="7" t="str">
        <f t="shared" si="1603"/>
        <v>大阪府大阪市　旭区高殿５丁目</v>
      </c>
      <c r="F4478" s="7"/>
      <c r="G4478" s="7" t="str">
        <f t="shared" si="1589"/>
        <v>事業用資産</v>
      </c>
      <c r="H4478" s="7" t="str">
        <f t="shared" si="1583"/>
        <v>棚卸以外</v>
      </c>
      <c r="I4478" s="7">
        <v>8</v>
      </c>
      <c r="J4478" s="7" t="str">
        <f>"旭窓会館"</f>
        <v>旭窓会館</v>
      </c>
      <c r="K4478" s="7" t="str">
        <f t="shared" si="1600"/>
        <v>鉄筋コンクリート造</v>
      </c>
      <c r="L4478" s="7" t="str">
        <f>"S34.03.20"</f>
        <v>S34.03.20</v>
      </c>
      <c r="M4478" s="7">
        <v>567.25</v>
      </c>
      <c r="N4478" s="7">
        <v>33090414</v>
      </c>
      <c r="O4478" s="7">
        <v>26560404</v>
      </c>
      <c r="P4478" s="7">
        <v>0</v>
      </c>
      <c r="Q4478" s="7" t="str">
        <f t="shared" si="1590"/>
        <v>教育庁</v>
      </c>
      <c r="R4478" s="7" t="str">
        <f t="shared" si="1604"/>
        <v>旭高等学校</v>
      </c>
    </row>
    <row r="4479" spans="1:18" s="1" customFormat="1" x14ac:dyDescent="0.45">
      <c r="A4479" s="7" t="str">
        <f t="shared" si="1601"/>
        <v>10339000000</v>
      </c>
      <c r="B4479" s="7" t="str">
        <f t="shared" si="1602"/>
        <v>旭高等学校</v>
      </c>
      <c r="C4479" s="7" t="str">
        <f t="shared" si="1588"/>
        <v>行政財産</v>
      </c>
      <c r="D4479" s="7" t="str">
        <f t="shared" si="1599"/>
        <v>学校</v>
      </c>
      <c r="E4479" s="7" t="str">
        <f t="shared" si="1603"/>
        <v>大阪府大阪市　旭区高殿５丁目</v>
      </c>
      <c r="F4479" s="7"/>
      <c r="G4479" s="7" t="str">
        <f t="shared" si="1589"/>
        <v>事業用資産</v>
      </c>
      <c r="H4479" s="7" t="str">
        <f t="shared" si="1583"/>
        <v>棚卸以外</v>
      </c>
      <c r="I4479" s="7">
        <v>10</v>
      </c>
      <c r="J4479" s="7" t="str">
        <f>"守衛室"</f>
        <v>守衛室</v>
      </c>
      <c r="K4479" s="7" t="str">
        <f t="shared" si="1600"/>
        <v>鉄筋コンクリート造</v>
      </c>
      <c r="L4479" s="7" t="str">
        <f>"S29.06.30"</f>
        <v>S29.06.30</v>
      </c>
      <c r="M4479" s="7">
        <v>20.82</v>
      </c>
      <c r="N4479" s="7">
        <v>274270</v>
      </c>
      <c r="O4479" s="7">
        <v>274269</v>
      </c>
      <c r="P4479" s="7">
        <v>0</v>
      </c>
      <c r="Q4479" s="7" t="str">
        <f t="shared" si="1590"/>
        <v>教育庁</v>
      </c>
      <c r="R4479" s="7" t="str">
        <f t="shared" si="1604"/>
        <v>旭高等学校</v>
      </c>
    </row>
    <row r="4480" spans="1:18" s="1" customFormat="1" x14ac:dyDescent="0.45">
      <c r="A4480" s="7" t="str">
        <f t="shared" si="1601"/>
        <v>10339000000</v>
      </c>
      <c r="B4480" s="7" t="str">
        <f t="shared" si="1602"/>
        <v>旭高等学校</v>
      </c>
      <c r="C4480" s="7" t="str">
        <f t="shared" si="1588"/>
        <v>行政財産</v>
      </c>
      <c r="D4480" s="7" t="str">
        <f t="shared" si="1599"/>
        <v>学校</v>
      </c>
      <c r="E4480" s="7" t="str">
        <f t="shared" si="1603"/>
        <v>大阪府大阪市　旭区高殿５丁目</v>
      </c>
      <c r="F4480" s="7"/>
      <c r="G4480" s="7" t="str">
        <f t="shared" si="1589"/>
        <v>事業用資産</v>
      </c>
      <c r="H4480" s="7" t="str">
        <f t="shared" si="1583"/>
        <v>棚卸以外</v>
      </c>
      <c r="I4480" s="7">
        <v>11</v>
      </c>
      <c r="J4480" s="7" t="str">
        <f>"電気室"</f>
        <v>電気室</v>
      </c>
      <c r="K4480" s="7" t="str">
        <f t="shared" si="1600"/>
        <v>鉄筋コンクリート造</v>
      </c>
      <c r="L4480" s="7" t="str">
        <f>"S29.06.30"</f>
        <v>S29.06.30</v>
      </c>
      <c r="M4480" s="7">
        <v>23.07</v>
      </c>
      <c r="N4480" s="7">
        <v>8021874</v>
      </c>
      <c r="O4480" s="7">
        <v>7900021</v>
      </c>
      <c r="P4480" s="7">
        <v>0</v>
      </c>
      <c r="Q4480" s="7" t="str">
        <f t="shared" si="1590"/>
        <v>教育庁</v>
      </c>
      <c r="R4480" s="7" t="str">
        <f t="shared" si="1604"/>
        <v>旭高等学校</v>
      </c>
    </row>
    <row r="4481" spans="1:18" s="1" customFormat="1" x14ac:dyDescent="0.45">
      <c r="A4481" s="7" t="str">
        <f t="shared" si="1601"/>
        <v>10339000000</v>
      </c>
      <c r="B4481" s="7" t="str">
        <f t="shared" si="1602"/>
        <v>旭高等学校</v>
      </c>
      <c r="C4481" s="7" t="str">
        <f t="shared" si="1588"/>
        <v>行政財産</v>
      </c>
      <c r="D4481" s="7" t="str">
        <f t="shared" si="1599"/>
        <v>学校</v>
      </c>
      <c r="E4481" s="7" t="str">
        <f t="shared" si="1603"/>
        <v>大阪府大阪市　旭区高殿５丁目</v>
      </c>
      <c r="F4481" s="7"/>
      <c r="G4481" s="7" t="str">
        <f t="shared" si="1589"/>
        <v>事業用資産</v>
      </c>
      <c r="H4481" s="7" t="str">
        <f t="shared" si="1583"/>
        <v>棚卸以外</v>
      </c>
      <c r="I4481" s="7">
        <v>15</v>
      </c>
      <c r="J4481" s="7" t="str">
        <f>"渡り廊下"</f>
        <v>渡り廊下</v>
      </c>
      <c r="K4481" s="7" t="str">
        <f t="shared" si="1600"/>
        <v>鉄筋コンクリート造</v>
      </c>
      <c r="L4481" s="7" t="str">
        <f>"S29.06.30"</f>
        <v>S29.06.30</v>
      </c>
      <c r="M4481" s="7">
        <v>185.12</v>
      </c>
      <c r="N4481" s="7">
        <v>9139461</v>
      </c>
      <c r="O4481" s="7">
        <v>9139460</v>
      </c>
      <c r="P4481" s="7">
        <v>0</v>
      </c>
      <c r="Q4481" s="7" t="str">
        <f t="shared" si="1590"/>
        <v>教育庁</v>
      </c>
      <c r="R4481" s="7" t="str">
        <f t="shared" si="1604"/>
        <v>旭高等学校</v>
      </c>
    </row>
    <row r="4482" spans="1:18" s="1" customFormat="1" x14ac:dyDescent="0.45">
      <c r="A4482" s="7" t="str">
        <f t="shared" si="1601"/>
        <v>10339000000</v>
      </c>
      <c r="B4482" s="7" t="str">
        <f t="shared" si="1602"/>
        <v>旭高等学校</v>
      </c>
      <c r="C4482" s="7" t="str">
        <f t="shared" si="1588"/>
        <v>行政財産</v>
      </c>
      <c r="D4482" s="7" t="str">
        <f t="shared" si="1599"/>
        <v>学校</v>
      </c>
      <c r="E4482" s="7" t="str">
        <f t="shared" si="1603"/>
        <v>大阪府大阪市　旭区高殿５丁目</v>
      </c>
      <c r="F4482" s="7"/>
      <c r="G4482" s="7" t="str">
        <f t="shared" si="1589"/>
        <v>事業用資産</v>
      </c>
      <c r="H4482" s="7" t="str">
        <f t="shared" si="1583"/>
        <v>棚卸以外</v>
      </c>
      <c r="I4482" s="7">
        <v>19</v>
      </c>
      <c r="J4482" s="7" t="str">
        <f>"便所"</f>
        <v>便所</v>
      </c>
      <c r="K4482" s="7" t="str">
        <f>"コンクリートブロック造"</f>
        <v>コンクリートブロック造</v>
      </c>
      <c r="L4482" s="7" t="str">
        <f>"S39.03.31"</f>
        <v>S39.03.31</v>
      </c>
      <c r="M4482" s="7">
        <v>32.99</v>
      </c>
      <c r="N4482" s="7">
        <v>2591444</v>
      </c>
      <c r="O4482" s="7">
        <v>2522778</v>
      </c>
      <c r="P4482" s="7">
        <v>0</v>
      </c>
      <c r="Q4482" s="7" t="str">
        <f t="shared" si="1590"/>
        <v>教育庁</v>
      </c>
      <c r="R4482" s="7" t="str">
        <f t="shared" si="1604"/>
        <v>旭高等学校</v>
      </c>
    </row>
    <row r="4483" spans="1:18" s="1" customFormat="1" x14ac:dyDescent="0.45">
      <c r="A4483" s="7" t="str">
        <f t="shared" si="1601"/>
        <v>10339000000</v>
      </c>
      <c r="B4483" s="7" t="str">
        <f t="shared" si="1602"/>
        <v>旭高等学校</v>
      </c>
      <c r="C4483" s="7" t="str">
        <f t="shared" si="1588"/>
        <v>行政財産</v>
      </c>
      <c r="D4483" s="7" t="str">
        <f t="shared" si="1599"/>
        <v>学校</v>
      </c>
      <c r="E4483" s="7" t="str">
        <f t="shared" si="1603"/>
        <v>大阪府大阪市　旭区高殿５丁目</v>
      </c>
      <c r="F4483" s="7"/>
      <c r="G4483" s="7" t="str">
        <f t="shared" si="1589"/>
        <v>事業用資産</v>
      </c>
      <c r="H4483" s="7" t="str">
        <f t="shared" si="1583"/>
        <v>棚卸以外</v>
      </c>
      <c r="I4483" s="7">
        <v>21</v>
      </c>
      <c r="J4483" s="7" t="str">
        <f>"更衣室"</f>
        <v>更衣室</v>
      </c>
      <c r="K4483" s="7" t="str">
        <f>"鉄骨コンクリート造"</f>
        <v>鉄骨コンクリート造</v>
      </c>
      <c r="L4483" s="7" t="str">
        <f>"S41.03.15"</f>
        <v>S41.03.15</v>
      </c>
      <c r="M4483" s="7">
        <v>174.01</v>
      </c>
      <c r="N4483" s="7">
        <v>4573193</v>
      </c>
      <c r="O4483" s="7">
        <v>4116815</v>
      </c>
      <c r="P4483" s="7">
        <v>0</v>
      </c>
      <c r="Q4483" s="7" t="str">
        <f t="shared" si="1590"/>
        <v>教育庁</v>
      </c>
      <c r="R4483" s="7" t="str">
        <f t="shared" si="1604"/>
        <v>旭高等学校</v>
      </c>
    </row>
    <row r="4484" spans="1:18" s="1" customFormat="1" x14ac:dyDescent="0.45">
      <c r="A4484" s="7" t="str">
        <f t="shared" si="1601"/>
        <v>10339000000</v>
      </c>
      <c r="B4484" s="7" t="str">
        <f t="shared" si="1602"/>
        <v>旭高等学校</v>
      </c>
      <c r="C4484" s="7" t="str">
        <f t="shared" si="1588"/>
        <v>行政財産</v>
      </c>
      <c r="D4484" s="7" t="str">
        <f t="shared" si="1599"/>
        <v>学校</v>
      </c>
      <c r="E4484" s="7" t="str">
        <f t="shared" si="1603"/>
        <v>大阪府大阪市　旭区高殿５丁目</v>
      </c>
      <c r="F4484" s="7"/>
      <c r="G4484" s="7" t="str">
        <f t="shared" si="1589"/>
        <v>事業用資産</v>
      </c>
      <c r="H4484" s="7" t="str">
        <f t="shared" ref="H4484:H4547" si="1605">"棚卸以外"</f>
        <v>棚卸以外</v>
      </c>
      <c r="I4484" s="7">
        <v>22</v>
      </c>
      <c r="J4484" s="7" t="str">
        <f>"渡り廊下"</f>
        <v>渡り廊下</v>
      </c>
      <c r="K4484" s="7" t="str">
        <f>"鉄筋コンクリート造"</f>
        <v>鉄筋コンクリート造</v>
      </c>
      <c r="L4484" s="7" t="str">
        <f>"S31.03.20"</f>
        <v>S31.03.20</v>
      </c>
      <c r="M4484" s="7">
        <v>183.27</v>
      </c>
      <c r="N4484" s="7">
        <v>10262773</v>
      </c>
      <c r="O4484" s="7">
        <v>10262772</v>
      </c>
      <c r="P4484" s="7">
        <v>0</v>
      </c>
      <c r="Q4484" s="7" t="str">
        <f t="shared" si="1590"/>
        <v>教育庁</v>
      </c>
      <c r="R4484" s="7" t="str">
        <f t="shared" si="1604"/>
        <v>旭高等学校</v>
      </c>
    </row>
    <row r="4485" spans="1:18" s="1" customFormat="1" x14ac:dyDescent="0.45">
      <c r="A4485" s="7" t="str">
        <f t="shared" si="1601"/>
        <v>10339000000</v>
      </c>
      <c r="B4485" s="7" t="str">
        <f t="shared" si="1602"/>
        <v>旭高等学校</v>
      </c>
      <c r="C4485" s="7" t="str">
        <f t="shared" si="1588"/>
        <v>行政財産</v>
      </c>
      <c r="D4485" s="7" t="str">
        <f t="shared" si="1599"/>
        <v>学校</v>
      </c>
      <c r="E4485" s="7" t="str">
        <f t="shared" si="1603"/>
        <v>大阪府大阪市　旭区高殿５丁目</v>
      </c>
      <c r="F4485" s="7"/>
      <c r="G4485" s="7" t="str">
        <f t="shared" si="1589"/>
        <v>事業用資産</v>
      </c>
      <c r="H4485" s="7" t="str">
        <f t="shared" si="1605"/>
        <v>棚卸以外</v>
      </c>
      <c r="I4485" s="7">
        <v>23</v>
      </c>
      <c r="J4485" s="7" t="str">
        <f>"プール更衣室"</f>
        <v>プール更衣室</v>
      </c>
      <c r="K4485" s="7" t="str">
        <f>"コンクリートブロック造"</f>
        <v>コンクリートブロック造</v>
      </c>
      <c r="L4485" s="7" t="str">
        <f>"S38.07.02"</f>
        <v>S38.07.02</v>
      </c>
      <c r="M4485" s="7">
        <v>64.260000000000005</v>
      </c>
      <c r="N4485" s="7">
        <v>1914000</v>
      </c>
      <c r="O4485" s="7">
        <v>1913999</v>
      </c>
      <c r="P4485" s="7">
        <v>0</v>
      </c>
      <c r="Q4485" s="7" t="str">
        <f t="shared" si="1590"/>
        <v>教育庁</v>
      </c>
      <c r="R4485" s="7" t="str">
        <f t="shared" si="1604"/>
        <v>旭高等学校</v>
      </c>
    </row>
    <row r="4486" spans="1:18" s="1" customFormat="1" x14ac:dyDescent="0.45">
      <c r="A4486" s="7" t="str">
        <f t="shared" si="1601"/>
        <v>10339000000</v>
      </c>
      <c r="B4486" s="7" t="str">
        <f t="shared" si="1602"/>
        <v>旭高等学校</v>
      </c>
      <c r="C4486" s="7" t="str">
        <f t="shared" si="1588"/>
        <v>行政財産</v>
      </c>
      <c r="D4486" s="7" t="str">
        <f t="shared" si="1599"/>
        <v>学校</v>
      </c>
      <c r="E4486" s="7" t="str">
        <f t="shared" si="1603"/>
        <v>大阪府大阪市　旭区高殿５丁目</v>
      </c>
      <c r="F4486" s="7"/>
      <c r="G4486" s="7" t="str">
        <f t="shared" si="1589"/>
        <v>事業用資産</v>
      </c>
      <c r="H4486" s="7" t="str">
        <f t="shared" si="1605"/>
        <v>棚卸以外</v>
      </c>
      <c r="I4486" s="7">
        <v>24</v>
      </c>
      <c r="J4486" s="7" t="str">
        <f>"ポンプ室"</f>
        <v>ポンプ室</v>
      </c>
      <c r="K4486" s="7" t="str">
        <f>"コンクリートブロック造"</f>
        <v>コンクリートブロック造</v>
      </c>
      <c r="L4486" s="7" t="str">
        <f>"S38.04.10"</f>
        <v>S38.04.10</v>
      </c>
      <c r="M4486" s="7">
        <v>9.24</v>
      </c>
      <c r="N4486" s="7">
        <v>420000</v>
      </c>
      <c r="O4486" s="7">
        <v>419999</v>
      </c>
      <c r="P4486" s="7">
        <v>0</v>
      </c>
      <c r="Q4486" s="7" t="str">
        <f t="shared" si="1590"/>
        <v>教育庁</v>
      </c>
      <c r="R4486" s="7" t="str">
        <f t="shared" si="1604"/>
        <v>旭高等学校</v>
      </c>
    </row>
    <row r="4487" spans="1:18" s="1" customFormat="1" x14ac:dyDescent="0.45">
      <c r="A4487" s="7" t="str">
        <f t="shared" si="1601"/>
        <v>10339000000</v>
      </c>
      <c r="B4487" s="7" t="str">
        <f t="shared" si="1602"/>
        <v>旭高等学校</v>
      </c>
      <c r="C4487" s="7" t="str">
        <f t="shared" si="1588"/>
        <v>行政財産</v>
      </c>
      <c r="D4487" s="7" t="str">
        <f t="shared" si="1599"/>
        <v>学校</v>
      </c>
      <c r="E4487" s="7" t="str">
        <f t="shared" si="1603"/>
        <v>大阪府大阪市　旭区高殿５丁目</v>
      </c>
      <c r="F4487" s="7"/>
      <c r="G4487" s="7" t="str">
        <f t="shared" si="1589"/>
        <v>事業用資産</v>
      </c>
      <c r="H4487" s="7" t="str">
        <f t="shared" si="1605"/>
        <v>棚卸以外</v>
      </c>
      <c r="I4487" s="7">
        <v>27</v>
      </c>
      <c r="J4487" s="7" t="str">
        <f>"更衣室（男子更衣室兼倉庫）"</f>
        <v>更衣室（男子更衣室兼倉庫）</v>
      </c>
      <c r="K4487" s="7" t="str">
        <f>"鉄骨造"</f>
        <v>鉄骨造</v>
      </c>
      <c r="L4487" s="7" t="str">
        <f>"S49.05.25"</f>
        <v>S49.05.25</v>
      </c>
      <c r="M4487" s="7">
        <v>178.2</v>
      </c>
      <c r="N4487" s="7">
        <v>14958279</v>
      </c>
      <c r="O4487" s="7">
        <v>14294327</v>
      </c>
      <c r="P4487" s="7">
        <v>0</v>
      </c>
      <c r="Q4487" s="7" t="str">
        <f t="shared" si="1590"/>
        <v>教育庁</v>
      </c>
      <c r="R4487" s="7" t="str">
        <f t="shared" si="1604"/>
        <v>旭高等学校</v>
      </c>
    </row>
    <row r="4488" spans="1:18" s="1" customFormat="1" x14ac:dyDescent="0.45">
      <c r="A4488" s="7" t="str">
        <f t="shared" si="1601"/>
        <v>10339000000</v>
      </c>
      <c r="B4488" s="7" t="str">
        <f t="shared" si="1602"/>
        <v>旭高等学校</v>
      </c>
      <c r="C4488" s="7" t="str">
        <f t="shared" si="1588"/>
        <v>行政財産</v>
      </c>
      <c r="D4488" s="7" t="str">
        <f t="shared" si="1599"/>
        <v>学校</v>
      </c>
      <c r="E4488" s="7" t="str">
        <f t="shared" si="1603"/>
        <v>大阪府大阪市　旭区高殿５丁目</v>
      </c>
      <c r="F4488" s="7"/>
      <c r="G4488" s="7" t="str">
        <f t="shared" si="1589"/>
        <v>事業用資産</v>
      </c>
      <c r="H4488" s="7" t="str">
        <f t="shared" si="1605"/>
        <v>棚卸以外</v>
      </c>
      <c r="I4488" s="7">
        <v>28</v>
      </c>
      <c r="J4488" s="7" t="str">
        <f>"ポンプ室"</f>
        <v>ポンプ室</v>
      </c>
      <c r="K4488" s="7" t="str">
        <f>"コンクリートブロック造"</f>
        <v>コンクリートブロック造</v>
      </c>
      <c r="L4488" s="7" t="str">
        <f>"S49.03.25"</f>
        <v>S49.03.25</v>
      </c>
      <c r="M4488" s="7">
        <v>93.03</v>
      </c>
      <c r="N4488" s="7">
        <v>8376119</v>
      </c>
      <c r="O4488" s="7">
        <v>910724</v>
      </c>
      <c r="P4488" s="7">
        <v>0</v>
      </c>
      <c r="Q4488" s="7" t="str">
        <f t="shared" si="1590"/>
        <v>教育庁</v>
      </c>
      <c r="R4488" s="7" t="str">
        <f t="shared" si="1604"/>
        <v>旭高等学校</v>
      </c>
    </row>
    <row r="4489" spans="1:18" s="1" customFormat="1" x14ac:dyDescent="0.45">
      <c r="A4489" s="7" t="str">
        <f t="shared" si="1601"/>
        <v>10339000000</v>
      </c>
      <c r="B4489" s="7" t="str">
        <f t="shared" si="1602"/>
        <v>旭高等学校</v>
      </c>
      <c r="C4489" s="7" t="str">
        <f t="shared" si="1588"/>
        <v>行政財産</v>
      </c>
      <c r="D4489" s="7" t="str">
        <f t="shared" si="1599"/>
        <v>学校</v>
      </c>
      <c r="E4489" s="7" t="str">
        <f t="shared" si="1603"/>
        <v>大阪府大阪市　旭区高殿５丁目</v>
      </c>
      <c r="F4489" s="7"/>
      <c r="G4489" s="7" t="str">
        <f t="shared" si="1589"/>
        <v>事業用資産</v>
      </c>
      <c r="H4489" s="7" t="str">
        <f t="shared" si="1605"/>
        <v>棚卸以外</v>
      </c>
      <c r="I4489" s="7">
        <v>31</v>
      </c>
      <c r="J4489" s="7" t="str">
        <f>"倉庫"</f>
        <v>倉庫</v>
      </c>
      <c r="K4489" s="7" t="str">
        <f>"鉄骨造"</f>
        <v>鉄骨造</v>
      </c>
      <c r="L4489" s="7" t="str">
        <f>"S53.06.08"</f>
        <v>S53.06.08</v>
      </c>
      <c r="M4489" s="7">
        <v>102.06</v>
      </c>
      <c r="N4489" s="7">
        <v>6465000</v>
      </c>
      <c r="O4489" s="7">
        <v>6464999</v>
      </c>
      <c r="P4489" s="7">
        <v>0</v>
      </c>
      <c r="Q4489" s="7" t="str">
        <f t="shared" si="1590"/>
        <v>教育庁</v>
      </c>
      <c r="R4489" s="7" t="str">
        <f t="shared" si="1604"/>
        <v>旭高等学校</v>
      </c>
    </row>
    <row r="4490" spans="1:18" s="1" customFormat="1" x14ac:dyDescent="0.45">
      <c r="A4490" s="7" t="str">
        <f t="shared" si="1601"/>
        <v>10339000000</v>
      </c>
      <c r="B4490" s="7" t="str">
        <f t="shared" si="1602"/>
        <v>旭高等学校</v>
      </c>
      <c r="C4490" s="7" t="str">
        <f t="shared" si="1588"/>
        <v>行政財産</v>
      </c>
      <c r="D4490" s="7" t="str">
        <f t="shared" si="1599"/>
        <v>学校</v>
      </c>
      <c r="E4490" s="7" t="str">
        <f t="shared" si="1603"/>
        <v>大阪府大阪市　旭区高殿５丁目</v>
      </c>
      <c r="F4490" s="7"/>
      <c r="G4490" s="7" t="str">
        <f t="shared" si="1589"/>
        <v>事業用資産</v>
      </c>
      <c r="H4490" s="7" t="str">
        <f t="shared" si="1605"/>
        <v>棚卸以外</v>
      </c>
      <c r="I4490" s="7">
        <v>32</v>
      </c>
      <c r="J4490" s="7" t="str">
        <f>"ごみ集積場"</f>
        <v>ごみ集積場</v>
      </c>
      <c r="K4490" s="7" t="str">
        <f>"軽量鉄骨造"</f>
        <v>軽量鉄骨造</v>
      </c>
      <c r="L4490" s="7" t="str">
        <f>"S53.09.25"</f>
        <v>S53.09.25</v>
      </c>
      <c r="M4490" s="7">
        <v>9.6</v>
      </c>
      <c r="N4490" s="7">
        <v>487000</v>
      </c>
      <c r="O4490" s="7">
        <v>486999</v>
      </c>
      <c r="P4490" s="7">
        <v>0</v>
      </c>
      <c r="Q4490" s="7" t="str">
        <f t="shared" si="1590"/>
        <v>教育庁</v>
      </c>
      <c r="R4490" s="7" t="str">
        <f t="shared" si="1604"/>
        <v>旭高等学校</v>
      </c>
    </row>
    <row r="4491" spans="1:18" s="1" customFormat="1" x14ac:dyDescent="0.45">
      <c r="A4491" s="7" t="str">
        <f t="shared" si="1601"/>
        <v>10339000000</v>
      </c>
      <c r="B4491" s="7" t="str">
        <f t="shared" si="1602"/>
        <v>旭高等学校</v>
      </c>
      <c r="C4491" s="7" t="str">
        <f t="shared" si="1588"/>
        <v>行政財産</v>
      </c>
      <c r="D4491" s="7" t="str">
        <f t="shared" si="1599"/>
        <v>学校</v>
      </c>
      <c r="E4491" s="7" t="str">
        <f t="shared" si="1603"/>
        <v>大阪府大阪市　旭区高殿５丁目</v>
      </c>
      <c r="F4491" s="7"/>
      <c r="G4491" s="7" t="str">
        <f t="shared" si="1589"/>
        <v>事業用資産</v>
      </c>
      <c r="H4491" s="7" t="str">
        <f t="shared" si="1605"/>
        <v>棚卸以外</v>
      </c>
      <c r="I4491" s="7">
        <v>34</v>
      </c>
      <c r="J4491" s="7" t="str">
        <f>"体育館"</f>
        <v>体育館</v>
      </c>
      <c r="K4491" s="7" t="str">
        <f>"鉄筋コンクリート造"</f>
        <v>鉄筋コンクリート造</v>
      </c>
      <c r="L4491" s="7" t="str">
        <f>"S54.05.09"</f>
        <v>S54.05.09</v>
      </c>
      <c r="M4491" s="7">
        <v>3053.89</v>
      </c>
      <c r="N4491" s="7">
        <v>428049447</v>
      </c>
      <c r="O4491" s="7">
        <v>339425221</v>
      </c>
      <c r="P4491" s="7">
        <v>0</v>
      </c>
      <c r="Q4491" s="7" t="str">
        <f t="shared" si="1590"/>
        <v>教育庁</v>
      </c>
      <c r="R4491" s="7" t="str">
        <f t="shared" si="1604"/>
        <v>旭高等学校</v>
      </c>
    </row>
    <row r="4492" spans="1:18" s="1" customFormat="1" x14ac:dyDescent="0.45">
      <c r="A4492" s="7" t="str">
        <f t="shared" si="1601"/>
        <v>10339000000</v>
      </c>
      <c r="B4492" s="7" t="str">
        <f t="shared" si="1602"/>
        <v>旭高等学校</v>
      </c>
      <c r="C4492" s="7" t="str">
        <f t="shared" si="1588"/>
        <v>行政財産</v>
      </c>
      <c r="D4492" s="7" t="str">
        <f t="shared" si="1599"/>
        <v>学校</v>
      </c>
      <c r="E4492" s="7" t="str">
        <f t="shared" si="1603"/>
        <v>大阪府大阪市　旭区高殿５丁目</v>
      </c>
      <c r="F4492" s="7"/>
      <c r="G4492" s="7" t="str">
        <f t="shared" si="1589"/>
        <v>事業用資産</v>
      </c>
      <c r="H4492" s="7" t="str">
        <f t="shared" si="1605"/>
        <v>棚卸以外</v>
      </c>
      <c r="I4492" s="7">
        <v>35</v>
      </c>
      <c r="J4492" s="7" t="str">
        <f>"特別教室棟"</f>
        <v>特別教室棟</v>
      </c>
      <c r="K4492" s="7" t="str">
        <f>"鉄筋コンクリート造"</f>
        <v>鉄筋コンクリート造</v>
      </c>
      <c r="L4492" s="7" t="str">
        <f>"S55.10.29"</f>
        <v>S55.10.29</v>
      </c>
      <c r="M4492" s="7">
        <v>1028.52</v>
      </c>
      <c r="N4492" s="7">
        <v>158546189</v>
      </c>
      <c r="O4492" s="7">
        <v>137115093</v>
      </c>
      <c r="P4492" s="7">
        <v>0</v>
      </c>
      <c r="Q4492" s="7" t="str">
        <f t="shared" si="1590"/>
        <v>教育庁</v>
      </c>
      <c r="R4492" s="7" t="str">
        <f t="shared" si="1604"/>
        <v>旭高等学校</v>
      </c>
    </row>
    <row r="4493" spans="1:18" s="1" customFormat="1" x14ac:dyDescent="0.45">
      <c r="A4493" s="7" t="str">
        <f t="shared" si="1601"/>
        <v>10339000000</v>
      </c>
      <c r="B4493" s="7" t="str">
        <f t="shared" si="1602"/>
        <v>旭高等学校</v>
      </c>
      <c r="C4493" s="7" t="str">
        <f t="shared" ref="C4493:C4556" si="1606">"行政財産"</f>
        <v>行政財産</v>
      </c>
      <c r="D4493" s="7" t="str">
        <f t="shared" si="1599"/>
        <v>学校</v>
      </c>
      <c r="E4493" s="7" t="str">
        <f t="shared" si="1603"/>
        <v>大阪府大阪市　旭区高殿５丁目</v>
      </c>
      <c r="F4493" s="7"/>
      <c r="G4493" s="7" t="str">
        <f t="shared" si="1589"/>
        <v>事業用資産</v>
      </c>
      <c r="H4493" s="7" t="str">
        <f t="shared" si="1605"/>
        <v>棚卸以外</v>
      </c>
      <c r="I4493" s="7">
        <v>37</v>
      </c>
      <c r="J4493" s="7" t="str">
        <f>"南新館"</f>
        <v>南新館</v>
      </c>
      <c r="K4493" s="7" t="str">
        <f>"鉄骨造"</f>
        <v>鉄骨造</v>
      </c>
      <c r="L4493" s="7" t="str">
        <f>"S60.09.06"</f>
        <v>S60.09.06</v>
      </c>
      <c r="M4493" s="7">
        <v>324</v>
      </c>
      <c r="N4493" s="7">
        <v>29481730</v>
      </c>
      <c r="O4493" s="7">
        <v>27256185</v>
      </c>
      <c r="P4493" s="7">
        <v>0</v>
      </c>
      <c r="Q4493" s="7" t="str">
        <f t="shared" si="1590"/>
        <v>教育庁</v>
      </c>
      <c r="R4493" s="7" t="str">
        <f t="shared" si="1604"/>
        <v>旭高等学校</v>
      </c>
    </row>
    <row r="4494" spans="1:18" s="1" customFormat="1" x14ac:dyDescent="0.45">
      <c r="A4494" s="7" t="str">
        <f t="shared" si="1601"/>
        <v>10339000000</v>
      </c>
      <c r="B4494" s="7" t="str">
        <f t="shared" si="1602"/>
        <v>旭高等学校</v>
      </c>
      <c r="C4494" s="7" t="str">
        <f t="shared" si="1606"/>
        <v>行政財産</v>
      </c>
      <c r="D4494" s="7" t="str">
        <f t="shared" si="1599"/>
        <v>学校</v>
      </c>
      <c r="E4494" s="7" t="str">
        <f t="shared" si="1603"/>
        <v>大阪府大阪市　旭区高殿５丁目</v>
      </c>
      <c r="F4494" s="7"/>
      <c r="G4494" s="7" t="str">
        <f t="shared" si="1589"/>
        <v>事業用資産</v>
      </c>
      <c r="H4494" s="7" t="str">
        <f t="shared" si="1605"/>
        <v>棚卸以外</v>
      </c>
      <c r="I4494" s="7">
        <v>38</v>
      </c>
      <c r="J4494" s="7" t="str">
        <f>"便所"</f>
        <v>便所</v>
      </c>
      <c r="K4494" s="7" t="str">
        <f>"鉄骨造"</f>
        <v>鉄骨造</v>
      </c>
      <c r="L4494" s="7" t="str">
        <f>"H08.10.31"</f>
        <v>H08.10.31</v>
      </c>
      <c r="M4494" s="7">
        <v>4.83</v>
      </c>
      <c r="N4494" s="7">
        <v>2543000</v>
      </c>
      <c r="O4494" s="7">
        <v>2167329</v>
      </c>
      <c r="P4494" s="7">
        <v>0</v>
      </c>
      <c r="Q4494" s="7" t="str">
        <f t="shared" si="1590"/>
        <v>教育庁</v>
      </c>
      <c r="R4494" s="7" t="str">
        <f t="shared" si="1604"/>
        <v>旭高等学校</v>
      </c>
    </row>
    <row r="4495" spans="1:18" s="1" customFormat="1" x14ac:dyDescent="0.45">
      <c r="A4495" s="7" t="str">
        <f t="shared" ref="A4495:A4503" si="1607">"10341000000"</f>
        <v>10341000000</v>
      </c>
      <c r="B4495" s="7" t="str">
        <f t="shared" ref="B4495:B4503" si="1608">"茨田高等学校"</f>
        <v>茨田高等学校</v>
      </c>
      <c r="C4495" s="7" t="str">
        <f t="shared" si="1606"/>
        <v>行政財産</v>
      </c>
      <c r="D4495" s="7" t="str">
        <f t="shared" si="1599"/>
        <v>学校</v>
      </c>
      <c r="E4495" s="7" t="str">
        <f t="shared" ref="E4495:E4503" si="1609">"大阪府大阪市　鶴見区安田１丁目"</f>
        <v>大阪府大阪市　鶴見区安田１丁目</v>
      </c>
      <c r="F4495" s="7"/>
      <c r="G4495" s="7" t="str">
        <f t="shared" si="1589"/>
        <v>事業用資産</v>
      </c>
      <c r="H4495" s="7" t="str">
        <f t="shared" si="1605"/>
        <v>棚卸以外</v>
      </c>
      <c r="I4495" s="7">
        <v>1</v>
      </c>
      <c r="J4495" s="7" t="str">
        <f>"普通教室棟"</f>
        <v>普通教室棟</v>
      </c>
      <c r="K4495" s="7" t="str">
        <f>"鉄筋コンクリート造"</f>
        <v>鉄筋コンクリート造</v>
      </c>
      <c r="L4495" s="7" t="str">
        <f>"S50.03.25"</f>
        <v>S50.03.25</v>
      </c>
      <c r="M4495" s="7">
        <v>6067.05</v>
      </c>
      <c r="N4495" s="7">
        <v>770009837</v>
      </c>
      <c r="O4495" s="7">
        <v>697886956</v>
      </c>
      <c r="P4495" s="7">
        <v>0</v>
      </c>
      <c r="Q4495" s="7" t="str">
        <f t="shared" si="1590"/>
        <v>教育庁</v>
      </c>
      <c r="R4495" s="7" t="str">
        <f t="shared" ref="R4495:R4503" si="1610">"茨田高等学校"</f>
        <v>茨田高等学校</v>
      </c>
    </row>
    <row r="4496" spans="1:18" s="1" customFormat="1" x14ac:dyDescent="0.45">
      <c r="A4496" s="7" t="str">
        <f t="shared" si="1607"/>
        <v>10341000000</v>
      </c>
      <c r="B4496" s="7" t="str">
        <f t="shared" si="1608"/>
        <v>茨田高等学校</v>
      </c>
      <c r="C4496" s="7" t="str">
        <f t="shared" si="1606"/>
        <v>行政財産</v>
      </c>
      <c r="D4496" s="7" t="str">
        <f t="shared" si="1599"/>
        <v>学校</v>
      </c>
      <c r="E4496" s="7" t="str">
        <f t="shared" si="1609"/>
        <v>大阪府大阪市　鶴見区安田１丁目</v>
      </c>
      <c r="F4496" s="7"/>
      <c r="G4496" s="7" t="str">
        <f t="shared" si="1589"/>
        <v>事業用資産</v>
      </c>
      <c r="H4496" s="7" t="str">
        <f t="shared" si="1605"/>
        <v>棚卸以外</v>
      </c>
      <c r="I4496" s="7">
        <v>2</v>
      </c>
      <c r="J4496" s="7" t="str">
        <f>"特別教室棟"</f>
        <v>特別教室棟</v>
      </c>
      <c r="K4496" s="7" t="str">
        <f>"鉄筋コンクリート造"</f>
        <v>鉄筋コンクリート造</v>
      </c>
      <c r="L4496" s="7" t="str">
        <f>"S50.03.25"</f>
        <v>S50.03.25</v>
      </c>
      <c r="M4496" s="7">
        <v>5856.02</v>
      </c>
      <c r="N4496" s="7">
        <v>719698090</v>
      </c>
      <c r="O4496" s="7">
        <v>633151167</v>
      </c>
      <c r="P4496" s="7">
        <v>0</v>
      </c>
      <c r="Q4496" s="7" t="str">
        <f t="shared" si="1590"/>
        <v>教育庁</v>
      </c>
      <c r="R4496" s="7" t="str">
        <f t="shared" si="1610"/>
        <v>茨田高等学校</v>
      </c>
    </row>
    <row r="4497" spans="1:18" s="1" customFormat="1" x14ac:dyDescent="0.45">
      <c r="A4497" s="7" t="str">
        <f t="shared" si="1607"/>
        <v>10341000000</v>
      </c>
      <c r="B4497" s="7" t="str">
        <f t="shared" si="1608"/>
        <v>茨田高等学校</v>
      </c>
      <c r="C4497" s="7" t="str">
        <f t="shared" si="1606"/>
        <v>行政財産</v>
      </c>
      <c r="D4497" s="7" t="str">
        <f t="shared" si="1599"/>
        <v>学校</v>
      </c>
      <c r="E4497" s="7" t="str">
        <f t="shared" si="1609"/>
        <v>大阪府大阪市　鶴見区安田１丁目</v>
      </c>
      <c r="F4497" s="7"/>
      <c r="G4497" s="7" t="str">
        <f t="shared" si="1589"/>
        <v>事業用資産</v>
      </c>
      <c r="H4497" s="7" t="str">
        <f t="shared" si="1605"/>
        <v>棚卸以外</v>
      </c>
      <c r="I4497" s="7">
        <v>3</v>
      </c>
      <c r="J4497" s="7" t="str">
        <f>"設備棟"</f>
        <v>設備棟</v>
      </c>
      <c r="K4497" s="7" t="str">
        <f>"鉄筋コンクリート造"</f>
        <v>鉄筋コンクリート造</v>
      </c>
      <c r="L4497" s="7" t="str">
        <f>"S50.03.25"</f>
        <v>S50.03.25</v>
      </c>
      <c r="M4497" s="7">
        <v>117</v>
      </c>
      <c r="N4497" s="7">
        <v>23381694</v>
      </c>
      <c r="O4497" s="7">
        <v>22622927</v>
      </c>
      <c r="P4497" s="7">
        <v>0</v>
      </c>
      <c r="Q4497" s="7" t="str">
        <f t="shared" si="1590"/>
        <v>教育庁</v>
      </c>
      <c r="R4497" s="7" t="str">
        <f t="shared" si="1610"/>
        <v>茨田高等学校</v>
      </c>
    </row>
    <row r="4498" spans="1:18" s="1" customFormat="1" x14ac:dyDescent="0.45">
      <c r="A4498" s="7" t="str">
        <f t="shared" si="1607"/>
        <v>10341000000</v>
      </c>
      <c r="B4498" s="7" t="str">
        <f t="shared" si="1608"/>
        <v>茨田高等学校</v>
      </c>
      <c r="C4498" s="7" t="str">
        <f t="shared" si="1606"/>
        <v>行政財産</v>
      </c>
      <c r="D4498" s="7" t="str">
        <f t="shared" si="1599"/>
        <v>学校</v>
      </c>
      <c r="E4498" s="7" t="str">
        <f t="shared" si="1609"/>
        <v>大阪府大阪市　鶴見区安田１丁目</v>
      </c>
      <c r="F4498" s="7"/>
      <c r="G4498" s="7" t="str">
        <f t="shared" si="1589"/>
        <v>事業用資産</v>
      </c>
      <c r="H4498" s="7" t="str">
        <f t="shared" si="1605"/>
        <v>棚卸以外</v>
      </c>
      <c r="I4498" s="7">
        <v>5</v>
      </c>
      <c r="J4498" s="7" t="str">
        <f>"倉庫棟"</f>
        <v>倉庫棟</v>
      </c>
      <c r="K4498" s="7" t="str">
        <f>"軽量鉄骨造"</f>
        <v>軽量鉄骨造</v>
      </c>
      <c r="L4498" s="7" t="str">
        <f>"S50.03.25"</f>
        <v>S50.03.25</v>
      </c>
      <c r="M4498" s="7">
        <v>100</v>
      </c>
      <c r="N4498" s="7">
        <v>7968000</v>
      </c>
      <c r="O4498" s="7">
        <v>7967999</v>
      </c>
      <c r="P4498" s="7">
        <v>0</v>
      </c>
      <c r="Q4498" s="7" t="str">
        <f t="shared" si="1590"/>
        <v>教育庁</v>
      </c>
      <c r="R4498" s="7" t="str">
        <f t="shared" si="1610"/>
        <v>茨田高等学校</v>
      </c>
    </row>
    <row r="4499" spans="1:18" s="1" customFormat="1" x14ac:dyDescent="0.45">
      <c r="A4499" s="7" t="str">
        <f t="shared" si="1607"/>
        <v>10341000000</v>
      </c>
      <c r="B4499" s="7" t="str">
        <f t="shared" si="1608"/>
        <v>茨田高等学校</v>
      </c>
      <c r="C4499" s="7" t="str">
        <f t="shared" si="1606"/>
        <v>行政財産</v>
      </c>
      <c r="D4499" s="7" t="str">
        <f t="shared" si="1599"/>
        <v>学校</v>
      </c>
      <c r="E4499" s="7" t="str">
        <f t="shared" si="1609"/>
        <v>大阪府大阪市　鶴見区安田１丁目</v>
      </c>
      <c r="F4499" s="7"/>
      <c r="G4499" s="7" t="str">
        <f t="shared" si="1589"/>
        <v>事業用資産</v>
      </c>
      <c r="H4499" s="7" t="str">
        <f t="shared" si="1605"/>
        <v>棚卸以外</v>
      </c>
      <c r="I4499" s="7">
        <v>7</v>
      </c>
      <c r="J4499" s="7" t="str">
        <f>"体育館"</f>
        <v>体育館</v>
      </c>
      <c r="K4499" s="7" t="str">
        <f>"鉄筋コンクリート造"</f>
        <v>鉄筋コンクリート造</v>
      </c>
      <c r="L4499" s="7" t="str">
        <f>"S51.08.02"</f>
        <v>S51.08.02</v>
      </c>
      <c r="M4499" s="7">
        <v>3125.95</v>
      </c>
      <c r="N4499" s="7">
        <v>394599153</v>
      </c>
      <c r="O4499" s="7">
        <v>328452677</v>
      </c>
      <c r="P4499" s="7">
        <v>0</v>
      </c>
      <c r="Q4499" s="7" t="str">
        <f t="shared" si="1590"/>
        <v>教育庁</v>
      </c>
      <c r="R4499" s="7" t="str">
        <f t="shared" si="1610"/>
        <v>茨田高等学校</v>
      </c>
    </row>
    <row r="4500" spans="1:18" s="1" customFormat="1" x14ac:dyDescent="0.45">
      <c r="A4500" s="7" t="str">
        <f t="shared" si="1607"/>
        <v>10341000000</v>
      </c>
      <c r="B4500" s="7" t="str">
        <f t="shared" si="1608"/>
        <v>茨田高等学校</v>
      </c>
      <c r="C4500" s="7" t="str">
        <f t="shared" si="1606"/>
        <v>行政財産</v>
      </c>
      <c r="D4500" s="7" t="str">
        <f t="shared" si="1599"/>
        <v>学校</v>
      </c>
      <c r="E4500" s="7" t="str">
        <f t="shared" si="1609"/>
        <v>大阪府大阪市　鶴見区安田１丁目</v>
      </c>
      <c r="F4500" s="7"/>
      <c r="G4500" s="7" t="str">
        <f t="shared" si="1589"/>
        <v>事業用資産</v>
      </c>
      <c r="H4500" s="7" t="str">
        <f t="shared" si="1605"/>
        <v>棚卸以外</v>
      </c>
      <c r="I4500" s="7">
        <v>8</v>
      </c>
      <c r="J4500" s="7" t="str">
        <f>"食堂棟"</f>
        <v>食堂棟</v>
      </c>
      <c r="K4500" s="7" t="str">
        <f>"鉄筋コンクリート造"</f>
        <v>鉄筋コンクリート造</v>
      </c>
      <c r="L4500" s="7" t="str">
        <f>"S51.08.02"</f>
        <v>S51.08.02</v>
      </c>
      <c r="M4500" s="7">
        <v>325</v>
      </c>
      <c r="N4500" s="7">
        <v>42730950</v>
      </c>
      <c r="O4500" s="7">
        <v>40183228</v>
      </c>
      <c r="P4500" s="7">
        <v>0</v>
      </c>
      <c r="Q4500" s="7" t="str">
        <f t="shared" si="1590"/>
        <v>教育庁</v>
      </c>
      <c r="R4500" s="7" t="str">
        <f t="shared" si="1610"/>
        <v>茨田高等学校</v>
      </c>
    </row>
    <row r="4501" spans="1:18" s="1" customFormat="1" x14ac:dyDescent="0.45">
      <c r="A4501" s="7" t="str">
        <f t="shared" si="1607"/>
        <v>10341000000</v>
      </c>
      <c r="B4501" s="7" t="str">
        <f t="shared" si="1608"/>
        <v>茨田高等学校</v>
      </c>
      <c r="C4501" s="7" t="str">
        <f t="shared" si="1606"/>
        <v>行政財産</v>
      </c>
      <c r="D4501" s="7" t="str">
        <f t="shared" si="1599"/>
        <v>学校</v>
      </c>
      <c r="E4501" s="7" t="str">
        <f t="shared" si="1609"/>
        <v>大阪府大阪市　鶴見区安田１丁目</v>
      </c>
      <c r="F4501" s="7"/>
      <c r="G4501" s="7" t="str">
        <f t="shared" si="1589"/>
        <v>事業用資産</v>
      </c>
      <c r="H4501" s="7" t="str">
        <f t="shared" si="1605"/>
        <v>棚卸以外</v>
      </c>
      <c r="I4501" s="7">
        <v>9</v>
      </c>
      <c r="J4501" s="7" t="str">
        <f>"プール附属棟"</f>
        <v>プール附属棟</v>
      </c>
      <c r="K4501" s="7" t="str">
        <f>"コンクリートブロック造"</f>
        <v>コンクリートブロック造</v>
      </c>
      <c r="L4501" s="7" t="str">
        <f>"S51.08.02"</f>
        <v>S51.08.02</v>
      </c>
      <c r="M4501" s="7">
        <v>138</v>
      </c>
      <c r="N4501" s="7">
        <v>26804333</v>
      </c>
      <c r="O4501" s="7">
        <v>26540539</v>
      </c>
      <c r="P4501" s="7">
        <v>0</v>
      </c>
      <c r="Q4501" s="7" t="str">
        <f t="shared" si="1590"/>
        <v>教育庁</v>
      </c>
      <c r="R4501" s="7" t="str">
        <f t="shared" si="1610"/>
        <v>茨田高等学校</v>
      </c>
    </row>
    <row r="4502" spans="1:18" s="1" customFormat="1" x14ac:dyDescent="0.45">
      <c r="A4502" s="7" t="str">
        <f t="shared" si="1607"/>
        <v>10341000000</v>
      </c>
      <c r="B4502" s="7" t="str">
        <f t="shared" si="1608"/>
        <v>茨田高等学校</v>
      </c>
      <c r="C4502" s="7" t="str">
        <f t="shared" si="1606"/>
        <v>行政財産</v>
      </c>
      <c r="D4502" s="7" t="str">
        <f t="shared" si="1599"/>
        <v>学校</v>
      </c>
      <c r="E4502" s="7" t="str">
        <f t="shared" si="1609"/>
        <v>大阪府大阪市　鶴見区安田１丁目</v>
      </c>
      <c r="F4502" s="7"/>
      <c r="G4502" s="7" t="str">
        <f t="shared" si="1589"/>
        <v>事業用資産</v>
      </c>
      <c r="H4502" s="7" t="str">
        <f t="shared" si="1605"/>
        <v>棚卸以外</v>
      </c>
      <c r="I4502" s="7">
        <v>10</v>
      </c>
      <c r="J4502" s="7" t="str">
        <f>"温室"</f>
        <v>温室</v>
      </c>
      <c r="K4502" s="7" t="str">
        <f>"軽量鉄骨造"</f>
        <v>軽量鉄骨造</v>
      </c>
      <c r="L4502" s="7" t="str">
        <f>"S55.03.21"</f>
        <v>S55.03.21</v>
      </c>
      <c r="M4502" s="7">
        <v>17.88</v>
      </c>
      <c r="N4502" s="7">
        <v>645000</v>
      </c>
      <c r="O4502" s="7">
        <v>644999</v>
      </c>
      <c r="P4502" s="7">
        <v>0</v>
      </c>
      <c r="Q4502" s="7" t="str">
        <f t="shared" si="1590"/>
        <v>教育庁</v>
      </c>
      <c r="R4502" s="7" t="str">
        <f t="shared" si="1610"/>
        <v>茨田高等学校</v>
      </c>
    </row>
    <row r="4503" spans="1:18" s="1" customFormat="1" x14ac:dyDescent="0.45">
      <c r="A4503" s="7" t="str">
        <f t="shared" si="1607"/>
        <v>10341000000</v>
      </c>
      <c r="B4503" s="7" t="str">
        <f t="shared" si="1608"/>
        <v>茨田高等学校</v>
      </c>
      <c r="C4503" s="7" t="str">
        <f t="shared" si="1606"/>
        <v>行政財産</v>
      </c>
      <c r="D4503" s="7" t="str">
        <f t="shared" si="1599"/>
        <v>学校</v>
      </c>
      <c r="E4503" s="7" t="str">
        <f t="shared" si="1609"/>
        <v>大阪府大阪市　鶴見区安田１丁目</v>
      </c>
      <c r="F4503" s="7"/>
      <c r="G4503" s="7" t="str">
        <f t="shared" ref="G4503:G4566" si="1611">"事業用資産"</f>
        <v>事業用資産</v>
      </c>
      <c r="H4503" s="7" t="str">
        <f t="shared" si="1605"/>
        <v>棚卸以外</v>
      </c>
      <c r="I4503" s="7">
        <v>11</v>
      </c>
      <c r="J4503" s="7" t="str">
        <f>"倉庫"</f>
        <v>倉庫</v>
      </c>
      <c r="K4503" s="7" t="str">
        <f>"土蔵造(簡易建物)"</f>
        <v>土蔵造(簡易建物)</v>
      </c>
      <c r="L4503" s="7" t="str">
        <f>"S55.09.30"</f>
        <v>S55.09.30</v>
      </c>
      <c r="M4503" s="7">
        <v>128.69999999999999</v>
      </c>
      <c r="N4503" s="7">
        <v>7758775</v>
      </c>
      <c r="O4503" s="7">
        <v>7680766</v>
      </c>
      <c r="P4503" s="7">
        <v>0</v>
      </c>
      <c r="Q4503" s="7" t="str">
        <f t="shared" si="1590"/>
        <v>教育庁</v>
      </c>
      <c r="R4503" s="7" t="str">
        <f t="shared" si="1610"/>
        <v>茨田高等学校</v>
      </c>
    </row>
    <row r="4504" spans="1:18" s="1" customFormat="1" x14ac:dyDescent="0.45">
      <c r="A4504" s="7" t="str">
        <f t="shared" ref="A4504:A4512" si="1612">"10342000000"</f>
        <v>10342000000</v>
      </c>
      <c r="B4504" s="7" t="str">
        <f t="shared" ref="B4504:B4512" si="1613">"清水谷高等学校"</f>
        <v>清水谷高等学校</v>
      </c>
      <c r="C4504" s="7" t="str">
        <f t="shared" si="1606"/>
        <v>行政財産</v>
      </c>
      <c r="D4504" s="7" t="str">
        <f t="shared" si="1599"/>
        <v>学校</v>
      </c>
      <c r="E4504" s="7" t="str">
        <f t="shared" ref="E4504:E4512" si="1614">"大阪府大阪市　天王寺区清水谷町"</f>
        <v>大阪府大阪市　天王寺区清水谷町</v>
      </c>
      <c r="F4504" s="7"/>
      <c r="G4504" s="7" t="str">
        <f t="shared" si="1611"/>
        <v>事業用資産</v>
      </c>
      <c r="H4504" s="7" t="str">
        <f t="shared" si="1605"/>
        <v>棚卸以外</v>
      </c>
      <c r="I4504" s="7">
        <v>4</v>
      </c>
      <c r="J4504" s="7" t="str">
        <f>"北倉庫"</f>
        <v>北倉庫</v>
      </c>
      <c r="K4504" s="7" t="str">
        <f>"鉄筋コンクリート造"</f>
        <v>鉄筋コンクリート造</v>
      </c>
      <c r="L4504" s="7" t="str">
        <f>"T13.12.27"</f>
        <v>T13.12.27</v>
      </c>
      <c r="M4504" s="7">
        <v>26.44</v>
      </c>
      <c r="N4504" s="7">
        <v>1306886</v>
      </c>
      <c r="O4504" s="7">
        <v>1306885</v>
      </c>
      <c r="P4504" s="7">
        <v>0</v>
      </c>
      <c r="Q4504" s="7" t="str">
        <f t="shared" si="1590"/>
        <v>教育庁</v>
      </c>
      <c r="R4504" s="7" t="str">
        <f t="shared" ref="R4504:R4512" si="1615">"清水谷高等学校"</f>
        <v>清水谷高等学校</v>
      </c>
    </row>
    <row r="4505" spans="1:18" s="1" customFormat="1" x14ac:dyDescent="0.45">
      <c r="A4505" s="7" t="str">
        <f t="shared" si="1612"/>
        <v>10342000000</v>
      </c>
      <c r="B4505" s="7" t="str">
        <f t="shared" si="1613"/>
        <v>清水谷高等学校</v>
      </c>
      <c r="C4505" s="7" t="str">
        <f t="shared" si="1606"/>
        <v>行政財産</v>
      </c>
      <c r="D4505" s="7" t="str">
        <f t="shared" si="1599"/>
        <v>学校</v>
      </c>
      <c r="E4505" s="7" t="str">
        <f t="shared" si="1614"/>
        <v>大阪府大阪市　天王寺区清水谷町</v>
      </c>
      <c r="F4505" s="7"/>
      <c r="G4505" s="7" t="str">
        <f t="shared" si="1611"/>
        <v>事業用資産</v>
      </c>
      <c r="H4505" s="7" t="str">
        <f t="shared" si="1605"/>
        <v>棚卸以外</v>
      </c>
      <c r="I4505" s="7">
        <v>17</v>
      </c>
      <c r="J4505" s="7" t="str">
        <f>"体育器具庫"</f>
        <v>体育器具庫</v>
      </c>
      <c r="K4505" s="7" t="str">
        <f>"コンクリートブロック造"</f>
        <v>コンクリートブロック造</v>
      </c>
      <c r="L4505" s="7" t="str">
        <f>"S55.01.21"</f>
        <v>S55.01.21</v>
      </c>
      <c r="M4505" s="7">
        <v>22.82</v>
      </c>
      <c r="N4505" s="7">
        <v>2285000</v>
      </c>
      <c r="O4505" s="7">
        <v>2284999</v>
      </c>
      <c r="P4505" s="7">
        <v>0</v>
      </c>
      <c r="Q4505" s="7" t="str">
        <f t="shared" si="1590"/>
        <v>教育庁</v>
      </c>
      <c r="R4505" s="7" t="str">
        <f t="shared" si="1615"/>
        <v>清水谷高等学校</v>
      </c>
    </row>
    <row r="4506" spans="1:18" s="1" customFormat="1" x14ac:dyDescent="0.45">
      <c r="A4506" s="7" t="str">
        <f t="shared" si="1612"/>
        <v>10342000000</v>
      </c>
      <c r="B4506" s="7" t="str">
        <f t="shared" si="1613"/>
        <v>清水谷高等学校</v>
      </c>
      <c r="C4506" s="7" t="str">
        <f t="shared" si="1606"/>
        <v>行政財産</v>
      </c>
      <c r="D4506" s="7" t="str">
        <f t="shared" si="1599"/>
        <v>学校</v>
      </c>
      <c r="E4506" s="7" t="str">
        <f t="shared" si="1614"/>
        <v>大阪府大阪市　天王寺区清水谷町</v>
      </c>
      <c r="F4506" s="7"/>
      <c r="G4506" s="7" t="str">
        <f t="shared" si="1611"/>
        <v>事業用資産</v>
      </c>
      <c r="H4506" s="7" t="str">
        <f t="shared" si="1605"/>
        <v>棚卸以外</v>
      </c>
      <c r="I4506" s="7">
        <v>21</v>
      </c>
      <c r="J4506" s="7" t="str">
        <f>"校舎"</f>
        <v>校舎</v>
      </c>
      <c r="K4506" s="7" t="str">
        <f>"鉄筋コンクリート造"</f>
        <v>鉄筋コンクリート造</v>
      </c>
      <c r="L4506" s="7" t="str">
        <f>"H03.12.26"</f>
        <v>H03.12.26</v>
      </c>
      <c r="M4506" s="7">
        <v>8944.1200000000008</v>
      </c>
      <c r="N4506" s="7">
        <v>2003242727</v>
      </c>
      <c r="O4506" s="7">
        <v>1215770119</v>
      </c>
      <c r="P4506" s="7">
        <v>0</v>
      </c>
      <c r="Q4506" s="7" t="str">
        <f t="shared" si="1590"/>
        <v>教育庁</v>
      </c>
      <c r="R4506" s="7" t="str">
        <f t="shared" si="1615"/>
        <v>清水谷高等学校</v>
      </c>
    </row>
    <row r="4507" spans="1:18" s="1" customFormat="1" x14ac:dyDescent="0.45">
      <c r="A4507" s="7" t="str">
        <f t="shared" si="1612"/>
        <v>10342000000</v>
      </c>
      <c r="B4507" s="7" t="str">
        <f t="shared" si="1613"/>
        <v>清水谷高等学校</v>
      </c>
      <c r="C4507" s="7" t="str">
        <f t="shared" si="1606"/>
        <v>行政財産</v>
      </c>
      <c r="D4507" s="7" t="str">
        <f t="shared" si="1599"/>
        <v>学校</v>
      </c>
      <c r="E4507" s="7" t="str">
        <f t="shared" si="1614"/>
        <v>大阪府大阪市　天王寺区清水谷町</v>
      </c>
      <c r="F4507" s="7"/>
      <c r="G4507" s="7" t="str">
        <f t="shared" si="1611"/>
        <v>事業用資産</v>
      </c>
      <c r="H4507" s="7" t="str">
        <f t="shared" si="1605"/>
        <v>棚卸以外</v>
      </c>
      <c r="I4507" s="7">
        <v>22</v>
      </c>
      <c r="J4507" s="7" t="str">
        <f>"倉庫"</f>
        <v>倉庫</v>
      </c>
      <c r="K4507" s="7" t="str">
        <f>"鉄骨造"</f>
        <v>鉄骨造</v>
      </c>
      <c r="L4507" s="7" t="str">
        <f>"H04.03.31"</f>
        <v>H04.03.31</v>
      </c>
      <c r="M4507" s="7">
        <v>17.91</v>
      </c>
      <c r="N4507" s="7">
        <v>654000</v>
      </c>
      <c r="O4507" s="7">
        <v>653999</v>
      </c>
      <c r="P4507" s="7">
        <v>0</v>
      </c>
      <c r="Q4507" s="7" t="str">
        <f t="shared" ref="Q4507:Q4570" si="1616">"教育庁"</f>
        <v>教育庁</v>
      </c>
      <c r="R4507" s="7" t="str">
        <f t="shared" si="1615"/>
        <v>清水谷高等学校</v>
      </c>
    </row>
    <row r="4508" spans="1:18" s="1" customFormat="1" x14ac:dyDescent="0.45">
      <c r="A4508" s="7" t="str">
        <f t="shared" si="1612"/>
        <v>10342000000</v>
      </c>
      <c r="B4508" s="7" t="str">
        <f t="shared" si="1613"/>
        <v>清水谷高等学校</v>
      </c>
      <c r="C4508" s="7" t="str">
        <f t="shared" si="1606"/>
        <v>行政財産</v>
      </c>
      <c r="D4508" s="7" t="str">
        <f t="shared" si="1599"/>
        <v>学校</v>
      </c>
      <c r="E4508" s="7" t="str">
        <f t="shared" si="1614"/>
        <v>大阪府大阪市　天王寺区清水谷町</v>
      </c>
      <c r="F4508" s="7"/>
      <c r="G4508" s="7" t="str">
        <f t="shared" si="1611"/>
        <v>事業用資産</v>
      </c>
      <c r="H4508" s="7" t="str">
        <f t="shared" si="1605"/>
        <v>棚卸以外</v>
      </c>
      <c r="I4508" s="7">
        <v>23</v>
      </c>
      <c r="J4508" s="7" t="str">
        <f>"倉庫"</f>
        <v>倉庫</v>
      </c>
      <c r="K4508" s="7" t="str">
        <f>"鉄骨造"</f>
        <v>鉄骨造</v>
      </c>
      <c r="L4508" s="7" t="str">
        <f>"H04.06.20"</f>
        <v>H04.06.20</v>
      </c>
      <c r="M4508" s="7">
        <v>17.91</v>
      </c>
      <c r="N4508" s="7">
        <v>500000</v>
      </c>
      <c r="O4508" s="7">
        <v>496305</v>
      </c>
      <c r="P4508" s="7">
        <v>0</v>
      </c>
      <c r="Q4508" s="7" t="str">
        <f t="shared" si="1616"/>
        <v>教育庁</v>
      </c>
      <c r="R4508" s="7" t="str">
        <f t="shared" si="1615"/>
        <v>清水谷高等学校</v>
      </c>
    </row>
    <row r="4509" spans="1:18" s="1" customFormat="1" x14ac:dyDescent="0.45">
      <c r="A4509" s="7" t="str">
        <f t="shared" si="1612"/>
        <v>10342000000</v>
      </c>
      <c r="B4509" s="7" t="str">
        <f t="shared" si="1613"/>
        <v>清水谷高等学校</v>
      </c>
      <c r="C4509" s="7" t="str">
        <f t="shared" si="1606"/>
        <v>行政財産</v>
      </c>
      <c r="D4509" s="7" t="str">
        <f t="shared" si="1599"/>
        <v>学校</v>
      </c>
      <c r="E4509" s="7" t="str">
        <f t="shared" si="1614"/>
        <v>大阪府大阪市　天王寺区清水谷町</v>
      </c>
      <c r="F4509" s="7"/>
      <c r="G4509" s="7" t="str">
        <f t="shared" si="1611"/>
        <v>事業用資産</v>
      </c>
      <c r="H4509" s="7" t="str">
        <f t="shared" si="1605"/>
        <v>棚卸以外</v>
      </c>
      <c r="I4509" s="7">
        <v>24</v>
      </c>
      <c r="J4509" s="7" t="str">
        <f>"倉庫"</f>
        <v>倉庫</v>
      </c>
      <c r="K4509" s="7" t="str">
        <f>"鉄骨造"</f>
        <v>鉄骨造</v>
      </c>
      <c r="L4509" s="7" t="str">
        <f>"H04.06.20"</f>
        <v>H04.06.20</v>
      </c>
      <c r="M4509" s="7">
        <v>17.91</v>
      </c>
      <c r="N4509" s="7">
        <v>500000</v>
      </c>
      <c r="O4509" s="7">
        <v>496305</v>
      </c>
      <c r="P4509" s="7">
        <v>0</v>
      </c>
      <c r="Q4509" s="7" t="str">
        <f t="shared" si="1616"/>
        <v>教育庁</v>
      </c>
      <c r="R4509" s="7" t="str">
        <f t="shared" si="1615"/>
        <v>清水谷高等学校</v>
      </c>
    </row>
    <row r="4510" spans="1:18" s="1" customFormat="1" x14ac:dyDescent="0.45">
      <c r="A4510" s="7" t="str">
        <f t="shared" si="1612"/>
        <v>10342000000</v>
      </c>
      <c r="B4510" s="7" t="str">
        <f t="shared" si="1613"/>
        <v>清水谷高等学校</v>
      </c>
      <c r="C4510" s="7" t="str">
        <f t="shared" si="1606"/>
        <v>行政財産</v>
      </c>
      <c r="D4510" s="7" t="str">
        <f t="shared" si="1599"/>
        <v>学校</v>
      </c>
      <c r="E4510" s="7" t="str">
        <f t="shared" si="1614"/>
        <v>大阪府大阪市　天王寺区清水谷町</v>
      </c>
      <c r="F4510" s="7"/>
      <c r="G4510" s="7" t="str">
        <f t="shared" si="1611"/>
        <v>事業用資産</v>
      </c>
      <c r="H4510" s="7" t="str">
        <f t="shared" si="1605"/>
        <v>棚卸以外</v>
      </c>
      <c r="I4510" s="7">
        <v>25</v>
      </c>
      <c r="J4510" s="7" t="str">
        <f>"体育館"</f>
        <v>体育館</v>
      </c>
      <c r="K4510" s="7" t="str">
        <f>"鉄筋コンクリート造"</f>
        <v>鉄筋コンクリート造</v>
      </c>
      <c r="L4510" s="7" t="str">
        <f>"H05.12.20"</f>
        <v>H05.12.20</v>
      </c>
      <c r="M4510" s="7">
        <v>3233.73</v>
      </c>
      <c r="N4510" s="7">
        <v>749911828</v>
      </c>
      <c r="O4510" s="7">
        <v>438002037</v>
      </c>
      <c r="P4510" s="7">
        <v>0</v>
      </c>
      <c r="Q4510" s="7" t="str">
        <f t="shared" si="1616"/>
        <v>教育庁</v>
      </c>
      <c r="R4510" s="7" t="str">
        <f t="shared" si="1615"/>
        <v>清水谷高等学校</v>
      </c>
    </row>
    <row r="4511" spans="1:18" s="1" customFormat="1" x14ac:dyDescent="0.45">
      <c r="A4511" s="7" t="str">
        <f t="shared" si="1612"/>
        <v>10342000000</v>
      </c>
      <c r="B4511" s="7" t="str">
        <f t="shared" si="1613"/>
        <v>清水谷高等学校</v>
      </c>
      <c r="C4511" s="7" t="str">
        <f t="shared" si="1606"/>
        <v>行政財産</v>
      </c>
      <c r="D4511" s="7" t="str">
        <f t="shared" si="1599"/>
        <v>学校</v>
      </c>
      <c r="E4511" s="7" t="str">
        <f t="shared" si="1614"/>
        <v>大阪府大阪市　天王寺区清水谷町</v>
      </c>
      <c r="F4511" s="7"/>
      <c r="G4511" s="7" t="str">
        <f t="shared" si="1611"/>
        <v>事業用資産</v>
      </c>
      <c r="H4511" s="7" t="str">
        <f t="shared" si="1605"/>
        <v>棚卸以外</v>
      </c>
      <c r="I4511" s="7">
        <v>26</v>
      </c>
      <c r="J4511" s="7" t="str">
        <f>"ゴミ置場"</f>
        <v>ゴミ置場</v>
      </c>
      <c r="K4511" s="7" t="str">
        <f>"鉄骨造"</f>
        <v>鉄骨造</v>
      </c>
      <c r="L4511" s="7" t="str">
        <f>"H06.11.18"</f>
        <v>H06.11.18</v>
      </c>
      <c r="M4511" s="7">
        <v>7.53</v>
      </c>
      <c r="N4511" s="7">
        <v>2460000</v>
      </c>
      <c r="O4511" s="7">
        <v>2248420</v>
      </c>
      <c r="P4511" s="7">
        <v>0</v>
      </c>
      <c r="Q4511" s="7" t="str">
        <f t="shared" si="1616"/>
        <v>教育庁</v>
      </c>
      <c r="R4511" s="7" t="str">
        <f t="shared" si="1615"/>
        <v>清水谷高等学校</v>
      </c>
    </row>
    <row r="4512" spans="1:18" s="1" customFormat="1" x14ac:dyDescent="0.45">
      <c r="A4512" s="7" t="str">
        <f t="shared" si="1612"/>
        <v>10342000000</v>
      </c>
      <c r="B4512" s="7" t="str">
        <f t="shared" si="1613"/>
        <v>清水谷高等学校</v>
      </c>
      <c r="C4512" s="7" t="str">
        <f t="shared" si="1606"/>
        <v>行政財産</v>
      </c>
      <c r="D4512" s="7" t="str">
        <f t="shared" si="1599"/>
        <v>学校</v>
      </c>
      <c r="E4512" s="7" t="str">
        <f t="shared" si="1614"/>
        <v>大阪府大阪市　天王寺区清水谷町</v>
      </c>
      <c r="F4512" s="7"/>
      <c r="G4512" s="7" t="str">
        <f t="shared" si="1611"/>
        <v>事業用資産</v>
      </c>
      <c r="H4512" s="7" t="str">
        <f t="shared" si="1605"/>
        <v>棚卸以外</v>
      </c>
      <c r="I4512" s="7">
        <v>27</v>
      </c>
      <c r="J4512" s="7" t="str">
        <f>"プール付属棟"</f>
        <v>プール付属棟</v>
      </c>
      <c r="K4512" s="7" t="str">
        <f>"鉄筋コンクリート造"</f>
        <v>鉄筋コンクリート造</v>
      </c>
      <c r="L4512" s="7" t="str">
        <f>"H07.03.31"</f>
        <v>H07.03.31</v>
      </c>
      <c r="M4512" s="7">
        <v>262.02999999999997</v>
      </c>
      <c r="N4512" s="7">
        <v>74051800</v>
      </c>
      <c r="O4512" s="7">
        <v>44040012</v>
      </c>
      <c r="P4512" s="7">
        <v>0</v>
      </c>
      <c r="Q4512" s="7" t="str">
        <f t="shared" si="1616"/>
        <v>教育庁</v>
      </c>
      <c r="R4512" s="7" t="str">
        <f t="shared" si="1615"/>
        <v>清水谷高等学校</v>
      </c>
    </row>
    <row r="4513" spans="1:18" s="1" customFormat="1" x14ac:dyDescent="0.45">
      <c r="A4513" s="7" t="str">
        <f t="shared" ref="A4513:A4518" si="1617">"10343000000"</f>
        <v>10343000000</v>
      </c>
      <c r="B4513" s="7" t="str">
        <f t="shared" ref="B4513:B4518" si="1618">"高津高等学校"</f>
        <v>高津高等学校</v>
      </c>
      <c r="C4513" s="7" t="str">
        <f t="shared" si="1606"/>
        <v>行政財産</v>
      </c>
      <c r="D4513" s="7" t="str">
        <f t="shared" si="1599"/>
        <v>学校</v>
      </c>
      <c r="E4513" s="7" t="str">
        <f t="shared" ref="E4513:E4518" si="1619">"大阪府大阪市　天王寺区餌差町"</f>
        <v>大阪府大阪市　天王寺区餌差町</v>
      </c>
      <c r="F4513" s="7"/>
      <c r="G4513" s="7" t="str">
        <f t="shared" si="1611"/>
        <v>事業用資産</v>
      </c>
      <c r="H4513" s="7" t="str">
        <f t="shared" si="1605"/>
        <v>棚卸以外</v>
      </c>
      <c r="I4513" s="7">
        <v>16</v>
      </c>
      <c r="J4513" s="7" t="str">
        <f>"記念館"</f>
        <v>記念館</v>
      </c>
      <c r="K4513" s="7" t="str">
        <f>"鉄筋コンクリート造"</f>
        <v>鉄筋コンクリート造</v>
      </c>
      <c r="L4513" s="7" t="str">
        <f>"S38.02.15"</f>
        <v>S38.02.15</v>
      </c>
      <c r="M4513" s="7">
        <v>890.55</v>
      </c>
      <c r="N4513" s="7">
        <v>131068342</v>
      </c>
      <c r="O4513" s="7">
        <v>85417143</v>
      </c>
      <c r="P4513" s="7">
        <v>0</v>
      </c>
      <c r="Q4513" s="7" t="str">
        <f t="shared" si="1616"/>
        <v>教育庁</v>
      </c>
      <c r="R4513" s="7" t="str">
        <f t="shared" ref="R4513:R4518" si="1620">"高津高等学校"</f>
        <v>高津高等学校</v>
      </c>
    </row>
    <row r="4514" spans="1:18" s="1" customFormat="1" x14ac:dyDescent="0.45">
      <c r="A4514" s="7" t="str">
        <f t="shared" si="1617"/>
        <v>10343000000</v>
      </c>
      <c r="B4514" s="7" t="str">
        <f t="shared" si="1618"/>
        <v>高津高等学校</v>
      </c>
      <c r="C4514" s="7" t="str">
        <f t="shared" si="1606"/>
        <v>行政財産</v>
      </c>
      <c r="D4514" s="7" t="str">
        <f t="shared" si="1599"/>
        <v>学校</v>
      </c>
      <c r="E4514" s="7" t="str">
        <f t="shared" si="1619"/>
        <v>大阪府大阪市　天王寺区餌差町</v>
      </c>
      <c r="F4514" s="7"/>
      <c r="G4514" s="7" t="str">
        <f t="shared" si="1611"/>
        <v>事業用資産</v>
      </c>
      <c r="H4514" s="7" t="str">
        <f t="shared" si="1605"/>
        <v>棚卸以外</v>
      </c>
      <c r="I4514" s="7">
        <v>29</v>
      </c>
      <c r="J4514" s="7" t="str">
        <f>"物置"</f>
        <v>物置</v>
      </c>
      <c r="K4514" s="7" t="str">
        <f>"レンガ、石積造"</f>
        <v>レンガ、石積造</v>
      </c>
      <c r="L4514" s="7" t="str">
        <f>"S42.03.01"</f>
        <v>S42.03.01</v>
      </c>
      <c r="M4514" s="7">
        <v>4</v>
      </c>
      <c r="N4514" s="7">
        <v>201000</v>
      </c>
      <c r="O4514" s="7">
        <v>200999</v>
      </c>
      <c r="P4514" s="7">
        <v>0</v>
      </c>
      <c r="Q4514" s="7" t="str">
        <f t="shared" si="1616"/>
        <v>教育庁</v>
      </c>
      <c r="R4514" s="7" t="str">
        <f t="shared" si="1620"/>
        <v>高津高等学校</v>
      </c>
    </row>
    <row r="4515" spans="1:18" s="1" customFormat="1" x14ac:dyDescent="0.45">
      <c r="A4515" s="7" t="str">
        <f t="shared" si="1617"/>
        <v>10343000000</v>
      </c>
      <c r="B4515" s="7" t="str">
        <f t="shared" si="1618"/>
        <v>高津高等学校</v>
      </c>
      <c r="C4515" s="7" t="str">
        <f t="shared" si="1606"/>
        <v>行政財産</v>
      </c>
      <c r="D4515" s="7" t="str">
        <f t="shared" si="1599"/>
        <v>学校</v>
      </c>
      <c r="E4515" s="7" t="str">
        <f t="shared" si="1619"/>
        <v>大阪府大阪市　天王寺区餌差町</v>
      </c>
      <c r="F4515" s="7"/>
      <c r="G4515" s="7" t="str">
        <f t="shared" si="1611"/>
        <v>事業用資産</v>
      </c>
      <c r="H4515" s="7" t="str">
        <f t="shared" si="1605"/>
        <v>棚卸以外</v>
      </c>
      <c r="I4515" s="7">
        <v>35</v>
      </c>
      <c r="J4515" s="7" t="str">
        <f>"体育館"</f>
        <v>体育館</v>
      </c>
      <c r="K4515" s="7" t="str">
        <f>"鉄筋コンクリート造"</f>
        <v>鉄筋コンクリート造</v>
      </c>
      <c r="L4515" s="7" t="str">
        <f>"S54.06.30"</f>
        <v>S54.06.30</v>
      </c>
      <c r="M4515" s="7">
        <v>3056.14</v>
      </c>
      <c r="N4515" s="7">
        <v>378475081</v>
      </c>
      <c r="O4515" s="7">
        <v>296899574</v>
      </c>
      <c r="P4515" s="7">
        <v>0</v>
      </c>
      <c r="Q4515" s="7" t="str">
        <f t="shared" si="1616"/>
        <v>教育庁</v>
      </c>
      <c r="R4515" s="7" t="str">
        <f t="shared" si="1620"/>
        <v>高津高等学校</v>
      </c>
    </row>
    <row r="4516" spans="1:18" s="1" customFormat="1" x14ac:dyDescent="0.45">
      <c r="A4516" s="7" t="str">
        <f t="shared" si="1617"/>
        <v>10343000000</v>
      </c>
      <c r="B4516" s="7" t="str">
        <f t="shared" si="1618"/>
        <v>高津高等学校</v>
      </c>
      <c r="C4516" s="7" t="str">
        <f t="shared" si="1606"/>
        <v>行政財産</v>
      </c>
      <c r="D4516" s="7" t="str">
        <f t="shared" si="1599"/>
        <v>学校</v>
      </c>
      <c r="E4516" s="7" t="str">
        <f t="shared" si="1619"/>
        <v>大阪府大阪市　天王寺区餌差町</v>
      </c>
      <c r="F4516" s="7"/>
      <c r="G4516" s="7" t="str">
        <f t="shared" si="1611"/>
        <v>事業用資産</v>
      </c>
      <c r="H4516" s="7" t="str">
        <f t="shared" si="1605"/>
        <v>棚卸以外</v>
      </c>
      <c r="I4516" s="7">
        <v>37</v>
      </c>
      <c r="J4516" s="7" t="str">
        <f>"プール附属棟"</f>
        <v>プール附属棟</v>
      </c>
      <c r="K4516" s="7" t="str">
        <f>"鉄筋コンクリート造"</f>
        <v>鉄筋コンクリート造</v>
      </c>
      <c r="L4516" s="7" t="str">
        <f>"S56.02.14"</f>
        <v>S56.02.14</v>
      </c>
      <c r="M4516" s="7">
        <v>138</v>
      </c>
      <c r="N4516" s="7">
        <v>38293365</v>
      </c>
      <c r="O4516" s="7">
        <v>34232567</v>
      </c>
      <c r="P4516" s="7">
        <v>0</v>
      </c>
      <c r="Q4516" s="7" t="str">
        <f t="shared" si="1616"/>
        <v>教育庁</v>
      </c>
      <c r="R4516" s="7" t="str">
        <f t="shared" si="1620"/>
        <v>高津高等学校</v>
      </c>
    </row>
    <row r="4517" spans="1:18" s="1" customFormat="1" x14ac:dyDescent="0.45">
      <c r="A4517" s="7" t="str">
        <f t="shared" si="1617"/>
        <v>10343000000</v>
      </c>
      <c r="B4517" s="7" t="str">
        <f t="shared" si="1618"/>
        <v>高津高等学校</v>
      </c>
      <c r="C4517" s="7" t="str">
        <f t="shared" si="1606"/>
        <v>行政財産</v>
      </c>
      <c r="D4517" s="7" t="str">
        <f t="shared" si="1599"/>
        <v>学校</v>
      </c>
      <c r="E4517" s="7" t="str">
        <f t="shared" si="1619"/>
        <v>大阪府大阪市　天王寺区餌差町</v>
      </c>
      <c r="F4517" s="7"/>
      <c r="G4517" s="7" t="str">
        <f t="shared" si="1611"/>
        <v>事業用資産</v>
      </c>
      <c r="H4517" s="7" t="str">
        <f t="shared" si="1605"/>
        <v>棚卸以外</v>
      </c>
      <c r="I4517" s="7">
        <v>41</v>
      </c>
      <c r="J4517" s="7" t="str">
        <f>"校舎棟"</f>
        <v>校舎棟</v>
      </c>
      <c r="K4517" s="7" t="str">
        <f>"鉄骨コンクリート造"</f>
        <v>鉄骨コンクリート造</v>
      </c>
      <c r="L4517" s="7" t="str">
        <f>"H01.10.17"</f>
        <v>H01.10.17</v>
      </c>
      <c r="M4517" s="7">
        <v>10000.33</v>
      </c>
      <c r="N4517" s="7">
        <v>1719424632</v>
      </c>
      <c r="O4517" s="7">
        <v>1132487969</v>
      </c>
      <c r="P4517" s="7">
        <v>0</v>
      </c>
      <c r="Q4517" s="7" t="str">
        <f t="shared" si="1616"/>
        <v>教育庁</v>
      </c>
      <c r="R4517" s="7" t="str">
        <f t="shared" si="1620"/>
        <v>高津高等学校</v>
      </c>
    </row>
    <row r="4518" spans="1:18" s="1" customFormat="1" x14ac:dyDescent="0.45">
      <c r="A4518" s="7" t="str">
        <f t="shared" si="1617"/>
        <v>10343000000</v>
      </c>
      <c r="B4518" s="7" t="str">
        <f t="shared" si="1618"/>
        <v>高津高等学校</v>
      </c>
      <c r="C4518" s="7" t="str">
        <f t="shared" si="1606"/>
        <v>行政財産</v>
      </c>
      <c r="D4518" s="7" t="str">
        <f t="shared" si="1599"/>
        <v>学校</v>
      </c>
      <c r="E4518" s="7" t="str">
        <f t="shared" si="1619"/>
        <v>大阪府大阪市　天王寺区餌差町</v>
      </c>
      <c r="F4518" s="7"/>
      <c r="G4518" s="7" t="str">
        <f t="shared" si="1611"/>
        <v>事業用資産</v>
      </c>
      <c r="H4518" s="7" t="str">
        <f t="shared" si="1605"/>
        <v>棚卸以外</v>
      </c>
      <c r="I4518" s="7">
        <v>42</v>
      </c>
      <c r="J4518" s="7" t="str">
        <f>"部室棟"</f>
        <v>部室棟</v>
      </c>
      <c r="K4518" s="7" t="str">
        <f>"鉄骨造"</f>
        <v>鉄骨造</v>
      </c>
      <c r="L4518" s="7" t="str">
        <f>"H04.03.31"</f>
        <v>H04.03.31</v>
      </c>
      <c r="M4518" s="7">
        <v>199.22</v>
      </c>
      <c r="N4518" s="7">
        <v>37130000</v>
      </c>
      <c r="O4518" s="7">
        <v>33853860</v>
      </c>
      <c r="P4518" s="7">
        <v>0</v>
      </c>
      <c r="Q4518" s="7" t="str">
        <f t="shared" si="1616"/>
        <v>教育庁</v>
      </c>
      <c r="R4518" s="7" t="str">
        <f t="shared" si="1620"/>
        <v>高津高等学校</v>
      </c>
    </row>
    <row r="4519" spans="1:18" s="1" customFormat="1" x14ac:dyDescent="0.45">
      <c r="A4519" s="7" t="str">
        <f t="shared" ref="A4519:A4527" si="1621">"10344000000"</f>
        <v>10344000000</v>
      </c>
      <c r="B4519" s="7" t="str">
        <f t="shared" ref="B4519:B4527" si="1622">"夕陽丘高等学校"</f>
        <v>夕陽丘高等学校</v>
      </c>
      <c r="C4519" s="7" t="str">
        <f t="shared" si="1606"/>
        <v>行政財産</v>
      </c>
      <c r="D4519" s="7" t="str">
        <f t="shared" si="1599"/>
        <v>学校</v>
      </c>
      <c r="E4519" s="7" t="str">
        <f t="shared" ref="E4519:E4527" si="1623">"大阪府大阪市　天王寺区北山町"</f>
        <v>大阪府大阪市　天王寺区北山町</v>
      </c>
      <c r="F4519" s="7" t="str">
        <f t="shared" ref="F4519:F4527" si="1624">"10-10"</f>
        <v>10-10</v>
      </c>
      <c r="G4519" s="7" t="str">
        <f t="shared" si="1611"/>
        <v>事業用資産</v>
      </c>
      <c r="H4519" s="7" t="str">
        <f t="shared" si="1605"/>
        <v>棚卸以外</v>
      </c>
      <c r="I4519" s="7">
        <v>15</v>
      </c>
      <c r="J4519" s="7" t="str">
        <f>"同窓会館"</f>
        <v>同窓会館</v>
      </c>
      <c r="K4519" s="7" t="str">
        <f>"鉄筋コンクリート造"</f>
        <v>鉄筋コンクリート造</v>
      </c>
      <c r="L4519" s="7" t="str">
        <f>"S35.11.18"</f>
        <v>S35.11.18</v>
      </c>
      <c r="M4519" s="7">
        <v>615.72</v>
      </c>
      <c r="N4519" s="7">
        <v>72377343</v>
      </c>
      <c r="O4519" s="7">
        <v>21694413</v>
      </c>
      <c r="P4519" s="7">
        <v>0</v>
      </c>
      <c r="Q4519" s="7" t="str">
        <f t="shared" si="1616"/>
        <v>教育庁</v>
      </c>
      <c r="R4519" s="7" t="str">
        <f t="shared" ref="R4519:R4527" si="1625">"夕陽丘高等学校"</f>
        <v>夕陽丘高等学校</v>
      </c>
    </row>
    <row r="4520" spans="1:18" s="1" customFormat="1" x14ac:dyDescent="0.45">
      <c r="A4520" s="7" t="str">
        <f t="shared" si="1621"/>
        <v>10344000000</v>
      </c>
      <c r="B4520" s="7" t="str">
        <f t="shared" si="1622"/>
        <v>夕陽丘高等学校</v>
      </c>
      <c r="C4520" s="7" t="str">
        <f t="shared" si="1606"/>
        <v>行政財産</v>
      </c>
      <c r="D4520" s="7" t="str">
        <f t="shared" si="1599"/>
        <v>学校</v>
      </c>
      <c r="E4520" s="7" t="str">
        <f t="shared" si="1623"/>
        <v>大阪府大阪市　天王寺区北山町</v>
      </c>
      <c r="F4520" s="7" t="str">
        <f t="shared" si="1624"/>
        <v>10-10</v>
      </c>
      <c r="G4520" s="7" t="str">
        <f t="shared" si="1611"/>
        <v>事業用資産</v>
      </c>
      <c r="H4520" s="7" t="str">
        <f t="shared" si="1605"/>
        <v>棚卸以外</v>
      </c>
      <c r="I4520" s="7">
        <v>25</v>
      </c>
      <c r="J4520" s="7" t="str">
        <f>"新体育館"</f>
        <v>新体育館</v>
      </c>
      <c r="K4520" s="7" t="str">
        <f>"鉄筋コンクリート造"</f>
        <v>鉄筋コンクリート造</v>
      </c>
      <c r="L4520" s="7" t="str">
        <f>"H04.02.14"</f>
        <v>H04.02.14</v>
      </c>
      <c r="M4520" s="7">
        <v>2934.45</v>
      </c>
      <c r="N4520" s="7">
        <v>671180612</v>
      </c>
      <c r="O4520" s="7">
        <v>423181174</v>
      </c>
      <c r="P4520" s="7">
        <v>0</v>
      </c>
      <c r="Q4520" s="7" t="str">
        <f t="shared" si="1616"/>
        <v>教育庁</v>
      </c>
      <c r="R4520" s="7" t="str">
        <f t="shared" si="1625"/>
        <v>夕陽丘高等学校</v>
      </c>
    </row>
    <row r="4521" spans="1:18" s="1" customFormat="1" x14ac:dyDescent="0.45">
      <c r="A4521" s="7" t="str">
        <f t="shared" si="1621"/>
        <v>10344000000</v>
      </c>
      <c r="B4521" s="7" t="str">
        <f t="shared" si="1622"/>
        <v>夕陽丘高等学校</v>
      </c>
      <c r="C4521" s="7" t="str">
        <f t="shared" si="1606"/>
        <v>行政財産</v>
      </c>
      <c r="D4521" s="7" t="str">
        <f t="shared" si="1599"/>
        <v>学校</v>
      </c>
      <c r="E4521" s="7" t="str">
        <f t="shared" si="1623"/>
        <v>大阪府大阪市　天王寺区北山町</v>
      </c>
      <c r="F4521" s="7" t="str">
        <f t="shared" si="1624"/>
        <v>10-10</v>
      </c>
      <c r="G4521" s="7" t="str">
        <f t="shared" si="1611"/>
        <v>事業用資産</v>
      </c>
      <c r="H4521" s="7" t="str">
        <f t="shared" si="1605"/>
        <v>棚卸以外</v>
      </c>
      <c r="I4521" s="7">
        <v>26</v>
      </c>
      <c r="J4521" s="7" t="str">
        <f>"新北館"</f>
        <v>新北館</v>
      </c>
      <c r="K4521" s="7" t="str">
        <f>"鉄筋コンクリート造"</f>
        <v>鉄筋コンクリート造</v>
      </c>
      <c r="L4521" s="7" t="str">
        <f>"H05.05.31"</f>
        <v>H05.05.31</v>
      </c>
      <c r="M4521" s="7">
        <v>3589.2</v>
      </c>
      <c r="N4521" s="7">
        <v>891504158</v>
      </c>
      <c r="O4521" s="7">
        <v>548722141</v>
      </c>
      <c r="P4521" s="7">
        <v>0</v>
      </c>
      <c r="Q4521" s="7" t="str">
        <f t="shared" si="1616"/>
        <v>教育庁</v>
      </c>
      <c r="R4521" s="7" t="str">
        <f t="shared" si="1625"/>
        <v>夕陽丘高等学校</v>
      </c>
    </row>
    <row r="4522" spans="1:18" s="1" customFormat="1" ht="26.4" x14ac:dyDescent="0.45">
      <c r="A4522" s="7" t="str">
        <f t="shared" si="1621"/>
        <v>10344000000</v>
      </c>
      <c r="B4522" s="7" t="str">
        <f t="shared" si="1622"/>
        <v>夕陽丘高等学校</v>
      </c>
      <c r="C4522" s="7" t="str">
        <f t="shared" si="1606"/>
        <v>行政財産</v>
      </c>
      <c r="D4522" s="7" t="str">
        <f t="shared" si="1599"/>
        <v>学校</v>
      </c>
      <c r="E4522" s="7" t="str">
        <f t="shared" si="1623"/>
        <v>大阪府大阪市　天王寺区北山町</v>
      </c>
      <c r="F4522" s="7" t="str">
        <f t="shared" si="1624"/>
        <v>10-10</v>
      </c>
      <c r="G4522" s="7" t="str">
        <f t="shared" si="1611"/>
        <v>事業用資産</v>
      </c>
      <c r="H4522" s="7" t="str">
        <f t="shared" si="1605"/>
        <v>棚卸以外</v>
      </c>
      <c r="I4522" s="7">
        <v>27</v>
      </c>
      <c r="J4522" s="7" t="str">
        <f>"新本館"</f>
        <v>新本館</v>
      </c>
      <c r="K4522" s="7" t="str">
        <f>"鉄骨鉄筋コンクリート造"</f>
        <v>鉄骨鉄筋コンクリート造</v>
      </c>
      <c r="L4522" s="7" t="str">
        <f>"H07.03.31"</f>
        <v>H07.03.31</v>
      </c>
      <c r="M4522" s="7">
        <v>8259.17</v>
      </c>
      <c r="N4522" s="7">
        <v>2542635018</v>
      </c>
      <c r="O4522" s="7">
        <v>1455382619</v>
      </c>
      <c r="P4522" s="7">
        <v>0</v>
      </c>
      <c r="Q4522" s="7" t="str">
        <f t="shared" si="1616"/>
        <v>教育庁</v>
      </c>
      <c r="R4522" s="7" t="str">
        <f t="shared" si="1625"/>
        <v>夕陽丘高等学校</v>
      </c>
    </row>
    <row r="4523" spans="1:18" s="1" customFormat="1" x14ac:dyDescent="0.45">
      <c r="A4523" s="7" t="str">
        <f t="shared" si="1621"/>
        <v>10344000000</v>
      </c>
      <c r="B4523" s="7" t="str">
        <f t="shared" si="1622"/>
        <v>夕陽丘高等学校</v>
      </c>
      <c r="C4523" s="7" t="str">
        <f t="shared" si="1606"/>
        <v>行政財産</v>
      </c>
      <c r="D4523" s="7" t="str">
        <f t="shared" si="1599"/>
        <v>学校</v>
      </c>
      <c r="E4523" s="7" t="str">
        <f t="shared" si="1623"/>
        <v>大阪府大阪市　天王寺区北山町</v>
      </c>
      <c r="F4523" s="7" t="str">
        <f t="shared" si="1624"/>
        <v>10-10</v>
      </c>
      <c r="G4523" s="7" t="str">
        <f t="shared" si="1611"/>
        <v>事業用資産</v>
      </c>
      <c r="H4523" s="7" t="str">
        <f t="shared" si="1605"/>
        <v>棚卸以外</v>
      </c>
      <c r="I4523" s="7">
        <v>28</v>
      </c>
      <c r="J4523" s="7" t="str">
        <f>"渡り廊下"</f>
        <v>渡り廊下</v>
      </c>
      <c r="K4523" s="7" t="str">
        <f>"鉄筋コンクリート造"</f>
        <v>鉄筋コンクリート造</v>
      </c>
      <c r="L4523" s="7" t="str">
        <f>"H07.03.31"</f>
        <v>H07.03.31</v>
      </c>
      <c r="M4523" s="7">
        <v>97.41</v>
      </c>
      <c r="N4523" s="7">
        <v>19472000</v>
      </c>
      <c r="O4523" s="7">
        <v>13298208</v>
      </c>
      <c r="P4523" s="7">
        <v>0</v>
      </c>
      <c r="Q4523" s="7" t="str">
        <f t="shared" si="1616"/>
        <v>教育庁</v>
      </c>
      <c r="R4523" s="7" t="str">
        <f t="shared" si="1625"/>
        <v>夕陽丘高等学校</v>
      </c>
    </row>
    <row r="4524" spans="1:18" s="1" customFormat="1" x14ac:dyDescent="0.45">
      <c r="A4524" s="7" t="str">
        <f t="shared" si="1621"/>
        <v>10344000000</v>
      </c>
      <c r="B4524" s="7" t="str">
        <f t="shared" si="1622"/>
        <v>夕陽丘高等学校</v>
      </c>
      <c r="C4524" s="7" t="str">
        <f t="shared" si="1606"/>
        <v>行政財産</v>
      </c>
      <c r="D4524" s="7" t="str">
        <f t="shared" si="1599"/>
        <v>学校</v>
      </c>
      <c r="E4524" s="7" t="str">
        <f t="shared" si="1623"/>
        <v>大阪府大阪市　天王寺区北山町</v>
      </c>
      <c r="F4524" s="7" t="str">
        <f t="shared" si="1624"/>
        <v>10-10</v>
      </c>
      <c r="G4524" s="7" t="str">
        <f t="shared" si="1611"/>
        <v>事業用資産</v>
      </c>
      <c r="H4524" s="7" t="str">
        <f t="shared" si="1605"/>
        <v>棚卸以外</v>
      </c>
      <c r="I4524" s="7">
        <v>29</v>
      </c>
      <c r="J4524" s="7" t="str">
        <f>"温室"</f>
        <v>温室</v>
      </c>
      <c r="K4524" s="7" t="str">
        <f>"軽量鉄骨造"</f>
        <v>軽量鉄骨造</v>
      </c>
      <c r="L4524" s="7" t="str">
        <f>"H08.02.07"</f>
        <v>H08.02.07</v>
      </c>
      <c r="M4524" s="7">
        <v>20.41</v>
      </c>
      <c r="N4524" s="7">
        <v>1672000</v>
      </c>
      <c r="O4524" s="7">
        <v>1671998</v>
      </c>
      <c r="P4524" s="7">
        <v>0</v>
      </c>
      <c r="Q4524" s="7" t="str">
        <f t="shared" si="1616"/>
        <v>教育庁</v>
      </c>
      <c r="R4524" s="7" t="str">
        <f t="shared" si="1625"/>
        <v>夕陽丘高等学校</v>
      </c>
    </row>
    <row r="4525" spans="1:18" s="1" customFormat="1" x14ac:dyDescent="0.45">
      <c r="A4525" s="7" t="str">
        <f t="shared" si="1621"/>
        <v>10344000000</v>
      </c>
      <c r="B4525" s="7" t="str">
        <f t="shared" si="1622"/>
        <v>夕陽丘高等学校</v>
      </c>
      <c r="C4525" s="7" t="str">
        <f t="shared" si="1606"/>
        <v>行政財産</v>
      </c>
      <c r="D4525" s="7" t="str">
        <f t="shared" si="1599"/>
        <v>学校</v>
      </c>
      <c r="E4525" s="7" t="str">
        <f t="shared" si="1623"/>
        <v>大阪府大阪市　天王寺区北山町</v>
      </c>
      <c r="F4525" s="7" t="str">
        <f t="shared" si="1624"/>
        <v>10-10</v>
      </c>
      <c r="G4525" s="7" t="str">
        <f t="shared" si="1611"/>
        <v>事業用資産</v>
      </c>
      <c r="H4525" s="7" t="str">
        <f t="shared" si="1605"/>
        <v>棚卸以外</v>
      </c>
      <c r="I4525" s="7">
        <v>30</v>
      </c>
      <c r="J4525" s="7" t="str">
        <f>"ゴミ集積所"</f>
        <v>ゴミ集積所</v>
      </c>
      <c r="K4525" s="7" t="str">
        <f>"コンクリートブロック造"</f>
        <v>コンクリートブロック造</v>
      </c>
      <c r="L4525" s="7" t="str">
        <f>"H08.02.07"</f>
        <v>H08.02.07</v>
      </c>
      <c r="M4525" s="7">
        <v>11.52</v>
      </c>
      <c r="N4525" s="7">
        <v>2992000</v>
      </c>
      <c r="O4525" s="7">
        <v>2383427</v>
      </c>
      <c r="P4525" s="7">
        <v>0</v>
      </c>
      <c r="Q4525" s="7" t="str">
        <f t="shared" si="1616"/>
        <v>教育庁</v>
      </c>
      <c r="R4525" s="7" t="str">
        <f t="shared" si="1625"/>
        <v>夕陽丘高等学校</v>
      </c>
    </row>
    <row r="4526" spans="1:18" s="1" customFormat="1" x14ac:dyDescent="0.45">
      <c r="A4526" s="7" t="str">
        <f t="shared" si="1621"/>
        <v>10344000000</v>
      </c>
      <c r="B4526" s="7" t="str">
        <f t="shared" si="1622"/>
        <v>夕陽丘高等学校</v>
      </c>
      <c r="C4526" s="7" t="str">
        <f t="shared" si="1606"/>
        <v>行政財産</v>
      </c>
      <c r="D4526" s="7" t="str">
        <f t="shared" si="1599"/>
        <v>学校</v>
      </c>
      <c r="E4526" s="7" t="str">
        <f t="shared" si="1623"/>
        <v>大阪府大阪市　天王寺区北山町</v>
      </c>
      <c r="F4526" s="7" t="str">
        <f t="shared" si="1624"/>
        <v>10-10</v>
      </c>
      <c r="G4526" s="7" t="str">
        <f t="shared" si="1611"/>
        <v>事業用資産</v>
      </c>
      <c r="H4526" s="7" t="str">
        <f t="shared" si="1605"/>
        <v>棚卸以外</v>
      </c>
      <c r="I4526" s="7">
        <v>31</v>
      </c>
      <c r="J4526" s="7" t="str">
        <f>"倉庫"</f>
        <v>倉庫</v>
      </c>
      <c r="K4526" s="7" t="str">
        <f>"鉄骨造"</f>
        <v>鉄骨造</v>
      </c>
      <c r="L4526" s="7" t="str">
        <f>"H08.03.25"</f>
        <v>H08.03.25</v>
      </c>
      <c r="M4526" s="7">
        <v>200.1</v>
      </c>
      <c r="N4526" s="7">
        <v>36729000</v>
      </c>
      <c r="O4526" s="7">
        <v>31989816</v>
      </c>
      <c r="P4526" s="7">
        <v>0</v>
      </c>
      <c r="Q4526" s="7" t="str">
        <f t="shared" si="1616"/>
        <v>教育庁</v>
      </c>
      <c r="R4526" s="7" t="str">
        <f t="shared" si="1625"/>
        <v>夕陽丘高等学校</v>
      </c>
    </row>
    <row r="4527" spans="1:18" s="1" customFormat="1" x14ac:dyDescent="0.45">
      <c r="A4527" s="7" t="str">
        <f t="shared" si="1621"/>
        <v>10344000000</v>
      </c>
      <c r="B4527" s="7" t="str">
        <f t="shared" si="1622"/>
        <v>夕陽丘高等学校</v>
      </c>
      <c r="C4527" s="7" t="str">
        <f t="shared" si="1606"/>
        <v>行政財産</v>
      </c>
      <c r="D4527" s="7" t="str">
        <f t="shared" si="1599"/>
        <v>学校</v>
      </c>
      <c r="E4527" s="7" t="str">
        <f t="shared" si="1623"/>
        <v>大阪府大阪市　天王寺区北山町</v>
      </c>
      <c r="F4527" s="7" t="str">
        <f t="shared" si="1624"/>
        <v>10-10</v>
      </c>
      <c r="G4527" s="7" t="str">
        <f t="shared" si="1611"/>
        <v>事業用資産</v>
      </c>
      <c r="H4527" s="7" t="str">
        <f t="shared" si="1605"/>
        <v>棚卸以外</v>
      </c>
      <c r="I4527" s="7">
        <v>32</v>
      </c>
      <c r="J4527" s="7" t="str">
        <f>"学夕会館"</f>
        <v>学夕会館</v>
      </c>
      <c r="K4527" s="7" t="str">
        <f>"鉄骨造"</f>
        <v>鉄骨造</v>
      </c>
      <c r="L4527" s="7" t="str">
        <f>"H18.10.28"</f>
        <v>H18.10.28</v>
      </c>
      <c r="M4527" s="7">
        <v>305.42</v>
      </c>
      <c r="N4527" s="7">
        <v>45265000</v>
      </c>
      <c r="O4527" s="7">
        <v>19539457</v>
      </c>
      <c r="P4527" s="7">
        <v>0</v>
      </c>
      <c r="Q4527" s="7" t="str">
        <f t="shared" si="1616"/>
        <v>教育庁</v>
      </c>
      <c r="R4527" s="7" t="str">
        <f t="shared" si="1625"/>
        <v>夕陽丘高等学校</v>
      </c>
    </row>
    <row r="4528" spans="1:18" s="1" customFormat="1" x14ac:dyDescent="0.45">
      <c r="A4528" s="7" t="str">
        <f t="shared" ref="A4528:A4541" si="1626">"10345000000"</f>
        <v>10345000000</v>
      </c>
      <c r="B4528" s="7" t="str">
        <f t="shared" ref="B4528:B4541" si="1627">"港高等学校"</f>
        <v>港高等学校</v>
      </c>
      <c r="C4528" s="7" t="str">
        <f t="shared" si="1606"/>
        <v>行政財産</v>
      </c>
      <c r="D4528" s="7" t="str">
        <f t="shared" si="1599"/>
        <v>学校</v>
      </c>
      <c r="E4528" s="7" t="str">
        <f t="shared" ref="E4528:E4541" si="1628">"大阪府大阪市　港区波除２丁目"</f>
        <v>大阪府大阪市　港区波除２丁目</v>
      </c>
      <c r="F4528" s="7"/>
      <c r="G4528" s="7" t="str">
        <f t="shared" si="1611"/>
        <v>事業用資産</v>
      </c>
      <c r="H4528" s="7" t="str">
        <f t="shared" si="1605"/>
        <v>棚卸以外</v>
      </c>
      <c r="I4528" s="7">
        <v>14</v>
      </c>
      <c r="J4528" s="7" t="str">
        <f>"校舎（理科教室）"</f>
        <v>校舎（理科教室）</v>
      </c>
      <c r="K4528" s="7" t="str">
        <f>"鉄筋コンクリート造"</f>
        <v>鉄筋コンクリート造</v>
      </c>
      <c r="L4528" s="7" t="str">
        <f>"S38.02.23"</f>
        <v>S38.02.23</v>
      </c>
      <c r="M4528" s="7">
        <v>679.04</v>
      </c>
      <c r="N4528" s="7">
        <v>32505889</v>
      </c>
      <c r="O4528" s="7">
        <v>23813791</v>
      </c>
      <c r="P4528" s="7">
        <v>0</v>
      </c>
      <c r="Q4528" s="7" t="str">
        <f t="shared" si="1616"/>
        <v>教育庁</v>
      </c>
      <c r="R4528" s="7" t="str">
        <f t="shared" ref="R4528:R4541" si="1629">"港高等学校"</f>
        <v>港高等学校</v>
      </c>
    </row>
    <row r="4529" spans="1:18" s="1" customFormat="1" x14ac:dyDescent="0.45">
      <c r="A4529" s="7" t="str">
        <f t="shared" si="1626"/>
        <v>10345000000</v>
      </c>
      <c r="B4529" s="7" t="str">
        <f t="shared" si="1627"/>
        <v>港高等学校</v>
      </c>
      <c r="C4529" s="7" t="str">
        <f t="shared" si="1606"/>
        <v>行政財産</v>
      </c>
      <c r="D4529" s="7" t="str">
        <f t="shared" si="1599"/>
        <v>学校</v>
      </c>
      <c r="E4529" s="7" t="str">
        <f t="shared" si="1628"/>
        <v>大阪府大阪市　港区波除２丁目</v>
      </c>
      <c r="F4529" s="7"/>
      <c r="G4529" s="7" t="str">
        <f t="shared" si="1611"/>
        <v>事業用資産</v>
      </c>
      <c r="H4529" s="7" t="str">
        <f t="shared" si="1605"/>
        <v>棚卸以外</v>
      </c>
      <c r="I4529" s="7">
        <v>17</v>
      </c>
      <c r="J4529" s="7" t="str">
        <f>"体育館"</f>
        <v>体育館</v>
      </c>
      <c r="K4529" s="7" t="str">
        <f>"鉄筋コンクリート造"</f>
        <v>鉄筋コンクリート造</v>
      </c>
      <c r="L4529" s="7" t="str">
        <f>"S42.03.15"</f>
        <v>S42.03.15</v>
      </c>
      <c r="M4529" s="7">
        <v>1169.3800000000001</v>
      </c>
      <c r="N4529" s="7">
        <v>90198014</v>
      </c>
      <c r="O4529" s="7">
        <v>52189965</v>
      </c>
      <c r="P4529" s="7">
        <v>0</v>
      </c>
      <c r="Q4529" s="7" t="str">
        <f t="shared" si="1616"/>
        <v>教育庁</v>
      </c>
      <c r="R4529" s="7" t="str">
        <f t="shared" si="1629"/>
        <v>港高等学校</v>
      </c>
    </row>
    <row r="4530" spans="1:18" s="1" customFormat="1" x14ac:dyDescent="0.45">
      <c r="A4530" s="7" t="str">
        <f t="shared" si="1626"/>
        <v>10345000000</v>
      </c>
      <c r="B4530" s="7" t="str">
        <f t="shared" si="1627"/>
        <v>港高等学校</v>
      </c>
      <c r="C4530" s="7" t="str">
        <f t="shared" si="1606"/>
        <v>行政財産</v>
      </c>
      <c r="D4530" s="7" t="str">
        <f t="shared" si="1599"/>
        <v>学校</v>
      </c>
      <c r="E4530" s="7" t="str">
        <f t="shared" si="1628"/>
        <v>大阪府大阪市　港区波除２丁目</v>
      </c>
      <c r="F4530" s="7"/>
      <c r="G4530" s="7" t="str">
        <f t="shared" si="1611"/>
        <v>事業用資産</v>
      </c>
      <c r="H4530" s="7" t="str">
        <f t="shared" si="1605"/>
        <v>棚卸以外</v>
      </c>
      <c r="I4530" s="7">
        <v>25</v>
      </c>
      <c r="J4530" s="7" t="str">
        <f>"プール機械室"</f>
        <v>プール機械室</v>
      </c>
      <c r="K4530" s="7" t="str">
        <f>"コンクリートブロック造"</f>
        <v>コンクリートブロック造</v>
      </c>
      <c r="L4530" s="7" t="str">
        <f>"S45.03.28"</f>
        <v>S45.03.28</v>
      </c>
      <c r="M4530" s="7">
        <v>19.059999999999999</v>
      </c>
      <c r="N4530" s="7">
        <v>22057626</v>
      </c>
      <c r="O4530" s="7">
        <v>614793</v>
      </c>
      <c r="P4530" s="7">
        <v>0</v>
      </c>
      <c r="Q4530" s="7" t="str">
        <f t="shared" si="1616"/>
        <v>教育庁</v>
      </c>
      <c r="R4530" s="7" t="str">
        <f t="shared" si="1629"/>
        <v>港高等学校</v>
      </c>
    </row>
    <row r="4531" spans="1:18" s="1" customFormat="1" x14ac:dyDescent="0.45">
      <c r="A4531" s="7" t="str">
        <f t="shared" si="1626"/>
        <v>10345000000</v>
      </c>
      <c r="B4531" s="7" t="str">
        <f t="shared" si="1627"/>
        <v>港高等学校</v>
      </c>
      <c r="C4531" s="7" t="str">
        <f t="shared" si="1606"/>
        <v>行政財産</v>
      </c>
      <c r="D4531" s="7" t="str">
        <f t="shared" si="1599"/>
        <v>学校</v>
      </c>
      <c r="E4531" s="7" t="str">
        <f t="shared" si="1628"/>
        <v>大阪府大阪市　港区波除２丁目</v>
      </c>
      <c r="F4531" s="7"/>
      <c r="G4531" s="7" t="str">
        <f t="shared" si="1611"/>
        <v>事業用資産</v>
      </c>
      <c r="H4531" s="7" t="str">
        <f t="shared" si="1605"/>
        <v>棚卸以外</v>
      </c>
      <c r="I4531" s="7">
        <v>26</v>
      </c>
      <c r="J4531" s="7" t="str">
        <f>"プール用更衣室"</f>
        <v>プール用更衣室</v>
      </c>
      <c r="K4531" s="7" t="str">
        <f>"コンクリートブロック造"</f>
        <v>コンクリートブロック造</v>
      </c>
      <c r="L4531" s="7" t="str">
        <f>"S45.12.24"</f>
        <v>S45.12.24</v>
      </c>
      <c r="M4531" s="7">
        <v>56.29</v>
      </c>
      <c r="N4531" s="7">
        <v>1830000</v>
      </c>
      <c r="O4531" s="7">
        <v>1829999</v>
      </c>
      <c r="P4531" s="7">
        <v>0</v>
      </c>
      <c r="Q4531" s="7" t="str">
        <f t="shared" si="1616"/>
        <v>教育庁</v>
      </c>
      <c r="R4531" s="7" t="str">
        <f t="shared" si="1629"/>
        <v>港高等学校</v>
      </c>
    </row>
    <row r="4532" spans="1:18" s="1" customFormat="1" x14ac:dyDescent="0.45">
      <c r="A4532" s="7" t="str">
        <f t="shared" si="1626"/>
        <v>10345000000</v>
      </c>
      <c r="B4532" s="7" t="str">
        <f t="shared" si="1627"/>
        <v>港高等学校</v>
      </c>
      <c r="C4532" s="7" t="str">
        <f t="shared" si="1606"/>
        <v>行政財産</v>
      </c>
      <c r="D4532" s="7" t="str">
        <f t="shared" si="1599"/>
        <v>学校</v>
      </c>
      <c r="E4532" s="7" t="str">
        <f t="shared" si="1628"/>
        <v>大阪府大阪市　港区波除２丁目</v>
      </c>
      <c r="F4532" s="7"/>
      <c r="G4532" s="7" t="str">
        <f t="shared" si="1611"/>
        <v>事業用資産</v>
      </c>
      <c r="H4532" s="7" t="str">
        <f t="shared" si="1605"/>
        <v>棚卸以外</v>
      </c>
      <c r="I4532" s="7">
        <v>27</v>
      </c>
      <c r="J4532" s="7" t="str">
        <f>"男子便所"</f>
        <v>男子便所</v>
      </c>
      <c r="K4532" s="7" t="str">
        <f>"コンクリートブロック造"</f>
        <v>コンクリートブロック造</v>
      </c>
      <c r="L4532" s="7" t="str">
        <f>"S48.01.16"</f>
        <v>S48.01.16</v>
      </c>
      <c r="M4532" s="7">
        <v>22.8</v>
      </c>
      <c r="N4532" s="7">
        <v>2678029</v>
      </c>
      <c r="O4532" s="7">
        <v>2365108</v>
      </c>
      <c r="P4532" s="7">
        <v>0</v>
      </c>
      <c r="Q4532" s="7" t="str">
        <f t="shared" si="1616"/>
        <v>教育庁</v>
      </c>
      <c r="R4532" s="7" t="str">
        <f t="shared" si="1629"/>
        <v>港高等学校</v>
      </c>
    </row>
    <row r="4533" spans="1:18" s="1" customFormat="1" x14ac:dyDescent="0.45">
      <c r="A4533" s="7" t="str">
        <f t="shared" si="1626"/>
        <v>10345000000</v>
      </c>
      <c r="B4533" s="7" t="str">
        <f t="shared" si="1627"/>
        <v>港高等学校</v>
      </c>
      <c r="C4533" s="7" t="str">
        <f t="shared" si="1606"/>
        <v>行政財産</v>
      </c>
      <c r="D4533" s="7" t="str">
        <f t="shared" si="1599"/>
        <v>学校</v>
      </c>
      <c r="E4533" s="7" t="str">
        <f t="shared" si="1628"/>
        <v>大阪府大阪市　港区波除２丁目</v>
      </c>
      <c r="F4533" s="7"/>
      <c r="G4533" s="7" t="str">
        <f t="shared" si="1611"/>
        <v>事業用資産</v>
      </c>
      <c r="H4533" s="7" t="str">
        <f t="shared" si="1605"/>
        <v>棚卸以外</v>
      </c>
      <c r="I4533" s="7">
        <v>29</v>
      </c>
      <c r="J4533" s="7" t="str">
        <f>"特別教室棟"</f>
        <v>特別教室棟</v>
      </c>
      <c r="K4533" s="7" t="str">
        <f>"鉄骨造"</f>
        <v>鉄骨造</v>
      </c>
      <c r="L4533" s="7" t="str">
        <f>"S55.09.05"</f>
        <v>S55.09.05</v>
      </c>
      <c r="M4533" s="7">
        <v>1425.29</v>
      </c>
      <c r="N4533" s="7">
        <v>193653712</v>
      </c>
      <c r="O4533" s="7">
        <v>167921431</v>
      </c>
      <c r="P4533" s="7">
        <v>0</v>
      </c>
      <c r="Q4533" s="7" t="str">
        <f t="shared" si="1616"/>
        <v>教育庁</v>
      </c>
      <c r="R4533" s="7" t="str">
        <f t="shared" si="1629"/>
        <v>港高等学校</v>
      </c>
    </row>
    <row r="4534" spans="1:18" s="1" customFormat="1" x14ac:dyDescent="0.45">
      <c r="A4534" s="7" t="str">
        <f t="shared" si="1626"/>
        <v>10345000000</v>
      </c>
      <c r="B4534" s="7" t="str">
        <f t="shared" si="1627"/>
        <v>港高等学校</v>
      </c>
      <c r="C4534" s="7" t="str">
        <f t="shared" si="1606"/>
        <v>行政財産</v>
      </c>
      <c r="D4534" s="7" t="str">
        <f t="shared" si="1599"/>
        <v>学校</v>
      </c>
      <c r="E4534" s="7" t="str">
        <f t="shared" si="1628"/>
        <v>大阪府大阪市　港区波除２丁目</v>
      </c>
      <c r="F4534" s="7"/>
      <c r="G4534" s="7" t="str">
        <f t="shared" si="1611"/>
        <v>事業用資産</v>
      </c>
      <c r="H4534" s="7" t="str">
        <f t="shared" si="1605"/>
        <v>棚卸以外</v>
      </c>
      <c r="I4534" s="7">
        <v>30</v>
      </c>
      <c r="J4534" s="7" t="str">
        <f>"同窓会館"</f>
        <v>同窓会館</v>
      </c>
      <c r="K4534" s="7" t="str">
        <f>"鉄筋コンクリート造"</f>
        <v>鉄筋コンクリート造</v>
      </c>
      <c r="L4534" s="7" t="str">
        <f>"S57.03.31"</f>
        <v>S57.03.31</v>
      </c>
      <c r="M4534" s="7">
        <v>363.49</v>
      </c>
      <c r="N4534" s="7">
        <v>65012000</v>
      </c>
      <c r="O4534" s="7">
        <v>41092538</v>
      </c>
      <c r="P4534" s="7">
        <v>0</v>
      </c>
      <c r="Q4534" s="7" t="str">
        <f t="shared" si="1616"/>
        <v>教育庁</v>
      </c>
      <c r="R4534" s="7" t="str">
        <f t="shared" si="1629"/>
        <v>港高等学校</v>
      </c>
    </row>
    <row r="4535" spans="1:18" s="1" customFormat="1" ht="26.4" x14ac:dyDescent="0.45">
      <c r="A4535" s="7" t="str">
        <f t="shared" si="1626"/>
        <v>10345000000</v>
      </c>
      <c r="B4535" s="7" t="str">
        <f t="shared" si="1627"/>
        <v>港高等学校</v>
      </c>
      <c r="C4535" s="7" t="str">
        <f t="shared" si="1606"/>
        <v>行政財産</v>
      </c>
      <c r="D4535" s="7" t="str">
        <f t="shared" si="1599"/>
        <v>学校</v>
      </c>
      <c r="E4535" s="7" t="str">
        <f t="shared" si="1628"/>
        <v>大阪府大阪市　港区波除２丁目</v>
      </c>
      <c r="F4535" s="7"/>
      <c r="G4535" s="7" t="str">
        <f t="shared" si="1611"/>
        <v>事業用資産</v>
      </c>
      <c r="H4535" s="7" t="str">
        <f t="shared" si="1605"/>
        <v>棚卸以外</v>
      </c>
      <c r="I4535" s="7">
        <v>35</v>
      </c>
      <c r="J4535" s="7" t="str">
        <f>"体育館棟"</f>
        <v>体育館棟</v>
      </c>
      <c r="K4535" s="7" t="str">
        <f>"鉄骨鉄筋コンクリート造"</f>
        <v>鉄骨鉄筋コンクリート造</v>
      </c>
      <c r="L4535" s="7" t="str">
        <f>"S61.03.31"</f>
        <v>S61.03.31</v>
      </c>
      <c r="M4535" s="7">
        <v>2690.9</v>
      </c>
      <c r="N4535" s="7">
        <v>624096506</v>
      </c>
      <c r="O4535" s="7">
        <v>451184388</v>
      </c>
      <c r="P4535" s="7">
        <v>0</v>
      </c>
      <c r="Q4535" s="7" t="str">
        <f t="shared" si="1616"/>
        <v>教育庁</v>
      </c>
      <c r="R4535" s="7" t="str">
        <f t="shared" si="1629"/>
        <v>港高等学校</v>
      </c>
    </row>
    <row r="4536" spans="1:18" s="1" customFormat="1" ht="26.4" x14ac:dyDescent="0.45">
      <c r="A4536" s="7" t="str">
        <f t="shared" si="1626"/>
        <v>10345000000</v>
      </c>
      <c r="B4536" s="7" t="str">
        <f t="shared" si="1627"/>
        <v>港高等学校</v>
      </c>
      <c r="C4536" s="7" t="str">
        <f t="shared" si="1606"/>
        <v>行政財産</v>
      </c>
      <c r="D4536" s="7" t="str">
        <f t="shared" si="1599"/>
        <v>学校</v>
      </c>
      <c r="E4536" s="7" t="str">
        <f t="shared" si="1628"/>
        <v>大阪府大阪市　港区波除２丁目</v>
      </c>
      <c r="F4536" s="7"/>
      <c r="G4536" s="7" t="str">
        <f t="shared" si="1611"/>
        <v>事業用資産</v>
      </c>
      <c r="H4536" s="7" t="str">
        <f t="shared" si="1605"/>
        <v>棚卸以外</v>
      </c>
      <c r="I4536" s="7">
        <v>36</v>
      </c>
      <c r="J4536" s="7" t="str">
        <f>"校舎棟"</f>
        <v>校舎棟</v>
      </c>
      <c r="K4536" s="7" t="str">
        <f>"鉄骨鉄筋コンクリート造"</f>
        <v>鉄骨鉄筋コンクリート造</v>
      </c>
      <c r="L4536" s="7" t="str">
        <f>"S61.12.25"</f>
        <v>S61.12.25</v>
      </c>
      <c r="M4536" s="7">
        <v>10112.39</v>
      </c>
      <c r="N4536" s="7">
        <v>1777003151</v>
      </c>
      <c r="O4536" s="7">
        <v>1253272344</v>
      </c>
      <c r="P4536" s="7">
        <v>0</v>
      </c>
      <c r="Q4536" s="7" t="str">
        <f t="shared" si="1616"/>
        <v>教育庁</v>
      </c>
      <c r="R4536" s="7" t="str">
        <f t="shared" si="1629"/>
        <v>港高等学校</v>
      </c>
    </row>
    <row r="4537" spans="1:18" s="1" customFormat="1" ht="26.4" x14ac:dyDescent="0.45">
      <c r="A4537" s="7" t="str">
        <f t="shared" si="1626"/>
        <v>10345000000</v>
      </c>
      <c r="B4537" s="7" t="str">
        <f t="shared" si="1627"/>
        <v>港高等学校</v>
      </c>
      <c r="C4537" s="7" t="str">
        <f t="shared" si="1606"/>
        <v>行政財産</v>
      </c>
      <c r="D4537" s="7" t="str">
        <f t="shared" ref="D4537:D4600" si="1630">"学校"</f>
        <v>学校</v>
      </c>
      <c r="E4537" s="7" t="str">
        <f t="shared" si="1628"/>
        <v>大阪府大阪市　港区波除２丁目</v>
      </c>
      <c r="F4537" s="7"/>
      <c r="G4537" s="7" t="str">
        <f t="shared" si="1611"/>
        <v>事業用資産</v>
      </c>
      <c r="H4537" s="7" t="str">
        <f t="shared" si="1605"/>
        <v>棚卸以外</v>
      </c>
      <c r="I4537" s="7">
        <v>37</v>
      </c>
      <c r="J4537" s="7" t="str">
        <f>"渡り廊下棟"</f>
        <v>渡り廊下棟</v>
      </c>
      <c r="K4537" s="7" t="str">
        <f>"鉄骨鉄筋コンクリート造"</f>
        <v>鉄骨鉄筋コンクリート造</v>
      </c>
      <c r="L4537" s="7" t="str">
        <f>"S63.03.31"</f>
        <v>S63.03.31</v>
      </c>
      <c r="M4537" s="7">
        <v>344.61</v>
      </c>
      <c r="N4537" s="7">
        <v>71373000</v>
      </c>
      <c r="O4537" s="7">
        <v>59658720</v>
      </c>
      <c r="P4537" s="7">
        <v>0</v>
      </c>
      <c r="Q4537" s="7" t="str">
        <f t="shared" si="1616"/>
        <v>教育庁</v>
      </c>
      <c r="R4537" s="7" t="str">
        <f t="shared" si="1629"/>
        <v>港高等学校</v>
      </c>
    </row>
    <row r="4538" spans="1:18" s="1" customFormat="1" x14ac:dyDescent="0.45">
      <c r="A4538" s="7" t="str">
        <f t="shared" si="1626"/>
        <v>10345000000</v>
      </c>
      <c r="B4538" s="7" t="str">
        <f t="shared" si="1627"/>
        <v>港高等学校</v>
      </c>
      <c r="C4538" s="7" t="str">
        <f t="shared" si="1606"/>
        <v>行政財産</v>
      </c>
      <c r="D4538" s="7" t="str">
        <f t="shared" si="1630"/>
        <v>学校</v>
      </c>
      <c r="E4538" s="7" t="str">
        <f t="shared" si="1628"/>
        <v>大阪府大阪市　港区波除２丁目</v>
      </c>
      <c r="F4538" s="7"/>
      <c r="G4538" s="7" t="str">
        <f t="shared" si="1611"/>
        <v>事業用資産</v>
      </c>
      <c r="H4538" s="7" t="str">
        <f t="shared" si="1605"/>
        <v>棚卸以外</v>
      </c>
      <c r="I4538" s="7">
        <v>38</v>
      </c>
      <c r="J4538" s="7" t="str">
        <f>"倉庫"</f>
        <v>倉庫</v>
      </c>
      <c r="K4538" s="7" t="str">
        <f>"鉄骨造"</f>
        <v>鉄骨造</v>
      </c>
      <c r="L4538" s="7" t="str">
        <f>"S63.12.26"</f>
        <v>S63.12.26</v>
      </c>
      <c r="M4538" s="7">
        <v>200</v>
      </c>
      <c r="N4538" s="7">
        <v>20013000</v>
      </c>
      <c r="O4538" s="7">
        <v>20012999</v>
      </c>
      <c r="P4538" s="7">
        <v>0</v>
      </c>
      <c r="Q4538" s="7" t="str">
        <f t="shared" si="1616"/>
        <v>教育庁</v>
      </c>
      <c r="R4538" s="7" t="str">
        <f t="shared" si="1629"/>
        <v>港高等学校</v>
      </c>
    </row>
    <row r="4539" spans="1:18" s="1" customFormat="1" x14ac:dyDescent="0.45">
      <c r="A4539" s="7" t="str">
        <f t="shared" si="1626"/>
        <v>10345000000</v>
      </c>
      <c r="B4539" s="7" t="str">
        <f t="shared" si="1627"/>
        <v>港高等学校</v>
      </c>
      <c r="C4539" s="7" t="str">
        <f t="shared" si="1606"/>
        <v>行政財産</v>
      </c>
      <c r="D4539" s="7" t="str">
        <f t="shared" si="1630"/>
        <v>学校</v>
      </c>
      <c r="E4539" s="7" t="str">
        <f t="shared" si="1628"/>
        <v>大阪府大阪市　港区波除２丁目</v>
      </c>
      <c r="F4539" s="7"/>
      <c r="G4539" s="7" t="str">
        <f t="shared" si="1611"/>
        <v>事業用資産</v>
      </c>
      <c r="H4539" s="7" t="str">
        <f t="shared" si="1605"/>
        <v>棚卸以外</v>
      </c>
      <c r="I4539" s="7">
        <v>39</v>
      </c>
      <c r="J4539" s="7" t="str">
        <f>"石灰庫"</f>
        <v>石灰庫</v>
      </c>
      <c r="K4539" s="7" t="str">
        <f>"コンクリートブロック造"</f>
        <v>コンクリートブロック造</v>
      </c>
      <c r="L4539" s="7" t="str">
        <f>"S63.12.26"</f>
        <v>S63.12.26</v>
      </c>
      <c r="M4539" s="7">
        <v>9.9700000000000006</v>
      </c>
      <c r="N4539" s="7">
        <v>570000</v>
      </c>
      <c r="O4539" s="7">
        <v>569999</v>
      </c>
      <c r="P4539" s="7">
        <v>0</v>
      </c>
      <c r="Q4539" s="7" t="str">
        <f t="shared" si="1616"/>
        <v>教育庁</v>
      </c>
      <c r="R4539" s="7" t="str">
        <f t="shared" si="1629"/>
        <v>港高等学校</v>
      </c>
    </row>
    <row r="4540" spans="1:18" s="1" customFormat="1" x14ac:dyDescent="0.45">
      <c r="A4540" s="7" t="str">
        <f t="shared" si="1626"/>
        <v>10345000000</v>
      </c>
      <c r="B4540" s="7" t="str">
        <f t="shared" si="1627"/>
        <v>港高等学校</v>
      </c>
      <c r="C4540" s="7" t="str">
        <f t="shared" si="1606"/>
        <v>行政財産</v>
      </c>
      <c r="D4540" s="7" t="str">
        <f t="shared" si="1630"/>
        <v>学校</v>
      </c>
      <c r="E4540" s="7" t="str">
        <f t="shared" si="1628"/>
        <v>大阪府大阪市　港区波除２丁目</v>
      </c>
      <c r="F4540" s="7"/>
      <c r="G4540" s="7" t="str">
        <f t="shared" si="1611"/>
        <v>事業用資産</v>
      </c>
      <c r="H4540" s="7" t="str">
        <f t="shared" si="1605"/>
        <v>棚卸以外</v>
      </c>
      <c r="I4540" s="7">
        <v>40</v>
      </c>
      <c r="J4540" s="7" t="str">
        <f>"ゴミ置場"</f>
        <v>ゴミ置場</v>
      </c>
      <c r="K4540" s="7" t="str">
        <f>"鉄筋コンクリート造"</f>
        <v>鉄筋コンクリート造</v>
      </c>
      <c r="L4540" s="7" t="str">
        <f>"S63.12.26"</f>
        <v>S63.12.26</v>
      </c>
      <c r="M4540" s="7">
        <v>17</v>
      </c>
      <c r="N4540" s="7">
        <v>4083000</v>
      </c>
      <c r="O4540" s="7">
        <v>3680094</v>
      </c>
      <c r="P4540" s="7">
        <v>0</v>
      </c>
      <c r="Q4540" s="7" t="str">
        <f t="shared" si="1616"/>
        <v>教育庁</v>
      </c>
      <c r="R4540" s="7" t="str">
        <f t="shared" si="1629"/>
        <v>港高等学校</v>
      </c>
    </row>
    <row r="4541" spans="1:18" s="1" customFormat="1" x14ac:dyDescent="0.45">
      <c r="A4541" s="7" t="str">
        <f t="shared" si="1626"/>
        <v>10345000000</v>
      </c>
      <c r="B4541" s="7" t="str">
        <f t="shared" si="1627"/>
        <v>港高等学校</v>
      </c>
      <c r="C4541" s="7" t="str">
        <f t="shared" si="1606"/>
        <v>行政財産</v>
      </c>
      <c r="D4541" s="7" t="str">
        <f t="shared" si="1630"/>
        <v>学校</v>
      </c>
      <c r="E4541" s="7" t="str">
        <f t="shared" si="1628"/>
        <v>大阪府大阪市　港区波除２丁目</v>
      </c>
      <c r="F4541" s="7"/>
      <c r="G4541" s="7" t="str">
        <f t="shared" si="1611"/>
        <v>事業用資産</v>
      </c>
      <c r="H4541" s="7" t="str">
        <f t="shared" si="1605"/>
        <v>棚卸以外</v>
      </c>
      <c r="I4541" s="7">
        <v>41</v>
      </c>
      <c r="J4541" s="7" t="str">
        <f>"港高校１００周年　記念セミナーハウス"</f>
        <v>港高校１００周年　記念セミナーハウス</v>
      </c>
      <c r="K4541" s="7" t="str">
        <f>"軽量鉄骨造"</f>
        <v>軽量鉄骨造</v>
      </c>
      <c r="L4541" s="7" t="str">
        <f>"H24.02.02"</f>
        <v>H24.02.02</v>
      </c>
      <c r="M4541" s="7">
        <v>163.56</v>
      </c>
      <c r="N4541" s="7">
        <v>15775820</v>
      </c>
      <c r="O4541" s="7">
        <v>6475903</v>
      </c>
      <c r="P4541" s="7">
        <v>0</v>
      </c>
      <c r="Q4541" s="7" t="str">
        <f t="shared" si="1616"/>
        <v>教育庁</v>
      </c>
      <c r="R4541" s="7" t="str">
        <f t="shared" si="1629"/>
        <v>港高等学校</v>
      </c>
    </row>
    <row r="4542" spans="1:18" s="1" customFormat="1" x14ac:dyDescent="0.45">
      <c r="A4542" s="7" t="str">
        <f t="shared" ref="A4542:A4548" si="1631">"10346000000"</f>
        <v>10346000000</v>
      </c>
      <c r="B4542" s="7" t="str">
        <f t="shared" ref="B4542:B4548" si="1632">"市岡高等学校"</f>
        <v>市岡高等学校</v>
      </c>
      <c r="C4542" s="7" t="str">
        <f t="shared" si="1606"/>
        <v>行政財産</v>
      </c>
      <c r="D4542" s="7" t="str">
        <f t="shared" si="1630"/>
        <v>学校</v>
      </c>
      <c r="E4542" s="7" t="str">
        <f t="shared" ref="E4542:E4548" si="1633">"大阪府大阪市　港区市岡元町２丁目"</f>
        <v>大阪府大阪市　港区市岡元町２丁目</v>
      </c>
      <c r="F4542" s="7"/>
      <c r="G4542" s="7" t="str">
        <f t="shared" si="1611"/>
        <v>事業用資産</v>
      </c>
      <c r="H4542" s="7" t="str">
        <f t="shared" si="1605"/>
        <v>棚卸以外</v>
      </c>
      <c r="I4542" s="7">
        <v>40</v>
      </c>
      <c r="J4542" s="7" t="str">
        <f>"本館"</f>
        <v>本館</v>
      </c>
      <c r="K4542" s="7" t="str">
        <f>"鉄筋コンクリート造"</f>
        <v>鉄筋コンクリート造</v>
      </c>
      <c r="L4542" s="7" t="str">
        <f>"S55.03.31"</f>
        <v>S55.03.31</v>
      </c>
      <c r="M4542" s="7">
        <v>12280.42</v>
      </c>
      <c r="N4542" s="7">
        <v>1904330185</v>
      </c>
      <c r="O4542" s="7">
        <v>1624606792</v>
      </c>
      <c r="P4542" s="7">
        <v>0</v>
      </c>
      <c r="Q4542" s="7" t="str">
        <f t="shared" si="1616"/>
        <v>教育庁</v>
      </c>
      <c r="R4542" s="7" t="str">
        <f t="shared" ref="R4542:R4548" si="1634">"市岡高等学校"</f>
        <v>市岡高等学校</v>
      </c>
    </row>
    <row r="4543" spans="1:18" s="1" customFormat="1" x14ac:dyDescent="0.45">
      <c r="A4543" s="7" t="str">
        <f t="shared" si="1631"/>
        <v>10346000000</v>
      </c>
      <c r="B4543" s="7" t="str">
        <f t="shared" si="1632"/>
        <v>市岡高等学校</v>
      </c>
      <c r="C4543" s="7" t="str">
        <f t="shared" si="1606"/>
        <v>行政財産</v>
      </c>
      <c r="D4543" s="7" t="str">
        <f t="shared" si="1630"/>
        <v>学校</v>
      </c>
      <c r="E4543" s="7" t="str">
        <f t="shared" si="1633"/>
        <v>大阪府大阪市　港区市岡元町２丁目</v>
      </c>
      <c r="F4543" s="7"/>
      <c r="G4543" s="7" t="str">
        <f t="shared" si="1611"/>
        <v>事業用資産</v>
      </c>
      <c r="H4543" s="7" t="str">
        <f t="shared" si="1605"/>
        <v>棚卸以外</v>
      </c>
      <c r="I4543" s="7">
        <v>42</v>
      </c>
      <c r="J4543" s="7" t="str">
        <f>"体育館"</f>
        <v>体育館</v>
      </c>
      <c r="K4543" s="7" t="str">
        <f>"鉄筋コンクリート造"</f>
        <v>鉄筋コンクリート造</v>
      </c>
      <c r="L4543" s="7" t="str">
        <f>"S56.10.30"</f>
        <v>S56.10.30</v>
      </c>
      <c r="M4543" s="7">
        <v>3033.89</v>
      </c>
      <c r="N4543" s="7">
        <v>558726725</v>
      </c>
      <c r="O4543" s="7">
        <v>431686024</v>
      </c>
      <c r="P4543" s="7">
        <v>0</v>
      </c>
      <c r="Q4543" s="7" t="str">
        <f t="shared" si="1616"/>
        <v>教育庁</v>
      </c>
      <c r="R4543" s="7" t="str">
        <f t="shared" si="1634"/>
        <v>市岡高等学校</v>
      </c>
    </row>
    <row r="4544" spans="1:18" s="1" customFormat="1" x14ac:dyDescent="0.45">
      <c r="A4544" s="7" t="str">
        <f t="shared" si="1631"/>
        <v>10346000000</v>
      </c>
      <c r="B4544" s="7" t="str">
        <f t="shared" si="1632"/>
        <v>市岡高等学校</v>
      </c>
      <c r="C4544" s="7" t="str">
        <f t="shared" si="1606"/>
        <v>行政財産</v>
      </c>
      <c r="D4544" s="7" t="str">
        <f t="shared" si="1630"/>
        <v>学校</v>
      </c>
      <c r="E4544" s="7" t="str">
        <f t="shared" si="1633"/>
        <v>大阪府大阪市　港区市岡元町２丁目</v>
      </c>
      <c r="F4544" s="7"/>
      <c r="G4544" s="7" t="str">
        <f t="shared" si="1611"/>
        <v>事業用資産</v>
      </c>
      <c r="H4544" s="7" t="str">
        <f t="shared" si="1605"/>
        <v>棚卸以外</v>
      </c>
      <c r="I4544" s="7">
        <v>44</v>
      </c>
      <c r="J4544" s="7" t="str">
        <f>"倉庫"</f>
        <v>倉庫</v>
      </c>
      <c r="K4544" s="7" t="str">
        <f>"軽量鉄骨造"</f>
        <v>軽量鉄骨造</v>
      </c>
      <c r="L4544" s="7" t="str">
        <f>"S60.12.17"</f>
        <v>S60.12.17</v>
      </c>
      <c r="M4544" s="7">
        <v>9.9</v>
      </c>
      <c r="N4544" s="7">
        <v>513000</v>
      </c>
      <c r="O4544" s="7">
        <v>512999</v>
      </c>
      <c r="P4544" s="7">
        <v>0</v>
      </c>
      <c r="Q4544" s="7" t="str">
        <f t="shared" si="1616"/>
        <v>教育庁</v>
      </c>
      <c r="R4544" s="7" t="str">
        <f t="shared" si="1634"/>
        <v>市岡高等学校</v>
      </c>
    </row>
    <row r="4545" spans="1:18" s="1" customFormat="1" x14ac:dyDescent="0.45">
      <c r="A4545" s="7" t="str">
        <f t="shared" si="1631"/>
        <v>10346000000</v>
      </c>
      <c r="B4545" s="7" t="str">
        <f t="shared" si="1632"/>
        <v>市岡高等学校</v>
      </c>
      <c r="C4545" s="7" t="str">
        <f t="shared" si="1606"/>
        <v>行政財産</v>
      </c>
      <c r="D4545" s="7" t="str">
        <f t="shared" si="1630"/>
        <v>学校</v>
      </c>
      <c r="E4545" s="7" t="str">
        <f t="shared" si="1633"/>
        <v>大阪府大阪市　港区市岡元町２丁目</v>
      </c>
      <c r="F4545" s="7"/>
      <c r="G4545" s="7" t="str">
        <f t="shared" si="1611"/>
        <v>事業用資産</v>
      </c>
      <c r="H4545" s="7" t="str">
        <f t="shared" si="1605"/>
        <v>棚卸以外</v>
      </c>
      <c r="I4545" s="7">
        <v>45</v>
      </c>
      <c r="J4545" s="7" t="str">
        <f>"倉庫棟１"</f>
        <v>倉庫棟１</v>
      </c>
      <c r="K4545" s="7" t="str">
        <f>"鉄筋コンクリート造"</f>
        <v>鉄筋コンクリート造</v>
      </c>
      <c r="L4545" s="7" t="str">
        <f>"S61.06.13"</f>
        <v>S61.06.13</v>
      </c>
      <c r="M4545" s="7">
        <v>251</v>
      </c>
      <c r="N4545" s="7">
        <v>22991000</v>
      </c>
      <c r="O4545" s="7">
        <v>22234779</v>
      </c>
      <c r="P4545" s="7">
        <v>0</v>
      </c>
      <c r="Q4545" s="7" t="str">
        <f t="shared" si="1616"/>
        <v>教育庁</v>
      </c>
      <c r="R4545" s="7" t="str">
        <f t="shared" si="1634"/>
        <v>市岡高等学校</v>
      </c>
    </row>
    <row r="4546" spans="1:18" s="1" customFormat="1" x14ac:dyDescent="0.45">
      <c r="A4546" s="7" t="str">
        <f t="shared" si="1631"/>
        <v>10346000000</v>
      </c>
      <c r="B4546" s="7" t="str">
        <f t="shared" si="1632"/>
        <v>市岡高等学校</v>
      </c>
      <c r="C4546" s="7" t="str">
        <f t="shared" si="1606"/>
        <v>行政財産</v>
      </c>
      <c r="D4546" s="7" t="str">
        <f t="shared" si="1630"/>
        <v>学校</v>
      </c>
      <c r="E4546" s="7" t="str">
        <f t="shared" si="1633"/>
        <v>大阪府大阪市　港区市岡元町２丁目</v>
      </c>
      <c r="F4546" s="7"/>
      <c r="G4546" s="7" t="str">
        <f t="shared" si="1611"/>
        <v>事業用資産</v>
      </c>
      <c r="H4546" s="7" t="str">
        <f t="shared" si="1605"/>
        <v>棚卸以外</v>
      </c>
      <c r="I4546" s="7">
        <v>46</v>
      </c>
      <c r="J4546" s="7" t="str">
        <f>"プール付属棟"</f>
        <v>プール付属棟</v>
      </c>
      <c r="K4546" s="7" t="str">
        <f>"鉄筋コンクリート造"</f>
        <v>鉄筋コンクリート造</v>
      </c>
      <c r="L4546" s="7" t="str">
        <f>"S61.06.13"</f>
        <v>S61.06.13</v>
      </c>
      <c r="M4546" s="7">
        <v>138</v>
      </c>
      <c r="N4546" s="7">
        <v>44114628</v>
      </c>
      <c r="O4546" s="7">
        <v>16638574</v>
      </c>
      <c r="P4546" s="7">
        <v>0</v>
      </c>
      <c r="Q4546" s="7" t="str">
        <f t="shared" si="1616"/>
        <v>教育庁</v>
      </c>
      <c r="R4546" s="7" t="str">
        <f t="shared" si="1634"/>
        <v>市岡高等学校</v>
      </c>
    </row>
    <row r="4547" spans="1:18" s="1" customFormat="1" x14ac:dyDescent="0.45">
      <c r="A4547" s="7" t="str">
        <f t="shared" si="1631"/>
        <v>10346000000</v>
      </c>
      <c r="B4547" s="7" t="str">
        <f t="shared" si="1632"/>
        <v>市岡高等学校</v>
      </c>
      <c r="C4547" s="7" t="str">
        <f t="shared" si="1606"/>
        <v>行政財産</v>
      </c>
      <c r="D4547" s="7" t="str">
        <f t="shared" si="1630"/>
        <v>学校</v>
      </c>
      <c r="E4547" s="7" t="str">
        <f t="shared" si="1633"/>
        <v>大阪府大阪市　港区市岡元町２丁目</v>
      </c>
      <c r="F4547" s="7"/>
      <c r="G4547" s="7" t="str">
        <f t="shared" si="1611"/>
        <v>事業用資産</v>
      </c>
      <c r="H4547" s="7" t="str">
        <f t="shared" si="1605"/>
        <v>棚卸以外</v>
      </c>
      <c r="I4547" s="7">
        <v>47</v>
      </c>
      <c r="J4547" s="7" t="str">
        <f>"倉庫棟２"</f>
        <v>倉庫棟２</v>
      </c>
      <c r="K4547" s="7" t="str">
        <f>"鉄骨造"</f>
        <v>鉄骨造</v>
      </c>
      <c r="L4547" s="7" t="str">
        <f>"S61.06.13"</f>
        <v>S61.06.13</v>
      </c>
      <c r="M4547" s="7">
        <v>98.7</v>
      </c>
      <c r="N4547" s="7">
        <v>7366000</v>
      </c>
      <c r="O4547" s="7">
        <v>7365999</v>
      </c>
      <c r="P4547" s="7">
        <v>0</v>
      </c>
      <c r="Q4547" s="7" t="str">
        <f t="shared" si="1616"/>
        <v>教育庁</v>
      </c>
      <c r="R4547" s="7" t="str">
        <f t="shared" si="1634"/>
        <v>市岡高等学校</v>
      </c>
    </row>
    <row r="4548" spans="1:18" s="1" customFormat="1" x14ac:dyDescent="0.45">
      <c r="A4548" s="7" t="str">
        <f t="shared" si="1631"/>
        <v>10346000000</v>
      </c>
      <c r="B4548" s="7" t="str">
        <f t="shared" si="1632"/>
        <v>市岡高等学校</v>
      </c>
      <c r="C4548" s="7" t="str">
        <f t="shared" si="1606"/>
        <v>行政財産</v>
      </c>
      <c r="D4548" s="7" t="str">
        <f t="shared" si="1630"/>
        <v>学校</v>
      </c>
      <c r="E4548" s="7" t="str">
        <f t="shared" si="1633"/>
        <v>大阪府大阪市　港区市岡元町２丁目</v>
      </c>
      <c r="F4548" s="7"/>
      <c r="G4548" s="7" t="str">
        <f t="shared" si="1611"/>
        <v>事業用資産</v>
      </c>
      <c r="H4548" s="7" t="str">
        <f t="shared" ref="H4548:H4611" si="1635">"棚卸以外"</f>
        <v>棚卸以外</v>
      </c>
      <c r="I4548" s="7">
        <v>49</v>
      </c>
      <c r="J4548" s="7" t="str">
        <f>"記念会館"</f>
        <v>記念会館</v>
      </c>
      <c r="K4548" s="7" t="str">
        <f>"鉄骨造"</f>
        <v>鉄骨造</v>
      </c>
      <c r="L4548" s="7" t="str">
        <f>"H15.04.01"</f>
        <v>H15.04.01</v>
      </c>
      <c r="M4548" s="7">
        <v>363.04</v>
      </c>
      <c r="N4548" s="7">
        <v>73815000</v>
      </c>
      <c r="O4548" s="7">
        <v>38688125</v>
      </c>
      <c r="P4548" s="7">
        <v>0</v>
      </c>
      <c r="Q4548" s="7" t="str">
        <f t="shared" si="1616"/>
        <v>教育庁</v>
      </c>
      <c r="R4548" s="7" t="str">
        <f t="shared" si="1634"/>
        <v>市岡高等学校</v>
      </c>
    </row>
    <row r="4549" spans="1:18" s="1" customFormat="1" x14ac:dyDescent="0.45">
      <c r="A4549" s="7" t="str">
        <f t="shared" ref="A4549:A4556" si="1636">"10349000000"</f>
        <v>10349000000</v>
      </c>
      <c r="B4549" s="7" t="str">
        <f t="shared" ref="B4549:B4556" si="1637">"今宮高等学校"</f>
        <v>今宮高等学校</v>
      </c>
      <c r="C4549" s="7" t="str">
        <f t="shared" si="1606"/>
        <v>行政財産</v>
      </c>
      <c r="D4549" s="7" t="str">
        <f t="shared" si="1630"/>
        <v>学校</v>
      </c>
      <c r="E4549" s="7" t="str">
        <f t="shared" ref="E4549:E4556" si="1638">"大阪府大阪市　浪速区戎本町２丁目"</f>
        <v>大阪府大阪市　浪速区戎本町２丁目</v>
      </c>
      <c r="F4549" s="7"/>
      <c r="G4549" s="7" t="str">
        <f t="shared" si="1611"/>
        <v>事業用資産</v>
      </c>
      <c r="H4549" s="7" t="str">
        <f t="shared" si="1635"/>
        <v>棚卸以外</v>
      </c>
      <c r="I4549" s="7">
        <v>9</v>
      </c>
      <c r="J4549" s="7" t="str">
        <f>"同窓会館"</f>
        <v>同窓会館</v>
      </c>
      <c r="K4549" s="7" t="str">
        <f t="shared" ref="K4549:K4554" si="1639">"鉄筋コンクリート造"</f>
        <v>鉄筋コンクリート造</v>
      </c>
      <c r="L4549" s="7" t="str">
        <f>"S31.12.20"</f>
        <v>S31.12.20</v>
      </c>
      <c r="M4549" s="7">
        <v>441.98</v>
      </c>
      <c r="N4549" s="7">
        <v>32832196</v>
      </c>
      <c r="O4549" s="7">
        <v>20751316</v>
      </c>
      <c r="P4549" s="7">
        <v>0</v>
      </c>
      <c r="Q4549" s="7" t="str">
        <f t="shared" si="1616"/>
        <v>教育庁</v>
      </c>
      <c r="R4549" s="7" t="str">
        <f t="shared" ref="R4549:R4556" si="1640">"今宮高等学校"</f>
        <v>今宮高等学校</v>
      </c>
    </row>
    <row r="4550" spans="1:18" s="1" customFormat="1" x14ac:dyDescent="0.45">
      <c r="A4550" s="7" t="str">
        <f t="shared" si="1636"/>
        <v>10349000000</v>
      </c>
      <c r="B4550" s="7" t="str">
        <f t="shared" si="1637"/>
        <v>今宮高等学校</v>
      </c>
      <c r="C4550" s="7" t="str">
        <f t="shared" si="1606"/>
        <v>行政財産</v>
      </c>
      <c r="D4550" s="7" t="str">
        <f t="shared" si="1630"/>
        <v>学校</v>
      </c>
      <c r="E4550" s="7" t="str">
        <f t="shared" si="1638"/>
        <v>大阪府大阪市　浪速区戎本町２丁目</v>
      </c>
      <c r="F4550" s="7"/>
      <c r="G4550" s="7" t="str">
        <f t="shared" si="1611"/>
        <v>事業用資産</v>
      </c>
      <c r="H4550" s="7" t="str">
        <f t="shared" si="1635"/>
        <v>棚卸以外</v>
      </c>
      <c r="I4550" s="7">
        <v>31</v>
      </c>
      <c r="J4550" s="7" t="str">
        <f>"体育館"</f>
        <v>体育館</v>
      </c>
      <c r="K4550" s="7" t="str">
        <f t="shared" si="1639"/>
        <v>鉄筋コンクリート造</v>
      </c>
      <c r="L4550" s="7" t="str">
        <f>"S51.08.31"</f>
        <v>S51.08.31</v>
      </c>
      <c r="M4550" s="7">
        <v>3053.64</v>
      </c>
      <c r="N4550" s="7">
        <v>390214874</v>
      </c>
      <c r="O4550" s="7">
        <v>313460042</v>
      </c>
      <c r="P4550" s="7">
        <v>0</v>
      </c>
      <c r="Q4550" s="7" t="str">
        <f t="shared" si="1616"/>
        <v>教育庁</v>
      </c>
      <c r="R4550" s="7" t="str">
        <f t="shared" si="1640"/>
        <v>今宮高等学校</v>
      </c>
    </row>
    <row r="4551" spans="1:18" s="1" customFormat="1" x14ac:dyDescent="0.45">
      <c r="A4551" s="7" t="str">
        <f t="shared" si="1636"/>
        <v>10349000000</v>
      </c>
      <c r="B4551" s="7" t="str">
        <f t="shared" si="1637"/>
        <v>今宮高等学校</v>
      </c>
      <c r="C4551" s="7" t="str">
        <f t="shared" si="1606"/>
        <v>行政財産</v>
      </c>
      <c r="D4551" s="7" t="str">
        <f t="shared" si="1630"/>
        <v>学校</v>
      </c>
      <c r="E4551" s="7" t="str">
        <f t="shared" si="1638"/>
        <v>大阪府大阪市　浪速区戎本町２丁目</v>
      </c>
      <c r="F4551" s="7"/>
      <c r="G4551" s="7" t="str">
        <f t="shared" si="1611"/>
        <v>事業用資産</v>
      </c>
      <c r="H4551" s="7" t="str">
        <f t="shared" si="1635"/>
        <v>棚卸以外</v>
      </c>
      <c r="I4551" s="7">
        <v>39</v>
      </c>
      <c r="J4551" s="7" t="str">
        <f>"芸術棟"</f>
        <v>芸術棟</v>
      </c>
      <c r="K4551" s="7" t="str">
        <f t="shared" si="1639"/>
        <v>鉄筋コンクリート造</v>
      </c>
      <c r="L4551" s="7" t="str">
        <f>"S57.09.13"</f>
        <v>S57.09.13</v>
      </c>
      <c r="M4551" s="7">
        <v>1063.5</v>
      </c>
      <c r="N4551" s="7">
        <v>200684929</v>
      </c>
      <c r="O4551" s="7">
        <v>149314180</v>
      </c>
      <c r="P4551" s="7">
        <v>0</v>
      </c>
      <c r="Q4551" s="7" t="str">
        <f t="shared" si="1616"/>
        <v>教育庁</v>
      </c>
      <c r="R4551" s="7" t="str">
        <f t="shared" si="1640"/>
        <v>今宮高等学校</v>
      </c>
    </row>
    <row r="4552" spans="1:18" s="1" customFormat="1" x14ac:dyDescent="0.45">
      <c r="A4552" s="7" t="str">
        <f t="shared" si="1636"/>
        <v>10349000000</v>
      </c>
      <c r="B4552" s="7" t="str">
        <f t="shared" si="1637"/>
        <v>今宮高等学校</v>
      </c>
      <c r="C4552" s="7" t="str">
        <f t="shared" si="1606"/>
        <v>行政財産</v>
      </c>
      <c r="D4552" s="7" t="str">
        <f t="shared" si="1630"/>
        <v>学校</v>
      </c>
      <c r="E4552" s="7" t="str">
        <f t="shared" si="1638"/>
        <v>大阪府大阪市　浪速区戎本町２丁目</v>
      </c>
      <c r="F4552" s="7"/>
      <c r="G4552" s="7" t="str">
        <f t="shared" si="1611"/>
        <v>事業用資産</v>
      </c>
      <c r="H4552" s="7" t="str">
        <f t="shared" si="1635"/>
        <v>棚卸以外</v>
      </c>
      <c r="I4552" s="7">
        <v>41</v>
      </c>
      <c r="J4552" s="7" t="str">
        <f>"管理・普通教室棟"</f>
        <v>管理・普通教室棟</v>
      </c>
      <c r="K4552" s="7" t="str">
        <f t="shared" si="1639"/>
        <v>鉄筋コンクリート造</v>
      </c>
      <c r="L4552" s="7" t="str">
        <f>"H07.02.28"</f>
        <v>H07.02.28</v>
      </c>
      <c r="M4552" s="7">
        <v>8025.04</v>
      </c>
      <c r="N4552" s="7">
        <v>1964601027</v>
      </c>
      <c r="O4552" s="7">
        <v>1121011438</v>
      </c>
      <c r="P4552" s="7">
        <v>0</v>
      </c>
      <c r="Q4552" s="7" t="str">
        <f t="shared" si="1616"/>
        <v>教育庁</v>
      </c>
      <c r="R4552" s="7" t="str">
        <f t="shared" si="1640"/>
        <v>今宮高等学校</v>
      </c>
    </row>
    <row r="4553" spans="1:18" s="1" customFormat="1" x14ac:dyDescent="0.45">
      <c r="A4553" s="7" t="str">
        <f t="shared" si="1636"/>
        <v>10349000000</v>
      </c>
      <c r="B4553" s="7" t="str">
        <f t="shared" si="1637"/>
        <v>今宮高等学校</v>
      </c>
      <c r="C4553" s="7" t="str">
        <f t="shared" si="1606"/>
        <v>行政財産</v>
      </c>
      <c r="D4553" s="7" t="str">
        <f t="shared" si="1630"/>
        <v>学校</v>
      </c>
      <c r="E4553" s="7" t="str">
        <f t="shared" si="1638"/>
        <v>大阪府大阪市　浪速区戎本町２丁目</v>
      </c>
      <c r="F4553" s="7"/>
      <c r="G4553" s="7" t="str">
        <f t="shared" si="1611"/>
        <v>事業用資産</v>
      </c>
      <c r="H4553" s="7" t="str">
        <f t="shared" si="1635"/>
        <v>棚卸以外</v>
      </c>
      <c r="I4553" s="7">
        <v>42</v>
      </c>
      <c r="J4553" s="7" t="str">
        <f>"特別教室棟"</f>
        <v>特別教室棟</v>
      </c>
      <c r="K4553" s="7" t="str">
        <f t="shared" si="1639"/>
        <v>鉄筋コンクリート造</v>
      </c>
      <c r="L4553" s="7" t="str">
        <f>"H07.02.28"</f>
        <v>H07.02.28</v>
      </c>
      <c r="M4553" s="7">
        <v>1726.6</v>
      </c>
      <c r="N4553" s="7">
        <v>378834383</v>
      </c>
      <c r="O4553" s="7">
        <v>192091808</v>
      </c>
      <c r="P4553" s="7">
        <v>0</v>
      </c>
      <c r="Q4553" s="7" t="str">
        <f t="shared" si="1616"/>
        <v>教育庁</v>
      </c>
      <c r="R4553" s="7" t="str">
        <f t="shared" si="1640"/>
        <v>今宮高等学校</v>
      </c>
    </row>
    <row r="4554" spans="1:18" s="1" customFormat="1" x14ac:dyDescent="0.45">
      <c r="A4554" s="7" t="str">
        <f t="shared" si="1636"/>
        <v>10349000000</v>
      </c>
      <c r="B4554" s="7" t="str">
        <f t="shared" si="1637"/>
        <v>今宮高等学校</v>
      </c>
      <c r="C4554" s="7" t="str">
        <f t="shared" si="1606"/>
        <v>行政財産</v>
      </c>
      <c r="D4554" s="7" t="str">
        <f t="shared" si="1630"/>
        <v>学校</v>
      </c>
      <c r="E4554" s="7" t="str">
        <f t="shared" si="1638"/>
        <v>大阪府大阪市　浪速区戎本町２丁目</v>
      </c>
      <c r="F4554" s="7"/>
      <c r="G4554" s="7" t="str">
        <f t="shared" si="1611"/>
        <v>事業用資産</v>
      </c>
      <c r="H4554" s="7" t="str">
        <f t="shared" si="1635"/>
        <v>棚卸以外</v>
      </c>
      <c r="I4554" s="7">
        <v>43</v>
      </c>
      <c r="J4554" s="7" t="str">
        <f>"ゴミ置場"</f>
        <v>ゴミ置場</v>
      </c>
      <c r="K4554" s="7" t="str">
        <f t="shared" si="1639"/>
        <v>鉄筋コンクリート造</v>
      </c>
      <c r="L4554" s="7" t="str">
        <f>"H07.02.28"</f>
        <v>H07.02.28</v>
      </c>
      <c r="M4554" s="7">
        <v>16.2</v>
      </c>
      <c r="N4554" s="7">
        <v>5060000</v>
      </c>
      <c r="O4554" s="7">
        <v>3728592</v>
      </c>
      <c r="P4554" s="7">
        <v>0</v>
      </c>
      <c r="Q4554" s="7" t="str">
        <f t="shared" si="1616"/>
        <v>教育庁</v>
      </c>
      <c r="R4554" s="7" t="str">
        <f t="shared" si="1640"/>
        <v>今宮高等学校</v>
      </c>
    </row>
    <row r="4555" spans="1:18" s="1" customFormat="1" x14ac:dyDescent="0.45">
      <c r="A4555" s="7" t="str">
        <f t="shared" si="1636"/>
        <v>10349000000</v>
      </c>
      <c r="B4555" s="7" t="str">
        <f t="shared" si="1637"/>
        <v>今宮高等学校</v>
      </c>
      <c r="C4555" s="7" t="str">
        <f t="shared" si="1606"/>
        <v>行政財産</v>
      </c>
      <c r="D4555" s="7" t="str">
        <f t="shared" si="1630"/>
        <v>学校</v>
      </c>
      <c r="E4555" s="7" t="str">
        <f t="shared" si="1638"/>
        <v>大阪府大阪市　浪速区戎本町２丁目</v>
      </c>
      <c r="F4555" s="7"/>
      <c r="G4555" s="7" t="str">
        <f t="shared" si="1611"/>
        <v>事業用資産</v>
      </c>
      <c r="H4555" s="7" t="str">
        <f t="shared" si="1635"/>
        <v>棚卸以外</v>
      </c>
      <c r="I4555" s="7">
        <v>44</v>
      </c>
      <c r="J4555" s="7" t="str">
        <f>"倉庫棟"</f>
        <v>倉庫棟</v>
      </c>
      <c r="K4555" s="7" t="str">
        <f>"鉄骨造"</f>
        <v>鉄骨造</v>
      </c>
      <c r="L4555" s="7" t="str">
        <f>"H08.03.29"</f>
        <v>H08.03.29</v>
      </c>
      <c r="M4555" s="7">
        <v>289.04000000000002</v>
      </c>
      <c r="N4555" s="7">
        <v>53976000</v>
      </c>
      <c r="O4555" s="7">
        <v>47011428</v>
      </c>
      <c r="P4555" s="7">
        <v>0</v>
      </c>
      <c r="Q4555" s="7" t="str">
        <f t="shared" si="1616"/>
        <v>教育庁</v>
      </c>
      <c r="R4555" s="7" t="str">
        <f t="shared" si="1640"/>
        <v>今宮高等学校</v>
      </c>
    </row>
    <row r="4556" spans="1:18" s="1" customFormat="1" x14ac:dyDescent="0.45">
      <c r="A4556" s="7" t="str">
        <f t="shared" si="1636"/>
        <v>10349000000</v>
      </c>
      <c r="B4556" s="7" t="str">
        <f t="shared" si="1637"/>
        <v>今宮高等学校</v>
      </c>
      <c r="C4556" s="7" t="str">
        <f t="shared" si="1606"/>
        <v>行政財産</v>
      </c>
      <c r="D4556" s="7" t="str">
        <f t="shared" si="1630"/>
        <v>学校</v>
      </c>
      <c r="E4556" s="7" t="str">
        <f t="shared" si="1638"/>
        <v>大阪府大阪市　浪速区戎本町２丁目</v>
      </c>
      <c r="F4556" s="7"/>
      <c r="G4556" s="7" t="str">
        <f t="shared" si="1611"/>
        <v>事業用資産</v>
      </c>
      <c r="H4556" s="7" t="str">
        <f t="shared" si="1635"/>
        <v>棚卸以外</v>
      </c>
      <c r="I4556" s="7">
        <v>45</v>
      </c>
      <c r="J4556" s="7" t="str">
        <f>"新自彊会館"</f>
        <v>新自彊会館</v>
      </c>
      <c r="K4556" s="7" t="str">
        <f>"鉄骨造"</f>
        <v>鉄骨造</v>
      </c>
      <c r="L4556" s="7" t="str">
        <f>"H08.11.10"</f>
        <v>H08.11.10</v>
      </c>
      <c r="M4556" s="7">
        <v>202.33</v>
      </c>
      <c r="N4556" s="7">
        <v>60020000</v>
      </c>
      <c r="O4556" s="7">
        <v>41578113</v>
      </c>
      <c r="P4556" s="7">
        <v>0</v>
      </c>
      <c r="Q4556" s="7" t="str">
        <f t="shared" si="1616"/>
        <v>教育庁</v>
      </c>
      <c r="R4556" s="7" t="str">
        <f t="shared" si="1640"/>
        <v>今宮高等学校</v>
      </c>
    </row>
    <row r="4557" spans="1:18" s="1" customFormat="1" x14ac:dyDescent="0.45">
      <c r="A4557" s="7" t="str">
        <f t="shared" ref="A4557:A4572" si="1641">"10351000000"</f>
        <v>10351000000</v>
      </c>
      <c r="B4557" s="7" t="str">
        <f t="shared" ref="B4557:B4572" si="1642">"西成高等学校"</f>
        <v>西成高等学校</v>
      </c>
      <c r="C4557" s="7" t="str">
        <f t="shared" ref="C4557:C4620" si="1643">"行政財産"</f>
        <v>行政財産</v>
      </c>
      <c r="D4557" s="7" t="str">
        <f t="shared" si="1630"/>
        <v>学校</v>
      </c>
      <c r="E4557" s="7" t="str">
        <f t="shared" ref="E4557:E4572" si="1644">"大阪府大阪市　西成区津守１丁目"</f>
        <v>大阪府大阪市　西成区津守１丁目</v>
      </c>
      <c r="F4557" s="7"/>
      <c r="G4557" s="7" t="str">
        <f t="shared" si="1611"/>
        <v>事業用資産</v>
      </c>
      <c r="H4557" s="7" t="str">
        <f t="shared" si="1635"/>
        <v>棚卸以外</v>
      </c>
      <c r="I4557" s="7">
        <v>1</v>
      </c>
      <c r="J4557" s="7" t="str">
        <f>"管理棟"</f>
        <v>管理棟</v>
      </c>
      <c r="K4557" s="7" t="str">
        <f>"鉄筋コンクリート造"</f>
        <v>鉄筋コンクリート造</v>
      </c>
      <c r="L4557" s="7" t="str">
        <f>"S49.03.30"</f>
        <v>S49.03.30</v>
      </c>
      <c r="M4557" s="7">
        <v>5539.05</v>
      </c>
      <c r="N4557" s="7">
        <v>798546586</v>
      </c>
      <c r="O4557" s="7">
        <v>625785896</v>
      </c>
      <c r="P4557" s="7">
        <v>0</v>
      </c>
      <c r="Q4557" s="7" t="str">
        <f t="shared" si="1616"/>
        <v>教育庁</v>
      </c>
      <c r="R4557" s="7" t="str">
        <f t="shared" ref="R4557:R4572" si="1645">"西成高等学校"</f>
        <v>西成高等学校</v>
      </c>
    </row>
    <row r="4558" spans="1:18" s="1" customFormat="1" x14ac:dyDescent="0.45">
      <c r="A4558" s="7" t="str">
        <f t="shared" si="1641"/>
        <v>10351000000</v>
      </c>
      <c r="B4558" s="7" t="str">
        <f t="shared" si="1642"/>
        <v>西成高等学校</v>
      </c>
      <c r="C4558" s="7" t="str">
        <f t="shared" si="1643"/>
        <v>行政財産</v>
      </c>
      <c r="D4558" s="7" t="str">
        <f t="shared" si="1630"/>
        <v>学校</v>
      </c>
      <c r="E4558" s="7" t="str">
        <f t="shared" si="1644"/>
        <v>大阪府大阪市　西成区津守１丁目</v>
      </c>
      <c r="F4558" s="7"/>
      <c r="G4558" s="7" t="str">
        <f t="shared" si="1611"/>
        <v>事業用資産</v>
      </c>
      <c r="H4558" s="7" t="str">
        <f t="shared" si="1635"/>
        <v>棚卸以外</v>
      </c>
      <c r="I4558" s="7">
        <v>2</v>
      </c>
      <c r="J4558" s="7" t="str">
        <f>"特別教室棟"</f>
        <v>特別教室棟</v>
      </c>
      <c r="K4558" s="7" t="str">
        <f>"鉄筋コンクリート造"</f>
        <v>鉄筋コンクリート造</v>
      </c>
      <c r="L4558" s="7" t="str">
        <f>"S49.03.30"</f>
        <v>S49.03.30</v>
      </c>
      <c r="M4558" s="7">
        <v>5778.12</v>
      </c>
      <c r="N4558" s="7">
        <v>783019060</v>
      </c>
      <c r="O4558" s="7">
        <v>668559641</v>
      </c>
      <c r="P4558" s="7">
        <v>0</v>
      </c>
      <c r="Q4558" s="7" t="str">
        <f t="shared" si="1616"/>
        <v>教育庁</v>
      </c>
      <c r="R4558" s="7" t="str">
        <f t="shared" si="1645"/>
        <v>西成高等学校</v>
      </c>
    </row>
    <row r="4559" spans="1:18" s="1" customFormat="1" x14ac:dyDescent="0.45">
      <c r="A4559" s="7" t="str">
        <f t="shared" si="1641"/>
        <v>10351000000</v>
      </c>
      <c r="B4559" s="7" t="str">
        <f t="shared" si="1642"/>
        <v>西成高等学校</v>
      </c>
      <c r="C4559" s="7" t="str">
        <f t="shared" si="1643"/>
        <v>行政財産</v>
      </c>
      <c r="D4559" s="7" t="str">
        <f t="shared" si="1630"/>
        <v>学校</v>
      </c>
      <c r="E4559" s="7" t="str">
        <f t="shared" si="1644"/>
        <v>大阪府大阪市　西成区津守１丁目</v>
      </c>
      <c r="F4559" s="7"/>
      <c r="G4559" s="7" t="str">
        <f t="shared" si="1611"/>
        <v>事業用資産</v>
      </c>
      <c r="H4559" s="7" t="str">
        <f t="shared" si="1635"/>
        <v>棚卸以外</v>
      </c>
      <c r="I4559" s="7">
        <v>3</v>
      </c>
      <c r="J4559" s="7" t="str">
        <f>"西渡り廊下"</f>
        <v>西渡り廊下</v>
      </c>
      <c r="K4559" s="7" t="str">
        <f>"鉄筋コンクリート造"</f>
        <v>鉄筋コンクリート造</v>
      </c>
      <c r="L4559" s="7" t="str">
        <f>"S49.03.30"</f>
        <v>S49.03.30</v>
      </c>
      <c r="M4559" s="7">
        <v>360.75</v>
      </c>
      <c r="N4559" s="7">
        <v>32384743</v>
      </c>
      <c r="O4559" s="7">
        <v>26391531</v>
      </c>
      <c r="P4559" s="7">
        <v>0</v>
      </c>
      <c r="Q4559" s="7" t="str">
        <f t="shared" si="1616"/>
        <v>教育庁</v>
      </c>
      <c r="R4559" s="7" t="str">
        <f t="shared" si="1645"/>
        <v>西成高等学校</v>
      </c>
    </row>
    <row r="4560" spans="1:18" s="1" customFormat="1" x14ac:dyDescent="0.45">
      <c r="A4560" s="7" t="str">
        <f t="shared" si="1641"/>
        <v>10351000000</v>
      </c>
      <c r="B4560" s="7" t="str">
        <f t="shared" si="1642"/>
        <v>西成高等学校</v>
      </c>
      <c r="C4560" s="7" t="str">
        <f t="shared" si="1643"/>
        <v>行政財産</v>
      </c>
      <c r="D4560" s="7" t="str">
        <f t="shared" si="1630"/>
        <v>学校</v>
      </c>
      <c r="E4560" s="7" t="str">
        <f t="shared" si="1644"/>
        <v>大阪府大阪市　西成区津守１丁目</v>
      </c>
      <c r="F4560" s="7"/>
      <c r="G4560" s="7" t="str">
        <f t="shared" si="1611"/>
        <v>事業用資産</v>
      </c>
      <c r="H4560" s="7" t="str">
        <f t="shared" si="1635"/>
        <v>棚卸以外</v>
      </c>
      <c r="I4560" s="7">
        <v>4</v>
      </c>
      <c r="J4560" s="7" t="str">
        <f>"倉庫"</f>
        <v>倉庫</v>
      </c>
      <c r="K4560" s="7" t="str">
        <f>"鉄骨造"</f>
        <v>鉄骨造</v>
      </c>
      <c r="L4560" s="7" t="str">
        <f>"S49.04.26"</f>
        <v>S49.04.26</v>
      </c>
      <c r="M4560" s="7">
        <v>50</v>
      </c>
      <c r="N4560" s="7">
        <v>3067000</v>
      </c>
      <c r="O4560" s="7">
        <v>3066999</v>
      </c>
      <c r="P4560" s="7">
        <v>0</v>
      </c>
      <c r="Q4560" s="7" t="str">
        <f t="shared" si="1616"/>
        <v>教育庁</v>
      </c>
      <c r="R4560" s="7" t="str">
        <f t="shared" si="1645"/>
        <v>西成高等学校</v>
      </c>
    </row>
    <row r="4561" spans="1:18" s="1" customFormat="1" x14ac:dyDescent="0.45">
      <c r="A4561" s="7" t="str">
        <f t="shared" si="1641"/>
        <v>10351000000</v>
      </c>
      <c r="B4561" s="7" t="str">
        <f t="shared" si="1642"/>
        <v>西成高等学校</v>
      </c>
      <c r="C4561" s="7" t="str">
        <f t="shared" si="1643"/>
        <v>行政財産</v>
      </c>
      <c r="D4561" s="7" t="str">
        <f t="shared" si="1630"/>
        <v>学校</v>
      </c>
      <c r="E4561" s="7" t="str">
        <f t="shared" si="1644"/>
        <v>大阪府大阪市　西成区津守１丁目</v>
      </c>
      <c r="F4561" s="7"/>
      <c r="G4561" s="7" t="str">
        <f t="shared" si="1611"/>
        <v>事業用資産</v>
      </c>
      <c r="H4561" s="7" t="str">
        <f t="shared" si="1635"/>
        <v>棚卸以外</v>
      </c>
      <c r="I4561" s="7">
        <v>5</v>
      </c>
      <c r="J4561" s="7" t="str">
        <f>"自転車置場"</f>
        <v>自転車置場</v>
      </c>
      <c r="K4561" s="7" t="str">
        <f>"鉄骨造"</f>
        <v>鉄骨造</v>
      </c>
      <c r="L4561" s="7" t="str">
        <f>"S49.04.26"</f>
        <v>S49.04.26</v>
      </c>
      <c r="M4561" s="7">
        <v>172.5</v>
      </c>
      <c r="N4561" s="7">
        <v>4241000</v>
      </c>
      <c r="O4561" s="7">
        <v>4240999</v>
      </c>
      <c r="P4561" s="7">
        <v>0</v>
      </c>
      <c r="Q4561" s="7" t="str">
        <f t="shared" si="1616"/>
        <v>教育庁</v>
      </c>
      <c r="R4561" s="7" t="str">
        <f t="shared" si="1645"/>
        <v>西成高等学校</v>
      </c>
    </row>
    <row r="4562" spans="1:18" s="1" customFormat="1" x14ac:dyDescent="0.45">
      <c r="A4562" s="7" t="str">
        <f t="shared" si="1641"/>
        <v>10351000000</v>
      </c>
      <c r="B4562" s="7" t="str">
        <f t="shared" si="1642"/>
        <v>西成高等学校</v>
      </c>
      <c r="C4562" s="7" t="str">
        <f t="shared" si="1643"/>
        <v>行政財産</v>
      </c>
      <c r="D4562" s="7" t="str">
        <f t="shared" si="1630"/>
        <v>学校</v>
      </c>
      <c r="E4562" s="7" t="str">
        <f t="shared" si="1644"/>
        <v>大阪府大阪市　西成区津守１丁目</v>
      </c>
      <c r="F4562" s="7"/>
      <c r="G4562" s="7" t="str">
        <f t="shared" si="1611"/>
        <v>事業用資産</v>
      </c>
      <c r="H4562" s="7" t="str">
        <f t="shared" si="1635"/>
        <v>棚卸以外</v>
      </c>
      <c r="I4562" s="7">
        <v>6</v>
      </c>
      <c r="J4562" s="7" t="str">
        <f>"設備棟"</f>
        <v>設備棟</v>
      </c>
      <c r="K4562" s="7" t="str">
        <f>"鉄筋コンクリート造"</f>
        <v>鉄筋コンクリート造</v>
      </c>
      <c r="L4562" s="7" t="str">
        <f>"S49.04.26"</f>
        <v>S49.04.26</v>
      </c>
      <c r="M4562" s="7">
        <v>117</v>
      </c>
      <c r="N4562" s="7">
        <v>22497000</v>
      </c>
      <c r="O4562" s="7">
        <v>21716951</v>
      </c>
      <c r="P4562" s="7">
        <v>0</v>
      </c>
      <c r="Q4562" s="7" t="str">
        <f t="shared" si="1616"/>
        <v>教育庁</v>
      </c>
      <c r="R4562" s="7" t="str">
        <f t="shared" si="1645"/>
        <v>西成高等学校</v>
      </c>
    </row>
    <row r="4563" spans="1:18" s="1" customFormat="1" x14ac:dyDescent="0.45">
      <c r="A4563" s="7" t="str">
        <f t="shared" si="1641"/>
        <v>10351000000</v>
      </c>
      <c r="B4563" s="7" t="str">
        <f t="shared" si="1642"/>
        <v>西成高等学校</v>
      </c>
      <c r="C4563" s="7" t="str">
        <f t="shared" si="1643"/>
        <v>行政財産</v>
      </c>
      <c r="D4563" s="7" t="str">
        <f t="shared" si="1630"/>
        <v>学校</v>
      </c>
      <c r="E4563" s="7" t="str">
        <f t="shared" si="1644"/>
        <v>大阪府大阪市　西成区津守１丁目</v>
      </c>
      <c r="F4563" s="7"/>
      <c r="G4563" s="7" t="str">
        <f t="shared" si="1611"/>
        <v>事業用資産</v>
      </c>
      <c r="H4563" s="7" t="str">
        <f t="shared" si="1635"/>
        <v>棚卸以外</v>
      </c>
      <c r="I4563" s="7">
        <v>7</v>
      </c>
      <c r="J4563" s="7" t="str">
        <f>"ボンベハウス"</f>
        <v>ボンベハウス</v>
      </c>
      <c r="K4563" s="7" t="str">
        <f>"鉄骨造"</f>
        <v>鉄骨造</v>
      </c>
      <c r="L4563" s="7" t="str">
        <f>"S49.04.26"</f>
        <v>S49.04.26</v>
      </c>
      <c r="M4563" s="7">
        <v>17.07</v>
      </c>
      <c r="N4563" s="7">
        <v>700000</v>
      </c>
      <c r="O4563" s="7">
        <v>699999</v>
      </c>
      <c r="P4563" s="7">
        <v>0</v>
      </c>
      <c r="Q4563" s="7" t="str">
        <f t="shared" si="1616"/>
        <v>教育庁</v>
      </c>
      <c r="R4563" s="7" t="str">
        <f t="shared" si="1645"/>
        <v>西成高等学校</v>
      </c>
    </row>
    <row r="4564" spans="1:18" s="1" customFormat="1" x14ac:dyDescent="0.45">
      <c r="A4564" s="7" t="str">
        <f t="shared" si="1641"/>
        <v>10351000000</v>
      </c>
      <c r="B4564" s="7" t="str">
        <f t="shared" si="1642"/>
        <v>西成高等学校</v>
      </c>
      <c r="C4564" s="7" t="str">
        <f t="shared" si="1643"/>
        <v>行政財産</v>
      </c>
      <c r="D4564" s="7" t="str">
        <f t="shared" si="1630"/>
        <v>学校</v>
      </c>
      <c r="E4564" s="7" t="str">
        <f t="shared" si="1644"/>
        <v>大阪府大阪市　西成区津守１丁目</v>
      </c>
      <c r="F4564" s="7"/>
      <c r="G4564" s="7" t="str">
        <f t="shared" si="1611"/>
        <v>事業用資産</v>
      </c>
      <c r="H4564" s="7" t="str">
        <f t="shared" si="1635"/>
        <v>棚卸以外</v>
      </c>
      <c r="I4564" s="7">
        <v>8</v>
      </c>
      <c r="J4564" s="7" t="str">
        <f>"倉庫"</f>
        <v>倉庫</v>
      </c>
      <c r="K4564" s="7" t="str">
        <f>"木造"</f>
        <v>木造</v>
      </c>
      <c r="L4564" s="7" t="str">
        <f>"S62.03.20"</f>
        <v>S62.03.20</v>
      </c>
      <c r="M4564" s="7">
        <v>32.4</v>
      </c>
      <c r="N4564" s="7">
        <v>4131000</v>
      </c>
      <c r="O4564" s="7">
        <v>4130998</v>
      </c>
      <c r="P4564" s="7">
        <v>0</v>
      </c>
      <c r="Q4564" s="7" t="str">
        <f t="shared" si="1616"/>
        <v>教育庁</v>
      </c>
      <c r="R4564" s="7" t="str">
        <f t="shared" si="1645"/>
        <v>西成高等学校</v>
      </c>
    </row>
    <row r="4565" spans="1:18" s="1" customFormat="1" x14ac:dyDescent="0.45">
      <c r="A4565" s="7" t="str">
        <f t="shared" si="1641"/>
        <v>10351000000</v>
      </c>
      <c r="B4565" s="7" t="str">
        <f t="shared" si="1642"/>
        <v>西成高等学校</v>
      </c>
      <c r="C4565" s="7" t="str">
        <f t="shared" si="1643"/>
        <v>行政財産</v>
      </c>
      <c r="D4565" s="7" t="str">
        <f t="shared" si="1630"/>
        <v>学校</v>
      </c>
      <c r="E4565" s="7" t="str">
        <f t="shared" si="1644"/>
        <v>大阪府大阪市　西成区津守１丁目</v>
      </c>
      <c r="F4565" s="7"/>
      <c r="G4565" s="7" t="str">
        <f t="shared" si="1611"/>
        <v>事業用資産</v>
      </c>
      <c r="H4565" s="7" t="str">
        <f t="shared" si="1635"/>
        <v>棚卸以外</v>
      </c>
      <c r="I4565" s="7">
        <v>10</v>
      </c>
      <c r="J4565" s="7" t="str">
        <f>"体育館"</f>
        <v>体育館</v>
      </c>
      <c r="K4565" s="7" t="str">
        <f>"鉄筋コンクリート造"</f>
        <v>鉄筋コンクリート造</v>
      </c>
      <c r="L4565" s="7" t="str">
        <f>"S50.07.15"</f>
        <v>S50.07.15</v>
      </c>
      <c r="M4565" s="7">
        <v>3037.38</v>
      </c>
      <c r="N4565" s="7">
        <v>404482074</v>
      </c>
      <c r="O4565" s="7">
        <v>339990103</v>
      </c>
      <c r="P4565" s="7">
        <v>0</v>
      </c>
      <c r="Q4565" s="7" t="str">
        <f t="shared" si="1616"/>
        <v>教育庁</v>
      </c>
      <c r="R4565" s="7" t="str">
        <f t="shared" si="1645"/>
        <v>西成高等学校</v>
      </c>
    </row>
    <row r="4566" spans="1:18" s="1" customFormat="1" x14ac:dyDescent="0.45">
      <c r="A4566" s="7" t="str">
        <f t="shared" si="1641"/>
        <v>10351000000</v>
      </c>
      <c r="B4566" s="7" t="str">
        <f t="shared" si="1642"/>
        <v>西成高等学校</v>
      </c>
      <c r="C4566" s="7" t="str">
        <f t="shared" si="1643"/>
        <v>行政財産</v>
      </c>
      <c r="D4566" s="7" t="str">
        <f t="shared" si="1630"/>
        <v>学校</v>
      </c>
      <c r="E4566" s="7" t="str">
        <f t="shared" si="1644"/>
        <v>大阪府大阪市　西成区津守１丁目</v>
      </c>
      <c r="F4566" s="7"/>
      <c r="G4566" s="7" t="str">
        <f t="shared" si="1611"/>
        <v>事業用資産</v>
      </c>
      <c r="H4566" s="7" t="str">
        <f t="shared" si="1635"/>
        <v>棚卸以外</v>
      </c>
      <c r="I4566" s="7">
        <v>11</v>
      </c>
      <c r="J4566" s="7" t="str">
        <f>"プール附属棟"</f>
        <v>プール附属棟</v>
      </c>
      <c r="K4566" s="7" t="str">
        <f>"鉄筋コンクリート造"</f>
        <v>鉄筋コンクリート造</v>
      </c>
      <c r="L4566" s="7" t="str">
        <f>"S50.07.15"</f>
        <v>S50.07.15</v>
      </c>
      <c r="M4566" s="7">
        <v>138</v>
      </c>
      <c r="N4566" s="7">
        <v>24173000</v>
      </c>
      <c r="O4566" s="7">
        <v>22712239</v>
      </c>
      <c r="P4566" s="7">
        <v>0</v>
      </c>
      <c r="Q4566" s="7" t="str">
        <f t="shared" si="1616"/>
        <v>教育庁</v>
      </c>
      <c r="R4566" s="7" t="str">
        <f t="shared" si="1645"/>
        <v>西成高等学校</v>
      </c>
    </row>
    <row r="4567" spans="1:18" s="1" customFormat="1" x14ac:dyDescent="0.45">
      <c r="A4567" s="7" t="str">
        <f t="shared" si="1641"/>
        <v>10351000000</v>
      </c>
      <c r="B4567" s="7" t="str">
        <f t="shared" si="1642"/>
        <v>西成高等学校</v>
      </c>
      <c r="C4567" s="7" t="str">
        <f t="shared" si="1643"/>
        <v>行政財産</v>
      </c>
      <c r="D4567" s="7" t="str">
        <f t="shared" si="1630"/>
        <v>学校</v>
      </c>
      <c r="E4567" s="7" t="str">
        <f t="shared" si="1644"/>
        <v>大阪府大阪市　西成区津守１丁目</v>
      </c>
      <c r="F4567" s="7"/>
      <c r="G4567" s="7" t="str">
        <f t="shared" ref="G4567:G4630" si="1646">"事業用資産"</f>
        <v>事業用資産</v>
      </c>
      <c r="H4567" s="7" t="str">
        <f t="shared" si="1635"/>
        <v>棚卸以外</v>
      </c>
      <c r="I4567" s="7">
        <v>12</v>
      </c>
      <c r="J4567" s="7" t="str">
        <f>"食堂"</f>
        <v>食堂</v>
      </c>
      <c r="K4567" s="7" t="str">
        <f>"鉄筋コンクリート造"</f>
        <v>鉄筋コンクリート造</v>
      </c>
      <c r="L4567" s="7" t="str">
        <f>"S50.10.15"</f>
        <v>S50.10.15</v>
      </c>
      <c r="M4567" s="7">
        <v>326.58</v>
      </c>
      <c r="N4567" s="7">
        <v>61219804</v>
      </c>
      <c r="O4567" s="7">
        <v>58873981</v>
      </c>
      <c r="P4567" s="7">
        <v>0</v>
      </c>
      <c r="Q4567" s="7" t="str">
        <f t="shared" si="1616"/>
        <v>教育庁</v>
      </c>
      <c r="R4567" s="7" t="str">
        <f t="shared" si="1645"/>
        <v>西成高等学校</v>
      </c>
    </row>
    <row r="4568" spans="1:18" s="1" customFormat="1" x14ac:dyDescent="0.45">
      <c r="A4568" s="7" t="str">
        <f t="shared" si="1641"/>
        <v>10351000000</v>
      </c>
      <c r="B4568" s="7" t="str">
        <f t="shared" si="1642"/>
        <v>西成高等学校</v>
      </c>
      <c r="C4568" s="7" t="str">
        <f t="shared" si="1643"/>
        <v>行政財産</v>
      </c>
      <c r="D4568" s="7" t="str">
        <f t="shared" si="1630"/>
        <v>学校</v>
      </c>
      <c r="E4568" s="7" t="str">
        <f t="shared" si="1644"/>
        <v>大阪府大阪市　西成区津守１丁目</v>
      </c>
      <c r="F4568" s="7"/>
      <c r="G4568" s="7" t="str">
        <f t="shared" si="1646"/>
        <v>事業用資産</v>
      </c>
      <c r="H4568" s="7" t="str">
        <f t="shared" si="1635"/>
        <v>棚卸以外</v>
      </c>
      <c r="I4568" s="7">
        <v>13</v>
      </c>
      <c r="J4568" s="7" t="str">
        <f>"食堂渡り廊下"</f>
        <v>食堂渡り廊下</v>
      </c>
      <c r="K4568" s="7" t="str">
        <f>"鉄骨造"</f>
        <v>鉄骨造</v>
      </c>
      <c r="L4568" s="7" t="str">
        <f>"S50.10.15"</f>
        <v>S50.10.15</v>
      </c>
      <c r="M4568" s="7">
        <v>74.75</v>
      </c>
      <c r="N4568" s="7">
        <v>2850000</v>
      </c>
      <c r="O4568" s="7">
        <v>2823311</v>
      </c>
      <c r="P4568" s="7">
        <v>0</v>
      </c>
      <c r="Q4568" s="7" t="str">
        <f t="shared" si="1616"/>
        <v>教育庁</v>
      </c>
      <c r="R4568" s="7" t="str">
        <f t="shared" si="1645"/>
        <v>西成高等学校</v>
      </c>
    </row>
    <row r="4569" spans="1:18" s="1" customFormat="1" x14ac:dyDescent="0.45">
      <c r="A4569" s="7" t="str">
        <f t="shared" si="1641"/>
        <v>10351000000</v>
      </c>
      <c r="B4569" s="7" t="str">
        <f t="shared" si="1642"/>
        <v>西成高等学校</v>
      </c>
      <c r="C4569" s="7" t="str">
        <f t="shared" si="1643"/>
        <v>行政財産</v>
      </c>
      <c r="D4569" s="7" t="str">
        <f t="shared" si="1630"/>
        <v>学校</v>
      </c>
      <c r="E4569" s="7" t="str">
        <f t="shared" si="1644"/>
        <v>大阪府大阪市　西成区津守１丁目</v>
      </c>
      <c r="F4569" s="7"/>
      <c r="G4569" s="7" t="str">
        <f t="shared" si="1646"/>
        <v>事業用資産</v>
      </c>
      <c r="H4569" s="7" t="str">
        <f t="shared" si="1635"/>
        <v>棚卸以外</v>
      </c>
      <c r="I4569" s="7">
        <v>14</v>
      </c>
      <c r="J4569" s="7" t="str">
        <f>"工芸実習棟"</f>
        <v>工芸実習棟</v>
      </c>
      <c r="K4569" s="7" t="str">
        <f>"鉄骨造"</f>
        <v>鉄骨造</v>
      </c>
      <c r="L4569" s="7" t="str">
        <f>"S51.03.31"</f>
        <v>S51.03.31</v>
      </c>
      <c r="M4569" s="7">
        <v>248.4</v>
      </c>
      <c r="N4569" s="7">
        <v>35386026</v>
      </c>
      <c r="O4569" s="7">
        <v>29277563</v>
      </c>
      <c r="P4569" s="7">
        <v>0</v>
      </c>
      <c r="Q4569" s="7" t="str">
        <f t="shared" si="1616"/>
        <v>教育庁</v>
      </c>
      <c r="R4569" s="7" t="str">
        <f t="shared" si="1645"/>
        <v>西成高等学校</v>
      </c>
    </row>
    <row r="4570" spans="1:18" s="1" customFormat="1" x14ac:dyDescent="0.45">
      <c r="A4570" s="7" t="str">
        <f t="shared" si="1641"/>
        <v>10351000000</v>
      </c>
      <c r="B4570" s="7" t="str">
        <f t="shared" si="1642"/>
        <v>西成高等学校</v>
      </c>
      <c r="C4570" s="7" t="str">
        <f t="shared" si="1643"/>
        <v>行政財産</v>
      </c>
      <c r="D4570" s="7" t="str">
        <f t="shared" si="1630"/>
        <v>学校</v>
      </c>
      <c r="E4570" s="7" t="str">
        <f t="shared" si="1644"/>
        <v>大阪府大阪市　西成区津守１丁目</v>
      </c>
      <c r="F4570" s="7"/>
      <c r="G4570" s="7" t="str">
        <f t="shared" si="1646"/>
        <v>事業用資産</v>
      </c>
      <c r="H4570" s="7" t="str">
        <f t="shared" si="1635"/>
        <v>棚卸以外</v>
      </c>
      <c r="I4570" s="7">
        <v>15</v>
      </c>
      <c r="J4570" s="7" t="str">
        <f>"東渡り廊下"</f>
        <v>東渡り廊下</v>
      </c>
      <c r="K4570" s="7" t="str">
        <f>"鉄筋コンクリート造"</f>
        <v>鉄筋コンクリート造</v>
      </c>
      <c r="L4570" s="7" t="str">
        <f>"S51.03.03"</f>
        <v>S51.03.03</v>
      </c>
      <c r="M4570" s="7">
        <v>308.25</v>
      </c>
      <c r="N4570" s="7">
        <v>31520302</v>
      </c>
      <c r="O4570" s="7">
        <v>27843651</v>
      </c>
      <c r="P4570" s="7">
        <v>0</v>
      </c>
      <c r="Q4570" s="7" t="str">
        <f t="shared" si="1616"/>
        <v>教育庁</v>
      </c>
      <c r="R4570" s="7" t="str">
        <f t="shared" si="1645"/>
        <v>西成高等学校</v>
      </c>
    </row>
    <row r="4571" spans="1:18" s="1" customFormat="1" x14ac:dyDescent="0.45">
      <c r="A4571" s="7" t="str">
        <f t="shared" si="1641"/>
        <v>10351000000</v>
      </c>
      <c r="B4571" s="7" t="str">
        <f t="shared" si="1642"/>
        <v>西成高等学校</v>
      </c>
      <c r="C4571" s="7" t="str">
        <f t="shared" si="1643"/>
        <v>行政財産</v>
      </c>
      <c r="D4571" s="7" t="str">
        <f t="shared" si="1630"/>
        <v>学校</v>
      </c>
      <c r="E4571" s="7" t="str">
        <f t="shared" si="1644"/>
        <v>大阪府大阪市　西成区津守１丁目</v>
      </c>
      <c r="F4571" s="7"/>
      <c r="G4571" s="7" t="str">
        <f t="shared" si="1646"/>
        <v>事業用資産</v>
      </c>
      <c r="H4571" s="7" t="str">
        <f t="shared" si="1635"/>
        <v>棚卸以外</v>
      </c>
      <c r="I4571" s="7">
        <v>16</v>
      </c>
      <c r="J4571" s="7" t="str">
        <f>"工芸実習棟渡り廊下"</f>
        <v>工芸実習棟渡り廊下</v>
      </c>
      <c r="K4571" s="7" t="str">
        <f>"鉄骨造"</f>
        <v>鉄骨造</v>
      </c>
      <c r="L4571" s="7" t="str">
        <f>"S51.03.31"</f>
        <v>S51.03.31</v>
      </c>
      <c r="M4571" s="7">
        <v>27</v>
      </c>
      <c r="N4571" s="7">
        <v>1224000</v>
      </c>
      <c r="O4571" s="7">
        <v>1223999</v>
      </c>
      <c r="P4571" s="7">
        <v>0</v>
      </c>
      <c r="Q4571" s="7" t="str">
        <f t="shared" ref="Q4571:Q4634" si="1647">"教育庁"</f>
        <v>教育庁</v>
      </c>
      <c r="R4571" s="7" t="str">
        <f t="shared" si="1645"/>
        <v>西成高等学校</v>
      </c>
    </row>
    <row r="4572" spans="1:18" s="1" customFormat="1" x14ac:dyDescent="0.45">
      <c r="A4572" s="7" t="str">
        <f t="shared" si="1641"/>
        <v>10351000000</v>
      </c>
      <c r="B4572" s="7" t="str">
        <f t="shared" si="1642"/>
        <v>西成高等学校</v>
      </c>
      <c r="C4572" s="7" t="str">
        <f t="shared" si="1643"/>
        <v>行政財産</v>
      </c>
      <c r="D4572" s="7" t="str">
        <f t="shared" si="1630"/>
        <v>学校</v>
      </c>
      <c r="E4572" s="7" t="str">
        <f t="shared" si="1644"/>
        <v>大阪府大阪市　西成区津守１丁目</v>
      </c>
      <c r="F4572" s="7"/>
      <c r="G4572" s="7" t="str">
        <f t="shared" si="1646"/>
        <v>事業用資産</v>
      </c>
      <c r="H4572" s="7" t="str">
        <f t="shared" si="1635"/>
        <v>棚卸以外</v>
      </c>
      <c r="I4572" s="7">
        <v>17</v>
      </c>
      <c r="J4572" s="7" t="str">
        <f>"倉庫棟"</f>
        <v>倉庫棟</v>
      </c>
      <c r="K4572" s="7" t="str">
        <f>"コンクリートブロック造"</f>
        <v>コンクリートブロック造</v>
      </c>
      <c r="L4572" s="7" t="str">
        <f>"S51.12.27"</f>
        <v>S51.12.27</v>
      </c>
      <c r="M4572" s="7">
        <v>80.87</v>
      </c>
      <c r="N4572" s="7">
        <v>6221000</v>
      </c>
      <c r="O4572" s="7">
        <v>6220999</v>
      </c>
      <c r="P4572" s="7">
        <v>0</v>
      </c>
      <c r="Q4572" s="7" t="str">
        <f t="shared" si="1647"/>
        <v>教育庁</v>
      </c>
      <c r="R4572" s="7" t="str">
        <f t="shared" si="1645"/>
        <v>西成高等学校</v>
      </c>
    </row>
    <row r="4573" spans="1:18" s="1" customFormat="1" x14ac:dyDescent="0.45">
      <c r="A4573" s="7" t="str">
        <f t="shared" ref="A4573:A4581" si="1648">"10352000000"</f>
        <v>10352000000</v>
      </c>
      <c r="B4573" s="7" t="str">
        <f t="shared" ref="B4573:B4581" si="1649">"天王寺高等学校"</f>
        <v>天王寺高等学校</v>
      </c>
      <c r="C4573" s="7" t="str">
        <f t="shared" si="1643"/>
        <v>行政財産</v>
      </c>
      <c r="D4573" s="7" t="str">
        <f t="shared" si="1630"/>
        <v>学校</v>
      </c>
      <c r="E4573" s="7" t="str">
        <f t="shared" ref="E4573:E4581" si="1650">"大阪府大阪市　阿倍野区三明町２丁目"</f>
        <v>大阪府大阪市　阿倍野区三明町２丁目</v>
      </c>
      <c r="F4573" s="7"/>
      <c r="G4573" s="7" t="str">
        <f t="shared" si="1646"/>
        <v>事業用資産</v>
      </c>
      <c r="H4573" s="7" t="str">
        <f t="shared" si="1635"/>
        <v>棚卸以外</v>
      </c>
      <c r="I4573" s="7">
        <v>37</v>
      </c>
      <c r="J4573" s="7" t="str">
        <f>"体育館"</f>
        <v>体育館</v>
      </c>
      <c r="K4573" s="7" t="str">
        <f>"鉄筋コンクリート造"</f>
        <v>鉄筋コンクリート造</v>
      </c>
      <c r="L4573" s="7" t="str">
        <f>"S51.09.06"</f>
        <v>S51.09.06</v>
      </c>
      <c r="M4573" s="7">
        <v>3007.8</v>
      </c>
      <c r="N4573" s="7">
        <v>322158435</v>
      </c>
      <c r="O4573" s="7">
        <v>244892988</v>
      </c>
      <c r="P4573" s="7">
        <v>0</v>
      </c>
      <c r="Q4573" s="7" t="str">
        <f t="shared" si="1647"/>
        <v>教育庁</v>
      </c>
      <c r="R4573" s="7" t="str">
        <f t="shared" ref="R4573:R4581" si="1651">"天王寺高等学校"</f>
        <v>天王寺高等学校</v>
      </c>
    </row>
    <row r="4574" spans="1:18" s="1" customFormat="1" x14ac:dyDescent="0.45">
      <c r="A4574" s="7" t="str">
        <f t="shared" si="1648"/>
        <v>10352000000</v>
      </c>
      <c r="B4574" s="7" t="str">
        <f t="shared" si="1649"/>
        <v>天王寺高等学校</v>
      </c>
      <c r="C4574" s="7" t="str">
        <f t="shared" si="1643"/>
        <v>行政財産</v>
      </c>
      <c r="D4574" s="7" t="str">
        <f t="shared" si="1630"/>
        <v>学校</v>
      </c>
      <c r="E4574" s="7" t="str">
        <f t="shared" si="1650"/>
        <v>大阪府大阪市　阿倍野区三明町２丁目</v>
      </c>
      <c r="F4574" s="7"/>
      <c r="G4574" s="7" t="str">
        <f t="shared" si="1646"/>
        <v>事業用資産</v>
      </c>
      <c r="H4574" s="7" t="str">
        <f t="shared" si="1635"/>
        <v>棚卸以外</v>
      </c>
      <c r="I4574" s="7">
        <v>41</v>
      </c>
      <c r="J4574" s="7" t="str">
        <f>"自転車置場"</f>
        <v>自転車置場</v>
      </c>
      <c r="K4574" s="7" t="str">
        <f>"鉄骨造"</f>
        <v>鉄骨造</v>
      </c>
      <c r="L4574" s="7" t="str">
        <f>"S55.03.27"</f>
        <v>S55.03.27</v>
      </c>
      <c r="M4574" s="7">
        <v>69.12</v>
      </c>
      <c r="N4574" s="7">
        <v>2723000</v>
      </c>
      <c r="O4574" s="7">
        <v>2722999</v>
      </c>
      <c r="P4574" s="7">
        <v>0</v>
      </c>
      <c r="Q4574" s="7" t="str">
        <f t="shared" si="1647"/>
        <v>教育庁</v>
      </c>
      <c r="R4574" s="7" t="str">
        <f t="shared" si="1651"/>
        <v>天王寺高等学校</v>
      </c>
    </row>
    <row r="4575" spans="1:18" s="1" customFormat="1" x14ac:dyDescent="0.45">
      <c r="A4575" s="7" t="str">
        <f t="shared" si="1648"/>
        <v>10352000000</v>
      </c>
      <c r="B4575" s="7" t="str">
        <f t="shared" si="1649"/>
        <v>天王寺高等学校</v>
      </c>
      <c r="C4575" s="7" t="str">
        <f t="shared" si="1643"/>
        <v>行政財産</v>
      </c>
      <c r="D4575" s="7" t="str">
        <f t="shared" si="1630"/>
        <v>学校</v>
      </c>
      <c r="E4575" s="7" t="str">
        <f t="shared" si="1650"/>
        <v>大阪府大阪市　阿倍野区三明町２丁目</v>
      </c>
      <c r="F4575" s="7"/>
      <c r="G4575" s="7" t="str">
        <f t="shared" si="1646"/>
        <v>事業用資産</v>
      </c>
      <c r="H4575" s="7" t="str">
        <f t="shared" si="1635"/>
        <v>棚卸以外</v>
      </c>
      <c r="I4575" s="7">
        <v>201</v>
      </c>
      <c r="J4575" s="7" t="str">
        <f>"プール付属棟"</f>
        <v>プール付属棟</v>
      </c>
      <c r="K4575" s="7" t="str">
        <f>"鉄筋コンクリート造"</f>
        <v>鉄筋コンクリート造</v>
      </c>
      <c r="L4575" s="7" t="str">
        <f>"H01.03.31"</f>
        <v>H01.03.31</v>
      </c>
      <c r="M4575" s="7">
        <v>138</v>
      </c>
      <c r="N4575" s="7">
        <v>65992000</v>
      </c>
      <c r="O4575" s="7">
        <v>43526976</v>
      </c>
      <c r="P4575" s="7">
        <v>0</v>
      </c>
      <c r="Q4575" s="7" t="str">
        <f t="shared" si="1647"/>
        <v>教育庁</v>
      </c>
      <c r="R4575" s="7" t="str">
        <f t="shared" si="1651"/>
        <v>天王寺高等学校</v>
      </c>
    </row>
    <row r="4576" spans="1:18" s="1" customFormat="1" x14ac:dyDescent="0.45">
      <c r="A4576" s="7" t="str">
        <f t="shared" si="1648"/>
        <v>10352000000</v>
      </c>
      <c r="B4576" s="7" t="str">
        <f t="shared" si="1649"/>
        <v>天王寺高等学校</v>
      </c>
      <c r="C4576" s="7" t="str">
        <f t="shared" si="1643"/>
        <v>行政財産</v>
      </c>
      <c r="D4576" s="7" t="str">
        <f t="shared" si="1630"/>
        <v>学校</v>
      </c>
      <c r="E4576" s="7" t="str">
        <f t="shared" si="1650"/>
        <v>大阪府大阪市　阿倍野区三明町２丁目</v>
      </c>
      <c r="F4576" s="7"/>
      <c r="G4576" s="7" t="str">
        <f t="shared" si="1646"/>
        <v>事業用資産</v>
      </c>
      <c r="H4576" s="7" t="str">
        <f t="shared" si="1635"/>
        <v>棚卸以外</v>
      </c>
      <c r="I4576" s="7">
        <v>301</v>
      </c>
      <c r="J4576" s="7" t="str">
        <f>"本館"</f>
        <v>本館</v>
      </c>
      <c r="K4576" s="7" t="str">
        <f>"鉄筋コンクリート造"</f>
        <v>鉄筋コンクリート造</v>
      </c>
      <c r="L4576" s="7" t="str">
        <f>"H04.11.13"</f>
        <v>H04.11.13</v>
      </c>
      <c r="M4576" s="7">
        <v>10236.57</v>
      </c>
      <c r="N4576" s="7">
        <v>2589768801</v>
      </c>
      <c r="O4576" s="7">
        <v>1579022986</v>
      </c>
      <c r="P4576" s="7">
        <v>0</v>
      </c>
      <c r="Q4576" s="7" t="str">
        <f t="shared" si="1647"/>
        <v>教育庁</v>
      </c>
      <c r="R4576" s="7" t="str">
        <f t="shared" si="1651"/>
        <v>天王寺高等学校</v>
      </c>
    </row>
    <row r="4577" spans="1:18" s="1" customFormat="1" x14ac:dyDescent="0.45">
      <c r="A4577" s="7" t="str">
        <f t="shared" si="1648"/>
        <v>10352000000</v>
      </c>
      <c r="B4577" s="7" t="str">
        <f t="shared" si="1649"/>
        <v>天王寺高等学校</v>
      </c>
      <c r="C4577" s="7" t="str">
        <f t="shared" si="1643"/>
        <v>行政財産</v>
      </c>
      <c r="D4577" s="7" t="str">
        <f t="shared" si="1630"/>
        <v>学校</v>
      </c>
      <c r="E4577" s="7" t="str">
        <f t="shared" si="1650"/>
        <v>大阪府大阪市　阿倍野区三明町２丁目</v>
      </c>
      <c r="F4577" s="7"/>
      <c r="G4577" s="7" t="str">
        <f t="shared" si="1646"/>
        <v>事業用資産</v>
      </c>
      <c r="H4577" s="7" t="str">
        <f t="shared" si="1635"/>
        <v>棚卸以外</v>
      </c>
      <c r="I4577" s="7">
        <v>302</v>
      </c>
      <c r="J4577" s="7" t="str">
        <f>"電気・ポンプ棟"</f>
        <v>電気・ポンプ棟</v>
      </c>
      <c r="K4577" s="7" t="str">
        <f>"鉄筋コンクリート造"</f>
        <v>鉄筋コンクリート造</v>
      </c>
      <c r="L4577" s="7" t="str">
        <f>"H04.11.13"</f>
        <v>H04.11.13</v>
      </c>
      <c r="M4577" s="7">
        <v>103.5</v>
      </c>
      <c r="N4577" s="7">
        <v>63162358</v>
      </c>
      <c r="O4577" s="7">
        <v>43062966</v>
      </c>
      <c r="P4577" s="7">
        <v>0</v>
      </c>
      <c r="Q4577" s="7" t="str">
        <f t="shared" si="1647"/>
        <v>教育庁</v>
      </c>
      <c r="R4577" s="7" t="str">
        <f t="shared" si="1651"/>
        <v>天王寺高等学校</v>
      </c>
    </row>
    <row r="4578" spans="1:18" s="1" customFormat="1" x14ac:dyDescent="0.45">
      <c r="A4578" s="7" t="str">
        <f t="shared" si="1648"/>
        <v>10352000000</v>
      </c>
      <c r="B4578" s="7" t="str">
        <f t="shared" si="1649"/>
        <v>天王寺高等学校</v>
      </c>
      <c r="C4578" s="7" t="str">
        <f t="shared" si="1643"/>
        <v>行政財産</v>
      </c>
      <c r="D4578" s="7" t="str">
        <f t="shared" si="1630"/>
        <v>学校</v>
      </c>
      <c r="E4578" s="7" t="str">
        <f t="shared" si="1650"/>
        <v>大阪府大阪市　阿倍野区三明町２丁目</v>
      </c>
      <c r="F4578" s="7"/>
      <c r="G4578" s="7" t="str">
        <f t="shared" si="1646"/>
        <v>事業用資産</v>
      </c>
      <c r="H4578" s="7" t="str">
        <f t="shared" si="1635"/>
        <v>棚卸以外</v>
      </c>
      <c r="I4578" s="7">
        <v>303</v>
      </c>
      <c r="J4578" s="7" t="str">
        <f>"セミナーハウス"</f>
        <v>セミナーハウス</v>
      </c>
      <c r="K4578" s="7" t="str">
        <f>"鉄筋コンクリート造"</f>
        <v>鉄筋コンクリート造</v>
      </c>
      <c r="L4578" s="7" t="str">
        <f>"H05.03.31"</f>
        <v>H05.03.31</v>
      </c>
      <c r="M4578" s="7">
        <v>484.39</v>
      </c>
      <c r="N4578" s="7">
        <v>116353307</v>
      </c>
      <c r="O4578" s="7">
        <v>74225180</v>
      </c>
      <c r="P4578" s="7">
        <v>0</v>
      </c>
      <c r="Q4578" s="7" t="str">
        <f t="shared" si="1647"/>
        <v>教育庁</v>
      </c>
      <c r="R4578" s="7" t="str">
        <f t="shared" si="1651"/>
        <v>天王寺高等学校</v>
      </c>
    </row>
    <row r="4579" spans="1:18" s="1" customFormat="1" x14ac:dyDescent="0.45">
      <c r="A4579" s="7" t="str">
        <f t="shared" si="1648"/>
        <v>10352000000</v>
      </c>
      <c r="B4579" s="7" t="str">
        <f t="shared" si="1649"/>
        <v>天王寺高等学校</v>
      </c>
      <c r="C4579" s="7" t="str">
        <f t="shared" si="1643"/>
        <v>行政財産</v>
      </c>
      <c r="D4579" s="7" t="str">
        <f t="shared" si="1630"/>
        <v>学校</v>
      </c>
      <c r="E4579" s="7" t="str">
        <f t="shared" si="1650"/>
        <v>大阪府大阪市　阿倍野区三明町２丁目</v>
      </c>
      <c r="F4579" s="7"/>
      <c r="G4579" s="7" t="str">
        <f t="shared" si="1646"/>
        <v>事業用資産</v>
      </c>
      <c r="H4579" s="7" t="str">
        <f t="shared" si="1635"/>
        <v>棚卸以外</v>
      </c>
      <c r="I4579" s="7">
        <v>304</v>
      </c>
      <c r="J4579" s="7" t="str">
        <f>"ゴミ置場棟"</f>
        <v>ゴミ置場棟</v>
      </c>
      <c r="K4579" s="7" t="str">
        <f>"鉄筋コンクリート造"</f>
        <v>鉄筋コンクリート造</v>
      </c>
      <c r="L4579" s="7" t="str">
        <f>"H05.03.31"</f>
        <v>H05.03.31</v>
      </c>
      <c r="M4579" s="7">
        <v>9</v>
      </c>
      <c r="N4579" s="7">
        <v>2810000</v>
      </c>
      <c r="O4579" s="7">
        <v>2218680</v>
      </c>
      <c r="P4579" s="7">
        <v>0</v>
      </c>
      <c r="Q4579" s="7" t="str">
        <f t="shared" si="1647"/>
        <v>教育庁</v>
      </c>
      <c r="R4579" s="7" t="str">
        <f t="shared" si="1651"/>
        <v>天王寺高等学校</v>
      </c>
    </row>
    <row r="4580" spans="1:18" s="1" customFormat="1" x14ac:dyDescent="0.45">
      <c r="A4580" s="7" t="str">
        <f t="shared" si="1648"/>
        <v>10352000000</v>
      </c>
      <c r="B4580" s="7" t="str">
        <f t="shared" si="1649"/>
        <v>天王寺高等学校</v>
      </c>
      <c r="C4580" s="7" t="str">
        <f t="shared" si="1643"/>
        <v>行政財産</v>
      </c>
      <c r="D4580" s="7" t="str">
        <f t="shared" si="1630"/>
        <v>学校</v>
      </c>
      <c r="E4580" s="7" t="str">
        <f t="shared" si="1650"/>
        <v>大阪府大阪市　阿倍野区三明町２丁目</v>
      </c>
      <c r="F4580" s="7"/>
      <c r="G4580" s="7" t="str">
        <f t="shared" si="1646"/>
        <v>事業用資産</v>
      </c>
      <c r="H4580" s="7" t="str">
        <f t="shared" si="1635"/>
        <v>棚卸以外</v>
      </c>
      <c r="I4580" s="7">
        <v>305</v>
      </c>
      <c r="J4580" s="7" t="str">
        <f>"倉庫棟"</f>
        <v>倉庫棟</v>
      </c>
      <c r="K4580" s="7" t="str">
        <f>"鉄骨造"</f>
        <v>鉄骨造</v>
      </c>
      <c r="L4580" s="7" t="str">
        <f>"H06.03.31"</f>
        <v>H06.03.31</v>
      </c>
      <c r="M4580" s="7">
        <v>283.5</v>
      </c>
      <c r="N4580" s="7">
        <v>43487000</v>
      </c>
      <c r="O4580" s="7">
        <v>40681548</v>
      </c>
      <c r="P4580" s="7">
        <v>0</v>
      </c>
      <c r="Q4580" s="7" t="str">
        <f t="shared" si="1647"/>
        <v>教育庁</v>
      </c>
      <c r="R4580" s="7" t="str">
        <f t="shared" si="1651"/>
        <v>天王寺高等学校</v>
      </c>
    </row>
    <row r="4581" spans="1:18" s="1" customFormat="1" x14ac:dyDescent="0.45">
      <c r="A4581" s="7" t="str">
        <f t="shared" si="1648"/>
        <v>10352000000</v>
      </c>
      <c r="B4581" s="7" t="str">
        <f t="shared" si="1649"/>
        <v>天王寺高等学校</v>
      </c>
      <c r="C4581" s="7" t="str">
        <f t="shared" si="1643"/>
        <v>行政財産</v>
      </c>
      <c r="D4581" s="7" t="str">
        <f t="shared" si="1630"/>
        <v>学校</v>
      </c>
      <c r="E4581" s="7" t="str">
        <f t="shared" si="1650"/>
        <v>大阪府大阪市　阿倍野区三明町２丁目</v>
      </c>
      <c r="F4581" s="7"/>
      <c r="G4581" s="7" t="str">
        <f t="shared" si="1646"/>
        <v>事業用資産</v>
      </c>
      <c r="H4581" s="7" t="str">
        <f t="shared" si="1635"/>
        <v>棚卸以外</v>
      </c>
      <c r="I4581" s="7">
        <v>306</v>
      </c>
      <c r="J4581" s="7" t="str">
        <f>"桃陰会館"</f>
        <v>桃陰会館</v>
      </c>
      <c r="K4581" s="7" t="str">
        <f>"鉄骨造"</f>
        <v>鉄骨造</v>
      </c>
      <c r="L4581" s="7" t="str">
        <f>"H06.04.30"</f>
        <v>H06.04.30</v>
      </c>
      <c r="M4581" s="7">
        <v>323.43</v>
      </c>
      <c r="N4581" s="7">
        <v>95063000</v>
      </c>
      <c r="O4581" s="7">
        <v>72131312</v>
      </c>
      <c r="P4581" s="7">
        <v>0</v>
      </c>
      <c r="Q4581" s="7" t="str">
        <f t="shared" si="1647"/>
        <v>教育庁</v>
      </c>
      <c r="R4581" s="7" t="str">
        <f t="shared" si="1651"/>
        <v>天王寺高等学校</v>
      </c>
    </row>
    <row r="4582" spans="1:18" s="1" customFormat="1" x14ac:dyDescent="0.45">
      <c r="A4582" s="7" t="str">
        <f t="shared" ref="A4582:A4590" si="1652">"10353000000"</f>
        <v>10353000000</v>
      </c>
      <c r="B4582" s="7" t="str">
        <f t="shared" ref="B4582:B4590" si="1653">"阿倍野高等学校"</f>
        <v>阿倍野高等学校</v>
      </c>
      <c r="C4582" s="7" t="str">
        <f t="shared" si="1643"/>
        <v>行政財産</v>
      </c>
      <c r="D4582" s="7" t="str">
        <f t="shared" si="1630"/>
        <v>学校</v>
      </c>
      <c r="E4582" s="7" t="str">
        <f t="shared" ref="E4582:E4590" si="1654">"大阪府大阪市　阿倍野区阪南町１丁目"</f>
        <v>大阪府大阪市　阿倍野区阪南町１丁目</v>
      </c>
      <c r="F4582" s="7"/>
      <c r="G4582" s="7" t="str">
        <f t="shared" si="1646"/>
        <v>事業用資産</v>
      </c>
      <c r="H4582" s="7" t="str">
        <f t="shared" si="1635"/>
        <v>棚卸以外</v>
      </c>
      <c r="I4582" s="7">
        <v>18</v>
      </c>
      <c r="J4582" s="7" t="str">
        <f>"創立４０周年記念会館"</f>
        <v>創立４０周年記念会館</v>
      </c>
      <c r="K4582" s="7" t="str">
        <f>"鉄筋コンクリート造"</f>
        <v>鉄筋コンクリート造</v>
      </c>
      <c r="L4582" s="7" t="str">
        <f>"S38.03.05"</f>
        <v>S38.03.05</v>
      </c>
      <c r="M4582" s="7">
        <v>523.73</v>
      </c>
      <c r="N4582" s="7">
        <v>16824799</v>
      </c>
      <c r="O4582" s="7">
        <v>13703420</v>
      </c>
      <c r="P4582" s="7">
        <v>0</v>
      </c>
      <c r="Q4582" s="7" t="str">
        <f t="shared" si="1647"/>
        <v>教育庁</v>
      </c>
      <c r="R4582" s="7" t="str">
        <f t="shared" ref="R4582:R4590" si="1655">"阿倍野高等学校"</f>
        <v>阿倍野高等学校</v>
      </c>
    </row>
    <row r="4583" spans="1:18" s="1" customFormat="1" x14ac:dyDescent="0.45">
      <c r="A4583" s="7" t="str">
        <f t="shared" si="1652"/>
        <v>10353000000</v>
      </c>
      <c r="B4583" s="7" t="str">
        <f t="shared" si="1653"/>
        <v>阿倍野高等学校</v>
      </c>
      <c r="C4583" s="7" t="str">
        <f t="shared" si="1643"/>
        <v>行政財産</v>
      </c>
      <c r="D4583" s="7" t="str">
        <f t="shared" si="1630"/>
        <v>学校</v>
      </c>
      <c r="E4583" s="7" t="str">
        <f t="shared" si="1654"/>
        <v>大阪府大阪市　阿倍野区阪南町１丁目</v>
      </c>
      <c r="F4583" s="7"/>
      <c r="G4583" s="7" t="str">
        <f t="shared" si="1646"/>
        <v>事業用資産</v>
      </c>
      <c r="H4583" s="7" t="str">
        <f t="shared" si="1635"/>
        <v>棚卸以外</v>
      </c>
      <c r="I4583" s="7">
        <v>22</v>
      </c>
      <c r="J4583" s="7" t="str">
        <f>"生徒更衣室"</f>
        <v>生徒更衣室</v>
      </c>
      <c r="K4583" s="7" t="str">
        <f>"鉄筋コンクリート造"</f>
        <v>鉄筋コンクリート造</v>
      </c>
      <c r="L4583" s="7" t="str">
        <f>"S42.03.25"</f>
        <v>S42.03.25</v>
      </c>
      <c r="M4583" s="7">
        <v>82.5</v>
      </c>
      <c r="N4583" s="7">
        <v>3482800</v>
      </c>
      <c r="O4583" s="7">
        <v>3482799</v>
      </c>
      <c r="P4583" s="7">
        <v>0</v>
      </c>
      <c r="Q4583" s="7" t="str">
        <f t="shared" si="1647"/>
        <v>教育庁</v>
      </c>
      <c r="R4583" s="7" t="str">
        <f t="shared" si="1655"/>
        <v>阿倍野高等学校</v>
      </c>
    </row>
    <row r="4584" spans="1:18" s="1" customFormat="1" x14ac:dyDescent="0.45">
      <c r="A4584" s="7" t="str">
        <f t="shared" si="1652"/>
        <v>10353000000</v>
      </c>
      <c r="B4584" s="7" t="str">
        <f t="shared" si="1653"/>
        <v>阿倍野高等学校</v>
      </c>
      <c r="C4584" s="7" t="str">
        <f t="shared" si="1643"/>
        <v>行政財産</v>
      </c>
      <c r="D4584" s="7" t="str">
        <f t="shared" si="1630"/>
        <v>学校</v>
      </c>
      <c r="E4584" s="7" t="str">
        <f t="shared" si="1654"/>
        <v>大阪府大阪市　阿倍野区阪南町１丁目</v>
      </c>
      <c r="F4584" s="7"/>
      <c r="G4584" s="7" t="str">
        <f t="shared" si="1646"/>
        <v>事業用資産</v>
      </c>
      <c r="H4584" s="7" t="str">
        <f t="shared" si="1635"/>
        <v>棚卸以外</v>
      </c>
      <c r="I4584" s="7">
        <v>25</v>
      </c>
      <c r="J4584" s="7" t="str">
        <f>"体育館"</f>
        <v>体育館</v>
      </c>
      <c r="K4584" s="7" t="str">
        <f>"鉄筋コンクリート造"</f>
        <v>鉄筋コンクリート造</v>
      </c>
      <c r="L4584" s="7" t="str">
        <f>"S48.09.27"</f>
        <v>S48.09.27</v>
      </c>
      <c r="M4584" s="7">
        <v>2332.36</v>
      </c>
      <c r="N4584" s="7">
        <v>201687317</v>
      </c>
      <c r="O4584" s="7">
        <v>143928510</v>
      </c>
      <c r="P4584" s="7">
        <v>0</v>
      </c>
      <c r="Q4584" s="7" t="str">
        <f t="shared" si="1647"/>
        <v>教育庁</v>
      </c>
      <c r="R4584" s="7" t="str">
        <f t="shared" si="1655"/>
        <v>阿倍野高等学校</v>
      </c>
    </row>
    <row r="4585" spans="1:18" s="1" customFormat="1" x14ac:dyDescent="0.45">
      <c r="A4585" s="7" t="str">
        <f t="shared" si="1652"/>
        <v>10353000000</v>
      </c>
      <c r="B4585" s="7" t="str">
        <f t="shared" si="1653"/>
        <v>阿倍野高等学校</v>
      </c>
      <c r="C4585" s="7" t="str">
        <f t="shared" si="1643"/>
        <v>行政財産</v>
      </c>
      <c r="D4585" s="7" t="str">
        <f t="shared" si="1630"/>
        <v>学校</v>
      </c>
      <c r="E4585" s="7" t="str">
        <f t="shared" si="1654"/>
        <v>大阪府大阪市　阿倍野区阪南町１丁目</v>
      </c>
      <c r="F4585" s="7"/>
      <c r="G4585" s="7" t="str">
        <f t="shared" si="1646"/>
        <v>事業用資産</v>
      </c>
      <c r="H4585" s="7" t="str">
        <f t="shared" si="1635"/>
        <v>棚卸以外</v>
      </c>
      <c r="I4585" s="7">
        <v>27</v>
      </c>
      <c r="J4585" s="7" t="str">
        <f>"作法室"</f>
        <v>作法室</v>
      </c>
      <c r="K4585" s="7" t="str">
        <f>"鉄骨造"</f>
        <v>鉄骨造</v>
      </c>
      <c r="L4585" s="7" t="str">
        <f>"S55.09.17"</f>
        <v>S55.09.17</v>
      </c>
      <c r="M4585" s="7">
        <v>70.37</v>
      </c>
      <c r="N4585" s="7">
        <v>8592000</v>
      </c>
      <c r="O4585" s="7">
        <v>8591999</v>
      </c>
      <c r="P4585" s="7">
        <v>0</v>
      </c>
      <c r="Q4585" s="7" t="str">
        <f t="shared" si="1647"/>
        <v>教育庁</v>
      </c>
      <c r="R4585" s="7" t="str">
        <f t="shared" si="1655"/>
        <v>阿倍野高等学校</v>
      </c>
    </row>
    <row r="4586" spans="1:18" s="1" customFormat="1" x14ac:dyDescent="0.45">
      <c r="A4586" s="7" t="str">
        <f t="shared" si="1652"/>
        <v>10353000000</v>
      </c>
      <c r="B4586" s="7" t="str">
        <f t="shared" si="1653"/>
        <v>阿倍野高等学校</v>
      </c>
      <c r="C4586" s="7" t="str">
        <f t="shared" si="1643"/>
        <v>行政財産</v>
      </c>
      <c r="D4586" s="7" t="str">
        <f t="shared" si="1630"/>
        <v>学校</v>
      </c>
      <c r="E4586" s="7" t="str">
        <f t="shared" si="1654"/>
        <v>大阪府大阪市　阿倍野区阪南町１丁目</v>
      </c>
      <c r="F4586" s="7"/>
      <c r="G4586" s="7" t="str">
        <f t="shared" si="1646"/>
        <v>事業用資産</v>
      </c>
      <c r="H4586" s="7" t="str">
        <f t="shared" si="1635"/>
        <v>棚卸以外</v>
      </c>
      <c r="I4586" s="7">
        <v>28</v>
      </c>
      <c r="J4586" s="7" t="str">
        <f>"本館"</f>
        <v>本館</v>
      </c>
      <c r="K4586" s="7" t="str">
        <f>"鉄筋コンクリート造"</f>
        <v>鉄筋コンクリート造</v>
      </c>
      <c r="L4586" s="7" t="str">
        <f>"S60.03.23"</f>
        <v>S60.03.23</v>
      </c>
      <c r="M4586" s="7">
        <v>4399.5</v>
      </c>
      <c r="N4586" s="7">
        <v>816371673</v>
      </c>
      <c r="O4586" s="7">
        <v>623047854</v>
      </c>
      <c r="P4586" s="7">
        <v>0</v>
      </c>
      <c r="Q4586" s="7" t="str">
        <f t="shared" si="1647"/>
        <v>教育庁</v>
      </c>
      <c r="R4586" s="7" t="str">
        <f t="shared" si="1655"/>
        <v>阿倍野高等学校</v>
      </c>
    </row>
    <row r="4587" spans="1:18" s="1" customFormat="1" x14ac:dyDescent="0.45">
      <c r="A4587" s="7" t="str">
        <f t="shared" si="1652"/>
        <v>10353000000</v>
      </c>
      <c r="B4587" s="7" t="str">
        <f t="shared" si="1653"/>
        <v>阿倍野高等学校</v>
      </c>
      <c r="C4587" s="7" t="str">
        <f t="shared" si="1643"/>
        <v>行政財産</v>
      </c>
      <c r="D4587" s="7" t="str">
        <f t="shared" si="1630"/>
        <v>学校</v>
      </c>
      <c r="E4587" s="7" t="str">
        <f t="shared" si="1654"/>
        <v>大阪府大阪市　阿倍野区阪南町１丁目</v>
      </c>
      <c r="F4587" s="7"/>
      <c r="G4587" s="7" t="str">
        <f t="shared" si="1646"/>
        <v>事業用資産</v>
      </c>
      <c r="H4587" s="7" t="str">
        <f t="shared" si="1635"/>
        <v>棚卸以外</v>
      </c>
      <c r="I4587" s="7">
        <v>29</v>
      </c>
      <c r="J4587" s="7" t="str">
        <f>"東館"</f>
        <v>東館</v>
      </c>
      <c r="K4587" s="7" t="str">
        <f>"鉄筋コンクリート造"</f>
        <v>鉄筋コンクリート造</v>
      </c>
      <c r="L4587" s="7" t="str">
        <f>"S61.03.24"</f>
        <v>S61.03.24</v>
      </c>
      <c r="M4587" s="7">
        <v>3907.99</v>
      </c>
      <c r="N4587" s="7">
        <v>731852928</v>
      </c>
      <c r="O4587" s="7">
        <v>509869873</v>
      </c>
      <c r="P4587" s="7">
        <v>0</v>
      </c>
      <c r="Q4587" s="7" t="str">
        <f t="shared" si="1647"/>
        <v>教育庁</v>
      </c>
      <c r="R4587" s="7" t="str">
        <f t="shared" si="1655"/>
        <v>阿倍野高等学校</v>
      </c>
    </row>
    <row r="4588" spans="1:18" s="1" customFormat="1" x14ac:dyDescent="0.45">
      <c r="A4588" s="7" t="str">
        <f t="shared" si="1652"/>
        <v>10353000000</v>
      </c>
      <c r="B4588" s="7" t="str">
        <f t="shared" si="1653"/>
        <v>阿倍野高等学校</v>
      </c>
      <c r="C4588" s="7" t="str">
        <f t="shared" si="1643"/>
        <v>行政財産</v>
      </c>
      <c r="D4588" s="7" t="str">
        <f t="shared" si="1630"/>
        <v>学校</v>
      </c>
      <c r="E4588" s="7" t="str">
        <f t="shared" si="1654"/>
        <v>大阪府大阪市　阿倍野区阪南町１丁目</v>
      </c>
      <c r="F4588" s="7"/>
      <c r="G4588" s="7" t="str">
        <f t="shared" si="1646"/>
        <v>事業用資産</v>
      </c>
      <c r="H4588" s="7" t="str">
        <f t="shared" si="1635"/>
        <v>棚卸以外</v>
      </c>
      <c r="I4588" s="7">
        <v>30</v>
      </c>
      <c r="J4588" s="7" t="str">
        <f>"北館"</f>
        <v>北館</v>
      </c>
      <c r="K4588" s="7" t="str">
        <f>"鉄筋コンクリート造"</f>
        <v>鉄筋コンクリート造</v>
      </c>
      <c r="L4588" s="7" t="str">
        <f>"S62.02.28"</f>
        <v>S62.02.28</v>
      </c>
      <c r="M4588" s="7">
        <v>2243.4299999999998</v>
      </c>
      <c r="N4588" s="7">
        <v>301453154</v>
      </c>
      <c r="O4588" s="7">
        <v>212784072</v>
      </c>
      <c r="P4588" s="7">
        <v>0</v>
      </c>
      <c r="Q4588" s="7" t="str">
        <f t="shared" si="1647"/>
        <v>教育庁</v>
      </c>
      <c r="R4588" s="7" t="str">
        <f t="shared" si="1655"/>
        <v>阿倍野高等学校</v>
      </c>
    </row>
    <row r="4589" spans="1:18" s="1" customFormat="1" x14ac:dyDescent="0.45">
      <c r="A4589" s="7" t="str">
        <f t="shared" si="1652"/>
        <v>10353000000</v>
      </c>
      <c r="B4589" s="7" t="str">
        <f t="shared" si="1653"/>
        <v>阿倍野高等学校</v>
      </c>
      <c r="C4589" s="7" t="str">
        <f t="shared" si="1643"/>
        <v>行政財産</v>
      </c>
      <c r="D4589" s="7" t="str">
        <f t="shared" si="1630"/>
        <v>学校</v>
      </c>
      <c r="E4589" s="7" t="str">
        <f t="shared" si="1654"/>
        <v>大阪府大阪市　阿倍野区阪南町１丁目</v>
      </c>
      <c r="F4589" s="7"/>
      <c r="G4589" s="7" t="str">
        <f t="shared" si="1646"/>
        <v>事業用資産</v>
      </c>
      <c r="H4589" s="7" t="str">
        <f t="shared" si="1635"/>
        <v>棚卸以外</v>
      </c>
      <c r="I4589" s="7">
        <v>31</v>
      </c>
      <c r="J4589" s="7" t="str">
        <f>"倉庫"</f>
        <v>倉庫</v>
      </c>
      <c r="K4589" s="7" t="str">
        <f>"鉄骨造"</f>
        <v>鉄骨造</v>
      </c>
      <c r="L4589" s="7" t="str">
        <f>"S63.03.14"</f>
        <v>S63.03.14</v>
      </c>
      <c r="M4589" s="7">
        <v>102</v>
      </c>
      <c r="N4589" s="7">
        <v>7796000</v>
      </c>
      <c r="O4589" s="7">
        <v>7795999</v>
      </c>
      <c r="P4589" s="7">
        <v>0</v>
      </c>
      <c r="Q4589" s="7" t="str">
        <f t="shared" si="1647"/>
        <v>教育庁</v>
      </c>
      <c r="R4589" s="7" t="str">
        <f t="shared" si="1655"/>
        <v>阿倍野高等学校</v>
      </c>
    </row>
    <row r="4590" spans="1:18" s="1" customFormat="1" x14ac:dyDescent="0.45">
      <c r="A4590" s="7" t="str">
        <f t="shared" si="1652"/>
        <v>10353000000</v>
      </c>
      <c r="B4590" s="7" t="str">
        <f t="shared" si="1653"/>
        <v>阿倍野高等学校</v>
      </c>
      <c r="C4590" s="7" t="str">
        <f t="shared" si="1643"/>
        <v>行政財産</v>
      </c>
      <c r="D4590" s="7" t="str">
        <f t="shared" si="1630"/>
        <v>学校</v>
      </c>
      <c r="E4590" s="7" t="str">
        <f t="shared" si="1654"/>
        <v>大阪府大阪市　阿倍野区阪南町１丁目</v>
      </c>
      <c r="F4590" s="7"/>
      <c r="G4590" s="7" t="str">
        <f t="shared" si="1646"/>
        <v>事業用資産</v>
      </c>
      <c r="H4590" s="7" t="str">
        <f t="shared" si="1635"/>
        <v>棚卸以外</v>
      </c>
      <c r="I4590" s="7">
        <v>33</v>
      </c>
      <c r="J4590" s="7" t="str">
        <f>"クラブ室"</f>
        <v>クラブ室</v>
      </c>
      <c r="K4590" s="7" t="str">
        <f>"コンクリートブロック造"</f>
        <v>コンクリートブロック造</v>
      </c>
      <c r="L4590" s="7" t="str">
        <f>"S63.07.22"</f>
        <v>S63.07.22</v>
      </c>
      <c r="M4590" s="7">
        <v>62.6</v>
      </c>
      <c r="N4590" s="7">
        <v>4450000</v>
      </c>
      <c r="O4590" s="7">
        <v>4449999</v>
      </c>
      <c r="P4590" s="7">
        <v>0</v>
      </c>
      <c r="Q4590" s="7" t="str">
        <f t="shared" si="1647"/>
        <v>教育庁</v>
      </c>
      <c r="R4590" s="7" t="str">
        <f t="shared" si="1655"/>
        <v>阿倍野高等学校</v>
      </c>
    </row>
    <row r="4591" spans="1:18" s="1" customFormat="1" x14ac:dyDescent="0.45">
      <c r="A4591" s="7" t="str">
        <f t="shared" ref="A4591:A4602" si="1656">"10354000000"</f>
        <v>10354000000</v>
      </c>
      <c r="B4591" s="7" t="str">
        <f t="shared" ref="B4591:B4602" si="1657">"住吉高等学校"</f>
        <v>住吉高等学校</v>
      </c>
      <c r="C4591" s="7" t="str">
        <f t="shared" si="1643"/>
        <v>行政財産</v>
      </c>
      <c r="D4591" s="7" t="str">
        <f t="shared" si="1630"/>
        <v>学校</v>
      </c>
      <c r="E4591" s="7" t="str">
        <f t="shared" ref="E4591:E4602" si="1658">"大阪府大阪市　阿倍野区北畠２丁目"</f>
        <v>大阪府大阪市　阿倍野区北畠２丁目</v>
      </c>
      <c r="F4591" s="7"/>
      <c r="G4591" s="7" t="str">
        <f t="shared" si="1646"/>
        <v>事業用資産</v>
      </c>
      <c r="H4591" s="7" t="str">
        <f t="shared" si="1635"/>
        <v>棚卸以外</v>
      </c>
      <c r="I4591" s="7">
        <v>15</v>
      </c>
      <c r="J4591" s="7" t="str">
        <f>"理科家庭科棟"</f>
        <v>理科家庭科棟</v>
      </c>
      <c r="K4591" s="7" t="str">
        <f>"鉄筋コンクリート造"</f>
        <v>鉄筋コンクリート造</v>
      </c>
      <c r="L4591" s="7" t="str">
        <f>"S46.03.28"</f>
        <v>S46.03.28</v>
      </c>
      <c r="M4591" s="7">
        <v>2500.21</v>
      </c>
      <c r="N4591" s="7">
        <v>239752859</v>
      </c>
      <c r="O4591" s="7">
        <v>181004307</v>
      </c>
      <c r="P4591" s="7">
        <v>0</v>
      </c>
      <c r="Q4591" s="7" t="str">
        <f t="shared" si="1647"/>
        <v>教育庁</v>
      </c>
      <c r="R4591" s="7" t="str">
        <f t="shared" ref="R4591:R4602" si="1659">"住吉高等学校"</f>
        <v>住吉高等学校</v>
      </c>
    </row>
    <row r="4592" spans="1:18" s="1" customFormat="1" x14ac:dyDescent="0.45">
      <c r="A4592" s="7" t="str">
        <f t="shared" si="1656"/>
        <v>10354000000</v>
      </c>
      <c r="B4592" s="7" t="str">
        <f t="shared" si="1657"/>
        <v>住吉高等学校</v>
      </c>
      <c r="C4592" s="7" t="str">
        <f t="shared" si="1643"/>
        <v>行政財産</v>
      </c>
      <c r="D4592" s="7" t="str">
        <f t="shared" si="1630"/>
        <v>学校</v>
      </c>
      <c r="E4592" s="7" t="str">
        <f t="shared" si="1658"/>
        <v>大阪府大阪市　阿倍野区北畠２丁目</v>
      </c>
      <c r="F4592" s="7"/>
      <c r="G4592" s="7" t="str">
        <f t="shared" si="1646"/>
        <v>事業用資産</v>
      </c>
      <c r="H4592" s="7" t="str">
        <f t="shared" si="1635"/>
        <v>棚卸以外</v>
      </c>
      <c r="I4592" s="7">
        <v>39</v>
      </c>
      <c r="J4592" s="7" t="str">
        <f>"プール更衣室"</f>
        <v>プール更衣室</v>
      </c>
      <c r="K4592" s="7" t="str">
        <f>"コンクリートブロック造"</f>
        <v>コンクリートブロック造</v>
      </c>
      <c r="L4592" s="7" t="str">
        <f>"S44.02.28"</f>
        <v>S44.02.28</v>
      </c>
      <c r="M4592" s="7">
        <v>150.75</v>
      </c>
      <c r="N4592" s="7">
        <v>5802800</v>
      </c>
      <c r="O4592" s="7">
        <v>5752351</v>
      </c>
      <c r="P4592" s="7">
        <v>0</v>
      </c>
      <c r="Q4592" s="7" t="str">
        <f t="shared" si="1647"/>
        <v>教育庁</v>
      </c>
      <c r="R4592" s="7" t="str">
        <f t="shared" si="1659"/>
        <v>住吉高等学校</v>
      </c>
    </row>
    <row r="4593" spans="1:18" s="1" customFormat="1" x14ac:dyDescent="0.45">
      <c r="A4593" s="7" t="str">
        <f t="shared" si="1656"/>
        <v>10354000000</v>
      </c>
      <c r="B4593" s="7" t="str">
        <f t="shared" si="1657"/>
        <v>住吉高等学校</v>
      </c>
      <c r="C4593" s="7" t="str">
        <f t="shared" si="1643"/>
        <v>行政財産</v>
      </c>
      <c r="D4593" s="7" t="str">
        <f t="shared" si="1630"/>
        <v>学校</v>
      </c>
      <c r="E4593" s="7" t="str">
        <f t="shared" si="1658"/>
        <v>大阪府大阪市　阿倍野区北畠２丁目</v>
      </c>
      <c r="F4593" s="7"/>
      <c r="G4593" s="7" t="str">
        <f t="shared" si="1646"/>
        <v>事業用資産</v>
      </c>
      <c r="H4593" s="7" t="str">
        <f t="shared" si="1635"/>
        <v>棚卸以外</v>
      </c>
      <c r="I4593" s="7">
        <v>43</v>
      </c>
      <c r="J4593" s="7" t="str">
        <f>"南館"</f>
        <v>南館</v>
      </c>
      <c r="K4593" s="7" t="str">
        <f t="shared" ref="K4593:K4598" si="1660">"鉄筋コンクリート造"</f>
        <v>鉄筋コンクリート造</v>
      </c>
      <c r="L4593" s="7" t="str">
        <f>"S49.05.15"</f>
        <v>S49.05.15</v>
      </c>
      <c r="M4593" s="7">
        <v>2190.5</v>
      </c>
      <c r="N4593" s="7">
        <v>242110225</v>
      </c>
      <c r="O4593" s="7">
        <v>173859988</v>
      </c>
      <c r="P4593" s="7">
        <v>0</v>
      </c>
      <c r="Q4593" s="7" t="str">
        <f t="shared" si="1647"/>
        <v>教育庁</v>
      </c>
      <c r="R4593" s="7" t="str">
        <f t="shared" si="1659"/>
        <v>住吉高等学校</v>
      </c>
    </row>
    <row r="4594" spans="1:18" s="1" customFormat="1" x14ac:dyDescent="0.45">
      <c r="A4594" s="7" t="str">
        <f t="shared" si="1656"/>
        <v>10354000000</v>
      </c>
      <c r="B4594" s="7" t="str">
        <f t="shared" si="1657"/>
        <v>住吉高等学校</v>
      </c>
      <c r="C4594" s="7" t="str">
        <f t="shared" si="1643"/>
        <v>行政財産</v>
      </c>
      <c r="D4594" s="7" t="str">
        <f t="shared" si="1630"/>
        <v>学校</v>
      </c>
      <c r="E4594" s="7" t="str">
        <f t="shared" si="1658"/>
        <v>大阪府大阪市　阿倍野区北畠２丁目</v>
      </c>
      <c r="F4594" s="7"/>
      <c r="G4594" s="7" t="str">
        <f t="shared" si="1646"/>
        <v>事業用資産</v>
      </c>
      <c r="H4594" s="7" t="str">
        <f t="shared" si="1635"/>
        <v>棚卸以外</v>
      </c>
      <c r="I4594" s="7">
        <v>46</v>
      </c>
      <c r="J4594" s="7" t="str">
        <f>"本館"</f>
        <v>本館</v>
      </c>
      <c r="K4594" s="7" t="str">
        <f t="shared" si="1660"/>
        <v>鉄筋コンクリート造</v>
      </c>
      <c r="L4594" s="7" t="str">
        <f>"S50.07.31"</f>
        <v>S50.07.31</v>
      </c>
      <c r="M4594" s="7">
        <v>6235.52</v>
      </c>
      <c r="N4594" s="7">
        <v>605684880</v>
      </c>
      <c r="O4594" s="7">
        <v>539435859</v>
      </c>
      <c r="P4594" s="7">
        <v>0</v>
      </c>
      <c r="Q4594" s="7" t="str">
        <f t="shared" si="1647"/>
        <v>教育庁</v>
      </c>
      <c r="R4594" s="7" t="str">
        <f t="shared" si="1659"/>
        <v>住吉高等学校</v>
      </c>
    </row>
    <row r="4595" spans="1:18" s="1" customFormat="1" x14ac:dyDescent="0.45">
      <c r="A4595" s="7" t="str">
        <f t="shared" si="1656"/>
        <v>10354000000</v>
      </c>
      <c r="B4595" s="7" t="str">
        <f t="shared" si="1657"/>
        <v>住吉高等学校</v>
      </c>
      <c r="C4595" s="7" t="str">
        <f t="shared" si="1643"/>
        <v>行政財産</v>
      </c>
      <c r="D4595" s="7" t="str">
        <f t="shared" si="1630"/>
        <v>学校</v>
      </c>
      <c r="E4595" s="7" t="str">
        <f t="shared" si="1658"/>
        <v>大阪府大阪市　阿倍野区北畠２丁目</v>
      </c>
      <c r="F4595" s="7"/>
      <c r="G4595" s="7" t="str">
        <f t="shared" si="1646"/>
        <v>事業用資産</v>
      </c>
      <c r="H4595" s="7" t="str">
        <f t="shared" si="1635"/>
        <v>棚卸以外</v>
      </c>
      <c r="I4595" s="7">
        <v>47</v>
      </c>
      <c r="J4595" s="7" t="str">
        <f>"設備棟"</f>
        <v>設備棟</v>
      </c>
      <c r="K4595" s="7" t="str">
        <f t="shared" si="1660"/>
        <v>鉄筋コンクリート造</v>
      </c>
      <c r="L4595" s="7" t="str">
        <f>"S50.07.31"</f>
        <v>S50.07.31</v>
      </c>
      <c r="M4595" s="7">
        <v>117</v>
      </c>
      <c r="N4595" s="7">
        <v>27485375</v>
      </c>
      <c r="O4595" s="7">
        <v>23984535</v>
      </c>
      <c r="P4595" s="7">
        <v>0</v>
      </c>
      <c r="Q4595" s="7" t="str">
        <f t="shared" si="1647"/>
        <v>教育庁</v>
      </c>
      <c r="R4595" s="7" t="str">
        <f t="shared" si="1659"/>
        <v>住吉高等学校</v>
      </c>
    </row>
    <row r="4596" spans="1:18" s="1" customFormat="1" x14ac:dyDescent="0.45">
      <c r="A4596" s="7" t="str">
        <f t="shared" si="1656"/>
        <v>10354000000</v>
      </c>
      <c r="B4596" s="7" t="str">
        <f t="shared" si="1657"/>
        <v>住吉高等学校</v>
      </c>
      <c r="C4596" s="7" t="str">
        <f t="shared" si="1643"/>
        <v>行政財産</v>
      </c>
      <c r="D4596" s="7" t="str">
        <f t="shared" si="1630"/>
        <v>学校</v>
      </c>
      <c r="E4596" s="7" t="str">
        <f t="shared" si="1658"/>
        <v>大阪府大阪市　阿倍野区北畠２丁目</v>
      </c>
      <c r="F4596" s="7"/>
      <c r="G4596" s="7" t="str">
        <f t="shared" si="1646"/>
        <v>事業用資産</v>
      </c>
      <c r="H4596" s="7" t="str">
        <f t="shared" si="1635"/>
        <v>棚卸以外</v>
      </c>
      <c r="I4596" s="7">
        <v>49</v>
      </c>
      <c r="J4596" s="7" t="str">
        <f>"体育館"</f>
        <v>体育館</v>
      </c>
      <c r="K4596" s="7" t="str">
        <f t="shared" si="1660"/>
        <v>鉄筋コンクリート造</v>
      </c>
      <c r="L4596" s="7" t="str">
        <f>"S51.06.30"</f>
        <v>S51.06.30</v>
      </c>
      <c r="M4596" s="7">
        <v>3050.73</v>
      </c>
      <c r="N4596" s="7">
        <v>288347654</v>
      </c>
      <c r="O4596" s="7">
        <v>235537670</v>
      </c>
      <c r="P4596" s="7">
        <v>0</v>
      </c>
      <c r="Q4596" s="7" t="str">
        <f t="shared" si="1647"/>
        <v>教育庁</v>
      </c>
      <c r="R4596" s="7" t="str">
        <f t="shared" si="1659"/>
        <v>住吉高等学校</v>
      </c>
    </row>
    <row r="4597" spans="1:18" s="1" customFormat="1" x14ac:dyDescent="0.45">
      <c r="A4597" s="7" t="str">
        <f t="shared" si="1656"/>
        <v>10354000000</v>
      </c>
      <c r="B4597" s="7" t="str">
        <f t="shared" si="1657"/>
        <v>住吉高等学校</v>
      </c>
      <c r="C4597" s="7" t="str">
        <f t="shared" si="1643"/>
        <v>行政財産</v>
      </c>
      <c r="D4597" s="7" t="str">
        <f t="shared" si="1630"/>
        <v>学校</v>
      </c>
      <c r="E4597" s="7" t="str">
        <f t="shared" si="1658"/>
        <v>大阪府大阪市　阿倍野区北畠２丁目</v>
      </c>
      <c r="F4597" s="7"/>
      <c r="G4597" s="7" t="str">
        <f t="shared" si="1646"/>
        <v>事業用資産</v>
      </c>
      <c r="H4597" s="7" t="str">
        <f t="shared" si="1635"/>
        <v>棚卸以外</v>
      </c>
      <c r="I4597" s="7">
        <v>51</v>
      </c>
      <c r="J4597" s="7" t="str">
        <f>"食堂視聴覚棟"</f>
        <v>食堂視聴覚棟</v>
      </c>
      <c r="K4597" s="7" t="str">
        <f t="shared" si="1660"/>
        <v>鉄筋コンクリート造</v>
      </c>
      <c r="L4597" s="7" t="str">
        <f>"S53.08.31"</f>
        <v>S53.08.31</v>
      </c>
      <c r="M4597" s="7">
        <v>747.81</v>
      </c>
      <c r="N4597" s="7">
        <v>113097539</v>
      </c>
      <c r="O4597" s="7">
        <v>72288042</v>
      </c>
      <c r="P4597" s="7">
        <v>0</v>
      </c>
      <c r="Q4597" s="7" t="str">
        <f t="shared" si="1647"/>
        <v>教育庁</v>
      </c>
      <c r="R4597" s="7" t="str">
        <f t="shared" si="1659"/>
        <v>住吉高等学校</v>
      </c>
    </row>
    <row r="4598" spans="1:18" s="1" customFormat="1" x14ac:dyDescent="0.45">
      <c r="A4598" s="7" t="str">
        <f t="shared" si="1656"/>
        <v>10354000000</v>
      </c>
      <c r="B4598" s="7" t="str">
        <f t="shared" si="1657"/>
        <v>住吉高等学校</v>
      </c>
      <c r="C4598" s="7" t="str">
        <f t="shared" si="1643"/>
        <v>行政財産</v>
      </c>
      <c r="D4598" s="7" t="str">
        <f t="shared" si="1630"/>
        <v>学校</v>
      </c>
      <c r="E4598" s="7" t="str">
        <f t="shared" si="1658"/>
        <v>大阪府大阪市　阿倍野区北畠２丁目</v>
      </c>
      <c r="F4598" s="7"/>
      <c r="G4598" s="7" t="str">
        <f t="shared" si="1646"/>
        <v>事業用資産</v>
      </c>
      <c r="H4598" s="7" t="str">
        <f t="shared" si="1635"/>
        <v>棚卸以外</v>
      </c>
      <c r="I4598" s="7">
        <v>52</v>
      </c>
      <c r="J4598" s="7" t="str">
        <f>"北渡り廊下"</f>
        <v>北渡り廊下</v>
      </c>
      <c r="K4598" s="7" t="str">
        <f t="shared" si="1660"/>
        <v>鉄筋コンクリート造</v>
      </c>
      <c r="L4598" s="7" t="str">
        <f>"S53.08.31"</f>
        <v>S53.08.31</v>
      </c>
      <c r="M4598" s="7">
        <v>429.88</v>
      </c>
      <c r="N4598" s="7">
        <v>16280000</v>
      </c>
      <c r="O4598" s="7">
        <v>15028943</v>
      </c>
      <c r="P4598" s="7">
        <v>0</v>
      </c>
      <c r="Q4598" s="7" t="str">
        <f t="shared" si="1647"/>
        <v>教育庁</v>
      </c>
      <c r="R4598" s="7" t="str">
        <f t="shared" si="1659"/>
        <v>住吉高等学校</v>
      </c>
    </row>
    <row r="4599" spans="1:18" s="1" customFormat="1" x14ac:dyDescent="0.45">
      <c r="A4599" s="7" t="str">
        <f t="shared" si="1656"/>
        <v>10354000000</v>
      </c>
      <c r="B4599" s="7" t="str">
        <f t="shared" si="1657"/>
        <v>住吉高等学校</v>
      </c>
      <c r="C4599" s="7" t="str">
        <f t="shared" si="1643"/>
        <v>行政財産</v>
      </c>
      <c r="D4599" s="7" t="str">
        <f t="shared" si="1630"/>
        <v>学校</v>
      </c>
      <c r="E4599" s="7" t="str">
        <f t="shared" si="1658"/>
        <v>大阪府大阪市　阿倍野区北畠２丁目</v>
      </c>
      <c r="F4599" s="7"/>
      <c r="G4599" s="7" t="str">
        <f t="shared" si="1646"/>
        <v>事業用資産</v>
      </c>
      <c r="H4599" s="7" t="str">
        <f t="shared" si="1635"/>
        <v>棚卸以外</v>
      </c>
      <c r="I4599" s="7">
        <v>54</v>
      </c>
      <c r="J4599" s="7" t="str">
        <f>"クラブ室"</f>
        <v>クラブ室</v>
      </c>
      <c r="K4599" s="7" t="str">
        <f>"鉄骨造"</f>
        <v>鉄骨造</v>
      </c>
      <c r="L4599" s="7" t="str">
        <f>"S54.03.31"</f>
        <v>S54.03.31</v>
      </c>
      <c r="M4599" s="7">
        <v>387</v>
      </c>
      <c r="N4599" s="7">
        <v>24880000</v>
      </c>
      <c r="O4599" s="7">
        <v>24879999</v>
      </c>
      <c r="P4599" s="7">
        <v>0</v>
      </c>
      <c r="Q4599" s="7" t="str">
        <f t="shared" si="1647"/>
        <v>教育庁</v>
      </c>
      <c r="R4599" s="7" t="str">
        <f t="shared" si="1659"/>
        <v>住吉高等学校</v>
      </c>
    </row>
    <row r="4600" spans="1:18" s="1" customFormat="1" x14ac:dyDescent="0.45">
      <c r="A4600" s="7" t="str">
        <f t="shared" si="1656"/>
        <v>10354000000</v>
      </c>
      <c r="B4600" s="7" t="str">
        <f t="shared" si="1657"/>
        <v>住吉高等学校</v>
      </c>
      <c r="C4600" s="7" t="str">
        <f t="shared" si="1643"/>
        <v>行政財産</v>
      </c>
      <c r="D4600" s="7" t="str">
        <f t="shared" si="1630"/>
        <v>学校</v>
      </c>
      <c r="E4600" s="7" t="str">
        <f t="shared" si="1658"/>
        <v>大阪府大阪市　阿倍野区北畠２丁目</v>
      </c>
      <c r="F4600" s="7"/>
      <c r="G4600" s="7" t="str">
        <f t="shared" si="1646"/>
        <v>事業用資産</v>
      </c>
      <c r="H4600" s="7" t="str">
        <f t="shared" si="1635"/>
        <v>棚卸以外</v>
      </c>
      <c r="I4600" s="7">
        <v>55</v>
      </c>
      <c r="J4600" s="7" t="str">
        <f>"倉庫"</f>
        <v>倉庫</v>
      </c>
      <c r="K4600" s="7" t="str">
        <f>"コンクリートブロック造"</f>
        <v>コンクリートブロック造</v>
      </c>
      <c r="L4600" s="7" t="str">
        <f>"S54.03.31"</f>
        <v>S54.03.31</v>
      </c>
      <c r="M4600" s="7">
        <v>51.25</v>
      </c>
      <c r="N4600" s="7">
        <v>4701000</v>
      </c>
      <c r="O4600" s="7">
        <v>4700999</v>
      </c>
      <c r="P4600" s="7">
        <v>0</v>
      </c>
      <c r="Q4600" s="7" t="str">
        <f t="shared" si="1647"/>
        <v>教育庁</v>
      </c>
      <c r="R4600" s="7" t="str">
        <f t="shared" si="1659"/>
        <v>住吉高等学校</v>
      </c>
    </row>
    <row r="4601" spans="1:18" s="1" customFormat="1" x14ac:dyDescent="0.45">
      <c r="A4601" s="7" t="str">
        <f t="shared" si="1656"/>
        <v>10354000000</v>
      </c>
      <c r="B4601" s="7" t="str">
        <f t="shared" si="1657"/>
        <v>住吉高等学校</v>
      </c>
      <c r="C4601" s="7" t="str">
        <f t="shared" si="1643"/>
        <v>行政財産</v>
      </c>
      <c r="D4601" s="7" t="str">
        <f t="shared" ref="D4601:D4664" si="1661">"学校"</f>
        <v>学校</v>
      </c>
      <c r="E4601" s="7" t="str">
        <f t="shared" si="1658"/>
        <v>大阪府大阪市　阿倍野区北畠２丁目</v>
      </c>
      <c r="F4601" s="7"/>
      <c r="G4601" s="7" t="str">
        <f t="shared" si="1646"/>
        <v>事業用資産</v>
      </c>
      <c r="H4601" s="7" t="str">
        <f t="shared" si="1635"/>
        <v>棚卸以外</v>
      </c>
      <c r="I4601" s="7">
        <v>56</v>
      </c>
      <c r="J4601" s="7" t="str">
        <f>"ゴミ集積場"</f>
        <v>ゴミ集積場</v>
      </c>
      <c r="K4601" s="7" t="str">
        <f>"コンクリートブロック造"</f>
        <v>コンクリートブロック造</v>
      </c>
      <c r="L4601" s="7" t="str">
        <f>"S63.02.04"</f>
        <v>S63.02.04</v>
      </c>
      <c r="M4601" s="7">
        <v>13.6</v>
      </c>
      <c r="N4601" s="7">
        <v>497000</v>
      </c>
      <c r="O4601" s="7">
        <v>496999</v>
      </c>
      <c r="P4601" s="7">
        <v>0</v>
      </c>
      <c r="Q4601" s="7" t="str">
        <f t="shared" si="1647"/>
        <v>教育庁</v>
      </c>
      <c r="R4601" s="7" t="str">
        <f t="shared" si="1659"/>
        <v>住吉高等学校</v>
      </c>
    </row>
    <row r="4602" spans="1:18" s="1" customFormat="1" x14ac:dyDescent="0.45">
      <c r="A4602" s="7" t="str">
        <f t="shared" si="1656"/>
        <v>10354000000</v>
      </c>
      <c r="B4602" s="7" t="str">
        <f t="shared" si="1657"/>
        <v>住吉高等学校</v>
      </c>
      <c r="C4602" s="7" t="str">
        <f t="shared" si="1643"/>
        <v>行政財産</v>
      </c>
      <c r="D4602" s="7" t="str">
        <f t="shared" si="1661"/>
        <v>学校</v>
      </c>
      <c r="E4602" s="7" t="str">
        <f t="shared" si="1658"/>
        <v>大阪府大阪市　阿倍野区北畠２丁目</v>
      </c>
      <c r="F4602" s="7"/>
      <c r="G4602" s="7" t="str">
        <f t="shared" si="1646"/>
        <v>事業用資産</v>
      </c>
      <c r="H4602" s="7" t="str">
        <f t="shared" si="1635"/>
        <v>棚卸以外</v>
      </c>
      <c r="I4602" s="7">
        <v>57</v>
      </c>
      <c r="J4602" s="7" t="str">
        <f>"同窓会館"</f>
        <v>同窓会館</v>
      </c>
      <c r="K4602" s="7" t="str">
        <f>"鉄骨造"</f>
        <v>鉄骨造</v>
      </c>
      <c r="L4602" s="7" t="str">
        <f>"H22.11.01"</f>
        <v>H22.11.01</v>
      </c>
      <c r="M4602" s="7">
        <v>477.87</v>
      </c>
      <c r="N4602" s="7">
        <v>94981000</v>
      </c>
      <c r="O4602" s="7">
        <v>34453956</v>
      </c>
      <c r="P4602" s="7">
        <v>0</v>
      </c>
      <c r="Q4602" s="7" t="str">
        <f t="shared" si="1647"/>
        <v>教育庁</v>
      </c>
      <c r="R4602" s="7" t="str">
        <f t="shared" si="1659"/>
        <v>住吉高等学校</v>
      </c>
    </row>
    <row r="4603" spans="1:18" s="1" customFormat="1" x14ac:dyDescent="0.45">
      <c r="A4603" s="7" t="str">
        <f t="shared" ref="A4603:A4621" si="1662">"10355000000"</f>
        <v>10355000000</v>
      </c>
      <c r="B4603" s="7" t="str">
        <f t="shared" ref="B4603:B4621" si="1663">"東住吉高等学校"</f>
        <v>東住吉高等学校</v>
      </c>
      <c r="C4603" s="7" t="str">
        <f t="shared" si="1643"/>
        <v>行政財産</v>
      </c>
      <c r="D4603" s="7" t="str">
        <f t="shared" si="1661"/>
        <v>学校</v>
      </c>
      <c r="E4603" s="7" t="str">
        <f t="shared" ref="E4603:E4621" si="1664">"大阪府大阪市　平野区平野西２丁目"</f>
        <v>大阪府大阪市　平野区平野西２丁目</v>
      </c>
      <c r="F4603" s="7"/>
      <c r="G4603" s="7" t="str">
        <f t="shared" si="1646"/>
        <v>事業用資産</v>
      </c>
      <c r="H4603" s="7" t="str">
        <f t="shared" si="1635"/>
        <v>棚卸以外</v>
      </c>
      <c r="I4603" s="7">
        <v>1</v>
      </c>
      <c r="J4603" s="7" t="str">
        <f>"北館"</f>
        <v>北館</v>
      </c>
      <c r="K4603" s="7" t="str">
        <f>"鉄筋コンクリート造"</f>
        <v>鉄筋コンクリート造</v>
      </c>
      <c r="L4603" s="7" t="str">
        <f>"S32.03.15"</f>
        <v>S32.03.15</v>
      </c>
      <c r="M4603" s="7">
        <v>2964.49</v>
      </c>
      <c r="N4603" s="7">
        <v>188510176</v>
      </c>
      <c r="O4603" s="7">
        <v>150253253</v>
      </c>
      <c r="P4603" s="7">
        <v>0</v>
      </c>
      <c r="Q4603" s="7" t="str">
        <f t="shared" si="1647"/>
        <v>教育庁</v>
      </c>
      <c r="R4603" s="7" t="str">
        <f t="shared" ref="R4603:R4621" si="1665">"東住吉高等学校"</f>
        <v>東住吉高等学校</v>
      </c>
    </row>
    <row r="4604" spans="1:18" s="1" customFormat="1" x14ac:dyDescent="0.45">
      <c r="A4604" s="7" t="str">
        <f t="shared" si="1662"/>
        <v>10355000000</v>
      </c>
      <c r="B4604" s="7" t="str">
        <f t="shared" si="1663"/>
        <v>東住吉高等学校</v>
      </c>
      <c r="C4604" s="7" t="str">
        <f t="shared" si="1643"/>
        <v>行政財産</v>
      </c>
      <c r="D4604" s="7" t="str">
        <f t="shared" si="1661"/>
        <v>学校</v>
      </c>
      <c r="E4604" s="7" t="str">
        <f t="shared" si="1664"/>
        <v>大阪府大阪市　平野区平野西２丁目</v>
      </c>
      <c r="F4604" s="7"/>
      <c r="G4604" s="7" t="str">
        <f t="shared" si="1646"/>
        <v>事業用資産</v>
      </c>
      <c r="H4604" s="7" t="str">
        <f t="shared" si="1635"/>
        <v>棚卸以外</v>
      </c>
      <c r="I4604" s="7">
        <v>6</v>
      </c>
      <c r="J4604" s="7" t="str">
        <f>"南館"</f>
        <v>南館</v>
      </c>
      <c r="K4604" s="7" t="str">
        <f>"鉄筋コンクリート造"</f>
        <v>鉄筋コンクリート造</v>
      </c>
      <c r="L4604" s="7" t="str">
        <f>"S33.03.31"</f>
        <v>S33.03.31</v>
      </c>
      <c r="M4604" s="7">
        <v>1570.24</v>
      </c>
      <c r="N4604" s="7">
        <v>112229494</v>
      </c>
      <c r="O4604" s="7">
        <v>107924717</v>
      </c>
      <c r="P4604" s="7">
        <v>0</v>
      </c>
      <c r="Q4604" s="7" t="str">
        <f t="shared" si="1647"/>
        <v>教育庁</v>
      </c>
      <c r="R4604" s="7" t="str">
        <f t="shared" si="1665"/>
        <v>東住吉高等学校</v>
      </c>
    </row>
    <row r="4605" spans="1:18" s="1" customFormat="1" x14ac:dyDescent="0.45">
      <c r="A4605" s="7" t="str">
        <f t="shared" si="1662"/>
        <v>10355000000</v>
      </c>
      <c r="B4605" s="7" t="str">
        <f t="shared" si="1663"/>
        <v>東住吉高等学校</v>
      </c>
      <c r="C4605" s="7" t="str">
        <f t="shared" si="1643"/>
        <v>行政財産</v>
      </c>
      <c r="D4605" s="7" t="str">
        <f t="shared" si="1661"/>
        <v>学校</v>
      </c>
      <c r="E4605" s="7" t="str">
        <f t="shared" si="1664"/>
        <v>大阪府大阪市　平野区平野西２丁目</v>
      </c>
      <c r="F4605" s="7"/>
      <c r="G4605" s="7" t="str">
        <f t="shared" si="1646"/>
        <v>事業用資産</v>
      </c>
      <c r="H4605" s="7" t="str">
        <f t="shared" si="1635"/>
        <v>棚卸以外</v>
      </c>
      <c r="I4605" s="7">
        <v>11</v>
      </c>
      <c r="J4605" s="7" t="str">
        <f>"緑友会館"</f>
        <v>緑友会館</v>
      </c>
      <c r="K4605" s="7" t="str">
        <f>"鉄筋コンクリート造"</f>
        <v>鉄筋コンクリート造</v>
      </c>
      <c r="L4605" s="7" t="str">
        <f>"S38.01.22"</f>
        <v>S38.01.22</v>
      </c>
      <c r="M4605" s="7">
        <v>744.46</v>
      </c>
      <c r="N4605" s="7">
        <v>49520233</v>
      </c>
      <c r="O4605" s="7">
        <v>39216366</v>
      </c>
      <c r="P4605" s="7">
        <v>0</v>
      </c>
      <c r="Q4605" s="7" t="str">
        <f t="shared" si="1647"/>
        <v>教育庁</v>
      </c>
      <c r="R4605" s="7" t="str">
        <f t="shared" si="1665"/>
        <v>東住吉高等学校</v>
      </c>
    </row>
    <row r="4606" spans="1:18" s="1" customFormat="1" x14ac:dyDescent="0.45">
      <c r="A4606" s="7" t="str">
        <f t="shared" si="1662"/>
        <v>10355000000</v>
      </c>
      <c r="B4606" s="7" t="str">
        <f t="shared" si="1663"/>
        <v>東住吉高等学校</v>
      </c>
      <c r="C4606" s="7" t="str">
        <f t="shared" si="1643"/>
        <v>行政財産</v>
      </c>
      <c r="D4606" s="7" t="str">
        <f t="shared" si="1661"/>
        <v>学校</v>
      </c>
      <c r="E4606" s="7" t="str">
        <f t="shared" si="1664"/>
        <v>大阪府大阪市　平野区平野西２丁目</v>
      </c>
      <c r="F4606" s="7"/>
      <c r="G4606" s="7" t="str">
        <f t="shared" si="1646"/>
        <v>事業用資産</v>
      </c>
      <c r="H4606" s="7" t="str">
        <f t="shared" si="1635"/>
        <v>棚卸以外</v>
      </c>
      <c r="I4606" s="7">
        <v>12</v>
      </c>
      <c r="J4606" s="7" t="str">
        <f>"自転車置場"</f>
        <v>自転車置場</v>
      </c>
      <c r="K4606" s="7" t="str">
        <f>"軽量鉄骨造"</f>
        <v>軽量鉄骨造</v>
      </c>
      <c r="L4606" s="7" t="str">
        <f>"S33.03.31"</f>
        <v>S33.03.31</v>
      </c>
      <c r="M4606" s="7">
        <v>168.46</v>
      </c>
      <c r="N4606" s="7">
        <v>829821</v>
      </c>
      <c r="O4606" s="7">
        <v>829820</v>
      </c>
      <c r="P4606" s="7">
        <v>0</v>
      </c>
      <c r="Q4606" s="7" t="str">
        <f t="shared" si="1647"/>
        <v>教育庁</v>
      </c>
      <c r="R4606" s="7" t="str">
        <f t="shared" si="1665"/>
        <v>東住吉高等学校</v>
      </c>
    </row>
    <row r="4607" spans="1:18" s="1" customFormat="1" x14ac:dyDescent="0.45">
      <c r="A4607" s="7" t="str">
        <f t="shared" si="1662"/>
        <v>10355000000</v>
      </c>
      <c r="B4607" s="7" t="str">
        <f t="shared" si="1663"/>
        <v>東住吉高等学校</v>
      </c>
      <c r="C4607" s="7" t="str">
        <f t="shared" si="1643"/>
        <v>行政財産</v>
      </c>
      <c r="D4607" s="7" t="str">
        <f t="shared" si="1661"/>
        <v>学校</v>
      </c>
      <c r="E4607" s="7" t="str">
        <f t="shared" si="1664"/>
        <v>大阪府大阪市　平野区平野西２丁目</v>
      </c>
      <c r="F4607" s="7"/>
      <c r="G4607" s="7" t="str">
        <f t="shared" si="1646"/>
        <v>事業用資産</v>
      </c>
      <c r="H4607" s="7" t="str">
        <f t="shared" si="1635"/>
        <v>棚卸以外</v>
      </c>
      <c r="I4607" s="7">
        <v>21</v>
      </c>
      <c r="J4607" s="7" t="str">
        <f>"倉庫"</f>
        <v>倉庫</v>
      </c>
      <c r="K4607" s="7" t="str">
        <f>"軽量鉄骨造"</f>
        <v>軽量鉄骨造</v>
      </c>
      <c r="L4607" s="7" t="str">
        <f>"S38.03.31"</f>
        <v>S38.03.31</v>
      </c>
      <c r="M4607" s="7">
        <v>87.47</v>
      </c>
      <c r="N4607" s="7">
        <v>1133000</v>
      </c>
      <c r="O4607" s="7">
        <v>1132999</v>
      </c>
      <c r="P4607" s="7">
        <v>0</v>
      </c>
      <c r="Q4607" s="7" t="str">
        <f t="shared" si="1647"/>
        <v>教育庁</v>
      </c>
      <c r="R4607" s="7" t="str">
        <f t="shared" si="1665"/>
        <v>東住吉高等学校</v>
      </c>
    </row>
    <row r="4608" spans="1:18" s="1" customFormat="1" x14ac:dyDescent="0.45">
      <c r="A4608" s="7" t="str">
        <f t="shared" si="1662"/>
        <v>10355000000</v>
      </c>
      <c r="B4608" s="7" t="str">
        <f t="shared" si="1663"/>
        <v>東住吉高等学校</v>
      </c>
      <c r="C4608" s="7" t="str">
        <f t="shared" si="1643"/>
        <v>行政財産</v>
      </c>
      <c r="D4608" s="7" t="str">
        <f t="shared" si="1661"/>
        <v>学校</v>
      </c>
      <c r="E4608" s="7" t="str">
        <f t="shared" si="1664"/>
        <v>大阪府大阪市　平野区平野西２丁目</v>
      </c>
      <c r="F4608" s="7"/>
      <c r="G4608" s="7" t="str">
        <f t="shared" si="1646"/>
        <v>事業用資産</v>
      </c>
      <c r="H4608" s="7" t="str">
        <f t="shared" si="1635"/>
        <v>棚卸以外</v>
      </c>
      <c r="I4608" s="7">
        <v>36</v>
      </c>
      <c r="J4608" s="7" t="str">
        <f>"倉庫"</f>
        <v>倉庫</v>
      </c>
      <c r="K4608" s="7" t="str">
        <f>"コンクリートブロック造"</f>
        <v>コンクリートブロック造</v>
      </c>
      <c r="L4608" s="7" t="str">
        <f>"S44.06.13"</f>
        <v>S44.06.13</v>
      </c>
      <c r="M4608" s="7">
        <v>35.909999999999997</v>
      </c>
      <c r="N4608" s="7">
        <v>1140000</v>
      </c>
      <c r="O4608" s="7">
        <v>1139999</v>
      </c>
      <c r="P4608" s="7">
        <v>0</v>
      </c>
      <c r="Q4608" s="7" t="str">
        <f t="shared" si="1647"/>
        <v>教育庁</v>
      </c>
      <c r="R4608" s="7" t="str">
        <f t="shared" si="1665"/>
        <v>東住吉高等学校</v>
      </c>
    </row>
    <row r="4609" spans="1:18" s="1" customFormat="1" x14ac:dyDescent="0.45">
      <c r="A4609" s="7" t="str">
        <f t="shared" si="1662"/>
        <v>10355000000</v>
      </c>
      <c r="B4609" s="7" t="str">
        <f t="shared" si="1663"/>
        <v>東住吉高等学校</v>
      </c>
      <c r="C4609" s="7" t="str">
        <f t="shared" si="1643"/>
        <v>行政財産</v>
      </c>
      <c r="D4609" s="7" t="str">
        <f t="shared" si="1661"/>
        <v>学校</v>
      </c>
      <c r="E4609" s="7" t="str">
        <f t="shared" si="1664"/>
        <v>大阪府大阪市　平野区平野西２丁目</v>
      </c>
      <c r="F4609" s="7"/>
      <c r="G4609" s="7" t="str">
        <f t="shared" si="1646"/>
        <v>事業用資産</v>
      </c>
      <c r="H4609" s="7" t="str">
        <f t="shared" si="1635"/>
        <v>棚卸以外</v>
      </c>
      <c r="I4609" s="7">
        <v>38</v>
      </c>
      <c r="J4609" s="7" t="str">
        <f>"西館"</f>
        <v>西館</v>
      </c>
      <c r="K4609" s="7" t="str">
        <f>"鉄筋コンクリート造"</f>
        <v>鉄筋コンクリート造</v>
      </c>
      <c r="L4609" s="7" t="str">
        <f>"S46.03.28"</f>
        <v>S46.03.28</v>
      </c>
      <c r="M4609" s="7">
        <v>619.70000000000005</v>
      </c>
      <c r="N4609" s="7">
        <v>37607340</v>
      </c>
      <c r="O4609" s="7">
        <v>34164341</v>
      </c>
      <c r="P4609" s="7">
        <v>0</v>
      </c>
      <c r="Q4609" s="7" t="str">
        <f t="shared" si="1647"/>
        <v>教育庁</v>
      </c>
      <c r="R4609" s="7" t="str">
        <f t="shared" si="1665"/>
        <v>東住吉高等学校</v>
      </c>
    </row>
    <row r="4610" spans="1:18" s="1" customFormat="1" x14ac:dyDescent="0.45">
      <c r="A4610" s="7" t="str">
        <f t="shared" si="1662"/>
        <v>10355000000</v>
      </c>
      <c r="B4610" s="7" t="str">
        <f t="shared" si="1663"/>
        <v>東住吉高等学校</v>
      </c>
      <c r="C4610" s="7" t="str">
        <f t="shared" si="1643"/>
        <v>行政財産</v>
      </c>
      <c r="D4610" s="7" t="str">
        <f t="shared" si="1661"/>
        <v>学校</v>
      </c>
      <c r="E4610" s="7" t="str">
        <f t="shared" si="1664"/>
        <v>大阪府大阪市　平野区平野西２丁目</v>
      </c>
      <c r="F4610" s="7"/>
      <c r="G4610" s="7" t="str">
        <f t="shared" si="1646"/>
        <v>事業用資産</v>
      </c>
      <c r="H4610" s="7" t="str">
        <f t="shared" si="1635"/>
        <v>棚卸以外</v>
      </c>
      <c r="I4610" s="7">
        <v>39</v>
      </c>
      <c r="J4610" s="7" t="str">
        <f>"倉庫"</f>
        <v>倉庫</v>
      </c>
      <c r="K4610" s="7" t="str">
        <f>"コンクリートブロック造"</f>
        <v>コンクリートブロック造</v>
      </c>
      <c r="L4610" s="7" t="str">
        <f>"S46.11.22"</f>
        <v>S46.11.22</v>
      </c>
      <c r="M4610" s="7">
        <v>59.44</v>
      </c>
      <c r="N4610" s="7">
        <v>2078312</v>
      </c>
      <c r="O4610" s="7">
        <v>2078311</v>
      </c>
      <c r="P4610" s="7">
        <v>0</v>
      </c>
      <c r="Q4610" s="7" t="str">
        <f t="shared" si="1647"/>
        <v>教育庁</v>
      </c>
      <c r="R4610" s="7" t="str">
        <f t="shared" si="1665"/>
        <v>東住吉高等学校</v>
      </c>
    </row>
    <row r="4611" spans="1:18" s="1" customFormat="1" x14ac:dyDescent="0.45">
      <c r="A4611" s="7" t="str">
        <f t="shared" si="1662"/>
        <v>10355000000</v>
      </c>
      <c r="B4611" s="7" t="str">
        <f t="shared" si="1663"/>
        <v>東住吉高等学校</v>
      </c>
      <c r="C4611" s="7" t="str">
        <f t="shared" si="1643"/>
        <v>行政財産</v>
      </c>
      <c r="D4611" s="7" t="str">
        <f t="shared" si="1661"/>
        <v>学校</v>
      </c>
      <c r="E4611" s="7" t="str">
        <f t="shared" si="1664"/>
        <v>大阪府大阪市　平野区平野西２丁目</v>
      </c>
      <c r="F4611" s="7"/>
      <c r="G4611" s="7" t="str">
        <f t="shared" si="1646"/>
        <v>事業用資産</v>
      </c>
      <c r="H4611" s="7" t="str">
        <f t="shared" si="1635"/>
        <v>棚卸以外</v>
      </c>
      <c r="I4611" s="7">
        <v>43</v>
      </c>
      <c r="J4611" s="7" t="str">
        <f>"塵埃置場"</f>
        <v>塵埃置場</v>
      </c>
      <c r="K4611" s="7" t="str">
        <f>"鉄骨造"</f>
        <v>鉄骨造</v>
      </c>
      <c r="L4611" s="7" t="str">
        <f>"S50.11.27"</f>
        <v>S50.11.27</v>
      </c>
      <c r="M4611" s="7">
        <v>19.440000000000001</v>
      </c>
      <c r="N4611" s="7">
        <v>650000</v>
      </c>
      <c r="O4611" s="7">
        <v>649999</v>
      </c>
      <c r="P4611" s="7">
        <v>0</v>
      </c>
      <c r="Q4611" s="7" t="str">
        <f t="shared" si="1647"/>
        <v>教育庁</v>
      </c>
      <c r="R4611" s="7" t="str">
        <f t="shared" si="1665"/>
        <v>東住吉高等学校</v>
      </c>
    </row>
    <row r="4612" spans="1:18" s="1" customFormat="1" x14ac:dyDescent="0.45">
      <c r="A4612" s="7" t="str">
        <f t="shared" si="1662"/>
        <v>10355000000</v>
      </c>
      <c r="B4612" s="7" t="str">
        <f t="shared" si="1663"/>
        <v>東住吉高等学校</v>
      </c>
      <c r="C4612" s="7" t="str">
        <f t="shared" si="1643"/>
        <v>行政財産</v>
      </c>
      <c r="D4612" s="7" t="str">
        <f t="shared" si="1661"/>
        <v>学校</v>
      </c>
      <c r="E4612" s="7" t="str">
        <f t="shared" si="1664"/>
        <v>大阪府大阪市　平野区平野西２丁目</v>
      </c>
      <c r="F4612" s="7"/>
      <c r="G4612" s="7" t="str">
        <f t="shared" si="1646"/>
        <v>事業用資産</v>
      </c>
      <c r="H4612" s="7" t="str">
        <f t="shared" ref="H4612:H4675" si="1666">"棚卸以外"</f>
        <v>棚卸以外</v>
      </c>
      <c r="I4612" s="7">
        <v>47</v>
      </c>
      <c r="J4612" s="7" t="str">
        <f>"クラブ室"</f>
        <v>クラブ室</v>
      </c>
      <c r="K4612" s="7" t="str">
        <f>"鉄骨造"</f>
        <v>鉄骨造</v>
      </c>
      <c r="L4612" s="7" t="str">
        <f>"S53.03.30"</f>
        <v>S53.03.30</v>
      </c>
      <c r="M4612" s="7">
        <v>150.4</v>
      </c>
      <c r="N4612" s="7">
        <v>14148942</v>
      </c>
      <c r="O4612" s="7">
        <v>13263191</v>
      </c>
      <c r="P4612" s="7">
        <v>0</v>
      </c>
      <c r="Q4612" s="7" t="str">
        <f t="shared" si="1647"/>
        <v>教育庁</v>
      </c>
      <c r="R4612" s="7" t="str">
        <f t="shared" si="1665"/>
        <v>東住吉高等学校</v>
      </c>
    </row>
    <row r="4613" spans="1:18" s="1" customFormat="1" x14ac:dyDescent="0.45">
      <c r="A4613" s="7" t="str">
        <f t="shared" si="1662"/>
        <v>10355000000</v>
      </c>
      <c r="B4613" s="7" t="str">
        <f t="shared" si="1663"/>
        <v>東住吉高等学校</v>
      </c>
      <c r="C4613" s="7" t="str">
        <f t="shared" si="1643"/>
        <v>行政財産</v>
      </c>
      <c r="D4613" s="7" t="str">
        <f t="shared" si="1661"/>
        <v>学校</v>
      </c>
      <c r="E4613" s="7" t="str">
        <f t="shared" si="1664"/>
        <v>大阪府大阪市　平野区平野西２丁目</v>
      </c>
      <c r="F4613" s="7"/>
      <c r="G4613" s="7" t="str">
        <f t="shared" si="1646"/>
        <v>事業用資産</v>
      </c>
      <c r="H4613" s="7" t="str">
        <f t="shared" si="1666"/>
        <v>棚卸以外</v>
      </c>
      <c r="I4613" s="7">
        <v>48</v>
      </c>
      <c r="J4613" s="7" t="str">
        <f>"東館"</f>
        <v>東館</v>
      </c>
      <c r="K4613" s="7" t="str">
        <f>"鉄筋コンクリート造"</f>
        <v>鉄筋コンクリート造</v>
      </c>
      <c r="L4613" s="7" t="str">
        <f>"S53.07.10"</f>
        <v>S53.07.10</v>
      </c>
      <c r="M4613" s="7">
        <v>1700.17</v>
      </c>
      <c r="N4613" s="7">
        <v>295176335</v>
      </c>
      <c r="O4613" s="7">
        <v>210256748</v>
      </c>
      <c r="P4613" s="7">
        <v>0</v>
      </c>
      <c r="Q4613" s="7" t="str">
        <f t="shared" si="1647"/>
        <v>教育庁</v>
      </c>
      <c r="R4613" s="7" t="str">
        <f t="shared" si="1665"/>
        <v>東住吉高等学校</v>
      </c>
    </row>
    <row r="4614" spans="1:18" s="1" customFormat="1" x14ac:dyDescent="0.45">
      <c r="A4614" s="7" t="str">
        <f t="shared" si="1662"/>
        <v>10355000000</v>
      </c>
      <c r="B4614" s="7" t="str">
        <f t="shared" si="1663"/>
        <v>東住吉高等学校</v>
      </c>
      <c r="C4614" s="7" t="str">
        <f t="shared" si="1643"/>
        <v>行政財産</v>
      </c>
      <c r="D4614" s="7" t="str">
        <f t="shared" si="1661"/>
        <v>学校</v>
      </c>
      <c r="E4614" s="7" t="str">
        <f t="shared" si="1664"/>
        <v>大阪府大阪市　平野区平野西２丁目</v>
      </c>
      <c r="F4614" s="7"/>
      <c r="G4614" s="7" t="str">
        <f t="shared" si="1646"/>
        <v>事業用資産</v>
      </c>
      <c r="H4614" s="7" t="str">
        <f t="shared" si="1666"/>
        <v>棚卸以外</v>
      </c>
      <c r="I4614" s="7">
        <v>49</v>
      </c>
      <c r="J4614" s="7" t="str">
        <f>"校舎棟"</f>
        <v>校舎棟</v>
      </c>
      <c r="K4614" s="7" t="str">
        <f>"鉄筋コンクリート造"</f>
        <v>鉄筋コンクリート造</v>
      </c>
      <c r="L4614" s="7" t="str">
        <f>"S54.07.05"</f>
        <v>S54.07.05</v>
      </c>
      <c r="M4614" s="7">
        <v>4278.3999999999996</v>
      </c>
      <c r="N4614" s="7">
        <v>556015647</v>
      </c>
      <c r="O4614" s="7">
        <v>457526443</v>
      </c>
      <c r="P4614" s="7">
        <v>0</v>
      </c>
      <c r="Q4614" s="7" t="str">
        <f t="shared" si="1647"/>
        <v>教育庁</v>
      </c>
      <c r="R4614" s="7" t="str">
        <f t="shared" si="1665"/>
        <v>東住吉高等学校</v>
      </c>
    </row>
    <row r="4615" spans="1:18" s="1" customFormat="1" x14ac:dyDescent="0.45">
      <c r="A4615" s="7" t="str">
        <f t="shared" si="1662"/>
        <v>10355000000</v>
      </c>
      <c r="B4615" s="7" t="str">
        <f t="shared" si="1663"/>
        <v>東住吉高等学校</v>
      </c>
      <c r="C4615" s="7" t="str">
        <f t="shared" si="1643"/>
        <v>行政財産</v>
      </c>
      <c r="D4615" s="7" t="str">
        <f t="shared" si="1661"/>
        <v>学校</v>
      </c>
      <c r="E4615" s="7" t="str">
        <f t="shared" si="1664"/>
        <v>大阪府大阪市　平野区平野西２丁目</v>
      </c>
      <c r="F4615" s="7"/>
      <c r="G4615" s="7" t="str">
        <f t="shared" si="1646"/>
        <v>事業用資産</v>
      </c>
      <c r="H4615" s="7" t="str">
        <f t="shared" si="1666"/>
        <v>棚卸以外</v>
      </c>
      <c r="I4615" s="7">
        <v>51</v>
      </c>
      <c r="J4615" s="7" t="str">
        <f>"体育館"</f>
        <v>体育館</v>
      </c>
      <c r="K4615" s="7" t="str">
        <f>"鉄筋コンクリート造"</f>
        <v>鉄筋コンクリート造</v>
      </c>
      <c r="L4615" s="7" t="str">
        <f>"S56.03.19"</f>
        <v>S56.03.19</v>
      </c>
      <c r="M4615" s="7">
        <v>3031.24</v>
      </c>
      <c r="N4615" s="7">
        <v>433396412</v>
      </c>
      <c r="O4615" s="7">
        <v>331638278</v>
      </c>
      <c r="P4615" s="7">
        <v>0</v>
      </c>
      <c r="Q4615" s="7" t="str">
        <f t="shared" si="1647"/>
        <v>教育庁</v>
      </c>
      <c r="R4615" s="7" t="str">
        <f t="shared" si="1665"/>
        <v>東住吉高等学校</v>
      </c>
    </row>
    <row r="4616" spans="1:18" s="1" customFormat="1" x14ac:dyDescent="0.45">
      <c r="A4616" s="7" t="str">
        <f t="shared" si="1662"/>
        <v>10355000000</v>
      </c>
      <c r="B4616" s="7" t="str">
        <f t="shared" si="1663"/>
        <v>東住吉高等学校</v>
      </c>
      <c r="C4616" s="7" t="str">
        <f t="shared" si="1643"/>
        <v>行政財産</v>
      </c>
      <c r="D4616" s="7" t="str">
        <f t="shared" si="1661"/>
        <v>学校</v>
      </c>
      <c r="E4616" s="7" t="str">
        <f t="shared" si="1664"/>
        <v>大阪府大阪市　平野区平野西２丁目</v>
      </c>
      <c r="F4616" s="7"/>
      <c r="G4616" s="7" t="str">
        <f t="shared" si="1646"/>
        <v>事業用資産</v>
      </c>
      <c r="H4616" s="7" t="str">
        <f t="shared" si="1666"/>
        <v>棚卸以外</v>
      </c>
      <c r="I4616" s="7">
        <v>56</v>
      </c>
      <c r="J4616" s="7" t="str">
        <f>"渡り廊下"</f>
        <v>渡り廊下</v>
      </c>
      <c r="K4616" s="7" t="str">
        <f>"鉄筋コンクリート造"</f>
        <v>鉄筋コンクリート造</v>
      </c>
      <c r="L4616" s="7" t="str">
        <f>"S56.12.01"</f>
        <v>S56.12.01</v>
      </c>
      <c r="M4616" s="7">
        <v>264.75</v>
      </c>
      <c r="N4616" s="7">
        <v>28097000</v>
      </c>
      <c r="O4616" s="7">
        <v>24616723</v>
      </c>
      <c r="P4616" s="7">
        <v>0</v>
      </c>
      <c r="Q4616" s="7" t="str">
        <f t="shared" si="1647"/>
        <v>教育庁</v>
      </c>
      <c r="R4616" s="7" t="str">
        <f t="shared" si="1665"/>
        <v>東住吉高等学校</v>
      </c>
    </row>
    <row r="4617" spans="1:18" s="1" customFormat="1" x14ac:dyDescent="0.45">
      <c r="A4617" s="7" t="str">
        <f t="shared" si="1662"/>
        <v>10355000000</v>
      </c>
      <c r="B4617" s="7" t="str">
        <f t="shared" si="1663"/>
        <v>東住吉高等学校</v>
      </c>
      <c r="C4617" s="7" t="str">
        <f t="shared" si="1643"/>
        <v>行政財産</v>
      </c>
      <c r="D4617" s="7" t="str">
        <f t="shared" si="1661"/>
        <v>学校</v>
      </c>
      <c r="E4617" s="7" t="str">
        <f t="shared" si="1664"/>
        <v>大阪府大阪市　平野区平野西２丁目</v>
      </c>
      <c r="F4617" s="7"/>
      <c r="G4617" s="7" t="str">
        <f t="shared" si="1646"/>
        <v>事業用資産</v>
      </c>
      <c r="H4617" s="7" t="str">
        <f t="shared" si="1666"/>
        <v>棚卸以外</v>
      </c>
      <c r="I4617" s="7">
        <v>57</v>
      </c>
      <c r="J4617" s="7" t="str">
        <f>"倉庫"</f>
        <v>倉庫</v>
      </c>
      <c r="K4617" s="7" t="str">
        <f>"軽量鉄骨造"</f>
        <v>軽量鉄骨造</v>
      </c>
      <c r="L4617" s="7" t="str">
        <f>"S59.06.15"</f>
        <v>S59.06.15</v>
      </c>
      <c r="M4617" s="7">
        <v>64.349999999999994</v>
      </c>
      <c r="N4617" s="7">
        <v>7192000</v>
      </c>
      <c r="O4617" s="7">
        <v>7191999</v>
      </c>
      <c r="P4617" s="7">
        <v>0</v>
      </c>
      <c r="Q4617" s="7" t="str">
        <f t="shared" si="1647"/>
        <v>教育庁</v>
      </c>
      <c r="R4617" s="7" t="str">
        <f t="shared" si="1665"/>
        <v>東住吉高等学校</v>
      </c>
    </row>
    <row r="4618" spans="1:18" s="1" customFormat="1" x14ac:dyDescent="0.45">
      <c r="A4618" s="7" t="str">
        <f t="shared" si="1662"/>
        <v>10355000000</v>
      </c>
      <c r="B4618" s="7" t="str">
        <f t="shared" si="1663"/>
        <v>東住吉高等学校</v>
      </c>
      <c r="C4618" s="7" t="str">
        <f t="shared" si="1643"/>
        <v>行政財産</v>
      </c>
      <c r="D4618" s="7" t="str">
        <f t="shared" si="1661"/>
        <v>学校</v>
      </c>
      <c r="E4618" s="7" t="str">
        <f t="shared" si="1664"/>
        <v>大阪府大阪市　平野区平野西２丁目</v>
      </c>
      <c r="F4618" s="7"/>
      <c r="G4618" s="7" t="str">
        <f t="shared" si="1646"/>
        <v>事業用資産</v>
      </c>
      <c r="H4618" s="7" t="str">
        <f t="shared" si="1666"/>
        <v>棚卸以外</v>
      </c>
      <c r="I4618" s="7">
        <v>58</v>
      </c>
      <c r="J4618" s="7" t="str">
        <f>"プール付属棟新築"</f>
        <v>プール付属棟新築</v>
      </c>
      <c r="K4618" s="7" t="str">
        <f>"鉄筋コンクリート造"</f>
        <v>鉄筋コンクリート造</v>
      </c>
      <c r="L4618" s="7" t="str">
        <f>"H04.03.31"</f>
        <v>H04.03.31</v>
      </c>
      <c r="M4618" s="7">
        <v>138</v>
      </c>
      <c r="N4618" s="7">
        <v>43442908</v>
      </c>
      <c r="O4618" s="7">
        <v>35378448</v>
      </c>
      <c r="P4618" s="7">
        <v>0</v>
      </c>
      <c r="Q4618" s="7" t="str">
        <f t="shared" si="1647"/>
        <v>教育庁</v>
      </c>
      <c r="R4618" s="7" t="str">
        <f t="shared" si="1665"/>
        <v>東住吉高等学校</v>
      </c>
    </row>
    <row r="4619" spans="1:18" s="1" customFormat="1" x14ac:dyDescent="0.45">
      <c r="A4619" s="7" t="str">
        <f t="shared" si="1662"/>
        <v>10355000000</v>
      </c>
      <c r="B4619" s="7" t="str">
        <f t="shared" si="1663"/>
        <v>東住吉高等学校</v>
      </c>
      <c r="C4619" s="7" t="str">
        <f t="shared" si="1643"/>
        <v>行政財産</v>
      </c>
      <c r="D4619" s="7" t="str">
        <f t="shared" si="1661"/>
        <v>学校</v>
      </c>
      <c r="E4619" s="7" t="str">
        <f t="shared" si="1664"/>
        <v>大阪府大阪市　平野区平野西２丁目</v>
      </c>
      <c r="F4619" s="7"/>
      <c r="G4619" s="7" t="str">
        <f t="shared" si="1646"/>
        <v>事業用資産</v>
      </c>
      <c r="H4619" s="7" t="str">
        <f t="shared" si="1666"/>
        <v>棚卸以外</v>
      </c>
      <c r="I4619" s="7">
        <v>59</v>
      </c>
      <c r="J4619" s="7" t="str">
        <f>"芸能文化科実習棟"</f>
        <v>芸能文化科実習棟</v>
      </c>
      <c r="K4619" s="7" t="str">
        <f>"鉄筋コンクリート造"</f>
        <v>鉄筋コンクリート造</v>
      </c>
      <c r="L4619" s="7" t="str">
        <f>"H06.03.31"</f>
        <v>H06.03.31</v>
      </c>
      <c r="M4619" s="7">
        <v>1424.91</v>
      </c>
      <c r="N4619" s="7">
        <v>781809425</v>
      </c>
      <c r="O4619" s="7">
        <v>471055660</v>
      </c>
      <c r="P4619" s="7">
        <v>0</v>
      </c>
      <c r="Q4619" s="7" t="str">
        <f t="shared" si="1647"/>
        <v>教育庁</v>
      </c>
      <c r="R4619" s="7" t="str">
        <f t="shared" si="1665"/>
        <v>東住吉高等学校</v>
      </c>
    </row>
    <row r="4620" spans="1:18" s="1" customFormat="1" x14ac:dyDescent="0.45">
      <c r="A4620" s="7" t="str">
        <f t="shared" si="1662"/>
        <v>10355000000</v>
      </c>
      <c r="B4620" s="7" t="str">
        <f t="shared" si="1663"/>
        <v>東住吉高等学校</v>
      </c>
      <c r="C4620" s="7" t="str">
        <f t="shared" si="1643"/>
        <v>行政財産</v>
      </c>
      <c r="D4620" s="7" t="str">
        <f t="shared" si="1661"/>
        <v>学校</v>
      </c>
      <c r="E4620" s="7" t="str">
        <f t="shared" si="1664"/>
        <v>大阪府大阪市　平野区平野西２丁目</v>
      </c>
      <c r="F4620" s="7"/>
      <c r="G4620" s="7" t="str">
        <f t="shared" si="1646"/>
        <v>事業用資産</v>
      </c>
      <c r="H4620" s="7" t="str">
        <f t="shared" si="1666"/>
        <v>棚卸以外</v>
      </c>
      <c r="I4620" s="7">
        <v>60</v>
      </c>
      <c r="J4620" s="7" t="str">
        <f>"倉庫"</f>
        <v>倉庫</v>
      </c>
      <c r="K4620" s="7" t="str">
        <f>"プレハブ"</f>
        <v>プレハブ</v>
      </c>
      <c r="L4620" s="7" t="str">
        <f>"H12.03.30"</f>
        <v>H12.03.30</v>
      </c>
      <c r="M4620" s="7">
        <v>3.02</v>
      </c>
      <c r="N4620" s="7">
        <v>180000</v>
      </c>
      <c r="O4620" s="7">
        <v>172500</v>
      </c>
      <c r="P4620" s="7">
        <v>0</v>
      </c>
      <c r="Q4620" s="7" t="str">
        <f t="shared" si="1647"/>
        <v>教育庁</v>
      </c>
      <c r="R4620" s="7" t="str">
        <f t="shared" si="1665"/>
        <v>東住吉高等学校</v>
      </c>
    </row>
    <row r="4621" spans="1:18" s="1" customFormat="1" x14ac:dyDescent="0.45">
      <c r="A4621" s="7" t="str">
        <f t="shared" si="1662"/>
        <v>10355000000</v>
      </c>
      <c r="B4621" s="7" t="str">
        <f t="shared" si="1663"/>
        <v>東住吉高等学校</v>
      </c>
      <c r="C4621" s="7" t="str">
        <f t="shared" ref="C4621:C4684" si="1667">"行政財産"</f>
        <v>行政財産</v>
      </c>
      <c r="D4621" s="7" t="str">
        <f t="shared" si="1661"/>
        <v>学校</v>
      </c>
      <c r="E4621" s="7" t="str">
        <f t="shared" si="1664"/>
        <v>大阪府大阪市　平野区平野西２丁目</v>
      </c>
      <c r="F4621" s="7"/>
      <c r="G4621" s="7" t="str">
        <f t="shared" si="1646"/>
        <v>事業用資産</v>
      </c>
      <c r="H4621" s="7" t="str">
        <f t="shared" si="1666"/>
        <v>棚卸以外</v>
      </c>
      <c r="I4621" s="7">
        <v>61</v>
      </c>
      <c r="J4621" s="7" t="str">
        <f>"部室"</f>
        <v>部室</v>
      </c>
      <c r="K4621" s="7" t="str">
        <f>"コンクリートブロック造"</f>
        <v>コンクリートブロック造</v>
      </c>
      <c r="L4621" s="7" t="str">
        <f>"H16.10.14"</f>
        <v>H16.10.14</v>
      </c>
      <c r="M4621" s="7">
        <v>158.77000000000001</v>
      </c>
      <c r="N4621" s="7">
        <v>15815000</v>
      </c>
      <c r="O4621" s="7">
        <v>8566623</v>
      </c>
      <c r="P4621" s="7">
        <v>0</v>
      </c>
      <c r="Q4621" s="7" t="str">
        <f t="shared" si="1647"/>
        <v>教育庁</v>
      </c>
      <c r="R4621" s="7" t="str">
        <f t="shared" si="1665"/>
        <v>東住吉高等学校</v>
      </c>
    </row>
    <row r="4622" spans="1:18" s="1" customFormat="1" x14ac:dyDescent="0.45">
      <c r="A4622" s="7" t="str">
        <f t="shared" ref="A4622:A4635" si="1668">"10356000000"</f>
        <v>10356000000</v>
      </c>
      <c r="B4622" s="7" t="str">
        <f t="shared" ref="B4622:B4635" si="1669">"長吉高等学校"</f>
        <v>長吉高等学校</v>
      </c>
      <c r="C4622" s="7" t="str">
        <f t="shared" si="1667"/>
        <v>行政財産</v>
      </c>
      <c r="D4622" s="7" t="str">
        <f t="shared" si="1661"/>
        <v>学校</v>
      </c>
      <c r="E4622" s="7" t="str">
        <f t="shared" ref="E4622:E4635" si="1670">"大阪府大阪市　平野区長吉長原西３丁目"</f>
        <v>大阪府大阪市　平野区長吉長原西３丁目</v>
      </c>
      <c r="F4622" s="7"/>
      <c r="G4622" s="7" t="str">
        <f t="shared" si="1646"/>
        <v>事業用資産</v>
      </c>
      <c r="H4622" s="7" t="str">
        <f t="shared" si="1666"/>
        <v>棚卸以外</v>
      </c>
      <c r="I4622" s="7">
        <v>1</v>
      </c>
      <c r="J4622" s="7" t="str">
        <f>"普通教室棟"</f>
        <v>普通教室棟</v>
      </c>
      <c r="K4622" s="7" t="str">
        <f>"鉄筋コンクリート造"</f>
        <v>鉄筋コンクリート造</v>
      </c>
      <c r="L4622" s="7" t="str">
        <f>"S50.02.28"</f>
        <v>S50.02.28</v>
      </c>
      <c r="M4622" s="7">
        <v>5742.67</v>
      </c>
      <c r="N4622" s="7">
        <v>598492774</v>
      </c>
      <c r="O4622" s="7">
        <v>434120413</v>
      </c>
      <c r="P4622" s="7">
        <v>0</v>
      </c>
      <c r="Q4622" s="7" t="str">
        <f t="shared" si="1647"/>
        <v>教育庁</v>
      </c>
      <c r="R4622" s="7" t="str">
        <f t="shared" ref="R4622:R4635" si="1671">"長吉高等学校"</f>
        <v>長吉高等学校</v>
      </c>
    </row>
    <row r="4623" spans="1:18" s="1" customFormat="1" x14ac:dyDescent="0.45">
      <c r="A4623" s="7" t="str">
        <f t="shared" si="1668"/>
        <v>10356000000</v>
      </c>
      <c r="B4623" s="7" t="str">
        <f t="shared" si="1669"/>
        <v>長吉高等学校</v>
      </c>
      <c r="C4623" s="7" t="str">
        <f t="shared" si="1667"/>
        <v>行政財産</v>
      </c>
      <c r="D4623" s="7" t="str">
        <f t="shared" si="1661"/>
        <v>学校</v>
      </c>
      <c r="E4623" s="7" t="str">
        <f t="shared" si="1670"/>
        <v>大阪府大阪市　平野区長吉長原西３丁目</v>
      </c>
      <c r="F4623" s="7"/>
      <c r="G4623" s="7" t="str">
        <f t="shared" si="1646"/>
        <v>事業用資産</v>
      </c>
      <c r="H4623" s="7" t="str">
        <f t="shared" si="1666"/>
        <v>棚卸以外</v>
      </c>
      <c r="I4623" s="7">
        <v>2</v>
      </c>
      <c r="J4623" s="7" t="str">
        <f>"特別教室棟"</f>
        <v>特別教室棟</v>
      </c>
      <c r="K4623" s="7" t="str">
        <f>"鉄筋コンクリート造"</f>
        <v>鉄筋コンクリート造</v>
      </c>
      <c r="L4623" s="7" t="str">
        <f>"S50.02.28"</f>
        <v>S50.02.28</v>
      </c>
      <c r="M4623" s="7">
        <v>5844.44</v>
      </c>
      <c r="N4623" s="7">
        <v>537225640</v>
      </c>
      <c r="O4623" s="7">
        <v>449877629</v>
      </c>
      <c r="P4623" s="7">
        <v>0</v>
      </c>
      <c r="Q4623" s="7" t="str">
        <f t="shared" si="1647"/>
        <v>教育庁</v>
      </c>
      <c r="R4623" s="7" t="str">
        <f t="shared" si="1671"/>
        <v>長吉高等学校</v>
      </c>
    </row>
    <row r="4624" spans="1:18" s="1" customFormat="1" x14ac:dyDescent="0.45">
      <c r="A4624" s="7" t="str">
        <f t="shared" si="1668"/>
        <v>10356000000</v>
      </c>
      <c r="B4624" s="7" t="str">
        <f t="shared" si="1669"/>
        <v>長吉高等学校</v>
      </c>
      <c r="C4624" s="7" t="str">
        <f t="shared" si="1667"/>
        <v>行政財産</v>
      </c>
      <c r="D4624" s="7" t="str">
        <f t="shared" si="1661"/>
        <v>学校</v>
      </c>
      <c r="E4624" s="7" t="str">
        <f t="shared" si="1670"/>
        <v>大阪府大阪市　平野区長吉長原西３丁目</v>
      </c>
      <c r="F4624" s="7"/>
      <c r="G4624" s="7" t="str">
        <f t="shared" si="1646"/>
        <v>事業用資産</v>
      </c>
      <c r="H4624" s="7" t="str">
        <f t="shared" si="1666"/>
        <v>棚卸以外</v>
      </c>
      <c r="I4624" s="7">
        <v>3</v>
      </c>
      <c r="J4624" s="7" t="str">
        <f>"渡り廊下棟"</f>
        <v>渡り廊下棟</v>
      </c>
      <c r="K4624" s="7" t="str">
        <f>"鉄筋コンクリート造"</f>
        <v>鉄筋コンクリート造</v>
      </c>
      <c r="L4624" s="7" t="str">
        <f>"S50.02.28"</f>
        <v>S50.02.28</v>
      </c>
      <c r="M4624" s="7">
        <v>556</v>
      </c>
      <c r="N4624" s="7">
        <v>46362000</v>
      </c>
      <c r="O4624" s="7">
        <v>43241666</v>
      </c>
      <c r="P4624" s="7">
        <v>0</v>
      </c>
      <c r="Q4624" s="7" t="str">
        <f t="shared" si="1647"/>
        <v>教育庁</v>
      </c>
      <c r="R4624" s="7" t="str">
        <f t="shared" si="1671"/>
        <v>長吉高等学校</v>
      </c>
    </row>
    <row r="4625" spans="1:18" s="1" customFormat="1" x14ac:dyDescent="0.45">
      <c r="A4625" s="7" t="str">
        <f t="shared" si="1668"/>
        <v>10356000000</v>
      </c>
      <c r="B4625" s="7" t="str">
        <f t="shared" si="1669"/>
        <v>長吉高等学校</v>
      </c>
      <c r="C4625" s="7" t="str">
        <f t="shared" si="1667"/>
        <v>行政財産</v>
      </c>
      <c r="D4625" s="7" t="str">
        <f t="shared" si="1661"/>
        <v>学校</v>
      </c>
      <c r="E4625" s="7" t="str">
        <f t="shared" si="1670"/>
        <v>大阪府大阪市　平野区長吉長原西３丁目</v>
      </c>
      <c r="F4625" s="7"/>
      <c r="G4625" s="7" t="str">
        <f t="shared" si="1646"/>
        <v>事業用資産</v>
      </c>
      <c r="H4625" s="7" t="str">
        <f t="shared" si="1666"/>
        <v>棚卸以外</v>
      </c>
      <c r="I4625" s="7">
        <v>4</v>
      </c>
      <c r="J4625" s="7" t="str">
        <f>"設備棟"</f>
        <v>設備棟</v>
      </c>
      <c r="K4625" s="7" t="str">
        <f>"鉄筋コンクリート造"</f>
        <v>鉄筋コンクリート造</v>
      </c>
      <c r="L4625" s="7" t="str">
        <f>"S50.02.28"</f>
        <v>S50.02.28</v>
      </c>
      <c r="M4625" s="7">
        <v>117</v>
      </c>
      <c r="N4625" s="7">
        <v>19018500</v>
      </c>
      <c r="O4625" s="7">
        <v>18596069</v>
      </c>
      <c r="P4625" s="7">
        <v>0</v>
      </c>
      <c r="Q4625" s="7" t="str">
        <f t="shared" si="1647"/>
        <v>教育庁</v>
      </c>
      <c r="R4625" s="7" t="str">
        <f t="shared" si="1671"/>
        <v>長吉高等学校</v>
      </c>
    </row>
    <row r="4626" spans="1:18" s="1" customFormat="1" x14ac:dyDescent="0.45">
      <c r="A4626" s="7" t="str">
        <f t="shared" si="1668"/>
        <v>10356000000</v>
      </c>
      <c r="B4626" s="7" t="str">
        <f t="shared" si="1669"/>
        <v>長吉高等学校</v>
      </c>
      <c r="C4626" s="7" t="str">
        <f t="shared" si="1667"/>
        <v>行政財産</v>
      </c>
      <c r="D4626" s="7" t="str">
        <f t="shared" si="1661"/>
        <v>学校</v>
      </c>
      <c r="E4626" s="7" t="str">
        <f t="shared" si="1670"/>
        <v>大阪府大阪市　平野区長吉長原西３丁目</v>
      </c>
      <c r="F4626" s="7"/>
      <c r="G4626" s="7" t="str">
        <f t="shared" si="1646"/>
        <v>事業用資産</v>
      </c>
      <c r="H4626" s="7" t="str">
        <f t="shared" si="1666"/>
        <v>棚卸以外</v>
      </c>
      <c r="I4626" s="7">
        <v>5</v>
      </c>
      <c r="J4626" s="7" t="str">
        <f>"倉庫"</f>
        <v>倉庫</v>
      </c>
      <c r="K4626" s="7" t="str">
        <f>"鉄骨造"</f>
        <v>鉄骨造</v>
      </c>
      <c r="L4626" s="7" t="str">
        <f>"S50.02.28"</f>
        <v>S50.02.28</v>
      </c>
      <c r="M4626" s="7">
        <v>50.62</v>
      </c>
      <c r="N4626" s="7">
        <v>4571000</v>
      </c>
      <c r="O4626" s="7">
        <v>4570999</v>
      </c>
      <c r="P4626" s="7">
        <v>0</v>
      </c>
      <c r="Q4626" s="7" t="str">
        <f t="shared" si="1647"/>
        <v>教育庁</v>
      </c>
      <c r="R4626" s="7" t="str">
        <f t="shared" si="1671"/>
        <v>長吉高等学校</v>
      </c>
    </row>
    <row r="4627" spans="1:18" s="1" customFormat="1" x14ac:dyDescent="0.45">
      <c r="A4627" s="7" t="str">
        <f t="shared" si="1668"/>
        <v>10356000000</v>
      </c>
      <c r="B4627" s="7" t="str">
        <f t="shared" si="1669"/>
        <v>長吉高等学校</v>
      </c>
      <c r="C4627" s="7" t="str">
        <f t="shared" si="1667"/>
        <v>行政財産</v>
      </c>
      <c r="D4627" s="7" t="str">
        <f t="shared" si="1661"/>
        <v>学校</v>
      </c>
      <c r="E4627" s="7" t="str">
        <f t="shared" si="1670"/>
        <v>大阪府大阪市　平野区長吉長原西３丁目</v>
      </c>
      <c r="F4627" s="7"/>
      <c r="G4627" s="7" t="str">
        <f t="shared" si="1646"/>
        <v>事業用資産</v>
      </c>
      <c r="H4627" s="7" t="str">
        <f t="shared" si="1666"/>
        <v>棚卸以外</v>
      </c>
      <c r="I4627" s="7">
        <v>14</v>
      </c>
      <c r="J4627" s="7" t="str">
        <f>"食堂棟"</f>
        <v>食堂棟</v>
      </c>
      <c r="K4627" s="7" t="str">
        <f>"鉄筋コンクリート造"</f>
        <v>鉄筋コンクリート造</v>
      </c>
      <c r="L4627" s="7" t="str">
        <f>"S51.05.15"</f>
        <v>S51.05.15</v>
      </c>
      <c r="M4627" s="7">
        <v>411.96</v>
      </c>
      <c r="N4627" s="7">
        <v>52504000</v>
      </c>
      <c r="O4627" s="7">
        <v>50306703</v>
      </c>
      <c r="P4627" s="7">
        <v>0</v>
      </c>
      <c r="Q4627" s="7" t="str">
        <f t="shared" si="1647"/>
        <v>教育庁</v>
      </c>
      <c r="R4627" s="7" t="str">
        <f t="shared" si="1671"/>
        <v>長吉高等学校</v>
      </c>
    </row>
    <row r="4628" spans="1:18" s="1" customFormat="1" x14ac:dyDescent="0.45">
      <c r="A4628" s="7" t="str">
        <f t="shared" si="1668"/>
        <v>10356000000</v>
      </c>
      <c r="B4628" s="7" t="str">
        <f t="shared" si="1669"/>
        <v>長吉高等学校</v>
      </c>
      <c r="C4628" s="7" t="str">
        <f t="shared" si="1667"/>
        <v>行政財産</v>
      </c>
      <c r="D4628" s="7" t="str">
        <f t="shared" si="1661"/>
        <v>学校</v>
      </c>
      <c r="E4628" s="7" t="str">
        <f t="shared" si="1670"/>
        <v>大阪府大阪市　平野区長吉長原西３丁目</v>
      </c>
      <c r="F4628" s="7"/>
      <c r="G4628" s="7" t="str">
        <f t="shared" si="1646"/>
        <v>事業用資産</v>
      </c>
      <c r="H4628" s="7" t="str">
        <f t="shared" si="1666"/>
        <v>棚卸以外</v>
      </c>
      <c r="I4628" s="7">
        <v>15</v>
      </c>
      <c r="J4628" s="7" t="str">
        <f>"プール附属棟"</f>
        <v>プール附属棟</v>
      </c>
      <c r="K4628" s="7" t="str">
        <f>"鉄筋コンクリート造"</f>
        <v>鉄筋コンクリート造</v>
      </c>
      <c r="L4628" s="7" t="str">
        <f>"S51.06.30"</f>
        <v>S51.06.30</v>
      </c>
      <c r="M4628" s="7">
        <v>138</v>
      </c>
      <c r="N4628" s="7">
        <v>51848088</v>
      </c>
      <c r="O4628" s="7">
        <v>49658533</v>
      </c>
      <c r="P4628" s="7">
        <v>0</v>
      </c>
      <c r="Q4628" s="7" t="str">
        <f t="shared" si="1647"/>
        <v>教育庁</v>
      </c>
      <c r="R4628" s="7" t="str">
        <f t="shared" si="1671"/>
        <v>長吉高等学校</v>
      </c>
    </row>
    <row r="4629" spans="1:18" s="1" customFormat="1" x14ac:dyDescent="0.45">
      <c r="A4629" s="7" t="str">
        <f t="shared" si="1668"/>
        <v>10356000000</v>
      </c>
      <c r="B4629" s="7" t="str">
        <f t="shared" si="1669"/>
        <v>長吉高等学校</v>
      </c>
      <c r="C4629" s="7" t="str">
        <f t="shared" si="1667"/>
        <v>行政財産</v>
      </c>
      <c r="D4629" s="7" t="str">
        <f t="shared" si="1661"/>
        <v>学校</v>
      </c>
      <c r="E4629" s="7" t="str">
        <f t="shared" si="1670"/>
        <v>大阪府大阪市　平野区長吉長原西３丁目</v>
      </c>
      <c r="F4629" s="7"/>
      <c r="G4629" s="7" t="str">
        <f t="shared" si="1646"/>
        <v>事業用資産</v>
      </c>
      <c r="H4629" s="7" t="str">
        <f t="shared" si="1666"/>
        <v>棚卸以外</v>
      </c>
      <c r="I4629" s="7">
        <v>16</v>
      </c>
      <c r="J4629" s="7" t="str">
        <f>"体育館"</f>
        <v>体育館</v>
      </c>
      <c r="K4629" s="7" t="str">
        <f>"鉄筋コンクリート造"</f>
        <v>鉄筋コンクリート造</v>
      </c>
      <c r="L4629" s="7" t="str">
        <f>"S51.08.31"</f>
        <v>S51.08.31</v>
      </c>
      <c r="M4629" s="7">
        <v>2924.85</v>
      </c>
      <c r="N4629" s="7">
        <v>327637850</v>
      </c>
      <c r="O4629" s="7">
        <v>233536766</v>
      </c>
      <c r="P4629" s="7">
        <v>0</v>
      </c>
      <c r="Q4629" s="7" t="str">
        <f t="shared" si="1647"/>
        <v>教育庁</v>
      </c>
      <c r="R4629" s="7" t="str">
        <f t="shared" si="1671"/>
        <v>長吉高等学校</v>
      </c>
    </row>
    <row r="4630" spans="1:18" s="1" customFormat="1" x14ac:dyDescent="0.45">
      <c r="A4630" s="7" t="str">
        <f t="shared" si="1668"/>
        <v>10356000000</v>
      </c>
      <c r="B4630" s="7" t="str">
        <f t="shared" si="1669"/>
        <v>長吉高等学校</v>
      </c>
      <c r="C4630" s="7" t="str">
        <f t="shared" si="1667"/>
        <v>行政財産</v>
      </c>
      <c r="D4630" s="7" t="str">
        <f t="shared" si="1661"/>
        <v>学校</v>
      </c>
      <c r="E4630" s="7" t="str">
        <f t="shared" si="1670"/>
        <v>大阪府大阪市　平野区長吉長原西３丁目</v>
      </c>
      <c r="F4630" s="7"/>
      <c r="G4630" s="7" t="str">
        <f t="shared" si="1646"/>
        <v>事業用資産</v>
      </c>
      <c r="H4630" s="7" t="str">
        <f t="shared" si="1666"/>
        <v>棚卸以外</v>
      </c>
      <c r="I4630" s="7">
        <v>19</v>
      </c>
      <c r="J4630" s="7" t="str">
        <f>"準備室棟"</f>
        <v>準備室棟</v>
      </c>
      <c r="K4630" s="7" t="str">
        <f>"鉄骨造"</f>
        <v>鉄骨造</v>
      </c>
      <c r="L4630" s="7" t="str">
        <f>"S60.03.30"</f>
        <v>S60.03.30</v>
      </c>
      <c r="M4630" s="7">
        <v>64.349999999999994</v>
      </c>
      <c r="N4630" s="7">
        <v>7540172</v>
      </c>
      <c r="O4630" s="7">
        <v>7163140</v>
      </c>
      <c r="P4630" s="7">
        <v>0</v>
      </c>
      <c r="Q4630" s="7" t="str">
        <f t="shared" si="1647"/>
        <v>教育庁</v>
      </c>
      <c r="R4630" s="7" t="str">
        <f t="shared" si="1671"/>
        <v>長吉高等学校</v>
      </c>
    </row>
    <row r="4631" spans="1:18" s="1" customFormat="1" x14ac:dyDescent="0.45">
      <c r="A4631" s="7" t="str">
        <f t="shared" si="1668"/>
        <v>10356000000</v>
      </c>
      <c r="B4631" s="7" t="str">
        <f t="shared" si="1669"/>
        <v>長吉高等学校</v>
      </c>
      <c r="C4631" s="7" t="str">
        <f t="shared" si="1667"/>
        <v>行政財産</v>
      </c>
      <c r="D4631" s="7" t="str">
        <f t="shared" si="1661"/>
        <v>学校</v>
      </c>
      <c r="E4631" s="7" t="str">
        <f t="shared" si="1670"/>
        <v>大阪府大阪市　平野区長吉長原西３丁目</v>
      </c>
      <c r="F4631" s="7"/>
      <c r="G4631" s="7" t="str">
        <f t="shared" ref="G4631:G4694" si="1672">"事業用資産"</f>
        <v>事業用資産</v>
      </c>
      <c r="H4631" s="7" t="str">
        <f t="shared" si="1666"/>
        <v>棚卸以外</v>
      </c>
      <c r="I4631" s="7">
        <v>22</v>
      </c>
      <c r="J4631" s="7" t="str">
        <f>"エレベーター棟"</f>
        <v>エレベーター棟</v>
      </c>
      <c r="K4631" s="7" t="str">
        <f>"レンガ、石積造"</f>
        <v>レンガ、石積造</v>
      </c>
      <c r="L4631" s="7" t="str">
        <f>"H06.02.15"</f>
        <v>H06.02.15</v>
      </c>
      <c r="M4631" s="7">
        <v>80.12</v>
      </c>
      <c r="N4631" s="7">
        <v>49394406</v>
      </c>
      <c r="O4631" s="7">
        <v>28685113</v>
      </c>
      <c r="P4631" s="7">
        <v>0</v>
      </c>
      <c r="Q4631" s="7" t="str">
        <f t="shared" si="1647"/>
        <v>教育庁</v>
      </c>
      <c r="R4631" s="7" t="str">
        <f t="shared" si="1671"/>
        <v>長吉高等学校</v>
      </c>
    </row>
    <row r="4632" spans="1:18" s="1" customFormat="1" x14ac:dyDescent="0.45">
      <c r="A4632" s="7" t="str">
        <f t="shared" si="1668"/>
        <v>10356000000</v>
      </c>
      <c r="B4632" s="7" t="str">
        <f t="shared" si="1669"/>
        <v>長吉高等学校</v>
      </c>
      <c r="C4632" s="7" t="str">
        <f t="shared" si="1667"/>
        <v>行政財産</v>
      </c>
      <c r="D4632" s="7" t="str">
        <f t="shared" si="1661"/>
        <v>学校</v>
      </c>
      <c r="E4632" s="7" t="str">
        <f t="shared" si="1670"/>
        <v>大阪府大阪市　平野区長吉長原西３丁目</v>
      </c>
      <c r="F4632" s="7"/>
      <c r="G4632" s="7" t="str">
        <f t="shared" si="1672"/>
        <v>事業用資産</v>
      </c>
      <c r="H4632" s="7" t="str">
        <f t="shared" si="1666"/>
        <v>棚卸以外</v>
      </c>
      <c r="I4632" s="7">
        <v>23</v>
      </c>
      <c r="J4632" s="7" t="str">
        <f>"部室棟"</f>
        <v>部室棟</v>
      </c>
      <c r="K4632" s="7" t="str">
        <f>"鉄骨造"</f>
        <v>鉄骨造</v>
      </c>
      <c r="L4632" s="7" t="str">
        <f>"H15.04.01"</f>
        <v>H15.04.01</v>
      </c>
      <c r="M4632" s="7">
        <v>324.66000000000003</v>
      </c>
      <c r="N4632" s="7">
        <v>32585000</v>
      </c>
      <c r="O4632" s="7">
        <v>19087974</v>
      </c>
      <c r="P4632" s="7">
        <v>0</v>
      </c>
      <c r="Q4632" s="7" t="str">
        <f t="shared" si="1647"/>
        <v>教育庁</v>
      </c>
      <c r="R4632" s="7" t="str">
        <f t="shared" si="1671"/>
        <v>長吉高等学校</v>
      </c>
    </row>
    <row r="4633" spans="1:18" s="1" customFormat="1" x14ac:dyDescent="0.45">
      <c r="A4633" s="7" t="str">
        <f t="shared" si="1668"/>
        <v>10356000000</v>
      </c>
      <c r="B4633" s="7" t="str">
        <f t="shared" si="1669"/>
        <v>長吉高等学校</v>
      </c>
      <c r="C4633" s="7" t="str">
        <f t="shared" si="1667"/>
        <v>行政財産</v>
      </c>
      <c r="D4633" s="7" t="str">
        <f t="shared" si="1661"/>
        <v>学校</v>
      </c>
      <c r="E4633" s="7" t="str">
        <f t="shared" si="1670"/>
        <v>大阪府大阪市　平野区長吉長原西３丁目</v>
      </c>
      <c r="F4633" s="7"/>
      <c r="G4633" s="7" t="str">
        <f t="shared" si="1672"/>
        <v>事業用資産</v>
      </c>
      <c r="H4633" s="7" t="str">
        <f t="shared" si="1666"/>
        <v>棚卸以外</v>
      </c>
      <c r="I4633" s="7">
        <v>24</v>
      </c>
      <c r="J4633" s="7" t="str">
        <f>"自治会室棟"</f>
        <v>自治会室棟</v>
      </c>
      <c r="K4633" s="7" t="str">
        <f>"鉄骨造"</f>
        <v>鉄骨造</v>
      </c>
      <c r="L4633" s="7" t="str">
        <f>"H15.04.01"</f>
        <v>H15.04.01</v>
      </c>
      <c r="M4633" s="7">
        <v>29.16</v>
      </c>
      <c r="N4633" s="7">
        <v>4542000</v>
      </c>
      <c r="O4633" s="7">
        <v>2660787</v>
      </c>
      <c r="P4633" s="7">
        <v>0</v>
      </c>
      <c r="Q4633" s="7" t="str">
        <f t="shared" si="1647"/>
        <v>教育庁</v>
      </c>
      <c r="R4633" s="7" t="str">
        <f t="shared" si="1671"/>
        <v>長吉高等学校</v>
      </c>
    </row>
    <row r="4634" spans="1:18" s="1" customFormat="1" x14ac:dyDescent="0.45">
      <c r="A4634" s="7" t="str">
        <f t="shared" si="1668"/>
        <v>10356000000</v>
      </c>
      <c r="B4634" s="7" t="str">
        <f t="shared" si="1669"/>
        <v>長吉高等学校</v>
      </c>
      <c r="C4634" s="7" t="str">
        <f t="shared" si="1667"/>
        <v>行政財産</v>
      </c>
      <c r="D4634" s="7" t="str">
        <f t="shared" si="1661"/>
        <v>学校</v>
      </c>
      <c r="E4634" s="7" t="str">
        <f t="shared" si="1670"/>
        <v>大阪府大阪市　平野区長吉長原西３丁目</v>
      </c>
      <c r="F4634" s="7"/>
      <c r="G4634" s="7" t="str">
        <f t="shared" si="1672"/>
        <v>事業用資産</v>
      </c>
      <c r="H4634" s="7" t="str">
        <f t="shared" si="1666"/>
        <v>棚卸以外</v>
      </c>
      <c r="I4634" s="7">
        <v>25</v>
      </c>
      <c r="J4634" s="7" t="str">
        <f>"ゴミ集積場"</f>
        <v>ゴミ集積場</v>
      </c>
      <c r="K4634" s="7" t="str">
        <f>"コンクリートブロック造"</f>
        <v>コンクリートブロック造</v>
      </c>
      <c r="L4634" s="7" t="str">
        <f>"H15.04.01"</f>
        <v>H15.04.01</v>
      </c>
      <c r="M4634" s="7">
        <v>19.260000000000002</v>
      </c>
      <c r="N4634" s="7">
        <v>2126000</v>
      </c>
      <c r="O4634" s="7">
        <v>1245429</v>
      </c>
      <c r="P4634" s="7">
        <v>0</v>
      </c>
      <c r="Q4634" s="7" t="str">
        <f t="shared" si="1647"/>
        <v>教育庁</v>
      </c>
      <c r="R4634" s="7" t="str">
        <f t="shared" si="1671"/>
        <v>長吉高等学校</v>
      </c>
    </row>
    <row r="4635" spans="1:18" s="1" customFormat="1" x14ac:dyDescent="0.45">
      <c r="A4635" s="7" t="str">
        <f t="shared" si="1668"/>
        <v>10356000000</v>
      </c>
      <c r="B4635" s="7" t="str">
        <f t="shared" si="1669"/>
        <v>長吉高等学校</v>
      </c>
      <c r="C4635" s="7" t="str">
        <f t="shared" si="1667"/>
        <v>行政財産</v>
      </c>
      <c r="D4635" s="7" t="str">
        <f t="shared" si="1661"/>
        <v>学校</v>
      </c>
      <c r="E4635" s="7" t="str">
        <f t="shared" si="1670"/>
        <v>大阪府大阪市　平野区長吉長原西３丁目</v>
      </c>
      <c r="F4635" s="7"/>
      <c r="G4635" s="7" t="str">
        <f t="shared" si="1672"/>
        <v>事業用資産</v>
      </c>
      <c r="H4635" s="7" t="str">
        <f t="shared" si="1666"/>
        <v>棚卸以外</v>
      </c>
      <c r="I4635" s="7">
        <v>26</v>
      </c>
      <c r="J4635" s="7" t="str">
        <f>"自転車置き場"</f>
        <v>自転車置き場</v>
      </c>
      <c r="K4635" s="7" t="str">
        <f>"軽量鉄骨造"</f>
        <v>軽量鉄骨造</v>
      </c>
      <c r="L4635" s="7" t="str">
        <f>"H15.04.01"</f>
        <v>H15.04.01</v>
      </c>
      <c r="M4635" s="7">
        <v>482.53</v>
      </c>
      <c r="N4635" s="7">
        <v>21427000</v>
      </c>
      <c r="O4635" s="7">
        <v>17781600</v>
      </c>
      <c r="P4635" s="7">
        <v>0</v>
      </c>
      <c r="Q4635" s="7" t="str">
        <f t="shared" ref="Q4635:Q4698" si="1673">"教育庁"</f>
        <v>教育庁</v>
      </c>
      <c r="R4635" s="7" t="str">
        <f t="shared" si="1671"/>
        <v>長吉高等学校</v>
      </c>
    </row>
    <row r="4636" spans="1:18" s="1" customFormat="1" x14ac:dyDescent="0.45">
      <c r="A4636" s="7" t="str">
        <f t="shared" ref="A4636:A4643" si="1674">"10357000000"</f>
        <v>10357000000</v>
      </c>
      <c r="B4636" s="7" t="str">
        <f t="shared" ref="B4636:B4643" si="1675">"平野高等学校"</f>
        <v>平野高等学校</v>
      </c>
      <c r="C4636" s="7" t="str">
        <f t="shared" si="1667"/>
        <v>行政財産</v>
      </c>
      <c r="D4636" s="7" t="str">
        <f t="shared" si="1661"/>
        <v>学校</v>
      </c>
      <c r="E4636" s="7" t="str">
        <f t="shared" ref="E4636:E4643" si="1676">"大阪府大阪市　平野区長吉川辺４丁目"</f>
        <v>大阪府大阪市　平野区長吉川辺４丁目</v>
      </c>
      <c r="F4636" s="7"/>
      <c r="G4636" s="7" t="str">
        <f t="shared" si="1672"/>
        <v>事業用資産</v>
      </c>
      <c r="H4636" s="7" t="str">
        <f t="shared" si="1666"/>
        <v>棚卸以外</v>
      </c>
      <c r="I4636" s="7">
        <v>1</v>
      </c>
      <c r="J4636" s="7" t="str">
        <f>"本館"</f>
        <v>本館</v>
      </c>
      <c r="K4636" s="7" t="str">
        <f>"鉄筋コンクリート造"</f>
        <v>鉄筋コンクリート造</v>
      </c>
      <c r="L4636" s="7" t="str">
        <f>"S55.04.01"</f>
        <v>S55.04.01</v>
      </c>
      <c r="M4636" s="7">
        <v>8046.49</v>
      </c>
      <c r="N4636" s="7">
        <v>1096286748</v>
      </c>
      <c r="O4636" s="7">
        <v>890189440</v>
      </c>
      <c r="P4636" s="7">
        <v>0</v>
      </c>
      <c r="Q4636" s="7" t="str">
        <f t="shared" si="1673"/>
        <v>教育庁</v>
      </c>
      <c r="R4636" s="7" t="str">
        <f t="shared" ref="R4636:R4643" si="1677">"平野高等学校"</f>
        <v>平野高等学校</v>
      </c>
    </row>
    <row r="4637" spans="1:18" s="1" customFormat="1" x14ac:dyDescent="0.45">
      <c r="A4637" s="7" t="str">
        <f t="shared" si="1674"/>
        <v>10357000000</v>
      </c>
      <c r="B4637" s="7" t="str">
        <f t="shared" si="1675"/>
        <v>平野高等学校</v>
      </c>
      <c r="C4637" s="7" t="str">
        <f t="shared" si="1667"/>
        <v>行政財産</v>
      </c>
      <c r="D4637" s="7" t="str">
        <f t="shared" si="1661"/>
        <v>学校</v>
      </c>
      <c r="E4637" s="7" t="str">
        <f t="shared" si="1676"/>
        <v>大阪府大阪市　平野区長吉川辺４丁目</v>
      </c>
      <c r="F4637" s="7"/>
      <c r="G4637" s="7" t="str">
        <f t="shared" si="1672"/>
        <v>事業用資産</v>
      </c>
      <c r="H4637" s="7" t="str">
        <f t="shared" si="1666"/>
        <v>棚卸以外</v>
      </c>
      <c r="I4637" s="7">
        <v>3</v>
      </c>
      <c r="J4637" s="7" t="str">
        <f>"ごみ集積場"</f>
        <v>ごみ集積場</v>
      </c>
      <c r="K4637" s="7" t="str">
        <f>"鉄筋コンクリート造"</f>
        <v>鉄筋コンクリート造</v>
      </c>
      <c r="L4637" s="7" t="str">
        <f>"S55.04.07"</f>
        <v>S55.04.07</v>
      </c>
      <c r="M4637" s="7">
        <v>8.9</v>
      </c>
      <c r="N4637" s="7">
        <v>1080000</v>
      </c>
      <c r="O4637" s="7">
        <v>1079999</v>
      </c>
      <c r="P4637" s="7">
        <v>0</v>
      </c>
      <c r="Q4637" s="7" t="str">
        <f t="shared" si="1673"/>
        <v>教育庁</v>
      </c>
      <c r="R4637" s="7" t="str">
        <f t="shared" si="1677"/>
        <v>平野高等学校</v>
      </c>
    </row>
    <row r="4638" spans="1:18" s="1" customFormat="1" x14ac:dyDescent="0.45">
      <c r="A4638" s="7" t="str">
        <f t="shared" si="1674"/>
        <v>10357000000</v>
      </c>
      <c r="B4638" s="7" t="str">
        <f t="shared" si="1675"/>
        <v>平野高等学校</v>
      </c>
      <c r="C4638" s="7" t="str">
        <f t="shared" si="1667"/>
        <v>行政財産</v>
      </c>
      <c r="D4638" s="7" t="str">
        <f t="shared" si="1661"/>
        <v>学校</v>
      </c>
      <c r="E4638" s="7" t="str">
        <f t="shared" si="1676"/>
        <v>大阪府大阪市　平野区長吉川辺４丁目</v>
      </c>
      <c r="F4638" s="7"/>
      <c r="G4638" s="7" t="str">
        <f t="shared" si="1672"/>
        <v>事業用資産</v>
      </c>
      <c r="H4638" s="7" t="str">
        <f t="shared" si="1666"/>
        <v>棚卸以外</v>
      </c>
      <c r="I4638" s="7">
        <v>4</v>
      </c>
      <c r="J4638" s="7" t="str">
        <f>"倉庫１"</f>
        <v>倉庫１</v>
      </c>
      <c r="K4638" s="7" t="str">
        <f>"土蔵造(簡易建物)"</f>
        <v>土蔵造(簡易建物)</v>
      </c>
      <c r="L4638" s="7" t="str">
        <f>"S55.09.30"</f>
        <v>S55.09.30</v>
      </c>
      <c r="M4638" s="7">
        <v>128.69999999999999</v>
      </c>
      <c r="N4638" s="7">
        <v>8073000</v>
      </c>
      <c r="O4638" s="7">
        <v>8072999</v>
      </c>
      <c r="P4638" s="7">
        <v>0</v>
      </c>
      <c r="Q4638" s="7" t="str">
        <f t="shared" si="1673"/>
        <v>教育庁</v>
      </c>
      <c r="R4638" s="7" t="str">
        <f t="shared" si="1677"/>
        <v>平野高等学校</v>
      </c>
    </row>
    <row r="4639" spans="1:18" s="1" customFormat="1" x14ac:dyDescent="0.45">
      <c r="A4639" s="7" t="str">
        <f t="shared" si="1674"/>
        <v>10357000000</v>
      </c>
      <c r="B4639" s="7" t="str">
        <f t="shared" si="1675"/>
        <v>平野高等学校</v>
      </c>
      <c r="C4639" s="7" t="str">
        <f t="shared" si="1667"/>
        <v>行政財産</v>
      </c>
      <c r="D4639" s="7" t="str">
        <f t="shared" si="1661"/>
        <v>学校</v>
      </c>
      <c r="E4639" s="7" t="str">
        <f t="shared" si="1676"/>
        <v>大阪府大阪市　平野区長吉川辺４丁目</v>
      </c>
      <c r="F4639" s="7"/>
      <c r="G4639" s="7" t="str">
        <f t="shared" si="1672"/>
        <v>事業用資産</v>
      </c>
      <c r="H4639" s="7" t="str">
        <f t="shared" si="1666"/>
        <v>棚卸以外</v>
      </c>
      <c r="I4639" s="7">
        <v>5</v>
      </c>
      <c r="J4639" s="7" t="str">
        <f>"体育館"</f>
        <v>体育館</v>
      </c>
      <c r="K4639" s="7" t="str">
        <f>"鉄筋コンクリート造"</f>
        <v>鉄筋コンクリート造</v>
      </c>
      <c r="L4639" s="7" t="str">
        <f>"S56.03.31"</f>
        <v>S56.03.31</v>
      </c>
      <c r="M4639" s="7">
        <v>3058.05</v>
      </c>
      <c r="N4639" s="7">
        <v>498844703</v>
      </c>
      <c r="O4639" s="7">
        <v>382393687</v>
      </c>
      <c r="P4639" s="7">
        <v>0</v>
      </c>
      <c r="Q4639" s="7" t="str">
        <f t="shared" si="1673"/>
        <v>教育庁</v>
      </c>
      <c r="R4639" s="7" t="str">
        <f t="shared" si="1677"/>
        <v>平野高等学校</v>
      </c>
    </row>
    <row r="4640" spans="1:18" s="1" customFormat="1" x14ac:dyDescent="0.45">
      <c r="A4640" s="7" t="str">
        <f t="shared" si="1674"/>
        <v>10357000000</v>
      </c>
      <c r="B4640" s="7" t="str">
        <f t="shared" si="1675"/>
        <v>平野高等学校</v>
      </c>
      <c r="C4640" s="7" t="str">
        <f t="shared" si="1667"/>
        <v>行政財産</v>
      </c>
      <c r="D4640" s="7" t="str">
        <f t="shared" si="1661"/>
        <v>学校</v>
      </c>
      <c r="E4640" s="7" t="str">
        <f t="shared" si="1676"/>
        <v>大阪府大阪市　平野区長吉川辺４丁目</v>
      </c>
      <c r="F4640" s="7"/>
      <c r="G4640" s="7" t="str">
        <f t="shared" si="1672"/>
        <v>事業用資産</v>
      </c>
      <c r="H4640" s="7" t="str">
        <f t="shared" si="1666"/>
        <v>棚卸以外</v>
      </c>
      <c r="I4640" s="7">
        <v>6</v>
      </c>
      <c r="J4640" s="7" t="str">
        <f>"プール附属棟"</f>
        <v>プール附属棟</v>
      </c>
      <c r="K4640" s="7" t="str">
        <f>"鉄筋コンクリート造"</f>
        <v>鉄筋コンクリート造</v>
      </c>
      <c r="L4640" s="7" t="str">
        <f>"S56.03.31"</f>
        <v>S56.03.31</v>
      </c>
      <c r="M4640" s="7">
        <v>138</v>
      </c>
      <c r="N4640" s="7">
        <v>45693953</v>
      </c>
      <c r="O4640" s="7">
        <v>40751942</v>
      </c>
      <c r="P4640" s="7">
        <v>0</v>
      </c>
      <c r="Q4640" s="7" t="str">
        <f t="shared" si="1673"/>
        <v>教育庁</v>
      </c>
      <c r="R4640" s="7" t="str">
        <f t="shared" si="1677"/>
        <v>平野高等学校</v>
      </c>
    </row>
    <row r="4641" spans="1:18" s="1" customFormat="1" x14ac:dyDescent="0.45">
      <c r="A4641" s="7" t="str">
        <f t="shared" si="1674"/>
        <v>10357000000</v>
      </c>
      <c r="B4641" s="7" t="str">
        <f t="shared" si="1675"/>
        <v>平野高等学校</v>
      </c>
      <c r="C4641" s="7" t="str">
        <f t="shared" si="1667"/>
        <v>行政財産</v>
      </c>
      <c r="D4641" s="7" t="str">
        <f t="shared" si="1661"/>
        <v>学校</v>
      </c>
      <c r="E4641" s="7" t="str">
        <f t="shared" si="1676"/>
        <v>大阪府大阪市　平野区長吉川辺４丁目</v>
      </c>
      <c r="F4641" s="7"/>
      <c r="G4641" s="7" t="str">
        <f t="shared" si="1672"/>
        <v>事業用資産</v>
      </c>
      <c r="H4641" s="7" t="str">
        <f t="shared" si="1666"/>
        <v>棚卸以外</v>
      </c>
      <c r="I4641" s="7">
        <v>7</v>
      </c>
      <c r="J4641" s="7" t="str">
        <f>"北館"</f>
        <v>北館</v>
      </c>
      <c r="K4641" s="7" t="str">
        <f>"鉄筋コンクリート造"</f>
        <v>鉄筋コンクリート造</v>
      </c>
      <c r="L4641" s="7" t="str">
        <f>"S57.03.01"</f>
        <v>S57.03.01</v>
      </c>
      <c r="M4641" s="7">
        <v>3288.47</v>
      </c>
      <c r="N4641" s="7">
        <v>435986997</v>
      </c>
      <c r="O4641" s="7">
        <v>377495707</v>
      </c>
      <c r="P4641" s="7">
        <v>0</v>
      </c>
      <c r="Q4641" s="7" t="str">
        <f t="shared" si="1673"/>
        <v>教育庁</v>
      </c>
      <c r="R4641" s="7" t="str">
        <f t="shared" si="1677"/>
        <v>平野高等学校</v>
      </c>
    </row>
    <row r="4642" spans="1:18" s="1" customFormat="1" x14ac:dyDescent="0.45">
      <c r="A4642" s="7" t="str">
        <f t="shared" si="1674"/>
        <v>10357000000</v>
      </c>
      <c r="B4642" s="7" t="str">
        <f t="shared" si="1675"/>
        <v>平野高等学校</v>
      </c>
      <c r="C4642" s="7" t="str">
        <f t="shared" si="1667"/>
        <v>行政財産</v>
      </c>
      <c r="D4642" s="7" t="str">
        <f t="shared" si="1661"/>
        <v>学校</v>
      </c>
      <c r="E4642" s="7" t="str">
        <f t="shared" si="1676"/>
        <v>大阪府大阪市　平野区長吉川辺４丁目</v>
      </c>
      <c r="F4642" s="7"/>
      <c r="G4642" s="7" t="str">
        <f t="shared" si="1672"/>
        <v>事業用資産</v>
      </c>
      <c r="H4642" s="7" t="str">
        <f t="shared" si="1666"/>
        <v>棚卸以外</v>
      </c>
      <c r="I4642" s="7">
        <v>8</v>
      </c>
      <c r="J4642" s="7" t="str">
        <f>"渡り廊下"</f>
        <v>渡り廊下</v>
      </c>
      <c r="K4642" s="7" t="str">
        <f>"鉄筋コンクリート造"</f>
        <v>鉄筋コンクリート造</v>
      </c>
      <c r="L4642" s="7" t="str">
        <f>"S57.03.01"</f>
        <v>S57.03.01</v>
      </c>
      <c r="M4642" s="7">
        <v>436.2</v>
      </c>
      <c r="N4642" s="7">
        <v>55582051</v>
      </c>
      <c r="O4642" s="7">
        <v>55582049</v>
      </c>
      <c r="P4642" s="7">
        <v>0</v>
      </c>
      <c r="Q4642" s="7" t="str">
        <f t="shared" si="1673"/>
        <v>教育庁</v>
      </c>
      <c r="R4642" s="7" t="str">
        <f t="shared" si="1677"/>
        <v>平野高等学校</v>
      </c>
    </row>
    <row r="4643" spans="1:18" s="1" customFormat="1" x14ac:dyDescent="0.45">
      <c r="A4643" s="7" t="str">
        <f t="shared" si="1674"/>
        <v>10357000000</v>
      </c>
      <c r="B4643" s="7" t="str">
        <f t="shared" si="1675"/>
        <v>平野高等学校</v>
      </c>
      <c r="C4643" s="7" t="str">
        <f t="shared" si="1667"/>
        <v>行政財産</v>
      </c>
      <c r="D4643" s="7" t="str">
        <f t="shared" si="1661"/>
        <v>学校</v>
      </c>
      <c r="E4643" s="7" t="str">
        <f t="shared" si="1676"/>
        <v>大阪府大阪市　平野区長吉川辺４丁目</v>
      </c>
      <c r="F4643" s="7"/>
      <c r="G4643" s="7" t="str">
        <f t="shared" si="1672"/>
        <v>事業用資産</v>
      </c>
      <c r="H4643" s="7" t="str">
        <f t="shared" si="1666"/>
        <v>棚卸以外</v>
      </c>
      <c r="I4643" s="7">
        <v>9</v>
      </c>
      <c r="J4643" s="7" t="str">
        <f>"倉庫２"</f>
        <v>倉庫２</v>
      </c>
      <c r="K4643" s="7" t="str">
        <f>"軽量鉄骨造"</f>
        <v>軽量鉄骨造</v>
      </c>
      <c r="L4643" s="7" t="str">
        <f>"S58.03.30"</f>
        <v>S58.03.30</v>
      </c>
      <c r="M4643" s="7">
        <v>100</v>
      </c>
      <c r="N4643" s="7">
        <v>8279000</v>
      </c>
      <c r="O4643" s="7">
        <v>8278999</v>
      </c>
      <c r="P4643" s="7">
        <v>0</v>
      </c>
      <c r="Q4643" s="7" t="str">
        <f t="shared" si="1673"/>
        <v>教育庁</v>
      </c>
      <c r="R4643" s="7" t="str">
        <f t="shared" si="1677"/>
        <v>平野高等学校</v>
      </c>
    </row>
    <row r="4644" spans="1:18" s="1" customFormat="1" x14ac:dyDescent="0.45">
      <c r="A4644" s="7" t="str">
        <f t="shared" ref="A4644:A4660" si="1678">"10360000000"</f>
        <v>10360000000</v>
      </c>
      <c r="B4644" s="7" t="str">
        <f t="shared" ref="B4644:B4660" si="1679">"阪南高等学校"</f>
        <v>阪南高等学校</v>
      </c>
      <c r="C4644" s="7" t="str">
        <f t="shared" si="1667"/>
        <v>行政財産</v>
      </c>
      <c r="D4644" s="7" t="str">
        <f t="shared" si="1661"/>
        <v>学校</v>
      </c>
      <c r="E4644" s="7" t="str">
        <f t="shared" ref="E4644:E4660" si="1680">"大阪府大阪市　住吉区庭井２丁目"</f>
        <v>大阪府大阪市　住吉区庭井２丁目</v>
      </c>
      <c r="F4644" s="7"/>
      <c r="G4644" s="7" t="str">
        <f t="shared" si="1672"/>
        <v>事業用資産</v>
      </c>
      <c r="H4644" s="7" t="str">
        <f t="shared" si="1666"/>
        <v>棚卸以外</v>
      </c>
      <c r="I4644" s="7">
        <v>1</v>
      </c>
      <c r="J4644" s="7" t="str">
        <f>"第１棟"</f>
        <v>第１棟</v>
      </c>
      <c r="K4644" s="7" t="str">
        <f>"鉄筋コンクリート造"</f>
        <v>鉄筋コンクリート造</v>
      </c>
      <c r="L4644" s="7" t="str">
        <f>"S35.02.29"</f>
        <v>S35.02.29</v>
      </c>
      <c r="M4644" s="7">
        <v>2755.04</v>
      </c>
      <c r="N4644" s="7">
        <v>320814058</v>
      </c>
      <c r="O4644" s="7">
        <v>225434945</v>
      </c>
      <c r="P4644" s="7">
        <v>0</v>
      </c>
      <c r="Q4644" s="7" t="str">
        <f t="shared" si="1673"/>
        <v>教育庁</v>
      </c>
      <c r="R4644" s="7" t="str">
        <f t="shared" ref="R4644:R4660" si="1681">"阪南高等学校"</f>
        <v>阪南高等学校</v>
      </c>
    </row>
    <row r="4645" spans="1:18" s="1" customFormat="1" x14ac:dyDescent="0.45">
      <c r="A4645" s="7" t="str">
        <f t="shared" si="1678"/>
        <v>10360000000</v>
      </c>
      <c r="B4645" s="7" t="str">
        <f t="shared" si="1679"/>
        <v>阪南高等学校</v>
      </c>
      <c r="C4645" s="7" t="str">
        <f t="shared" si="1667"/>
        <v>行政財産</v>
      </c>
      <c r="D4645" s="7" t="str">
        <f t="shared" si="1661"/>
        <v>学校</v>
      </c>
      <c r="E4645" s="7" t="str">
        <f t="shared" si="1680"/>
        <v>大阪府大阪市　住吉区庭井２丁目</v>
      </c>
      <c r="F4645" s="7"/>
      <c r="G4645" s="7" t="str">
        <f t="shared" si="1672"/>
        <v>事業用資産</v>
      </c>
      <c r="H4645" s="7" t="str">
        <f t="shared" si="1666"/>
        <v>棚卸以外</v>
      </c>
      <c r="I4645" s="7">
        <v>2</v>
      </c>
      <c r="J4645" s="7" t="str">
        <f>"第２棟"</f>
        <v>第２棟</v>
      </c>
      <c r="K4645" s="7" t="str">
        <f>"鉄筋コンクリート造"</f>
        <v>鉄筋コンクリート造</v>
      </c>
      <c r="L4645" s="7" t="str">
        <f>"S35.02.29"</f>
        <v>S35.02.29</v>
      </c>
      <c r="M4645" s="7">
        <v>2145.61</v>
      </c>
      <c r="N4645" s="7">
        <v>289188158</v>
      </c>
      <c r="O4645" s="7">
        <v>213711790</v>
      </c>
      <c r="P4645" s="7">
        <v>0</v>
      </c>
      <c r="Q4645" s="7" t="str">
        <f t="shared" si="1673"/>
        <v>教育庁</v>
      </c>
      <c r="R4645" s="7" t="str">
        <f t="shared" si="1681"/>
        <v>阪南高等学校</v>
      </c>
    </row>
    <row r="4646" spans="1:18" s="1" customFormat="1" x14ac:dyDescent="0.45">
      <c r="A4646" s="7" t="str">
        <f t="shared" si="1678"/>
        <v>10360000000</v>
      </c>
      <c r="B4646" s="7" t="str">
        <f t="shared" si="1679"/>
        <v>阪南高等学校</v>
      </c>
      <c r="C4646" s="7" t="str">
        <f t="shared" si="1667"/>
        <v>行政財産</v>
      </c>
      <c r="D4646" s="7" t="str">
        <f t="shared" si="1661"/>
        <v>学校</v>
      </c>
      <c r="E4646" s="7" t="str">
        <f t="shared" si="1680"/>
        <v>大阪府大阪市　住吉区庭井２丁目</v>
      </c>
      <c r="F4646" s="7"/>
      <c r="G4646" s="7" t="str">
        <f t="shared" si="1672"/>
        <v>事業用資産</v>
      </c>
      <c r="H4646" s="7" t="str">
        <f t="shared" si="1666"/>
        <v>棚卸以外</v>
      </c>
      <c r="I4646" s="7">
        <v>3</v>
      </c>
      <c r="J4646" s="7" t="str">
        <f>"渡り廊下"</f>
        <v>渡り廊下</v>
      </c>
      <c r="K4646" s="7" t="str">
        <f>"鉄筋コンクリート造"</f>
        <v>鉄筋コンクリート造</v>
      </c>
      <c r="L4646" s="7" t="str">
        <f>"S35.02.29"</f>
        <v>S35.02.29</v>
      </c>
      <c r="M4646" s="7">
        <v>196.79</v>
      </c>
      <c r="N4646" s="7">
        <v>38166983</v>
      </c>
      <c r="O4646" s="7">
        <v>30081081</v>
      </c>
      <c r="P4646" s="7">
        <v>0</v>
      </c>
      <c r="Q4646" s="7" t="str">
        <f t="shared" si="1673"/>
        <v>教育庁</v>
      </c>
      <c r="R4646" s="7" t="str">
        <f t="shared" si="1681"/>
        <v>阪南高等学校</v>
      </c>
    </row>
    <row r="4647" spans="1:18" s="1" customFormat="1" x14ac:dyDescent="0.45">
      <c r="A4647" s="7" t="str">
        <f t="shared" si="1678"/>
        <v>10360000000</v>
      </c>
      <c r="B4647" s="7" t="str">
        <f t="shared" si="1679"/>
        <v>阪南高等学校</v>
      </c>
      <c r="C4647" s="7" t="str">
        <f t="shared" si="1667"/>
        <v>行政財産</v>
      </c>
      <c r="D4647" s="7" t="str">
        <f t="shared" si="1661"/>
        <v>学校</v>
      </c>
      <c r="E4647" s="7" t="str">
        <f t="shared" si="1680"/>
        <v>大阪府大阪市　住吉区庭井２丁目</v>
      </c>
      <c r="F4647" s="7"/>
      <c r="G4647" s="7" t="str">
        <f t="shared" si="1672"/>
        <v>事業用資産</v>
      </c>
      <c r="H4647" s="7" t="str">
        <f t="shared" si="1666"/>
        <v>棚卸以外</v>
      </c>
      <c r="I4647" s="7">
        <v>4</v>
      </c>
      <c r="J4647" s="7" t="str">
        <f>"スロープ"</f>
        <v>スロープ</v>
      </c>
      <c r="K4647" s="7" t="str">
        <f>"鉄筋コンクリート造"</f>
        <v>鉄筋コンクリート造</v>
      </c>
      <c r="L4647" s="7" t="str">
        <f>"S35.02.29"</f>
        <v>S35.02.29</v>
      </c>
      <c r="M4647" s="7">
        <v>267.99</v>
      </c>
      <c r="N4647" s="7">
        <v>5430000</v>
      </c>
      <c r="O4647" s="7">
        <v>5429999</v>
      </c>
      <c r="P4647" s="7">
        <v>0</v>
      </c>
      <c r="Q4647" s="7" t="str">
        <f t="shared" si="1673"/>
        <v>教育庁</v>
      </c>
      <c r="R4647" s="7" t="str">
        <f t="shared" si="1681"/>
        <v>阪南高等学校</v>
      </c>
    </row>
    <row r="4648" spans="1:18" s="1" customFormat="1" x14ac:dyDescent="0.45">
      <c r="A4648" s="7" t="str">
        <f t="shared" si="1678"/>
        <v>10360000000</v>
      </c>
      <c r="B4648" s="7" t="str">
        <f t="shared" si="1679"/>
        <v>阪南高等学校</v>
      </c>
      <c r="C4648" s="7" t="str">
        <f t="shared" si="1667"/>
        <v>行政財産</v>
      </c>
      <c r="D4648" s="7" t="str">
        <f t="shared" si="1661"/>
        <v>学校</v>
      </c>
      <c r="E4648" s="7" t="str">
        <f t="shared" si="1680"/>
        <v>大阪府大阪市　住吉区庭井２丁目</v>
      </c>
      <c r="F4648" s="7"/>
      <c r="G4648" s="7" t="str">
        <f t="shared" si="1672"/>
        <v>事業用資産</v>
      </c>
      <c r="H4648" s="7" t="str">
        <f t="shared" si="1666"/>
        <v>棚卸以外</v>
      </c>
      <c r="I4648" s="7">
        <v>5</v>
      </c>
      <c r="J4648" s="7" t="str">
        <f>"電気室"</f>
        <v>電気室</v>
      </c>
      <c r="K4648" s="7" t="str">
        <f>"コンクリートブロック造"</f>
        <v>コンクリートブロック造</v>
      </c>
      <c r="L4648" s="7" t="str">
        <f>"S35.02.29"</f>
        <v>S35.02.29</v>
      </c>
      <c r="M4648" s="7">
        <v>56.29</v>
      </c>
      <c r="N4648" s="7">
        <v>16274686</v>
      </c>
      <c r="O4648" s="7">
        <v>14540320</v>
      </c>
      <c r="P4648" s="7">
        <v>0</v>
      </c>
      <c r="Q4648" s="7" t="str">
        <f t="shared" si="1673"/>
        <v>教育庁</v>
      </c>
      <c r="R4648" s="7" t="str">
        <f t="shared" si="1681"/>
        <v>阪南高等学校</v>
      </c>
    </row>
    <row r="4649" spans="1:18" s="1" customFormat="1" x14ac:dyDescent="0.45">
      <c r="A4649" s="7" t="str">
        <f t="shared" si="1678"/>
        <v>10360000000</v>
      </c>
      <c r="B4649" s="7" t="str">
        <f t="shared" si="1679"/>
        <v>阪南高等学校</v>
      </c>
      <c r="C4649" s="7" t="str">
        <f t="shared" si="1667"/>
        <v>行政財産</v>
      </c>
      <c r="D4649" s="7" t="str">
        <f t="shared" si="1661"/>
        <v>学校</v>
      </c>
      <c r="E4649" s="7" t="str">
        <f t="shared" si="1680"/>
        <v>大阪府大阪市　住吉区庭井２丁目</v>
      </c>
      <c r="F4649" s="7"/>
      <c r="G4649" s="7" t="str">
        <f t="shared" si="1672"/>
        <v>事業用資産</v>
      </c>
      <c r="H4649" s="7" t="str">
        <f t="shared" si="1666"/>
        <v>棚卸以外</v>
      </c>
      <c r="I4649" s="7">
        <v>7</v>
      </c>
      <c r="J4649" s="7" t="str">
        <f>"第３棟"</f>
        <v>第３棟</v>
      </c>
      <c r="K4649" s="7" t="str">
        <f>"鉄筋コンクリート造"</f>
        <v>鉄筋コンクリート造</v>
      </c>
      <c r="L4649" s="7" t="str">
        <f>"S38.03.31"</f>
        <v>S38.03.31</v>
      </c>
      <c r="M4649" s="7">
        <v>3089.48</v>
      </c>
      <c r="N4649" s="7">
        <v>396463582</v>
      </c>
      <c r="O4649" s="7">
        <v>276352367</v>
      </c>
      <c r="P4649" s="7">
        <v>0</v>
      </c>
      <c r="Q4649" s="7" t="str">
        <f t="shared" si="1673"/>
        <v>教育庁</v>
      </c>
      <c r="R4649" s="7" t="str">
        <f t="shared" si="1681"/>
        <v>阪南高等学校</v>
      </c>
    </row>
    <row r="4650" spans="1:18" s="1" customFormat="1" x14ac:dyDescent="0.45">
      <c r="A4650" s="7" t="str">
        <f t="shared" si="1678"/>
        <v>10360000000</v>
      </c>
      <c r="B4650" s="7" t="str">
        <f t="shared" si="1679"/>
        <v>阪南高等学校</v>
      </c>
      <c r="C4650" s="7" t="str">
        <f t="shared" si="1667"/>
        <v>行政財産</v>
      </c>
      <c r="D4650" s="7" t="str">
        <f t="shared" si="1661"/>
        <v>学校</v>
      </c>
      <c r="E4650" s="7" t="str">
        <f t="shared" si="1680"/>
        <v>大阪府大阪市　住吉区庭井２丁目</v>
      </c>
      <c r="F4650" s="7"/>
      <c r="G4650" s="7" t="str">
        <f t="shared" si="1672"/>
        <v>事業用資産</v>
      </c>
      <c r="H4650" s="7" t="str">
        <f t="shared" si="1666"/>
        <v>棚卸以外</v>
      </c>
      <c r="I4650" s="7">
        <v>8</v>
      </c>
      <c r="J4650" s="7" t="str">
        <f>"倉庫"</f>
        <v>倉庫</v>
      </c>
      <c r="K4650" s="7" t="str">
        <f>"コンクリートブロック造"</f>
        <v>コンクリートブロック造</v>
      </c>
      <c r="L4650" s="7" t="str">
        <f>"S38.03.31"</f>
        <v>S38.03.31</v>
      </c>
      <c r="M4650" s="7">
        <v>47.14</v>
      </c>
      <c r="N4650" s="7">
        <v>748401</v>
      </c>
      <c r="O4650" s="7">
        <v>748400</v>
      </c>
      <c r="P4650" s="7">
        <v>0</v>
      </c>
      <c r="Q4650" s="7" t="str">
        <f t="shared" si="1673"/>
        <v>教育庁</v>
      </c>
      <c r="R4650" s="7" t="str">
        <f t="shared" si="1681"/>
        <v>阪南高等学校</v>
      </c>
    </row>
    <row r="4651" spans="1:18" s="1" customFormat="1" x14ac:dyDescent="0.45">
      <c r="A4651" s="7" t="str">
        <f t="shared" si="1678"/>
        <v>10360000000</v>
      </c>
      <c r="B4651" s="7" t="str">
        <f t="shared" si="1679"/>
        <v>阪南高等学校</v>
      </c>
      <c r="C4651" s="7" t="str">
        <f t="shared" si="1667"/>
        <v>行政財産</v>
      </c>
      <c r="D4651" s="7" t="str">
        <f t="shared" si="1661"/>
        <v>学校</v>
      </c>
      <c r="E4651" s="7" t="str">
        <f t="shared" si="1680"/>
        <v>大阪府大阪市　住吉区庭井２丁目</v>
      </c>
      <c r="F4651" s="7"/>
      <c r="G4651" s="7" t="str">
        <f t="shared" si="1672"/>
        <v>事業用資産</v>
      </c>
      <c r="H4651" s="7" t="str">
        <f t="shared" si="1666"/>
        <v>棚卸以外</v>
      </c>
      <c r="I4651" s="7">
        <v>10</v>
      </c>
      <c r="J4651" s="7" t="str">
        <f>"門衛所"</f>
        <v>門衛所</v>
      </c>
      <c r="K4651" s="7" t="str">
        <f>"コンクリートブロック造"</f>
        <v>コンクリートブロック造</v>
      </c>
      <c r="L4651" s="7" t="str">
        <f>"S44.09.11"</f>
        <v>S44.09.11</v>
      </c>
      <c r="M4651" s="7">
        <v>12.42</v>
      </c>
      <c r="N4651" s="7">
        <v>458330</v>
      </c>
      <c r="O4651" s="7">
        <v>458329</v>
      </c>
      <c r="P4651" s="7">
        <v>0</v>
      </c>
      <c r="Q4651" s="7" t="str">
        <f t="shared" si="1673"/>
        <v>教育庁</v>
      </c>
      <c r="R4651" s="7" t="str">
        <f t="shared" si="1681"/>
        <v>阪南高等学校</v>
      </c>
    </row>
    <row r="4652" spans="1:18" s="1" customFormat="1" x14ac:dyDescent="0.45">
      <c r="A4652" s="7" t="str">
        <f t="shared" si="1678"/>
        <v>10360000000</v>
      </c>
      <c r="B4652" s="7" t="str">
        <f t="shared" si="1679"/>
        <v>阪南高等学校</v>
      </c>
      <c r="C4652" s="7" t="str">
        <f t="shared" si="1667"/>
        <v>行政財産</v>
      </c>
      <c r="D4652" s="7" t="str">
        <f t="shared" si="1661"/>
        <v>学校</v>
      </c>
      <c r="E4652" s="7" t="str">
        <f t="shared" si="1680"/>
        <v>大阪府大阪市　住吉区庭井２丁目</v>
      </c>
      <c r="F4652" s="7"/>
      <c r="G4652" s="7" t="str">
        <f t="shared" si="1672"/>
        <v>事業用資産</v>
      </c>
      <c r="H4652" s="7" t="str">
        <f t="shared" si="1666"/>
        <v>棚卸以外</v>
      </c>
      <c r="I4652" s="7">
        <v>11</v>
      </c>
      <c r="J4652" s="7" t="str">
        <f>"プール更衣室"</f>
        <v>プール更衣室</v>
      </c>
      <c r="K4652" s="7" t="str">
        <f>"鉄筋コンクリート造"</f>
        <v>鉄筋コンクリート造</v>
      </c>
      <c r="L4652" s="7" t="str">
        <f>"S40.08.20"</f>
        <v>S40.08.20</v>
      </c>
      <c r="M4652" s="7">
        <v>287.93</v>
      </c>
      <c r="N4652" s="7">
        <v>10125558</v>
      </c>
      <c r="O4652" s="7">
        <v>9471203</v>
      </c>
      <c r="P4652" s="7">
        <v>0</v>
      </c>
      <c r="Q4652" s="7" t="str">
        <f t="shared" si="1673"/>
        <v>教育庁</v>
      </c>
      <c r="R4652" s="7" t="str">
        <f t="shared" si="1681"/>
        <v>阪南高等学校</v>
      </c>
    </row>
    <row r="4653" spans="1:18" s="1" customFormat="1" x14ac:dyDescent="0.45">
      <c r="A4653" s="7" t="str">
        <f t="shared" si="1678"/>
        <v>10360000000</v>
      </c>
      <c r="B4653" s="7" t="str">
        <f t="shared" si="1679"/>
        <v>阪南高等学校</v>
      </c>
      <c r="C4653" s="7" t="str">
        <f t="shared" si="1667"/>
        <v>行政財産</v>
      </c>
      <c r="D4653" s="7" t="str">
        <f t="shared" si="1661"/>
        <v>学校</v>
      </c>
      <c r="E4653" s="7" t="str">
        <f t="shared" si="1680"/>
        <v>大阪府大阪市　住吉区庭井２丁目</v>
      </c>
      <c r="F4653" s="7"/>
      <c r="G4653" s="7" t="str">
        <f t="shared" si="1672"/>
        <v>事業用資産</v>
      </c>
      <c r="H4653" s="7" t="str">
        <f t="shared" si="1666"/>
        <v>棚卸以外</v>
      </c>
      <c r="I4653" s="7">
        <v>12</v>
      </c>
      <c r="J4653" s="7" t="str">
        <f>"倉庫"</f>
        <v>倉庫</v>
      </c>
      <c r="K4653" s="7" t="str">
        <f>"鉄骨造"</f>
        <v>鉄骨造</v>
      </c>
      <c r="L4653" s="7" t="str">
        <f>"S47.03.28"</f>
        <v>S47.03.28</v>
      </c>
      <c r="M4653" s="7">
        <v>332</v>
      </c>
      <c r="N4653" s="7">
        <v>32383292</v>
      </c>
      <c r="O4653" s="7">
        <v>26384493</v>
      </c>
      <c r="P4653" s="7">
        <v>0</v>
      </c>
      <c r="Q4653" s="7" t="str">
        <f t="shared" si="1673"/>
        <v>教育庁</v>
      </c>
      <c r="R4653" s="7" t="str">
        <f t="shared" si="1681"/>
        <v>阪南高等学校</v>
      </c>
    </row>
    <row r="4654" spans="1:18" s="1" customFormat="1" x14ac:dyDescent="0.45">
      <c r="A4654" s="7" t="str">
        <f t="shared" si="1678"/>
        <v>10360000000</v>
      </c>
      <c r="B4654" s="7" t="str">
        <f t="shared" si="1679"/>
        <v>阪南高等学校</v>
      </c>
      <c r="C4654" s="7" t="str">
        <f t="shared" si="1667"/>
        <v>行政財産</v>
      </c>
      <c r="D4654" s="7" t="str">
        <f t="shared" si="1661"/>
        <v>学校</v>
      </c>
      <c r="E4654" s="7" t="str">
        <f t="shared" si="1680"/>
        <v>大阪府大阪市　住吉区庭井２丁目</v>
      </c>
      <c r="F4654" s="7"/>
      <c r="G4654" s="7" t="str">
        <f t="shared" si="1672"/>
        <v>事業用資産</v>
      </c>
      <c r="H4654" s="7" t="str">
        <f t="shared" si="1666"/>
        <v>棚卸以外</v>
      </c>
      <c r="I4654" s="7">
        <v>13</v>
      </c>
      <c r="J4654" s="7" t="str">
        <f>"小競技場図書室"</f>
        <v>小競技場図書室</v>
      </c>
      <c r="K4654" s="7" t="str">
        <f>"鉄骨造"</f>
        <v>鉄骨造</v>
      </c>
      <c r="L4654" s="7" t="str">
        <f>"S48.03.30"</f>
        <v>S48.03.30</v>
      </c>
      <c r="M4654" s="7">
        <v>803.85</v>
      </c>
      <c r="N4654" s="7">
        <v>85342904</v>
      </c>
      <c r="O4654" s="7">
        <v>65670944</v>
      </c>
      <c r="P4654" s="7">
        <v>0</v>
      </c>
      <c r="Q4654" s="7" t="str">
        <f t="shared" si="1673"/>
        <v>教育庁</v>
      </c>
      <c r="R4654" s="7" t="str">
        <f t="shared" si="1681"/>
        <v>阪南高等学校</v>
      </c>
    </row>
    <row r="4655" spans="1:18" s="1" customFormat="1" x14ac:dyDescent="0.45">
      <c r="A4655" s="7" t="str">
        <f t="shared" si="1678"/>
        <v>10360000000</v>
      </c>
      <c r="B4655" s="7" t="str">
        <f t="shared" si="1679"/>
        <v>阪南高等学校</v>
      </c>
      <c r="C4655" s="7" t="str">
        <f t="shared" si="1667"/>
        <v>行政財産</v>
      </c>
      <c r="D4655" s="7" t="str">
        <f t="shared" si="1661"/>
        <v>学校</v>
      </c>
      <c r="E4655" s="7" t="str">
        <f t="shared" si="1680"/>
        <v>大阪府大阪市　住吉区庭井２丁目</v>
      </c>
      <c r="F4655" s="7"/>
      <c r="G4655" s="7" t="str">
        <f t="shared" si="1672"/>
        <v>事業用資産</v>
      </c>
      <c r="H4655" s="7" t="str">
        <f t="shared" si="1666"/>
        <v>棚卸以外</v>
      </c>
      <c r="I4655" s="7">
        <v>14</v>
      </c>
      <c r="J4655" s="7" t="str">
        <f>"第２倉庫"</f>
        <v>第２倉庫</v>
      </c>
      <c r="K4655" s="7" t="str">
        <f>"コンクリートブロック造"</f>
        <v>コンクリートブロック造</v>
      </c>
      <c r="L4655" s="7" t="str">
        <f>"S48.03.31"</f>
        <v>S48.03.31</v>
      </c>
      <c r="M4655" s="7">
        <v>78.459999999999994</v>
      </c>
      <c r="N4655" s="7">
        <v>3475742</v>
      </c>
      <c r="O4655" s="7">
        <v>3475741</v>
      </c>
      <c r="P4655" s="7">
        <v>0</v>
      </c>
      <c r="Q4655" s="7" t="str">
        <f t="shared" si="1673"/>
        <v>教育庁</v>
      </c>
      <c r="R4655" s="7" t="str">
        <f t="shared" si="1681"/>
        <v>阪南高等学校</v>
      </c>
    </row>
    <row r="4656" spans="1:18" s="1" customFormat="1" x14ac:dyDescent="0.45">
      <c r="A4656" s="7" t="str">
        <f t="shared" si="1678"/>
        <v>10360000000</v>
      </c>
      <c r="B4656" s="7" t="str">
        <f t="shared" si="1679"/>
        <v>阪南高等学校</v>
      </c>
      <c r="C4656" s="7" t="str">
        <f t="shared" si="1667"/>
        <v>行政財産</v>
      </c>
      <c r="D4656" s="7" t="str">
        <f t="shared" si="1661"/>
        <v>学校</v>
      </c>
      <c r="E4656" s="7" t="str">
        <f t="shared" si="1680"/>
        <v>大阪府大阪市　住吉区庭井２丁目</v>
      </c>
      <c r="F4656" s="7"/>
      <c r="G4656" s="7" t="str">
        <f t="shared" si="1672"/>
        <v>事業用資産</v>
      </c>
      <c r="H4656" s="7" t="str">
        <f t="shared" si="1666"/>
        <v>棚卸以外</v>
      </c>
      <c r="I4656" s="7">
        <v>15</v>
      </c>
      <c r="J4656" s="7" t="str">
        <f>"第２自転車置場"</f>
        <v>第２自転車置場</v>
      </c>
      <c r="K4656" s="7" t="str">
        <f>"鉄骨造"</f>
        <v>鉄骨造</v>
      </c>
      <c r="L4656" s="7" t="str">
        <f>"S54.03.31"</f>
        <v>S54.03.31</v>
      </c>
      <c r="M4656" s="7">
        <v>96</v>
      </c>
      <c r="N4656" s="7">
        <v>6674000</v>
      </c>
      <c r="O4656" s="7">
        <v>6673999</v>
      </c>
      <c r="P4656" s="7">
        <v>0</v>
      </c>
      <c r="Q4656" s="7" t="str">
        <f t="shared" si="1673"/>
        <v>教育庁</v>
      </c>
      <c r="R4656" s="7" t="str">
        <f t="shared" si="1681"/>
        <v>阪南高等学校</v>
      </c>
    </row>
    <row r="4657" spans="1:18" s="1" customFormat="1" x14ac:dyDescent="0.45">
      <c r="A4657" s="7" t="str">
        <f t="shared" si="1678"/>
        <v>10360000000</v>
      </c>
      <c r="B4657" s="7" t="str">
        <f t="shared" si="1679"/>
        <v>阪南高等学校</v>
      </c>
      <c r="C4657" s="7" t="str">
        <f t="shared" si="1667"/>
        <v>行政財産</v>
      </c>
      <c r="D4657" s="7" t="str">
        <f t="shared" si="1661"/>
        <v>学校</v>
      </c>
      <c r="E4657" s="7" t="str">
        <f t="shared" si="1680"/>
        <v>大阪府大阪市　住吉区庭井２丁目</v>
      </c>
      <c r="F4657" s="7"/>
      <c r="G4657" s="7" t="str">
        <f t="shared" si="1672"/>
        <v>事業用資産</v>
      </c>
      <c r="H4657" s="7" t="str">
        <f t="shared" si="1666"/>
        <v>棚卸以外</v>
      </c>
      <c r="I4657" s="7">
        <v>16</v>
      </c>
      <c r="J4657" s="7" t="str">
        <f>"第４棟"</f>
        <v>第４棟</v>
      </c>
      <c r="K4657" s="7" t="str">
        <f>"鉄筋コンクリート造"</f>
        <v>鉄筋コンクリート造</v>
      </c>
      <c r="L4657" s="7" t="str">
        <f>"S54.08.31"</f>
        <v>S54.08.31</v>
      </c>
      <c r="M4657" s="7">
        <v>982.52</v>
      </c>
      <c r="N4657" s="7">
        <v>130767635</v>
      </c>
      <c r="O4657" s="7">
        <v>120154421</v>
      </c>
      <c r="P4657" s="7">
        <v>0</v>
      </c>
      <c r="Q4657" s="7" t="str">
        <f t="shared" si="1673"/>
        <v>教育庁</v>
      </c>
      <c r="R4657" s="7" t="str">
        <f t="shared" si="1681"/>
        <v>阪南高等学校</v>
      </c>
    </row>
    <row r="4658" spans="1:18" s="1" customFormat="1" x14ac:dyDescent="0.45">
      <c r="A4658" s="7" t="str">
        <f t="shared" si="1678"/>
        <v>10360000000</v>
      </c>
      <c r="B4658" s="7" t="str">
        <f t="shared" si="1679"/>
        <v>阪南高等学校</v>
      </c>
      <c r="C4658" s="7" t="str">
        <f t="shared" si="1667"/>
        <v>行政財産</v>
      </c>
      <c r="D4658" s="7" t="str">
        <f t="shared" si="1661"/>
        <v>学校</v>
      </c>
      <c r="E4658" s="7" t="str">
        <f t="shared" si="1680"/>
        <v>大阪府大阪市　住吉区庭井２丁目</v>
      </c>
      <c r="F4658" s="7"/>
      <c r="G4658" s="7" t="str">
        <f t="shared" si="1672"/>
        <v>事業用資産</v>
      </c>
      <c r="H4658" s="7" t="str">
        <f t="shared" si="1666"/>
        <v>棚卸以外</v>
      </c>
      <c r="I4658" s="7">
        <v>17</v>
      </c>
      <c r="J4658" s="7" t="str">
        <f>"第３倉庫"</f>
        <v>第３倉庫</v>
      </c>
      <c r="K4658" s="7" t="str">
        <f>"鉄骨造"</f>
        <v>鉄骨造</v>
      </c>
      <c r="L4658" s="7" t="str">
        <f>"S56.03.31"</f>
        <v>S56.03.31</v>
      </c>
      <c r="M4658" s="7">
        <v>81.900000000000006</v>
      </c>
      <c r="N4658" s="7">
        <v>5105000</v>
      </c>
      <c r="O4658" s="7">
        <v>5104999</v>
      </c>
      <c r="P4658" s="7">
        <v>0</v>
      </c>
      <c r="Q4658" s="7" t="str">
        <f t="shared" si="1673"/>
        <v>教育庁</v>
      </c>
      <c r="R4658" s="7" t="str">
        <f t="shared" si="1681"/>
        <v>阪南高等学校</v>
      </c>
    </row>
    <row r="4659" spans="1:18" s="1" customFormat="1" x14ac:dyDescent="0.45">
      <c r="A4659" s="7" t="str">
        <f t="shared" si="1678"/>
        <v>10360000000</v>
      </c>
      <c r="B4659" s="7" t="str">
        <f t="shared" si="1679"/>
        <v>阪南高等学校</v>
      </c>
      <c r="C4659" s="7" t="str">
        <f t="shared" si="1667"/>
        <v>行政財産</v>
      </c>
      <c r="D4659" s="7" t="str">
        <f t="shared" si="1661"/>
        <v>学校</v>
      </c>
      <c r="E4659" s="7" t="str">
        <f t="shared" si="1680"/>
        <v>大阪府大阪市　住吉区庭井２丁目</v>
      </c>
      <c r="F4659" s="7"/>
      <c r="G4659" s="7" t="str">
        <f t="shared" si="1672"/>
        <v>事業用資産</v>
      </c>
      <c r="H4659" s="7" t="str">
        <f t="shared" si="1666"/>
        <v>棚卸以外</v>
      </c>
      <c r="I4659" s="7">
        <v>21</v>
      </c>
      <c r="J4659" s="7" t="str">
        <f>"体育館"</f>
        <v>体育館</v>
      </c>
      <c r="K4659" s="7" t="str">
        <f>"鉄筋コンクリート造"</f>
        <v>鉄筋コンクリート造</v>
      </c>
      <c r="L4659" s="7" t="str">
        <f>"S58.02.24"</f>
        <v>S58.02.24</v>
      </c>
      <c r="M4659" s="7">
        <v>2911.68</v>
      </c>
      <c r="N4659" s="7">
        <v>532276384</v>
      </c>
      <c r="O4659" s="7">
        <v>394056178</v>
      </c>
      <c r="P4659" s="7">
        <v>0</v>
      </c>
      <c r="Q4659" s="7" t="str">
        <f t="shared" si="1673"/>
        <v>教育庁</v>
      </c>
      <c r="R4659" s="7" t="str">
        <f t="shared" si="1681"/>
        <v>阪南高等学校</v>
      </c>
    </row>
    <row r="4660" spans="1:18" s="1" customFormat="1" x14ac:dyDescent="0.45">
      <c r="A4660" s="7" t="str">
        <f t="shared" si="1678"/>
        <v>10360000000</v>
      </c>
      <c r="B4660" s="7" t="str">
        <f t="shared" si="1679"/>
        <v>阪南高等学校</v>
      </c>
      <c r="C4660" s="7" t="str">
        <f t="shared" si="1667"/>
        <v>行政財産</v>
      </c>
      <c r="D4660" s="7" t="str">
        <f t="shared" si="1661"/>
        <v>学校</v>
      </c>
      <c r="E4660" s="7" t="str">
        <f t="shared" si="1680"/>
        <v>大阪府大阪市　住吉区庭井２丁目</v>
      </c>
      <c r="F4660" s="7"/>
      <c r="G4660" s="7" t="str">
        <f t="shared" si="1672"/>
        <v>事業用資産</v>
      </c>
      <c r="H4660" s="7" t="str">
        <f t="shared" si="1666"/>
        <v>棚卸以外</v>
      </c>
      <c r="I4660" s="7">
        <v>22</v>
      </c>
      <c r="J4660" s="7" t="str">
        <f>"体育館渡り廊下"</f>
        <v>体育館渡り廊下</v>
      </c>
      <c r="K4660" s="7" t="str">
        <f>"鉄筋コンクリート造"</f>
        <v>鉄筋コンクリート造</v>
      </c>
      <c r="L4660" s="7" t="str">
        <f>"S58.02.24"</f>
        <v>S58.02.24</v>
      </c>
      <c r="M4660" s="7">
        <v>38</v>
      </c>
      <c r="N4660" s="7">
        <v>7060000</v>
      </c>
      <c r="O4660" s="7">
        <v>6902350</v>
      </c>
      <c r="P4660" s="7">
        <v>0</v>
      </c>
      <c r="Q4660" s="7" t="str">
        <f t="shared" si="1673"/>
        <v>教育庁</v>
      </c>
      <c r="R4660" s="7" t="str">
        <f t="shared" si="1681"/>
        <v>阪南高等学校</v>
      </c>
    </row>
    <row r="4661" spans="1:18" s="1" customFormat="1" x14ac:dyDescent="0.45">
      <c r="A4661" s="7" t="str">
        <f t="shared" ref="A4661:A4683" si="1682">"10362000000"</f>
        <v>10362000000</v>
      </c>
      <c r="B4661" s="7" t="str">
        <f t="shared" ref="B4661:B4683" si="1683">"池田高等学校"</f>
        <v>池田高等学校</v>
      </c>
      <c r="C4661" s="7" t="str">
        <f t="shared" si="1667"/>
        <v>行政財産</v>
      </c>
      <c r="D4661" s="7" t="str">
        <f t="shared" si="1661"/>
        <v>学校</v>
      </c>
      <c r="E4661" s="7" t="str">
        <f t="shared" ref="E4661:E4683" si="1684">"大阪府池田市旭丘２丁目"</f>
        <v>大阪府池田市旭丘２丁目</v>
      </c>
      <c r="F4661" s="7"/>
      <c r="G4661" s="7" t="str">
        <f t="shared" si="1672"/>
        <v>事業用資産</v>
      </c>
      <c r="H4661" s="7" t="str">
        <f t="shared" si="1666"/>
        <v>棚卸以外</v>
      </c>
      <c r="I4661" s="7">
        <v>39</v>
      </c>
      <c r="J4661" s="7" t="str">
        <f>"承風会館"</f>
        <v>承風会館</v>
      </c>
      <c r="K4661" s="7" t="str">
        <f>"鉄筋コンクリート造"</f>
        <v>鉄筋コンクリート造</v>
      </c>
      <c r="L4661" s="7" t="str">
        <f>"S35.04.10"</f>
        <v>S35.04.10</v>
      </c>
      <c r="M4661" s="7">
        <v>503.99</v>
      </c>
      <c r="N4661" s="7">
        <v>54782093</v>
      </c>
      <c r="O4661" s="7">
        <v>22648419</v>
      </c>
      <c r="P4661" s="7">
        <v>0</v>
      </c>
      <c r="Q4661" s="7" t="str">
        <f t="shared" si="1673"/>
        <v>教育庁</v>
      </c>
      <c r="R4661" s="7" t="str">
        <f t="shared" ref="R4661:R4683" si="1685">"池田高等学校"</f>
        <v>池田高等学校</v>
      </c>
    </row>
    <row r="4662" spans="1:18" s="1" customFormat="1" x14ac:dyDescent="0.45">
      <c r="A4662" s="7" t="str">
        <f t="shared" si="1682"/>
        <v>10362000000</v>
      </c>
      <c r="B4662" s="7" t="str">
        <f t="shared" si="1683"/>
        <v>池田高等学校</v>
      </c>
      <c r="C4662" s="7" t="str">
        <f t="shared" si="1667"/>
        <v>行政財産</v>
      </c>
      <c r="D4662" s="7" t="str">
        <f t="shared" si="1661"/>
        <v>学校</v>
      </c>
      <c r="E4662" s="7" t="str">
        <f t="shared" si="1684"/>
        <v>大阪府池田市旭丘２丁目</v>
      </c>
      <c r="F4662" s="7"/>
      <c r="G4662" s="7" t="str">
        <f t="shared" si="1672"/>
        <v>事業用資産</v>
      </c>
      <c r="H4662" s="7" t="str">
        <f t="shared" si="1666"/>
        <v>棚卸以外</v>
      </c>
      <c r="I4662" s="7">
        <v>40</v>
      </c>
      <c r="J4662" s="7" t="str">
        <f>"校舎"</f>
        <v>校舎</v>
      </c>
      <c r="K4662" s="7" t="str">
        <f>"鉄筋コンクリート造"</f>
        <v>鉄筋コンクリート造</v>
      </c>
      <c r="L4662" s="7" t="str">
        <f>"S37.03.31"</f>
        <v>S37.03.31</v>
      </c>
      <c r="M4662" s="7">
        <v>863.73</v>
      </c>
      <c r="N4662" s="7">
        <v>32636030</v>
      </c>
      <c r="O4662" s="7">
        <v>17041898</v>
      </c>
      <c r="P4662" s="7">
        <v>0</v>
      </c>
      <c r="Q4662" s="7" t="str">
        <f t="shared" si="1673"/>
        <v>教育庁</v>
      </c>
      <c r="R4662" s="7" t="str">
        <f t="shared" si="1685"/>
        <v>池田高等学校</v>
      </c>
    </row>
    <row r="4663" spans="1:18" s="1" customFormat="1" x14ac:dyDescent="0.45">
      <c r="A4663" s="7" t="str">
        <f t="shared" si="1682"/>
        <v>10362000000</v>
      </c>
      <c r="B4663" s="7" t="str">
        <f t="shared" si="1683"/>
        <v>池田高等学校</v>
      </c>
      <c r="C4663" s="7" t="str">
        <f t="shared" si="1667"/>
        <v>行政財産</v>
      </c>
      <c r="D4663" s="7" t="str">
        <f t="shared" si="1661"/>
        <v>学校</v>
      </c>
      <c r="E4663" s="7" t="str">
        <f t="shared" si="1684"/>
        <v>大阪府池田市旭丘２丁目</v>
      </c>
      <c r="F4663" s="7"/>
      <c r="G4663" s="7" t="str">
        <f t="shared" si="1672"/>
        <v>事業用資産</v>
      </c>
      <c r="H4663" s="7" t="str">
        <f t="shared" si="1666"/>
        <v>棚卸以外</v>
      </c>
      <c r="I4663" s="7">
        <v>43</v>
      </c>
      <c r="J4663" s="7" t="str">
        <f>"受水漕ポンプ室"</f>
        <v>受水漕ポンプ室</v>
      </c>
      <c r="K4663" s="7" t="str">
        <f>"鉄筋コンクリート造"</f>
        <v>鉄筋コンクリート造</v>
      </c>
      <c r="L4663" s="7" t="str">
        <f>"S37.03.31"</f>
        <v>S37.03.31</v>
      </c>
      <c r="M4663" s="7">
        <v>9.42</v>
      </c>
      <c r="N4663" s="7">
        <v>8814472</v>
      </c>
      <c r="O4663" s="7">
        <v>8814471</v>
      </c>
      <c r="P4663" s="7">
        <v>0</v>
      </c>
      <c r="Q4663" s="7" t="str">
        <f t="shared" si="1673"/>
        <v>教育庁</v>
      </c>
      <c r="R4663" s="7" t="str">
        <f t="shared" si="1685"/>
        <v>池田高等学校</v>
      </c>
    </row>
    <row r="4664" spans="1:18" s="1" customFormat="1" x14ac:dyDescent="0.45">
      <c r="A4664" s="7" t="str">
        <f t="shared" si="1682"/>
        <v>10362000000</v>
      </c>
      <c r="B4664" s="7" t="str">
        <f t="shared" si="1683"/>
        <v>池田高等学校</v>
      </c>
      <c r="C4664" s="7" t="str">
        <f t="shared" si="1667"/>
        <v>行政財産</v>
      </c>
      <c r="D4664" s="7" t="str">
        <f t="shared" si="1661"/>
        <v>学校</v>
      </c>
      <c r="E4664" s="7" t="str">
        <f t="shared" si="1684"/>
        <v>大阪府池田市旭丘２丁目</v>
      </c>
      <c r="F4664" s="7"/>
      <c r="G4664" s="7" t="str">
        <f t="shared" si="1672"/>
        <v>事業用資産</v>
      </c>
      <c r="H4664" s="7" t="str">
        <f t="shared" si="1666"/>
        <v>棚卸以外</v>
      </c>
      <c r="I4664" s="7">
        <v>45</v>
      </c>
      <c r="J4664" s="7" t="str">
        <f>"自治会室"</f>
        <v>自治会室</v>
      </c>
      <c r="K4664" s="7" t="str">
        <f>"軽量鉄骨造"</f>
        <v>軽量鉄骨造</v>
      </c>
      <c r="L4664" s="7" t="str">
        <f>"S39.03.15"</f>
        <v>S39.03.15</v>
      </c>
      <c r="M4664" s="7">
        <v>80.69</v>
      </c>
      <c r="N4664" s="7">
        <v>2101700</v>
      </c>
      <c r="O4664" s="7">
        <v>2101699</v>
      </c>
      <c r="P4664" s="7">
        <v>0</v>
      </c>
      <c r="Q4664" s="7" t="str">
        <f t="shared" si="1673"/>
        <v>教育庁</v>
      </c>
      <c r="R4664" s="7" t="str">
        <f t="shared" si="1685"/>
        <v>池田高等学校</v>
      </c>
    </row>
    <row r="4665" spans="1:18" s="1" customFormat="1" x14ac:dyDescent="0.45">
      <c r="A4665" s="7" t="str">
        <f t="shared" si="1682"/>
        <v>10362000000</v>
      </c>
      <c r="B4665" s="7" t="str">
        <f t="shared" si="1683"/>
        <v>池田高等学校</v>
      </c>
      <c r="C4665" s="7" t="str">
        <f t="shared" si="1667"/>
        <v>行政財産</v>
      </c>
      <c r="D4665" s="7" t="str">
        <f t="shared" ref="D4665:D4728" si="1686">"学校"</f>
        <v>学校</v>
      </c>
      <c r="E4665" s="7" t="str">
        <f t="shared" si="1684"/>
        <v>大阪府池田市旭丘２丁目</v>
      </c>
      <c r="F4665" s="7"/>
      <c r="G4665" s="7" t="str">
        <f t="shared" si="1672"/>
        <v>事業用資産</v>
      </c>
      <c r="H4665" s="7" t="str">
        <f t="shared" si="1666"/>
        <v>棚卸以外</v>
      </c>
      <c r="I4665" s="7">
        <v>48</v>
      </c>
      <c r="J4665" s="7" t="str">
        <f>"校舎"</f>
        <v>校舎</v>
      </c>
      <c r="K4665" s="7" t="str">
        <f t="shared" ref="K4665:K4670" si="1687">"鉄筋コンクリート造"</f>
        <v>鉄筋コンクリート造</v>
      </c>
      <c r="L4665" s="7" t="str">
        <f>"S40.07.27"</f>
        <v>S40.07.27</v>
      </c>
      <c r="M4665" s="7">
        <v>1992.95</v>
      </c>
      <c r="N4665" s="7">
        <v>129292675</v>
      </c>
      <c r="O4665" s="7">
        <v>86306623</v>
      </c>
      <c r="P4665" s="7">
        <v>0</v>
      </c>
      <c r="Q4665" s="7" t="str">
        <f t="shared" si="1673"/>
        <v>教育庁</v>
      </c>
      <c r="R4665" s="7" t="str">
        <f t="shared" si="1685"/>
        <v>池田高等学校</v>
      </c>
    </row>
    <row r="4666" spans="1:18" s="1" customFormat="1" x14ac:dyDescent="0.45">
      <c r="A4666" s="7" t="str">
        <f t="shared" si="1682"/>
        <v>10362000000</v>
      </c>
      <c r="B4666" s="7" t="str">
        <f t="shared" si="1683"/>
        <v>池田高等学校</v>
      </c>
      <c r="C4666" s="7" t="str">
        <f t="shared" si="1667"/>
        <v>行政財産</v>
      </c>
      <c r="D4666" s="7" t="str">
        <f t="shared" si="1686"/>
        <v>学校</v>
      </c>
      <c r="E4666" s="7" t="str">
        <f t="shared" si="1684"/>
        <v>大阪府池田市旭丘２丁目</v>
      </c>
      <c r="F4666" s="7"/>
      <c r="G4666" s="7" t="str">
        <f t="shared" si="1672"/>
        <v>事業用資産</v>
      </c>
      <c r="H4666" s="7" t="str">
        <f t="shared" si="1666"/>
        <v>棚卸以外</v>
      </c>
      <c r="I4666" s="7">
        <v>51</v>
      </c>
      <c r="J4666" s="7" t="str">
        <f>"校舎"</f>
        <v>校舎</v>
      </c>
      <c r="K4666" s="7" t="str">
        <f t="shared" si="1687"/>
        <v>鉄筋コンクリート造</v>
      </c>
      <c r="L4666" s="7" t="str">
        <f>"S42.02.19"</f>
        <v>S42.02.19</v>
      </c>
      <c r="M4666" s="7">
        <v>703.66</v>
      </c>
      <c r="N4666" s="7">
        <v>51690146</v>
      </c>
      <c r="O4666" s="7">
        <v>34054143</v>
      </c>
      <c r="P4666" s="7">
        <v>0</v>
      </c>
      <c r="Q4666" s="7" t="str">
        <f t="shared" si="1673"/>
        <v>教育庁</v>
      </c>
      <c r="R4666" s="7" t="str">
        <f t="shared" si="1685"/>
        <v>池田高等学校</v>
      </c>
    </row>
    <row r="4667" spans="1:18" s="1" customFormat="1" x14ac:dyDescent="0.45">
      <c r="A4667" s="7" t="str">
        <f t="shared" si="1682"/>
        <v>10362000000</v>
      </c>
      <c r="B4667" s="7" t="str">
        <f t="shared" si="1683"/>
        <v>池田高等学校</v>
      </c>
      <c r="C4667" s="7" t="str">
        <f t="shared" si="1667"/>
        <v>行政財産</v>
      </c>
      <c r="D4667" s="7" t="str">
        <f t="shared" si="1686"/>
        <v>学校</v>
      </c>
      <c r="E4667" s="7" t="str">
        <f t="shared" si="1684"/>
        <v>大阪府池田市旭丘２丁目</v>
      </c>
      <c r="F4667" s="7"/>
      <c r="G4667" s="7" t="str">
        <f t="shared" si="1672"/>
        <v>事業用資産</v>
      </c>
      <c r="H4667" s="7" t="str">
        <f t="shared" si="1666"/>
        <v>棚卸以外</v>
      </c>
      <c r="I4667" s="7">
        <v>53</v>
      </c>
      <c r="J4667" s="7" t="str">
        <f>"本館（中央）"</f>
        <v>本館（中央）</v>
      </c>
      <c r="K4667" s="7" t="str">
        <f t="shared" si="1687"/>
        <v>鉄筋コンクリート造</v>
      </c>
      <c r="L4667" s="7" t="str">
        <f>"S42.03.20"</f>
        <v>S42.03.20</v>
      </c>
      <c r="M4667" s="7">
        <v>1358.8</v>
      </c>
      <c r="N4667" s="7">
        <v>190260037</v>
      </c>
      <c r="O4667" s="7">
        <v>89750634</v>
      </c>
      <c r="P4667" s="7">
        <v>0</v>
      </c>
      <c r="Q4667" s="7" t="str">
        <f t="shared" si="1673"/>
        <v>教育庁</v>
      </c>
      <c r="R4667" s="7" t="str">
        <f t="shared" si="1685"/>
        <v>池田高等学校</v>
      </c>
    </row>
    <row r="4668" spans="1:18" s="1" customFormat="1" x14ac:dyDescent="0.45">
      <c r="A4668" s="7" t="str">
        <f t="shared" si="1682"/>
        <v>10362000000</v>
      </c>
      <c r="B4668" s="7" t="str">
        <f t="shared" si="1683"/>
        <v>池田高等学校</v>
      </c>
      <c r="C4668" s="7" t="str">
        <f t="shared" si="1667"/>
        <v>行政財産</v>
      </c>
      <c r="D4668" s="7" t="str">
        <f t="shared" si="1686"/>
        <v>学校</v>
      </c>
      <c r="E4668" s="7" t="str">
        <f t="shared" si="1684"/>
        <v>大阪府池田市旭丘２丁目</v>
      </c>
      <c r="F4668" s="7"/>
      <c r="G4668" s="7" t="str">
        <f t="shared" si="1672"/>
        <v>事業用資産</v>
      </c>
      <c r="H4668" s="7" t="str">
        <f t="shared" si="1666"/>
        <v>棚卸以外</v>
      </c>
      <c r="I4668" s="7">
        <v>56</v>
      </c>
      <c r="J4668" s="7" t="str">
        <f>"本館（西）"</f>
        <v>本館（西）</v>
      </c>
      <c r="K4668" s="7" t="str">
        <f t="shared" si="1687"/>
        <v>鉄筋コンクリート造</v>
      </c>
      <c r="L4668" s="7" t="str">
        <f>"S43.07.08"</f>
        <v>S43.07.08</v>
      </c>
      <c r="M4668" s="7">
        <v>2810.09</v>
      </c>
      <c r="N4668" s="7">
        <v>315116862</v>
      </c>
      <c r="O4668" s="7">
        <v>180223381</v>
      </c>
      <c r="P4668" s="7">
        <v>0</v>
      </c>
      <c r="Q4668" s="7" t="str">
        <f t="shared" si="1673"/>
        <v>教育庁</v>
      </c>
      <c r="R4668" s="7" t="str">
        <f t="shared" si="1685"/>
        <v>池田高等学校</v>
      </c>
    </row>
    <row r="4669" spans="1:18" s="1" customFormat="1" x14ac:dyDescent="0.45">
      <c r="A4669" s="7" t="str">
        <f t="shared" si="1682"/>
        <v>10362000000</v>
      </c>
      <c r="B4669" s="7" t="str">
        <f t="shared" si="1683"/>
        <v>池田高等学校</v>
      </c>
      <c r="C4669" s="7" t="str">
        <f t="shared" si="1667"/>
        <v>行政財産</v>
      </c>
      <c r="D4669" s="7" t="str">
        <f t="shared" si="1686"/>
        <v>学校</v>
      </c>
      <c r="E4669" s="7" t="str">
        <f t="shared" si="1684"/>
        <v>大阪府池田市旭丘２丁目</v>
      </c>
      <c r="F4669" s="7"/>
      <c r="G4669" s="7" t="str">
        <f t="shared" si="1672"/>
        <v>事業用資産</v>
      </c>
      <c r="H4669" s="7" t="str">
        <f t="shared" si="1666"/>
        <v>棚卸以外</v>
      </c>
      <c r="I4669" s="7">
        <v>57</v>
      </c>
      <c r="J4669" s="7" t="str">
        <f>"渡り廊下"</f>
        <v>渡り廊下</v>
      </c>
      <c r="K4669" s="7" t="str">
        <f t="shared" si="1687"/>
        <v>鉄筋コンクリート造</v>
      </c>
      <c r="L4669" s="7" t="str">
        <f>"S43.07.08"</f>
        <v>S43.07.08</v>
      </c>
      <c r="M4669" s="7">
        <v>158.96</v>
      </c>
      <c r="N4669" s="7">
        <v>14359473</v>
      </c>
      <c r="O4669" s="7">
        <v>9483140</v>
      </c>
      <c r="P4669" s="7">
        <v>0</v>
      </c>
      <c r="Q4669" s="7" t="str">
        <f t="shared" si="1673"/>
        <v>教育庁</v>
      </c>
      <c r="R4669" s="7" t="str">
        <f t="shared" si="1685"/>
        <v>池田高等学校</v>
      </c>
    </row>
    <row r="4670" spans="1:18" s="1" customFormat="1" x14ac:dyDescent="0.45">
      <c r="A4670" s="7" t="str">
        <f t="shared" si="1682"/>
        <v>10362000000</v>
      </c>
      <c r="B4670" s="7" t="str">
        <f t="shared" si="1683"/>
        <v>池田高等学校</v>
      </c>
      <c r="C4670" s="7" t="str">
        <f t="shared" si="1667"/>
        <v>行政財産</v>
      </c>
      <c r="D4670" s="7" t="str">
        <f t="shared" si="1686"/>
        <v>学校</v>
      </c>
      <c r="E4670" s="7" t="str">
        <f t="shared" si="1684"/>
        <v>大阪府池田市旭丘２丁目</v>
      </c>
      <c r="F4670" s="7"/>
      <c r="G4670" s="7" t="str">
        <f t="shared" si="1672"/>
        <v>事業用資産</v>
      </c>
      <c r="H4670" s="7" t="str">
        <f t="shared" si="1666"/>
        <v>棚卸以外</v>
      </c>
      <c r="I4670" s="7">
        <v>58</v>
      </c>
      <c r="J4670" s="7" t="str">
        <f>"渡り廊下"</f>
        <v>渡り廊下</v>
      </c>
      <c r="K4670" s="7" t="str">
        <f t="shared" si="1687"/>
        <v>鉄筋コンクリート造</v>
      </c>
      <c r="L4670" s="7" t="str">
        <f>"S43.07.08"</f>
        <v>S43.07.08</v>
      </c>
      <c r="M4670" s="7">
        <v>173.59</v>
      </c>
      <c r="N4670" s="7">
        <v>15072476</v>
      </c>
      <c r="O4670" s="7">
        <v>10341852</v>
      </c>
      <c r="P4670" s="7">
        <v>0</v>
      </c>
      <c r="Q4670" s="7" t="str">
        <f t="shared" si="1673"/>
        <v>教育庁</v>
      </c>
      <c r="R4670" s="7" t="str">
        <f t="shared" si="1685"/>
        <v>池田高等学校</v>
      </c>
    </row>
    <row r="4671" spans="1:18" s="1" customFormat="1" x14ac:dyDescent="0.45">
      <c r="A4671" s="7" t="str">
        <f t="shared" si="1682"/>
        <v>10362000000</v>
      </c>
      <c r="B4671" s="7" t="str">
        <f t="shared" si="1683"/>
        <v>池田高等学校</v>
      </c>
      <c r="C4671" s="7" t="str">
        <f t="shared" si="1667"/>
        <v>行政財産</v>
      </c>
      <c r="D4671" s="7" t="str">
        <f t="shared" si="1686"/>
        <v>学校</v>
      </c>
      <c r="E4671" s="7" t="str">
        <f t="shared" si="1684"/>
        <v>大阪府池田市旭丘２丁目</v>
      </c>
      <c r="F4671" s="7"/>
      <c r="G4671" s="7" t="str">
        <f t="shared" si="1672"/>
        <v>事業用資産</v>
      </c>
      <c r="H4671" s="7" t="str">
        <f t="shared" si="1666"/>
        <v>棚卸以外</v>
      </c>
      <c r="I4671" s="7">
        <v>59</v>
      </c>
      <c r="J4671" s="7" t="str">
        <f>"プールろ過装置ポンプ室"</f>
        <v>プールろ過装置ポンプ室</v>
      </c>
      <c r="K4671" s="7" t="str">
        <f>"コンクリートブロック造"</f>
        <v>コンクリートブロック造</v>
      </c>
      <c r="L4671" s="7" t="str">
        <f>"S43.07.08"</f>
        <v>S43.07.08</v>
      </c>
      <c r="M4671" s="7">
        <v>7.92</v>
      </c>
      <c r="N4671" s="7">
        <v>6035250</v>
      </c>
      <c r="O4671" s="7">
        <v>6035249</v>
      </c>
      <c r="P4671" s="7">
        <v>0</v>
      </c>
      <c r="Q4671" s="7" t="str">
        <f t="shared" si="1673"/>
        <v>教育庁</v>
      </c>
      <c r="R4671" s="7" t="str">
        <f t="shared" si="1685"/>
        <v>池田高等学校</v>
      </c>
    </row>
    <row r="4672" spans="1:18" s="1" customFormat="1" x14ac:dyDescent="0.45">
      <c r="A4672" s="7" t="str">
        <f t="shared" si="1682"/>
        <v>10362000000</v>
      </c>
      <c r="B4672" s="7" t="str">
        <f t="shared" si="1683"/>
        <v>池田高等学校</v>
      </c>
      <c r="C4672" s="7" t="str">
        <f t="shared" si="1667"/>
        <v>行政財産</v>
      </c>
      <c r="D4672" s="7" t="str">
        <f t="shared" si="1686"/>
        <v>学校</v>
      </c>
      <c r="E4672" s="7" t="str">
        <f t="shared" si="1684"/>
        <v>大阪府池田市旭丘２丁目</v>
      </c>
      <c r="F4672" s="7"/>
      <c r="G4672" s="7" t="str">
        <f t="shared" si="1672"/>
        <v>事業用資産</v>
      </c>
      <c r="H4672" s="7" t="str">
        <f t="shared" si="1666"/>
        <v>棚卸以外</v>
      </c>
      <c r="I4672" s="7">
        <v>60</v>
      </c>
      <c r="J4672" s="7" t="str">
        <f>"本館（東）"</f>
        <v>本館（東）</v>
      </c>
      <c r="K4672" s="7" t="str">
        <f>"鉄筋コンクリート造"</f>
        <v>鉄筋コンクリート造</v>
      </c>
      <c r="L4672" s="7" t="str">
        <f>"S44.06.04"</f>
        <v>S44.06.04</v>
      </c>
      <c r="M4672" s="7">
        <v>1183.3599999999999</v>
      </c>
      <c r="N4672" s="7">
        <v>151557417</v>
      </c>
      <c r="O4672" s="7">
        <v>83479263</v>
      </c>
      <c r="P4672" s="7">
        <v>0</v>
      </c>
      <c r="Q4672" s="7" t="str">
        <f t="shared" si="1673"/>
        <v>教育庁</v>
      </c>
      <c r="R4672" s="7" t="str">
        <f t="shared" si="1685"/>
        <v>池田高等学校</v>
      </c>
    </row>
    <row r="4673" spans="1:18" s="1" customFormat="1" x14ac:dyDescent="0.45">
      <c r="A4673" s="7" t="str">
        <f t="shared" si="1682"/>
        <v>10362000000</v>
      </c>
      <c r="B4673" s="7" t="str">
        <f t="shared" si="1683"/>
        <v>池田高等学校</v>
      </c>
      <c r="C4673" s="7" t="str">
        <f t="shared" si="1667"/>
        <v>行政財産</v>
      </c>
      <c r="D4673" s="7" t="str">
        <f t="shared" si="1686"/>
        <v>学校</v>
      </c>
      <c r="E4673" s="7" t="str">
        <f t="shared" si="1684"/>
        <v>大阪府池田市旭丘２丁目</v>
      </c>
      <c r="F4673" s="7"/>
      <c r="G4673" s="7" t="str">
        <f t="shared" si="1672"/>
        <v>事業用資産</v>
      </c>
      <c r="H4673" s="7" t="str">
        <f t="shared" si="1666"/>
        <v>棚卸以外</v>
      </c>
      <c r="I4673" s="7">
        <v>61</v>
      </c>
      <c r="J4673" s="7" t="str">
        <f>"玄関ポーチ"</f>
        <v>玄関ポーチ</v>
      </c>
      <c r="K4673" s="7" t="str">
        <f>"鉄筋コンクリート造"</f>
        <v>鉄筋コンクリート造</v>
      </c>
      <c r="L4673" s="7" t="str">
        <f>"S44.06.04"</f>
        <v>S44.06.04</v>
      </c>
      <c r="M4673" s="7">
        <v>131.19999999999999</v>
      </c>
      <c r="N4673" s="7">
        <v>9433640</v>
      </c>
      <c r="O4673" s="7">
        <v>6323491</v>
      </c>
      <c r="P4673" s="7">
        <v>0</v>
      </c>
      <c r="Q4673" s="7" t="str">
        <f t="shared" si="1673"/>
        <v>教育庁</v>
      </c>
      <c r="R4673" s="7" t="str">
        <f t="shared" si="1685"/>
        <v>池田高等学校</v>
      </c>
    </row>
    <row r="4674" spans="1:18" s="1" customFormat="1" x14ac:dyDescent="0.45">
      <c r="A4674" s="7" t="str">
        <f t="shared" si="1682"/>
        <v>10362000000</v>
      </c>
      <c r="B4674" s="7" t="str">
        <f t="shared" si="1683"/>
        <v>池田高等学校</v>
      </c>
      <c r="C4674" s="7" t="str">
        <f t="shared" si="1667"/>
        <v>行政財産</v>
      </c>
      <c r="D4674" s="7" t="str">
        <f t="shared" si="1686"/>
        <v>学校</v>
      </c>
      <c r="E4674" s="7" t="str">
        <f t="shared" si="1684"/>
        <v>大阪府池田市旭丘２丁目</v>
      </c>
      <c r="F4674" s="7"/>
      <c r="G4674" s="7" t="str">
        <f t="shared" si="1672"/>
        <v>事業用資産</v>
      </c>
      <c r="H4674" s="7" t="str">
        <f t="shared" si="1666"/>
        <v>棚卸以外</v>
      </c>
      <c r="I4674" s="7">
        <v>62</v>
      </c>
      <c r="J4674" s="7" t="str">
        <f>"体育館"</f>
        <v>体育館</v>
      </c>
      <c r="K4674" s="7" t="str">
        <f>"鉄筋コンクリート造"</f>
        <v>鉄筋コンクリート造</v>
      </c>
      <c r="L4674" s="7" t="str">
        <f>"S45.12.04"</f>
        <v>S45.12.04</v>
      </c>
      <c r="M4674" s="7">
        <v>1361.93</v>
      </c>
      <c r="N4674" s="7">
        <v>179863022</v>
      </c>
      <c r="O4674" s="7">
        <v>113109684</v>
      </c>
      <c r="P4674" s="7">
        <v>0</v>
      </c>
      <c r="Q4674" s="7" t="str">
        <f t="shared" si="1673"/>
        <v>教育庁</v>
      </c>
      <c r="R4674" s="7" t="str">
        <f t="shared" si="1685"/>
        <v>池田高等学校</v>
      </c>
    </row>
    <row r="4675" spans="1:18" s="1" customFormat="1" x14ac:dyDescent="0.45">
      <c r="A4675" s="7" t="str">
        <f t="shared" si="1682"/>
        <v>10362000000</v>
      </c>
      <c r="B4675" s="7" t="str">
        <f t="shared" si="1683"/>
        <v>池田高等学校</v>
      </c>
      <c r="C4675" s="7" t="str">
        <f t="shared" si="1667"/>
        <v>行政財産</v>
      </c>
      <c r="D4675" s="7" t="str">
        <f t="shared" si="1686"/>
        <v>学校</v>
      </c>
      <c r="E4675" s="7" t="str">
        <f t="shared" si="1684"/>
        <v>大阪府池田市旭丘２丁目</v>
      </c>
      <c r="F4675" s="7"/>
      <c r="G4675" s="7" t="str">
        <f t="shared" si="1672"/>
        <v>事業用資産</v>
      </c>
      <c r="H4675" s="7" t="str">
        <f t="shared" si="1666"/>
        <v>棚卸以外</v>
      </c>
      <c r="I4675" s="7">
        <v>63</v>
      </c>
      <c r="J4675" s="7" t="str">
        <f>"食堂兼柔剣道場"</f>
        <v>食堂兼柔剣道場</v>
      </c>
      <c r="K4675" s="7" t="str">
        <f>"鉄筋コンクリート造"</f>
        <v>鉄筋コンクリート造</v>
      </c>
      <c r="L4675" s="7" t="str">
        <f>"S46.03.15"</f>
        <v>S46.03.15</v>
      </c>
      <c r="M4675" s="7">
        <v>944.96</v>
      </c>
      <c r="N4675" s="7">
        <v>88193809</v>
      </c>
      <c r="O4675" s="7">
        <v>65354408</v>
      </c>
      <c r="P4675" s="7">
        <v>0</v>
      </c>
      <c r="Q4675" s="7" t="str">
        <f t="shared" si="1673"/>
        <v>教育庁</v>
      </c>
      <c r="R4675" s="7" t="str">
        <f t="shared" si="1685"/>
        <v>池田高等学校</v>
      </c>
    </row>
    <row r="4676" spans="1:18" s="1" customFormat="1" x14ac:dyDescent="0.45">
      <c r="A4676" s="7" t="str">
        <f t="shared" si="1682"/>
        <v>10362000000</v>
      </c>
      <c r="B4676" s="7" t="str">
        <f t="shared" si="1683"/>
        <v>池田高等学校</v>
      </c>
      <c r="C4676" s="7" t="str">
        <f t="shared" si="1667"/>
        <v>行政財産</v>
      </c>
      <c r="D4676" s="7" t="str">
        <f t="shared" si="1686"/>
        <v>学校</v>
      </c>
      <c r="E4676" s="7" t="str">
        <f t="shared" si="1684"/>
        <v>大阪府池田市旭丘２丁目</v>
      </c>
      <c r="F4676" s="7"/>
      <c r="G4676" s="7" t="str">
        <f t="shared" si="1672"/>
        <v>事業用資産</v>
      </c>
      <c r="H4676" s="7" t="str">
        <f t="shared" ref="H4676:H4739" si="1688">"棚卸以外"</f>
        <v>棚卸以外</v>
      </c>
      <c r="I4676" s="7">
        <v>64</v>
      </c>
      <c r="J4676" s="7" t="str">
        <f>"体育クラブ室棟"</f>
        <v>体育クラブ室棟</v>
      </c>
      <c r="K4676" s="7" t="str">
        <f>"コンクリートブロック造"</f>
        <v>コンクリートブロック造</v>
      </c>
      <c r="L4676" s="7" t="str">
        <f>"S46.03.15"</f>
        <v>S46.03.15</v>
      </c>
      <c r="M4676" s="7">
        <v>119.71</v>
      </c>
      <c r="N4676" s="7">
        <v>4013912</v>
      </c>
      <c r="O4676" s="7">
        <v>4013911</v>
      </c>
      <c r="P4676" s="7">
        <v>0</v>
      </c>
      <c r="Q4676" s="7" t="str">
        <f t="shared" si="1673"/>
        <v>教育庁</v>
      </c>
      <c r="R4676" s="7" t="str">
        <f t="shared" si="1685"/>
        <v>池田高等学校</v>
      </c>
    </row>
    <row r="4677" spans="1:18" s="1" customFormat="1" x14ac:dyDescent="0.45">
      <c r="A4677" s="7" t="str">
        <f t="shared" si="1682"/>
        <v>10362000000</v>
      </c>
      <c r="B4677" s="7" t="str">
        <f t="shared" si="1683"/>
        <v>池田高等学校</v>
      </c>
      <c r="C4677" s="7" t="str">
        <f t="shared" si="1667"/>
        <v>行政財産</v>
      </c>
      <c r="D4677" s="7" t="str">
        <f t="shared" si="1686"/>
        <v>学校</v>
      </c>
      <c r="E4677" s="7" t="str">
        <f t="shared" si="1684"/>
        <v>大阪府池田市旭丘２丁目</v>
      </c>
      <c r="F4677" s="7"/>
      <c r="G4677" s="7" t="str">
        <f t="shared" si="1672"/>
        <v>事業用資産</v>
      </c>
      <c r="H4677" s="7" t="str">
        <f t="shared" si="1688"/>
        <v>棚卸以外</v>
      </c>
      <c r="I4677" s="7">
        <v>67</v>
      </c>
      <c r="J4677" s="7" t="str">
        <f>"プール用更衣室"</f>
        <v>プール用更衣室</v>
      </c>
      <c r="K4677" s="7" t="str">
        <f>"コンクリートブロック造"</f>
        <v>コンクリートブロック造</v>
      </c>
      <c r="L4677" s="7" t="str">
        <f>"S47.03.31"</f>
        <v>S47.03.31</v>
      </c>
      <c r="M4677" s="7">
        <v>75.37</v>
      </c>
      <c r="N4677" s="7">
        <v>2934416</v>
      </c>
      <c r="O4677" s="7">
        <v>2934415</v>
      </c>
      <c r="P4677" s="7">
        <v>0</v>
      </c>
      <c r="Q4677" s="7" t="str">
        <f t="shared" si="1673"/>
        <v>教育庁</v>
      </c>
      <c r="R4677" s="7" t="str">
        <f t="shared" si="1685"/>
        <v>池田高等学校</v>
      </c>
    </row>
    <row r="4678" spans="1:18" s="1" customFormat="1" x14ac:dyDescent="0.45">
      <c r="A4678" s="7" t="str">
        <f t="shared" si="1682"/>
        <v>10362000000</v>
      </c>
      <c r="B4678" s="7" t="str">
        <f t="shared" si="1683"/>
        <v>池田高等学校</v>
      </c>
      <c r="C4678" s="7" t="str">
        <f t="shared" si="1667"/>
        <v>行政財産</v>
      </c>
      <c r="D4678" s="7" t="str">
        <f t="shared" si="1686"/>
        <v>学校</v>
      </c>
      <c r="E4678" s="7" t="str">
        <f t="shared" si="1684"/>
        <v>大阪府池田市旭丘２丁目</v>
      </c>
      <c r="F4678" s="7"/>
      <c r="G4678" s="7" t="str">
        <f t="shared" si="1672"/>
        <v>事業用資産</v>
      </c>
      <c r="H4678" s="7" t="str">
        <f t="shared" si="1688"/>
        <v>棚卸以外</v>
      </c>
      <c r="I4678" s="7">
        <v>68</v>
      </c>
      <c r="J4678" s="7" t="str">
        <f>"プール便所"</f>
        <v>プール便所</v>
      </c>
      <c r="K4678" s="7" t="str">
        <f>"コンクリートブロック造"</f>
        <v>コンクリートブロック造</v>
      </c>
      <c r="L4678" s="7" t="str">
        <f>"S47.03.31"</f>
        <v>S47.03.31</v>
      </c>
      <c r="M4678" s="7">
        <v>11.85</v>
      </c>
      <c r="N4678" s="7">
        <v>9668924</v>
      </c>
      <c r="O4678" s="7">
        <v>937579</v>
      </c>
      <c r="P4678" s="7">
        <v>0</v>
      </c>
      <c r="Q4678" s="7" t="str">
        <f t="shared" si="1673"/>
        <v>教育庁</v>
      </c>
      <c r="R4678" s="7" t="str">
        <f t="shared" si="1685"/>
        <v>池田高等学校</v>
      </c>
    </row>
    <row r="4679" spans="1:18" s="1" customFormat="1" x14ac:dyDescent="0.45">
      <c r="A4679" s="7" t="str">
        <f t="shared" si="1682"/>
        <v>10362000000</v>
      </c>
      <c r="B4679" s="7" t="str">
        <f t="shared" si="1683"/>
        <v>池田高等学校</v>
      </c>
      <c r="C4679" s="7" t="str">
        <f t="shared" si="1667"/>
        <v>行政財産</v>
      </c>
      <c r="D4679" s="7" t="str">
        <f t="shared" si="1686"/>
        <v>学校</v>
      </c>
      <c r="E4679" s="7" t="str">
        <f t="shared" si="1684"/>
        <v>大阪府池田市旭丘２丁目</v>
      </c>
      <c r="F4679" s="7"/>
      <c r="G4679" s="7" t="str">
        <f t="shared" si="1672"/>
        <v>事業用資産</v>
      </c>
      <c r="H4679" s="7" t="str">
        <f t="shared" si="1688"/>
        <v>棚卸以外</v>
      </c>
      <c r="I4679" s="7">
        <v>69</v>
      </c>
      <c r="J4679" s="7" t="str">
        <f>"西倉庫"</f>
        <v>西倉庫</v>
      </c>
      <c r="K4679" s="7" t="str">
        <f>"軽量鉄骨造"</f>
        <v>軽量鉄骨造</v>
      </c>
      <c r="L4679" s="7" t="str">
        <f>"S47.03.31"</f>
        <v>S47.03.31</v>
      </c>
      <c r="M4679" s="7">
        <v>60</v>
      </c>
      <c r="N4679" s="7">
        <v>1831183</v>
      </c>
      <c r="O4679" s="7">
        <v>1831182</v>
      </c>
      <c r="P4679" s="7">
        <v>0</v>
      </c>
      <c r="Q4679" s="7" t="str">
        <f t="shared" si="1673"/>
        <v>教育庁</v>
      </c>
      <c r="R4679" s="7" t="str">
        <f t="shared" si="1685"/>
        <v>池田高等学校</v>
      </c>
    </row>
    <row r="4680" spans="1:18" s="1" customFormat="1" x14ac:dyDescent="0.45">
      <c r="A4680" s="7" t="str">
        <f t="shared" si="1682"/>
        <v>10362000000</v>
      </c>
      <c r="B4680" s="7" t="str">
        <f t="shared" si="1683"/>
        <v>池田高等学校</v>
      </c>
      <c r="C4680" s="7" t="str">
        <f t="shared" si="1667"/>
        <v>行政財産</v>
      </c>
      <c r="D4680" s="7" t="str">
        <f t="shared" si="1686"/>
        <v>学校</v>
      </c>
      <c r="E4680" s="7" t="str">
        <f t="shared" si="1684"/>
        <v>大阪府池田市旭丘２丁目</v>
      </c>
      <c r="F4680" s="7"/>
      <c r="G4680" s="7" t="str">
        <f t="shared" si="1672"/>
        <v>事業用資産</v>
      </c>
      <c r="H4680" s="7" t="str">
        <f t="shared" si="1688"/>
        <v>棚卸以外</v>
      </c>
      <c r="I4680" s="7">
        <v>71</v>
      </c>
      <c r="J4680" s="7" t="str">
        <f>"プール用器具庫"</f>
        <v>プール用器具庫</v>
      </c>
      <c r="K4680" s="7" t="str">
        <f>"レンガ、石積造"</f>
        <v>レンガ、石積造</v>
      </c>
      <c r="L4680" s="7" t="str">
        <f>"S48.03.28"</f>
        <v>S48.03.28</v>
      </c>
      <c r="M4680" s="7">
        <v>11.83</v>
      </c>
      <c r="N4680" s="7">
        <v>413000</v>
      </c>
      <c r="O4680" s="7">
        <v>412999</v>
      </c>
      <c r="P4680" s="7">
        <v>0</v>
      </c>
      <c r="Q4680" s="7" t="str">
        <f t="shared" si="1673"/>
        <v>教育庁</v>
      </c>
      <c r="R4680" s="7" t="str">
        <f t="shared" si="1685"/>
        <v>池田高等学校</v>
      </c>
    </row>
    <row r="4681" spans="1:18" s="1" customFormat="1" x14ac:dyDescent="0.45">
      <c r="A4681" s="7" t="str">
        <f t="shared" si="1682"/>
        <v>10362000000</v>
      </c>
      <c r="B4681" s="7" t="str">
        <f t="shared" si="1683"/>
        <v>池田高等学校</v>
      </c>
      <c r="C4681" s="7" t="str">
        <f t="shared" si="1667"/>
        <v>行政財産</v>
      </c>
      <c r="D4681" s="7" t="str">
        <f t="shared" si="1686"/>
        <v>学校</v>
      </c>
      <c r="E4681" s="7" t="str">
        <f t="shared" si="1684"/>
        <v>大阪府池田市旭丘２丁目</v>
      </c>
      <c r="F4681" s="7"/>
      <c r="G4681" s="7" t="str">
        <f t="shared" si="1672"/>
        <v>事業用資産</v>
      </c>
      <c r="H4681" s="7" t="str">
        <f t="shared" si="1688"/>
        <v>棚卸以外</v>
      </c>
      <c r="I4681" s="7">
        <v>72</v>
      </c>
      <c r="J4681" s="7" t="str">
        <f>"北館"</f>
        <v>北館</v>
      </c>
      <c r="K4681" s="7" t="str">
        <f>"鉄筋コンクリート造"</f>
        <v>鉄筋コンクリート造</v>
      </c>
      <c r="L4681" s="7" t="str">
        <f>"S55.08.30"</f>
        <v>S55.08.30</v>
      </c>
      <c r="M4681" s="7">
        <v>730.4</v>
      </c>
      <c r="N4681" s="7">
        <v>117575942</v>
      </c>
      <c r="O4681" s="7">
        <v>97817692</v>
      </c>
      <c r="P4681" s="7">
        <v>0</v>
      </c>
      <c r="Q4681" s="7" t="str">
        <f t="shared" si="1673"/>
        <v>教育庁</v>
      </c>
      <c r="R4681" s="7" t="str">
        <f t="shared" si="1685"/>
        <v>池田高等学校</v>
      </c>
    </row>
    <row r="4682" spans="1:18" s="1" customFormat="1" x14ac:dyDescent="0.45">
      <c r="A4682" s="7" t="str">
        <f t="shared" si="1682"/>
        <v>10362000000</v>
      </c>
      <c r="B4682" s="7" t="str">
        <f t="shared" si="1683"/>
        <v>池田高等学校</v>
      </c>
      <c r="C4682" s="7" t="str">
        <f t="shared" si="1667"/>
        <v>行政財産</v>
      </c>
      <c r="D4682" s="7" t="str">
        <f t="shared" si="1686"/>
        <v>学校</v>
      </c>
      <c r="E4682" s="7" t="str">
        <f t="shared" si="1684"/>
        <v>大阪府池田市旭丘２丁目</v>
      </c>
      <c r="F4682" s="7"/>
      <c r="G4682" s="7" t="str">
        <f t="shared" si="1672"/>
        <v>事業用資産</v>
      </c>
      <c r="H4682" s="7" t="str">
        <f t="shared" si="1688"/>
        <v>棚卸以外</v>
      </c>
      <c r="I4682" s="7">
        <v>73</v>
      </c>
      <c r="J4682" s="7" t="str">
        <f>"北倉庫"</f>
        <v>北倉庫</v>
      </c>
      <c r="K4682" s="7" t="str">
        <f>"コンクリートブロック造"</f>
        <v>コンクリートブロック造</v>
      </c>
      <c r="L4682" s="7" t="str">
        <f>"S56.03.31"</f>
        <v>S56.03.31</v>
      </c>
      <c r="M4682" s="7">
        <v>43.51</v>
      </c>
      <c r="N4682" s="7">
        <v>5730000</v>
      </c>
      <c r="O4682" s="7">
        <v>5729999</v>
      </c>
      <c r="P4682" s="7">
        <v>0</v>
      </c>
      <c r="Q4682" s="7" t="str">
        <f t="shared" si="1673"/>
        <v>教育庁</v>
      </c>
      <c r="R4682" s="7" t="str">
        <f t="shared" si="1685"/>
        <v>池田高等学校</v>
      </c>
    </row>
    <row r="4683" spans="1:18" s="1" customFormat="1" x14ac:dyDescent="0.45">
      <c r="A4683" s="7" t="str">
        <f t="shared" si="1682"/>
        <v>10362000000</v>
      </c>
      <c r="B4683" s="7" t="str">
        <f t="shared" si="1683"/>
        <v>池田高等学校</v>
      </c>
      <c r="C4683" s="7" t="str">
        <f t="shared" si="1667"/>
        <v>行政財産</v>
      </c>
      <c r="D4683" s="7" t="str">
        <f t="shared" si="1686"/>
        <v>学校</v>
      </c>
      <c r="E4683" s="7" t="str">
        <f t="shared" si="1684"/>
        <v>大阪府池田市旭丘２丁目</v>
      </c>
      <c r="F4683" s="7"/>
      <c r="G4683" s="7" t="str">
        <f t="shared" si="1672"/>
        <v>事業用資産</v>
      </c>
      <c r="H4683" s="7" t="str">
        <f t="shared" si="1688"/>
        <v>棚卸以外</v>
      </c>
      <c r="I4683" s="7">
        <v>74</v>
      </c>
      <c r="J4683" s="7" t="str">
        <f>"部室兼更衣室"</f>
        <v>部室兼更衣室</v>
      </c>
      <c r="K4683" s="7" t="str">
        <f>"軽量鉄骨造"</f>
        <v>軽量鉄骨造</v>
      </c>
      <c r="L4683" s="7" t="str">
        <f>"S59.11.26"</f>
        <v>S59.11.26</v>
      </c>
      <c r="M4683" s="7">
        <v>87.84</v>
      </c>
      <c r="N4683" s="7">
        <v>7711000</v>
      </c>
      <c r="O4683" s="7">
        <v>7710999</v>
      </c>
      <c r="P4683" s="7">
        <v>0</v>
      </c>
      <c r="Q4683" s="7" t="str">
        <f t="shared" si="1673"/>
        <v>教育庁</v>
      </c>
      <c r="R4683" s="7" t="str">
        <f t="shared" si="1685"/>
        <v>池田高等学校</v>
      </c>
    </row>
    <row r="4684" spans="1:18" s="1" customFormat="1" x14ac:dyDescent="0.45">
      <c r="A4684" s="7" t="str">
        <f t="shared" ref="A4684:A4694" si="1689">"10363000000"</f>
        <v>10363000000</v>
      </c>
      <c r="B4684" s="7" t="str">
        <f t="shared" ref="B4684:B4694" si="1690">"渋谷高等学校"</f>
        <v>渋谷高等学校</v>
      </c>
      <c r="C4684" s="7" t="str">
        <f t="shared" si="1667"/>
        <v>行政財産</v>
      </c>
      <c r="D4684" s="7" t="str">
        <f t="shared" si="1686"/>
        <v>学校</v>
      </c>
      <c r="E4684" s="7" t="str">
        <f t="shared" ref="E4684:E4694" si="1691">"大阪府池田市畑４丁目"</f>
        <v>大阪府池田市畑４丁目</v>
      </c>
      <c r="F4684" s="7"/>
      <c r="G4684" s="7" t="str">
        <f t="shared" si="1672"/>
        <v>事業用資産</v>
      </c>
      <c r="H4684" s="7" t="str">
        <f t="shared" si="1688"/>
        <v>棚卸以外</v>
      </c>
      <c r="I4684" s="7">
        <v>1</v>
      </c>
      <c r="J4684" s="7" t="str">
        <f>"普通棟"</f>
        <v>普通棟</v>
      </c>
      <c r="K4684" s="7" t="str">
        <f t="shared" ref="K4684:K4689" si="1692">"鉄筋コンクリート造"</f>
        <v>鉄筋コンクリート造</v>
      </c>
      <c r="L4684" s="7" t="str">
        <f t="shared" ref="L4684:L4689" si="1693">"S50.12.10"</f>
        <v>S50.12.10</v>
      </c>
      <c r="M4684" s="7">
        <v>5403.85</v>
      </c>
      <c r="N4684" s="7">
        <v>654261039</v>
      </c>
      <c r="O4684" s="7">
        <v>539897819</v>
      </c>
      <c r="P4684" s="7">
        <v>0</v>
      </c>
      <c r="Q4684" s="7" t="str">
        <f t="shared" si="1673"/>
        <v>教育庁</v>
      </c>
      <c r="R4684" s="7" t="str">
        <f t="shared" ref="R4684:R4694" si="1694">"渋谷高等学校"</f>
        <v>渋谷高等学校</v>
      </c>
    </row>
    <row r="4685" spans="1:18" s="1" customFormat="1" x14ac:dyDescent="0.45">
      <c r="A4685" s="7" t="str">
        <f t="shared" si="1689"/>
        <v>10363000000</v>
      </c>
      <c r="B4685" s="7" t="str">
        <f t="shared" si="1690"/>
        <v>渋谷高等学校</v>
      </c>
      <c r="C4685" s="7" t="str">
        <f t="shared" ref="C4685:C4748" si="1695">"行政財産"</f>
        <v>行政財産</v>
      </c>
      <c r="D4685" s="7" t="str">
        <f t="shared" si="1686"/>
        <v>学校</v>
      </c>
      <c r="E4685" s="7" t="str">
        <f t="shared" si="1691"/>
        <v>大阪府池田市畑４丁目</v>
      </c>
      <c r="F4685" s="7"/>
      <c r="G4685" s="7" t="str">
        <f t="shared" si="1672"/>
        <v>事業用資産</v>
      </c>
      <c r="H4685" s="7" t="str">
        <f t="shared" si="1688"/>
        <v>棚卸以外</v>
      </c>
      <c r="I4685" s="7">
        <v>2</v>
      </c>
      <c r="J4685" s="7" t="str">
        <f>"特別棟"</f>
        <v>特別棟</v>
      </c>
      <c r="K4685" s="7" t="str">
        <f t="shared" si="1692"/>
        <v>鉄筋コンクリート造</v>
      </c>
      <c r="L4685" s="7" t="str">
        <f t="shared" si="1693"/>
        <v>S50.12.10</v>
      </c>
      <c r="M4685" s="7">
        <v>5827.04</v>
      </c>
      <c r="N4685" s="7">
        <v>701067562</v>
      </c>
      <c r="O4685" s="7">
        <v>585289043</v>
      </c>
      <c r="P4685" s="7">
        <v>0</v>
      </c>
      <c r="Q4685" s="7" t="str">
        <f t="shared" si="1673"/>
        <v>教育庁</v>
      </c>
      <c r="R4685" s="7" t="str">
        <f t="shared" si="1694"/>
        <v>渋谷高等学校</v>
      </c>
    </row>
    <row r="4686" spans="1:18" s="1" customFormat="1" x14ac:dyDescent="0.45">
      <c r="A4686" s="7" t="str">
        <f t="shared" si="1689"/>
        <v>10363000000</v>
      </c>
      <c r="B4686" s="7" t="str">
        <f t="shared" si="1690"/>
        <v>渋谷高等学校</v>
      </c>
      <c r="C4686" s="7" t="str">
        <f t="shared" si="1695"/>
        <v>行政財産</v>
      </c>
      <c r="D4686" s="7" t="str">
        <f t="shared" si="1686"/>
        <v>学校</v>
      </c>
      <c r="E4686" s="7" t="str">
        <f t="shared" si="1691"/>
        <v>大阪府池田市畑４丁目</v>
      </c>
      <c r="F4686" s="7"/>
      <c r="G4686" s="7" t="str">
        <f t="shared" si="1672"/>
        <v>事業用資産</v>
      </c>
      <c r="H4686" s="7" t="str">
        <f t="shared" si="1688"/>
        <v>棚卸以外</v>
      </c>
      <c r="I4686" s="7">
        <v>3</v>
      </c>
      <c r="J4686" s="7" t="str">
        <f>"渡り廊下"</f>
        <v>渡り廊下</v>
      </c>
      <c r="K4686" s="7" t="str">
        <f t="shared" si="1692"/>
        <v>鉄筋コンクリート造</v>
      </c>
      <c r="L4686" s="7" t="str">
        <f t="shared" si="1693"/>
        <v>S50.12.10</v>
      </c>
      <c r="M4686" s="7">
        <v>357</v>
      </c>
      <c r="N4686" s="7">
        <v>30040000</v>
      </c>
      <c r="O4686" s="7">
        <v>26907352</v>
      </c>
      <c r="P4686" s="7">
        <v>0</v>
      </c>
      <c r="Q4686" s="7" t="str">
        <f t="shared" si="1673"/>
        <v>教育庁</v>
      </c>
      <c r="R4686" s="7" t="str">
        <f t="shared" si="1694"/>
        <v>渋谷高等学校</v>
      </c>
    </row>
    <row r="4687" spans="1:18" s="1" customFormat="1" x14ac:dyDescent="0.45">
      <c r="A4687" s="7" t="str">
        <f t="shared" si="1689"/>
        <v>10363000000</v>
      </c>
      <c r="B4687" s="7" t="str">
        <f t="shared" si="1690"/>
        <v>渋谷高等学校</v>
      </c>
      <c r="C4687" s="7" t="str">
        <f t="shared" si="1695"/>
        <v>行政財産</v>
      </c>
      <c r="D4687" s="7" t="str">
        <f t="shared" si="1686"/>
        <v>学校</v>
      </c>
      <c r="E4687" s="7" t="str">
        <f t="shared" si="1691"/>
        <v>大阪府池田市畑４丁目</v>
      </c>
      <c r="F4687" s="7"/>
      <c r="G4687" s="7" t="str">
        <f t="shared" si="1672"/>
        <v>事業用資産</v>
      </c>
      <c r="H4687" s="7" t="str">
        <f t="shared" si="1688"/>
        <v>棚卸以外</v>
      </c>
      <c r="I4687" s="7">
        <v>4</v>
      </c>
      <c r="J4687" s="7" t="str">
        <f>"体育館"</f>
        <v>体育館</v>
      </c>
      <c r="K4687" s="7" t="str">
        <f t="shared" si="1692"/>
        <v>鉄筋コンクリート造</v>
      </c>
      <c r="L4687" s="7" t="str">
        <f t="shared" si="1693"/>
        <v>S50.12.10</v>
      </c>
      <c r="M4687" s="7">
        <v>2896</v>
      </c>
      <c r="N4687" s="7">
        <v>323289198</v>
      </c>
      <c r="O4687" s="7">
        <v>281625983</v>
      </c>
      <c r="P4687" s="7">
        <v>0</v>
      </c>
      <c r="Q4687" s="7" t="str">
        <f t="shared" si="1673"/>
        <v>教育庁</v>
      </c>
      <c r="R4687" s="7" t="str">
        <f t="shared" si="1694"/>
        <v>渋谷高等学校</v>
      </c>
    </row>
    <row r="4688" spans="1:18" s="1" customFormat="1" x14ac:dyDescent="0.45">
      <c r="A4688" s="7" t="str">
        <f t="shared" si="1689"/>
        <v>10363000000</v>
      </c>
      <c r="B4688" s="7" t="str">
        <f t="shared" si="1690"/>
        <v>渋谷高等学校</v>
      </c>
      <c r="C4688" s="7" t="str">
        <f t="shared" si="1695"/>
        <v>行政財産</v>
      </c>
      <c r="D4688" s="7" t="str">
        <f t="shared" si="1686"/>
        <v>学校</v>
      </c>
      <c r="E4688" s="7" t="str">
        <f t="shared" si="1691"/>
        <v>大阪府池田市畑４丁目</v>
      </c>
      <c r="F4688" s="7"/>
      <c r="G4688" s="7" t="str">
        <f t="shared" si="1672"/>
        <v>事業用資産</v>
      </c>
      <c r="H4688" s="7" t="str">
        <f t="shared" si="1688"/>
        <v>棚卸以外</v>
      </c>
      <c r="I4688" s="7">
        <v>5</v>
      </c>
      <c r="J4688" s="7" t="str">
        <f>"食堂棟"</f>
        <v>食堂棟</v>
      </c>
      <c r="K4688" s="7" t="str">
        <f t="shared" si="1692"/>
        <v>鉄筋コンクリート造</v>
      </c>
      <c r="L4688" s="7" t="str">
        <f t="shared" si="1693"/>
        <v>S50.12.10</v>
      </c>
      <c r="M4688" s="7">
        <v>408</v>
      </c>
      <c r="N4688" s="7">
        <v>52457214</v>
      </c>
      <c r="O4688" s="7">
        <v>50999071</v>
      </c>
      <c r="P4688" s="7">
        <v>0</v>
      </c>
      <c r="Q4688" s="7" t="str">
        <f t="shared" si="1673"/>
        <v>教育庁</v>
      </c>
      <c r="R4688" s="7" t="str">
        <f t="shared" si="1694"/>
        <v>渋谷高等学校</v>
      </c>
    </row>
    <row r="4689" spans="1:18" s="1" customFormat="1" x14ac:dyDescent="0.45">
      <c r="A4689" s="7" t="str">
        <f t="shared" si="1689"/>
        <v>10363000000</v>
      </c>
      <c r="B4689" s="7" t="str">
        <f t="shared" si="1690"/>
        <v>渋谷高等学校</v>
      </c>
      <c r="C4689" s="7" t="str">
        <f t="shared" si="1695"/>
        <v>行政財産</v>
      </c>
      <c r="D4689" s="7" t="str">
        <f t="shared" si="1686"/>
        <v>学校</v>
      </c>
      <c r="E4689" s="7" t="str">
        <f t="shared" si="1691"/>
        <v>大阪府池田市畑４丁目</v>
      </c>
      <c r="F4689" s="7"/>
      <c r="G4689" s="7" t="str">
        <f t="shared" si="1672"/>
        <v>事業用資産</v>
      </c>
      <c r="H4689" s="7" t="str">
        <f t="shared" si="1688"/>
        <v>棚卸以外</v>
      </c>
      <c r="I4689" s="7">
        <v>6</v>
      </c>
      <c r="J4689" s="7" t="str">
        <f>"プール及び脱衣棟"</f>
        <v>プール及び脱衣棟</v>
      </c>
      <c r="K4689" s="7" t="str">
        <f t="shared" si="1692"/>
        <v>鉄筋コンクリート造</v>
      </c>
      <c r="L4689" s="7" t="str">
        <f t="shared" si="1693"/>
        <v>S50.12.10</v>
      </c>
      <c r="M4689" s="7">
        <v>127</v>
      </c>
      <c r="N4689" s="7">
        <v>43849548</v>
      </c>
      <c r="O4689" s="7">
        <v>43805523</v>
      </c>
      <c r="P4689" s="7">
        <v>0</v>
      </c>
      <c r="Q4689" s="7" t="str">
        <f t="shared" si="1673"/>
        <v>教育庁</v>
      </c>
      <c r="R4689" s="7" t="str">
        <f t="shared" si="1694"/>
        <v>渋谷高等学校</v>
      </c>
    </row>
    <row r="4690" spans="1:18" s="1" customFormat="1" x14ac:dyDescent="0.45">
      <c r="A4690" s="7" t="str">
        <f t="shared" si="1689"/>
        <v>10363000000</v>
      </c>
      <c r="B4690" s="7" t="str">
        <f t="shared" si="1690"/>
        <v>渋谷高等学校</v>
      </c>
      <c r="C4690" s="7" t="str">
        <f t="shared" si="1695"/>
        <v>行政財産</v>
      </c>
      <c r="D4690" s="7" t="str">
        <f t="shared" si="1686"/>
        <v>学校</v>
      </c>
      <c r="E4690" s="7" t="str">
        <f t="shared" si="1691"/>
        <v>大阪府池田市畑４丁目</v>
      </c>
      <c r="F4690" s="7"/>
      <c r="G4690" s="7" t="str">
        <f t="shared" si="1672"/>
        <v>事業用資産</v>
      </c>
      <c r="H4690" s="7" t="str">
        <f t="shared" si="1688"/>
        <v>棚卸以外</v>
      </c>
      <c r="I4690" s="7">
        <v>9</v>
      </c>
      <c r="J4690" s="7" t="str">
        <f>"倉庫"</f>
        <v>倉庫</v>
      </c>
      <c r="K4690" s="7" t="str">
        <f>"鉄骨造"</f>
        <v>鉄骨造</v>
      </c>
      <c r="L4690" s="7" t="str">
        <f>"S51.02.28"</f>
        <v>S51.02.28</v>
      </c>
      <c r="M4690" s="7">
        <v>50</v>
      </c>
      <c r="N4690" s="7">
        <v>3624000</v>
      </c>
      <c r="O4690" s="7">
        <v>3623999</v>
      </c>
      <c r="P4690" s="7">
        <v>0</v>
      </c>
      <c r="Q4690" s="7" t="str">
        <f t="shared" si="1673"/>
        <v>教育庁</v>
      </c>
      <c r="R4690" s="7" t="str">
        <f t="shared" si="1694"/>
        <v>渋谷高等学校</v>
      </c>
    </row>
    <row r="4691" spans="1:18" s="1" customFormat="1" x14ac:dyDescent="0.45">
      <c r="A4691" s="7" t="str">
        <f t="shared" si="1689"/>
        <v>10363000000</v>
      </c>
      <c r="B4691" s="7" t="str">
        <f t="shared" si="1690"/>
        <v>渋谷高等学校</v>
      </c>
      <c r="C4691" s="7" t="str">
        <f t="shared" si="1695"/>
        <v>行政財産</v>
      </c>
      <c r="D4691" s="7" t="str">
        <f t="shared" si="1686"/>
        <v>学校</v>
      </c>
      <c r="E4691" s="7" t="str">
        <f t="shared" si="1691"/>
        <v>大阪府池田市畑４丁目</v>
      </c>
      <c r="F4691" s="7"/>
      <c r="G4691" s="7" t="str">
        <f t="shared" si="1672"/>
        <v>事業用資産</v>
      </c>
      <c r="H4691" s="7" t="str">
        <f t="shared" si="1688"/>
        <v>棚卸以外</v>
      </c>
      <c r="I4691" s="7">
        <v>10</v>
      </c>
      <c r="J4691" s="7" t="str">
        <f>"物置"</f>
        <v>物置</v>
      </c>
      <c r="K4691" s="7" t="str">
        <f>"コンクリートブロック造"</f>
        <v>コンクリートブロック造</v>
      </c>
      <c r="L4691" s="7" t="str">
        <f>"S51.03.19"</f>
        <v>S51.03.19</v>
      </c>
      <c r="M4691" s="7">
        <v>15</v>
      </c>
      <c r="N4691" s="7">
        <v>394000</v>
      </c>
      <c r="O4691" s="7">
        <v>393999</v>
      </c>
      <c r="P4691" s="7">
        <v>0</v>
      </c>
      <c r="Q4691" s="7" t="str">
        <f t="shared" si="1673"/>
        <v>教育庁</v>
      </c>
      <c r="R4691" s="7" t="str">
        <f t="shared" si="1694"/>
        <v>渋谷高等学校</v>
      </c>
    </row>
    <row r="4692" spans="1:18" s="1" customFormat="1" x14ac:dyDescent="0.45">
      <c r="A4692" s="7" t="str">
        <f t="shared" si="1689"/>
        <v>10363000000</v>
      </c>
      <c r="B4692" s="7" t="str">
        <f t="shared" si="1690"/>
        <v>渋谷高等学校</v>
      </c>
      <c r="C4692" s="7" t="str">
        <f t="shared" si="1695"/>
        <v>行政財産</v>
      </c>
      <c r="D4692" s="7" t="str">
        <f t="shared" si="1686"/>
        <v>学校</v>
      </c>
      <c r="E4692" s="7" t="str">
        <f t="shared" si="1691"/>
        <v>大阪府池田市畑４丁目</v>
      </c>
      <c r="F4692" s="7"/>
      <c r="G4692" s="7" t="str">
        <f t="shared" si="1672"/>
        <v>事業用資産</v>
      </c>
      <c r="H4692" s="7" t="str">
        <f t="shared" si="1688"/>
        <v>棚卸以外</v>
      </c>
      <c r="I4692" s="7">
        <v>11</v>
      </c>
      <c r="J4692" s="7" t="str">
        <f>"渡り廊下"</f>
        <v>渡り廊下</v>
      </c>
      <c r="K4692" s="7" t="str">
        <f>"鉄筋コンクリート造"</f>
        <v>鉄筋コンクリート造</v>
      </c>
      <c r="L4692" s="7" t="str">
        <f>"S50.12.10"</f>
        <v>S50.12.10</v>
      </c>
      <c r="M4692" s="7">
        <v>341.73</v>
      </c>
      <c r="N4692" s="7">
        <v>28300000</v>
      </c>
      <c r="O4692" s="7">
        <v>25516416</v>
      </c>
      <c r="P4692" s="7">
        <v>0</v>
      </c>
      <c r="Q4692" s="7" t="str">
        <f t="shared" si="1673"/>
        <v>教育庁</v>
      </c>
      <c r="R4692" s="7" t="str">
        <f t="shared" si="1694"/>
        <v>渋谷高等学校</v>
      </c>
    </row>
    <row r="4693" spans="1:18" s="1" customFormat="1" x14ac:dyDescent="0.45">
      <c r="A4693" s="7" t="str">
        <f t="shared" si="1689"/>
        <v>10363000000</v>
      </c>
      <c r="B4693" s="7" t="str">
        <f t="shared" si="1690"/>
        <v>渋谷高等学校</v>
      </c>
      <c r="C4693" s="7" t="str">
        <f t="shared" si="1695"/>
        <v>行政財産</v>
      </c>
      <c r="D4693" s="7" t="str">
        <f t="shared" si="1686"/>
        <v>学校</v>
      </c>
      <c r="E4693" s="7" t="str">
        <f t="shared" si="1691"/>
        <v>大阪府池田市畑４丁目</v>
      </c>
      <c r="F4693" s="7"/>
      <c r="G4693" s="7" t="str">
        <f t="shared" si="1672"/>
        <v>事業用資産</v>
      </c>
      <c r="H4693" s="7" t="str">
        <f t="shared" si="1688"/>
        <v>棚卸以外</v>
      </c>
      <c r="I4693" s="7">
        <v>12</v>
      </c>
      <c r="J4693" s="7" t="str">
        <f>"倉庫（第２）"</f>
        <v>倉庫（第２）</v>
      </c>
      <c r="K4693" s="7" t="str">
        <f>"鉄骨造"</f>
        <v>鉄骨造</v>
      </c>
      <c r="L4693" s="7" t="str">
        <f>"S52.10.01"</f>
        <v>S52.10.01</v>
      </c>
      <c r="M4693" s="7">
        <v>50</v>
      </c>
      <c r="N4693" s="7">
        <v>3809000</v>
      </c>
      <c r="O4693" s="7">
        <v>3808999</v>
      </c>
      <c r="P4693" s="7">
        <v>0</v>
      </c>
      <c r="Q4693" s="7" t="str">
        <f t="shared" si="1673"/>
        <v>教育庁</v>
      </c>
      <c r="R4693" s="7" t="str">
        <f t="shared" si="1694"/>
        <v>渋谷高等学校</v>
      </c>
    </row>
    <row r="4694" spans="1:18" s="1" customFormat="1" x14ac:dyDescent="0.45">
      <c r="A4694" s="7" t="str">
        <f t="shared" si="1689"/>
        <v>10363000000</v>
      </c>
      <c r="B4694" s="7" t="str">
        <f t="shared" si="1690"/>
        <v>渋谷高等学校</v>
      </c>
      <c r="C4694" s="7" t="str">
        <f t="shared" si="1695"/>
        <v>行政財産</v>
      </c>
      <c r="D4694" s="7" t="str">
        <f t="shared" si="1686"/>
        <v>学校</v>
      </c>
      <c r="E4694" s="7" t="str">
        <f t="shared" si="1691"/>
        <v>大阪府池田市畑４丁目</v>
      </c>
      <c r="F4694" s="7"/>
      <c r="G4694" s="7" t="str">
        <f t="shared" si="1672"/>
        <v>事業用資産</v>
      </c>
      <c r="H4694" s="7" t="str">
        <f t="shared" si="1688"/>
        <v>棚卸以外</v>
      </c>
      <c r="I4694" s="7">
        <v>13</v>
      </c>
      <c r="J4694" s="7" t="str">
        <f>"倉庫（第３）"</f>
        <v>倉庫（第３）</v>
      </c>
      <c r="K4694" s="7" t="str">
        <f>"鉄骨造"</f>
        <v>鉄骨造</v>
      </c>
      <c r="L4694" s="7" t="str">
        <f>"S52.10.01"</f>
        <v>S52.10.01</v>
      </c>
      <c r="M4694" s="7">
        <v>240</v>
      </c>
      <c r="N4694" s="7">
        <v>8548000</v>
      </c>
      <c r="O4694" s="7">
        <v>8547999</v>
      </c>
      <c r="P4694" s="7">
        <v>0</v>
      </c>
      <c r="Q4694" s="7" t="str">
        <f t="shared" si="1673"/>
        <v>教育庁</v>
      </c>
      <c r="R4694" s="7" t="str">
        <f t="shared" si="1694"/>
        <v>渋谷高等学校</v>
      </c>
    </row>
    <row r="4695" spans="1:18" s="1" customFormat="1" x14ac:dyDescent="0.45">
      <c r="A4695" s="7" t="str">
        <f t="shared" ref="A4695:A4717" si="1696">"10365000000"</f>
        <v>10365000000</v>
      </c>
      <c r="B4695" s="7" t="str">
        <f t="shared" ref="B4695:B4717" si="1697">"豊中高等学校"</f>
        <v>豊中高等学校</v>
      </c>
      <c r="C4695" s="7" t="str">
        <f t="shared" si="1695"/>
        <v>行政財産</v>
      </c>
      <c r="D4695" s="7" t="str">
        <f t="shared" si="1686"/>
        <v>学校</v>
      </c>
      <c r="E4695" s="7" t="str">
        <f t="shared" ref="E4695:E4717" si="1698">"大阪府豊中市上野西２丁目"</f>
        <v>大阪府豊中市上野西２丁目</v>
      </c>
      <c r="F4695" s="7"/>
      <c r="G4695" s="7" t="str">
        <f t="shared" ref="G4695:G4758" si="1699">"事業用資産"</f>
        <v>事業用資産</v>
      </c>
      <c r="H4695" s="7" t="str">
        <f t="shared" si="1688"/>
        <v>棚卸以外</v>
      </c>
      <c r="I4695" s="7">
        <v>37</v>
      </c>
      <c r="J4695" s="7" t="str">
        <f>"４号館"</f>
        <v>４号館</v>
      </c>
      <c r="K4695" s="7" t="str">
        <f t="shared" ref="K4695:K4701" si="1700">"鉄筋コンクリート造"</f>
        <v>鉄筋コンクリート造</v>
      </c>
      <c r="L4695" s="7" t="str">
        <f>"S37.03.31"</f>
        <v>S37.03.31</v>
      </c>
      <c r="M4695" s="7">
        <v>1023.73</v>
      </c>
      <c r="N4695" s="7">
        <v>84996047</v>
      </c>
      <c r="O4695" s="7">
        <v>75452992</v>
      </c>
      <c r="P4695" s="7">
        <v>0</v>
      </c>
      <c r="Q4695" s="7" t="str">
        <f t="shared" si="1673"/>
        <v>教育庁</v>
      </c>
      <c r="R4695" s="7" t="str">
        <f t="shared" ref="R4695:R4726" si="1701">"豊中高等学校"</f>
        <v>豊中高等学校</v>
      </c>
    </row>
    <row r="4696" spans="1:18" s="1" customFormat="1" x14ac:dyDescent="0.45">
      <c r="A4696" s="7" t="str">
        <f t="shared" si="1696"/>
        <v>10365000000</v>
      </c>
      <c r="B4696" s="7" t="str">
        <f t="shared" si="1697"/>
        <v>豊中高等学校</v>
      </c>
      <c r="C4696" s="7" t="str">
        <f t="shared" si="1695"/>
        <v>行政財産</v>
      </c>
      <c r="D4696" s="7" t="str">
        <f t="shared" si="1686"/>
        <v>学校</v>
      </c>
      <c r="E4696" s="7" t="str">
        <f t="shared" si="1698"/>
        <v>大阪府豊中市上野西２丁目</v>
      </c>
      <c r="F4696" s="7"/>
      <c r="G4696" s="7" t="str">
        <f t="shared" si="1699"/>
        <v>事業用資産</v>
      </c>
      <c r="H4696" s="7" t="str">
        <f t="shared" si="1688"/>
        <v>棚卸以外</v>
      </c>
      <c r="I4696" s="7">
        <v>51</v>
      </c>
      <c r="J4696" s="7" t="str">
        <f>"１号館"</f>
        <v>１号館</v>
      </c>
      <c r="K4696" s="7" t="str">
        <f t="shared" si="1700"/>
        <v>鉄筋コンクリート造</v>
      </c>
      <c r="L4696" s="7" t="str">
        <f>"S45.03.15"</f>
        <v>S45.03.15</v>
      </c>
      <c r="M4696" s="7">
        <v>2961.59</v>
      </c>
      <c r="N4696" s="7">
        <v>187791310</v>
      </c>
      <c r="O4696" s="7">
        <v>134495545</v>
      </c>
      <c r="P4696" s="7">
        <v>0</v>
      </c>
      <c r="Q4696" s="7" t="str">
        <f t="shared" si="1673"/>
        <v>教育庁</v>
      </c>
      <c r="R4696" s="7" t="str">
        <f t="shared" si="1701"/>
        <v>豊中高等学校</v>
      </c>
    </row>
    <row r="4697" spans="1:18" s="1" customFormat="1" x14ac:dyDescent="0.45">
      <c r="A4697" s="7" t="str">
        <f t="shared" si="1696"/>
        <v>10365000000</v>
      </c>
      <c r="B4697" s="7" t="str">
        <f t="shared" si="1697"/>
        <v>豊中高等学校</v>
      </c>
      <c r="C4697" s="7" t="str">
        <f t="shared" si="1695"/>
        <v>行政財産</v>
      </c>
      <c r="D4697" s="7" t="str">
        <f t="shared" si="1686"/>
        <v>学校</v>
      </c>
      <c r="E4697" s="7" t="str">
        <f t="shared" si="1698"/>
        <v>大阪府豊中市上野西２丁目</v>
      </c>
      <c r="F4697" s="7"/>
      <c r="G4697" s="7" t="str">
        <f t="shared" si="1699"/>
        <v>事業用資産</v>
      </c>
      <c r="H4697" s="7" t="str">
        <f t="shared" si="1688"/>
        <v>棚卸以外</v>
      </c>
      <c r="I4697" s="7">
        <v>52</v>
      </c>
      <c r="J4697" s="7" t="str">
        <f>"２号館"</f>
        <v>２号館</v>
      </c>
      <c r="K4697" s="7" t="str">
        <f t="shared" si="1700"/>
        <v>鉄筋コンクリート造</v>
      </c>
      <c r="L4697" s="7" t="str">
        <f>"S45.03.15"</f>
        <v>S45.03.15</v>
      </c>
      <c r="M4697" s="7">
        <v>2595.4699999999998</v>
      </c>
      <c r="N4697" s="7">
        <v>232658281</v>
      </c>
      <c r="O4697" s="7">
        <v>134509351</v>
      </c>
      <c r="P4697" s="7">
        <v>0</v>
      </c>
      <c r="Q4697" s="7" t="str">
        <f t="shared" si="1673"/>
        <v>教育庁</v>
      </c>
      <c r="R4697" s="7" t="str">
        <f t="shared" si="1701"/>
        <v>豊中高等学校</v>
      </c>
    </row>
    <row r="4698" spans="1:18" s="1" customFormat="1" x14ac:dyDescent="0.45">
      <c r="A4698" s="7" t="str">
        <f t="shared" si="1696"/>
        <v>10365000000</v>
      </c>
      <c r="B4698" s="7" t="str">
        <f t="shared" si="1697"/>
        <v>豊中高等学校</v>
      </c>
      <c r="C4698" s="7" t="str">
        <f t="shared" si="1695"/>
        <v>行政財産</v>
      </c>
      <c r="D4698" s="7" t="str">
        <f t="shared" si="1686"/>
        <v>学校</v>
      </c>
      <c r="E4698" s="7" t="str">
        <f t="shared" si="1698"/>
        <v>大阪府豊中市上野西２丁目</v>
      </c>
      <c r="F4698" s="7"/>
      <c r="G4698" s="7" t="str">
        <f t="shared" si="1699"/>
        <v>事業用資産</v>
      </c>
      <c r="H4698" s="7" t="str">
        <f t="shared" si="1688"/>
        <v>棚卸以外</v>
      </c>
      <c r="I4698" s="7">
        <v>53</v>
      </c>
      <c r="J4698" s="7" t="str">
        <f>"１．２号館東渡り廊下"</f>
        <v>１．２号館東渡り廊下</v>
      </c>
      <c r="K4698" s="7" t="str">
        <f t="shared" si="1700"/>
        <v>鉄筋コンクリート造</v>
      </c>
      <c r="L4698" s="7" t="str">
        <f>"S45.03.15"</f>
        <v>S45.03.15</v>
      </c>
      <c r="M4698" s="7">
        <v>53.06</v>
      </c>
      <c r="N4698" s="7">
        <v>11444122</v>
      </c>
      <c r="O4698" s="7">
        <v>6636701</v>
      </c>
      <c r="P4698" s="7">
        <v>0</v>
      </c>
      <c r="Q4698" s="7" t="str">
        <f t="shared" si="1673"/>
        <v>教育庁</v>
      </c>
      <c r="R4698" s="7" t="str">
        <f t="shared" si="1701"/>
        <v>豊中高等学校</v>
      </c>
    </row>
    <row r="4699" spans="1:18" s="1" customFormat="1" x14ac:dyDescent="0.45">
      <c r="A4699" s="7" t="str">
        <f t="shared" si="1696"/>
        <v>10365000000</v>
      </c>
      <c r="B4699" s="7" t="str">
        <f t="shared" si="1697"/>
        <v>豊中高等学校</v>
      </c>
      <c r="C4699" s="7" t="str">
        <f t="shared" si="1695"/>
        <v>行政財産</v>
      </c>
      <c r="D4699" s="7" t="str">
        <f t="shared" si="1686"/>
        <v>学校</v>
      </c>
      <c r="E4699" s="7" t="str">
        <f t="shared" si="1698"/>
        <v>大阪府豊中市上野西２丁目</v>
      </c>
      <c r="F4699" s="7"/>
      <c r="G4699" s="7" t="str">
        <f t="shared" si="1699"/>
        <v>事業用資産</v>
      </c>
      <c r="H4699" s="7" t="str">
        <f t="shared" si="1688"/>
        <v>棚卸以外</v>
      </c>
      <c r="I4699" s="7">
        <v>54</v>
      </c>
      <c r="J4699" s="7" t="str">
        <f>"１．２号館西渡り廊下"</f>
        <v>１．２号館西渡り廊下</v>
      </c>
      <c r="K4699" s="7" t="str">
        <f t="shared" si="1700"/>
        <v>鉄筋コンクリート造</v>
      </c>
      <c r="L4699" s="7" t="str">
        <f>"S45.03.15"</f>
        <v>S45.03.15</v>
      </c>
      <c r="M4699" s="7">
        <v>52.97</v>
      </c>
      <c r="N4699" s="7">
        <v>11195464</v>
      </c>
      <c r="O4699" s="7">
        <v>6398810</v>
      </c>
      <c r="P4699" s="7">
        <v>0</v>
      </c>
      <c r="Q4699" s="7" t="str">
        <f t="shared" ref="Q4699:Q4762" si="1702">"教育庁"</f>
        <v>教育庁</v>
      </c>
      <c r="R4699" s="7" t="str">
        <f t="shared" si="1701"/>
        <v>豊中高等学校</v>
      </c>
    </row>
    <row r="4700" spans="1:18" s="1" customFormat="1" x14ac:dyDescent="0.45">
      <c r="A4700" s="7" t="str">
        <f t="shared" si="1696"/>
        <v>10365000000</v>
      </c>
      <c r="B4700" s="7" t="str">
        <f t="shared" si="1697"/>
        <v>豊中高等学校</v>
      </c>
      <c r="C4700" s="7" t="str">
        <f t="shared" si="1695"/>
        <v>行政財産</v>
      </c>
      <c r="D4700" s="7" t="str">
        <f t="shared" si="1686"/>
        <v>学校</v>
      </c>
      <c r="E4700" s="7" t="str">
        <f t="shared" si="1698"/>
        <v>大阪府豊中市上野西２丁目</v>
      </c>
      <c r="F4700" s="7"/>
      <c r="G4700" s="7" t="str">
        <f t="shared" si="1699"/>
        <v>事業用資産</v>
      </c>
      <c r="H4700" s="7" t="str">
        <f t="shared" si="1688"/>
        <v>棚卸以外</v>
      </c>
      <c r="I4700" s="7">
        <v>60</v>
      </c>
      <c r="J4700" s="7" t="str">
        <f>"２号館２"</f>
        <v>２号館２</v>
      </c>
      <c r="K4700" s="7" t="str">
        <f t="shared" si="1700"/>
        <v>鉄筋コンクリート造</v>
      </c>
      <c r="L4700" s="7" t="str">
        <f>"S46.02.28"</f>
        <v>S46.02.28</v>
      </c>
      <c r="M4700" s="7">
        <v>678.32</v>
      </c>
      <c r="N4700" s="7">
        <v>38875727</v>
      </c>
      <c r="O4700" s="7">
        <v>28738670</v>
      </c>
      <c r="P4700" s="7">
        <v>0</v>
      </c>
      <c r="Q4700" s="7" t="str">
        <f t="shared" si="1702"/>
        <v>教育庁</v>
      </c>
      <c r="R4700" s="7" t="str">
        <f t="shared" si="1701"/>
        <v>豊中高等学校</v>
      </c>
    </row>
    <row r="4701" spans="1:18" s="1" customFormat="1" x14ac:dyDescent="0.45">
      <c r="A4701" s="7" t="str">
        <f t="shared" si="1696"/>
        <v>10365000000</v>
      </c>
      <c r="B4701" s="7" t="str">
        <f t="shared" si="1697"/>
        <v>豊中高等学校</v>
      </c>
      <c r="C4701" s="7" t="str">
        <f t="shared" si="1695"/>
        <v>行政財産</v>
      </c>
      <c r="D4701" s="7" t="str">
        <f t="shared" si="1686"/>
        <v>学校</v>
      </c>
      <c r="E4701" s="7" t="str">
        <f t="shared" si="1698"/>
        <v>大阪府豊中市上野西２丁目</v>
      </c>
      <c r="F4701" s="7"/>
      <c r="G4701" s="7" t="str">
        <f t="shared" si="1699"/>
        <v>事業用資産</v>
      </c>
      <c r="H4701" s="7" t="str">
        <f t="shared" si="1688"/>
        <v>棚卸以外</v>
      </c>
      <c r="I4701" s="7">
        <v>61</v>
      </c>
      <c r="J4701" s="7" t="str">
        <f>"３号館"</f>
        <v>３号館</v>
      </c>
      <c r="K4701" s="7" t="str">
        <f t="shared" si="1700"/>
        <v>鉄筋コンクリート造</v>
      </c>
      <c r="L4701" s="7" t="str">
        <f>"S46.02.28"</f>
        <v>S46.02.28</v>
      </c>
      <c r="M4701" s="7">
        <v>2013.36</v>
      </c>
      <c r="N4701" s="7">
        <v>152379422</v>
      </c>
      <c r="O4701" s="7">
        <v>118586864</v>
      </c>
      <c r="P4701" s="7">
        <v>0</v>
      </c>
      <c r="Q4701" s="7" t="str">
        <f t="shared" si="1702"/>
        <v>教育庁</v>
      </c>
      <c r="R4701" s="7" t="str">
        <f t="shared" si="1701"/>
        <v>豊中高等学校</v>
      </c>
    </row>
    <row r="4702" spans="1:18" s="1" customFormat="1" x14ac:dyDescent="0.45">
      <c r="A4702" s="7" t="str">
        <f t="shared" si="1696"/>
        <v>10365000000</v>
      </c>
      <c r="B4702" s="7" t="str">
        <f t="shared" si="1697"/>
        <v>豊中高等学校</v>
      </c>
      <c r="C4702" s="7" t="str">
        <f t="shared" si="1695"/>
        <v>行政財産</v>
      </c>
      <c r="D4702" s="7" t="str">
        <f t="shared" si="1686"/>
        <v>学校</v>
      </c>
      <c r="E4702" s="7" t="str">
        <f t="shared" si="1698"/>
        <v>大阪府豊中市上野西２丁目</v>
      </c>
      <c r="F4702" s="7"/>
      <c r="G4702" s="7" t="str">
        <f t="shared" si="1699"/>
        <v>事業用資産</v>
      </c>
      <c r="H4702" s="7" t="str">
        <f t="shared" si="1688"/>
        <v>棚卸以外</v>
      </c>
      <c r="I4702" s="7">
        <v>62</v>
      </c>
      <c r="J4702" s="7" t="str">
        <f>"２．３号館渡り廊下"</f>
        <v>２．３号館渡り廊下</v>
      </c>
      <c r="K4702" s="7" t="str">
        <f>"鉄骨造"</f>
        <v>鉄骨造</v>
      </c>
      <c r="L4702" s="7" t="str">
        <f>"S46.02.28"</f>
        <v>S46.02.28</v>
      </c>
      <c r="M4702" s="7">
        <v>184.91</v>
      </c>
      <c r="N4702" s="7">
        <v>19957000</v>
      </c>
      <c r="O4702" s="7">
        <v>17212467</v>
      </c>
      <c r="P4702" s="7">
        <v>0</v>
      </c>
      <c r="Q4702" s="7" t="str">
        <f t="shared" si="1702"/>
        <v>教育庁</v>
      </c>
      <c r="R4702" s="7" t="str">
        <f t="shared" si="1701"/>
        <v>豊中高等学校</v>
      </c>
    </row>
    <row r="4703" spans="1:18" s="1" customFormat="1" x14ac:dyDescent="0.45">
      <c r="A4703" s="7" t="str">
        <f t="shared" si="1696"/>
        <v>10365000000</v>
      </c>
      <c r="B4703" s="7" t="str">
        <f t="shared" si="1697"/>
        <v>豊中高等学校</v>
      </c>
      <c r="C4703" s="7" t="str">
        <f t="shared" si="1695"/>
        <v>行政財産</v>
      </c>
      <c r="D4703" s="7" t="str">
        <f t="shared" si="1686"/>
        <v>学校</v>
      </c>
      <c r="E4703" s="7" t="str">
        <f t="shared" si="1698"/>
        <v>大阪府豊中市上野西２丁目</v>
      </c>
      <c r="F4703" s="7"/>
      <c r="G4703" s="7" t="str">
        <f t="shared" si="1699"/>
        <v>事業用資産</v>
      </c>
      <c r="H4703" s="7" t="str">
        <f t="shared" si="1688"/>
        <v>棚卸以外</v>
      </c>
      <c r="I4703" s="7">
        <v>63</v>
      </c>
      <c r="J4703" s="7" t="str">
        <f>"食堂棟"</f>
        <v>食堂棟</v>
      </c>
      <c r="K4703" s="7" t="str">
        <f t="shared" ref="K4703:K4708" si="1703">"鉄筋コンクリート造"</f>
        <v>鉄筋コンクリート造</v>
      </c>
      <c r="L4703" s="7" t="str">
        <f>"S46.02.28"</f>
        <v>S46.02.28</v>
      </c>
      <c r="M4703" s="7">
        <v>384</v>
      </c>
      <c r="N4703" s="7">
        <v>48765204</v>
      </c>
      <c r="O4703" s="7">
        <v>27759115</v>
      </c>
      <c r="P4703" s="7">
        <v>0</v>
      </c>
      <c r="Q4703" s="7" t="str">
        <f t="shared" si="1702"/>
        <v>教育庁</v>
      </c>
      <c r="R4703" s="7" t="str">
        <f t="shared" si="1701"/>
        <v>豊中高等学校</v>
      </c>
    </row>
    <row r="4704" spans="1:18" s="1" customFormat="1" x14ac:dyDescent="0.45">
      <c r="A4704" s="7" t="str">
        <f t="shared" si="1696"/>
        <v>10365000000</v>
      </c>
      <c r="B4704" s="7" t="str">
        <f t="shared" si="1697"/>
        <v>豊中高等学校</v>
      </c>
      <c r="C4704" s="7" t="str">
        <f t="shared" si="1695"/>
        <v>行政財産</v>
      </c>
      <c r="D4704" s="7" t="str">
        <f t="shared" si="1686"/>
        <v>学校</v>
      </c>
      <c r="E4704" s="7" t="str">
        <f t="shared" si="1698"/>
        <v>大阪府豊中市上野西２丁目</v>
      </c>
      <c r="F4704" s="7"/>
      <c r="G4704" s="7" t="str">
        <f t="shared" si="1699"/>
        <v>事業用資産</v>
      </c>
      <c r="H4704" s="7" t="str">
        <f t="shared" si="1688"/>
        <v>棚卸以外</v>
      </c>
      <c r="I4704" s="7">
        <v>64</v>
      </c>
      <c r="J4704" s="7" t="str">
        <f>"体育館"</f>
        <v>体育館</v>
      </c>
      <c r="K4704" s="7" t="str">
        <f t="shared" si="1703"/>
        <v>鉄筋コンクリート造</v>
      </c>
      <c r="L4704" s="7" t="str">
        <f>"S47.03.28"</f>
        <v>S47.03.28</v>
      </c>
      <c r="M4704" s="7">
        <v>2179.6799999999998</v>
      </c>
      <c r="N4704" s="7">
        <v>225536021</v>
      </c>
      <c r="O4704" s="7">
        <v>144727028</v>
      </c>
      <c r="P4704" s="7">
        <v>0</v>
      </c>
      <c r="Q4704" s="7" t="str">
        <f t="shared" si="1702"/>
        <v>教育庁</v>
      </c>
      <c r="R4704" s="7" t="str">
        <f t="shared" si="1701"/>
        <v>豊中高等学校</v>
      </c>
    </row>
    <row r="4705" spans="1:18" s="1" customFormat="1" x14ac:dyDescent="0.45">
      <c r="A4705" s="7" t="str">
        <f t="shared" si="1696"/>
        <v>10365000000</v>
      </c>
      <c r="B4705" s="7" t="str">
        <f t="shared" si="1697"/>
        <v>豊中高等学校</v>
      </c>
      <c r="C4705" s="7" t="str">
        <f t="shared" si="1695"/>
        <v>行政財産</v>
      </c>
      <c r="D4705" s="7" t="str">
        <f t="shared" si="1686"/>
        <v>学校</v>
      </c>
      <c r="E4705" s="7" t="str">
        <f t="shared" si="1698"/>
        <v>大阪府豊中市上野西２丁目</v>
      </c>
      <c r="F4705" s="7"/>
      <c r="G4705" s="7" t="str">
        <f t="shared" si="1699"/>
        <v>事業用資産</v>
      </c>
      <c r="H4705" s="7" t="str">
        <f t="shared" si="1688"/>
        <v>棚卸以外</v>
      </c>
      <c r="I4705" s="7">
        <v>65</v>
      </c>
      <c r="J4705" s="7" t="str">
        <f>"プール倉庫機械室"</f>
        <v>プール倉庫機械室</v>
      </c>
      <c r="K4705" s="7" t="str">
        <f t="shared" si="1703"/>
        <v>鉄筋コンクリート造</v>
      </c>
      <c r="L4705" s="7" t="str">
        <f>"S47.03.28"</f>
        <v>S47.03.28</v>
      </c>
      <c r="M4705" s="7">
        <v>46</v>
      </c>
      <c r="N4705" s="7">
        <v>2565928</v>
      </c>
      <c r="O4705" s="7">
        <v>2565927</v>
      </c>
      <c r="P4705" s="7">
        <v>0</v>
      </c>
      <c r="Q4705" s="7" t="str">
        <f t="shared" si="1702"/>
        <v>教育庁</v>
      </c>
      <c r="R4705" s="7" t="str">
        <f t="shared" si="1701"/>
        <v>豊中高等学校</v>
      </c>
    </row>
    <row r="4706" spans="1:18" s="1" customFormat="1" x14ac:dyDescent="0.45">
      <c r="A4706" s="7" t="str">
        <f t="shared" si="1696"/>
        <v>10365000000</v>
      </c>
      <c r="B4706" s="7" t="str">
        <f t="shared" si="1697"/>
        <v>豊中高等学校</v>
      </c>
      <c r="C4706" s="7" t="str">
        <f t="shared" si="1695"/>
        <v>行政財産</v>
      </c>
      <c r="D4706" s="7" t="str">
        <f t="shared" si="1686"/>
        <v>学校</v>
      </c>
      <c r="E4706" s="7" t="str">
        <f t="shared" si="1698"/>
        <v>大阪府豊中市上野西２丁目</v>
      </c>
      <c r="F4706" s="7"/>
      <c r="G4706" s="7" t="str">
        <f t="shared" si="1699"/>
        <v>事業用資産</v>
      </c>
      <c r="H4706" s="7" t="str">
        <f t="shared" si="1688"/>
        <v>棚卸以外</v>
      </c>
      <c r="I4706" s="7">
        <v>66</v>
      </c>
      <c r="J4706" s="7" t="str">
        <f>"プール部室棟"</f>
        <v>プール部室棟</v>
      </c>
      <c r="K4706" s="7" t="str">
        <f t="shared" si="1703"/>
        <v>鉄筋コンクリート造</v>
      </c>
      <c r="L4706" s="7" t="str">
        <f>"S47.03.28"</f>
        <v>S47.03.28</v>
      </c>
      <c r="M4706" s="7">
        <v>73.540000000000006</v>
      </c>
      <c r="N4706" s="7">
        <v>3628044</v>
      </c>
      <c r="O4706" s="7">
        <v>3628043</v>
      </c>
      <c r="P4706" s="7">
        <v>0</v>
      </c>
      <c r="Q4706" s="7" t="str">
        <f t="shared" si="1702"/>
        <v>教育庁</v>
      </c>
      <c r="R4706" s="7" t="str">
        <f t="shared" si="1701"/>
        <v>豊中高等学校</v>
      </c>
    </row>
    <row r="4707" spans="1:18" s="1" customFormat="1" x14ac:dyDescent="0.45">
      <c r="A4707" s="7" t="str">
        <f t="shared" si="1696"/>
        <v>10365000000</v>
      </c>
      <c r="B4707" s="7" t="str">
        <f t="shared" si="1697"/>
        <v>豊中高等学校</v>
      </c>
      <c r="C4707" s="7" t="str">
        <f t="shared" si="1695"/>
        <v>行政財産</v>
      </c>
      <c r="D4707" s="7" t="str">
        <f t="shared" si="1686"/>
        <v>学校</v>
      </c>
      <c r="E4707" s="7" t="str">
        <f t="shared" si="1698"/>
        <v>大阪府豊中市上野西２丁目</v>
      </c>
      <c r="F4707" s="7"/>
      <c r="G4707" s="7" t="str">
        <f t="shared" si="1699"/>
        <v>事業用資産</v>
      </c>
      <c r="H4707" s="7" t="str">
        <f t="shared" si="1688"/>
        <v>棚卸以外</v>
      </c>
      <c r="I4707" s="7">
        <v>67</v>
      </c>
      <c r="J4707" s="7" t="str">
        <f>"プール更衣室棟"</f>
        <v>プール更衣室棟</v>
      </c>
      <c r="K4707" s="7" t="str">
        <f t="shared" si="1703"/>
        <v>鉄筋コンクリート造</v>
      </c>
      <c r="L4707" s="7" t="str">
        <f>"S47.03.28"</f>
        <v>S47.03.28</v>
      </c>
      <c r="M4707" s="7">
        <v>60.75</v>
      </c>
      <c r="N4707" s="7">
        <v>2997060</v>
      </c>
      <c r="O4707" s="7">
        <v>2997059</v>
      </c>
      <c r="P4707" s="7">
        <v>0</v>
      </c>
      <c r="Q4707" s="7" t="str">
        <f t="shared" si="1702"/>
        <v>教育庁</v>
      </c>
      <c r="R4707" s="7" t="str">
        <f t="shared" si="1701"/>
        <v>豊中高等学校</v>
      </c>
    </row>
    <row r="4708" spans="1:18" s="1" customFormat="1" x14ac:dyDescent="0.45">
      <c r="A4708" s="7" t="str">
        <f t="shared" si="1696"/>
        <v>10365000000</v>
      </c>
      <c r="B4708" s="7" t="str">
        <f t="shared" si="1697"/>
        <v>豊中高等学校</v>
      </c>
      <c r="C4708" s="7" t="str">
        <f t="shared" si="1695"/>
        <v>行政財産</v>
      </c>
      <c r="D4708" s="7" t="str">
        <f t="shared" si="1686"/>
        <v>学校</v>
      </c>
      <c r="E4708" s="7" t="str">
        <f t="shared" si="1698"/>
        <v>大阪府豊中市上野西２丁目</v>
      </c>
      <c r="F4708" s="7"/>
      <c r="G4708" s="7" t="str">
        <f t="shared" si="1699"/>
        <v>事業用資産</v>
      </c>
      <c r="H4708" s="7" t="str">
        <f t="shared" si="1688"/>
        <v>棚卸以外</v>
      </c>
      <c r="I4708" s="7">
        <v>68</v>
      </c>
      <c r="J4708" s="7" t="str">
        <f>"管理棟"</f>
        <v>管理棟</v>
      </c>
      <c r="K4708" s="7" t="str">
        <f t="shared" si="1703"/>
        <v>鉄筋コンクリート造</v>
      </c>
      <c r="L4708" s="7" t="str">
        <f>"S48.03.28"</f>
        <v>S48.03.28</v>
      </c>
      <c r="M4708" s="7">
        <v>1471.24</v>
      </c>
      <c r="N4708" s="7">
        <v>127283585</v>
      </c>
      <c r="O4708" s="7">
        <v>98384374</v>
      </c>
      <c r="P4708" s="7">
        <v>0</v>
      </c>
      <c r="Q4708" s="7" t="str">
        <f t="shared" si="1702"/>
        <v>教育庁</v>
      </c>
      <c r="R4708" s="7" t="str">
        <f t="shared" si="1701"/>
        <v>豊中高等学校</v>
      </c>
    </row>
    <row r="4709" spans="1:18" s="1" customFormat="1" x14ac:dyDescent="0.45">
      <c r="A4709" s="7" t="str">
        <f t="shared" si="1696"/>
        <v>10365000000</v>
      </c>
      <c r="B4709" s="7" t="str">
        <f t="shared" si="1697"/>
        <v>豊中高等学校</v>
      </c>
      <c r="C4709" s="7" t="str">
        <f t="shared" si="1695"/>
        <v>行政財産</v>
      </c>
      <c r="D4709" s="7" t="str">
        <f t="shared" si="1686"/>
        <v>学校</v>
      </c>
      <c r="E4709" s="7" t="str">
        <f t="shared" si="1698"/>
        <v>大阪府豊中市上野西２丁目</v>
      </c>
      <c r="F4709" s="7"/>
      <c r="G4709" s="7" t="str">
        <f t="shared" si="1699"/>
        <v>事業用資産</v>
      </c>
      <c r="H4709" s="7" t="str">
        <f t="shared" si="1688"/>
        <v>棚卸以外</v>
      </c>
      <c r="I4709" s="7">
        <v>69</v>
      </c>
      <c r="J4709" s="7" t="str">
        <f>"渡り廊下棟"</f>
        <v>渡り廊下棟</v>
      </c>
      <c r="K4709" s="7" t="str">
        <f>"鉄骨造"</f>
        <v>鉄骨造</v>
      </c>
      <c r="L4709" s="7" t="str">
        <f>"S48.03.28"</f>
        <v>S48.03.28</v>
      </c>
      <c r="M4709" s="7">
        <v>187.4</v>
      </c>
      <c r="N4709" s="7">
        <v>11352000</v>
      </c>
      <c r="O4709" s="7">
        <v>11351999</v>
      </c>
      <c r="P4709" s="7">
        <v>0</v>
      </c>
      <c r="Q4709" s="7" t="str">
        <f t="shared" si="1702"/>
        <v>教育庁</v>
      </c>
      <c r="R4709" s="7" t="str">
        <f t="shared" si="1701"/>
        <v>豊中高等学校</v>
      </c>
    </row>
    <row r="4710" spans="1:18" s="1" customFormat="1" x14ac:dyDescent="0.45">
      <c r="A4710" s="7" t="str">
        <f t="shared" si="1696"/>
        <v>10365000000</v>
      </c>
      <c r="B4710" s="7" t="str">
        <f t="shared" si="1697"/>
        <v>豊中高等学校</v>
      </c>
      <c r="C4710" s="7" t="str">
        <f t="shared" si="1695"/>
        <v>行政財産</v>
      </c>
      <c r="D4710" s="7" t="str">
        <f t="shared" si="1686"/>
        <v>学校</v>
      </c>
      <c r="E4710" s="7" t="str">
        <f t="shared" si="1698"/>
        <v>大阪府豊中市上野西２丁目</v>
      </c>
      <c r="F4710" s="7"/>
      <c r="G4710" s="7" t="str">
        <f t="shared" si="1699"/>
        <v>事業用資産</v>
      </c>
      <c r="H4710" s="7" t="str">
        <f t="shared" si="1688"/>
        <v>棚卸以外</v>
      </c>
      <c r="I4710" s="7">
        <v>71</v>
      </c>
      <c r="J4710" s="7" t="str">
        <f>"倉庫棟"</f>
        <v>倉庫棟</v>
      </c>
      <c r="K4710" s="7" t="str">
        <f>"鉄骨造"</f>
        <v>鉄骨造</v>
      </c>
      <c r="L4710" s="7" t="str">
        <f>"S48.03.28"</f>
        <v>S48.03.28</v>
      </c>
      <c r="M4710" s="7">
        <v>120</v>
      </c>
      <c r="N4710" s="7">
        <v>4664000</v>
      </c>
      <c r="O4710" s="7">
        <v>4663999</v>
      </c>
      <c r="P4710" s="7">
        <v>0</v>
      </c>
      <c r="Q4710" s="7" t="str">
        <f t="shared" si="1702"/>
        <v>教育庁</v>
      </c>
      <c r="R4710" s="7" t="str">
        <f t="shared" si="1701"/>
        <v>豊中高等学校</v>
      </c>
    </row>
    <row r="4711" spans="1:18" s="1" customFormat="1" x14ac:dyDescent="0.45">
      <c r="A4711" s="7" t="str">
        <f t="shared" si="1696"/>
        <v>10365000000</v>
      </c>
      <c r="B4711" s="7" t="str">
        <f t="shared" si="1697"/>
        <v>豊中高等学校</v>
      </c>
      <c r="C4711" s="7" t="str">
        <f t="shared" si="1695"/>
        <v>行政財産</v>
      </c>
      <c r="D4711" s="7" t="str">
        <f t="shared" si="1686"/>
        <v>学校</v>
      </c>
      <c r="E4711" s="7" t="str">
        <f t="shared" si="1698"/>
        <v>大阪府豊中市上野西２丁目</v>
      </c>
      <c r="F4711" s="7"/>
      <c r="G4711" s="7" t="str">
        <f t="shared" si="1699"/>
        <v>事業用資産</v>
      </c>
      <c r="H4711" s="7" t="str">
        <f t="shared" si="1688"/>
        <v>棚卸以外</v>
      </c>
      <c r="I4711" s="7">
        <v>72</v>
      </c>
      <c r="J4711" s="7" t="str">
        <f>"豊陵会館"</f>
        <v>豊陵会館</v>
      </c>
      <c r="K4711" s="7" t="str">
        <f>"鉄筋コンクリート造"</f>
        <v>鉄筋コンクリート造</v>
      </c>
      <c r="L4711" s="7" t="str">
        <f>"S48.05.08"</f>
        <v>S48.05.08</v>
      </c>
      <c r="M4711" s="7">
        <v>160.84</v>
      </c>
      <c r="N4711" s="7">
        <v>15196400</v>
      </c>
      <c r="O4711" s="7">
        <v>14914206</v>
      </c>
      <c r="P4711" s="7">
        <v>0</v>
      </c>
      <c r="Q4711" s="7" t="str">
        <f t="shared" si="1702"/>
        <v>教育庁</v>
      </c>
      <c r="R4711" s="7" t="str">
        <f t="shared" si="1701"/>
        <v>豊中高等学校</v>
      </c>
    </row>
    <row r="4712" spans="1:18" s="1" customFormat="1" x14ac:dyDescent="0.45">
      <c r="A4712" s="7" t="str">
        <f t="shared" si="1696"/>
        <v>10365000000</v>
      </c>
      <c r="B4712" s="7" t="str">
        <f t="shared" si="1697"/>
        <v>豊中高等学校</v>
      </c>
      <c r="C4712" s="7" t="str">
        <f t="shared" si="1695"/>
        <v>行政財産</v>
      </c>
      <c r="D4712" s="7" t="str">
        <f t="shared" si="1686"/>
        <v>学校</v>
      </c>
      <c r="E4712" s="7" t="str">
        <f t="shared" si="1698"/>
        <v>大阪府豊中市上野西２丁目</v>
      </c>
      <c r="F4712" s="7"/>
      <c r="G4712" s="7" t="str">
        <f t="shared" si="1699"/>
        <v>事業用資産</v>
      </c>
      <c r="H4712" s="7" t="str">
        <f t="shared" si="1688"/>
        <v>棚卸以外</v>
      </c>
      <c r="I4712" s="7">
        <v>73</v>
      </c>
      <c r="J4712" s="7" t="str">
        <f>"設備棟"</f>
        <v>設備棟</v>
      </c>
      <c r="K4712" s="7" t="str">
        <f>"鉄筋コンクリート造"</f>
        <v>鉄筋コンクリート造</v>
      </c>
      <c r="L4712" s="7" t="str">
        <f>"S55.07.25"</f>
        <v>S55.07.25</v>
      </c>
      <c r="M4712" s="7">
        <v>71.400000000000006</v>
      </c>
      <c r="N4712" s="7">
        <v>35021924</v>
      </c>
      <c r="O4712" s="7">
        <v>34612427</v>
      </c>
      <c r="P4712" s="7">
        <v>0</v>
      </c>
      <c r="Q4712" s="7" t="str">
        <f t="shared" si="1702"/>
        <v>教育庁</v>
      </c>
      <c r="R4712" s="7" t="str">
        <f t="shared" si="1701"/>
        <v>豊中高等学校</v>
      </c>
    </row>
    <row r="4713" spans="1:18" s="1" customFormat="1" x14ac:dyDescent="0.45">
      <c r="A4713" s="7" t="str">
        <f t="shared" si="1696"/>
        <v>10365000000</v>
      </c>
      <c r="B4713" s="7" t="str">
        <f t="shared" si="1697"/>
        <v>豊中高等学校</v>
      </c>
      <c r="C4713" s="7" t="str">
        <f t="shared" si="1695"/>
        <v>行政財産</v>
      </c>
      <c r="D4713" s="7" t="str">
        <f t="shared" si="1686"/>
        <v>学校</v>
      </c>
      <c r="E4713" s="7" t="str">
        <f t="shared" si="1698"/>
        <v>大阪府豊中市上野西２丁目</v>
      </c>
      <c r="F4713" s="7"/>
      <c r="G4713" s="7" t="str">
        <f t="shared" si="1699"/>
        <v>事業用資産</v>
      </c>
      <c r="H4713" s="7" t="str">
        <f t="shared" si="1688"/>
        <v>棚卸以外</v>
      </c>
      <c r="I4713" s="7">
        <v>74</v>
      </c>
      <c r="J4713" s="7" t="str">
        <f>"５号館"</f>
        <v>５号館</v>
      </c>
      <c r="K4713" s="7" t="str">
        <f>"鉄筋コンクリート造"</f>
        <v>鉄筋コンクリート造</v>
      </c>
      <c r="L4713" s="7" t="str">
        <f>"S56.03.30"</f>
        <v>S56.03.30</v>
      </c>
      <c r="M4713" s="7">
        <v>465.13</v>
      </c>
      <c r="N4713" s="7">
        <v>106663317</v>
      </c>
      <c r="O4713" s="7">
        <v>87263641</v>
      </c>
      <c r="P4713" s="7">
        <v>0</v>
      </c>
      <c r="Q4713" s="7" t="str">
        <f t="shared" si="1702"/>
        <v>教育庁</v>
      </c>
      <c r="R4713" s="7" t="str">
        <f t="shared" si="1701"/>
        <v>豊中高等学校</v>
      </c>
    </row>
    <row r="4714" spans="1:18" s="1" customFormat="1" x14ac:dyDescent="0.45">
      <c r="A4714" s="7" t="str">
        <f t="shared" si="1696"/>
        <v>10365000000</v>
      </c>
      <c r="B4714" s="7" t="str">
        <f t="shared" si="1697"/>
        <v>豊中高等学校</v>
      </c>
      <c r="C4714" s="7" t="str">
        <f t="shared" si="1695"/>
        <v>行政財産</v>
      </c>
      <c r="D4714" s="7" t="str">
        <f t="shared" si="1686"/>
        <v>学校</v>
      </c>
      <c r="E4714" s="7" t="str">
        <f t="shared" si="1698"/>
        <v>大阪府豊中市上野西２丁目</v>
      </c>
      <c r="F4714" s="7"/>
      <c r="G4714" s="7" t="str">
        <f t="shared" si="1699"/>
        <v>事業用資産</v>
      </c>
      <c r="H4714" s="7" t="str">
        <f t="shared" si="1688"/>
        <v>棚卸以外</v>
      </c>
      <c r="I4714" s="7">
        <v>75</v>
      </c>
      <c r="J4714" s="7" t="str">
        <f>"６号館"</f>
        <v>６号館</v>
      </c>
      <c r="K4714" s="7" t="str">
        <f>"鉄筋コンクリート造"</f>
        <v>鉄筋コンクリート造</v>
      </c>
      <c r="L4714" s="7" t="str">
        <f>"S60.05.07"</f>
        <v>S60.05.07</v>
      </c>
      <c r="M4714" s="7">
        <v>579.15</v>
      </c>
      <c r="N4714" s="7">
        <v>123198320</v>
      </c>
      <c r="O4714" s="7">
        <v>95427530</v>
      </c>
      <c r="P4714" s="7">
        <v>0</v>
      </c>
      <c r="Q4714" s="7" t="str">
        <f t="shared" si="1702"/>
        <v>教育庁</v>
      </c>
      <c r="R4714" s="7" t="str">
        <f t="shared" si="1701"/>
        <v>豊中高等学校</v>
      </c>
    </row>
    <row r="4715" spans="1:18" s="1" customFormat="1" x14ac:dyDescent="0.45">
      <c r="A4715" s="7" t="str">
        <f t="shared" si="1696"/>
        <v>10365000000</v>
      </c>
      <c r="B4715" s="7" t="str">
        <f t="shared" si="1697"/>
        <v>豊中高等学校</v>
      </c>
      <c r="C4715" s="7" t="str">
        <f t="shared" si="1695"/>
        <v>行政財産</v>
      </c>
      <c r="D4715" s="7" t="str">
        <f t="shared" si="1686"/>
        <v>学校</v>
      </c>
      <c r="E4715" s="7" t="str">
        <f t="shared" si="1698"/>
        <v>大阪府豊中市上野西２丁目</v>
      </c>
      <c r="F4715" s="7"/>
      <c r="G4715" s="7" t="str">
        <f t="shared" si="1699"/>
        <v>事業用資産</v>
      </c>
      <c r="H4715" s="7" t="str">
        <f t="shared" si="1688"/>
        <v>棚卸以外</v>
      </c>
      <c r="I4715" s="7">
        <v>76</v>
      </c>
      <c r="J4715" s="7" t="str">
        <f>"倉庫"</f>
        <v>倉庫</v>
      </c>
      <c r="K4715" s="7" t="str">
        <f>"軽量鉄骨造"</f>
        <v>軽量鉄骨造</v>
      </c>
      <c r="L4715" s="7" t="str">
        <f>"S60.05.07"</f>
        <v>S60.05.07</v>
      </c>
      <c r="M4715" s="7">
        <v>21.96</v>
      </c>
      <c r="N4715" s="7">
        <v>4955000</v>
      </c>
      <c r="O4715" s="7">
        <v>4954999</v>
      </c>
      <c r="P4715" s="7">
        <v>0</v>
      </c>
      <c r="Q4715" s="7" t="str">
        <f t="shared" si="1702"/>
        <v>教育庁</v>
      </c>
      <c r="R4715" s="7" t="str">
        <f t="shared" si="1701"/>
        <v>豊中高等学校</v>
      </c>
    </row>
    <row r="4716" spans="1:18" s="1" customFormat="1" x14ac:dyDescent="0.45">
      <c r="A4716" s="7" t="str">
        <f t="shared" si="1696"/>
        <v>10365000000</v>
      </c>
      <c r="B4716" s="7" t="str">
        <f t="shared" si="1697"/>
        <v>豊中高等学校</v>
      </c>
      <c r="C4716" s="7" t="str">
        <f t="shared" si="1695"/>
        <v>行政財産</v>
      </c>
      <c r="D4716" s="7" t="str">
        <f t="shared" si="1686"/>
        <v>学校</v>
      </c>
      <c r="E4716" s="7" t="str">
        <f t="shared" si="1698"/>
        <v>大阪府豊中市上野西２丁目</v>
      </c>
      <c r="F4716" s="7"/>
      <c r="G4716" s="7" t="str">
        <f t="shared" si="1699"/>
        <v>事業用資産</v>
      </c>
      <c r="H4716" s="7" t="str">
        <f t="shared" si="1688"/>
        <v>棚卸以外</v>
      </c>
      <c r="I4716" s="7">
        <v>77</v>
      </c>
      <c r="J4716" s="7" t="str">
        <f>"特別教室・倉庫"</f>
        <v>特別教室・倉庫</v>
      </c>
      <c r="K4716" s="7" t="str">
        <f>"鉄筋コンクリート造"</f>
        <v>鉄筋コンクリート造</v>
      </c>
      <c r="L4716" s="7" t="str">
        <f>"S61.03.28"</f>
        <v>S61.03.28</v>
      </c>
      <c r="M4716" s="7">
        <v>146.1</v>
      </c>
      <c r="N4716" s="7">
        <v>24480215</v>
      </c>
      <c r="O4716" s="7">
        <v>18411438</v>
      </c>
      <c r="P4716" s="7">
        <v>0</v>
      </c>
      <c r="Q4716" s="7" t="str">
        <f t="shared" si="1702"/>
        <v>教育庁</v>
      </c>
      <c r="R4716" s="7" t="str">
        <f t="shared" si="1701"/>
        <v>豊中高等学校</v>
      </c>
    </row>
    <row r="4717" spans="1:18" s="1" customFormat="1" x14ac:dyDescent="0.45">
      <c r="A4717" s="7" t="str">
        <f t="shared" si="1696"/>
        <v>10365000000</v>
      </c>
      <c r="B4717" s="7" t="str">
        <f t="shared" si="1697"/>
        <v>豊中高等学校</v>
      </c>
      <c r="C4717" s="7" t="str">
        <f t="shared" si="1695"/>
        <v>行政財産</v>
      </c>
      <c r="D4717" s="7" t="str">
        <f t="shared" si="1686"/>
        <v>学校</v>
      </c>
      <c r="E4717" s="7" t="str">
        <f t="shared" si="1698"/>
        <v>大阪府豊中市上野西２丁目</v>
      </c>
      <c r="F4717" s="7"/>
      <c r="G4717" s="7" t="str">
        <f t="shared" si="1699"/>
        <v>事業用資産</v>
      </c>
      <c r="H4717" s="7" t="str">
        <f t="shared" si="1688"/>
        <v>棚卸以外</v>
      </c>
      <c r="I4717" s="7">
        <v>78</v>
      </c>
      <c r="J4717" s="7" t="str">
        <f>"クラブ室・生物飼育室"</f>
        <v>クラブ室・生物飼育室</v>
      </c>
      <c r="K4717" s="7" t="str">
        <f>"コンクリートブロック造"</f>
        <v>コンクリートブロック造</v>
      </c>
      <c r="L4717" s="7" t="str">
        <f>"S61.03.28"</f>
        <v>S61.03.28</v>
      </c>
      <c r="M4717" s="7">
        <v>164.37</v>
      </c>
      <c r="N4717" s="7">
        <v>15667000</v>
      </c>
      <c r="O4717" s="7">
        <v>15254952</v>
      </c>
      <c r="P4717" s="7">
        <v>0</v>
      </c>
      <c r="Q4717" s="7" t="str">
        <f t="shared" si="1702"/>
        <v>教育庁</v>
      </c>
      <c r="R4717" s="7" t="str">
        <f t="shared" si="1701"/>
        <v>豊中高等学校</v>
      </c>
    </row>
    <row r="4718" spans="1:18" s="1" customFormat="1" x14ac:dyDescent="0.45">
      <c r="A4718" s="7" t="str">
        <f t="shared" ref="A4718:A4749" si="1704">"10371000000"</f>
        <v>10371000000</v>
      </c>
      <c r="B4718" s="7" t="str">
        <f t="shared" ref="B4718:B4749" si="1705">"豊中高等学校能勢分校"</f>
        <v>豊中高等学校能勢分校</v>
      </c>
      <c r="C4718" s="7" t="str">
        <f t="shared" si="1695"/>
        <v>行政財産</v>
      </c>
      <c r="D4718" s="7" t="str">
        <f t="shared" si="1686"/>
        <v>学校</v>
      </c>
      <c r="E4718" s="7" t="str">
        <f t="shared" ref="E4718:E4749" si="1706">"大阪府豊能郡　能勢町上田尻"</f>
        <v>大阪府豊能郡　能勢町上田尻</v>
      </c>
      <c r="F4718" s="7"/>
      <c r="G4718" s="7" t="str">
        <f t="shared" si="1699"/>
        <v>事業用資産</v>
      </c>
      <c r="H4718" s="7" t="str">
        <f t="shared" si="1688"/>
        <v>棚卸以外</v>
      </c>
      <c r="I4718" s="7">
        <v>30</v>
      </c>
      <c r="J4718" s="7" t="str">
        <f>"渡り廊下"</f>
        <v>渡り廊下</v>
      </c>
      <c r="K4718" s="7" t="str">
        <f>"鉄骨造"</f>
        <v>鉄骨造</v>
      </c>
      <c r="L4718" s="7" t="str">
        <f>"S32.03.28"</f>
        <v>S32.03.28</v>
      </c>
      <c r="M4718" s="7">
        <v>62.26</v>
      </c>
      <c r="N4718" s="7">
        <v>4622227</v>
      </c>
      <c r="O4718" s="7">
        <v>2366929</v>
      </c>
      <c r="P4718" s="7">
        <v>0</v>
      </c>
      <c r="Q4718" s="7" t="str">
        <f t="shared" si="1702"/>
        <v>教育庁</v>
      </c>
      <c r="R4718" s="7" t="str">
        <f t="shared" si="1701"/>
        <v>豊中高等学校</v>
      </c>
    </row>
    <row r="4719" spans="1:18" s="1" customFormat="1" x14ac:dyDescent="0.45">
      <c r="A4719" s="7" t="str">
        <f t="shared" si="1704"/>
        <v>10371000000</v>
      </c>
      <c r="B4719" s="7" t="str">
        <f t="shared" si="1705"/>
        <v>豊中高等学校能勢分校</v>
      </c>
      <c r="C4719" s="7" t="str">
        <f t="shared" si="1695"/>
        <v>行政財産</v>
      </c>
      <c r="D4719" s="7" t="str">
        <f t="shared" si="1686"/>
        <v>学校</v>
      </c>
      <c r="E4719" s="7" t="str">
        <f t="shared" si="1706"/>
        <v>大阪府豊能郡　能勢町上田尻</v>
      </c>
      <c r="F4719" s="7"/>
      <c r="G4719" s="7" t="str">
        <f t="shared" si="1699"/>
        <v>事業用資産</v>
      </c>
      <c r="H4719" s="7" t="str">
        <f t="shared" si="1688"/>
        <v>棚卸以外</v>
      </c>
      <c r="I4719" s="7">
        <v>34</v>
      </c>
      <c r="J4719" s="7" t="str">
        <f>"北館"</f>
        <v>北館</v>
      </c>
      <c r="K4719" s="7" t="str">
        <f>"鉄筋コンクリート造"</f>
        <v>鉄筋コンクリート造</v>
      </c>
      <c r="L4719" s="7" t="str">
        <f>"S37.03.31"</f>
        <v>S37.03.31</v>
      </c>
      <c r="M4719" s="7">
        <v>552.47</v>
      </c>
      <c r="N4719" s="7">
        <v>29075167</v>
      </c>
      <c r="O4719" s="7">
        <v>21230908</v>
      </c>
      <c r="P4719" s="7">
        <v>0</v>
      </c>
      <c r="Q4719" s="7" t="str">
        <f t="shared" si="1702"/>
        <v>教育庁</v>
      </c>
      <c r="R4719" s="7" t="str">
        <f t="shared" si="1701"/>
        <v>豊中高等学校</v>
      </c>
    </row>
    <row r="4720" spans="1:18" s="1" customFormat="1" x14ac:dyDescent="0.45">
      <c r="A4720" s="7" t="str">
        <f t="shared" si="1704"/>
        <v>10371000000</v>
      </c>
      <c r="B4720" s="7" t="str">
        <f t="shared" si="1705"/>
        <v>豊中高等学校能勢分校</v>
      </c>
      <c r="C4720" s="7" t="str">
        <f t="shared" si="1695"/>
        <v>行政財産</v>
      </c>
      <c r="D4720" s="7" t="str">
        <f t="shared" si="1686"/>
        <v>学校</v>
      </c>
      <c r="E4720" s="7" t="str">
        <f t="shared" si="1706"/>
        <v>大阪府豊能郡　能勢町上田尻</v>
      </c>
      <c r="F4720" s="7"/>
      <c r="G4720" s="7" t="str">
        <f t="shared" si="1699"/>
        <v>事業用資産</v>
      </c>
      <c r="H4720" s="7" t="str">
        <f t="shared" si="1688"/>
        <v>棚卸以外</v>
      </c>
      <c r="I4720" s="7">
        <v>37</v>
      </c>
      <c r="J4720" s="7" t="str">
        <f>"実習室"</f>
        <v>実習室</v>
      </c>
      <c r="K4720" s="7" t="str">
        <f>"鉄骨造"</f>
        <v>鉄骨造</v>
      </c>
      <c r="L4720" s="7" t="str">
        <f>"S38.03.31"</f>
        <v>S38.03.31</v>
      </c>
      <c r="M4720" s="7">
        <v>313.25</v>
      </c>
      <c r="N4720" s="7">
        <v>3627600</v>
      </c>
      <c r="O4720" s="7">
        <v>3627599</v>
      </c>
      <c r="P4720" s="7">
        <v>0</v>
      </c>
      <c r="Q4720" s="7" t="str">
        <f t="shared" si="1702"/>
        <v>教育庁</v>
      </c>
      <c r="R4720" s="7" t="str">
        <f t="shared" si="1701"/>
        <v>豊中高等学校</v>
      </c>
    </row>
    <row r="4721" spans="1:18" s="1" customFormat="1" x14ac:dyDescent="0.45">
      <c r="A4721" s="7" t="str">
        <f t="shared" si="1704"/>
        <v>10371000000</v>
      </c>
      <c r="B4721" s="7" t="str">
        <f t="shared" si="1705"/>
        <v>豊中高等学校能勢分校</v>
      </c>
      <c r="C4721" s="7" t="str">
        <f t="shared" si="1695"/>
        <v>行政財産</v>
      </c>
      <c r="D4721" s="7" t="str">
        <f t="shared" si="1686"/>
        <v>学校</v>
      </c>
      <c r="E4721" s="7" t="str">
        <f t="shared" si="1706"/>
        <v>大阪府豊能郡　能勢町上田尻</v>
      </c>
      <c r="F4721" s="7"/>
      <c r="G4721" s="7" t="str">
        <f t="shared" si="1699"/>
        <v>事業用資産</v>
      </c>
      <c r="H4721" s="7" t="str">
        <f t="shared" si="1688"/>
        <v>棚卸以外</v>
      </c>
      <c r="I4721" s="7">
        <v>41</v>
      </c>
      <c r="J4721" s="7" t="str">
        <f>"プール更衣室"</f>
        <v>プール更衣室</v>
      </c>
      <c r="K4721" s="7" t="str">
        <f>"鉄筋コンクリート造"</f>
        <v>鉄筋コンクリート造</v>
      </c>
      <c r="L4721" s="7" t="str">
        <f>"S40.09.30"</f>
        <v>S40.09.30</v>
      </c>
      <c r="M4721" s="7">
        <v>54.6</v>
      </c>
      <c r="N4721" s="7">
        <v>2149562</v>
      </c>
      <c r="O4721" s="7">
        <v>1177090</v>
      </c>
      <c r="P4721" s="7">
        <v>0</v>
      </c>
      <c r="Q4721" s="7" t="str">
        <f t="shared" si="1702"/>
        <v>教育庁</v>
      </c>
      <c r="R4721" s="7" t="str">
        <f t="shared" si="1701"/>
        <v>豊中高等学校</v>
      </c>
    </row>
    <row r="4722" spans="1:18" s="1" customFormat="1" x14ac:dyDescent="0.45">
      <c r="A4722" s="7" t="str">
        <f t="shared" si="1704"/>
        <v>10371000000</v>
      </c>
      <c r="B4722" s="7" t="str">
        <f t="shared" si="1705"/>
        <v>豊中高等学校能勢分校</v>
      </c>
      <c r="C4722" s="7" t="str">
        <f t="shared" si="1695"/>
        <v>行政財産</v>
      </c>
      <c r="D4722" s="7" t="str">
        <f t="shared" si="1686"/>
        <v>学校</v>
      </c>
      <c r="E4722" s="7" t="str">
        <f t="shared" si="1706"/>
        <v>大阪府豊能郡　能勢町上田尻</v>
      </c>
      <c r="F4722" s="7"/>
      <c r="G4722" s="7" t="str">
        <f t="shared" si="1699"/>
        <v>事業用資産</v>
      </c>
      <c r="H4722" s="7" t="str">
        <f t="shared" si="1688"/>
        <v>棚卸以外</v>
      </c>
      <c r="I4722" s="7">
        <v>42</v>
      </c>
      <c r="J4722" s="7" t="str">
        <f>"プ－ル機械室"</f>
        <v>プ－ル機械室</v>
      </c>
      <c r="K4722" s="7" t="str">
        <f>"鉄骨造"</f>
        <v>鉄骨造</v>
      </c>
      <c r="L4722" s="7" t="str">
        <f>"S40.09.30"</f>
        <v>S40.09.30</v>
      </c>
      <c r="M4722" s="7">
        <v>25</v>
      </c>
      <c r="N4722" s="7">
        <v>701450</v>
      </c>
      <c r="O4722" s="7">
        <v>701449</v>
      </c>
      <c r="P4722" s="7">
        <v>0</v>
      </c>
      <c r="Q4722" s="7" t="str">
        <f t="shared" si="1702"/>
        <v>教育庁</v>
      </c>
      <c r="R4722" s="7" t="str">
        <f t="shared" si="1701"/>
        <v>豊中高等学校</v>
      </c>
    </row>
    <row r="4723" spans="1:18" s="1" customFormat="1" x14ac:dyDescent="0.45">
      <c r="A4723" s="7" t="str">
        <f t="shared" si="1704"/>
        <v>10371000000</v>
      </c>
      <c r="B4723" s="7" t="str">
        <f t="shared" si="1705"/>
        <v>豊中高等学校能勢分校</v>
      </c>
      <c r="C4723" s="7" t="str">
        <f t="shared" si="1695"/>
        <v>行政財産</v>
      </c>
      <c r="D4723" s="7" t="str">
        <f t="shared" si="1686"/>
        <v>学校</v>
      </c>
      <c r="E4723" s="7" t="str">
        <f t="shared" si="1706"/>
        <v>大阪府豊能郡　能勢町上田尻</v>
      </c>
      <c r="F4723" s="7"/>
      <c r="G4723" s="7" t="str">
        <f t="shared" si="1699"/>
        <v>事業用資産</v>
      </c>
      <c r="H4723" s="7" t="str">
        <f t="shared" si="1688"/>
        <v>棚卸以外</v>
      </c>
      <c r="I4723" s="7">
        <v>43</v>
      </c>
      <c r="J4723" s="7" t="str">
        <f>"北館１"</f>
        <v>北館１</v>
      </c>
      <c r="K4723" s="7" t="str">
        <f>"鉄筋コンクリート造"</f>
        <v>鉄筋コンクリート造</v>
      </c>
      <c r="L4723" s="7" t="str">
        <f>"S43.12.15"</f>
        <v>S43.12.15</v>
      </c>
      <c r="M4723" s="7">
        <v>1167.6600000000001</v>
      </c>
      <c r="N4723" s="7">
        <v>113699660</v>
      </c>
      <c r="O4723" s="7">
        <v>54070922</v>
      </c>
      <c r="P4723" s="7">
        <v>0</v>
      </c>
      <c r="Q4723" s="7" t="str">
        <f t="shared" si="1702"/>
        <v>教育庁</v>
      </c>
      <c r="R4723" s="7" t="str">
        <f t="shared" si="1701"/>
        <v>豊中高等学校</v>
      </c>
    </row>
    <row r="4724" spans="1:18" s="1" customFormat="1" x14ac:dyDescent="0.45">
      <c r="A4724" s="7" t="str">
        <f t="shared" si="1704"/>
        <v>10371000000</v>
      </c>
      <c r="B4724" s="7" t="str">
        <f t="shared" si="1705"/>
        <v>豊中高等学校能勢分校</v>
      </c>
      <c r="C4724" s="7" t="str">
        <f t="shared" si="1695"/>
        <v>行政財産</v>
      </c>
      <c r="D4724" s="7" t="str">
        <f t="shared" si="1686"/>
        <v>学校</v>
      </c>
      <c r="E4724" s="7" t="str">
        <f t="shared" si="1706"/>
        <v>大阪府豊能郡　能勢町上田尻</v>
      </c>
      <c r="F4724" s="7"/>
      <c r="G4724" s="7" t="str">
        <f t="shared" si="1699"/>
        <v>事業用資産</v>
      </c>
      <c r="H4724" s="7" t="str">
        <f t="shared" si="1688"/>
        <v>棚卸以外</v>
      </c>
      <c r="I4724" s="7">
        <v>46</v>
      </c>
      <c r="J4724" s="7" t="str">
        <f>"北館２"</f>
        <v>北館２</v>
      </c>
      <c r="K4724" s="7" t="str">
        <f>"鉄筋コンクリート造"</f>
        <v>鉄筋コンクリート造</v>
      </c>
      <c r="L4724" s="7" t="str">
        <f>"S43.12.15"</f>
        <v>S43.12.15</v>
      </c>
      <c r="M4724" s="7">
        <v>644.17999999999995</v>
      </c>
      <c r="N4724" s="7">
        <v>62428020</v>
      </c>
      <c r="O4724" s="7">
        <v>36581573</v>
      </c>
      <c r="P4724" s="7">
        <v>0</v>
      </c>
      <c r="Q4724" s="7" t="str">
        <f t="shared" si="1702"/>
        <v>教育庁</v>
      </c>
      <c r="R4724" s="7" t="str">
        <f t="shared" si="1701"/>
        <v>豊中高等学校</v>
      </c>
    </row>
    <row r="4725" spans="1:18" s="1" customFormat="1" x14ac:dyDescent="0.45">
      <c r="A4725" s="7" t="str">
        <f t="shared" si="1704"/>
        <v>10371000000</v>
      </c>
      <c r="B4725" s="7" t="str">
        <f t="shared" si="1705"/>
        <v>豊中高等学校能勢分校</v>
      </c>
      <c r="C4725" s="7" t="str">
        <f t="shared" si="1695"/>
        <v>行政財産</v>
      </c>
      <c r="D4725" s="7" t="str">
        <f t="shared" si="1686"/>
        <v>学校</v>
      </c>
      <c r="E4725" s="7" t="str">
        <f t="shared" si="1706"/>
        <v>大阪府豊能郡　能勢町上田尻</v>
      </c>
      <c r="F4725" s="7"/>
      <c r="G4725" s="7" t="str">
        <f t="shared" si="1699"/>
        <v>事業用資産</v>
      </c>
      <c r="H4725" s="7" t="str">
        <f t="shared" si="1688"/>
        <v>棚卸以外</v>
      </c>
      <c r="I4725" s="7">
        <v>49</v>
      </c>
      <c r="J4725" s="7" t="str">
        <f>"便所"</f>
        <v>便所</v>
      </c>
      <c r="K4725" s="7" t="str">
        <f>"鉄骨造"</f>
        <v>鉄骨造</v>
      </c>
      <c r="L4725" s="7" t="str">
        <f>"S44.12.31"</f>
        <v>S44.12.31</v>
      </c>
      <c r="M4725" s="7">
        <v>19.440000000000001</v>
      </c>
      <c r="N4725" s="7">
        <v>1129000</v>
      </c>
      <c r="O4725" s="7">
        <v>1128999</v>
      </c>
      <c r="P4725" s="7">
        <v>0</v>
      </c>
      <c r="Q4725" s="7" t="str">
        <f t="shared" si="1702"/>
        <v>教育庁</v>
      </c>
      <c r="R4725" s="7" t="str">
        <f t="shared" si="1701"/>
        <v>豊中高等学校</v>
      </c>
    </row>
    <row r="4726" spans="1:18" s="1" customFormat="1" x14ac:dyDescent="0.45">
      <c r="A4726" s="7" t="str">
        <f t="shared" si="1704"/>
        <v>10371000000</v>
      </c>
      <c r="B4726" s="7" t="str">
        <f t="shared" si="1705"/>
        <v>豊中高等学校能勢分校</v>
      </c>
      <c r="C4726" s="7" t="str">
        <f t="shared" si="1695"/>
        <v>行政財産</v>
      </c>
      <c r="D4726" s="7" t="str">
        <f t="shared" si="1686"/>
        <v>学校</v>
      </c>
      <c r="E4726" s="7" t="str">
        <f t="shared" si="1706"/>
        <v>大阪府豊能郡　能勢町上田尻</v>
      </c>
      <c r="F4726" s="7"/>
      <c r="G4726" s="7" t="str">
        <f t="shared" si="1699"/>
        <v>事業用資産</v>
      </c>
      <c r="H4726" s="7" t="str">
        <f t="shared" si="1688"/>
        <v>棚卸以外</v>
      </c>
      <c r="I4726" s="7">
        <v>50</v>
      </c>
      <c r="J4726" s="7" t="str">
        <f>"本館"</f>
        <v>本館</v>
      </c>
      <c r="K4726" s="7" t="str">
        <f>"鉄筋コンクリート造"</f>
        <v>鉄筋コンクリート造</v>
      </c>
      <c r="L4726" s="7" t="str">
        <f>"S44.12.31"</f>
        <v>S44.12.31</v>
      </c>
      <c r="M4726" s="7">
        <v>2709.13</v>
      </c>
      <c r="N4726" s="7">
        <v>218342945</v>
      </c>
      <c r="O4726" s="7">
        <v>147071528</v>
      </c>
      <c r="P4726" s="7">
        <v>0</v>
      </c>
      <c r="Q4726" s="7" t="str">
        <f t="shared" si="1702"/>
        <v>教育庁</v>
      </c>
      <c r="R4726" s="7" t="str">
        <f t="shared" si="1701"/>
        <v>豊中高等学校</v>
      </c>
    </row>
    <row r="4727" spans="1:18" s="1" customFormat="1" x14ac:dyDescent="0.45">
      <c r="A4727" s="7" t="str">
        <f t="shared" si="1704"/>
        <v>10371000000</v>
      </c>
      <c r="B4727" s="7" t="str">
        <f t="shared" si="1705"/>
        <v>豊中高等学校能勢分校</v>
      </c>
      <c r="C4727" s="7" t="str">
        <f t="shared" si="1695"/>
        <v>行政財産</v>
      </c>
      <c r="D4727" s="7" t="str">
        <f t="shared" si="1686"/>
        <v>学校</v>
      </c>
      <c r="E4727" s="7" t="str">
        <f t="shared" si="1706"/>
        <v>大阪府豊能郡　能勢町上田尻</v>
      </c>
      <c r="F4727" s="7"/>
      <c r="G4727" s="7" t="str">
        <f t="shared" si="1699"/>
        <v>事業用資産</v>
      </c>
      <c r="H4727" s="7" t="str">
        <f t="shared" si="1688"/>
        <v>棚卸以外</v>
      </c>
      <c r="I4727" s="7">
        <v>51</v>
      </c>
      <c r="J4727" s="7" t="str">
        <f>"渡り廊下"</f>
        <v>渡り廊下</v>
      </c>
      <c r="K4727" s="7" t="str">
        <f>"鉄筋コンクリート造"</f>
        <v>鉄筋コンクリート造</v>
      </c>
      <c r="L4727" s="7" t="str">
        <f>"S44.12.31"</f>
        <v>S44.12.31</v>
      </c>
      <c r="M4727" s="7">
        <v>148.80000000000001</v>
      </c>
      <c r="N4727" s="7">
        <v>5680250</v>
      </c>
      <c r="O4727" s="7">
        <v>5563231</v>
      </c>
      <c r="P4727" s="7">
        <v>0</v>
      </c>
      <c r="Q4727" s="7" t="str">
        <f t="shared" si="1702"/>
        <v>教育庁</v>
      </c>
      <c r="R4727" s="7" t="str">
        <f t="shared" ref="R4727:R4749" si="1707">"豊中高等学校"</f>
        <v>豊中高等学校</v>
      </c>
    </row>
    <row r="4728" spans="1:18" s="1" customFormat="1" x14ac:dyDescent="0.45">
      <c r="A4728" s="7" t="str">
        <f t="shared" si="1704"/>
        <v>10371000000</v>
      </c>
      <c r="B4728" s="7" t="str">
        <f t="shared" si="1705"/>
        <v>豊中高等学校能勢分校</v>
      </c>
      <c r="C4728" s="7" t="str">
        <f t="shared" si="1695"/>
        <v>行政財産</v>
      </c>
      <c r="D4728" s="7" t="str">
        <f t="shared" si="1686"/>
        <v>学校</v>
      </c>
      <c r="E4728" s="7" t="str">
        <f t="shared" si="1706"/>
        <v>大阪府豊能郡　能勢町上田尻</v>
      </c>
      <c r="F4728" s="7"/>
      <c r="G4728" s="7" t="str">
        <f t="shared" si="1699"/>
        <v>事業用資産</v>
      </c>
      <c r="H4728" s="7" t="str">
        <f t="shared" si="1688"/>
        <v>棚卸以外</v>
      </c>
      <c r="I4728" s="7">
        <v>52</v>
      </c>
      <c r="J4728" s="7" t="str">
        <f>"ガスボンベ庫"</f>
        <v>ガスボンベ庫</v>
      </c>
      <c r="K4728" s="7" t="str">
        <f>"コンクリートブロック造"</f>
        <v>コンクリートブロック造</v>
      </c>
      <c r="L4728" s="7" t="str">
        <f>"S44.12.31"</f>
        <v>S44.12.31</v>
      </c>
      <c r="M4728" s="7">
        <v>17.07</v>
      </c>
      <c r="N4728" s="7">
        <v>579000</v>
      </c>
      <c r="O4728" s="7">
        <v>578999</v>
      </c>
      <c r="P4728" s="7">
        <v>0</v>
      </c>
      <c r="Q4728" s="7" t="str">
        <f t="shared" si="1702"/>
        <v>教育庁</v>
      </c>
      <c r="R4728" s="7" t="str">
        <f t="shared" si="1707"/>
        <v>豊中高等学校</v>
      </c>
    </row>
    <row r="4729" spans="1:18" s="1" customFormat="1" x14ac:dyDescent="0.45">
      <c r="A4729" s="7" t="str">
        <f t="shared" si="1704"/>
        <v>10371000000</v>
      </c>
      <c r="B4729" s="7" t="str">
        <f t="shared" si="1705"/>
        <v>豊中高等学校能勢分校</v>
      </c>
      <c r="C4729" s="7" t="str">
        <f t="shared" si="1695"/>
        <v>行政財産</v>
      </c>
      <c r="D4729" s="7" t="str">
        <f t="shared" ref="D4729:D4792" si="1708">"学校"</f>
        <v>学校</v>
      </c>
      <c r="E4729" s="7" t="str">
        <f t="shared" si="1706"/>
        <v>大阪府豊能郡　能勢町上田尻</v>
      </c>
      <c r="F4729" s="7"/>
      <c r="G4729" s="7" t="str">
        <f t="shared" si="1699"/>
        <v>事業用資産</v>
      </c>
      <c r="H4729" s="7" t="str">
        <f t="shared" si="1688"/>
        <v>棚卸以外</v>
      </c>
      <c r="I4729" s="7">
        <v>55</v>
      </c>
      <c r="J4729" s="7" t="str">
        <f>"部室"</f>
        <v>部室</v>
      </c>
      <c r="K4729" s="7" t="str">
        <f>"鉄骨造"</f>
        <v>鉄骨造</v>
      </c>
      <c r="L4729" s="7" t="str">
        <f>"S46.03.28"</f>
        <v>S46.03.28</v>
      </c>
      <c r="M4729" s="7">
        <v>50</v>
      </c>
      <c r="N4729" s="7">
        <v>949866</v>
      </c>
      <c r="O4729" s="7">
        <v>949865</v>
      </c>
      <c r="P4729" s="7">
        <v>0</v>
      </c>
      <c r="Q4729" s="7" t="str">
        <f t="shared" si="1702"/>
        <v>教育庁</v>
      </c>
      <c r="R4729" s="7" t="str">
        <f t="shared" si="1707"/>
        <v>豊中高等学校</v>
      </c>
    </row>
    <row r="4730" spans="1:18" s="1" customFormat="1" x14ac:dyDescent="0.45">
      <c r="A4730" s="7" t="str">
        <f t="shared" si="1704"/>
        <v>10371000000</v>
      </c>
      <c r="B4730" s="7" t="str">
        <f t="shared" si="1705"/>
        <v>豊中高等学校能勢分校</v>
      </c>
      <c r="C4730" s="7" t="str">
        <f t="shared" si="1695"/>
        <v>行政財産</v>
      </c>
      <c r="D4730" s="7" t="str">
        <f t="shared" si="1708"/>
        <v>学校</v>
      </c>
      <c r="E4730" s="7" t="str">
        <f t="shared" si="1706"/>
        <v>大阪府豊能郡　能勢町上田尻</v>
      </c>
      <c r="F4730" s="7"/>
      <c r="G4730" s="7" t="str">
        <f t="shared" si="1699"/>
        <v>事業用資産</v>
      </c>
      <c r="H4730" s="7" t="str">
        <f t="shared" si="1688"/>
        <v>棚卸以外</v>
      </c>
      <c r="I4730" s="7">
        <v>56</v>
      </c>
      <c r="J4730" s="7" t="str">
        <f>"渡り廊下"</f>
        <v>渡り廊下</v>
      </c>
      <c r="K4730" s="7" t="str">
        <f>"鉄筋コンクリート造"</f>
        <v>鉄筋コンクリート造</v>
      </c>
      <c r="L4730" s="7" t="str">
        <f>"S46.03.28"</f>
        <v>S46.03.28</v>
      </c>
      <c r="M4730" s="7">
        <v>156.05000000000001</v>
      </c>
      <c r="N4730" s="7">
        <v>7631968</v>
      </c>
      <c r="O4730" s="7">
        <v>7585160</v>
      </c>
      <c r="P4730" s="7">
        <v>0</v>
      </c>
      <c r="Q4730" s="7" t="str">
        <f t="shared" si="1702"/>
        <v>教育庁</v>
      </c>
      <c r="R4730" s="7" t="str">
        <f t="shared" si="1707"/>
        <v>豊中高等学校</v>
      </c>
    </row>
    <row r="4731" spans="1:18" s="1" customFormat="1" x14ac:dyDescent="0.45">
      <c r="A4731" s="7" t="str">
        <f t="shared" si="1704"/>
        <v>10371000000</v>
      </c>
      <c r="B4731" s="7" t="str">
        <f t="shared" si="1705"/>
        <v>豊中高等学校能勢分校</v>
      </c>
      <c r="C4731" s="7" t="str">
        <f t="shared" si="1695"/>
        <v>行政財産</v>
      </c>
      <c r="D4731" s="7" t="str">
        <f t="shared" si="1708"/>
        <v>学校</v>
      </c>
      <c r="E4731" s="7" t="str">
        <f t="shared" si="1706"/>
        <v>大阪府豊能郡　能勢町上田尻</v>
      </c>
      <c r="F4731" s="7"/>
      <c r="G4731" s="7" t="str">
        <f t="shared" si="1699"/>
        <v>事業用資産</v>
      </c>
      <c r="H4731" s="7" t="str">
        <f t="shared" si="1688"/>
        <v>棚卸以外</v>
      </c>
      <c r="I4731" s="7">
        <v>57</v>
      </c>
      <c r="J4731" s="7" t="str">
        <f>"渡り廊下"</f>
        <v>渡り廊下</v>
      </c>
      <c r="K4731" s="7" t="str">
        <f t="shared" ref="K4731:K4736" si="1709">"鉄骨造"</f>
        <v>鉄骨造</v>
      </c>
      <c r="L4731" s="7" t="str">
        <f>"S46.04.03"</f>
        <v>S46.04.03</v>
      </c>
      <c r="M4731" s="7">
        <v>16.899999999999999</v>
      </c>
      <c r="N4731" s="7">
        <v>225000</v>
      </c>
      <c r="O4731" s="7">
        <v>224999</v>
      </c>
      <c r="P4731" s="7">
        <v>0</v>
      </c>
      <c r="Q4731" s="7" t="str">
        <f t="shared" si="1702"/>
        <v>教育庁</v>
      </c>
      <c r="R4731" s="7" t="str">
        <f t="shared" si="1707"/>
        <v>豊中高等学校</v>
      </c>
    </row>
    <row r="4732" spans="1:18" s="1" customFormat="1" x14ac:dyDescent="0.45">
      <c r="A4732" s="7" t="str">
        <f t="shared" si="1704"/>
        <v>10371000000</v>
      </c>
      <c r="B4732" s="7" t="str">
        <f t="shared" si="1705"/>
        <v>豊中高等学校能勢分校</v>
      </c>
      <c r="C4732" s="7" t="str">
        <f t="shared" si="1695"/>
        <v>行政財産</v>
      </c>
      <c r="D4732" s="7" t="str">
        <f t="shared" si="1708"/>
        <v>学校</v>
      </c>
      <c r="E4732" s="7" t="str">
        <f t="shared" si="1706"/>
        <v>大阪府豊能郡　能勢町上田尻</v>
      </c>
      <c r="F4732" s="7"/>
      <c r="G4732" s="7" t="str">
        <f t="shared" si="1699"/>
        <v>事業用資産</v>
      </c>
      <c r="H4732" s="7" t="str">
        <f t="shared" si="1688"/>
        <v>棚卸以外</v>
      </c>
      <c r="I4732" s="7">
        <v>59</v>
      </c>
      <c r="J4732" s="7" t="str">
        <f>"草花温室"</f>
        <v>草花温室</v>
      </c>
      <c r="K4732" s="7" t="str">
        <f t="shared" si="1709"/>
        <v>鉄骨造</v>
      </c>
      <c r="L4732" s="7" t="str">
        <f>"S47.03.31"</f>
        <v>S47.03.31</v>
      </c>
      <c r="M4732" s="7">
        <v>135</v>
      </c>
      <c r="N4732" s="7">
        <v>7183607</v>
      </c>
      <c r="O4732" s="7">
        <v>7183606</v>
      </c>
      <c r="P4732" s="7">
        <v>0</v>
      </c>
      <c r="Q4732" s="7" t="str">
        <f t="shared" si="1702"/>
        <v>教育庁</v>
      </c>
      <c r="R4732" s="7" t="str">
        <f t="shared" si="1707"/>
        <v>豊中高等学校</v>
      </c>
    </row>
    <row r="4733" spans="1:18" s="1" customFormat="1" x14ac:dyDescent="0.45">
      <c r="A4733" s="7" t="str">
        <f t="shared" si="1704"/>
        <v>10371000000</v>
      </c>
      <c r="B4733" s="7" t="str">
        <f t="shared" si="1705"/>
        <v>豊中高等学校能勢分校</v>
      </c>
      <c r="C4733" s="7" t="str">
        <f t="shared" si="1695"/>
        <v>行政財産</v>
      </c>
      <c r="D4733" s="7" t="str">
        <f t="shared" si="1708"/>
        <v>学校</v>
      </c>
      <c r="E4733" s="7" t="str">
        <f t="shared" si="1706"/>
        <v>大阪府豊能郡　能勢町上田尻</v>
      </c>
      <c r="F4733" s="7"/>
      <c r="G4733" s="7" t="str">
        <f t="shared" si="1699"/>
        <v>事業用資産</v>
      </c>
      <c r="H4733" s="7" t="str">
        <f t="shared" si="1688"/>
        <v>棚卸以外</v>
      </c>
      <c r="I4733" s="7">
        <v>60</v>
      </c>
      <c r="J4733" s="7" t="str">
        <f>"野菜れき耕温室"</f>
        <v>野菜れき耕温室</v>
      </c>
      <c r="K4733" s="7" t="str">
        <f t="shared" si="1709"/>
        <v>鉄骨造</v>
      </c>
      <c r="L4733" s="7" t="str">
        <f>"S47.03.31"</f>
        <v>S47.03.31</v>
      </c>
      <c r="M4733" s="7">
        <v>94.5</v>
      </c>
      <c r="N4733" s="7">
        <v>4992397</v>
      </c>
      <c r="O4733" s="7">
        <v>4992396</v>
      </c>
      <c r="P4733" s="7">
        <v>0</v>
      </c>
      <c r="Q4733" s="7" t="str">
        <f t="shared" si="1702"/>
        <v>教育庁</v>
      </c>
      <c r="R4733" s="7" t="str">
        <f t="shared" si="1707"/>
        <v>豊中高等学校</v>
      </c>
    </row>
    <row r="4734" spans="1:18" s="1" customFormat="1" x14ac:dyDescent="0.45">
      <c r="A4734" s="7" t="str">
        <f t="shared" si="1704"/>
        <v>10371000000</v>
      </c>
      <c r="B4734" s="7" t="str">
        <f t="shared" si="1705"/>
        <v>豊中高等学校能勢分校</v>
      </c>
      <c r="C4734" s="7" t="str">
        <f t="shared" si="1695"/>
        <v>行政財産</v>
      </c>
      <c r="D4734" s="7" t="str">
        <f t="shared" si="1708"/>
        <v>学校</v>
      </c>
      <c r="E4734" s="7" t="str">
        <f t="shared" si="1706"/>
        <v>大阪府豊能郡　能勢町上田尻</v>
      </c>
      <c r="F4734" s="7"/>
      <c r="G4734" s="7" t="str">
        <f t="shared" si="1699"/>
        <v>事業用資産</v>
      </c>
      <c r="H4734" s="7" t="str">
        <f t="shared" si="1688"/>
        <v>棚卸以外</v>
      </c>
      <c r="I4734" s="7">
        <v>61</v>
      </c>
      <c r="J4734" s="7" t="str">
        <f>"果樹温室"</f>
        <v>果樹温室</v>
      </c>
      <c r="K4734" s="7" t="str">
        <f t="shared" si="1709"/>
        <v>鉄骨造</v>
      </c>
      <c r="L4734" s="7" t="str">
        <f>"S47.03.31"</f>
        <v>S47.03.31</v>
      </c>
      <c r="M4734" s="7">
        <v>94.5</v>
      </c>
      <c r="N4734" s="7">
        <v>3216831</v>
      </c>
      <c r="O4734" s="7">
        <v>3216830</v>
      </c>
      <c r="P4734" s="7">
        <v>0</v>
      </c>
      <c r="Q4734" s="7" t="str">
        <f t="shared" si="1702"/>
        <v>教育庁</v>
      </c>
      <c r="R4734" s="7" t="str">
        <f t="shared" si="1707"/>
        <v>豊中高等学校</v>
      </c>
    </row>
    <row r="4735" spans="1:18" s="1" customFormat="1" x14ac:dyDescent="0.45">
      <c r="A4735" s="7" t="str">
        <f t="shared" si="1704"/>
        <v>10371000000</v>
      </c>
      <c r="B4735" s="7" t="str">
        <f t="shared" si="1705"/>
        <v>豊中高等学校能勢分校</v>
      </c>
      <c r="C4735" s="7" t="str">
        <f t="shared" si="1695"/>
        <v>行政財産</v>
      </c>
      <c r="D4735" s="7" t="str">
        <f t="shared" si="1708"/>
        <v>学校</v>
      </c>
      <c r="E4735" s="7" t="str">
        <f t="shared" si="1706"/>
        <v>大阪府豊能郡　能勢町上田尻</v>
      </c>
      <c r="F4735" s="7"/>
      <c r="G4735" s="7" t="str">
        <f t="shared" si="1699"/>
        <v>事業用資産</v>
      </c>
      <c r="H4735" s="7" t="str">
        <f t="shared" si="1688"/>
        <v>棚卸以外</v>
      </c>
      <c r="I4735" s="7">
        <v>62</v>
      </c>
      <c r="J4735" s="7" t="str">
        <f>"ボイラー及び作業室"</f>
        <v>ボイラー及び作業室</v>
      </c>
      <c r="K4735" s="7" t="str">
        <f t="shared" si="1709"/>
        <v>鉄骨造</v>
      </c>
      <c r="L4735" s="7" t="str">
        <f>"S47.03.31"</f>
        <v>S47.03.31</v>
      </c>
      <c r="M4735" s="7">
        <v>38</v>
      </c>
      <c r="N4735" s="7">
        <v>1699661</v>
      </c>
      <c r="O4735" s="7">
        <v>1699660</v>
      </c>
      <c r="P4735" s="7">
        <v>0</v>
      </c>
      <c r="Q4735" s="7" t="str">
        <f t="shared" si="1702"/>
        <v>教育庁</v>
      </c>
      <c r="R4735" s="7" t="str">
        <f t="shared" si="1707"/>
        <v>豊中高等学校</v>
      </c>
    </row>
    <row r="4736" spans="1:18" s="1" customFormat="1" x14ac:dyDescent="0.45">
      <c r="A4736" s="7" t="str">
        <f t="shared" si="1704"/>
        <v>10371000000</v>
      </c>
      <c r="B4736" s="7" t="str">
        <f t="shared" si="1705"/>
        <v>豊中高等学校能勢分校</v>
      </c>
      <c r="C4736" s="7" t="str">
        <f t="shared" si="1695"/>
        <v>行政財産</v>
      </c>
      <c r="D4736" s="7" t="str">
        <f t="shared" si="1708"/>
        <v>学校</v>
      </c>
      <c r="E4736" s="7" t="str">
        <f t="shared" si="1706"/>
        <v>大阪府豊能郡　能勢町上田尻</v>
      </c>
      <c r="F4736" s="7"/>
      <c r="G4736" s="7" t="str">
        <f t="shared" si="1699"/>
        <v>事業用資産</v>
      </c>
      <c r="H4736" s="7" t="str">
        <f t="shared" si="1688"/>
        <v>棚卸以外</v>
      </c>
      <c r="I4736" s="7">
        <v>63</v>
      </c>
      <c r="J4736" s="7" t="str">
        <f>"堆肥舎"</f>
        <v>堆肥舎</v>
      </c>
      <c r="K4736" s="7" t="str">
        <f t="shared" si="1709"/>
        <v>鉄骨造</v>
      </c>
      <c r="L4736" s="7" t="str">
        <f>"S47.03.31"</f>
        <v>S47.03.31</v>
      </c>
      <c r="M4736" s="7">
        <v>71</v>
      </c>
      <c r="N4736" s="7">
        <v>2961000</v>
      </c>
      <c r="O4736" s="7">
        <v>2960999</v>
      </c>
      <c r="P4736" s="7">
        <v>0</v>
      </c>
      <c r="Q4736" s="7" t="str">
        <f t="shared" si="1702"/>
        <v>教育庁</v>
      </c>
      <c r="R4736" s="7" t="str">
        <f t="shared" si="1707"/>
        <v>豊中高等学校</v>
      </c>
    </row>
    <row r="4737" spans="1:18" s="1" customFormat="1" x14ac:dyDescent="0.45">
      <c r="A4737" s="7" t="str">
        <f t="shared" si="1704"/>
        <v>10371000000</v>
      </c>
      <c r="B4737" s="7" t="str">
        <f t="shared" si="1705"/>
        <v>豊中高等学校能勢分校</v>
      </c>
      <c r="C4737" s="7" t="str">
        <f t="shared" si="1695"/>
        <v>行政財産</v>
      </c>
      <c r="D4737" s="7" t="str">
        <f t="shared" si="1708"/>
        <v>学校</v>
      </c>
      <c r="E4737" s="7" t="str">
        <f t="shared" si="1706"/>
        <v>大阪府豊能郡　能勢町上田尻</v>
      </c>
      <c r="F4737" s="7"/>
      <c r="G4737" s="7" t="str">
        <f t="shared" si="1699"/>
        <v>事業用資産</v>
      </c>
      <c r="H4737" s="7" t="str">
        <f t="shared" si="1688"/>
        <v>棚卸以外</v>
      </c>
      <c r="I4737" s="7">
        <v>64</v>
      </c>
      <c r="J4737" s="7" t="str">
        <f>"倉庫"</f>
        <v>倉庫</v>
      </c>
      <c r="K4737" s="7" t="str">
        <f>"木造"</f>
        <v>木造</v>
      </c>
      <c r="L4737" s="7" t="str">
        <f>"S48.05.02"</f>
        <v>S48.05.02</v>
      </c>
      <c r="M4737" s="7">
        <v>48.6</v>
      </c>
      <c r="N4737" s="7">
        <v>1741000</v>
      </c>
      <c r="O4737" s="7">
        <v>1740999</v>
      </c>
      <c r="P4737" s="7">
        <v>0</v>
      </c>
      <c r="Q4737" s="7" t="str">
        <f t="shared" si="1702"/>
        <v>教育庁</v>
      </c>
      <c r="R4737" s="7" t="str">
        <f t="shared" si="1707"/>
        <v>豊中高等学校</v>
      </c>
    </row>
    <row r="4738" spans="1:18" s="1" customFormat="1" x14ac:dyDescent="0.45">
      <c r="A4738" s="7" t="str">
        <f t="shared" si="1704"/>
        <v>10371000000</v>
      </c>
      <c r="B4738" s="7" t="str">
        <f t="shared" si="1705"/>
        <v>豊中高等学校能勢分校</v>
      </c>
      <c r="C4738" s="7" t="str">
        <f t="shared" si="1695"/>
        <v>行政財産</v>
      </c>
      <c r="D4738" s="7" t="str">
        <f t="shared" si="1708"/>
        <v>学校</v>
      </c>
      <c r="E4738" s="7" t="str">
        <f t="shared" si="1706"/>
        <v>大阪府豊能郡　能勢町上田尻</v>
      </c>
      <c r="F4738" s="7"/>
      <c r="G4738" s="7" t="str">
        <f t="shared" si="1699"/>
        <v>事業用資産</v>
      </c>
      <c r="H4738" s="7" t="str">
        <f t="shared" si="1688"/>
        <v>棚卸以外</v>
      </c>
      <c r="I4738" s="7">
        <v>65</v>
      </c>
      <c r="J4738" s="7" t="str">
        <f>"農場実習棟"</f>
        <v>農場実習棟</v>
      </c>
      <c r="K4738" s="7" t="str">
        <f>"鉄筋コンクリート造"</f>
        <v>鉄筋コンクリート造</v>
      </c>
      <c r="L4738" s="7" t="str">
        <f>"S49.01.26"</f>
        <v>S49.01.26</v>
      </c>
      <c r="M4738" s="7">
        <v>1320.34</v>
      </c>
      <c r="N4738" s="7">
        <v>95319163</v>
      </c>
      <c r="O4738" s="7">
        <v>88295859</v>
      </c>
      <c r="P4738" s="7">
        <v>0</v>
      </c>
      <c r="Q4738" s="7" t="str">
        <f t="shared" si="1702"/>
        <v>教育庁</v>
      </c>
      <c r="R4738" s="7" t="str">
        <f t="shared" si="1707"/>
        <v>豊中高等学校</v>
      </c>
    </row>
    <row r="4739" spans="1:18" s="1" customFormat="1" x14ac:dyDescent="0.45">
      <c r="A4739" s="7" t="str">
        <f t="shared" si="1704"/>
        <v>10371000000</v>
      </c>
      <c r="B4739" s="7" t="str">
        <f t="shared" si="1705"/>
        <v>豊中高等学校能勢分校</v>
      </c>
      <c r="C4739" s="7" t="str">
        <f t="shared" si="1695"/>
        <v>行政財産</v>
      </c>
      <c r="D4739" s="7" t="str">
        <f t="shared" si="1708"/>
        <v>学校</v>
      </c>
      <c r="E4739" s="7" t="str">
        <f t="shared" si="1706"/>
        <v>大阪府豊能郡　能勢町上田尻</v>
      </c>
      <c r="F4739" s="7"/>
      <c r="G4739" s="7" t="str">
        <f t="shared" si="1699"/>
        <v>事業用資産</v>
      </c>
      <c r="H4739" s="7" t="str">
        <f t="shared" si="1688"/>
        <v>棚卸以外</v>
      </c>
      <c r="I4739" s="7">
        <v>66</v>
      </c>
      <c r="J4739" s="7" t="str">
        <f>"便所"</f>
        <v>便所</v>
      </c>
      <c r="K4739" s="7" t="str">
        <f>"鉄筋コンクリート造"</f>
        <v>鉄筋コンクリート造</v>
      </c>
      <c r="L4739" s="7" t="str">
        <f>"S49.01.26"</f>
        <v>S49.01.26</v>
      </c>
      <c r="M4739" s="7">
        <v>41</v>
      </c>
      <c r="N4739" s="7">
        <v>9070461</v>
      </c>
      <c r="O4739" s="7">
        <v>6602248</v>
      </c>
      <c r="P4739" s="7">
        <v>0</v>
      </c>
      <c r="Q4739" s="7" t="str">
        <f t="shared" si="1702"/>
        <v>教育庁</v>
      </c>
      <c r="R4739" s="7" t="str">
        <f t="shared" si="1707"/>
        <v>豊中高等学校</v>
      </c>
    </row>
    <row r="4740" spans="1:18" s="1" customFormat="1" x14ac:dyDescent="0.45">
      <c r="A4740" s="7" t="str">
        <f t="shared" si="1704"/>
        <v>10371000000</v>
      </c>
      <c r="B4740" s="7" t="str">
        <f t="shared" si="1705"/>
        <v>豊中高等学校能勢分校</v>
      </c>
      <c r="C4740" s="7" t="str">
        <f t="shared" si="1695"/>
        <v>行政財産</v>
      </c>
      <c r="D4740" s="7" t="str">
        <f t="shared" si="1708"/>
        <v>学校</v>
      </c>
      <c r="E4740" s="7" t="str">
        <f t="shared" si="1706"/>
        <v>大阪府豊能郡　能勢町上田尻</v>
      </c>
      <c r="F4740" s="7"/>
      <c r="G4740" s="7" t="str">
        <f t="shared" si="1699"/>
        <v>事業用資産</v>
      </c>
      <c r="H4740" s="7" t="str">
        <f t="shared" ref="H4740:H4803" si="1710">"棚卸以外"</f>
        <v>棚卸以外</v>
      </c>
      <c r="I4740" s="7">
        <v>67</v>
      </c>
      <c r="J4740" s="7" t="str">
        <f>"搬送車車庫"</f>
        <v>搬送車車庫</v>
      </c>
      <c r="K4740" s="7" t="str">
        <f>"鉄骨造"</f>
        <v>鉄骨造</v>
      </c>
      <c r="L4740" s="7" t="str">
        <f>"S49.01.26"</f>
        <v>S49.01.26</v>
      </c>
      <c r="M4740" s="7">
        <v>60</v>
      </c>
      <c r="N4740" s="7">
        <v>4577000</v>
      </c>
      <c r="O4740" s="7">
        <v>4576999</v>
      </c>
      <c r="P4740" s="7">
        <v>0</v>
      </c>
      <c r="Q4740" s="7" t="str">
        <f t="shared" si="1702"/>
        <v>教育庁</v>
      </c>
      <c r="R4740" s="7" t="str">
        <f t="shared" si="1707"/>
        <v>豊中高等学校</v>
      </c>
    </row>
    <row r="4741" spans="1:18" s="1" customFormat="1" x14ac:dyDescent="0.45">
      <c r="A4741" s="7" t="str">
        <f t="shared" si="1704"/>
        <v>10371000000</v>
      </c>
      <c r="B4741" s="7" t="str">
        <f t="shared" si="1705"/>
        <v>豊中高等学校能勢分校</v>
      </c>
      <c r="C4741" s="7" t="str">
        <f t="shared" si="1695"/>
        <v>行政財産</v>
      </c>
      <c r="D4741" s="7" t="str">
        <f t="shared" si="1708"/>
        <v>学校</v>
      </c>
      <c r="E4741" s="7" t="str">
        <f t="shared" si="1706"/>
        <v>大阪府豊能郡　能勢町上田尻</v>
      </c>
      <c r="F4741" s="7"/>
      <c r="G4741" s="7" t="str">
        <f t="shared" si="1699"/>
        <v>事業用資産</v>
      </c>
      <c r="H4741" s="7" t="str">
        <f t="shared" si="1710"/>
        <v>棚卸以外</v>
      </c>
      <c r="I4741" s="7">
        <v>68</v>
      </c>
      <c r="J4741" s="7" t="str">
        <f>"材料庫"</f>
        <v>材料庫</v>
      </c>
      <c r="K4741" s="7" t="str">
        <f>"鉄骨造"</f>
        <v>鉄骨造</v>
      </c>
      <c r="L4741" s="7" t="str">
        <f>"S49.01.26"</f>
        <v>S49.01.26</v>
      </c>
      <c r="M4741" s="7">
        <v>60</v>
      </c>
      <c r="N4741" s="7">
        <v>4577000</v>
      </c>
      <c r="O4741" s="7">
        <v>4576999</v>
      </c>
      <c r="P4741" s="7">
        <v>0</v>
      </c>
      <c r="Q4741" s="7" t="str">
        <f t="shared" si="1702"/>
        <v>教育庁</v>
      </c>
      <c r="R4741" s="7" t="str">
        <f t="shared" si="1707"/>
        <v>豊中高等学校</v>
      </c>
    </row>
    <row r="4742" spans="1:18" s="1" customFormat="1" x14ac:dyDescent="0.45">
      <c r="A4742" s="7" t="str">
        <f t="shared" si="1704"/>
        <v>10371000000</v>
      </c>
      <c r="B4742" s="7" t="str">
        <f t="shared" si="1705"/>
        <v>豊中高等学校能勢分校</v>
      </c>
      <c r="C4742" s="7" t="str">
        <f t="shared" si="1695"/>
        <v>行政財産</v>
      </c>
      <c r="D4742" s="7" t="str">
        <f t="shared" si="1708"/>
        <v>学校</v>
      </c>
      <c r="E4742" s="7" t="str">
        <f t="shared" si="1706"/>
        <v>大阪府豊能郡　能勢町上田尻</v>
      </c>
      <c r="F4742" s="7"/>
      <c r="G4742" s="7" t="str">
        <f t="shared" si="1699"/>
        <v>事業用資産</v>
      </c>
      <c r="H4742" s="7" t="str">
        <f t="shared" si="1710"/>
        <v>棚卸以外</v>
      </c>
      <c r="I4742" s="7">
        <v>69</v>
      </c>
      <c r="J4742" s="7" t="str">
        <f>"プロパン庫"</f>
        <v>プロパン庫</v>
      </c>
      <c r="K4742" s="7" t="str">
        <f>"コンクリートブロック造"</f>
        <v>コンクリートブロック造</v>
      </c>
      <c r="L4742" s="7" t="str">
        <f>"S49.01.26"</f>
        <v>S49.01.26</v>
      </c>
      <c r="M4742" s="7">
        <v>7.53</v>
      </c>
      <c r="N4742" s="7">
        <v>322000</v>
      </c>
      <c r="O4742" s="7">
        <v>321999</v>
      </c>
      <c r="P4742" s="7">
        <v>0</v>
      </c>
      <c r="Q4742" s="7" t="str">
        <f t="shared" si="1702"/>
        <v>教育庁</v>
      </c>
      <c r="R4742" s="7" t="str">
        <f t="shared" si="1707"/>
        <v>豊中高等学校</v>
      </c>
    </row>
    <row r="4743" spans="1:18" s="1" customFormat="1" x14ac:dyDescent="0.45">
      <c r="A4743" s="7" t="str">
        <f t="shared" si="1704"/>
        <v>10371000000</v>
      </c>
      <c r="B4743" s="7" t="str">
        <f t="shared" si="1705"/>
        <v>豊中高等学校能勢分校</v>
      </c>
      <c r="C4743" s="7" t="str">
        <f t="shared" si="1695"/>
        <v>行政財産</v>
      </c>
      <c r="D4743" s="7" t="str">
        <f t="shared" si="1708"/>
        <v>学校</v>
      </c>
      <c r="E4743" s="7" t="str">
        <f t="shared" si="1706"/>
        <v>大阪府豊能郡　能勢町上田尻</v>
      </c>
      <c r="F4743" s="7"/>
      <c r="G4743" s="7" t="str">
        <f t="shared" si="1699"/>
        <v>事業用資産</v>
      </c>
      <c r="H4743" s="7" t="str">
        <f t="shared" si="1710"/>
        <v>棚卸以外</v>
      </c>
      <c r="I4743" s="7">
        <v>70</v>
      </c>
      <c r="J4743" s="7" t="str">
        <f>"倉庫"</f>
        <v>倉庫</v>
      </c>
      <c r="K4743" s="7" t="str">
        <f>"鉄骨造"</f>
        <v>鉄骨造</v>
      </c>
      <c r="L4743" s="7" t="str">
        <f>"S49.07.17"</f>
        <v>S49.07.17</v>
      </c>
      <c r="M4743" s="7">
        <v>15.48</v>
      </c>
      <c r="N4743" s="7">
        <v>213000</v>
      </c>
      <c r="O4743" s="7">
        <v>212999</v>
      </c>
      <c r="P4743" s="7">
        <v>0</v>
      </c>
      <c r="Q4743" s="7" t="str">
        <f t="shared" si="1702"/>
        <v>教育庁</v>
      </c>
      <c r="R4743" s="7" t="str">
        <f t="shared" si="1707"/>
        <v>豊中高等学校</v>
      </c>
    </row>
    <row r="4744" spans="1:18" s="1" customFormat="1" x14ac:dyDescent="0.45">
      <c r="A4744" s="7" t="str">
        <f t="shared" si="1704"/>
        <v>10371000000</v>
      </c>
      <c r="B4744" s="7" t="str">
        <f t="shared" si="1705"/>
        <v>豊中高等学校能勢分校</v>
      </c>
      <c r="C4744" s="7" t="str">
        <f t="shared" si="1695"/>
        <v>行政財産</v>
      </c>
      <c r="D4744" s="7" t="str">
        <f t="shared" si="1708"/>
        <v>学校</v>
      </c>
      <c r="E4744" s="7" t="str">
        <f t="shared" si="1706"/>
        <v>大阪府豊能郡　能勢町上田尻</v>
      </c>
      <c r="F4744" s="7"/>
      <c r="G4744" s="7" t="str">
        <f t="shared" si="1699"/>
        <v>事業用資産</v>
      </c>
      <c r="H4744" s="7" t="str">
        <f t="shared" si="1710"/>
        <v>棚卸以外</v>
      </c>
      <c r="I4744" s="7">
        <v>71</v>
      </c>
      <c r="J4744" s="7" t="str">
        <f>"汚水処理ポンプ室"</f>
        <v>汚水処理ポンプ室</v>
      </c>
      <c r="K4744" s="7" t="str">
        <f>"コンクリートブロック造"</f>
        <v>コンクリートブロック造</v>
      </c>
      <c r="L4744" s="7" t="str">
        <f>"S50.02.24"</f>
        <v>S50.02.24</v>
      </c>
      <c r="M4744" s="7">
        <v>12.36</v>
      </c>
      <c r="N4744" s="7">
        <v>587000</v>
      </c>
      <c r="O4744" s="7">
        <v>586999</v>
      </c>
      <c r="P4744" s="7">
        <v>0</v>
      </c>
      <c r="Q4744" s="7" t="str">
        <f t="shared" si="1702"/>
        <v>教育庁</v>
      </c>
      <c r="R4744" s="7" t="str">
        <f t="shared" si="1707"/>
        <v>豊中高等学校</v>
      </c>
    </row>
    <row r="4745" spans="1:18" s="1" customFormat="1" x14ac:dyDescent="0.45">
      <c r="A4745" s="7" t="str">
        <f t="shared" si="1704"/>
        <v>10371000000</v>
      </c>
      <c r="B4745" s="7" t="str">
        <f t="shared" si="1705"/>
        <v>豊中高等学校能勢分校</v>
      </c>
      <c r="C4745" s="7" t="str">
        <f t="shared" si="1695"/>
        <v>行政財産</v>
      </c>
      <c r="D4745" s="7" t="str">
        <f t="shared" si="1708"/>
        <v>学校</v>
      </c>
      <c r="E4745" s="7" t="str">
        <f t="shared" si="1706"/>
        <v>大阪府豊能郡　能勢町上田尻</v>
      </c>
      <c r="F4745" s="7"/>
      <c r="G4745" s="7" t="str">
        <f t="shared" si="1699"/>
        <v>事業用資産</v>
      </c>
      <c r="H4745" s="7" t="str">
        <f t="shared" si="1710"/>
        <v>棚卸以外</v>
      </c>
      <c r="I4745" s="7">
        <v>72</v>
      </c>
      <c r="J4745" s="7" t="str">
        <f>"ポンプ室"</f>
        <v>ポンプ室</v>
      </c>
      <c r="K4745" s="7" t="str">
        <f>"コンクリートブロック造"</f>
        <v>コンクリートブロック造</v>
      </c>
      <c r="L4745" s="7" t="str">
        <f>"S50.03.25"</f>
        <v>S50.03.25</v>
      </c>
      <c r="M4745" s="7">
        <v>18</v>
      </c>
      <c r="N4745" s="7">
        <v>3236539</v>
      </c>
      <c r="O4745" s="7">
        <v>1668299</v>
      </c>
      <c r="P4745" s="7">
        <v>0</v>
      </c>
      <c r="Q4745" s="7" t="str">
        <f t="shared" si="1702"/>
        <v>教育庁</v>
      </c>
      <c r="R4745" s="7" t="str">
        <f t="shared" si="1707"/>
        <v>豊中高等学校</v>
      </c>
    </row>
    <row r="4746" spans="1:18" s="1" customFormat="1" x14ac:dyDescent="0.45">
      <c r="A4746" s="7" t="str">
        <f t="shared" si="1704"/>
        <v>10371000000</v>
      </c>
      <c r="B4746" s="7" t="str">
        <f t="shared" si="1705"/>
        <v>豊中高等学校能勢分校</v>
      </c>
      <c r="C4746" s="7" t="str">
        <f t="shared" si="1695"/>
        <v>行政財産</v>
      </c>
      <c r="D4746" s="7" t="str">
        <f t="shared" si="1708"/>
        <v>学校</v>
      </c>
      <c r="E4746" s="7" t="str">
        <f t="shared" si="1706"/>
        <v>大阪府豊能郡　能勢町上田尻</v>
      </c>
      <c r="F4746" s="7"/>
      <c r="G4746" s="7" t="str">
        <f t="shared" si="1699"/>
        <v>事業用資産</v>
      </c>
      <c r="H4746" s="7" t="str">
        <f t="shared" si="1710"/>
        <v>棚卸以外</v>
      </c>
      <c r="I4746" s="7">
        <v>73</v>
      </c>
      <c r="J4746" s="7" t="str">
        <f>"体育館"</f>
        <v>体育館</v>
      </c>
      <c r="K4746" s="7" t="str">
        <f>"鉄筋コンクリート造"</f>
        <v>鉄筋コンクリート造</v>
      </c>
      <c r="L4746" s="7" t="str">
        <f>"S53.04.07"</f>
        <v>S53.04.07</v>
      </c>
      <c r="M4746" s="7">
        <v>2161.79</v>
      </c>
      <c r="N4746" s="7">
        <v>313902838</v>
      </c>
      <c r="O4746" s="7">
        <v>240038994</v>
      </c>
      <c r="P4746" s="7">
        <v>0</v>
      </c>
      <c r="Q4746" s="7" t="str">
        <f t="shared" si="1702"/>
        <v>教育庁</v>
      </c>
      <c r="R4746" s="7" t="str">
        <f t="shared" si="1707"/>
        <v>豊中高等学校</v>
      </c>
    </row>
    <row r="4747" spans="1:18" s="1" customFormat="1" x14ac:dyDescent="0.45">
      <c r="A4747" s="7" t="str">
        <f t="shared" si="1704"/>
        <v>10371000000</v>
      </c>
      <c r="B4747" s="7" t="str">
        <f t="shared" si="1705"/>
        <v>豊中高等学校能勢分校</v>
      </c>
      <c r="C4747" s="7" t="str">
        <f t="shared" si="1695"/>
        <v>行政財産</v>
      </c>
      <c r="D4747" s="7" t="str">
        <f t="shared" si="1708"/>
        <v>学校</v>
      </c>
      <c r="E4747" s="7" t="str">
        <f t="shared" si="1706"/>
        <v>大阪府豊能郡　能勢町上田尻</v>
      </c>
      <c r="F4747" s="7"/>
      <c r="G4747" s="7" t="str">
        <f t="shared" si="1699"/>
        <v>事業用資産</v>
      </c>
      <c r="H4747" s="7" t="str">
        <f t="shared" si="1710"/>
        <v>棚卸以外</v>
      </c>
      <c r="I4747" s="7">
        <v>74</v>
      </c>
      <c r="J4747" s="7" t="str">
        <f>"汚水処理槽附属棟"</f>
        <v>汚水処理槽附属棟</v>
      </c>
      <c r="K4747" s="7" t="str">
        <f>"鉄筋コンクリート造"</f>
        <v>鉄筋コンクリート造</v>
      </c>
      <c r="L4747" s="7" t="str">
        <f>"S53.04.07"</f>
        <v>S53.04.07</v>
      </c>
      <c r="M4747" s="7">
        <v>16.739999999999998</v>
      </c>
      <c r="N4747" s="7">
        <v>11288142</v>
      </c>
      <c r="O4747" s="7">
        <v>10913462</v>
      </c>
      <c r="P4747" s="7">
        <v>0</v>
      </c>
      <c r="Q4747" s="7" t="str">
        <f t="shared" si="1702"/>
        <v>教育庁</v>
      </c>
      <c r="R4747" s="7" t="str">
        <f t="shared" si="1707"/>
        <v>豊中高等学校</v>
      </c>
    </row>
    <row r="4748" spans="1:18" s="1" customFormat="1" x14ac:dyDescent="0.45">
      <c r="A4748" s="7" t="str">
        <f t="shared" si="1704"/>
        <v>10371000000</v>
      </c>
      <c r="B4748" s="7" t="str">
        <f t="shared" si="1705"/>
        <v>豊中高等学校能勢分校</v>
      </c>
      <c r="C4748" s="7" t="str">
        <f t="shared" si="1695"/>
        <v>行政財産</v>
      </c>
      <c r="D4748" s="7" t="str">
        <f t="shared" si="1708"/>
        <v>学校</v>
      </c>
      <c r="E4748" s="7" t="str">
        <f t="shared" si="1706"/>
        <v>大阪府豊能郡　能勢町上田尻</v>
      </c>
      <c r="F4748" s="7"/>
      <c r="G4748" s="7" t="str">
        <f t="shared" si="1699"/>
        <v>事業用資産</v>
      </c>
      <c r="H4748" s="7" t="str">
        <f t="shared" si="1710"/>
        <v>棚卸以外</v>
      </c>
      <c r="I4748" s="7">
        <v>76</v>
      </c>
      <c r="J4748" s="7" t="str">
        <f>"倉庫"</f>
        <v>倉庫</v>
      </c>
      <c r="K4748" s="7" t="str">
        <f>"鉄筋コンクリート造"</f>
        <v>鉄筋コンクリート造</v>
      </c>
      <c r="L4748" s="7" t="str">
        <f>"S53.09.16"</f>
        <v>S53.09.16</v>
      </c>
      <c r="M4748" s="7">
        <v>10</v>
      </c>
      <c r="N4748" s="7">
        <v>355000</v>
      </c>
      <c r="O4748" s="7">
        <v>354999</v>
      </c>
      <c r="P4748" s="7">
        <v>0</v>
      </c>
      <c r="Q4748" s="7" t="str">
        <f t="shared" si="1702"/>
        <v>教育庁</v>
      </c>
      <c r="R4748" s="7" t="str">
        <f t="shared" si="1707"/>
        <v>豊中高等学校</v>
      </c>
    </row>
    <row r="4749" spans="1:18" s="1" customFormat="1" x14ac:dyDescent="0.45">
      <c r="A4749" s="7" t="str">
        <f t="shared" si="1704"/>
        <v>10371000000</v>
      </c>
      <c r="B4749" s="7" t="str">
        <f t="shared" si="1705"/>
        <v>豊中高等学校能勢分校</v>
      </c>
      <c r="C4749" s="7" t="str">
        <f t="shared" ref="C4749:C4812" si="1711">"行政財産"</f>
        <v>行政財産</v>
      </c>
      <c r="D4749" s="7" t="str">
        <f t="shared" si="1708"/>
        <v>学校</v>
      </c>
      <c r="E4749" s="7" t="str">
        <f t="shared" si="1706"/>
        <v>大阪府豊能郡　能勢町上田尻</v>
      </c>
      <c r="F4749" s="7"/>
      <c r="G4749" s="7" t="str">
        <f t="shared" si="1699"/>
        <v>事業用資産</v>
      </c>
      <c r="H4749" s="7" t="str">
        <f t="shared" si="1710"/>
        <v>棚卸以外</v>
      </c>
      <c r="I4749" s="7">
        <v>77</v>
      </c>
      <c r="J4749" s="7" t="str">
        <f>"食堂"</f>
        <v>食堂</v>
      </c>
      <c r="K4749" s="7" t="str">
        <f>"鉄骨造"</f>
        <v>鉄骨造</v>
      </c>
      <c r="L4749" s="7" t="str">
        <f>"S61.10.28"</f>
        <v>S61.10.28</v>
      </c>
      <c r="M4749" s="7">
        <v>124.47</v>
      </c>
      <c r="N4749" s="7">
        <v>17722000</v>
      </c>
      <c r="O4749" s="7">
        <v>17721999</v>
      </c>
      <c r="P4749" s="7">
        <v>0</v>
      </c>
      <c r="Q4749" s="7" t="str">
        <f t="shared" si="1702"/>
        <v>教育庁</v>
      </c>
      <c r="R4749" s="7" t="str">
        <f t="shared" si="1707"/>
        <v>豊中高等学校</v>
      </c>
    </row>
    <row r="4750" spans="1:18" s="1" customFormat="1" x14ac:dyDescent="0.45">
      <c r="A4750" s="7" t="str">
        <f t="shared" ref="A4750:A4764" si="1712">"10366000000"</f>
        <v>10366000000</v>
      </c>
      <c r="B4750" s="7" t="str">
        <f t="shared" ref="B4750:B4764" si="1713">"桜塚高等学校"</f>
        <v>桜塚高等学校</v>
      </c>
      <c r="C4750" s="7" t="str">
        <f t="shared" si="1711"/>
        <v>行政財産</v>
      </c>
      <c r="D4750" s="7" t="str">
        <f t="shared" si="1708"/>
        <v>学校</v>
      </c>
      <c r="E4750" s="7" t="str">
        <f t="shared" ref="E4750:E4764" si="1714">"大阪府豊中市中桜塚４丁目"</f>
        <v>大阪府豊中市中桜塚４丁目</v>
      </c>
      <c r="F4750" s="7"/>
      <c r="G4750" s="7" t="str">
        <f t="shared" si="1699"/>
        <v>事業用資産</v>
      </c>
      <c r="H4750" s="7" t="str">
        <f t="shared" si="1710"/>
        <v>棚卸以外</v>
      </c>
      <c r="I4750" s="7">
        <v>36</v>
      </c>
      <c r="J4750" s="7" t="str">
        <f>"体育館"</f>
        <v>体育館</v>
      </c>
      <c r="K4750" s="7" t="str">
        <f t="shared" ref="K4750:K4757" si="1715">"鉄筋コンクリート造"</f>
        <v>鉄筋コンクリート造</v>
      </c>
      <c r="L4750" s="7" t="str">
        <f>"S45.03.28"</f>
        <v>S45.03.28</v>
      </c>
      <c r="M4750" s="7">
        <v>2092.23</v>
      </c>
      <c r="N4750" s="7">
        <v>179331605</v>
      </c>
      <c r="O4750" s="7">
        <v>124573927</v>
      </c>
      <c r="P4750" s="7">
        <v>0</v>
      </c>
      <c r="Q4750" s="7" t="str">
        <f t="shared" si="1702"/>
        <v>教育庁</v>
      </c>
      <c r="R4750" s="7" t="str">
        <f t="shared" ref="R4750:R4764" si="1716">"桜塚高等学校"</f>
        <v>桜塚高等学校</v>
      </c>
    </row>
    <row r="4751" spans="1:18" s="1" customFormat="1" x14ac:dyDescent="0.45">
      <c r="A4751" s="7" t="str">
        <f t="shared" si="1712"/>
        <v>10366000000</v>
      </c>
      <c r="B4751" s="7" t="str">
        <f t="shared" si="1713"/>
        <v>桜塚高等学校</v>
      </c>
      <c r="C4751" s="7" t="str">
        <f t="shared" si="1711"/>
        <v>行政財産</v>
      </c>
      <c r="D4751" s="7" t="str">
        <f t="shared" si="1708"/>
        <v>学校</v>
      </c>
      <c r="E4751" s="7" t="str">
        <f t="shared" si="1714"/>
        <v>大阪府豊中市中桜塚４丁目</v>
      </c>
      <c r="F4751" s="7"/>
      <c r="G4751" s="7" t="str">
        <f t="shared" si="1699"/>
        <v>事業用資産</v>
      </c>
      <c r="H4751" s="7" t="str">
        <f t="shared" si="1710"/>
        <v>棚卸以外</v>
      </c>
      <c r="I4751" s="7">
        <v>38</v>
      </c>
      <c r="J4751" s="7" t="str">
        <f>"１号館"</f>
        <v>１号館</v>
      </c>
      <c r="K4751" s="7" t="str">
        <f t="shared" si="1715"/>
        <v>鉄筋コンクリート造</v>
      </c>
      <c r="L4751" s="7" t="str">
        <f>"S48.11.30"</f>
        <v>S48.11.30</v>
      </c>
      <c r="M4751" s="7">
        <v>2094.2800000000002</v>
      </c>
      <c r="N4751" s="7">
        <v>202453027</v>
      </c>
      <c r="O4751" s="7">
        <v>135977686</v>
      </c>
      <c r="P4751" s="7">
        <v>0</v>
      </c>
      <c r="Q4751" s="7" t="str">
        <f t="shared" si="1702"/>
        <v>教育庁</v>
      </c>
      <c r="R4751" s="7" t="str">
        <f t="shared" si="1716"/>
        <v>桜塚高等学校</v>
      </c>
    </row>
    <row r="4752" spans="1:18" s="1" customFormat="1" x14ac:dyDescent="0.45">
      <c r="A4752" s="7" t="str">
        <f t="shared" si="1712"/>
        <v>10366000000</v>
      </c>
      <c r="B4752" s="7" t="str">
        <f t="shared" si="1713"/>
        <v>桜塚高等学校</v>
      </c>
      <c r="C4752" s="7" t="str">
        <f t="shared" si="1711"/>
        <v>行政財産</v>
      </c>
      <c r="D4752" s="7" t="str">
        <f t="shared" si="1708"/>
        <v>学校</v>
      </c>
      <c r="E4752" s="7" t="str">
        <f t="shared" si="1714"/>
        <v>大阪府豊中市中桜塚４丁目</v>
      </c>
      <c r="F4752" s="7"/>
      <c r="G4752" s="7" t="str">
        <f t="shared" si="1699"/>
        <v>事業用資産</v>
      </c>
      <c r="H4752" s="7" t="str">
        <f t="shared" si="1710"/>
        <v>棚卸以外</v>
      </c>
      <c r="I4752" s="7">
        <v>39</v>
      </c>
      <c r="J4752" s="7" t="str">
        <f>"設備棟"</f>
        <v>設備棟</v>
      </c>
      <c r="K4752" s="7" t="str">
        <f t="shared" si="1715"/>
        <v>鉄筋コンクリート造</v>
      </c>
      <c r="L4752" s="7" t="str">
        <f>"S48.11.30"</f>
        <v>S48.11.30</v>
      </c>
      <c r="M4752" s="7">
        <v>91.26</v>
      </c>
      <c r="N4752" s="7">
        <v>18147351</v>
      </c>
      <c r="O4752" s="7">
        <v>16272852</v>
      </c>
      <c r="P4752" s="7">
        <v>0</v>
      </c>
      <c r="Q4752" s="7" t="str">
        <f t="shared" si="1702"/>
        <v>教育庁</v>
      </c>
      <c r="R4752" s="7" t="str">
        <f t="shared" si="1716"/>
        <v>桜塚高等学校</v>
      </c>
    </row>
    <row r="4753" spans="1:18" s="1" customFormat="1" x14ac:dyDescent="0.45">
      <c r="A4753" s="7" t="str">
        <f t="shared" si="1712"/>
        <v>10366000000</v>
      </c>
      <c r="B4753" s="7" t="str">
        <f t="shared" si="1713"/>
        <v>桜塚高等学校</v>
      </c>
      <c r="C4753" s="7" t="str">
        <f t="shared" si="1711"/>
        <v>行政財産</v>
      </c>
      <c r="D4753" s="7" t="str">
        <f t="shared" si="1708"/>
        <v>学校</v>
      </c>
      <c r="E4753" s="7" t="str">
        <f t="shared" si="1714"/>
        <v>大阪府豊中市中桜塚４丁目</v>
      </c>
      <c r="F4753" s="7"/>
      <c r="G4753" s="7" t="str">
        <f t="shared" si="1699"/>
        <v>事業用資産</v>
      </c>
      <c r="H4753" s="7" t="str">
        <f t="shared" si="1710"/>
        <v>棚卸以外</v>
      </c>
      <c r="I4753" s="7">
        <v>40</v>
      </c>
      <c r="J4753" s="7" t="str">
        <f>"２号館"</f>
        <v>２号館</v>
      </c>
      <c r="K4753" s="7" t="str">
        <f t="shared" si="1715"/>
        <v>鉄筋コンクリート造</v>
      </c>
      <c r="L4753" s="7" t="str">
        <f>"S50.02.28"</f>
        <v>S50.02.28</v>
      </c>
      <c r="M4753" s="7">
        <v>2386.4899999999998</v>
      </c>
      <c r="N4753" s="7">
        <v>315866961</v>
      </c>
      <c r="O4753" s="7">
        <v>283904664</v>
      </c>
      <c r="P4753" s="7">
        <v>0</v>
      </c>
      <c r="Q4753" s="7" t="str">
        <f t="shared" si="1702"/>
        <v>教育庁</v>
      </c>
      <c r="R4753" s="7" t="str">
        <f t="shared" si="1716"/>
        <v>桜塚高等学校</v>
      </c>
    </row>
    <row r="4754" spans="1:18" s="1" customFormat="1" x14ac:dyDescent="0.45">
      <c r="A4754" s="7" t="str">
        <f t="shared" si="1712"/>
        <v>10366000000</v>
      </c>
      <c r="B4754" s="7" t="str">
        <f t="shared" si="1713"/>
        <v>桜塚高等学校</v>
      </c>
      <c r="C4754" s="7" t="str">
        <f t="shared" si="1711"/>
        <v>行政財産</v>
      </c>
      <c r="D4754" s="7" t="str">
        <f t="shared" si="1708"/>
        <v>学校</v>
      </c>
      <c r="E4754" s="7" t="str">
        <f t="shared" si="1714"/>
        <v>大阪府豊中市中桜塚４丁目</v>
      </c>
      <c r="F4754" s="7"/>
      <c r="G4754" s="7" t="str">
        <f t="shared" si="1699"/>
        <v>事業用資産</v>
      </c>
      <c r="H4754" s="7" t="str">
        <f t="shared" si="1710"/>
        <v>棚卸以外</v>
      </c>
      <c r="I4754" s="7">
        <v>41</v>
      </c>
      <c r="J4754" s="7" t="str">
        <f>"３号館"</f>
        <v>３号館</v>
      </c>
      <c r="K4754" s="7" t="str">
        <f t="shared" si="1715"/>
        <v>鉄筋コンクリート造</v>
      </c>
      <c r="L4754" s="7" t="str">
        <f>"S50.10.31"</f>
        <v>S50.10.31</v>
      </c>
      <c r="M4754" s="7">
        <v>4052.48</v>
      </c>
      <c r="N4754" s="7">
        <v>461303263</v>
      </c>
      <c r="O4754" s="7">
        <v>406218345</v>
      </c>
      <c r="P4754" s="7">
        <v>0</v>
      </c>
      <c r="Q4754" s="7" t="str">
        <f t="shared" si="1702"/>
        <v>教育庁</v>
      </c>
      <c r="R4754" s="7" t="str">
        <f t="shared" si="1716"/>
        <v>桜塚高等学校</v>
      </c>
    </row>
    <row r="4755" spans="1:18" s="1" customFormat="1" x14ac:dyDescent="0.45">
      <c r="A4755" s="7" t="str">
        <f t="shared" si="1712"/>
        <v>10366000000</v>
      </c>
      <c r="B4755" s="7" t="str">
        <f t="shared" si="1713"/>
        <v>桜塚高等学校</v>
      </c>
      <c r="C4755" s="7" t="str">
        <f t="shared" si="1711"/>
        <v>行政財産</v>
      </c>
      <c r="D4755" s="7" t="str">
        <f t="shared" si="1708"/>
        <v>学校</v>
      </c>
      <c r="E4755" s="7" t="str">
        <f t="shared" si="1714"/>
        <v>大阪府豊中市中桜塚４丁目</v>
      </c>
      <c r="F4755" s="7"/>
      <c r="G4755" s="7" t="str">
        <f t="shared" si="1699"/>
        <v>事業用資産</v>
      </c>
      <c r="H4755" s="7" t="str">
        <f t="shared" si="1710"/>
        <v>棚卸以外</v>
      </c>
      <c r="I4755" s="7">
        <v>42</v>
      </c>
      <c r="J4755" s="7" t="str">
        <f>"渡り廊下"</f>
        <v>渡り廊下</v>
      </c>
      <c r="K4755" s="7" t="str">
        <f t="shared" si="1715"/>
        <v>鉄筋コンクリート造</v>
      </c>
      <c r="L4755" s="7" t="str">
        <f>"S50.10.31"</f>
        <v>S50.10.31</v>
      </c>
      <c r="M4755" s="7">
        <v>621.08000000000004</v>
      </c>
      <c r="N4755" s="7">
        <v>90992000</v>
      </c>
      <c r="O4755" s="7">
        <v>62527381</v>
      </c>
      <c r="P4755" s="7">
        <v>0</v>
      </c>
      <c r="Q4755" s="7" t="str">
        <f t="shared" si="1702"/>
        <v>教育庁</v>
      </c>
      <c r="R4755" s="7" t="str">
        <f t="shared" si="1716"/>
        <v>桜塚高等学校</v>
      </c>
    </row>
    <row r="4756" spans="1:18" s="1" customFormat="1" x14ac:dyDescent="0.45">
      <c r="A4756" s="7" t="str">
        <f t="shared" si="1712"/>
        <v>10366000000</v>
      </c>
      <c r="B4756" s="7" t="str">
        <f t="shared" si="1713"/>
        <v>桜塚高等学校</v>
      </c>
      <c r="C4756" s="7" t="str">
        <f t="shared" si="1711"/>
        <v>行政財産</v>
      </c>
      <c r="D4756" s="7" t="str">
        <f t="shared" si="1708"/>
        <v>学校</v>
      </c>
      <c r="E4756" s="7" t="str">
        <f t="shared" si="1714"/>
        <v>大阪府豊中市中桜塚４丁目</v>
      </c>
      <c r="F4756" s="7"/>
      <c r="G4756" s="7" t="str">
        <f t="shared" si="1699"/>
        <v>事業用資産</v>
      </c>
      <c r="H4756" s="7" t="str">
        <f t="shared" si="1710"/>
        <v>棚卸以外</v>
      </c>
      <c r="I4756" s="7">
        <v>43</v>
      </c>
      <c r="J4756" s="7" t="str">
        <f>"４号館"</f>
        <v>４号館</v>
      </c>
      <c r="K4756" s="7" t="str">
        <f t="shared" si="1715"/>
        <v>鉄筋コンクリート造</v>
      </c>
      <c r="L4756" s="7" t="str">
        <f>"S51.09.30"</f>
        <v>S51.09.30</v>
      </c>
      <c r="M4756" s="7">
        <v>3183.54</v>
      </c>
      <c r="N4756" s="7">
        <v>355486383</v>
      </c>
      <c r="O4756" s="7">
        <v>316761792</v>
      </c>
      <c r="P4756" s="7">
        <v>0</v>
      </c>
      <c r="Q4756" s="7" t="str">
        <f t="shared" si="1702"/>
        <v>教育庁</v>
      </c>
      <c r="R4756" s="7" t="str">
        <f t="shared" si="1716"/>
        <v>桜塚高等学校</v>
      </c>
    </row>
    <row r="4757" spans="1:18" s="1" customFormat="1" x14ac:dyDescent="0.45">
      <c r="A4757" s="7" t="str">
        <f t="shared" si="1712"/>
        <v>10366000000</v>
      </c>
      <c r="B4757" s="7" t="str">
        <f t="shared" si="1713"/>
        <v>桜塚高等学校</v>
      </c>
      <c r="C4757" s="7" t="str">
        <f t="shared" si="1711"/>
        <v>行政財産</v>
      </c>
      <c r="D4757" s="7" t="str">
        <f t="shared" si="1708"/>
        <v>学校</v>
      </c>
      <c r="E4757" s="7" t="str">
        <f t="shared" si="1714"/>
        <v>大阪府豊中市中桜塚４丁目</v>
      </c>
      <c r="F4757" s="7"/>
      <c r="G4757" s="7" t="str">
        <f t="shared" si="1699"/>
        <v>事業用資産</v>
      </c>
      <c r="H4757" s="7" t="str">
        <f t="shared" si="1710"/>
        <v>棚卸以外</v>
      </c>
      <c r="I4757" s="7">
        <v>44</v>
      </c>
      <c r="J4757" s="7" t="str">
        <f>"食堂棟"</f>
        <v>食堂棟</v>
      </c>
      <c r="K4757" s="7" t="str">
        <f t="shared" si="1715"/>
        <v>鉄筋コンクリート造</v>
      </c>
      <c r="L4757" s="7" t="str">
        <f>"S53.05.31"</f>
        <v>S53.05.31</v>
      </c>
      <c r="M4757" s="7">
        <v>456.69</v>
      </c>
      <c r="N4757" s="7">
        <v>84549520</v>
      </c>
      <c r="O4757" s="7">
        <v>70926607</v>
      </c>
      <c r="P4757" s="7">
        <v>0</v>
      </c>
      <c r="Q4757" s="7" t="str">
        <f t="shared" si="1702"/>
        <v>教育庁</v>
      </c>
      <c r="R4757" s="7" t="str">
        <f t="shared" si="1716"/>
        <v>桜塚高等学校</v>
      </c>
    </row>
    <row r="4758" spans="1:18" s="1" customFormat="1" x14ac:dyDescent="0.45">
      <c r="A4758" s="7" t="str">
        <f t="shared" si="1712"/>
        <v>10366000000</v>
      </c>
      <c r="B4758" s="7" t="str">
        <f t="shared" si="1713"/>
        <v>桜塚高等学校</v>
      </c>
      <c r="C4758" s="7" t="str">
        <f t="shared" si="1711"/>
        <v>行政財産</v>
      </c>
      <c r="D4758" s="7" t="str">
        <f t="shared" si="1708"/>
        <v>学校</v>
      </c>
      <c r="E4758" s="7" t="str">
        <f t="shared" si="1714"/>
        <v>大阪府豊中市中桜塚４丁目</v>
      </c>
      <c r="F4758" s="7"/>
      <c r="G4758" s="7" t="str">
        <f t="shared" si="1699"/>
        <v>事業用資産</v>
      </c>
      <c r="H4758" s="7" t="str">
        <f t="shared" si="1710"/>
        <v>棚卸以外</v>
      </c>
      <c r="I4758" s="7">
        <v>47</v>
      </c>
      <c r="J4758" s="7" t="str">
        <f>"体育倉庫棟"</f>
        <v>体育倉庫棟</v>
      </c>
      <c r="K4758" s="7" t="str">
        <f>"鉄骨造"</f>
        <v>鉄骨造</v>
      </c>
      <c r="L4758" s="7" t="str">
        <f>"S54.05.31"</f>
        <v>S54.05.31</v>
      </c>
      <c r="M4758" s="7">
        <v>100</v>
      </c>
      <c r="N4758" s="7">
        <v>5381000</v>
      </c>
      <c r="O4758" s="7">
        <v>5380999</v>
      </c>
      <c r="P4758" s="7">
        <v>0</v>
      </c>
      <c r="Q4758" s="7" t="str">
        <f t="shared" si="1702"/>
        <v>教育庁</v>
      </c>
      <c r="R4758" s="7" t="str">
        <f t="shared" si="1716"/>
        <v>桜塚高等学校</v>
      </c>
    </row>
    <row r="4759" spans="1:18" s="1" customFormat="1" x14ac:dyDescent="0.45">
      <c r="A4759" s="7" t="str">
        <f t="shared" si="1712"/>
        <v>10366000000</v>
      </c>
      <c r="B4759" s="7" t="str">
        <f t="shared" si="1713"/>
        <v>桜塚高等学校</v>
      </c>
      <c r="C4759" s="7" t="str">
        <f t="shared" si="1711"/>
        <v>行政財産</v>
      </c>
      <c r="D4759" s="7" t="str">
        <f t="shared" si="1708"/>
        <v>学校</v>
      </c>
      <c r="E4759" s="7" t="str">
        <f t="shared" si="1714"/>
        <v>大阪府豊中市中桜塚４丁目</v>
      </c>
      <c r="F4759" s="7"/>
      <c r="G4759" s="7" t="str">
        <f t="shared" ref="G4759:G4822" si="1717">"事業用資産"</f>
        <v>事業用資産</v>
      </c>
      <c r="H4759" s="7" t="str">
        <f t="shared" si="1710"/>
        <v>棚卸以外</v>
      </c>
      <c r="I4759" s="7">
        <v>48</v>
      </c>
      <c r="J4759" s="7" t="str">
        <f>"塵芥集積所"</f>
        <v>塵芥集積所</v>
      </c>
      <c r="K4759" s="7" t="str">
        <f>"コンクリートブロック造"</f>
        <v>コンクリートブロック造</v>
      </c>
      <c r="L4759" s="7" t="str">
        <f>"S54.05.31"</f>
        <v>S54.05.31</v>
      </c>
      <c r="M4759" s="7">
        <v>11.1</v>
      </c>
      <c r="N4759" s="7">
        <v>729000</v>
      </c>
      <c r="O4759" s="7">
        <v>728999</v>
      </c>
      <c r="P4759" s="7">
        <v>0</v>
      </c>
      <c r="Q4759" s="7" t="str">
        <f t="shared" si="1702"/>
        <v>教育庁</v>
      </c>
      <c r="R4759" s="7" t="str">
        <f t="shared" si="1716"/>
        <v>桜塚高等学校</v>
      </c>
    </row>
    <row r="4760" spans="1:18" s="1" customFormat="1" x14ac:dyDescent="0.45">
      <c r="A4760" s="7" t="str">
        <f t="shared" si="1712"/>
        <v>10366000000</v>
      </c>
      <c r="B4760" s="7" t="str">
        <f t="shared" si="1713"/>
        <v>桜塚高等学校</v>
      </c>
      <c r="C4760" s="7" t="str">
        <f t="shared" si="1711"/>
        <v>行政財産</v>
      </c>
      <c r="D4760" s="7" t="str">
        <f t="shared" si="1708"/>
        <v>学校</v>
      </c>
      <c r="E4760" s="7" t="str">
        <f t="shared" si="1714"/>
        <v>大阪府豊中市中桜塚４丁目</v>
      </c>
      <c r="F4760" s="7"/>
      <c r="G4760" s="7" t="str">
        <f t="shared" si="1717"/>
        <v>事業用資産</v>
      </c>
      <c r="H4760" s="7" t="str">
        <f t="shared" si="1710"/>
        <v>棚卸以外</v>
      </c>
      <c r="I4760" s="7">
        <v>49</v>
      </c>
      <c r="J4760" s="7" t="str">
        <f>"プール附属棟"</f>
        <v>プール附属棟</v>
      </c>
      <c r="K4760" s="7" t="str">
        <f>"鉄筋コンクリート造"</f>
        <v>鉄筋コンクリート造</v>
      </c>
      <c r="L4760" s="7" t="str">
        <f>"S54.05.31"</f>
        <v>S54.05.31</v>
      </c>
      <c r="M4760" s="7">
        <v>138</v>
      </c>
      <c r="N4760" s="7">
        <v>34433000</v>
      </c>
      <c r="O4760" s="7">
        <v>31423082</v>
      </c>
      <c r="P4760" s="7">
        <v>0</v>
      </c>
      <c r="Q4760" s="7" t="str">
        <f t="shared" si="1702"/>
        <v>教育庁</v>
      </c>
      <c r="R4760" s="7" t="str">
        <f t="shared" si="1716"/>
        <v>桜塚高等学校</v>
      </c>
    </row>
    <row r="4761" spans="1:18" s="1" customFormat="1" x14ac:dyDescent="0.45">
      <c r="A4761" s="7" t="str">
        <f t="shared" si="1712"/>
        <v>10366000000</v>
      </c>
      <c r="B4761" s="7" t="str">
        <f t="shared" si="1713"/>
        <v>桜塚高等学校</v>
      </c>
      <c r="C4761" s="7" t="str">
        <f t="shared" si="1711"/>
        <v>行政財産</v>
      </c>
      <c r="D4761" s="7" t="str">
        <f t="shared" si="1708"/>
        <v>学校</v>
      </c>
      <c r="E4761" s="7" t="str">
        <f t="shared" si="1714"/>
        <v>大阪府豊中市中桜塚４丁目</v>
      </c>
      <c r="F4761" s="7"/>
      <c r="G4761" s="7" t="str">
        <f t="shared" si="1717"/>
        <v>事業用資産</v>
      </c>
      <c r="H4761" s="7" t="str">
        <f t="shared" si="1710"/>
        <v>棚卸以外</v>
      </c>
      <c r="I4761" s="7">
        <v>50</v>
      </c>
      <c r="J4761" s="7" t="str">
        <f>"部室"</f>
        <v>部室</v>
      </c>
      <c r="K4761" s="7" t="str">
        <f>"鉄骨造"</f>
        <v>鉄骨造</v>
      </c>
      <c r="L4761" s="7" t="str">
        <f>"S54.08.20"</f>
        <v>S54.08.20</v>
      </c>
      <c r="M4761" s="7">
        <v>145.19999999999999</v>
      </c>
      <c r="N4761" s="7">
        <v>9650000</v>
      </c>
      <c r="O4761" s="7">
        <v>9649999</v>
      </c>
      <c r="P4761" s="7">
        <v>0</v>
      </c>
      <c r="Q4761" s="7" t="str">
        <f t="shared" si="1702"/>
        <v>教育庁</v>
      </c>
      <c r="R4761" s="7" t="str">
        <f t="shared" si="1716"/>
        <v>桜塚高等学校</v>
      </c>
    </row>
    <row r="4762" spans="1:18" s="1" customFormat="1" x14ac:dyDescent="0.45">
      <c r="A4762" s="7" t="str">
        <f t="shared" si="1712"/>
        <v>10366000000</v>
      </c>
      <c r="B4762" s="7" t="str">
        <f t="shared" si="1713"/>
        <v>桜塚高等学校</v>
      </c>
      <c r="C4762" s="7" t="str">
        <f t="shared" si="1711"/>
        <v>行政財産</v>
      </c>
      <c r="D4762" s="7" t="str">
        <f t="shared" si="1708"/>
        <v>学校</v>
      </c>
      <c r="E4762" s="7" t="str">
        <f t="shared" si="1714"/>
        <v>大阪府豊中市中桜塚４丁目</v>
      </c>
      <c r="F4762" s="7"/>
      <c r="G4762" s="7" t="str">
        <f t="shared" si="1717"/>
        <v>事業用資産</v>
      </c>
      <c r="H4762" s="7" t="str">
        <f t="shared" si="1710"/>
        <v>棚卸以外</v>
      </c>
      <c r="I4762" s="7">
        <v>51</v>
      </c>
      <c r="J4762" s="7" t="str">
        <f>"５号館"</f>
        <v>５号館</v>
      </c>
      <c r="K4762" s="7" t="str">
        <f>"鉄筋コンクリート造"</f>
        <v>鉄筋コンクリート造</v>
      </c>
      <c r="L4762" s="7" t="str">
        <f>"S55.06.27"</f>
        <v>S55.06.27</v>
      </c>
      <c r="M4762" s="7">
        <v>733.63</v>
      </c>
      <c r="N4762" s="7">
        <v>120895030</v>
      </c>
      <c r="O4762" s="7">
        <v>106233783</v>
      </c>
      <c r="P4762" s="7">
        <v>0</v>
      </c>
      <c r="Q4762" s="7" t="str">
        <f t="shared" si="1702"/>
        <v>教育庁</v>
      </c>
      <c r="R4762" s="7" t="str">
        <f t="shared" si="1716"/>
        <v>桜塚高等学校</v>
      </c>
    </row>
    <row r="4763" spans="1:18" s="1" customFormat="1" x14ac:dyDescent="0.45">
      <c r="A4763" s="7" t="str">
        <f t="shared" si="1712"/>
        <v>10366000000</v>
      </c>
      <c r="B4763" s="7" t="str">
        <f t="shared" si="1713"/>
        <v>桜塚高等学校</v>
      </c>
      <c r="C4763" s="7" t="str">
        <f t="shared" si="1711"/>
        <v>行政財産</v>
      </c>
      <c r="D4763" s="7" t="str">
        <f t="shared" si="1708"/>
        <v>学校</v>
      </c>
      <c r="E4763" s="7" t="str">
        <f t="shared" si="1714"/>
        <v>大阪府豊中市中桜塚４丁目</v>
      </c>
      <c r="F4763" s="7"/>
      <c r="G4763" s="7" t="str">
        <f t="shared" si="1717"/>
        <v>事業用資産</v>
      </c>
      <c r="H4763" s="7" t="str">
        <f t="shared" si="1710"/>
        <v>棚卸以外</v>
      </c>
      <c r="I4763" s="7">
        <v>53</v>
      </c>
      <c r="J4763" s="7" t="str">
        <f>"倉庫"</f>
        <v>倉庫</v>
      </c>
      <c r="K4763" s="7" t="str">
        <f>"土蔵造(簡易建物)"</f>
        <v>土蔵造(簡易建物)</v>
      </c>
      <c r="L4763" s="7" t="str">
        <f>"S56.03.28"</f>
        <v>S56.03.28</v>
      </c>
      <c r="M4763" s="7">
        <v>9.94</v>
      </c>
      <c r="N4763" s="7">
        <v>475000</v>
      </c>
      <c r="O4763" s="7">
        <v>474999</v>
      </c>
      <c r="P4763" s="7">
        <v>0</v>
      </c>
      <c r="Q4763" s="7" t="str">
        <f t="shared" ref="Q4763:Q4826" si="1718">"教育庁"</f>
        <v>教育庁</v>
      </c>
      <c r="R4763" s="7" t="str">
        <f t="shared" si="1716"/>
        <v>桜塚高等学校</v>
      </c>
    </row>
    <row r="4764" spans="1:18" s="1" customFormat="1" x14ac:dyDescent="0.45">
      <c r="A4764" s="7" t="str">
        <f t="shared" si="1712"/>
        <v>10366000000</v>
      </c>
      <c r="B4764" s="7" t="str">
        <f t="shared" si="1713"/>
        <v>桜塚高等学校</v>
      </c>
      <c r="C4764" s="7" t="str">
        <f t="shared" si="1711"/>
        <v>行政財産</v>
      </c>
      <c r="D4764" s="7" t="str">
        <f t="shared" si="1708"/>
        <v>学校</v>
      </c>
      <c r="E4764" s="7" t="str">
        <f t="shared" si="1714"/>
        <v>大阪府豊中市中桜塚４丁目</v>
      </c>
      <c r="F4764" s="7"/>
      <c r="G4764" s="7" t="str">
        <f t="shared" si="1717"/>
        <v>事業用資産</v>
      </c>
      <c r="H4764" s="7" t="str">
        <f t="shared" si="1710"/>
        <v>棚卸以外</v>
      </c>
      <c r="I4764" s="7">
        <v>54</v>
      </c>
      <c r="J4764" s="7" t="str">
        <f>"倉庫"</f>
        <v>倉庫</v>
      </c>
      <c r="K4764" s="7" t="str">
        <f>"軽量鉄骨造"</f>
        <v>軽量鉄骨造</v>
      </c>
      <c r="L4764" s="7" t="str">
        <f>"H02.03.31"</f>
        <v>H02.03.31</v>
      </c>
      <c r="M4764" s="7">
        <v>105.79</v>
      </c>
      <c r="N4764" s="7">
        <v>12060000</v>
      </c>
      <c r="O4764" s="7">
        <v>12059999</v>
      </c>
      <c r="P4764" s="7">
        <v>0</v>
      </c>
      <c r="Q4764" s="7" t="str">
        <f t="shared" si="1718"/>
        <v>教育庁</v>
      </c>
      <c r="R4764" s="7" t="str">
        <f t="shared" si="1716"/>
        <v>桜塚高等学校</v>
      </c>
    </row>
    <row r="4765" spans="1:18" s="1" customFormat="1" x14ac:dyDescent="0.45">
      <c r="A4765" s="7" t="str">
        <f t="shared" ref="A4765:A4780" si="1719">"10368000001"</f>
        <v>10368000001</v>
      </c>
      <c r="B4765" s="7" t="str">
        <f t="shared" ref="B4765:B4780" si="1720">"豊島高等学校"</f>
        <v>豊島高等学校</v>
      </c>
      <c r="C4765" s="7" t="str">
        <f t="shared" si="1711"/>
        <v>行政財産</v>
      </c>
      <c r="D4765" s="7" t="str">
        <f t="shared" si="1708"/>
        <v>学校</v>
      </c>
      <c r="E4765" s="7" t="str">
        <f t="shared" ref="E4765:E4780" si="1721">"大阪府豊中市北緑丘３丁目"</f>
        <v>大阪府豊中市北緑丘３丁目</v>
      </c>
      <c r="F4765" s="7"/>
      <c r="G4765" s="7" t="str">
        <f t="shared" si="1717"/>
        <v>事業用資産</v>
      </c>
      <c r="H4765" s="7" t="str">
        <f t="shared" si="1710"/>
        <v>棚卸以外</v>
      </c>
      <c r="I4765" s="7">
        <v>1</v>
      </c>
      <c r="J4765" s="7" t="str">
        <f>"Ａ館"</f>
        <v>Ａ館</v>
      </c>
      <c r="K4765" s="7" t="str">
        <f>"鉄筋コンクリート造"</f>
        <v>鉄筋コンクリート造</v>
      </c>
      <c r="L4765" s="7" t="str">
        <f t="shared" ref="L4765:L4770" si="1722">"S50.02.28"</f>
        <v>S50.02.28</v>
      </c>
      <c r="M4765" s="7">
        <v>1994.94</v>
      </c>
      <c r="N4765" s="7">
        <v>225577838</v>
      </c>
      <c r="O4765" s="7">
        <v>197663820</v>
      </c>
      <c r="P4765" s="7">
        <v>0</v>
      </c>
      <c r="Q4765" s="7" t="str">
        <f t="shared" si="1718"/>
        <v>教育庁</v>
      </c>
      <c r="R4765" s="7" t="str">
        <f t="shared" ref="R4765:R4780" si="1723">"豊島高等学校"</f>
        <v>豊島高等学校</v>
      </c>
    </row>
    <row r="4766" spans="1:18" s="1" customFormat="1" x14ac:dyDescent="0.45">
      <c r="A4766" s="7" t="str">
        <f t="shared" si="1719"/>
        <v>10368000001</v>
      </c>
      <c r="B4766" s="7" t="str">
        <f t="shared" si="1720"/>
        <v>豊島高等学校</v>
      </c>
      <c r="C4766" s="7" t="str">
        <f t="shared" si="1711"/>
        <v>行政財産</v>
      </c>
      <c r="D4766" s="7" t="str">
        <f t="shared" si="1708"/>
        <v>学校</v>
      </c>
      <c r="E4766" s="7" t="str">
        <f t="shared" si="1721"/>
        <v>大阪府豊中市北緑丘３丁目</v>
      </c>
      <c r="F4766" s="7"/>
      <c r="G4766" s="7" t="str">
        <f t="shared" si="1717"/>
        <v>事業用資産</v>
      </c>
      <c r="H4766" s="7" t="str">
        <f t="shared" si="1710"/>
        <v>棚卸以外</v>
      </c>
      <c r="I4766" s="7">
        <v>2</v>
      </c>
      <c r="J4766" s="7" t="str">
        <f>"Ｃ館"</f>
        <v>Ｃ館</v>
      </c>
      <c r="K4766" s="7" t="str">
        <f>"鉄筋コンクリート造"</f>
        <v>鉄筋コンクリート造</v>
      </c>
      <c r="L4766" s="7" t="str">
        <f t="shared" si="1722"/>
        <v>S50.02.28</v>
      </c>
      <c r="M4766" s="7">
        <v>5716.87</v>
      </c>
      <c r="N4766" s="7">
        <v>824497116</v>
      </c>
      <c r="O4766" s="7">
        <v>626186801</v>
      </c>
      <c r="P4766" s="7">
        <v>0</v>
      </c>
      <c r="Q4766" s="7" t="str">
        <f t="shared" si="1718"/>
        <v>教育庁</v>
      </c>
      <c r="R4766" s="7" t="str">
        <f t="shared" si="1723"/>
        <v>豊島高等学校</v>
      </c>
    </row>
    <row r="4767" spans="1:18" s="1" customFormat="1" x14ac:dyDescent="0.45">
      <c r="A4767" s="7" t="str">
        <f t="shared" si="1719"/>
        <v>10368000001</v>
      </c>
      <c r="B4767" s="7" t="str">
        <f t="shared" si="1720"/>
        <v>豊島高等学校</v>
      </c>
      <c r="C4767" s="7" t="str">
        <f t="shared" si="1711"/>
        <v>行政財産</v>
      </c>
      <c r="D4767" s="7" t="str">
        <f t="shared" si="1708"/>
        <v>学校</v>
      </c>
      <c r="E4767" s="7" t="str">
        <f t="shared" si="1721"/>
        <v>大阪府豊中市北緑丘３丁目</v>
      </c>
      <c r="F4767" s="7"/>
      <c r="G4767" s="7" t="str">
        <f t="shared" si="1717"/>
        <v>事業用資産</v>
      </c>
      <c r="H4767" s="7" t="str">
        <f t="shared" si="1710"/>
        <v>棚卸以外</v>
      </c>
      <c r="I4767" s="7">
        <v>3</v>
      </c>
      <c r="J4767" s="7" t="str">
        <f>"渡り廊下（Ａ－Ｃ）"</f>
        <v>渡り廊下（Ａ－Ｃ）</v>
      </c>
      <c r="K4767" s="7" t="str">
        <f>"鉄筋コンクリート造"</f>
        <v>鉄筋コンクリート造</v>
      </c>
      <c r="L4767" s="7" t="str">
        <f t="shared" si="1722"/>
        <v>S50.02.28</v>
      </c>
      <c r="M4767" s="7">
        <v>31.7</v>
      </c>
      <c r="N4767" s="7">
        <v>2717000</v>
      </c>
      <c r="O4767" s="7">
        <v>2368911</v>
      </c>
      <c r="P4767" s="7">
        <v>0</v>
      </c>
      <c r="Q4767" s="7" t="str">
        <f t="shared" si="1718"/>
        <v>教育庁</v>
      </c>
      <c r="R4767" s="7" t="str">
        <f t="shared" si="1723"/>
        <v>豊島高等学校</v>
      </c>
    </row>
    <row r="4768" spans="1:18" s="1" customFormat="1" x14ac:dyDescent="0.45">
      <c r="A4768" s="7" t="str">
        <f t="shared" si="1719"/>
        <v>10368000001</v>
      </c>
      <c r="B4768" s="7" t="str">
        <f t="shared" si="1720"/>
        <v>豊島高等学校</v>
      </c>
      <c r="C4768" s="7" t="str">
        <f t="shared" si="1711"/>
        <v>行政財産</v>
      </c>
      <c r="D4768" s="7" t="str">
        <f t="shared" si="1708"/>
        <v>学校</v>
      </c>
      <c r="E4768" s="7" t="str">
        <f t="shared" si="1721"/>
        <v>大阪府豊中市北緑丘３丁目</v>
      </c>
      <c r="F4768" s="7"/>
      <c r="G4768" s="7" t="str">
        <f t="shared" si="1717"/>
        <v>事業用資産</v>
      </c>
      <c r="H4768" s="7" t="str">
        <f t="shared" si="1710"/>
        <v>棚卸以外</v>
      </c>
      <c r="I4768" s="7">
        <v>4</v>
      </c>
      <c r="J4768" s="7" t="str">
        <f>"設備棟"</f>
        <v>設備棟</v>
      </c>
      <c r="K4768" s="7" t="str">
        <f>"鉄筋コンクリート造"</f>
        <v>鉄筋コンクリート造</v>
      </c>
      <c r="L4768" s="7" t="str">
        <f t="shared" si="1722"/>
        <v>S50.02.28</v>
      </c>
      <c r="M4768" s="7">
        <v>117</v>
      </c>
      <c r="N4768" s="7">
        <v>23943682</v>
      </c>
      <c r="O4768" s="7">
        <v>18489372</v>
      </c>
      <c r="P4768" s="7">
        <v>0</v>
      </c>
      <c r="Q4768" s="7" t="str">
        <f t="shared" si="1718"/>
        <v>教育庁</v>
      </c>
      <c r="R4768" s="7" t="str">
        <f t="shared" si="1723"/>
        <v>豊島高等学校</v>
      </c>
    </row>
    <row r="4769" spans="1:18" s="1" customFormat="1" x14ac:dyDescent="0.45">
      <c r="A4769" s="7" t="str">
        <f t="shared" si="1719"/>
        <v>10368000001</v>
      </c>
      <c r="B4769" s="7" t="str">
        <f t="shared" si="1720"/>
        <v>豊島高等学校</v>
      </c>
      <c r="C4769" s="7" t="str">
        <f t="shared" si="1711"/>
        <v>行政財産</v>
      </c>
      <c r="D4769" s="7" t="str">
        <f t="shared" si="1708"/>
        <v>学校</v>
      </c>
      <c r="E4769" s="7" t="str">
        <f t="shared" si="1721"/>
        <v>大阪府豊中市北緑丘３丁目</v>
      </c>
      <c r="F4769" s="7"/>
      <c r="G4769" s="7" t="str">
        <f t="shared" si="1717"/>
        <v>事業用資産</v>
      </c>
      <c r="H4769" s="7" t="str">
        <f t="shared" si="1710"/>
        <v>棚卸以外</v>
      </c>
      <c r="I4769" s="7">
        <v>5</v>
      </c>
      <c r="J4769" s="7" t="str">
        <f>"倉庫"</f>
        <v>倉庫</v>
      </c>
      <c r="K4769" s="7" t="str">
        <f>"鉄骨造"</f>
        <v>鉄骨造</v>
      </c>
      <c r="L4769" s="7" t="str">
        <f t="shared" si="1722"/>
        <v>S50.02.28</v>
      </c>
      <c r="M4769" s="7">
        <v>50</v>
      </c>
      <c r="N4769" s="7">
        <v>4329000</v>
      </c>
      <c r="O4769" s="7">
        <v>4328999</v>
      </c>
      <c r="P4769" s="7">
        <v>0</v>
      </c>
      <c r="Q4769" s="7" t="str">
        <f t="shared" si="1718"/>
        <v>教育庁</v>
      </c>
      <c r="R4769" s="7" t="str">
        <f t="shared" si="1723"/>
        <v>豊島高等学校</v>
      </c>
    </row>
    <row r="4770" spans="1:18" s="1" customFormat="1" x14ac:dyDescent="0.45">
      <c r="A4770" s="7" t="str">
        <f t="shared" si="1719"/>
        <v>10368000001</v>
      </c>
      <c r="B4770" s="7" t="str">
        <f t="shared" si="1720"/>
        <v>豊島高等学校</v>
      </c>
      <c r="C4770" s="7" t="str">
        <f t="shared" si="1711"/>
        <v>行政財産</v>
      </c>
      <c r="D4770" s="7" t="str">
        <f t="shared" si="1708"/>
        <v>学校</v>
      </c>
      <c r="E4770" s="7" t="str">
        <f t="shared" si="1721"/>
        <v>大阪府豊中市北緑丘３丁目</v>
      </c>
      <c r="F4770" s="7"/>
      <c r="G4770" s="7" t="str">
        <f t="shared" si="1717"/>
        <v>事業用資産</v>
      </c>
      <c r="H4770" s="7" t="str">
        <f t="shared" si="1710"/>
        <v>棚卸以外</v>
      </c>
      <c r="I4770" s="7">
        <v>6</v>
      </c>
      <c r="J4770" s="7" t="str">
        <f>"自転車置場（１）"</f>
        <v>自転車置場（１）</v>
      </c>
      <c r="K4770" s="7" t="str">
        <f>"鉄骨造"</f>
        <v>鉄骨造</v>
      </c>
      <c r="L4770" s="7" t="str">
        <f t="shared" si="1722"/>
        <v>S50.02.28</v>
      </c>
      <c r="M4770" s="7">
        <v>105</v>
      </c>
      <c r="N4770" s="7">
        <v>3079546</v>
      </c>
      <c r="O4770" s="7">
        <v>2996912</v>
      </c>
      <c r="P4770" s="7">
        <v>0</v>
      </c>
      <c r="Q4770" s="7" t="str">
        <f t="shared" si="1718"/>
        <v>教育庁</v>
      </c>
      <c r="R4770" s="7" t="str">
        <f t="shared" si="1723"/>
        <v>豊島高等学校</v>
      </c>
    </row>
    <row r="4771" spans="1:18" s="1" customFormat="1" x14ac:dyDescent="0.45">
      <c r="A4771" s="7" t="str">
        <f t="shared" si="1719"/>
        <v>10368000001</v>
      </c>
      <c r="B4771" s="7" t="str">
        <f t="shared" si="1720"/>
        <v>豊島高等学校</v>
      </c>
      <c r="C4771" s="7" t="str">
        <f t="shared" si="1711"/>
        <v>行政財産</v>
      </c>
      <c r="D4771" s="7" t="str">
        <f t="shared" si="1708"/>
        <v>学校</v>
      </c>
      <c r="E4771" s="7" t="str">
        <f t="shared" si="1721"/>
        <v>大阪府豊中市北緑丘３丁目</v>
      </c>
      <c r="F4771" s="7"/>
      <c r="G4771" s="7" t="str">
        <f t="shared" si="1717"/>
        <v>事業用資産</v>
      </c>
      <c r="H4771" s="7" t="str">
        <f t="shared" si="1710"/>
        <v>棚卸以外</v>
      </c>
      <c r="I4771" s="7">
        <v>7</v>
      </c>
      <c r="J4771" s="7" t="str">
        <f>"Ｂ館"</f>
        <v>Ｂ館</v>
      </c>
      <c r="K4771" s="7" t="str">
        <f>"鉄筋コンクリート造"</f>
        <v>鉄筋コンクリート造</v>
      </c>
      <c r="L4771" s="7" t="str">
        <f>"S51.02.28"</f>
        <v>S51.02.28</v>
      </c>
      <c r="M4771" s="7">
        <v>3472.94</v>
      </c>
      <c r="N4771" s="7">
        <v>377689064</v>
      </c>
      <c r="O4771" s="7">
        <v>299963259</v>
      </c>
      <c r="P4771" s="7">
        <v>0</v>
      </c>
      <c r="Q4771" s="7" t="str">
        <f t="shared" si="1718"/>
        <v>教育庁</v>
      </c>
      <c r="R4771" s="7" t="str">
        <f t="shared" si="1723"/>
        <v>豊島高等学校</v>
      </c>
    </row>
    <row r="4772" spans="1:18" s="1" customFormat="1" x14ac:dyDescent="0.45">
      <c r="A4772" s="7" t="str">
        <f t="shared" si="1719"/>
        <v>10368000001</v>
      </c>
      <c r="B4772" s="7" t="str">
        <f t="shared" si="1720"/>
        <v>豊島高等学校</v>
      </c>
      <c r="C4772" s="7" t="str">
        <f t="shared" si="1711"/>
        <v>行政財産</v>
      </c>
      <c r="D4772" s="7" t="str">
        <f t="shared" si="1708"/>
        <v>学校</v>
      </c>
      <c r="E4772" s="7" t="str">
        <f t="shared" si="1721"/>
        <v>大阪府豊中市北緑丘３丁目</v>
      </c>
      <c r="F4772" s="7"/>
      <c r="G4772" s="7" t="str">
        <f t="shared" si="1717"/>
        <v>事業用資産</v>
      </c>
      <c r="H4772" s="7" t="str">
        <f t="shared" si="1710"/>
        <v>棚卸以外</v>
      </c>
      <c r="I4772" s="7">
        <v>8</v>
      </c>
      <c r="J4772" s="7" t="str">
        <f>"渡り廊下（Ａ－Ｂ）"</f>
        <v>渡り廊下（Ａ－Ｂ）</v>
      </c>
      <c r="K4772" s="7" t="str">
        <f>"鉄筋コンクリート造"</f>
        <v>鉄筋コンクリート造</v>
      </c>
      <c r="L4772" s="7" t="str">
        <f>"S51.02.28"</f>
        <v>S51.02.28</v>
      </c>
      <c r="M4772" s="7">
        <v>592.92999999999995</v>
      </c>
      <c r="N4772" s="7">
        <v>60097717</v>
      </c>
      <c r="O4772" s="7">
        <v>53748216</v>
      </c>
      <c r="P4772" s="7">
        <v>0</v>
      </c>
      <c r="Q4772" s="7" t="str">
        <f t="shared" si="1718"/>
        <v>教育庁</v>
      </c>
      <c r="R4772" s="7" t="str">
        <f t="shared" si="1723"/>
        <v>豊島高等学校</v>
      </c>
    </row>
    <row r="4773" spans="1:18" s="1" customFormat="1" x14ac:dyDescent="0.45">
      <c r="A4773" s="7" t="str">
        <f t="shared" si="1719"/>
        <v>10368000001</v>
      </c>
      <c r="B4773" s="7" t="str">
        <f t="shared" si="1720"/>
        <v>豊島高等学校</v>
      </c>
      <c r="C4773" s="7" t="str">
        <f t="shared" si="1711"/>
        <v>行政財産</v>
      </c>
      <c r="D4773" s="7" t="str">
        <f t="shared" si="1708"/>
        <v>学校</v>
      </c>
      <c r="E4773" s="7" t="str">
        <f t="shared" si="1721"/>
        <v>大阪府豊中市北緑丘３丁目</v>
      </c>
      <c r="F4773" s="7"/>
      <c r="G4773" s="7" t="str">
        <f t="shared" si="1717"/>
        <v>事業用資産</v>
      </c>
      <c r="H4773" s="7" t="str">
        <f t="shared" si="1710"/>
        <v>棚卸以外</v>
      </c>
      <c r="I4773" s="7">
        <v>9</v>
      </c>
      <c r="J4773" s="7" t="str">
        <f>"渡り廊下（Ｂ－Ｃ）"</f>
        <v>渡り廊下（Ｂ－Ｃ）</v>
      </c>
      <c r="K4773" s="7" t="str">
        <f>"鉄筋コンクリート造"</f>
        <v>鉄筋コンクリート造</v>
      </c>
      <c r="L4773" s="7" t="str">
        <f>"S51.02.28"</f>
        <v>S51.02.28</v>
      </c>
      <c r="M4773" s="7">
        <v>65.22</v>
      </c>
      <c r="N4773" s="7">
        <v>7715000</v>
      </c>
      <c r="O4773" s="7">
        <v>7714999</v>
      </c>
      <c r="P4773" s="7">
        <v>0</v>
      </c>
      <c r="Q4773" s="7" t="str">
        <f t="shared" si="1718"/>
        <v>教育庁</v>
      </c>
      <c r="R4773" s="7" t="str">
        <f t="shared" si="1723"/>
        <v>豊島高等学校</v>
      </c>
    </row>
    <row r="4774" spans="1:18" s="1" customFormat="1" x14ac:dyDescent="0.45">
      <c r="A4774" s="7" t="str">
        <f t="shared" si="1719"/>
        <v>10368000001</v>
      </c>
      <c r="B4774" s="7" t="str">
        <f t="shared" si="1720"/>
        <v>豊島高等学校</v>
      </c>
      <c r="C4774" s="7" t="str">
        <f t="shared" si="1711"/>
        <v>行政財産</v>
      </c>
      <c r="D4774" s="7" t="str">
        <f t="shared" si="1708"/>
        <v>学校</v>
      </c>
      <c r="E4774" s="7" t="str">
        <f t="shared" si="1721"/>
        <v>大阪府豊中市北緑丘３丁目</v>
      </c>
      <c r="F4774" s="7"/>
      <c r="G4774" s="7" t="str">
        <f t="shared" si="1717"/>
        <v>事業用資産</v>
      </c>
      <c r="H4774" s="7" t="str">
        <f t="shared" si="1710"/>
        <v>棚卸以外</v>
      </c>
      <c r="I4774" s="7">
        <v>11</v>
      </c>
      <c r="J4774" s="7" t="str">
        <f>"体育館"</f>
        <v>体育館</v>
      </c>
      <c r="K4774" s="7" t="str">
        <f>"鉄筋コンクリート造"</f>
        <v>鉄筋コンクリート造</v>
      </c>
      <c r="L4774" s="7" t="str">
        <f>"S51.06.30"</f>
        <v>S51.06.30</v>
      </c>
      <c r="M4774" s="7">
        <v>3042.89</v>
      </c>
      <c r="N4774" s="7">
        <v>382974709</v>
      </c>
      <c r="O4774" s="7">
        <v>294394239</v>
      </c>
      <c r="P4774" s="7">
        <v>0</v>
      </c>
      <c r="Q4774" s="7" t="str">
        <f t="shared" si="1718"/>
        <v>教育庁</v>
      </c>
      <c r="R4774" s="7" t="str">
        <f t="shared" si="1723"/>
        <v>豊島高等学校</v>
      </c>
    </row>
    <row r="4775" spans="1:18" s="1" customFormat="1" x14ac:dyDescent="0.45">
      <c r="A4775" s="7" t="str">
        <f t="shared" si="1719"/>
        <v>10368000001</v>
      </c>
      <c r="B4775" s="7" t="str">
        <f t="shared" si="1720"/>
        <v>豊島高等学校</v>
      </c>
      <c r="C4775" s="7" t="str">
        <f t="shared" si="1711"/>
        <v>行政財産</v>
      </c>
      <c r="D4775" s="7" t="str">
        <f t="shared" si="1708"/>
        <v>学校</v>
      </c>
      <c r="E4775" s="7" t="str">
        <f t="shared" si="1721"/>
        <v>大阪府豊中市北緑丘３丁目</v>
      </c>
      <c r="F4775" s="7"/>
      <c r="G4775" s="7" t="str">
        <f t="shared" si="1717"/>
        <v>事業用資産</v>
      </c>
      <c r="H4775" s="7" t="str">
        <f t="shared" si="1710"/>
        <v>棚卸以外</v>
      </c>
      <c r="I4775" s="7">
        <v>13</v>
      </c>
      <c r="J4775" s="7" t="str">
        <f>"プール附属棟"</f>
        <v>プール附属棟</v>
      </c>
      <c r="K4775" s="7" t="str">
        <f>"コンクリートブロック造"</f>
        <v>コンクリートブロック造</v>
      </c>
      <c r="L4775" s="7" t="str">
        <f>"S51.06.30"</f>
        <v>S51.06.30</v>
      </c>
      <c r="M4775" s="7">
        <v>138</v>
      </c>
      <c r="N4775" s="7">
        <v>20505642</v>
      </c>
      <c r="O4775" s="7">
        <v>20387659</v>
      </c>
      <c r="P4775" s="7">
        <v>0</v>
      </c>
      <c r="Q4775" s="7" t="str">
        <f t="shared" si="1718"/>
        <v>教育庁</v>
      </c>
      <c r="R4775" s="7" t="str">
        <f t="shared" si="1723"/>
        <v>豊島高等学校</v>
      </c>
    </row>
    <row r="4776" spans="1:18" s="1" customFormat="1" x14ac:dyDescent="0.45">
      <c r="A4776" s="7" t="str">
        <f t="shared" si="1719"/>
        <v>10368000001</v>
      </c>
      <c r="B4776" s="7" t="str">
        <f t="shared" si="1720"/>
        <v>豊島高等学校</v>
      </c>
      <c r="C4776" s="7" t="str">
        <f t="shared" si="1711"/>
        <v>行政財産</v>
      </c>
      <c r="D4776" s="7" t="str">
        <f t="shared" si="1708"/>
        <v>学校</v>
      </c>
      <c r="E4776" s="7" t="str">
        <f t="shared" si="1721"/>
        <v>大阪府豊中市北緑丘３丁目</v>
      </c>
      <c r="F4776" s="7"/>
      <c r="G4776" s="7" t="str">
        <f t="shared" si="1717"/>
        <v>事業用資産</v>
      </c>
      <c r="H4776" s="7" t="str">
        <f t="shared" si="1710"/>
        <v>棚卸以外</v>
      </c>
      <c r="I4776" s="7">
        <v>14</v>
      </c>
      <c r="J4776" s="7" t="str">
        <f>"倉庫（グランド）"</f>
        <v>倉庫（グランド）</v>
      </c>
      <c r="K4776" s="7" t="str">
        <f>"鉄骨造"</f>
        <v>鉄骨造</v>
      </c>
      <c r="L4776" s="7" t="str">
        <f>"S53.05.31"</f>
        <v>S53.05.31</v>
      </c>
      <c r="M4776" s="7">
        <v>50</v>
      </c>
      <c r="N4776" s="7">
        <v>3112000</v>
      </c>
      <c r="O4776" s="7">
        <v>3111999</v>
      </c>
      <c r="P4776" s="7">
        <v>0</v>
      </c>
      <c r="Q4776" s="7" t="str">
        <f t="shared" si="1718"/>
        <v>教育庁</v>
      </c>
      <c r="R4776" s="7" t="str">
        <f t="shared" si="1723"/>
        <v>豊島高等学校</v>
      </c>
    </row>
    <row r="4777" spans="1:18" s="1" customFormat="1" x14ac:dyDescent="0.45">
      <c r="A4777" s="7" t="str">
        <f t="shared" si="1719"/>
        <v>10368000001</v>
      </c>
      <c r="B4777" s="7" t="str">
        <f t="shared" si="1720"/>
        <v>豊島高等学校</v>
      </c>
      <c r="C4777" s="7" t="str">
        <f t="shared" si="1711"/>
        <v>行政財産</v>
      </c>
      <c r="D4777" s="7" t="str">
        <f t="shared" si="1708"/>
        <v>学校</v>
      </c>
      <c r="E4777" s="7" t="str">
        <f t="shared" si="1721"/>
        <v>大阪府豊中市北緑丘３丁目</v>
      </c>
      <c r="F4777" s="7"/>
      <c r="G4777" s="7" t="str">
        <f t="shared" si="1717"/>
        <v>事業用資産</v>
      </c>
      <c r="H4777" s="7" t="str">
        <f t="shared" si="1710"/>
        <v>棚卸以外</v>
      </c>
      <c r="I4777" s="7">
        <v>15</v>
      </c>
      <c r="J4777" s="7" t="str">
        <f>"自転車置場（３）"</f>
        <v>自転車置場（３）</v>
      </c>
      <c r="K4777" s="7" t="str">
        <f>"鉄骨造"</f>
        <v>鉄骨造</v>
      </c>
      <c r="L4777" s="7" t="str">
        <f>"S53.05.31"</f>
        <v>S53.05.31</v>
      </c>
      <c r="M4777" s="7">
        <v>67.17</v>
      </c>
      <c r="N4777" s="7">
        <v>3360559</v>
      </c>
      <c r="O4777" s="7">
        <v>3313326</v>
      </c>
      <c r="P4777" s="7">
        <v>0</v>
      </c>
      <c r="Q4777" s="7" t="str">
        <f t="shared" si="1718"/>
        <v>教育庁</v>
      </c>
      <c r="R4777" s="7" t="str">
        <f t="shared" si="1723"/>
        <v>豊島高等学校</v>
      </c>
    </row>
    <row r="4778" spans="1:18" s="1" customFormat="1" x14ac:dyDescent="0.45">
      <c r="A4778" s="7" t="str">
        <f t="shared" si="1719"/>
        <v>10368000001</v>
      </c>
      <c r="B4778" s="7" t="str">
        <f t="shared" si="1720"/>
        <v>豊島高等学校</v>
      </c>
      <c r="C4778" s="7" t="str">
        <f t="shared" si="1711"/>
        <v>行政財産</v>
      </c>
      <c r="D4778" s="7" t="str">
        <f t="shared" si="1708"/>
        <v>学校</v>
      </c>
      <c r="E4778" s="7" t="str">
        <f t="shared" si="1721"/>
        <v>大阪府豊中市北緑丘３丁目</v>
      </c>
      <c r="F4778" s="7"/>
      <c r="G4778" s="7" t="str">
        <f t="shared" si="1717"/>
        <v>事業用資産</v>
      </c>
      <c r="H4778" s="7" t="str">
        <f t="shared" si="1710"/>
        <v>棚卸以外</v>
      </c>
      <c r="I4778" s="7">
        <v>16</v>
      </c>
      <c r="J4778" s="7" t="str">
        <f>"陶芸釜置場"</f>
        <v>陶芸釜置場</v>
      </c>
      <c r="K4778" s="7" t="str">
        <f>"コンクリートブロック造"</f>
        <v>コンクリートブロック造</v>
      </c>
      <c r="L4778" s="7" t="str">
        <f>"S53.05.31"</f>
        <v>S53.05.31</v>
      </c>
      <c r="M4778" s="7">
        <v>9.2200000000000006</v>
      </c>
      <c r="N4778" s="7">
        <v>896000</v>
      </c>
      <c r="O4778" s="7">
        <v>895999</v>
      </c>
      <c r="P4778" s="7">
        <v>0</v>
      </c>
      <c r="Q4778" s="7" t="str">
        <f t="shared" si="1718"/>
        <v>教育庁</v>
      </c>
      <c r="R4778" s="7" t="str">
        <f t="shared" si="1723"/>
        <v>豊島高等学校</v>
      </c>
    </row>
    <row r="4779" spans="1:18" s="1" customFormat="1" x14ac:dyDescent="0.45">
      <c r="A4779" s="7" t="str">
        <f t="shared" si="1719"/>
        <v>10368000001</v>
      </c>
      <c r="B4779" s="7" t="str">
        <f t="shared" si="1720"/>
        <v>豊島高等学校</v>
      </c>
      <c r="C4779" s="7" t="str">
        <f t="shared" si="1711"/>
        <v>行政財産</v>
      </c>
      <c r="D4779" s="7" t="str">
        <f t="shared" si="1708"/>
        <v>学校</v>
      </c>
      <c r="E4779" s="7" t="str">
        <f t="shared" si="1721"/>
        <v>大阪府豊中市北緑丘３丁目</v>
      </c>
      <c r="F4779" s="7"/>
      <c r="G4779" s="7" t="str">
        <f t="shared" si="1717"/>
        <v>事業用資産</v>
      </c>
      <c r="H4779" s="7" t="str">
        <f t="shared" si="1710"/>
        <v>棚卸以外</v>
      </c>
      <c r="I4779" s="7">
        <v>17</v>
      </c>
      <c r="J4779" s="7" t="str">
        <f>"陶芸釜置場（小）"</f>
        <v>陶芸釜置場（小）</v>
      </c>
      <c r="K4779" s="7" t="str">
        <f>"鉄骨造"</f>
        <v>鉄骨造</v>
      </c>
      <c r="L4779" s="7" t="str">
        <f>"S58.10.25"</f>
        <v>S58.10.25</v>
      </c>
      <c r="M4779" s="7">
        <v>6.94</v>
      </c>
      <c r="N4779" s="7">
        <v>497000</v>
      </c>
      <c r="O4779" s="7">
        <v>496999</v>
      </c>
      <c r="P4779" s="7">
        <v>0</v>
      </c>
      <c r="Q4779" s="7" t="str">
        <f t="shared" si="1718"/>
        <v>教育庁</v>
      </c>
      <c r="R4779" s="7" t="str">
        <f t="shared" si="1723"/>
        <v>豊島高等学校</v>
      </c>
    </row>
    <row r="4780" spans="1:18" s="1" customFormat="1" x14ac:dyDescent="0.45">
      <c r="A4780" s="7" t="str">
        <f t="shared" si="1719"/>
        <v>10368000001</v>
      </c>
      <c r="B4780" s="7" t="str">
        <f t="shared" si="1720"/>
        <v>豊島高等学校</v>
      </c>
      <c r="C4780" s="7" t="str">
        <f t="shared" si="1711"/>
        <v>行政財産</v>
      </c>
      <c r="D4780" s="7" t="str">
        <f t="shared" si="1708"/>
        <v>学校</v>
      </c>
      <c r="E4780" s="7" t="str">
        <f t="shared" si="1721"/>
        <v>大阪府豊中市北緑丘３丁目</v>
      </c>
      <c r="F4780" s="7"/>
      <c r="G4780" s="7" t="str">
        <f t="shared" si="1717"/>
        <v>事業用資産</v>
      </c>
      <c r="H4780" s="7" t="str">
        <f t="shared" si="1710"/>
        <v>棚卸以外</v>
      </c>
      <c r="I4780" s="7">
        <v>18</v>
      </c>
      <c r="J4780" s="7" t="str">
        <f>"倉庫（クラブ）"</f>
        <v>倉庫（クラブ）</v>
      </c>
      <c r="K4780" s="7" t="str">
        <f>"鉄骨造"</f>
        <v>鉄骨造</v>
      </c>
      <c r="L4780" s="7" t="str">
        <f>"S53.05.31"</f>
        <v>S53.05.31</v>
      </c>
      <c r="M4780" s="7">
        <v>37.5</v>
      </c>
      <c r="N4780" s="7">
        <v>1576000</v>
      </c>
      <c r="O4780" s="7">
        <v>1575999</v>
      </c>
      <c r="P4780" s="7">
        <v>0</v>
      </c>
      <c r="Q4780" s="7" t="str">
        <f t="shared" si="1718"/>
        <v>教育庁</v>
      </c>
      <c r="R4780" s="7" t="str">
        <f t="shared" si="1723"/>
        <v>豊島高等学校</v>
      </c>
    </row>
    <row r="4781" spans="1:18" s="1" customFormat="1" x14ac:dyDescent="0.45">
      <c r="A4781" s="7" t="str">
        <f t="shared" ref="A4781:A4789" si="1724">"10369000000"</f>
        <v>10369000000</v>
      </c>
      <c r="B4781" s="7" t="str">
        <f t="shared" ref="B4781:B4789" si="1725">"刀根山高等学校"</f>
        <v>刀根山高等学校</v>
      </c>
      <c r="C4781" s="7" t="str">
        <f t="shared" si="1711"/>
        <v>行政財産</v>
      </c>
      <c r="D4781" s="7" t="str">
        <f t="shared" si="1708"/>
        <v>学校</v>
      </c>
      <c r="E4781" s="7" t="str">
        <f t="shared" ref="E4781:E4789" si="1726">"大阪府豊中市刀根山６丁目"</f>
        <v>大阪府豊中市刀根山６丁目</v>
      </c>
      <c r="F4781" s="7"/>
      <c r="G4781" s="7" t="str">
        <f t="shared" si="1717"/>
        <v>事業用資産</v>
      </c>
      <c r="H4781" s="7" t="str">
        <f t="shared" si="1710"/>
        <v>棚卸以外</v>
      </c>
      <c r="I4781" s="7">
        <v>1</v>
      </c>
      <c r="J4781" s="7" t="str">
        <f>"教室第１期棟"</f>
        <v>教室第１期棟</v>
      </c>
      <c r="K4781" s="7" t="str">
        <f>"鉄筋コンクリート造"</f>
        <v>鉄筋コンクリート造</v>
      </c>
      <c r="L4781" s="7" t="str">
        <f>"S52.05.27"</f>
        <v>S52.05.27</v>
      </c>
      <c r="M4781" s="7">
        <v>4108.67</v>
      </c>
      <c r="N4781" s="7">
        <v>561123027</v>
      </c>
      <c r="O4781" s="7">
        <v>487440225</v>
      </c>
      <c r="P4781" s="7">
        <v>0</v>
      </c>
      <c r="Q4781" s="7" t="str">
        <f t="shared" si="1718"/>
        <v>教育庁</v>
      </c>
      <c r="R4781" s="7" t="str">
        <f t="shared" ref="R4781:R4789" si="1727">"刀根山高等学校"</f>
        <v>刀根山高等学校</v>
      </c>
    </row>
    <row r="4782" spans="1:18" s="1" customFormat="1" x14ac:dyDescent="0.45">
      <c r="A4782" s="7" t="str">
        <f t="shared" si="1724"/>
        <v>10369000000</v>
      </c>
      <c r="B4782" s="7" t="str">
        <f t="shared" si="1725"/>
        <v>刀根山高等学校</v>
      </c>
      <c r="C4782" s="7" t="str">
        <f t="shared" si="1711"/>
        <v>行政財産</v>
      </c>
      <c r="D4782" s="7" t="str">
        <f t="shared" si="1708"/>
        <v>学校</v>
      </c>
      <c r="E4782" s="7" t="str">
        <f t="shared" si="1726"/>
        <v>大阪府豊中市刀根山６丁目</v>
      </c>
      <c r="F4782" s="7"/>
      <c r="G4782" s="7" t="str">
        <f t="shared" si="1717"/>
        <v>事業用資産</v>
      </c>
      <c r="H4782" s="7" t="str">
        <f t="shared" si="1710"/>
        <v>棚卸以外</v>
      </c>
      <c r="I4782" s="7">
        <v>2</v>
      </c>
      <c r="J4782" s="7" t="str">
        <f>"倉庫Ａ棟"</f>
        <v>倉庫Ａ棟</v>
      </c>
      <c r="K4782" s="7" t="str">
        <f>"鉄骨造"</f>
        <v>鉄骨造</v>
      </c>
      <c r="L4782" s="7" t="str">
        <f>"S52.05.27"</f>
        <v>S52.05.27</v>
      </c>
      <c r="M4782" s="7">
        <v>50</v>
      </c>
      <c r="N4782" s="7">
        <v>3739000</v>
      </c>
      <c r="O4782" s="7">
        <v>3738999</v>
      </c>
      <c r="P4782" s="7">
        <v>0</v>
      </c>
      <c r="Q4782" s="7" t="str">
        <f t="shared" si="1718"/>
        <v>教育庁</v>
      </c>
      <c r="R4782" s="7" t="str">
        <f t="shared" si="1727"/>
        <v>刀根山高等学校</v>
      </c>
    </row>
    <row r="4783" spans="1:18" s="1" customFormat="1" x14ac:dyDescent="0.45">
      <c r="A4783" s="7" t="str">
        <f t="shared" si="1724"/>
        <v>10369000000</v>
      </c>
      <c r="B4783" s="7" t="str">
        <f t="shared" si="1725"/>
        <v>刀根山高等学校</v>
      </c>
      <c r="C4783" s="7" t="str">
        <f t="shared" si="1711"/>
        <v>行政財産</v>
      </c>
      <c r="D4783" s="7" t="str">
        <f t="shared" si="1708"/>
        <v>学校</v>
      </c>
      <c r="E4783" s="7" t="str">
        <f t="shared" si="1726"/>
        <v>大阪府豊中市刀根山６丁目</v>
      </c>
      <c r="F4783" s="7"/>
      <c r="G4783" s="7" t="str">
        <f t="shared" si="1717"/>
        <v>事業用資産</v>
      </c>
      <c r="H4783" s="7" t="str">
        <f t="shared" si="1710"/>
        <v>棚卸以外</v>
      </c>
      <c r="I4783" s="7">
        <v>3</v>
      </c>
      <c r="J4783" s="7" t="str">
        <f>"倉庫Ｂ棟"</f>
        <v>倉庫Ｂ棟</v>
      </c>
      <c r="K4783" s="7" t="str">
        <f>"鉄骨造"</f>
        <v>鉄骨造</v>
      </c>
      <c r="L4783" s="7" t="str">
        <f>"S52.05.27"</f>
        <v>S52.05.27</v>
      </c>
      <c r="M4783" s="7">
        <v>50</v>
      </c>
      <c r="N4783" s="7">
        <v>3739000</v>
      </c>
      <c r="O4783" s="7">
        <v>3738999</v>
      </c>
      <c r="P4783" s="7">
        <v>0</v>
      </c>
      <c r="Q4783" s="7" t="str">
        <f t="shared" si="1718"/>
        <v>教育庁</v>
      </c>
      <c r="R4783" s="7" t="str">
        <f t="shared" si="1727"/>
        <v>刀根山高等学校</v>
      </c>
    </row>
    <row r="4784" spans="1:18" s="1" customFormat="1" x14ac:dyDescent="0.45">
      <c r="A4784" s="7" t="str">
        <f t="shared" si="1724"/>
        <v>10369000000</v>
      </c>
      <c r="B4784" s="7" t="str">
        <f t="shared" si="1725"/>
        <v>刀根山高等学校</v>
      </c>
      <c r="C4784" s="7" t="str">
        <f t="shared" si="1711"/>
        <v>行政財産</v>
      </c>
      <c r="D4784" s="7" t="str">
        <f t="shared" si="1708"/>
        <v>学校</v>
      </c>
      <c r="E4784" s="7" t="str">
        <f t="shared" si="1726"/>
        <v>大阪府豊中市刀根山６丁目</v>
      </c>
      <c r="F4784" s="7"/>
      <c r="G4784" s="7" t="str">
        <f t="shared" si="1717"/>
        <v>事業用資産</v>
      </c>
      <c r="H4784" s="7" t="str">
        <f t="shared" si="1710"/>
        <v>棚卸以外</v>
      </c>
      <c r="I4784" s="7">
        <v>4</v>
      </c>
      <c r="J4784" s="7" t="str">
        <f>"教室第２期棟"</f>
        <v>教室第２期棟</v>
      </c>
      <c r="K4784" s="7" t="str">
        <f>"鉄筋コンクリート造"</f>
        <v>鉄筋コンクリート造</v>
      </c>
      <c r="L4784" s="7" t="str">
        <f>"S53.03.31"</f>
        <v>S53.03.31</v>
      </c>
      <c r="M4784" s="7">
        <v>3929.98</v>
      </c>
      <c r="N4784" s="7">
        <v>493484833</v>
      </c>
      <c r="O4784" s="7">
        <v>364885755</v>
      </c>
      <c r="P4784" s="7">
        <v>0</v>
      </c>
      <c r="Q4784" s="7" t="str">
        <f t="shared" si="1718"/>
        <v>教育庁</v>
      </c>
      <c r="R4784" s="7" t="str">
        <f t="shared" si="1727"/>
        <v>刀根山高等学校</v>
      </c>
    </row>
    <row r="4785" spans="1:18" s="1" customFormat="1" x14ac:dyDescent="0.45">
      <c r="A4785" s="7" t="str">
        <f t="shared" si="1724"/>
        <v>10369000000</v>
      </c>
      <c r="B4785" s="7" t="str">
        <f t="shared" si="1725"/>
        <v>刀根山高等学校</v>
      </c>
      <c r="C4785" s="7" t="str">
        <f t="shared" si="1711"/>
        <v>行政財産</v>
      </c>
      <c r="D4785" s="7" t="str">
        <f t="shared" si="1708"/>
        <v>学校</v>
      </c>
      <c r="E4785" s="7" t="str">
        <f t="shared" si="1726"/>
        <v>大阪府豊中市刀根山６丁目</v>
      </c>
      <c r="F4785" s="7"/>
      <c r="G4785" s="7" t="str">
        <f t="shared" si="1717"/>
        <v>事業用資産</v>
      </c>
      <c r="H4785" s="7" t="str">
        <f t="shared" si="1710"/>
        <v>棚卸以外</v>
      </c>
      <c r="I4785" s="7">
        <v>5</v>
      </c>
      <c r="J4785" s="7" t="str">
        <f>"プール附属棟"</f>
        <v>プール附属棟</v>
      </c>
      <c r="K4785" s="7" t="str">
        <f>"鉄筋コンクリート造"</f>
        <v>鉄筋コンクリート造</v>
      </c>
      <c r="L4785" s="7" t="str">
        <f>"S53.08.18"</f>
        <v>S53.08.18</v>
      </c>
      <c r="M4785" s="7">
        <v>152.37</v>
      </c>
      <c r="N4785" s="7">
        <v>37715187</v>
      </c>
      <c r="O4785" s="7">
        <v>37666716</v>
      </c>
      <c r="P4785" s="7">
        <v>0</v>
      </c>
      <c r="Q4785" s="7" t="str">
        <f t="shared" si="1718"/>
        <v>教育庁</v>
      </c>
      <c r="R4785" s="7" t="str">
        <f t="shared" si="1727"/>
        <v>刀根山高等学校</v>
      </c>
    </row>
    <row r="4786" spans="1:18" s="1" customFormat="1" x14ac:dyDescent="0.45">
      <c r="A4786" s="7" t="str">
        <f t="shared" si="1724"/>
        <v>10369000000</v>
      </c>
      <c r="B4786" s="7" t="str">
        <f t="shared" si="1725"/>
        <v>刀根山高等学校</v>
      </c>
      <c r="C4786" s="7" t="str">
        <f t="shared" si="1711"/>
        <v>行政財産</v>
      </c>
      <c r="D4786" s="7" t="str">
        <f t="shared" si="1708"/>
        <v>学校</v>
      </c>
      <c r="E4786" s="7" t="str">
        <f t="shared" si="1726"/>
        <v>大阪府豊中市刀根山６丁目</v>
      </c>
      <c r="F4786" s="7"/>
      <c r="G4786" s="7" t="str">
        <f t="shared" si="1717"/>
        <v>事業用資産</v>
      </c>
      <c r="H4786" s="7" t="str">
        <f t="shared" si="1710"/>
        <v>棚卸以外</v>
      </c>
      <c r="I4786" s="7">
        <v>6</v>
      </c>
      <c r="J4786" s="7" t="str">
        <f>"体育館"</f>
        <v>体育館</v>
      </c>
      <c r="K4786" s="7" t="str">
        <f>"鉄筋コンクリート造"</f>
        <v>鉄筋コンクリート造</v>
      </c>
      <c r="L4786" s="7" t="str">
        <f>"S53.09.27"</f>
        <v>S53.09.27</v>
      </c>
      <c r="M4786" s="7">
        <v>3031.24</v>
      </c>
      <c r="N4786" s="7">
        <v>462986149</v>
      </c>
      <c r="O4786" s="7">
        <v>340480306</v>
      </c>
      <c r="P4786" s="7">
        <v>0</v>
      </c>
      <c r="Q4786" s="7" t="str">
        <f t="shared" si="1718"/>
        <v>教育庁</v>
      </c>
      <c r="R4786" s="7" t="str">
        <f t="shared" si="1727"/>
        <v>刀根山高等学校</v>
      </c>
    </row>
    <row r="4787" spans="1:18" s="1" customFormat="1" x14ac:dyDescent="0.45">
      <c r="A4787" s="7" t="str">
        <f t="shared" si="1724"/>
        <v>10369000000</v>
      </c>
      <c r="B4787" s="7" t="str">
        <f t="shared" si="1725"/>
        <v>刀根山高等学校</v>
      </c>
      <c r="C4787" s="7" t="str">
        <f t="shared" si="1711"/>
        <v>行政財産</v>
      </c>
      <c r="D4787" s="7" t="str">
        <f t="shared" si="1708"/>
        <v>学校</v>
      </c>
      <c r="E4787" s="7" t="str">
        <f t="shared" si="1726"/>
        <v>大阪府豊中市刀根山６丁目</v>
      </c>
      <c r="F4787" s="7"/>
      <c r="G4787" s="7" t="str">
        <f t="shared" si="1717"/>
        <v>事業用資産</v>
      </c>
      <c r="H4787" s="7" t="str">
        <f t="shared" si="1710"/>
        <v>棚卸以外</v>
      </c>
      <c r="I4787" s="7">
        <v>8</v>
      </c>
      <c r="J4787" s="7" t="str">
        <f>"教室第３期棟"</f>
        <v>教室第３期棟</v>
      </c>
      <c r="K4787" s="7" t="str">
        <f>"鉄筋コンクリート造"</f>
        <v>鉄筋コンクリート造</v>
      </c>
      <c r="L4787" s="7" t="str">
        <f>"S54.03.13"</f>
        <v>S54.03.13</v>
      </c>
      <c r="M4787" s="7">
        <v>2921.32</v>
      </c>
      <c r="N4787" s="7">
        <v>387655499</v>
      </c>
      <c r="O4787" s="7">
        <v>306894904</v>
      </c>
      <c r="P4787" s="7">
        <v>0</v>
      </c>
      <c r="Q4787" s="7" t="str">
        <f t="shared" si="1718"/>
        <v>教育庁</v>
      </c>
      <c r="R4787" s="7" t="str">
        <f t="shared" si="1727"/>
        <v>刀根山高等学校</v>
      </c>
    </row>
    <row r="4788" spans="1:18" s="1" customFormat="1" x14ac:dyDescent="0.45">
      <c r="A4788" s="7" t="str">
        <f t="shared" si="1724"/>
        <v>10369000000</v>
      </c>
      <c r="B4788" s="7" t="str">
        <f t="shared" si="1725"/>
        <v>刀根山高等学校</v>
      </c>
      <c r="C4788" s="7" t="str">
        <f t="shared" si="1711"/>
        <v>行政財産</v>
      </c>
      <c r="D4788" s="7" t="str">
        <f t="shared" si="1708"/>
        <v>学校</v>
      </c>
      <c r="E4788" s="7" t="str">
        <f t="shared" si="1726"/>
        <v>大阪府豊中市刀根山６丁目</v>
      </c>
      <c r="F4788" s="7"/>
      <c r="G4788" s="7" t="str">
        <f t="shared" si="1717"/>
        <v>事業用資産</v>
      </c>
      <c r="H4788" s="7" t="str">
        <f t="shared" si="1710"/>
        <v>棚卸以外</v>
      </c>
      <c r="I4788" s="7">
        <v>9</v>
      </c>
      <c r="J4788" s="7" t="str">
        <f>"倉庫Ｃ棟"</f>
        <v>倉庫Ｃ棟</v>
      </c>
      <c r="K4788" s="7" t="str">
        <f>"鉄骨造"</f>
        <v>鉄骨造</v>
      </c>
      <c r="L4788" s="7" t="str">
        <f>"S54.04.23"</f>
        <v>S54.04.23</v>
      </c>
      <c r="M4788" s="7">
        <v>100</v>
      </c>
      <c r="N4788" s="7">
        <v>6681000</v>
      </c>
      <c r="O4788" s="7">
        <v>6680999</v>
      </c>
      <c r="P4788" s="7">
        <v>0</v>
      </c>
      <c r="Q4788" s="7" t="str">
        <f t="shared" si="1718"/>
        <v>教育庁</v>
      </c>
      <c r="R4788" s="7" t="str">
        <f t="shared" si="1727"/>
        <v>刀根山高等学校</v>
      </c>
    </row>
    <row r="4789" spans="1:18" s="1" customFormat="1" x14ac:dyDescent="0.45">
      <c r="A4789" s="7" t="str">
        <f t="shared" si="1724"/>
        <v>10369000000</v>
      </c>
      <c r="B4789" s="7" t="str">
        <f t="shared" si="1725"/>
        <v>刀根山高等学校</v>
      </c>
      <c r="C4789" s="7" t="str">
        <f t="shared" si="1711"/>
        <v>行政財産</v>
      </c>
      <c r="D4789" s="7" t="str">
        <f t="shared" si="1708"/>
        <v>学校</v>
      </c>
      <c r="E4789" s="7" t="str">
        <f t="shared" si="1726"/>
        <v>大阪府豊中市刀根山６丁目</v>
      </c>
      <c r="F4789" s="7"/>
      <c r="G4789" s="7" t="str">
        <f t="shared" si="1717"/>
        <v>事業用資産</v>
      </c>
      <c r="H4789" s="7" t="str">
        <f t="shared" si="1710"/>
        <v>棚卸以外</v>
      </c>
      <c r="I4789" s="7">
        <v>10</v>
      </c>
      <c r="J4789" s="7" t="str">
        <f>"倉庫Ｄ棟"</f>
        <v>倉庫Ｄ棟</v>
      </c>
      <c r="K4789" s="7" t="str">
        <f>"鉄骨造"</f>
        <v>鉄骨造</v>
      </c>
      <c r="L4789" s="7" t="str">
        <f>"S63.03.31"</f>
        <v>S63.03.31</v>
      </c>
      <c r="M4789" s="7">
        <v>40.5</v>
      </c>
      <c r="N4789" s="7">
        <v>1845000</v>
      </c>
      <c r="O4789" s="7">
        <v>1844999</v>
      </c>
      <c r="P4789" s="7">
        <v>0</v>
      </c>
      <c r="Q4789" s="7" t="str">
        <f t="shared" si="1718"/>
        <v>教育庁</v>
      </c>
      <c r="R4789" s="7" t="str">
        <f t="shared" si="1727"/>
        <v>刀根山高等学校</v>
      </c>
    </row>
    <row r="4790" spans="1:18" s="1" customFormat="1" x14ac:dyDescent="0.45">
      <c r="A4790" s="7" t="str">
        <f t="shared" ref="A4790:A4811" si="1728">"10372000000"</f>
        <v>10372000000</v>
      </c>
      <c r="B4790" s="7" t="str">
        <f t="shared" ref="B4790:B4811" si="1729">"箕面高等学校"</f>
        <v>箕面高等学校</v>
      </c>
      <c r="C4790" s="7" t="str">
        <f t="shared" si="1711"/>
        <v>行政財産</v>
      </c>
      <c r="D4790" s="7" t="str">
        <f t="shared" si="1708"/>
        <v>学校</v>
      </c>
      <c r="E4790" s="7" t="str">
        <f t="shared" ref="E4790:E4811" si="1730">"大阪府箕面市牧落４丁目"</f>
        <v>大阪府箕面市牧落４丁目</v>
      </c>
      <c r="F4790" s="7"/>
      <c r="G4790" s="7" t="str">
        <f t="shared" si="1717"/>
        <v>事業用資産</v>
      </c>
      <c r="H4790" s="7" t="str">
        <f t="shared" si="1710"/>
        <v>棚卸以外</v>
      </c>
      <c r="I4790" s="7">
        <v>1</v>
      </c>
      <c r="J4790" s="7" t="str">
        <f>"普通教室棟"</f>
        <v>普通教室棟</v>
      </c>
      <c r="K4790" s="7" t="str">
        <f t="shared" ref="K4790:K4797" si="1731">"鉄筋コンクリート造"</f>
        <v>鉄筋コンクリート造</v>
      </c>
      <c r="L4790" s="7" t="str">
        <f>"S38.02.10"</f>
        <v>S38.02.10</v>
      </c>
      <c r="M4790" s="7">
        <v>2628.53</v>
      </c>
      <c r="N4790" s="7">
        <v>293152215</v>
      </c>
      <c r="O4790" s="7">
        <v>144891380</v>
      </c>
      <c r="P4790" s="7">
        <v>0</v>
      </c>
      <c r="Q4790" s="7" t="str">
        <f t="shared" si="1718"/>
        <v>教育庁</v>
      </c>
      <c r="R4790" s="7" t="str">
        <f t="shared" ref="R4790:R4811" si="1732">"箕面高等学校"</f>
        <v>箕面高等学校</v>
      </c>
    </row>
    <row r="4791" spans="1:18" s="1" customFormat="1" x14ac:dyDescent="0.45">
      <c r="A4791" s="7" t="str">
        <f t="shared" si="1728"/>
        <v>10372000000</v>
      </c>
      <c r="B4791" s="7" t="str">
        <f t="shared" si="1729"/>
        <v>箕面高等学校</v>
      </c>
      <c r="C4791" s="7" t="str">
        <f t="shared" si="1711"/>
        <v>行政財産</v>
      </c>
      <c r="D4791" s="7" t="str">
        <f t="shared" si="1708"/>
        <v>学校</v>
      </c>
      <c r="E4791" s="7" t="str">
        <f t="shared" si="1730"/>
        <v>大阪府箕面市牧落４丁目</v>
      </c>
      <c r="F4791" s="7"/>
      <c r="G4791" s="7" t="str">
        <f t="shared" si="1717"/>
        <v>事業用資産</v>
      </c>
      <c r="H4791" s="7" t="str">
        <f t="shared" si="1710"/>
        <v>棚卸以外</v>
      </c>
      <c r="I4791" s="7">
        <v>3</v>
      </c>
      <c r="J4791" s="7" t="str">
        <f>"電気室ポンプ室"</f>
        <v>電気室ポンプ室</v>
      </c>
      <c r="K4791" s="7" t="str">
        <f t="shared" si="1731"/>
        <v>鉄筋コンクリート造</v>
      </c>
      <c r="L4791" s="7" t="str">
        <f>"S38.02.10"</f>
        <v>S38.02.10</v>
      </c>
      <c r="M4791" s="7">
        <v>35</v>
      </c>
      <c r="N4791" s="7">
        <v>9747120</v>
      </c>
      <c r="O4791" s="7">
        <v>4544689</v>
      </c>
      <c r="P4791" s="7">
        <v>0</v>
      </c>
      <c r="Q4791" s="7" t="str">
        <f t="shared" si="1718"/>
        <v>教育庁</v>
      </c>
      <c r="R4791" s="7" t="str">
        <f t="shared" si="1732"/>
        <v>箕面高等学校</v>
      </c>
    </row>
    <row r="4792" spans="1:18" s="1" customFormat="1" x14ac:dyDescent="0.45">
      <c r="A4792" s="7" t="str">
        <f t="shared" si="1728"/>
        <v>10372000000</v>
      </c>
      <c r="B4792" s="7" t="str">
        <f t="shared" si="1729"/>
        <v>箕面高等学校</v>
      </c>
      <c r="C4792" s="7" t="str">
        <f t="shared" si="1711"/>
        <v>行政財産</v>
      </c>
      <c r="D4792" s="7" t="str">
        <f t="shared" si="1708"/>
        <v>学校</v>
      </c>
      <c r="E4792" s="7" t="str">
        <f t="shared" si="1730"/>
        <v>大阪府箕面市牧落４丁目</v>
      </c>
      <c r="F4792" s="7"/>
      <c r="G4792" s="7" t="str">
        <f t="shared" si="1717"/>
        <v>事業用資産</v>
      </c>
      <c r="H4792" s="7" t="str">
        <f t="shared" si="1710"/>
        <v>棚卸以外</v>
      </c>
      <c r="I4792" s="7">
        <v>6</v>
      </c>
      <c r="J4792" s="7" t="str">
        <f>"特別教室棟"</f>
        <v>特別教室棟</v>
      </c>
      <c r="K4792" s="7" t="str">
        <f t="shared" si="1731"/>
        <v>鉄筋コンクリート造</v>
      </c>
      <c r="L4792" s="7" t="str">
        <f>"S39.02.29"</f>
        <v>S39.02.29</v>
      </c>
      <c r="M4792" s="7">
        <v>2767.92</v>
      </c>
      <c r="N4792" s="7">
        <v>157495127</v>
      </c>
      <c r="O4792" s="7">
        <v>119259141</v>
      </c>
      <c r="P4792" s="7">
        <v>0</v>
      </c>
      <c r="Q4792" s="7" t="str">
        <f t="shared" si="1718"/>
        <v>教育庁</v>
      </c>
      <c r="R4792" s="7" t="str">
        <f t="shared" si="1732"/>
        <v>箕面高等学校</v>
      </c>
    </row>
    <row r="4793" spans="1:18" s="1" customFormat="1" x14ac:dyDescent="0.45">
      <c r="A4793" s="7" t="str">
        <f t="shared" si="1728"/>
        <v>10372000000</v>
      </c>
      <c r="B4793" s="7" t="str">
        <f t="shared" si="1729"/>
        <v>箕面高等学校</v>
      </c>
      <c r="C4793" s="7" t="str">
        <f t="shared" si="1711"/>
        <v>行政財産</v>
      </c>
      <c r="D4793" s="7" t="str">
        <f t="shared" ref="D4793:D4856" si="1733">"学校"</f>
        <v>学校</v>
      </c>
      <c r="E4793" s="7" t="str">
        <f t="shared" si="1730"/>
        <v>大阪府箕面市牧落４丁目</v>
      </c>
      <c r="F4793" s="7"/>
      <c r="G4793" s="7" t="str">
        <f t="shared" si="1717"/>
        <v>事業用資産</v>
      </c>
      <c r="H4793" s="7" t="str">
        <f t="shared" si="1710"/>
        <v>棚卸以外</v>
      </c>
      <c r="I4793" s="7">
        <v>7</v>
      </c>
      <c r="J4793" s="7" t="str">
        <f>"渡り廊下"</f>
        <v>渡り廊下</v>
      </c>
      <c r="K4793" s="7" t="str">
        <f t="shared" si="1731"/>
        <v>鉄筋コンクリート造</v>
      </c>
      <c r="L4793" s="7" t="str">
        <f>"S39.02.29"</f>
        <v>S39.02.29</v>
      </c>
      <c r="M4793" s="7">
        <v>81.599999999999994</v>
      </c>
      <c r="N4793" s="7">
        <v>4527870</v>
      </c>
      <c r="O4793" s="7">
        <v>3080770</v>
      </c>
      <c r="P4793" s="7">
        <v>0</v>
      </c>
      <c r="Q4793" s="7" t="str">
        <f t="shared" si="1718"/>
        <v>教育庁</v>
      </c>
      <c r="R4793" s="7" t="str">
        <f t="shared" si="1732"/>
        <v>箕面高等学校</v>
      </c>
    </row>
    <row r="4794" spans="1:18" s="1" customFormat="1" x14ac:dyDescent="0.45">
      <c r="A4794" s="7" t="str">
        <f t="shared" si="1728"/>
        <v>10372000000</v>
      </c>
      <c r="B4794" s="7" t="str">
        <f t="shared" si="1729"/>
        <v>箕面高等学校</v>
      </c>
      <c r="C4794" s="7" t="str">
        <f t="shared" si="1711"/>
        <v>行政財産</v>
      </c>
      <c r="D4794" s="7" t="str">
        <f t="shared" si="1733"/>
        <v>学校</v>
      </c>
      <c r="E4794" s="7" t="str">
        <f t="shared" si="1730"/>
        <v>大阪府箕面市牧落４丁目</v>
      </c>
      <c r="F4794" s="7"/>
      <c r="G4794" s="7" t="str">
        <f t="shared" si="1717"/>
        <v>事業用資産</v>
      </c>
      <c r="H4794" s="7" t="str">
        <f t="shared" si="1710"/>
        <v>棚卸以外</v>
      </c>
      <c r="I4794" s="7">
        <v>9</v>
      </c>
      <c r="J4794" s="7" t="str">
        <f>"管理室棟（本館）"</f>
        <v>管理室棟（本館）</v>
      </c>
      <c r="K4794" s="7" t="str">
        <f t="shared" si="1731"/>
        <v>鉄筋コンクリート造</v>
      </c>
      <c r="L4794" s="7" t="str">
        <f>"S40.02.28"</f>
        <v>S40.02.28</v>
      </c>
      <c r="M4794" s="7">
        <v>2625.82</v>
      </c>
      <c r="N4794" s="7">
        <v>181932294</v>
      </c>
      <c r="O4794" s="7">
        <v>124671980</v>
      </c>
      <c r="P4794" s="7">
        <v>0</v>
      </c>
      <c r="Q4794" s="7" t="str">
        <f t="shared" si="1718"/>
        <v>教育庁</v>
      </c>
      <c r="R4794" s="7" t="str">
        <f t="shared" si="1732"/>
        <v>箕面高等学校</v>
      </c>
    </row>
    <row r="4795" spans="1:18" s="1" customFormat="1" x14ac:dyDescent="0.45">
      <c r="A4795" s="7" t="str">
        <f t="shared" si="1728"/>
        <v>10372000000</v>
      </c>
      <c r="B4795" s="7" t="str">
        <f t="shared" si="1729"/>
        <v>箕面高等学校</v>
      </c>
      <c r="C4795" s="7" t="str">
        <f t="shared" si="1711"/>
        <v>行政財産</v>
      </c>
      <c r="D4795" s="7" t="str">
        <f t="shared" si="1733"/>
        <v>学校</v>
      </c>
      <c r="E4795" s="7" t="str">
        <f t="shared" si="1730"/>
        <v>大阪府箕面市牧落４丁目</v>
      </c>
      <c r="F4795" s="7"/>
      <c r="G4795" s="7" t="str">
        <f t="shared" si="1717"/>
        <v>事業用資産</v>
      </c>
      <c r="H4795" s="7" t="str">
        <f t="shared" si="1710"/>
        <v>棚卸以外</v>
      </c>
      <c r="I4795" s="7">
        <v>10</v>
      </c>
      <c r="J4795" s="7" t="str">
        <f>"渡り廊下（Ａ"</f>
        <v>渡り廊下（Ａ</v>
      </c>
      <c r="K4795" s="7" t="str">
        <f t="shared" si="1731"/>
        <v>鉄筋コンクリート造</v>
      </c>
      <c r="L4795" s="7" t="str">
        <f>"S40.02.28"</f>
        <v>S40.02.28</v>
      </c>
      <c r="M4795" s="7">
        <v>158.27000000000001</v>
      </c>
      <c r="N4795" s="7">
        <v>3331000</v>
      </c>
      <c r="O4795" s="7">
        <v>3330999</v>
      </c>
      <c r="P4795" s="7">
        <v>0</v>
      </c>
      <c r="Q4795" s="7" t="str">
        <f t="shared" si="1718"/>
        <v>教育庁</v>
      </c>
      <c r="R4795" s="7" t="str">
        <f t="shared" si="1732"/>
        <v>箕面高等学校</v>
      </c>
    </row>
    <row r="4796" spans="1:18" s="1" customFormat="1" x14ac:dyDescent="0.45">
      <c r="A4796" s="7" t="str">
        <f t="shared" si="1728"/>
        <v>10372000000</v>
      </c>
      <c r="B4796" s="7" t="str">
        <f t="shared" si="1729"/>
        <v>箕面高等学校</v>
      </c>
      <c r="C4796" s="7" t="str">
        <f t="shared" si="1711"/>
        <v>行政財産</v>
      </c>
      <c r="D4796" s="7" t="str">
        <f t="shared" si="1733"/>
        <v>学校</v>
      </c>
      <c r="E4796" s="7" t="str">
        <f t="shared" si="1730"/>
        <v>大阪府箕面市牧落４丁目</v>
      </c>
      <c r="F4796" s="7"/>
      <c r="G4796" s="7" t="str">
        <f t="shared" si="1717"/>
        <v>事業用資産</v>
      </c>
      <c r="H4796" s="7" t="str">
        <f t="shared" si="1710"/>
        <v>棚卸以外</v>
      </c>
      <c r="I4796" s="7">
        <v>11</v>
      </c>
      <c r="J4796" s="7" t="str">
        <f>"渡り廊下Ｂ"</f>
        <v>渡り廊下Ｂ</v>
      </c>
      <c r="K4796" s="7" t="str">
        <f t="shared" si="1731"/>
        <v>鉄筋コンクリート造</v>
      </c>
      <c r="L4796" s="7" t="str">
        <f>"S40.02.28"</f>
        <v>S40.02.28</v>
      </c>
      <c r="M4796" s="7">
        <v>158.27000000000001</v>
      </c>
      <c r="N4796" s="7">
        <v>3329000</v>
      </c>
      <c r="O4796" s="7">
        <v>3328999</v>
      </c>
      <c r="P4796" s="7">
        <v>0</v>
      </c>
      <c r="Q4796" s="7" t="str">
        <f t="shared" si="1718"/>
        <v>教育庁</v>
      </c>
      <c r="R4796" s="7" t="str">
        <f t="shared" si="1732"/>
        <v>箕面高等学校</v>
      </c>
    </row>
    <row r="4797" spans="1:18" s="1" customFormat="1" x14ac:dyDescent="0.45">
      <c r="A4797" s="7" t="str">
        <f t="shared" si="1728"/>
        <v>10372000000</v>
      </c>
      <c r="B4797" s="7" t="str">
        <f t="shared" si="1729"/>
        <v>箕面高等学校</v>
      </c>
      <c r="C4797" s="7" t="str">
        <f t="shared" si="1711"/>
        <v>行政財産</v>
      </c>
      <c r="D4797" s="7" t="str">
        <f t="shared" si="1733"/>
        <v>学校</v>
      </c>
      <c r="E4797" s="7" t="str">
        <f t="shared" si="1730"/>
        <v>大阪府箕面市牧落４丁目</v>
      </c>
      <c r="F4797" s="7"/>
      <c r="G4797" s="7" t="str">
        <f t="shared" si="1717"/>
        <v>事業用資産</v>
      </c>
      <c r="H4797" s="7" t="str">
        <f t="shared" si="1710"/>
        <v>棚卸以外</v>
      </c>
      <c r="I4797" s="7">
        <v>12</v>
      </c>
      <c r="J4797" s="7" t="str">
        <f>"体育館"</f>
        <v>体育館</v>
      </c>
      <c r="K4797" s="7" t="str">
        <f t="shared" si="1731"/>
        <v>鉄筋コンクリート造</v>
      </c>
      <c r="L4797" s="7" t="str">
        <f>"S40.12.20"</f>
        <v>S40.12.20</v>
      </c>
      <c r="M4797" s="7">
        <v>2201.6</v>
      </c>
      <c r="N4797" s="7">
        <v>114397563</v>
      </c>
      <c r="O4797" s="7">
        <v>86257286</v>
      </c>
      <c r="P4797" s="7">
        <v>0</v>
      </c>
      <c r="Q4797" s="7" t="str">
        <f t="shared" si="1718"/>
        <v>教育庁</v>
      </c>
      <c r="R4797" s="7" t="str">
        <f t="shared" si="1732"/>
        <v>箕面高等学校</v>
      </c>
    </row>
    <row r="4798" spans="1:18" s="1" customFormat="1" x14ac:dyDescent="0.45">
      <c r="A4798" s="7" t="str">
        <f t="shared" si="1728"/>
        <v>10372000000</v>
      </c>
      <c r="B4798" s="7" t="str">
        <f t="shared" si="1729"/>
        <v>箕面高等学校</v>
      </c>
      <c r="C4798" s="7" t="str">
        <f t="shared" si="1711"/>
        <v>行政財産</v>
      </c>
      <c r="D4798" s="7" t="str">
        <f t="shared" si="1733"/>
        <v>学校</v>
      </c>
      <c r="E4798" s="7" t="str">
        <f t="shared" si="1730"/>
        <v>大阪府箕面市牧落４丁目</v>
      </c>
      <c r="F4798" s="7"/>
      <c r="G4798" s="7" t="str">
        <f t="shared" si="1717"/>
        <v>事業用資産</v>
      </c>
      <c r="H4798" s="7" t="str">
        <f t="shared" si="1710"/>
        <v>棚卸以外</v>
      </c>
      <c r="I4798" s="7">
        <v>14</v>
      </c>
      <c r="J4798" s="7" t="str">
        <f>"食堂"</f>
        <v>食堂</v>
      </c>
      <c r="K4798" s="7" t="str">
        <f>"鉄骨造"</f>
        <v>鉄骨造</v>
      </c>
      <c r="L4798" s="7" t="str">
        <f>"S41.11.30"</f>
        <v>S41.11.30</v>
      </c>
      <c r="M4798" s="7">
        <v>322</v>
      </c>
      <c r="N4798" s="7">
        <v>19012025</v>
      </c>
      <c r="O4798" s="7">
        <v>14889001</v>
      </c>
      <c r="P4798" s="7">
        <v>0</v>
      </c>
      <c r="Q4798" s="7" t="str">
        <f t="shared" si="1718"/>
        <v>教育庁</v>
      </c>
      <c r="R4798" s="7" t="str">
        <f t="shared" si="1732"/>
        <v>箕面高等学校</v>
      </c>
    </row>
    <row r="4799" spans="1:18" s="1" customFormat="1" x14ac:dyDescent="0.45">
      <c r="A4799" s="7" t="str">
        <f t="shared" si="1728"/>
        <v>10372000000</v>
      </c>
      <c r="B4799" s="7" t="str">
        <f t="shared" si="1729"/>
        <v>箕面高等学校</v>
      </c>
      <c r="C4799" s="7" t="str">
        <f t="shared" si="1711"/>
        <v>行政財産</v>
      </c>
      <c r="D4799" s="7" t="str">
        <f t="shared" si="1733"/>
        <v>学校</v>
      </c>
      <c r="E4799" s="7" t="str">
        <f t="shared" si="1730"/>
        <v>大阪府箕面市牧落４丁目</v>
      </c>
      <c r="F4799" s="7"/>
      <c r="G4799" s="7" t="str">
        <f t="shared" si="1717"/>
        <v>事業用資産</v>
      </c>
      <c r="H4799" s="7" t="str">
        <f t="shared" si="1710"/>
        <v>棚卸以外</v>
      </c>
      <c r="I4799" s="7">
        <v>17</v>
      </c>
      <c r="J4799" s="7" t="str">
        <f>"少量危険物取扱所"</f>
        <v>少量危険物取扱所</v>
      </c>
      <c r="K4799" s="7" t="str">
        <f t="shared" ref="K4799:K4804" si="1734">"コンクリートブロック造"</f>
        <v>コンクリートブロック造</v>
      </c>
      <c r="L4799" s="7" t="str">
        <f>"S41.03.31"</f>
        <v>S41.03.31</v>
      </c>
      <c r="M4799" s="7">
        <v>3.9</v>
      </c>
      <c r="N4799" s="7">
        <v>38800</v>
      </c>
      <c r="O4799" s="7">
        <v>38799</v>
      </c>
      <c r="P4799" s="7">
        <v>0</v>
      </c>
      <c r="Q4799" s="7" t="str">
        <f t="shared" si="1718"/>
        <v>教育庁</v>
      </c>
      <c r="R4799" s="7" t="str">
        <f t="shared" si="1732"/>
        <v>箕面高等学校</v>
      </c>
    </row>
    <row r="4800" spans="1:18" s="1" customFormat="1" x14ac:dyDescent="0.45">
      <c r="A4800" s="7" t="str">
        <f t="shared" si="1728"/>
        <v>10372000000</v>
      </c>
      <c r="B4800" s="7" t="str">
        <f t="shared" si="1729"/>
        <v>箕面高等学校</v>
      </c>
      <c r="C4800" s="7" t="str">
        <f t="shared" si="1711"/>
        <v>行政財産</v>
      </c>
      <c r="D4800" s="7" t="str">
        <f t="shared" si="1733"/>
        <v>学校</v>
      </c>
      <c r="E4800" s="7" t="str">
        <f t="shared" si="1730"/>
        <v>大阪府箕面市牧落４丁目</v>
      </c>
      <c r="F4800" s="7"/>
      <c r="G4800" s="7" t="str">
        <f t="shared" si="1717"/>
        <v>事業用資産</v>
      </c>
      <c r="H4800" s="7" t="str">
        <f t="shared" si="1710"/>
        <v>棚卸以外</v>
      </c>
      <c r="I4800" s="7">
        <v>18</v>
      </c>
      <c r="J4800" s="7" t="str">
        <f>"石灰倉庫"</f>
        <v>石灰倉庫</v>
      </c>
      <c r="K4800" s="7" t="str">
        <f t="shared" si="1734"/>
        <v>コンクリートブロック造</v>
      </c>
      <c r="L4800" s="7" t="str">
        <f>"S42.03.02"</f>
        <v>S42.03.02</v>
      </c>
      <c r="M4800" s="7">
        <v>5.9</v>
      </c>
      <c r="N4800" s="7">
        <v>104000</v>
      </c>
      <c r="O4800" s="7">
        <v>103999</v>
      </c>
      <c r="P4800" s="7">
        <v>0</v>
      </c>
      <c r="Q4800" s="7" t="str">
        <f t="shared" si="1718"/>
        <v>教育庁</v>
      </c>
      <c r="R4800" s="7" t="str">
        <f t="shared" si="1732"/>
        <v>箕面高等学校</v>
      </c>
    </row>
    <row r="4801" spans="1:18" s="1" customFormat="1" x14ac:dyDescent="0.45">
      <c r="A4801" s="7" t="str">
        <f t="shared" si="1728"/>
        <v>10372000000</v>
      </c>
      <c r="B4801" s="7" t="str">
        <f t="shared" si="1729"/>
        <v>箕面高等学校</v>
      </c>
      <c r="C4801" s="7" t="str">
        <f t="shared" si="1711"/>
        <v>行政財産</v>
      </c>
      <c r="D4801" s="7" t="str">
        <f t="shared" si="1733"/>
        <v>学校</v>
      </c>
      <c r="E4801" s="7" t="str">
        <f t="shared" si="1730"/>
        <v>大阪府箕面市牧落４丁目</v>
      </c>
      <c r="F4801" s="7"/>
      <c r="G4801" s="7" t="str">
        <f t="shared" si="1717"/>
        <v>事業用資産</v>
      </c>
      <c r="H4801" s="7" t="str">
        <f t="shared" si="1710"/>
        <v>棚卸以外</v>
      </c>
      <c r="I4801" s="7">
        <v>19</v>
      </c>
      <c r="J4801" s="7" t="str">
        <f>"薬品倉庫"</f>
        <v>薬品倉庫</v>
      </c>
      <c r="K4801" s="7" t="str">
        <f t="shared" si="1734"/>
        <v>コンクリートブロック造</v>
      </c>
      <c r="L4801" s="7" t="str">
        <f>"S42.03.02"</f>
        <v>S42.03.02</v>
      </c>
      <c r="M4801" s="7">
        <v>1.72</v>
      </c>
      <c r="N4801" s="7">
        <v>66000</v>
      </c>
      <c r="O4801" s="7">
        <v>65999</v>
      </c>
      <c r="P4801" s="7">
        <v>0</v>
      </c>
      <c r="Q4801" s="7" t="str">
        <f t="shared" si="1718"/>
        <v>教育庁</v>
      </c>
      <c r="R4801" s="7" t="str">
        <f t="shared" si="1732"/>
        <v>箕面高等学校</v>
      </c>
    </row>
    <row r="4802" spans="1:18" s="1" customFormat="1" x14ac:dyDescent="0.45">
      <c r="A4802" s="7" t="str">
        <f t="shared" si="1728"/>
        <v>10372000000</v>
      </c>
      <c r="B4802" s="7" t="str">
        <f t="shared" si="1729"/>
        <v>箕面高等学校</v>
      </c>
      <c r="C4802" s="7" t="str">
        <f t="shared" si="1711"/>
        <v>行政財産</v>
      </c>
      <c r="D4802" s="7" t="str">
        <f t="shared" si="1733"/>
        <v>学校</v>
      </c>
      <c r="E4802" s="7" t="str">
        <f t="shared" si="1730"/>
        <v>大阪府箕面市牧落４丁目</v>
      </c>
      <c r="F4802" s="7"/>
      <c r="G4802" s="7" t="str">
        <f t="shared" si="1717"/>
        <v>事業用資産</v>
      </c>
      <c r="H4802" s="7" t="str">
        <f t="shared" si="1710"/>
        <v>棚卸以外</v>
      </c>
      <c r="I4802" s="7">
        <v>20</v>
      </c>
      <c r="J4802" s="7" t="str">
        <f>"機械室"</f>
        <v>機械室</v>
      </c>
      <c r="K4802" s="7" t="str">
        <f t="shared" si="1734"/>
        <v>コンクリートブロック造</v>
      </c>
      <c r="L4802" s="7" t="str">
        <f>"S43.03.28"</f>
        <v>S43.03.28</v>
      </c>
      <c r="M4802" s="7">
        <v>28.32</v>
      </c>
      <c r="N4802" s="7">
        <v>2919492</v>
      </c>
      <c r="O4802" s="7">
        <v>2919491</v>
      </c>
      <c r="P4802" s="7">
        <v>0</v>
      </c>
      <c r="Q4802" s="7" t="str">
        <f t="shared" si="1718"/>
        <v>教育庁</v>
      </c>
      <c r="R4802" s="7" t="str">
        <f t="shared" si="1732"/>
        <v>箕面高等学校</v>
      </c>
    </row>
    <row r="4803" spans="1:18" s="1" customFormat="1" x14ac:dyDescent="0.45">
      <c r="A4803" s="7" t="str">
        <f t="shared" si="1728"/>
        <v>10372000000</v>
      </c>
      <c r="B4803" s="7" t="str">
        <f t="shared" si="1729"/>
        <v>箕面高等学校</v>
      </c>
      <c r="C4803" s="7" t="str">
        <f t="shared" si="1711"/>
        <v>行政財産</v>
      </c>
      <c r="D4803" s="7" t="str">
        <f t="shared" si="1733"/>
        <v>学校</v>
      </c>
      <c r="E4803" s="7" t="str">
        <f t="shared" si="1730"/>
        <v>大阪府箕面市牧落４丁目</v>
      </c>
      <c r="F4803" s="7"/>
      <c r="G4803" s="7" t="str">
        <f t="shared" si="1717"/>
        <v>事業用資産</v>
      </c>
      <c r="H4803" s="7" t="str">
        <f t="shared" si="1710"/>
        <v>棚卸以外</v>
      </c>
      <c r="I4803" s="7">
        <v>22</v>
      </c>
      <c r="J4803" s="7" t="str">
        <f>"プール用更衣室"</f>
        <v>プール用更衣室</v>
      </c>
      <c r="K4803" s="7" t="str">
        <f t="shared" si="1734"/>
        <v>コンクリートブロック造</v>
      </c>
      <c r="L4803" s="7" t="str">
        <f>"S46.01.14"</f>
        <v>S46.01.14</v>
      </c>
      <c r="M4803" s="7">
        <v>38.270000000000003</v>
      </c>
      <c r="N4803" s="7">
        <v>2903000</v>
      </c>
      <c r="O4803" s="7">
        <v>2902999</v>
      </c>
      <c r="P4803" s="7">
        <v>0</v>
      </c>
      <c r="Q4803" s="7" t="str">
        <f t="shared" si="1718"/>
        <v>教育庁</v>
      </c>
      <c r="R4803" s="7" t="str">
        <f t="shared" si="1732"/>
        <v>箕面高等学校</v>
      </c>
    </row>
    <row r="4804" spans="1:18" s="1" customFormat="1" x14ac:dyDescent="0.45">
      <c r="A4804" s="7" t="str">
        <f t="shared" si="1728"/>
        <v>10372000000</v>
      </c>
      <c r="B4804" s="7" t="str">
        <f t="shared" si="1729"/>
        <v>箕面高等学校</v>
      </c>
      <c r="C4804" s="7" t="str">
        <f t="shared" si="1711"/>
        <v>行政財産</v>
      </c>
      <c r="D4804" s="7" t="str">
        <f t="shared" si="1733"/>
        <v>学校</v>
      </c>
      <c r="E4804" s="7" t="str">
        <f t="shared" si="1730"/>
        <v>大阪府箕面市牧落４丁目</v>
      </c>
      <c r="F4804" s="7"/>
      <c r="G4804" s="7" t="str">
        <f t="shared" si="1717"/>
        <v>事業用資産</v>
      </c>
      <c r="H4804" s="7" t="str">
        <f t="shared" ref="H4804:H4867" si="1735">"棚卸以外"</f>
        <v>棚卸以外</v>
      </c>
      <c r="I4804" s="7">
        <v>26</v>
      </c>
      <c r="J4804" s="7" t="str">
        <f>"倉庫"</f>
        <v>倉庫</v>
      </c>
      <c r="K4804" s="7" t="str">
        <f t="shared" si="1734"/>
        <v>コンクリートブロック造</v>
      </c>
      <c r="L4804" s="7" t="str">
        <f>"S50.01.24"</f>
        <v>S50.01.24</v>
      </c>
      <c r="M4804" s="7">
        <v>90</v>
      </c>
      <c r="N4804" s="7">
        <v>5742000</v>
      </c>
      <c r="O4804" s="7">
        <v>5741999</v>
      </c>
      <c r="P4804" s="7">
        <v>0</v>
      </c>
      <c r="Q4804" s="7" t="str">
        <f t="shared" si="1718"/>
        <v>教育庁</v>
      </c>
      <c r="R4804" s="7" t="str">
        <f t="shared" si="1732"/>
        <v>箕面高等学校</v>
      </c>
    </row>
    <row r="4805" spans="1:18" s="1" customFormat="1" x14ac:dyDescent="0.45">
      <c r="A4805" s="7" t="str">
        <f t="shared" si="1728"/>
        <v>10372000000</v>
      </c>
      <c r="B4805" s="7" t="str">
        <f t="shared" si="1729"/>
        <v>箕面高等学校</v>
      </c>
      <c r="C4805" s="7" t="str">
        <f t="shared" si="1711"/>
        <v>行政財産</v>
      </c>
      <c r="D4805" s="7" t="str">
        <f t="shared" si="1733"/>
        <v>学校</v>
      </c>
      <c r="E4805" s="7" t="str">
        <f t="shared" si="1730"/>
        <v>大阪府箕面市牧落４丁目</v>
      </c>
      <c r="F4805" s="7"/>
      <c r="G4805" s="7" t="str">
        <f t="shared" si="1717"/>
        <v>事業用資産</v>
      </c>
      <c r="H4805" s="7" t="str">
        <f t="shared" si="1735"/>
        <v>棚卸以外</v>
      </c>
      <c r="I4805" s="7">
        <v>27</v>
      </c>
      <c r="J4805" s="7" t="str">
        <f>"新館（視聴覚図書室棟）"</f>
        <v>新館（視聴覚図書室棟）</v>
      </c>
      <c r="K4805" s="7" t="str">
        <f>"鉄筋コンクリート造"</f>
        <v>鉄筋コンクリート造</v>
      </c>
      <c r="L4805" s="7" t="str">
        <f>"S56.01.30"</f>
        <v>S56.01.30</v>
      </c>
      <c r="M4805" s="7">
        <v>720</v>
      </c>
      <c r="N4805" s="7">
        <v>127394618</v>
      </c>
      <c r="O4805" s="7">
        <v>109649287</v>
      </c>
      <c r="P4805" s="7">
        <v>0</v>
      </c>
      <c r="Q4805" s="7" t="str">
        <f t="shared" si="1718"/>
        <v>教育庁</v>
      </c>
      <c r="R4805" s="7" t="str">
        <f t="shared" si="1732"/>
        <v>箕面高等学校</v>
      </c>
    </row>
    <row r="4806" spans="1:18" s="1" customFormat="1" x14ac:dyDescent="0.45">
      <c r="A4806" s="7" t="str">
        <f t="shared" si="1728"/>
        <v>10372000000</v>
      </c>
      <c r="B4806" s="7" t="str">
        <f t="shared" si="1729"/>
        <v>箕面高等学校</v>
      </c>
      <c r="C4806" s="7" t="str">
        <f t="shared" si="1711"/>
        <v>行政財産</v>
      </c>
      <c r="D4806" s="7" t="str">
        <f t="shared" si="1733"/>
        <v>学校</v>
      </c>
      <c r="E4806" s="7" t="str">
        <f t="shared" si="1730"/>
        <v>大阪府箕面市牧落４丁目</v>
      </c>
      <c r="F4806" s="7"/>
      <c r="G4806" s="7" t="str">
        <f t="shared" si="1717"/>
        <v>事業用資産</v>
      </c>
      <c r="H4806" s="7" t="str">
        <f t="shared" si="1735"/>
        <v>棚卸以外</v>
      </c>
      <c r="I4806" s="7">
        <v>30</v>
      </c>
      <c r="J4806" s="7" t="str">
        <f>"美術教室"</f>
        <v>美術教室</v>
      </c>
      <c r="K4806" s="7" t="str">
        <f>"軽量鉄骨造"</f>
        <v>軽量鉄骨造</v>
      </c>
      <c r="L4806" s="7" t="str">
        <f>"S57.03.31"</f>
        <v>S57.03.31</v>
      </c>
      <c r="M4806" s="7">
        <v>64.349999999999994</v>
      </c>
      <c r="N4806" s="7">
        <v>6017000</v>
      </c>
      <c r="O4806" s="7">
        <v>6016999</v>
      </c>
      <c r="P4806" s="7">
        <v>0</v>
      </c>
      <c r="Q4806" s="7" t="str">
        <f t="shared" si="1718"/>
        <v>教育庁</v>
      </c>
      <c r="R4806" s="7" t="str">
        <f t="shared" si="1732"/>
        <v>箕面高等学校</v>
      </c>
    </row>
    <row r="4807" spans="1:18" s="1" customFormat="1" x14ac:dyDescent="0.45">
      <c r="A4807" s="7" t="str">
        <f t="shared" si="1728"/>
        <v>10372000000</v>
      </c>
      <c r="B4807" s="7" t="str">
        <f t="shared" si="1729"/>
        <v>箕面高等学校</v>
      </c>
      <c r="C4807" s="7" t="str">
        <f t="shared" si="1711"/>
        <v>行政財産</v>
      </c>
      <c r="D4807" s="7" t="str">
        <f t="shared" si="1733"/>
        <v>学校</v>
      </c>
      <c r="E4807" s="7" t="str">
        <f t="shared" si="1730"/>
        <v>大阪府箕面市牧落４丁目</v>
      </c>
      <c r="F4807" s="7"/>
      <c r="G4807" s="7" t="str">
        <f t="shared" si="1717"/>
        <v>事業用資産</v>
      </c>
      <c r="H4807" s="7" t="str">
        <f t="shared" si="1735"/>
        <v>棚卸以外</v>
      </c>
      <c r="I4807" s="7">
        <v>31</v>
      </c>
      <c r="J4807" s="7" t="str">
        <f>"倉庫"</f>
        <v>倉庫</v>
      </c>
      <c r="K4807" s="7" t="str">
        <f>"軽量鉄骨造"</f>
        <v>軽量鉄骨造</v>
      </c>
      <c r="L4807" s="7" t="str">
        <f>"S61.07.19"</f>
        <v>S61.07.19</v>
      </c>
      <c r="M4807" s="7">
        <v>161.04</v>
      </c>
      <c r="N4807" s="7">
        <v>11396000</v>
      </c>
      <c r="O4807" s="7">
        <v>11395999</v>
      </c>
      <c r="P4807" s="7">
        <v>0</v>
      </c>
      <c r="Q4807" s="7" t="str">
        <f t="shared" si="1718"/>
        <v>教育庁</v>
      </c>
      <c r="R4807" s="7" t="str">
        <f t="shared" si="1732"/>
        <v>箕面高等学校</v>
      </c>
    </row>
    <row r="4808" spans="1:18" s="1" customFormat="1" x14ac:dyDescent="0.45">
      <c r="A4808" s="7" t="str">
        <f t="shared" si="1728"/>
        <v>10372000000</v>
      </c>
      <c r="B4808" s="7" t="str">
        <f t="shared" si="1729"/>
        <v>箕面高等学校</v>
      </c>
      <c r="C4808" s="7" t="str">
        <f t="shared" si="1711"/>
        <v>行政財産</v>
      </c>
      <c r="D4808" s="7" t="str">
        <f t="shared" si="1733"/>
        <v>学校</v>
      </c>
      <c r="E4808" s="7" t="str">
        <f t="shared" si="1730"/>
        <v>大阪府箕面市牧落４丁目</v>
      </c>
      <c r="F4808" s="7"/>
      <c r="G4808" s="7" t="str">
        <f t="shared" si="1717"/>
        <v>事業用資産</v>
      </c>
      <c r="H4808" s="7" t="str">
        <f t="shared" si="1735"/>
        <v>棚卸以外</v>
      </c>
      <c r="I4808" s="7">
        <v>32</v>
      </c>
      <c r="J4808" s="7" t="str">
        <f>"増学級棟"</f>
        <v>増学級棟</v>
      </c>
      <c r="K4808" s="7" t="str">
        <f>"鉄筋コンクリート造"</f>
        <v>鉄筋コンクリート造</v>
      </c>
      <c r="L4808" s="7" t="str">
        <f>"S62.03.25"</f>
        <v>S62.03.25</v>
      </c>
      <c r="M4808" s="7">
        <v>1103.4000000000001</v>
      </c>
      <c r="N4808" s="7">
        <v>138902440</v>
      </c>
      <c r="O4808" s="7">
        <v>101962806</v>
      </c>
      <c r="P4808" s="7">
        <v>0</v>
      </c>
      <c r="Q4808" s="7" t="str">
        <f t="shared" si="1718"/>
        <v>教育庁</v>
      </c>
      <c r="R4808" s="7" t="str">
        <f t="shared" si="1732"/>
        <v>箕面高等学校</v>
      </c>
    </row>
    <row r="4809" spans="1:18" s="1" customFormat="1" x14ac:dyDescent="0.45">
      <c r="A4809" s="7" t="str">
        <f t="shared" si="1728"/>
        <v>10372000000</v>
      </c>
      <c r="B4809" s="7" t="str">
        <f t="shared" si="1729"/>
        <v>箕面高等学校</v>
      </c>
      <c r="C4809" s="7" t="str">
        <f t="shared" si="1711"/>
        <v>行政財産</v>
      </c>
      <c r="D4809" s="7" t="str">
        <f t="shared" si="1733"/>
        <v>学校</v>
      </c>
      <c r="E4809" s="7" t="str">
        <f t="shared" si="1730"/>
        <v>大阪府箕面市牧落４丁目</v>
      </c>
      <c r="F4809" s="7"/>
      <c r="G4809" s="7" t="str">
        <f t="shared" si="1717"/>
        <v>事業用資産</v>
      </c>
      <c r="H4809" s="7" t="str">
        <f t="shared" si="1735"/>
        <v>棚卸以外</v>
      </c>
      <c r="I4809" s="7">
        <v>33</v>
      </c>
      <c r="J4809" s="7" t="str">
        <f>"給品部"</f>
        <v>給品部</v>
      </c>
      <c r="K4809" s="7" t="str">
        <f>"土蔵造(簡易建物)"</f>
        <v>土蔵造(簡易建物)</v>
      </c>
      <c r="L4809" s="7" t="str">
        <f>"S62.03.31"</f>
        <v>S62.03.31</v>
      </c>
      <c r="M4809" s="7">
        <v>20.420000000000002</v>
      </c>
      <c r="N4809" s="7">
        <v>2307000</v>
      </c>
      <c r="O4809" s="7">
        <v>2306999</v>
      </c>
      <c r="P4809" s="7">
        <v>0</v>
      </c>
      <c r="Q4809" s="7" t="str">
        <f t="shared" si="1718"/>
        <v>教育庁</v>
      </c>
      <c r="R4809" s="7" t="str">
        <f t="shared" si="1732"/>
        <v>箕面高等学校</v>
      </c>
    </row>
    <row r="4810" spans="1:18" s="1" customFormat="1" x14ac:dyDescent="0.45">
      <c r="A4810" s="7" t="str">
        <f t="shared" si="1728"/>
        <v>10372000000</v>
      </c>
      <c r="B4810" s="7" t="str">
        <f t="shared" si="1729"/>
        <v>箕面高等学校</v>
      </c>
      <c r="C4810" s="7" t="str">
        <f t="shared" si="1711"/>
        <v>行政財産</v>
      </c>
      <c r="D4810" s="7" t="str">
        <f t="shared" si="1733"/>
        <v>学校</v>
      </c>
      <c r="E4810" s="7" t="str">
        <f t="shared" si="1730"/>
        <v>大阪府箕面市牧落４丁目</v>
      </c>
      <c r="F4810" s="7"/>
      <c r="G4810" s="7" t="str">
        <f t="shared" si="1717"/>
        <v>事業用資産</v>
      </c>
      <c r="H4810" s="7" t="str">
        <f t="shared" si="1735"/>
        <v>棚卸以外</v>
      </c>
      <c r="I4810" s="7">
        <v>34</v>
      </c>
      <c r="J4810" s="7" t="str">
        <f>"ゴミ置場"</f>
        <v>ゴミ置場</v>
      </c>
      <c r="K4810" s="7" t="str">
        <f>"鉄骨造"</f>
        <v>鉄骨造</v>
      </c>
      <c r="L4810" s="7" t="str">
        <f>"H15.03.31"</f>
        <v>H15.03.31</v>
      </c>
      <c r="M4810" s="7">
        <v>9.4700000000000006</v>
      </c>
      <c r="N4810" s="7">
        <v>882000</v>
      </c>
      <c r="O4810" s="7">
        <v>569040</v>
      </c>
      <c r="P4810" s="7">
        <v>0</v>
      </c>
      <c r="Q4810" s="7" t="str">
        <f t="shared" si="1718"/>
        <v>教育庁</v>
      </c>
      <c r="R4810" s="7" t="str">
        <f t="shared" si="1732"/>
        <v>箕面高等学校</v>
      </c>
    </row>
    <row r="4811" spans="1:18" s="1" customFormat="1" x14ac:dyDescent="0.45">
      <c r="A4811" s="7" t="str">
        <f t="shared" si="1728"/>
        <v>10372000000</v>
      </c>
      <c r="B4811" s="7" t="str">
        <f t="shared" si="1729"/>
        <v>箕面高等学校</v>
      </c>
      <c r="C4811" s="7" t="str">
        <f t="shared" si="1711"/>
        <v>行政財産</v>
      </c>
      <c r="D4811" s="7" t="str">
        <f t="shared" si="1733"/>
        <v>学校</v>
      </c>
      <c r="E4811" s="7" t="str">
        <f t="shared" si="1730"/>
        <v>大阪府箕面市牧落４丁目</v>
      </c>
      <c r="F4811" s="7"/>
      <c r="G4811" s="7" t="str">
        <f t="shared" si="1717"/>
        <v>事業用資産</v>
      </c>
      <c r="H4811" s="7" t="str">
        <f t="shared" si="1735"/>
        <v>棚卸以外</v>
      </c>
      <c r="I4811" s="7">
        <v>35</v>
      </c>
      <c r="J4811" s="7" t="str">
        <f>"エレベーター棟"</f>
        <v>エレベーター棟</v>
      </c>
      <c r="K4811" s="7" t="str">
        <f>"鉄骨造"</f>
        <v>鉄骨造</v>
      </c>
      <c r="L4811" s="7" t="str">
        <f>"H18.03.30"</f>
        <v>H18.03.30</v>
      </c>
      <c r="M4811" s="7">
        <v>14.49</v>
      </c>
      <c r="N4811" s="7">
        <v>27899000</v>
      </c>
      <c r="O4811" s="7">
        <v>13949520</v>
      </c>
      <c r="P4811" s="7">
        <v>0</v>
      </c>
      <c r="Q4811" s="7" t="str">
        <f t="shared" si="1718"/>
        <v>教育庁</v>
      </c>
      <c r="R4811" s="7" t="str">
        <f t="shared" si="1732"/>
        <v>箕面高等学校</v>
      </c>
    </row>
    <row r="4812" spans="1:18" s="1" customFormat="1" x14ac:dyDescent="0.45">
      <c r="A4812" s="7" t="str">
        <f t="shared" ref="A4812:A4826" si="1736">"10373000000"</f>
        <v>10373000000</v>
      </c>
      <c r="B4812" s="7" t="str">
        <f t="shared" ref="B4812:B4826" si="1737">"箕面東高等学校"</f>
        <v>箕面東高等学校</v>
      </c>
      <c r="C4812" s="7" t="str">
        <f t="shared" si="1711"/>
        <v>行政財産</v>
      </c>
      <c r="D4812" s="7" t="str">
        <f t="shared" si="1733"/>
        <v>学校</v>
      </c>
      <c r="E4812" s="7" t="str">
        <f t="shared" ref="E4812:E4826" si="1738">"大阪府箕面市粟生外院５丁目"</f>
        <v>大阪府箕面市粟生外院５丁目</v>
      </c>
      <c r="F4812" s="7"/>
      <c r="G4812" s="7" t="str">
        <f t="shared" si="1717"/>
        <v>事業用資産</v>
      </c>
      <c r="H4812" s="7" t="str">
        <f t="shared" si="1735"/>
        <v>棚卸以外</v>
      </c>
      <c r="I4812" s="7">
        <v>1</v>
      </c>
      <c r="J4812" s="7" t="str">
        <f>"南館"</f>
        <v>南館</v>
      </c>
      <c r="K4812" s="7" t="str">
        <f>"鉄骨コンクリート造"</f>
        <v>鉄骨コンクリート造</v>
      </c>
      <c r="L4812" s="7" t="str">
        <f t="shared" ref="L4812:L4817" si="1739">"S49.05.31"</f>
        <v>S49.05.31</v>
      </c>
      <c r="M4812" s="7">
        <v>5576.14</v>
      </c>
      <c r="N4812" s="7">
        <v>762319148</v>
      </c>
      <c r="O4812" s="7">
        <v>668693200</v>
      </c>
      <c r="P4812" s="7">
        <v>0</v>
      </c>
      <c r="Q4812" s="7" t="str">
        <f t="shared" si="1718"/>
        <v>教育庁</v>
      </c>
      <c r="R4812" s="7" t="str">
        <f t="shared" ref="R4812:R4826" si="1740">"箕面東高等学校"</f>
        <v>箕面東高等学校</v>
      </c>
    </row>
    <row r="4813" spans="1:18" s="1" customFormat="1" x14ac:dyDescent="0.45">
      <c r="A4813" s="7" t="str">
        <f t="shared" si="1736"/>
        <v>10373000000</v>
      </c>
      <c r="B4813" s="7" t="str">
        <f t="shared" si="1737"/>
        <v>箕面東高等学校</v>
      </c>
      <c r="C4813" s="7" t="str">
        <f t="shared" ref="C4813:C4876" si="1741">"行政財産"</f>
        <v>行政財産</v>
      </c>
      <c r="D4813" s="7" t="str">
        <f t="shared" si="1733"/>
        <v>学校</v>
      </c>
      <c r="E4813" s="7" t="str">
        <f t="shared" si="1738"/>
        <v>大阪府箕面市粟生外院５丁目</v>
      </c>
      <c r="F4813" s="7"/>
      <c r="G4813" s="7" t="str">
        <f t="shared" si="1717"/>
        <v>事業用資産</v>
      </c>
      <c r="H4813" s="7" t="str">
        <f t="shared" si="1735"/>
        <v>棚卸以外</v>
      </c>
      <c r="I4813" s="7">
        <v>2</v>
      </c>
      <c r="J4813" s="7" t="str">
        <f>"北館"</f>
        <v>北館</v>
      </c>
      <c r="K4813" s="7" t="str">
        <f>"鉄骨コンクリート造"</f>
        <v>鉄骨コンクリート造</v>
      </c>
      <c r="L4813" s="7" t="str">
        <f t="shared" si="1739"/>
        <v>S49.05.31</v>
      </c>
      <c r="M4813" s="7">
        <v>5915.81</v>
      </c>
      <c r="N4813" s="7">
        <v>698527426</v>
      </c>
      <c r="O4813" s="7">
        <v>669189665</v>
      </c>
      <c r="P4813" s="7">
        <v>0</v>
      </c>
      <c r="Q4813" s="7" t="str">
        <f t="shared" si="1718"/>
        <v>教育庁</v>
      </c>
      <c r="R4813" s="7" t="str">
        <f t="shared" si="1740"/>
        <v>箕面東高等学校</v>
      </c>
    </row>
    <row r="4814" spans="1:18" s="1" customFormat="1" x14ac:dyDescent="0.45">
      <c r="A4814" s="7" t="str">
        <f t="shared" si="1736"/>
        <v>10373000000</v>
      </c>
      <c r="B4814" s="7" t="str">
        <f t="shared" si="1737"/>
        <v>箕面東高等学校</v>
      </c>
      <c r="C4814" s="7" t="str">
        <f t="shared" si="1741"/>
        <v>行政財産</v>
      </c>
      <c r="D4814" s="7" t="str">
        <f t="shared" si="1733"/>
        <v>学校</v>
      </c>
      <c r="E4814" s="7" t="str">
        <f t="shared" si="1738"/>
        <v>大阪府箕面市粟生外院５丁目</v>
      </c>
      <c r="F4814" s="7"/>
      <c r="G4814" s="7" t="str">
        <f t="shared" si="1717"/>
        <v>事業用資産</v>
      </c>
      <c r="H4814" s="7" t="str">
        <f t="shared" si="1735"/>
        <v>棚卸以外</v>
      </c>
      <c r="I4814" s="7">
        <v>3</v>
      </c>
      <c r="J4814" s="7" t="str">
        <f>"渡り廊下棟"</f>
        <v>渡り廊下棟</v>
      </c>
      <c r="K4814" s="7" t="str">
        <f>"鉄骨コンクリート造"</f>
        <v>鉄骨コンクリート造</v>
      </c>
      <c r="L4814" s="7" t="str">
        <f t="shared" si="1739"/>
        <v>S49.05.31</v>
      </c>
      <c r="M4814" s="7">
        <v>777.08</v>
      </c>
      <c r="N4814" s="7">
        <v>85552000</v>
      </c>
      <c r="O4814" s="7">
        <v>85005734</v>
      </c>
      <c r="P4814" s="7">
        <v>0</v>
      </c>
      <c r="Q4814" s="7" t="str">
        <f t="shared" si="1718"/>
        <v>教育庁</v>
      </c>
      <c r="R4814" s="7" t="str">
        <f t="shared" si="1740"/>
        <v>箕面東高等学校</v>
      </c>
    </row>
    <row r="4815" spans="1:18" s="1" customFormat="1" x14ac:dyDescent="0.45">
      <c r="A4815" s="7" t="str">
        <f t="shared" si="1736"/>
        <v>10373000000</v>
      </c>
      <c r="B4815" s="7" t="str">
        <f t="shared" si="1737"/>
        <v>箕面東高等学校</v>
      </c>
      <c r="C4815" s="7" t="str">
        <f t="shared" si="1741"/>
        <v>行政財産</v>
      </c>
      <c r="D4815" s="7" t="str">
        <f t="shared" si="1733"/>
        <v>学校</v>
      </c>
      <c r="E4815" s="7" t="str">
        <f t="shared" si="1738"/>
        <v>大阪府箕面市粟生外院５丁目</v>
      </c>
      <c r="F4815" s="7"/>
      <c r="G4815" s="7" t="str">
        <f t="shared" si="1717"/>
        <v>事業用資産</v>
      </c>
      <c r="H4815" s="7" t="str">
        <f t="shared" si="1735"/>
        <v>棚卸以外</v>
      </c>
      <c r="I4815" s="7">
        <v>4</v>
      </c>
      <c r="J4815" s="7" t="str">
        <f>"設備棟"</f>
        <v>設備棟</v>
      </c>
      <c r="K4815" s="7" t="str">
        <f>"鉄筋コンクリート造"</f>
        <v>鉄筋コンクリート造</v>
      </c>
      <c r="L4815" s="7" t="str">
        <f t="shared" si="1739"/>
        <v>S49.05.31</v>
      </c>
      <c r="M4815" s="7">
        <v>117</v>
      </c>
      <c r="N4815" s="7">
        <v>31936891</v>
      </c>
      <c r="O4815" s="7">
        <v>22831001</v>
      </c>
      <c r="P4815" s="7">
        <v>0</v>
      </c>
      <c r="Q4815" s="7" t="str">
        <f t="shared" si="1718"/>
        <v>教育庁</v>
      </c>
      <c r="R4815" s="7" t="str">
        <f t="shared" si="1740"/>
        <v>箕面東高等学校</v>
      </c>
    </row>
    <row r="4816" spans="1:18" s="1" customFormat="1" x14ac:dyDescent="0.45">
      <c r="A4816" s="7" t="str">
        <f t="shared" si="1736"/>
        <v>10373000000</v>
      </c>
      <c r="B4816" s="7" t="str">
        <f t="shared" si="1737"/>
        <v>箕面東高等学校</v>
      </c>
      <c r="C4816" s="7" t="str">
        <f t="shared" si="1741"/>
        <v>行政財産</v>
      </c>
      <c r="D4816" s="7" t="str">
        <f t="shared" si="1733"/>
        <v>学校</v>
      </c>
      <c r="E4816" s="7" t="str">
        <f t="shared" si="1738"/>
        <v>大阪府箕面市粟生外院５丁目</v>
      </c>
      <c r="F4816" s="7"/>
      <c r="G4816" s="7" t="str">
        <f t="shared" si="1717"/>
        <v>事業用資産</v>
      </c>
      <c r="H4816" s="7" t="str">
        <f t="shared" si="1735"/>
        <v>棚卸以外</v>
      </c>
      <c r="I4816" s="7">
        <v>5</v>
      </c>
      <c r="J4816" s="7" t="str">
        <f>"倉庫"</f>
        <v>倉庫</v>
      </c>
      <c r="K4816" s="7" t="str">
        <f>"鉄骨造"</f>
        <v>鉄骨造</v>
      </c>
      <c r="L4816" s="7" t="str">
        <f t="shared" si="1739"/>
        <v>S49.05.31</v>
      </c>
      <c r="M4816" s="7">
        <v>50</v>
      </c>
      <c r="N4816" s="7">
        <v>3188000</v>
      </c>
      <c r="O4816" s="7">
        <v>3187999</v>
      </c>
      <c r="P4816" s="7">
        <v>0</v>
      </c>
      <c r="Q4816" s="7" t="str">
        <f t="shared" si="1718"/>
        <v>教育庁</v>
      </c>
      <c r="R4816" s="7" t="str">
        <f t="shared" si="1740"/>
        <v>箕面東高等学校</v>
      </c>
    </row>
    <row r="4817" spans="1:18" s="1" customFormat="1" x14ac:dyDescent="0.45">
      <c r="A4817" s="7" t="str">
        <f t="shared" si="1736"/>
        <v>10373000000</v>
      </c>
      <c r="B4817" s="7" t="str">
        <f t="shared" si="1737"/>
        <v>箕面東高等学校</v>
      </c>
      <c r="C4817" s="7" t="str">
        <f t="shared" si="1741"/>
        <v>行政財産</v>
      </c>
      <c r="D4817" s="7" t="str">
        <f t="shared" si="1733"/>
        <v>学校</v>
      </c>
      <c r="E4817" s="7" t="str">
        <f t="shared" si="1738"/>
        <v>大阪府箕面市粟生外院５丁目</v>
      </c>
      <c r="F4817" s="7"/>
      <c r="G4817" s="7" t="str">
        <f t="shared" si="1717"/>
        <v>事業用資産</v>
      </c>
      <c r="H4817" s="7" t="str">
        <f t="shared" si="1735"/>
        <v>棚卸以外</v>
      </c>
      <c r="I4817" s="7">
        <v>7</v>
      </c>
      <c r="J4817" s="7" t="str">
        <f>"自転車置場"</f>
        <v>自転車置場</v>
      </c>
      <c r="K4817" s="7" t="str">
        <f>"鉄骨造"</f>
        <v>鉄骨造</v>
      </c>
      <c r="L4817" s="7" t="str">
        <f t="shared" si="1739"/>
        <v>S49.05.31</v>
      </c>
      <c r="M4817" s="7">
        <v>466.5</v>
      </c>
      <c r="N4817" s="7">
        <v>11809000</v>
      </c>
      <c r="O4817" s="7">
        <v>11808999</v>
      </c>
      <c r="P4817" s="7">
        <v>0</v>
      </c>
      <c r="Q4817" s="7" t="str">
        <f t="shared" si="1718"/>
        <v>教育庁</v>
      </c>
      <c r="R4817" s="7" t="str">
        <f t="shared" si="1740"/>
        <v>箕面東高等学校</v>
      </c>
    </row>
    <row r="4818" spans="1:18" s="1" customFormat="1" x14ac:dyDescent="0.45">
      <c r="A4818" s="7" t="str">
        <f t="shared" si="1736"/>
        <v>10373000000</v>
      </c>
      <c r="B4818" s="7" t="str">
        <f t="shared" si="1737"/>
        <v>箕面東高等学校</v>
      </c>
      <c r="C4818" s="7" t="str">
        <f t="shared" si="1741"/>
        <v>行政財産</v>
      </c>
      <c r="D4818" s="7" t="str">
        <f t="shared" si="1733"/>
        <v>学校</v>
      </c>
      <c r="E4818" s="7" t="str">
        <f t="shared" si="1738"/>
        <v>大阪府箕面市粟生外院５丁目</v>
      </c>
      <c r="F4818" s="7"/>
      <c r="G4818" s="7" t="str">
        <f t="shared" si="1717"/>
        <v>事業用資産</v>
      </c>
      <c r="H4818" s="7" t="str">
        <f t="shared" si="1735"/>
        <v>棚卸以外</v>
      </c>
      <c r="I4818" s="7">
        <v>8</v>
      </c>
      <c r="J4818" s="7" t="str">
        <f>"倉庫"</f>
        <v>倉庫</v>
      </c>
      <c r="K4818" s="7" t="str">
        <f>"コンクリートブロック造"</f>
        <v>コンクリートブロック造</v>
      </c>
      <c r="L4818" s="7" t="str">
        <f>"S49.03.30"</f>
        <v>S49.03.30</v>
      </c>
      <c r="M4818" s="7">
        <v>12.94</v>
      </c>
      <c r="N4818" s="7">
        <v>824000</v>
      </c>
      <c r="O4818" s="7">
        <v>823999</v>
      </c>
      <c r="P4818" s="7">
        <v>0</v>
      </c>
      <c r="Q4818" s="7" t="str">
        <f t="shared" si="1718"/>
        <v>教育庁</v>
      </c>
      <c r="R4818" s="7" t="str">
        <f t="shared" si="1740"/>
        <v>箕面東高等学校</v>
      </c>
    </row>
    <row r="4819" spans="1:18" s="1" customFormat="1" x14ac:dyDescent="0.45">
      <c r="A4819" s="7" t="str">
        <f t="shared" si="1736"/>
        <v>10373000000</v>
      </c>
      <c r="B4819" s="7" t="str">
        <f t="shared" si="1737"/>
        <v>箕面東高等学校</v>
      </c>
      <c r="C4819" s="7" t="str">
        <f t="shared" si="1741"/>
        <v>行政財産</v>
      </c>
      <c r="D4819" s="7" t="str">
        <f t="shared" si="1733"/>
        <v>学校</v>
      </c>
      <c r="E4819" s="7" t="str">
        <f t="shared" si="1738"/>
        <v>大阪府箕面市粟生外院５丁目</v>
      </c>
      <c r="F4819" s="7"/>
      <c r="G4819" s="7" t="str">
        <f t="shared" si="1717"/>
        <v>事業用資産</v>
      </c>
      <c r="H4819" s="7" t="str">
        <f t="shared" si="1735"/>
        <v>棚卸以外</v>
      </c>
      <c r="I4819" s="7">
        <v>9</v>
      </c>
      <c r="J4819" s="7" t="str">
        <f>"体育館"</f>
        <v>体育館</v>
      </c>
      <c r="K4819" s="7" t="str">
        <f>"鉄筋コンクリート造"</f>
        <v>鉄筋コンクリート造</v>
      </c>
      <c r="L4819" s="7" t="str">
        <f>"S50.07.21"</f>
        <v>S50.07.21</v>
      </c>
      <c r="M4819" s="7">
        <v>2959.23</v>
      </c>
      <c r="N4819" s="7">
        <v>295473723</v>
      </c>
      <c r="O4819" s="7">
        <v>262881613</v>
      </c>
      <c r="P4819" s="7">
        <v>0</v>
      </c>
      <c r="Q4819" s="7" t="str">
        <f t="shared" si="1718"/>
        <v>教育庁</v>
      </c>
      <c r="R4819" s="7" t="str">
        <f t="shared" si="1740"/>
        <v>箕面東高等学校</v>
      </c>
    </row>
    <row r="4820" spans="1:18" s="1" customFormat="1" x14ac:dyDescent="0.45">
      <c r="A4820" s="7" t="str">
        <f t="shared" si="1736"/>
        <v>10373000000</v>
      </c>
      <c r="B4820" s="7" t="str">
        <f t="shared" si="1737"/>
        <v>箕面東高等学校</v>
      </c>
      <c r="C4820" s="7" t="str">
        <f t="shared" si="1741"/>
        <v>行政財産</v>
      </c>
      <c r="D4820" s="7" t="str">
        <f t="shared" si="1733"/>
        <v>学校</v>
      </c>
      <c r="E4820" s="7" t="str">
        <f t="shared" si="1738"/>
        <v>大阪府箕面市粟生外院５丁目</v>
      </c>
      <c r="F4820" s="7"/>
      <c r="G4820" s="7" t="str">
        <f t="shared" si="1717"/>
        <v>事業用資産</v>
      </c>
      <c r="H4820" s="7" t="str">
        <f t="shared" si="1735"/>
        <v>棚卸以外</v>
      </c>
      <c r="I4820" s="7">
        <v>10</v>
      </c>
      <c r="J4820" s="7" t="str">
        <f>"体育館渡り廊下棟"</f>
        <v>体育館渡り廊下棟</v>
      </c>
      <c r="K4820" s="7" t="str">
        <f>"鉄筋コンクリート造"</f>
        <v>鉄筋コンクリート造</v>
      </c>
      <c r="L4820" s="7" t="str">
        <f>"S50.07.21"</f>
        <v>S50.07.21</v>
      </c>
      <c r="M4820" s="7">
        <v>119.2</v>
      </c>
      <c r="N4820" s="7">
        <v>7336000</v>
      </c>
      <c r="O4820" s="7">
        <v>7335999</v>
      </c>
      <c r="P4820" s="7">
        <v>0</v>
      </c>
      <c r="Q4820" s="7" t="str">
        <f t="shared" si="1718"/>
        <v>教育庁</v>
      </c>
      <c r="R4820" s="7" t="str">
        <f t="shared" si="1740"/>
        <v>箕面東高等学校</v>
      </c>
    </row>
    <row r="4821" spans="1:18" s="1" customFormat="1" x14ac:dyDescent="0.45">
      <c r="A4821" s="7" t="str">
        <f t="shared" si="1736"/>
        <v>10373000000</v>
      </c>
      <c r="B4821" s="7" t="str">
        <f t="shared" si="1737"/>
        <v>箕面東高等学校</v>
      </c>
      <c r="C4821" s="7" t="str">
        <f t="shared" si="1741"/>
        <v>行政財産</v>
      </c>
      <c r="D4821" s="7" t="str">
        <f t="shared" si="1733"/>
        <v>学校</v>
      </c>
      <c r="E4821" s="7" t="str">
        <f t="shared" si="1738"/>
        <v>大阪府箕面市粟生外院５丁目</v>
      </c>
      <c r="F4821" s="7"/>
      <c r="G4821" s="7" t="str">
        <f t="shared" si="1717"/>
        <v>事業用資産</v>
      </c>
      <c r="H4821" s="7" t="str">
        <f t="shared" si="1735"/>
        <v>棚卸以外</v>
      </c>
      <c r="I4821" s="7">
        <v>11</v>
      </c>
      <c r="J4821" s="7" t="str">
        <f>"プール附属棟"</f>
        <v>プール附属棟</v>
      </c>
      <c r="K4821" s="7" t="str">
        <f>"コンクリートブロック造"</f>
        <v>コンクリートブロック造</v>
      </c>
      <c r="L4821" s="7" t="str">
        <f>"S50.07.21"</f>
        <v>S50.07.21</v>
      </c>
      <c r="M4821" s="7">
        <v>138</v>
      </c>
      <c r="N4821" s="7">
        <v>22633000</v>
      </c>
      <c r="O4821" s="7">
        <v>22632999</v>
      </c>
      <c r="P4821" s="7">
        <v>0</v>
      </c>
      <c r="Q4821" s="7" t="str">
        <f t="shared" si="1718"/>
        <v>教育庁</v>
      </c>
      <c r="R4821" s="7" t="str">
        <f t="shared" si="1740"/>
        <v>箕面東高等学校</v>
      </c>
    </row>
    <row r="4822" spans="1:18" s="1" customFormat="1" x14ac:dyDescent="0.45">
      <c r="A4822" s="7" t="str">
        <f t="shared" si="1736"/>
        <v>10373000000</v>
      </c>
      <c r="B4822" s="7" t="str">
        <f t="shared" si="1737"/>
        <v>箕面東高等学校</v>
      </c>
      <c r="C4822" s="7" t="str">
        <f t="shared" si="1741"/>
        <v>行政財産</v>
      </c>
      <c r="D4822" s="7" t="str">
        <f t="shared" si="1733"/>
        <v>学校</v>
      </c>
      <c r="E4822" s="7" t="str">
        <f t="shared" si="1738"/>
        <v>大阪府箕面市粟生外院５丁目</v>
      </c>
      <c r="F4822" s="7"/>
      <c r="G4822" s="7" t="str">
        <f t="shared" si="1717"/>
        <v>事業用資産</v>
      </c>
      <c r="H4822" s="7" t="str">
        <f t="shared" si="1735"/>
        <v>棚卸以外</v>
      </c>
      <c r="I4822" s="7">
        <v>12</v>
      </c>
      <c r="J4822" s="7" t="str">
        <f>"食堂棟"</f>
        <v>食堂棟</v>
      </c>
      <c r="K4822" s="7" t="str">
        <f>"鉄筋コンクリート造"</f>
        <v>鉄筋コンクリート造</v>
      </c>
      <c r="L4822" s="7" t="str">
        <f>"S50.07.21"</f>
        <v>S50.07.21</v>
      </c>
      <c r="M4822" s="7">
        <v>325.37</v>
      </c>
      <c r="N4822" s="7">
        <v>30114000</v>
      </c>
      <c r="O4822" s="7">
        <v>30113999</v>
      </c>
      <c r="P4822" s="7">
        <v>0</v>
      </c>
      <c r="Q4822" s="7" t="str">
        <f t="shared" si="1718"/>
        <v>教育庁</v>
      </c>
      <c r="R4822" s="7" t="str">
        <f t="shared" si="1740"/>
        <v>箕面東高等学校</v>
      </c>
    </row>
    <row r="4823" spans="1:18" s="1" customFormat="1" x14ac:dyDescent="0.45">
      <c r="A4823" s="7" t="str">
        <f t="shared" si="1736"/>
        <v>10373000000</v>
      </c>
      <c r="B4823" s="7" t="str">
        <f t="shared" si="1737"/>
        <v>箕面東高等学校</v>
      </c>
      <c r="C4823" s="7" t="str">
        <f t="shared" si="1741"/>
        <v>行政財産</v>
      </c>
      <c r="D4823" s="7" t="str">
        <f t="shared" si="1733"/>
        <v>学校</v>
      </c>
      <c r="E4823" s="7" t="str">
        <f t="shared" si="1738"/>
        <v>大阪府箕面市粟生外院５丁目</v>
      </c>
      <c r="F4823" s="7"/>
      <c r="G4823" s="7" t="str">
        <f t="shared" ref="G4823:G4886" si="1742">"事業用資産"</f>
        <v>事業用資産</v>
      </c>
      <c r="H4823" s="7" t="str">
        <f t="shared" si="1735"/>
        <v>棚卸以外</v>
      </c>
      <c r="I4823" s="7">
        <v>13</v>
      </c>
      <c r="J4823" s="7" t="str">
        <f>"食堂渡り廊下"</f>
        <v>食堂渡り廊下</v>
      </c>
      <c r="K4823" s="7" t="str">
        <f>"鉄骨造"</f>
        <v>鉄骨造</v>
      </c>
      <c r="L4823" s="7" t="str">
        <f>"S50.07.21"</f>
        <v>S50.07.21</v>
      </c>
      <c r="M4823" s="7">
        <v>21</v>
      </c>
      <c r="N4823" s="7">
        <v>701000</v>
      </c>
      <c r="O4823" s="7">
        <v>700999</v>
      </c>
      <c r="P4823" s="7">
        <v>0</v>
      </c>
      <c r="Q4823" s="7" t="str">
        <f t="shared" si="1718"/>
        <v>教育庁</v>
      </c>
      <c r="R4823" s="7" t="str">
        <f t="shared" si="1740"/>
        <v>箕面東高等学校</v>
      </c>
    </row>
    <row r="4824" spans="1:18" s="1" customFormat="1" x14ac:dyDescent="0.45">
      <c r="A4824" s="7" t="str">
        <f t="shared" si="1736"/>
        <v>10373000000</v>
      </c>
      <c r="B4824" s="7" t="str">
        <f t="shared" si="1737"/>
        <v>箕面東高等学校</v>
      </c>
      <c r="C4824" s="7" t="str">
        <f t="shared" si="1741"/>
        <v>行政財産</v>
      </c>
      <c r="D4824" s="7" t="str">
        <f t="shared" si="1733"/>
        <v>学校</v>
      </c>
      <c r="E4824" s="7" t="str">
        <f t="shared" si="1738"/>
        <v>大阪府箕面市粟生外院５丁目</v>
      </c>
      <c r="F4824" s="7"/>
      <c r="G4824" s="7" t="str">
        <f t="shared" si="1742"/>
        <v>事業用資産</v>
      </c>
      <c r="H4824" s="7" t="str">
        <f t="shared" si="1735"/>
        <v>棚卸以外</v>
      </c>
      <c r="I4824" s="7">
        <v>14</v>
      </c>
      <c r="J4824" s="7" t="str">
        <f>"倉庫棟"</f>
        <v>倉庫棟</v>
      </c>
      <c r="K4824" s="7" t="str">
        <f>"鉄骨造"</f>
        <v>鉄骨造</v>
      </c>
      <c r="L4824" s="7" t="str">
        <f>"S51.12.20"</f>
        <v>S51.12.20</v>
      </c>
      <c r="M4824" s="7">
        <v>96.25</v>
      </c>
      <c r="N4824" s="7">
        <v>7865000</v>
      </c>
      <c r="O4824" s="7">
        <v>6875811</v>
      </c>
      <c r="P4824" s="7">
        <v>0</v>
      </c>
      <c r="Q4824" s="7" t="str">
        <f t="shared" si="1718"/>
        <v>教育庁</v>
      </c>
      <c r="R4824" s="7" t="str">
        <f t="shared" si="1740"/>
        <v>箕面東高等学校</v>
      </c>
    </row>
    <row r="4825" spans="1:18" s="1" customFormat="1" x14ac:dyDescent="0.45">
      <c r="A4825" s="7" t="str">
        <f t="shared" si="1736"/>
        <v>10373000000</v>
      </c>
      <c r="B4825" s="7" t="str">
        <f t="shared" si="1737"/>
        <v>箕面東高等学校</v>
      </c>
      <c r="C4825" s="7" t="str">
        <f t="shared" si="1741"/>
        <v>行政財産</v>
      </c>
      <c r="D4825" s="7" t="str">
        <f t="shared" si="1733"/>
        <v>学校</v>
      </c>
      <c r="E4825" s="7" t="str">
        <f t="shared" si="1738"/>
        <v>大阪府箕面市粟生外院５丁目</v>
      </c>
      <c r="F4825" s="7"/>
      <c r="G4825" s="7" t="str">
        <f t="shared" si="1742"/>
        <v>事業用資産</v>
      </c>
      <c r="H4825" s="7" t="str">
        <f t="shared" si="1735"/>
        <v>棚卸以外</v>
      </c>
      <c r="I4825" s="7">
        <v>15</v>
      </c>
      <c r="J4825" s="7" t="str">
        <f>"石灰庫"</f>
        <v>石灰庫</v>
      </c>
      <c r="K4825" s="7" t="str">
        <f>"コンクリートブロック造"</f>
        <v>コンクリートブロック造</v>
      </c>
      <c r="L4825" s="7" t="str">
        <f>"S52.02.28"</f>
        <v>S52.02.28</v>
      </c>
      <c r="M4825" s="7">
        <v>10</v>
      </c>
      <c r="N4825" s="7">
        <v>752000</v>
      </c>
      <c r="O4825" s="7">
        <v>751999</v>
      </c>
      <c r="P4825" s="7">
        <v>0</v>
      </c>
      <c r="Q4825" s="7" t="str">
        <f t="shared" si="1718"/>
        <v>教育庁</v>
      </c>
      <c r="R4825" s="7" t="str">
        <f t="shared" si="1740"/>
        <v>箕面東高等学校</v>
      </c>
    </row>
    <row r="4826" spans="1:18" s="1" customFormat="1" x14ac:dyDescent="0.45">
      <c r="A4826" s="7" t="str">
        <f t="shared" si="1736"/>
        <v>10373000000</v>
      </c>
      <c r="B4826" s="7" t="str">
        <f t="shared" si="1737"/>
        <v>箕面東高等学校</v>
      </c>
      <c r="C4826" s="7" t="str">
        <f t="shared" si="1741"/>
        <v>行政財産</v>
      </c>
      <c r="D4826" s="7" t="str">
        <f t="shared" si="1733"/>
        <v>学校</v>
      </c>
      <c r="E4826" s="7" t="str">
        <f t="shared" si="1738"/>
        <v>大阪府箕面市粟生外院５丁目</v>
      </c>
      <c r="F4826" s="7"/>
      <c r="G4826" s="7" t="str">
        <f t="shared" si="1742"/>
        <v>事業用資産</v>
      </c>
      <c r="H4826" s="7" t="str">
        <f t="shared" si="1735"/>
        <v>棚卸以外</v>
      </c>
      <c r="I4826" s="7">
        <v>16</v>
      </c>
      <c r="J4826" s="7" t="str">
        <f>"ごみ置き庫"</f>
        <v>ごみ置き庫</v>
      </c>
      <c r="K4826" s="7" t="str">
        <f>"コンクリートブロック造"</f>
        <v>コンクリートブロック造</v>
      </c>
      <c r="L4826" s="7" t="str">
        <f>"H18.03.31"</f>
        <v>H18.03.31</v>
      </c>
      <c r="M4826" s="7">
        <v>5.58</v>
      </c>
      <c r="N4826" s="7">
        <v>671000</v>
      </c>
      <c r="O4826" s="7">
        <v>335580</v>
      </c>
      <c r="P4826" s="7">
        <v>0</v>
      </c>
      <c r="Q4826" s="7" t="str">
        <f t="shared" si="1718"/>
        <v>教育庁</v>
      </c>
      <c r="R4826" s="7" t="str">
        <f t="shared" si="1740"/>
        <v>箕面東高等学校</v>
      </c>
    </row>
    <row r="4827" spans="1:18" s="1" customFormat="1" x14ac:dyDescent="0.45">
      <c r="A4827" s="7" t="str">
        <f t="shared" ref="A4827:A4845" si="1743">"10375000000"</f>
        <v>10375000000</v>
      </c>
      <c r="B4827" s="7" t="str">
        <f t="shared" ref="B4827:B4845" si="1744">"春日丘高等学校"</f>
        <v>春日丘高等学校</v>
      </c>
      <c r="C4827" s="7" t="str">
        <f t="shared" si="1741"/>
        <v>行政財産</v>
      </c>
      <c r="D4827" s="7" t="str">
        <f t="shared" si="1733"/>
        <v>学校</v>
      </c>
      <c r="E4827" s="7" t="str">
        <f t="shared" ref="E4827:E4845" si="1745">"大阪府茨木市春日２丁目"</f>
        <v>大阪府茨木市春日２丁目</v>
      </c>
      <c r="F4827" s="7"/>
      <c r="G4827" s="7" t="str">
        <f t="shared" si="1742"/>
        <v>事業用資産</v>
      </c>
      <c r="H4827" s="7" t="str">
        <f t="shared" si="1735"/>
        <v>棚卸以外</v>
      </c>
      <c r="I4827" s="7">
        <v>17</v>
      </c>
      <c r="J4827" s="7" t="str">
        <f>"門衛"</f>
        <v>門衛</v>
      </c>
      <c r="K4827" s="7" t="str">
        <f>"木造"</f>
        <v>木造</v>
      </c>
      <c r="L4827" s="7" t="str">
        <f>"S25.01.01"</f>
        <v>S25.01.01</v>
      </c>
      <c r="M4827" s="7">
        <v>9.91</v>
      </c>
      <c r="N4827" s="7">
        <v>4695</v>
      </c>
      <c r="O4827" s="7">
        <v>4694</v>
      </c>
      <c r="P4827" s="7">
        <v>0</v>
      </c>
      <c r="Q4827" s="7" t="str">
        <f t="shared" ref="Q4827:Q4890" si="1746">"教育庁"</f>
        <v>教育庁</v>
      </c>
      <c r="R4827" s="7" t="str">
        <f t="shared" ref="R4827:R4845" si="1747">"春日丘高等学校"</f>
        <v>春日丘高等学校</v>
      </c>
    </row>
    <row r="4828" spans="1:18" s="1" customFormat="1" x14ac:dyDescent="0.45">
      <c r="A4828" s="7" t="str">
        <f t="shared" si="1743"/>
        <v>10375000000</v>
      </c>
      <c r="B4828" s="7" t="str">
        <f t="shared" si="1744"/>
        <v>春日丘高等学校</v>
      </c>
      <c r="C4828" s="7" t="str">
        <f t="shared" si="1741"/>
        <v>行政財産</v>
      </c>
      <c r="D4828" s="7" t="str">
        <f t="shared" si="1733"/>
        <v>学校</v>
      </c>
      <c r="E4828" s="7" t="str">
        <f t="shared" si="1745"/>
        <v>大阪府茨木市春日２丁目</v>
      </c>
      <c r="F4828" s="7"/>
      <c r="G4828" s="7" t="str">
        <f t="shared" si="1742"/>
        <v>事業用資産</v>
      </c>
      <c r="H4828" s="7" t="str">
        <f t="shared" si="1735"/>
        <v>棚卸以外</v>
      </c>
      <c r="I4828" s="7">
        <v>49</v>
      </c>
      <c r="J4828" s="7" t="str">
        <f>"６号館"</f>
        <v>６号館</v>
      </c>
      <c r="K4828" s="7" t="str">
        <f t="shared" ref="K4828:K4833" si="1748">"鉄筋コンクリート造"</f>
        <v>鉄筋コンクリート造</v>
      </c>
      <c r="L4828" s="7" t="str">
        <f>"S25.01.01"</f>
        <v>S25.01.01</v>
      </c>
      <c r="M4828" s="7">
        <v>2909.36</v>
      </c>
      <c r="N4828" s="7">
        <v>598841521</v>
      </c>
      <c r="O4828" s="7">
        <v>417100187</v>
      </c>
      <c r="P4828" s="7">
        <v>0</v>
      </c>
      <c r="Q4828" s="7" t="str">
        <f t="shared" si="1746"/>
        <v>教育庁</v>
      </c>
      <c r="R4828" s="7" t="str">
        <f t="shared" si="1747"/>
        <v>春日丘高等学校</v>
      </c>
    </row>
    <row r="4829" spans="1:18" s="1" customFormat="1" x14ac:dyDescent="0.45">
      <c r="A4829" s="7" t="str">
        <f t="shared" si="1743"/>
        <v>10375000000</v>
      </c>
      <c r="B4829" s="7" t="str">
        <f t="shared" si="1744"/>
        <v>春日丘高等学校</v>
      </c>
      <c r="C4829" s="7" t="str">
        <f t="shared" si="1741"/>
        <v>行政財産</v>
      </c>
      <c r="D4829" s="7" t="str">
        <f t="shared" si="1733"/>
        <v>学校</v>
      </c>
      <c r="E4829" s="7" t="str">
        <f t="shared" si="1745"/>
        <v>大阪府茨木市春日２丁目</v>
      </c>
      <c r="F4829" s="7"/>
      <c r="G4829" s="7" t="str">
        <f t="shared" si="1742"/>
        <v>事業用資産</v>
      </c>
      <c r="H4829" s="7" t="str">
        <f t="shared" si="1735"/>
        <v>棚卸以外</v>
      </c>
      <c r="I4829" s="7">
        <v>54</v>
      </c>
      <c r="J4829" s="7" t="str">
        <f>"管理・普通教室棟"</f>
        <v>管理・普通教室棟</v>
      </c>
      <c r="K4829" s="7" t="str">
        <f t="shared" si="1748"/>
        <v>鉄筋コンクリート造</v>
      </c>
      <c r="L4829" s="7" t="str">
        <f>"H10.12.03"</f>
        <v>H10.12.03</v>
      </c>
      <c r="M4829" s="7">
        <v>3765.59</v>
      </c>
      <c r="N4829" s="7">
        <v>857646451</v>
      </c>
      <c r="O4829" s="7">
        <v>436607105</v>
      </c>
      <c r="P4829" s="7">
        <v>0</v>
      </c>
      <c r="Q4829" s="7" t="str">
        <f t="shared" si="1746"/>
        <v>教育庁</v>
      </c>
      <c r="R4829" s="7" t="str">
        <f t="shared" si="1747"/>
        <v>春日丘高等学校</v>
      </c>
    </row>
    <row r="4830" spans="1:18" s="1" customFormat="1" x14ac:dyDescent="0.45">
      <c r="A4830" s="7" t="str">
        <f t="shared" si="1743"/>
        <v>10375000000</v>
      </c>
      <c r="B4830" s="7" t="str">
        <f t="shared" si="1744"/>
        <v>春日丘高等学校</v>
      </c>
      <c r="C4830" s="7" t="str">
        <f t="shared" si="1741"/>
        <v>行政財産</v>
      </c>
      <c r="D4830" s="7" t="str">
        <f t="shared" si="1733"/>
        <v>学校</v>
      </c>
      <c r="E4830" s="7" t="str">
        <f t="shared" si="1745"/>
        <v>大阪府茨木市春日２丁目</v>
      </c>
      <c r="F4830" s="7"/>
      <c r="G4830" s="7" t="str">
        <f t="shared" si="1742"/>
        <v>事業用資産</v>
      </c>
      <c r="H4830" s="7" t="str">
        <f t="shared" si="1735"/>
        <v>棚卸以外</v>
      </c>
      <c r="I4830" s="7">
        <v>55</v>
      </c>
      <c r="J4830" s="7" t="str">
        <f>"設備棟"</f>
        <v>設備棟</v>
      </c>
      <c r="K4830" s="7" t="str">
        <f t="shared" si="1748"/>
        <v>鉄筋コンクリート造</v>
      </c>
      <c r="L4830" s="7" t="str">
        <f>"H10.12.03"</f>
        <v>H10.12.03</v>
      </c>
      <c r="M4830" s="7">
        <v>123.62</v>
      </c>
      <c r="N4830" s="7">
        <v>67222323</v>
      </c>
      <c r="O4830" s="7">
        <v>42353930</v>
      </c>
      <c r="P4830" s="7">
        <v>0</v>
      </c>
      <c r="Q4830" s="7" t="str">
        <f t="shared" si="1746"/>
        <v>教育庁</v>
      </c>
      <c r="R4830" s="7" t="str">
        <f t="shared" si="1747"/>
        <v>春日丘高等学校</v>
      </c>
    </row>
    <row r="4831" spans="1:18" s="1" customFormat="1" x14ac:dyDescent="0.45">
      <c r="A4831" s="7" t="str">
        <f t="shared" si="1743"/>
        <v>10375000000</v>
      </c>
      <c r="B4831" s="7" t="str">
        <f t="shared" si="1744"/>
        <v>春日丘高等学校</v>
      </c>
      <c r="C4831" s="7" t="str">
        <f t="shared" si="1741"/>
        <v>行政財産</v>
      </c>
      <c r="D4831" s="7" t="str">
        <f t="shared" si="1733"/>
        <v>学校</v>
      </c>
      <c r="E4831" s="7" t="str">
        <f t="shared" si="1745"/>
        <v>大阪府茨木市春日２丁目</v>
      </c>
      <c r="F4831" s="7"/>
      <c r="G4831" s="7" t="str">
        <f t="shared" si="1742"/>
        <v>事業用資産</v>
      </c>
      <c r="H4831" s="7" t="str">
        <f t="shared" si="1735"/>
        <v>棚卸以外</v>
      </c>
      <c r="I4831" s="7">
        <v>56</v>
      </c>
      <c r="J4831" s="7" t="str">
        <f>"プール付属棟"</f>
        <v>プール付属棟</v>
      </c>
      <c r="K4831" s="7" t="str">
        <f t="shared" si="1748"/>
        <v>鉄筋コンクリート造</v>
      </c>
      <c r="L4831" s="7" t="str">
        <f>"H13.07.31"</f>
        <v>H13.07.31</v>
      </c>
      <c r="M4831" s="7">
        <v>212.65</v>
      </c>
      <c r="N4831" s="7">
        <v>169235000</v>
      </c>
      <c r="O4831" s="7">
        <v>78016380</v>
      </c>
      <c r="P4831" s="7">
        <v>0</v>
      </c>
      <c r="Q4831" s="7" t="str">
        <f t="shared" si="1746"/>
        <v>教育庁</v>
      </c>
      <c r="R4831" s="7" t="str">
        <f t="shared" si="1747"/>
        <v>春日丘高等学校</v>
      </c>
    </row>
    <row r="4832" spans="1:18" s="1" customFormat="1" x14ac:dyDescent="0.45">
      <c r="A4832" s="7" t="str">
        <f t="shared" si="1743"/>
        <v>10375000000</v>
      </c>
      <c r="B4832" s="7" t="str">
        <f t="shared" si="1744"/>
        <v>春日丘高等学校</v>
      </c>
      <c r="C4832" s="7" t="str">
        <f t="shared" si="1741"/>
        <v>行政財産</v>
      </c>
      <c r="D4832" s="7" t="str">
        <f t="shared" si="1733"/>
        <v>学校</v>
      </c>
      <c r="E4832" s="7" t="str">
        <f t="shared" si="1745"/>
        <v>大阪府茨木市春日２丁目</v>
      </c>
      <c r="F4832" s="7"/>
      <c r="G4832" s="7" t="str">
        <f t="shared" si="1742"/>
        <v>事業用資産</v>
      </c>
      <c r="H4832" s="7" t="str">
        <f t="shared" si="1735"/>
        <v>棚卸以外</v>
      </c>
      <c r="I4832" s="7">
        <v>57</v>
      </c>
      <c r="J4832" s="7" t="str">
        <f>"特別教室棟"</f>
        <v>特別教室棟</v>
      </c>
      <c r="K4832" s="7" t="str">
        <f t="shared" si="1748"/>
        <v>鉄筋コンクリート造</v>
      </c>
      <c r="L4832" s="7" t="str">
        <f>"H14.01.30"</f>
        <v>H14.01.30</v>
      </c>
      <c r="M4832" s="7">
        <v>2936</v>
      </c>
      <c r="N4832" s="7">
        <v>478988835</v>
      </c>
      <c r="O4832" s="7">
        <v>215015169</v>
      </c>
      <c r="P4832" s="7">
        <v>0</v>
      </c>
      <c r="Q4832" s="7" t="str">
        <f t="shared" si="1746"/>
        <v>教育庁</v>
      </c>
      <c r="R4832" s="7" t="str">
        <f t="shared" si="1747"/>
        <v>春日丘高等学校</v>
      </c>
    </row>
    <row r="4833" spans="1:18" s="1" customFormat="1" x14ac:dyDescent="0.45">
      <c r="A4833" s="7" t="str">
        <f t="shared" si="1743"/>
        <v>10375000000</v>
      </c>
      <c r="B4833" s="7" t="str">
        <f t="shared" si="1744"/>
        <v>春日丘高等学校</v>
      </c>
      <c r="C4833" s="7" t="str">
        <f t="shared" si="1741"/>
        <v>行政財産</v>
      </c>
      <c r="D4833" s="7" t="str">
        <f t="shared" si="1733"/>
        <v>学校</v>
      </c>
      <c r="E4833" s="7" t="str">
        <f t="shared" si="1745"/>
        <v>大阪府茨木市春日２丁目</v>
      </c>
      <c r="F4833" s="7"/>
      <c r="G4833" s="7" t="str">
        <f t="shared" si="1742"/>
        <v>事業用資産</v>
      </c>
      <c r="H4833" s="7" t="str">
        <f t="shared" si="1735"/>
        <v>棚卸以外</v>
      </c>
      <c r="I4833" s="7">
        <v>58</v>
      </c>
      <c r="J4833" s="7" t="str">
        <f>"体育館"</f>
        <v>体育館</v>
      </c>
      <c r="K4833" s="7" t="str">
        <f t="shared" si="1748"/>
        <v>鉄筋コンクリート造</v>
      </c>
      <c r="L4833" s="7" t="str">
        <f>"H14.10.18"</f>
        <v>H14.10.18</v>
      </c>
      <c r="M4833" s="7">
        <v>3376.62</v>
      </c>
      <c r="N4833" s="7">
        <v>648975079</v>
      </c>
      <c r="O4833" s="7">
        <v>270386061</v>
      </c>
      <c r="P4833" s="7">
        <v>0</v>
      </c>
      <c r="Q4833" s="7" t="str">
        <f t="shared" si="1746"/>
        <v>教育庁</v>
      </c>
      <c r="R4833" s="7" t="str">
        <f t="shared" si="1747"/>
        <v>春日丘高等学校</v>
      </c>
    </row>
    <row r="4834" spans="1:18" s="1" customFormat="1" x14ac:dyDescent="0.45">
      <c r="A4834" s="7" t="str">
        <f t="shared" si="1743"/>
        <v>10375000000</v>
      </c>
      <c r="B4834" s="7" t="str">
        <f t="shared" si="1744"/>
        <v>春日丘高等学校</v>
      </c>
      <c r="C4834" s="7" t="str">
        <f t="shared" si="1741"/>
        <v>行政財産</v>
      </c>
      <c r="D4834" s="7" t="str">
        <f t="shared" si="1733"/>
        <v>学校</v>
      </c>
      <c r="E4834" s="7" t="str">
        <f t="shared" si="1745"/>
        <v>大阪府茨木市春日２丁目</v>
      </c>
      <c r="F4834" s="7"/>
      <c r="G4834" s="7" t="str">
        <f t="shared" si="1742"/>
        <v>事業用資産</v>
      </c>
      <c r="H4834" s="7" t="str">
        <f t="shared" si="1735"/>
        <v>棚卸以外</v>
      </c>
      <c r="I4834" s="7">
        <v>59</v>
      </c>
      <c r="J4834" s="7" t="str">
        <f>"部室"</f>
        <v>部室</v>
      </c>
      <c r="K4834" s="7" t="str">
        <f t="shared" ref="K4834:K4845" si="1749">"鉄骨造"</f>
        <v>鉄骨造</v>
      </c>
      <c r="L4834" s="7" t="str">
        <f>"H17.09.01"</f>
        <v>H17.09.01</v>
      </c>
      <c r="M4834" s="7">
        <v>369.3</v>
      </c>
      <c r="N4834" s="7">
        <v>59150000</v>
      </c>
      <c r="O4834" s="7">
        <v>33391260</v>
      </c>
      <c r="P4834" s="7">
        <v>0</v>
      </c>
      <c r="Q4834" s="7" t="str">
        <f t="shared" si="1746"/>
        <v>教育庁</v>
      </c>
      <c r="R4834" s="7" t="str">
        <f t="shared" si="1747"/>
        <v>春日丘高等学校</v>
      </c>
    </row>
    <row r="4835" spans="1:18" s="1" customFormat="1" x14ac:dyDescent="0.45">
      <c r="A4835" s="7" t="str">
        <f t="shared" si="1743"/>
        <v>10375000000</v>
      </c>
      <c r="B4835" s="7" t="str">
        <f t="shared" si="1744"/>
        <v>春日丘高等学校</v>
      </c>
      <c r="C4835" s="7" t="str">
        <f t="shared" si="1741"/>
        <v>行政財産</v>
      </c>
      <c r="D4835" s="7" t="str">
        <f t="shared" si="1733"/>
        <v>学校</v>
      </c>
      <c r="E4835" s="7" t="str">
        <f t="shared" si="1745"/>
        <v>大阪府茨木市春日２丁目</v>
      </c>
      <c r="F4835" s="7"/>
      <c r="G4835" s="7" t="str">
        <f t="shared" si="1742"/>
        <v>事業用資産</v>
      </c>
      <c r="H4835" s="7" t="str">
        <f t="shared" si="1735"/>
        <v>棚卸以外</v>
      </c>
      <c r="I4835" s="7">
        <v>60</v>
      </c>
      <c r="J4835" s="7" t="str">
        <f>"駐輪場棟"</f>
        <v>駐輪場棟</v>
      </c>
      <c r="K4835" s="7" t="str">
        <f t="shared" si="1749"/>
        <v>鉄骨造</v>
      </c>
      <c r="L4835" s="7" t="str">
        <f t="shared" ref="L4835:L4843" si="1750">"H16.03.15"</f>
        <v>H16.03.15</v>
      </c>
      <c r="M4835" s="7">
        <v>1063.42</v>
      </c>
      <c r="N4835" s="7">
        <v>88242564</v>
      </c>
      <c r="O4835" s="7">
        <v>53059032</v>
      </c>
      <c r="P4835" s="7">
        <v>0</v>
      </c>
      <c r="Q4835" s="7" t="str">
        <f t="shared" si="1746"/>
        <v>教育庁</v>
      </c>
      <c r="R4835" s="7" t="str">
        <f t="shared" si="1747"/>
        <v>春日丘高等学校</v>
      </c>
    </row>
    <row r="4836" spans="1:18" s="1" customFormat="1" x14ac:dyDescent="0.45">
      <c r="A4836" s="7" t="str">
        <f t="shared" si="1743"/>
        <v>10375000000</v>
      </c>
      <c r="B4836" s="7" t="str">
        <f t="shared" si="1744"/>
        <v>春日丘高等学校</v>
      </c>
      <c r="C4836" s="7" t="str">
        <f t="shared" si="1741"/>
        <v>行政財産</v>
      </c>
      <c r="D4836" s="7" t="str">
        <f t="shared" si="1733"/>
        <v>学校</v>
      </c>
      <c r="E4836" s="7" t="str">
        <f t="shared" si="1745"/>
        <v>大阪府茨木市春日２丁目</v>
      </c>
      <c r="F4836" s="7"/>
      <c r="G4836" s="7" t="str">
        <f t="shared" si="1742"/>
        <v>事業用資産</v>
      </c>
      <c r="H4836" s="7" t="str">
        <f t="shared" si="1735"/>
        <v>棚卸以外</v>
      </c>
      <c r="I4836" s="7">
        <v>61</v>
      </c>
      <c r="J4836" s="7" t="str">
        <f>"プレハブ倉庫１"</f>
        <v>プレハブ倉庫１</v>
      </c>
      <c r="K4836" s="7" t="str">
        <f t="shared" si="1749"/>
        <v>鉄骨造</v>
      </c>
      <c r="L4836" s="7" t="str">
        <f t="shared" si="1750"/>
        <v>H16.03.15</v>
      </c>
      <c r="M4836" s="7">
        <v>17.93</v>
      </c>
      <c r="N4836" s="7">
        <v>858000</v>
      </c>
      <c r="O4836" s="7">
        <v>525996</v>
      </c>
      <c r="P4836" s="7">
        <v>0</v>
      </c>
      <c r="Q4836" s="7" t="str">
        <f t="shared" si="1746"/>
        <v>教育庁</v>
      </c>
      <c r="R4836" s="7" t="str">
        <f t="shared" si="1747"/>
        <v>春日丘高等学校</v>
      </c>
    </row>
    <row r="4837" spans="1:18" s="1" customFormat="1" x14ac:dyDescent="0.45">
      <c r="A4837" s="7" t="str">
        <f t="shared" si="1743"/>
        <v>10375000000</v>
      </c>
      <c r="B4837" s="7" t="str">
        <f t="shared" si="1744"/>
        <v>春日丘高等学校</v>
      </c>
      <c r="C4837" s="7" t="str">
        <f t="shared" si="1741"/>
        <v>行政財産</v>
      </c>
      <c r="D4837" s="7" t="str">
        <f t="shared" si="1733"/>
        <v>学校</v>
      </c>
      <c r="E4837" s="7" t="str">
        <f t="shared" si="1745"/>
        <v>大阪府茨木市春日２丁目</v>
      </c>
      <c r="F4837" s="7"/>
      <c r="G4837" s="7" t="str">
        <f t="shared" si="1742"/>
        <v>事業用資産</v>
      </c>
      <c r="H4837" s="7" t="str">
        <f t="shared" si="1735"/>
        <v>棚卸以外</v>
      </c>
      <c r="I4837" s="7">
        <v>62</v>
      </c>
      <c r="J4837" s="7" t="str">
        <f>"プレハブ倉庫２"</f>
        <v>プレハブ倉庫２</v>
      </c>
      <c r="K4837" s="7" t="str">
        <f t="shared" si="1749"/>
        <v>鉄骨造</v>
      </c>
      <c r="L4837" s="7" t="str">
        <f t="shared" si="1750"/>
        <v>H16.03.15</v>
      </c>
      <c r="M4837" s="7">
        <v>33.25</v>
      </c>
      <c r="N4837" s="7">
        <v>977000</v>
      </c>
      <c r="O4837" s="7">
        <v>598956</v>
      </c>
      <c r="P4837" s="7">
        <v>0</v>
      </c>
      <c r="Q4837" s="7" t="str">
        <f t="shared" si="1746"/>
        <v>教育庁</v>
      </c>
      <c r="R4837" s="7" t="str">
        <f t="shared" si="1747"/>
        <v>春日丘高等学校</v>
      </c>
    </row>
    <row r="4838" spans="1:18" s="1" customFormat="1" x14ac:dyDescent="0.45">
      <c r="A4838" s="7" t="str">
        <f t="shared" si="1743"/>
        <v>10375000000</v>
      </c>
      <c r="B4838" s="7" t="str">
        <f t="shared" si="1744"/>
        <v>春日丘高等学校</v>
      </c>
      <c r="C4838" s="7" t="str">
        <f t="shared" si="1741"/>
        <v>行政財産</v>
      </c>
      <c r="D4838" s="7" t="str">
        <f t="shared" si="1733"/>
        <v>学校</v>
      </c>
      <c r="E4838" s="7" t="str">
        <f t="shared" si="1745"/>
        <v>大阪府茨木市春日２丁目</v>
      </c>
      <c r="F4838" s="7"/>
      <c r="G4838" s="7" t="str">
        <f t="shared" si="1742"/>
        <v>事業用資産</v>
      </c>
      <c r="H4838" s="7" t="str">
        <f t="shared" si="1735"/>
        <v>棚卸以外</v>
      </c>
      <c r="I4838" s="7">
        <v>63</v>
      </c>
      <c r="J4838" s="7" t="str">
        <f>"プレハブ倉庫３"</f>
        <v>プレハブ倉庫３</v>
      </c>
      <c r="K4838" s="7" t="str">
        <f t="shared" si="1749"/>
        <v>鉄骨造</v>
      </c>
      <c r="L4838" s="7" t="str">
        <f t="shared" si="1750"/>
        <v>H16.03.15</v>
      </c>
      <c r="M4838" s="7">
        <v>33.25</v>
      </c>
      <c r="N4838" s="7">
        <v>977000</v>
      </c>
      <c r="O4838" s="7">
        <v>598956</v>
      </c>
      <c r="P4838" s="7">
        <v>0</v>
      </c>
      <c r="Q4838" s="7" t="str">
        <f t="shared" si="1746"/>
        <v>教育庁</v>
      </c>
      <c r="R4838" s="7" t="str">
        <f t="shared" si="1747"/>
        <v>春日丘高等学校</v>
      </c>
    </row>
    <row r="4839" spans="1:18" s="1" customFormat="1" x14ac:dyDescent="0.45">
      <c r="A4839" s="7" t="str">
        <f t="shared" si="1743"/>
        <v>10375000000</v>
      </c>
      <c r="B4839" s="7" t="str">
        <f t="shared" si="1744"/>
        <v>春日丘高等学校</v>
      </c>
      <c r="C4839" s="7" t="str">
        <f t="shared" si="1741"/>
        <v>行政財産</v>
      </c>
      <c r="D4839" s="7" t="str">
        <f t="shared" si="1733"/>
        <v>学校</v>
      </c>
      <c r="E4839" s="7" t="str">
        <f t="shared" si="1745"/>
        <v>大阪府茨木市春日２丁目</v>
      </c>
      <c r="F4839" s="7"/>
      <c r="G4839" s="7" t="str">
        <f t="shared" si="1742"/>
        <v>事業用資産</v>
      </c>
      <c r="H4839" s="7" t="str">
        <f t="shared" si="1735"/>
        <v>棚卸以外</v>
      </c>
      <c r="I4839" s="7">
        <v>64</v>
      </c>
      <c r="J4839" s="7" t="str">
        <f>"石灰置き場"</f>
        <v>石灰置き場</v>
      </c>
      <c r="K4839" s="7" t="str">
        <f t="shared" si="1749"/>
        <v>鉄骨造</v>
      </c>
      <c r="L4839" s="7" t="str">
        <f t="shared" si="1750"/>
        <v>H16.03.15</v>
      </c>
      <c r="M4839" s="7">
        <v>6</v>
      </c>
      <c r="N4839" s="7">
        <v>151000</v>
      </c>
      <c r="O4839" s="7">
        <v>92568</v>
      </c>
      <c r="P4839" s="7">
        <v>0</v>
      </c>
      <c r="Q4839" s="7" t="str">
        <f t="shared" si="1746"/>
        <v>教育庁</v>
      </c>
      <c r="R4839" s="7" t="str">
        <f t="shared" si="1747"/>
        <v>春日丘高等学校</v>
      </c>
    </row>
    <row r="4840" spans="1:18" s="1" customFormat="1" x14ac:dyDescent="0.45">
      <c r="A4840" s="7" t="str">
        <f t="shared" si="1743"/>
        <v>10375000000</v>
      </c>
      <c r="B4840" s="7" t="str">
        <f t="shared" si="1744"/>
        <v>春日丘高等学校</v>
      </c>
      <c r="C4840" s="7" t="str">
        <f t="shared" si="1741"/>
        <v>行政財産</v>
      </c>
      <c r="D4840" s="7" t="str">
        <f t="shared" si="1733"/>
        <v>学校</v>
      </c>
      <c r="E4840" s="7" t="str">
        <f t="shared" si="1745"/>
        <v>大阪府茨木市春日２丁目</v>
      </c>
      <c r="F4840" s="7"/>
      <c r="G4840" s="7" t="str">
        <f t="shared" si="1742"/>
        <v>事業用資産</v>
      </c>
      <c r="H4840" s="7" t="str">
        <f t="shared" si="1735"/>
        <v>棚卸以外</v>
      </c>
      <c r="I4840" s="7">
        <v>65</v>
      </c>
      <c r="J4840" s="7" t="str">
        <f>"ゴミ置き場１"</f>
        <v>ゴミ置き場１</v>
      </c>
      <c r="K4840" s="7" t="str">
        <f t="shared" si="1749"/>
        <v>鉄骨造</v>
      </c>
      <c r="L4840" s="7" t="str">
        <f t="shared" si="1750"/>
        <v>H16.03.15</v>
      </c>
      <c r="M4840" s="7">
        <v>5.31</v>
      </c>
      <c r="N4840" s="7">
        <v>441000</v>
      </c>
      <c r="O4840" s="7">
        <v>270408</v>
      </c>
      <c r="P4840" s="7">
        <v>0</v>
      </c>
      <c r="Q4840" s="7" t="str">
        <f t="shared" si="1746"/>
        <v>教育庁</v>
      </c>
      <c r="R4840" s="7" t="str">
        <f t="shared" si="1747"/>
        <v>春日丘高等学校</v>
      </c>
    </row>
    <row r="4841" spans="1:18" s="1" customFormat="1" x14ac:dyDescent="0.45">
      <c r="A4841" s="7" t="str">
        <f t="shared" si="1743"/>
        <v>10375000000</v>
      </c>
      <c r="B4841" s="7" t="str">
        <f t="shared" si="1744"/>
        <v>春日丘高等学校</v>
      </c>
      <c r="C4841" s="7" t="str">
        <f t="shared" si="1741"/>
        <v>行政財産</v>
      </c>
      <c r="D4841" s="7" t="str">
        <f t="shared" si="1733"/>
        <v>学校</v>
      </c>
      <c r="E4841" s="7" t="str">
        <f t="shared" si="1745"/>
        <v>大阪府茨木市春日２丁目</v>
      </c>
      <c r="F4841" s="7"/>
      <c r="G4841" s="7" t="str">
        <f t="shared" si="1742"/>
        <v>事業用資産</v>
      </c>
      <c r="H4841" s="7" t="str">
        <f t="shared" si="1735"/>
        <v>棚卸以外</v>
      </c>
      <c r="I4841" s="7">
        <v>66</v>
      </c>
      <c r="J4841" s="7" t="str">
        <f>"ゴミ置き場２"</f>
        <v>ゴミ置き場２</v>
      </c>
      <c r="K4841" s="7" t="str">
        <f t="shared" si="1749"/>
        <v>鉄骨造</v>
      </c>
      <c r="L4841" s="7" t="str">
        <f t="shared" si="1750"/>
        <v>H16.03.15</v>
      </c>
      <c r="M4841" s="7">
        <v>5.31</v>
      </c>
      <c r="N4841" s="7">
        <v>441000</v>
      </c>
      <c r="O4841" s="7">
        <v>270408</v>
      </c>
      <c r="P4841" s="7">
        <v>0</v>
      </c>
      <c r="Q4841" s="7" t="str">
        <f t="shared" si="1746"/>
        <v>教育庁</v>
      </c>
      <c r="R4841" s="7" t="str">
        <f t="shared" si="1747"/>
        <v>春日丘高等学校</v>
      </c>
    </row>
    <row r="4842" spans="1:18" s="1" customFormat="1" x14ac:dyDescent="0.45">
      <c r="A4842" s="7" t="str">
        <f t="shared" si="1743"/>
        <v>10375000000</v>
      </c>
      <c r="B4842" s="7" t="str">
        <f t="shared" si="1744"/>
        <v>春日丘高等学校</v>
      </c>
      <c r="C4842" s="7" t="str">
        <f t="shared" si="1741"/>
        <v>行政財産</v>
      </c>
      <c r="D4842" s="7" t="str">
        <f t="shared" si="1733"/>
        <v>学校</v>
      </c>
      <c r="E4842" s="7" t="str">
        <f t="shared" si="1745"/>
        <v>大阪府茨木市春日２丁目</v>
      </c>
      <c r="F4842" s="7"/>
      <c r="G4842" s="7" t="str">
        <f t="shared" si="1742"/>
        <v>事業用資産</v>
      </c>
      <c r="H4842" s="7" t="str">
        <f t="shared" si="1735"/>
        <v>棚卸以外</v>
      </c>
      <c r="I4842" s="7">
        <v>67</v>
      </c>
      <c r="J4842" s="7" t="str">
        <f>"ゴミ置き場３"</f>
        <v>ゴミ置き場３</v>
      </c>
      <c r="K4842" s="7" t="str">
        <f t="shared" si="1749"/>
        <v>鉄骨造</v>
      </c>
      <c r="L4842" s="7" t="str">
        <f t="shared" si="1750"/>
        <v>H16.03.15</v>
      </c>
      <c r="M4842" s="7">
        <v>4.03</v>
      </c>
      <c r="N4842" s="7">
        <v>352000</v>
      </c>
      <c r="O4842" s="7">
        <v>215916</v>
      </c>
      <c r="P4842" s="7">
        <v>0</v>
      </c>
      <c r="Q4842" s="7" t="str">
        <f t="shared" si="1746"/>
        <v>教育庁</v>
      </c>
      <c r="R4842" s="7" t="str">
        <f t="shared" si="1747"/>
        <v>春日丘高等学校</v>
      </c>
    </row>
    <row r="4843" spans="1:18" s="1" customFormat="1" x14ac:dyDescent="0.45">
      <c r="A4843" s="7" t="str">
        <f t="shared" si="1743"/>
        <v>10375000000</v>
      </c>
      <c r="B4843" s="7" t="str">
        <f t="shared" si="1744"/>
        <v>春日丘高等学校</v>
      </c>
      <c r="C4843" s="7" t="str">
        <f t="shared" si="1741"/>
        <v>行政財産</v>
      </c>
      <c r="D4843" s="7" t="str">
        <f t="shared" si="1733"/>
        <v>学校</v>
      </c>
      <c r="E4843" s="7" t="str">
        <f t="shared" si="1745"/>
        <v>大阪府茨木市春日２丁目</v>
      </c>
      <c r="F4843" s="7"/>
      <c r="G4843" s="7" t="str">
        <f t="shared" si="1742"/>
        <v>事業用資産</v>
      </c>
      <c r="H4843" s="7" t="str">
        <f t="shared" si="1735"/>
        <v>棚卸以外</v>
      </c>
      <c r="I4843" s="7">
        <v>68</v>
      </c>
      <c r="J4843" s="7" t="str">
        <f>"ゴミ置き場４"</f>
        <v>ゴミ置き場４</v>
      </c>
      <c r="K4843" s="7" t="str">
        <f t="shared" si="1749"/>
        <v>鉄骨造</v>
      </c>
      <c r="L4843" s="7" t="str">
        <f t="shared" si="1750"/>
        <v>H16.03.15</v>
      </c>
      <c r="M4843" s="7">
        <v>4.03</v>
      </c>
      <c r="N4843" s="7">
        <v>352000</v>
      </c>
      <c r="O4843" s="7">
        <v>215916</v>
      </c>
      <c r="P4843" s="7">
        <v>0</v>
      </c>
      <c r="Q4843" s="7" t="str">
        <f t="shared" si="1746"/>
        <v>教育庁</v>
      </c>
      <c r="R4843" s="7" t="str">
        <f t="shared" si="1747"/>
        <v>春日丘高等学校</v>
      </c>
    </row>
    <row r="4844" spans="1:18" s="1" customFormat="1" x14ac:dyDescent="0.45">
      <c r="A4844" s="7" t="str">
        <f t="shared" si="1743"/>
        <v>10375000000</v>
      </c>
      <c r="B4844" s="7" t="str">
        <f t="shared" si="1744"/>
        <v>春日丘高等学校</v>
      </c>
      <c r="C4844" s="7" t="str">
        <f t="shared" si="1741"/>
        <v>行政財産</v>
      </c>
      <c r="D4844" s="7" t="str">
        <f t="shared" si="1733"/>
        <v>学校</v>
      </c>
      <c r="E4844" s="7" t="str">
        <f t="shared" si="1745"/>
        <v>大阪府茨木市春日２丁目</v>
      </c>
      <c r="F4844" s="7"/>
      <c r="G4844" s="7" t="str">
        <f t="shared" si="1742"/>
        <v>事業用資産</v>
      </c>
      <c r="H4844" s="7" t="str">
        <f t="shared" si="1735"/>
        <v>棚卸以外</v>
      </c>
      <c r="I4844" s="7">
        <v>69</v>
      </c>
      <c r="J4844" s="7" t="str">
        <f>"教室棟"</f>
        <v>教室棟</v>
      </c>
      <c r="K4844" s="7" t="str">
        <f t="shared" si="1749"/>
        <v>鉄骨造</v>
      </c>
      <c r="L4844" s="7" t="str">
        <f>"H18.08.21"</f>
        <v>H18.08.21</v>
      </c>
      <c r="M4844" s="7">
        <v>299.86</v>
      </c>
      <c r="N4844" s="7">
        <v>46719760</v>
      </c>
      <c r="O4844" s="7">
        <v>22757128</v>
      </c>
      <c r="P4844" s="7">
        <v>0</v>
      </c>
      <c r="Q4844" s="7" t="str">
        <f t="shared" si="1746"/>
        <v>教育庁</v>
      </c>
      <c r="R4844" s="7" t="str">
        <f t="shared" si="1747"/>
        <v>春日丘高等学校</v>
      </c>
    </row>
    <row r="4845" spans="1:18" s="1" customFormat="1" x14ac:dyDescent="0.45">
      <c r="A4845" s="7" t="str">
        <f t="shared" si="1743"/>
        <v>10375000000</v>
      </c>
      <c r="B4845" s="7" t="str">
        <f t="shared" si="1744"/>
        <v>春日丘高等学校</v>
      </c>
      <c r="C4845" s="7" t="str">
        <f t="shared" si="1741"/>
        <v>行政財産</v>
      </c>
      <c r="D4845" s="7" t="str">
        <f t="shared" si="1733"/>
        <v>学校</v>
      </c>
      <c r="E4845" s="7" t="str">
        <f t="shared" si="1745"/>
        <v>大阪府茨木市春日２丁目</v>
      </c>
      <c r="F4845" s="7"/>
      <c r="G4845" s="7" t="str">
        <f t="shared" si="1742"/>
        <v>事業用資産</v>
      </c>
      <c r="H4845" s="7" t="str">
        <f t="shared" si="1735"/>
        <v>棚卸以外</v>
      </c>
      <c r="I4845" s="7">
        <v>70</v>
      </c>
      <c r="J4845" s="7" t="str">
        <f>"ウィステリアホール"</f>
        <v>ウィステリアホール</v>
      </c>
      <c r="K4845" s="7" t="str">
        <f t="shared" si="1749"/>
        <v>鉄骨造</v>
      </c>
      <c r="L4845" s="7" t="str">
        <f>"H24.03.16"</f>
        <v>H24.03.16</v>
      </c>
      <c r="M4845" s="7">
        <v>199.52</v>
      </c>
      <c r="N4845" s="7">
        <v>52298710</v>
      </c>
      <c r="O4845" s="7">
        <v>21344169</v>
      </c>
      <c r="P4845" s="7">
        <v>0</v>
      </c>
      <c r="Q4845" s="7" t="str">
        <f t="shared" si="1746"/>
        <v>教育庁</v>
      </c>
      <c r="R4845" s="7" t="str">
        <f t="shared" si="1747"/>
        <v>春日丘高等学校</v>
      </c>
    </row>
    <row r="4846" spans="1:18" s="1" customFormat="1" x14ac:dyDescent="0.45">
      <c r="A4846" s="7" t="str">
        <f t="shared" ref="A4846:A4860" si="1751">"10376000000"</f>
        <v>10376000000</v>
      </c>
      <c r="B4846" s="7" t="str">
        <f t="shared" ref="B4846:B4860" si="1752">"茨木高等学校"</f>
        <v>茨木高等学校</v>
      </c>
      <c r="C4846" s="7" t="str">
        <f t="shared" si="1741"/>
        <v>行政財産</v>
      </c>
      <c r="D4846" s="7" t="str">
        <f t="shared" si="1733"/>
        <v>学校</v>
      </c>
      <c r="E4846" s="7" t="str">
        <f t="shared" ref="E4846:E4860" si="1753">"大阪府茨木市新庄町"</f>
        <v>大阪府茨木市新庄町</v>
      </c>
      <c r="F4846" s="7"/>
      <c r="G4846" s="7" t="str">
        <f t="shared" si="1742"/>
        <v>事業用資産</v>
      </c>
      <c r="H4846" s="7" t="str">
        <f t="shared" si="1735"/>
        <v>棚卸以外</v>
      </c>
      <c r="I4846" s="7">
        <v>38</v>
      </c>
      <c r="J4846" s="7" t="str">
        <f>"記念館"</f>
        <v>記念館</v>
      </c>
      <c r="K4846" s="7" t="str">
        <f>"鉄筋コンクリート造"</f>
        <v>鉄筋コンクリート造</v>
      </c>
      <c r="L4846" s="7" t="str">
        <f>"S41.01.05"</f>
        <v>S41.01.05</v>
      </c>
      <c r="M4846" s="7">
        <v>520.66</v>
      </c>
      <c r="N4846" s="7">
        <v>87978000</v>
      </c>
      <c r="O4846" s="7">
        <v>53737871</v>
      </c>
      <c r="P4846" s="7">
        <v>0</v>
      </c>
      <c r="Q4846" s="7" t="str">
        <f t="shared" si="1746"/>
        <v>教育庁</v>
      </c>
      <c r="R4846" s="7" t="str">
        <f t="shared" ref="R4846:R4860" si="1754">"茨木高等学校"</f>
        <v>茨木高等学校</v>
      </c>
    </row>
    <row r="4847" spans="1:18" s="1" customFormat="1" x14ac:dyDescent="0.45">
      <c r="A4847" s="7" t="str">
        <f t="shared" si="1751"/>
        <v>10376000000</v>
      </c>
      <c r="B4847" s="7" t="str">
        <f t="shared" si="1752"/>
        <v>茨木高等学校</v>
      </c>
      <c r="C4847" s="7" t="str">
        <f t="shared" si="1741"/>
        <v>行政財産</v>
      </c>
      <c r="D4847" s="7" t="str">
        <f t="shared" si="1733"/>
        <v>学校</v>
      </c>
      <c r="E4847" s="7" t="str">
        <f t="shared" si="1753"/>
        <v>大阪府茨木市新庄町</v>
      </c>
      <c r="F4847" s="7"/>
      <c r="G4847" s="7" t="str">
        <f t="shared" si="1742"/>
        <v>事業用資産</v>
      </c>
      <c r="H4847" s="7" t="str">
        <f t="shared" si="1735"/>
        <v>棚卸以外</v>
      </c>
      <c r="I4847" s="7">
        <v>47</v>
      </c>
      <c r="J4847" s="7" t="str">
        <f>"倉庫"</f>
        <v>倉庫</v>
      </c>
      <c r="K4847" s="7" t="str">
        <f>"鉄筋コンクリート造"</f>
        <v>鉄筋コンクリート造</v>
      </c>
      <c r="L4847" s="7" t="str">
        <f>"S48.10.01"</f>
        <v>S48.10.01</v>
      </c>
      <c r="M4847" s="7">
        <v>35</v>
      </c>
      <c r="N4847" s="7">
        <v>2300000</v>
      </c>
      <c r="O4847" s="7">
        <v>2299999</v>
      </c>
      <c r="P4847" s="7">
        <v>0</v>
      </c>
      <c r="Q4847" s="7" t="str">
        <f t="shared" si="1746"/>
        <v>教育庁</v>
      </c>
      <c r="R4847" s="7" t="str">
        <f t="shared" si="1754"/>
        <v>茨木高等学校</v>
      </c>
    </row>
    <row r="4848" spans="1:18" s="1" customFormat="1" x14ac:dyDescent="0.45">
      <c r="A4848" s="7" t="str">
        <f t="shared" si="1751"/>
        <v>10376000000</v>
      </c>
      <c r="B4848" s="7" t="str">
        <f t="shared" si="1752"/>
        <v>茨木高等学校</v>
      </c>
      <c r="C4848" s="7" t="str">
        <f t="shared" si="1741"/>
        <v>行政財産</v>
      </c>
      <c r="D4848" s="7" t="str">
        <f t="shared" si="1733"/>
        <v>学校</v>
      </c>
      <c r="E4848" s="7" t="str">
        <f t="shared" si="1753"/>
        <v>大阪府茨木市新庄町</v>
      </c>
      <c r="F4848" s="7"/>
      <c r="G4848" s="7" t="str">
        <f t="shared" si="1742"/>
        <v>事業用資産</v>
      </c>
      <c r="H4848" s="7" t="str">
        <f t="shared" si="1735"/>
        <v>棚卸以外</v>
      </c>
      <c r="I4848" s="7">
        <v>50</v>
      </c>
      <c r="J4848" s="7" t="str">
        <f>"音楽教室"</f>
        <v>音楽教室</v>
      </c>
      <c r="K4848" s="7" t="str">
        <f>"鉄骨造"</f>
        <v>鉄骨造</v>
      </c>
      <c r="L4848" s="7" t="str">
        <f>"S50.10.29"</f>
        <v>S50.10.29</v>
      </c>
      <c r="M4848" s="7">
        <v>255.6</v>
      </c>
      <c r="N4848" s="7">
        <v>31278000</v>
      </c>
      <c r="O4848" s="7">
        <v>30942507</v>
      </c>
      <c r="P4848" s="7">
        <v>0</v>
      </c>
      <c r="Q4848" s="7" t="str">
        <f t="shared" si="1746"/>
        <v>教育庁</v>
      </c>
      <c r="R4848" s="7" t="str">
        <f t="shared" si="1754"/>
        <v>茨木高等学校</v>
      </c>
    </row>
    <row r="4849" spans="1:18" s="1" customFormat="1" x14ac:dyDescent="0.45">
      <c r="A4849" s="7" t="str">
        <f t="shared" si="1751"/>
        <v>10376000000</v>
      </c>
      <c r="B4849" s="7" t="str">
        <f t="shared" si="1752"/>
        <v>茨木高等学校</v>
      </c>
      <c r="C4849" s="7" t="str">
        <f t="shared" si="1741"/>
        <v>行政財産</v>
      </c>
      <c r="D4849" s="7" t="str">
        <f t="shared" si="1733"/>
        <v>学校</v>
      </c>
      <c r="E4849" s="7" t="str">
        <f t="shared" si="1753"/>
        <v>大阪府茨木市新庄町</v>
      </c>
      <c r="F4849" s="7"/>
      <c r="G4849" s="7" t="str">
        <f t="shared" si="1742"/>
        <v>事業用資産</v>
      </c>
      <c r="H4849" s="7" t="str">
        <f t="shared" si="1735"/>
        <v>棚卸以外</v>
      </c>
      <c r="I4849" s="7">
        <v>55</v>
      </c>
      <c r="J4849" s="7" t="str">
        <f>"Ｅ館"</f>
        <v>Ｅ館</v>
      </c>
      <c r="K4849" s="7" t="str">
        <f>"鉄筋コンクリート造"</f>
        <v>鉄筋コンクリート造</v>
      </c>
      <c r="L4849" s="7" t="str">
        <f>"S57.08.31"</f>
        <v>S57.08.31</v>
      </c>
      <c r="M4849" s="7">
        <v>1108.45</v>
      </c>
      <c r="N4849" s="7">
        <v>240181274</v>
      </c>
      <c r="O4849" s="7">
        <v>188007729</v>
      </c>
      <c r="P4849" s="7">
        <v>0</v>
      </c>
      <c r="Q4849" s="7" t="str">
        <f t="shared" si="1746"/>
        <v>教育庁</v>
      </c>
      <c r="R4849" s="7" t="str">
        <f t="shared" si="1754"/>
        <v>茨木高等学校</v>
      </c>
    </row>
    <row r="4850" spans="1:18" s="1" customFormat="1" x14ac:dyDescent="0.45">
      <c r="A4850" s="7" t="str">
        <f t="shared" si="1751"/>
        <v>10376000000</v>
      </c>
      <c r="B4850" s="7" t="str">
        <f t="shared" si="1752"/>
        <v>茨木高等学校</v>
      </c>
      <c r="C4850" s="7" t="str">
        <f t="shared" si="1741"/>
        <v>行政財産</v>
      </c>
      <c r="D4850" s="7" t="str">
        <f t="shared" si="1733"/>
        <v>学校</v>
      </c>
      <c r="E4850" s="7" t="str">
        <f t="shared" si="1753"/>
        <v>大阪府茨木市新庄町</v>
      </c>
      <c r="F4850" s="7"/>
      <c r="G4850" s="7" t="str">
        <f t="shared" si="1742"/>
        <v>事業用資産</v>
      </c>
      <c r="H4850" s="7" t="str">
        <f t="shared" si="1735"/>
        <v>棚卸以外</v>
      </c>
      <c r="I4850" s="7">
        <v>56</v>
      </c>
      <c r="J4850" s="7" t="str">
        <f>"プール棟"</f>
        <v>プール棟</v>
      </c>
      <c r="K4850" s="7" t="str">
        <f>"鉄筋コンクリート造"</f>
        <v>鉄筋コンクリート造</v>
      </c>
      <c r="L4850" s="7" t="str">
        <f>"H07.03.31"</f>
        <v>H07.03.31</v>
      </c>
      <c r="M4850" s="7">
        <v>2189</v>
      </c>
      <c r="N4850" s="7">
        <v>506020000</v>
      </c>
      <c r="O4850" s="7">
        <v>301458864</v>
      </c>
      <c r="P4850" s="7">
        <v>0</v>
      </c>
      <c r="Q4850" s="7" t="str">
        <f t="shared" si="1746"/>
        <v>教育庁</v>
      </c>
      <c r="R4850" s="7" t="str">
        <f t="shared" si="1754"/>
        <v>茨木高等学校</v>
      </c>
    </row>
    <row r="4851" spans="1:18" s="1" customFormat="1" x14ac:dyDescent="0.45">
      <c r="A4851" s="7" t="str">
        <f t="shared" si="1751"/>
        <v>10376000000</v>
      </c>
      <c r="B4851" s="7" t="str">
        <f t="shared" si="1752"/>
        <v>茨木高等学校</v>
      </c>
      <c r="C4851" s="7" t="str">
        <f t="shared" si="1741"/>
        <v>行政財産</v>
      </c>
      <c r="D4851" s="7" t="str">
        <f t="shared" si="1733"/>
        <v>学校</v>
      </c>
      <c r="E4851" s="7" t="str">
        <f t="shared" si="1753"/>
        <v>大阪府茨木市新庄町</v>
      </c>
      <c r="F4851" s="7"/>
      <c r="G4851" s="7" t="str">
        <f t="shared" si="1742"/>
        <v>事業用資産</v>
      </c>
      <c r="H4851" s="7" t="str">
        <f t="shared" si="1735"/>
        <v>棚卸以外</v>
      </c>
      <c r="I4851" s="7">
        <v>57</v>
      </c>
      <c r="J4851" s="7" t="str">
        <f>"プール附属棟"</f>
        <v>プール附属棟</v>
      </c>
      <c r="K4851" s="7" t="str">
        <f>"鉄筋コンクリート造"</f>
        <v>鉄筋コンクリート造</v>
      </c>
      <c r="L4851" s="7" t="str">
        <f>"H07.03.31"</f>
        <v>H07.03.31</v>
      </c>
      <c r="M4851" s="7">
        <v>218</v>
      </c>
      <c r="N4851" s="7">
        <v>91743500</v>
      </c>
      <c r="O4851" s="7">
        <v>67284608</v>
      </c>
      <c r="P4851" s="7">
        <v>0</v>
      </c>
      <c r="Q4851" s="7" t="str">
        <f t="shared" si="1746"/>
        <v>教育庁</v>
      </c>
      <c r="R4851" s="7" t="str">
        <f t="shared" si="1754"/>
        <v>茨木高等学校</v>
      </c>
    </row>
    <row r="4852" spans="1:18" s="1" customFormat="1" ht="26.4" x14ac:dyDescent="0.45">
      <c r="A4852" s="7" t="str">
        <f t="shared" si="1751"/>
        <v>10376000000</v>
      </c>
      <c r="B4852" s="7" t="str">
        <f t="shared" si="1752"/>
        <v>茨木高等学校</v>
      </c>
      <c r="C4852" s="7" t="str">
        <f t="shared" si="1741"/>
        <v>行政財産</v>
      </c>
      <c r="D4852" s="7" t="str">
        <f t="shared" si="1733"/>
        <v>学校</v>
      </c>
      <c r="E4852" s="7" t="str">
        <f t="shared" si="1753"/>
        <v>大阪府茨木市新庄町</v>
      </c>
      <c r="F4852" s="7"/>
      <c r="G4852" s="7" t="str">
        <f t="shared" si="1742"/>
        <v>事業用資産</v>
      </c>
      <c r="H4852" s="7" t="str">
        <f t="shared" si="1735"/>
        <v>棚卸以外</v>
      </c>
      <c r="I4852" s="7">
        <v>58</v>
      </c>
      <c r="J4852" s="7" t="str">
        <f>"Ａ館"</f>
        <v>Ａ館</v>
      </c>
      <c r="K4852" s="7" t="str">
        <f>"鉄骨鉄筋コンクリート造"</f>
        <v>鉄骨鉄筋コンクリート造</v>
      </c>
      <c r="L4852" s="7" t="str">
        <f t="shared" ref="L4852:L4857" si="1755">"H09.02.20"</f>
        <v>H09.02.20</v>
      </c>
      <c r="M4852" s="7">
        <v>2536.14</v>
      </c>
      <c r="N4852" s="7">
        <v>642760916</v>
      </c>
      <c r="O4852" s="7">
        <v>351859710</v>
      </c>
      <c r="P4852" s="7">
        <v>0</v>
      </c>
      <c r="Q4852" s="7" t="str">
        <f t="shared" si="1746"/>
        <v>教育庁</v>
      </c>
      <c r="R4852" s="7" t="str">
        <f t="shared" si="1754"/>
        <v>茨木高等学校</v>
      </c>
    </row>
    <row r="4853" spans="1:18" s="1" customFormat="1" x14ac:dyDescent="0.45">
      <c r="A4853" s="7" t="str">
        <f t="shared" si="1751"/>
        <v>10376000000</v>
      </c>
      <c r="B4853" s="7" t="str">
        <f t="shared" si="1752"/>
        <v>茨木高等学校</v>
      </c>
      <c r="C4853" s="7" t="str">
        <f t="shared" si="1741"/>
        <v>行政財産</v>
      </c>
      <c r="D4853" s="7" t="str">
        <f t="shared" si="1733"/>
        <v>学校</v>
      </c>
      <c r="E4853" s="7" t="str">
        <f t="shared" si="1753"/>
        <v>大阪府茨木市新庄町</v>
      </c>
      <c r="F4853" s="7"/>
      <c r="G4853" s="7" t="str">
        <f t="shared" si="1742"/>
        <v>事業用資産</v>
      </c>
      <c r="H4853" s="7" t="str">
        <f t="shared" si="1735"/>
        <v>棚卸以外</v>
      </c>
      <c r="I4853" s="7">
        <v>59</v>
      </c>
      <c r="J4853" s="7" t="str">
        <f>"Ｂ館"</f>
        <v>Ｂ館</v>
      </c>
      <c r="K4853" s="7" t="str">
        <f>"鉄筋コンクリート造"</f>
        <v>鉄筋コンクリート造</v>
      </c>
      <c r="L4853" s="7" t="str">
        <f t="shared" si="1755"/>
        <v>H09.02.20</v>
      </c>
      <c r="M4853" s="7">
        <v>2023.78</v>
      </c>
      <c r="N4853" s="7">
        <v>504080968</v>
      </c>
      <c r="O4853" s="7">
        <v>256991761</v>
      </c>
      <c r="P4853" s="7">
        <v>0</v>
      </c>
      <c r="Q4853" s="7" t="str">
        <f t="shared" si="1746"/>
        <v>教育庁</v>
      </c>
      <c r="R4853" s="7" t="str">
        <f t="shared" si="1754"/>
        <v>茨木高等学校</v>
      </c>
    </row>
    <row r="4854" spans="1:18" s="1" customFormat="1" x14ac:dyDescent="0.45">
      <c r="A4854" s="7" t="str">
        <f t="shared" si="1751"/>
        <v>10376000000</v>
      </c>
      <c r="B4854" s="7" t="str">
        <f t="shared" si="1752"/>
        <v>茨木高等学校</v>
      </c>
      <c r="C4854" s="7" t="str">
        <f t="shared" si="1741"/>
        <v>行政財産</v>
      </c>
      <c r="D4854" s="7" t="str">
        <f t="shared" si="1733"/>
        <v>学校</v>
      </c>
      <c r="E4854" s="7" t="str">
        <f t="shared" si="1753"/>
        <v>大阪府茨木市新庄町</v>
      </c>
      <c r="F4854" s="7"/>
      <c r="G4854" s="7" t="str">
        <f t="shared" si="1742"/>
        <v>事業用資産</v>
      </c>
      <c r="H4854" s="7" t="str">
        <f t="shared" si="1735"/>
        <v>棚卸以外</v>
      </c>
      <c r="I4854" s="7">
        <v>60</v>
      </c>
      <c r="J4854" s="7" t="str">
        <f>"Ｃ館"</f>
        <v>Ｃ館</v>
      </c>
      <c r="K4854" s="7" t="str">
        <f>"鉄筋コンクリート造"</f>
        <v>鉄筋コンクリート造</v>
      </c>
      <c r="L4854" s="7" t="str">
        <f t="shared" si="1755"/>
        <v>H09.02.20</v>
      </c>
      <c r="M4854" s="7">
        <v>2175.08</v>
      </c>
      <c r="N4854" s="7">
        <v>513593608</v>
      </c>
      <c r="O4854" s="7">
        <v>274930463</v>
      </c>
      <c r="P4854" s="7">
        <v>0</v>
      </c>
      <c r="Q4854" s="7" t="str">
        <f t="shared" si="1746"/>
        <v>教育庁</v>
      </c>
      <c r="R4854" s="7" t="str">
        <f t="shared" si="1754"/>
        <v>茨木高等学校</v>
      </c>
    </row>
    <row r="4855" spans="1:18" s="1" customFormat="1" x14ac:dyDescent="0.45">
      <c r="A4855" s="7" t="str">
        <f t="shared" si="1751"/>
        <v>10376000000</v>
      </c>
      <c r="B4855" s="7" t="str">
        <f t="shared" si="1752"/>
        <v>茨木高等学校</v>
      </c>
      <c r="C4855" s="7" t="str">
        <f t="shared" si="1741"/>
        <v>行政財産</v>
      </c>
      <c r="D4855" s="7" t="str">
        <f t="shared" si="1733"/>
        <v>学校</v>
      </c>
      <c r="E4855" s="7" t="str">
        <f t="shared" si="1753"/>
        <v>大阪府茨木市新庄町</v>
      </c>
      <c r="F4855" s="7"/>
      <c r="G4855" s="7" t="str">
        <f t="shared" si="1742"/>
        <v>事業用資産</v>
      </c>
      <c r="H4855" s="7" t="str">
        <f t="shared" si="1735"/>
        <v>棚卸以外</v>
      </c>
      <c r="I4855" s="7">
        <v>61</v>
      </c>
      <c r="J4855" s="7" t="str">
        <f>"Ｄ館"</f>
        <v>Ｄ館</v>
      </c>
      <c r="K4855" s="7" t="str">
        <f>"鉄筋コンクリート造"</f>
        <v>鉄筋コンクリート造</v>
      </c>
      <c r="L4855" s="7" t="str">
        <f t="shared" si="1755"/>
        <v>H09.02.20</v>
      </c>
      <c r="M4855" s="7">
        <v>2664.46</v>
      </c>
      <c r="N4855" s="7">
        <v>522545244</v>
      </c>
      <c r="O4855" s="7">
        <v>286047399</v>
      </c>
      <c r="P4855" s="7">
        <v>0</v>
      </c>
      <c r="Q4855" s="7" t="str">
        <f t="shared" si="1746"/>
        <v>教育庁</v>
      </c>
      <c r="R4855" s="7" t="str">
        <f t="shared" si="1754"/>
        <v>茨木高等学校</v>
      </c>
    </row>
    <row r="4856" spans="1:18" s="1" customFormat="1" ht="26.4" x14ac:dyDescent="0.45">
      <c r="A4856" s="7" t="str">
        <f t="shared" si="1751"/>
        <v>10376000000</v>
      </c>
      <c r="B4856" s="7" t="str">
        <f t="shared" si="1752"/>
        <v>茨木高等学校</v>
      </c>
      <c r="C4856" s="7" t="str">
        <f t="shared" si="1741"/>
        <v>行政財産</v>
      </c>
      <c r="D4856" s="7" t="str">
        <f t="shared" si="1733"/>
        <v>学校</v>
      </c>
      <c r="E4856" s="7" t="str">
        <f t="shared" si="1753"/>
        <v>大阪府茨木市新庄町</v>
      </c>
      <c r="F4856" s="7"/>
      <c r="G4856" s="7" t="str">
        <f t="shared" si="1742"/>
        <v>事業用資産</v>
      </c>
      <c r="H4856" s="7" t="str">
        <f t="shared" si="1735"/>
        <v>棚卸以外</v>
      </c>
      <c r="I4856" s="7">
        <v>62</v>
      </c>
      <c r="J4856" s="7" t="str">
        <f>"体育館"</f>
        <v>体育館</v>
      </c>
      <c r="K4856" s="7" t="str">
        <f>"鉄骨鉄筋コンクリート造"</f>
        <v>鉄骨鉄筋コンクリート造</v>
      </c>
      <c r="L4856" s="7" t="str">
        <f t="shared" si="1755"/>
        <v>H09.02.20</v>
      </c>
      <c r="M4856" s="7">
        <v>3448.27</v>
      </c>
      <c r="N4856" s="7">
        <v>754134239</v>
      </c>
      <c r="O4856" s="7">
        <v>402409734</v>
      </c>
      <c r="P4856" s="7">
        <v>0</v>
      </c>
      <c r="Q4856" s="7" t="str">
        <f t="shared" si="1746"/>
        <v>教育庁</v>
      </c>
      <c r="R4856" s="7" t="str">
        <f t="shared" si="1754"/>
        <v>茨木高等学校</v>
      </c>
    </row>
    <row r="4857" spans="1:18" s="1" customFormat="1" ht="26.4" x14ac:dyDescent="0.45">
      <c r="A4857" s="7" t="str">
        <f t="shared" si="1751"/>
        <v>10376000000</v>
      </c>
      <c r="B4857" s="7" t="str">
        <f t="shared" si="1752"/>
        <v>茨木高等学校</v>
      </c>
      <c r="C4857" s="7" t="str">
        <f t="shared" si="1741"/>
        <v>行政財産</v>
      </c>
      <c r="D4857" s="7" t="str">
        <f t="shared" ref="D4857:D4920" si="1756">"学校"</f>
        <v>学校</v>
      </c>
      <c r="E4857" s="7" t="str">
        <f t="shared" si="1753"/>
        <v>大阪府茨木市新庄町</v>
      </c>
      <c r="F4857" s="7"/>
      <c r="G4857" s="7" t="str">
        <f t="shared" si="1742"/>
        <v>事業用資産</v>
      </c>
      <c r="H4857" s="7" t="str">
        <f t="shared" si="1735"/>
        <v>棚卸以外</v>
      </c>
      <c r="I4857" s="7">
        <v>63</v>
      </c>
      <c r="J4857" s="7" t="str">
        <f>"多目的ホール"</f>
        <v>多目的ホール</v>
      </c>
      <c r="K4857" s="7" t="str">
        <f>"鉄骨鉄筋コンクリート造"</f>
        <v>鉄骨鉄筋コンクリート造</v>
      </c>
      <c r="L4857" s="7" t="str">
        <f t="shared" si="1755"/>
        <v>H09.02.20</v>
      </c>
      <c r="M4857" s="7">
        <v>558.61</v>
      </c>
      <c r="N4857" s="7">
        <v>109123000</v>
      </c>
      <c r="O4857" s="7">
        <v>60559553</v>
      </c>
      <c r="P4857" s="7">
        <v>0</v>
      </c>
      <c r="Q4857" s="7" t="str">
        <f t="shared" si="1746"/>
        <v>教育庁</v>
      </c>
      <c r="R4857" s="7" t="str">
        <f t="shared" si="1754"/>
        <v>茨木高等学校</v>
      </c>
    </row>
    <row r="4858" spans="1:18" s="1" customFormat="1" x14ac:dyDescent="0.45">
      <c r="A4858" s="7" t="str">
        <f t="shared" si="1751"/>
        <v>10376000000</v>
      </c>
      <c r="B4858" s="7" t="str">
        <f t="shared" si="1752"/>
        <v>茨木高等学校</v>
      </c>
      <c r="C4858" s="7" t="str">
        <f t="shared" si="1741"/>
        <v>行政財産</v>
      </c>
      <c r="D4858" s="7" t="str">
        <f t="shared" si="1756"/>
        <v>学校</v>
      </c>
      <c r="E4858" s="7" t="str">
        <f t="shared" si="1753"/>
        <v>大阪府茨木市新庄町</v>
      </c>
      <c r="F4858" s="7"/>
      <c r="G4858" s="7" t="str">
        <f t="shared" si="1742"/>
        <v>事業用資産</v>
      </c>
      <c r="H4858" s="7" t="str">
        <f t="shared" si="1735"/>
        <v>棚卸以外</v>
      </c>
      <c r="I4858" s="7">
        <v>64</v>
      </c>
      <c r="J4858" s="7" t="str">
        <f>"ゴミ置場"</f>
        <v>ゴミ置場</v>
      </c>
      <c r="K4858" s="7" t="str">
        <f>"鉄筋コンクリート造"</f>
        <v>鉄筋コンクリート造</v>
      </c>
      <c r="L4858" s="7" t="str">
        <f>"H09.03.19"</f>
        <v>H09.03.19</v>
      </c>
      <c r="M4858" s="7">
        <v>13.2</v>
      </c>
      <c r="N4858" s="7">
        <v>3053000</v>
      </c>
      <c r="O4858" s="7">
        <v>2089152</v>
      </c>
      <c r="P4858" s="7">
        <v>0</v>
      </c>
      <c r="Q4858" s="7" t="str">
        <f t="shared" si="1746"/>
        <v>教育庁</v>
      </c>
      <c r="R4858" s="7" t="str">
        <f t="shared" si="1754"/>
        <v>茨木高等学校</v>
      </c>
    </row>
    <row r="4859" spans="1:18" s="1" customFormat="1" x14ac:dyDescent="0.45">
      <c r="A4859" s="7" t="str">
        <f t="shared" si="1751"/>
        <v>10376000000</v>
      </c>
      <c r="B4859" s="7" t="str">
        <f t="shared" si="1752"/>
        <v>茨木高等学校</v>
      </c>
      <c r="C4859" s="7" t="str">
        <f t="shared" si="1741"/>
        <v>行政財産</v>
      </c>
      <c r="D4859" s="7" t="str">
        <f t="shared" si="1756"/>
        <v>学校</v>
      </c>
      <c r="E4859" s="7" t="str">
        <f t="shared" si="1753"/>
        <v>大阪府茨木市新庄町</v>
      </c>
      <c r="F4859" s="7"/>
      <c r="G4859" s="7" t="str">
        <f t="shared" si="1742"/>
        <v>事業用資産</v>
      </c>
      <c r="H4859" s="7" t="str">
        <f t="shared" si="1735"/>
        <v>棚卸以外</v>
      </c>
      <c r="I4859" s="7">
        <v>65</v>
      </c>
      <c r="J4859" s="7" t="str">
        <f>"倉庫"</f>
        <v>倉庫</v>
      </c>
      <c r="K4859" s="7" t="str">
        <f>"鉄骨造"</f>
        <v>鉄骨造</v>
      </c>
      <c r="L4859" s="7" t="str">
        <f>"H10.03.31"</f>
        <v>H10.03.31</v>
      </c>
      <c r="M4859" s="7">
        <v>199.84</v>
      </c>
      <c r="N4859" s="7">
        <v>24673000</v>
      </c>
      <c r="O4859" s="7">
        <v>19897800</v>
      </c>
      <c r="P4859" s="7">
        <v>0</v>
      </c>
      <c r="Q4859" s="7" t="str">
        <f t="shared" si="1746"/>
        <v>教育庁</v>
      </c>
      <c r="R4859" s="7" t="str">
        <f t="shared" si="1754"/>
        <v>茨木高等学校</v>
      </c>
    </row>
    <row r="4860" spans="1:18" s="1" customFormat="1" x14ac:dyDescent="0.45">
      <c r="A4860" s="7" t="str">
        <f t="shared" si="1751"/>
        <v>10376000000</v>
      </c>
      <c r="B4860" s="7" t="str">
        <f t="shared" si="1752"/>
        <v>茨木高等学校</v>
      </c>
      <c r="C4860" s="7" t="str">
        <f t="shared" si="1741"/>
        <v>行政財産</v>
      </c>
      <c r="D4860" s="7" t="str">
        <f t="shared" si="1756"/>
        <v>学校</v>
      </c>
      <c r="E4860" s="7" t="str">
        <f t="shared" si="1753"/>
        <v>大阪府茨木市新庄町</v>
      </c>
      <c r="F4860" s="7"/>
      <c r="G4860" s="7" t="str">
        <f t="shared" si="1742"/>
        <v>事業用資産</v>
      </c>
      <c r="H4860" s="7" t="str">
        <f t="shared" si="1735"/>
        <v>棚卸以外</v>
      </c>
      <c r="I4860" s="7">
        <v>66</v>
      </c>
      <c r="J4860" s="7" t="str">
        <f>"部室"</f>
        <v>部室</v>
      </c>
      <c r="K4860" s="7" t="str">
        <f>"鉄骨造"</f>
        <v>鉄骨造</v>
      </c>
      <c r="L4860" s="7" t="str">
        <f>"H10.03.31"</f>
        <v>H10.03.31</v>
      </c>
      <c r="M4860" s="7">
        <v>199.84</v>
      </c>
      <c r="N4860" s="7">
        <v>16115000</v>
      </c>
      <c r="O4860" s="7">
        <v>12996000</v>
      </c>
      <c r="P4860" s="7">
        <v>0</v>
      </c>
      <c r="Q4860" s="7" t="str">
        <f t="shared" si="1746"/>
        <v>教育庁</v>
      </c>
      <c r="R4860" s="7" t="str">
        <f t="shared" si="1754"/>
        <v>茨木高等学校</v>
      </c>
    </row>
    <row r="4861" spans="1:18" s="1" customFormat="1" ht="26.4" x14ac:dyDescent="0.45">
      <c r="A4861" s="7" t="str">
        <f t="shared" ref="A4861:A4871" si="1757">"10377000000"</f>
        <v>10377000000</v>
      </c>
      <c r="B4861" s="7" t="str">
        <f t="shared" ref="B4861:B4871" si="1758">"茨木西高等学校"</f>
        <v>茨木西高等学校</v>
      </c>
      <c r="C4861" s="7" t="str">
        <f t="shared" si="1741"/>
        <v>行政財産</v>
      </c>
      <c r="D4861" s="7" t="str">
        <f t="shared" si="1756"/>
        <v>学校</v>
      </c>
      <c r="E4861" s="7" t="str">
        <f t="shared" ref="E4861:E4871" si="1759">"大阪府茨木市紫明園"</f>
        <v>大阪府茨木市紫明園</v>
      </c>
      <c r="F4861" s="7"/>
      <c r="G4861" s="7" t="str">
        <f t="shared" si="1742"/>
        <v>事業用資産</v>
      </c>
      <c r="H4861" s="7" t="str">
        <f t="shared" si="1735"/>
        <v>棚卸以外</v>
      </c>
      <c r="I4861" s="7">
        <v>1</v>
      </c>
      <c r="J4861" s="7" t="str">
        <f>"普通教室棟"</f>
        <v>普通教室棟</v>
      </c>
      <c r="K4861" s="7" t="str">
        <f>"鉄骨鉄筋コンクリート造"</f>
        <v>鉄骨鉄筋コンクリート造</v>
      </c>
      <c r="L4861" s="7" t="str">
        <f>"S51.05.21"</f>
        <v>S51.05.21</v>
      </c>
      <c r="M4861" s="7">
        <v>5911.48</v>
      </c>
      <c r="N4861" s="7">
        <v>752113652</v>
      </c>
      <c r="O4861" s="7">
        <v>628787391</v>
      </c>
      <c r="P4861" s="7">
        <v>0</v>
      </c>
      <c r="Q4861" s="7" t="str">
        <f t="shared" si="1746"/>
        <v>教育庁</v>
      </c>
      <c r="R4861" s="7" t="str">
        <f t="shared" ref="R4861:R4871" si="1760">"茨木西高等学校"</f>
        <v>茨木西高等学校</v>
      </c>
    </row>
    <row r="4862" spans="1:18" s="1" customFormat="1" ht="26.4" x14ac:dyDescent="0.45">
      <c r="A4862" s="7" t="str">
        <f t="shared" si="1757"/>
        <v>10377000000</v>
      </c>
      <c r="B4862" s="7" t="str">
        <f t="shared" si="1758"/>
        <v>茨木西高等学校</v>
      </c>
      <c r="C4862" s="7" t="str">
        <f t="shared" si="1741"/>
        <v>行政財産</v>
      </c>
      <c r="D4862" s="7" t="str">
        <f t="shared" si="1756"/>
        <v>学校</v>
      </c>
      <c r="E4862" s="7" t="str">
        <f t="shared" si="1759"/>
        <v>大阪府茨木市紫明園</v>
      </c>
      <c r="F4862" s="7"/>
      <c r="G4862" s="7" t="str">
        <f t="shared" si="1742"/>
        <v>事業用資産</v>
      </c>
      <c r="H4862" s="7" t="str">
        <f t="shared" si="1735"/>
        <v>棚卸以外</v>
      </c>
      <c r="I4862" s="7">
        <v>2</v>
      </c>
      <c r="J4862" s="7" t="str">
        <f>"渡り廊下"</f>
        <v>渡り廊下</v>
      </c>
      <c r="K4862" s="7" t="str">
        <f>"鉄骨鉄筋コンクリート造"</f>
        <v>鉄骨鉄筋コンクリート造</v>
      </c>
      <c r="L4862" s="7" t="str">
        <f>"S51.05.21"</f>
        <v>S51.05.21</v>
      </c>
      <c r="M4862" s="7">
        <v>388.85</v>
      </c>
      <c r="N4862" s="7">
        <v>39947418</v>
      </c>
      <c r="O4862" s="7">
        <v>37102290</v>
      </c>
      <c r="P4862" s="7">
        <v>0</v>
      </c>
      <c r="Q4862" s="7" t="str">
        <f t="shared" si="1746"/>
        <v>教育庁</v>
      </c>
      <c r="R4862" s="7" t="str">
        <f t="shared" si="1760"/>
        <v>茨木西高等学校</v>
      </c>
    </row>
    <row r="4863" spans="1:18" s="1" customFormat="1" x14ac:dyDescent="0.45">
      <c r="A4863" s="7" t="str">
        <f t="shared" si="1757"/>
        <v>10377000000</v>
      </c>
      <c r="B4863" s="7" t="str">
        <f t="shared" si="1758"/>
        <v>茨木西高等学校</v>
      </c>
      <c r="C4863" s="7" t="str">
        <f t="shared" si="1741"/>
        <v>行政財産</v>
      </c>
      <c r="D4863" s="7" t="str">
        <f t="shared" si="1756"/>
        <v>学校</v>
      </c>
      <c r="E4863" s="7" t="str">
        <f t="shared" si="1759"/>
        <v>大阪府茨木市紫明園</v>
      </c>
      <c r="F4863" s="7"/>
      <c r="G4863" s="7" t="str">
        <f t="shared" si="1742"/>
        <v>事業用資産</v>
      </c>
      <c r="H4863" s="7" t="str">
        <f t="shared" si="1735"/>
        <v>棚卸以外</v>
      </c>
      <c r="I4863" s="7">
        <v>3</v>
      </c>
      <c r="J4863" s="7" t="str">
        <f>"倉庫"</f>
        <v>倉庫</v>
      </c>
      <c r="K4863" s="7" t="str">
        <f>"鉄骨造"</f>
        <v>鉄骨造</v>
      </c>
      <c r="L4863" s="7" t="str">
        <f>"S51.05.21"</f>
        <v>S51.05.21</v>
      </c>
      <c r="M4863" s="7">
        <v>50</v>
      </c>
      <c r="N4863" s="7">
        <v>3415000</v>
      </c>
      <c r="O4863" s="7">
        <v>3414999</v>
      </c>
      <c r="P4863" s="7">
        <v>0</v>
      </c>
      <c r="Q4863" s="7" t="str">
        <f t="shared" si="1746"/>
        <v>教育庁</v>
      </c>
      <c r="R4863" s="7" t="str">
        <f t="shared" si="1760"/>
        <v>茨木西高等学校</v>
      </c>
    </row>
    <row r="4864" spans="1:18" s="1" customFormat="1" ht="26.4" x14ac:dyDescent="0.45">
      <c r="A4864" s="7" t="str">
        <f t="shared" si="1757"/>
        <v>10377000000</v>
      </c>
      <c r="B4864" s="7" t="str">
        <f t="shared" si="1758"/>
        <v>茨木西高等学校</v>
      </c>
      <c r="C4864" s="7" t="str">
        <f t="shared" si="1741"/>
        <v>行政財産</v>
      </c>
      <c r="D4864" s="7" t="str">
        <f t="shared" si="1756"/>
        <v>学校</v>
      </c>
      <c r="E4864" s="7" t="str">
        <f t="shared" si="1759"/>
        <v>大阪府茨木市紫明園</v>
      </c>
      <c r="F4864" s="7"/>
      <c r="G4864" s="7" t="str">
        <f t="shared" si="1742"/>
        <v>事業用資産</v>
      </c>
      <c r="H4864" s="7" t="str">
        <f t="shared" si="1735"/>
        <v>棚卸以外</v>
      </c>
      <c r="I4864" s="7">
        <v>4</v>
      </c>
      <c r="J4864" s="7" t="str">
        <f>"特別教室棟"</f>
        <v>特別教室棟</v>
      </c>
      <c r="K4864" s="7" t="str">
        <f>"鉄骨鉄筋コンクリート造"</f>
        <v>鉄骨鉄筋コンクリート造</v>
      </c>
      <c r="L4864" s="7" t="str">
        <f>"S51.05.21"</f>
        <v>S51.05.21</v>
      </c>
      <c r="M4864" s="7">
        <v>5440.33</v>
      </c>
      <c r="N4864" s="7">
        <v>635011006</v>
      </c>
      <c r="O4864" s="7">
        <v>593217912</v>
      </c>
      <c r="P4864" s="7">
        <v>0</v>
      </c>
      <c r="Q4864" s="7" t="str">
        <f t="shared" si="1746"/>
        <v>教育庁</v>
      </c>
      <c r="R4864" s="7" t="str">
        <f t="shared" si="1760"/>
        <v>茨木西高等学校</v>
      </c>
    </row>
    <row r="4865" spans="1:18" s="1" customFormat="1" x14ac:dyDescent="0.45">
      <c r="A4865" s="7" t="str">
        <f t="shared" si="1757"/>
        <v>10377000000</v>
      </c>
      <c r="B4865" s="7" t="str">
        <f t="shared" si="1758"/>
        <v>茨木西高等学校</v>
      </c>
      <c r="C4865" s="7" t="str">
        <f t="shared" si="1741"/>
        <v>行政財産</v>
      </c>
      <c r="D4865" s="7" t="str">
        <f t="shared" si="1756"/>
        <v>学校</v>
      </c>
      <c r="E4865" s="7" t="str">
        <f t="shared" si="1759"/>
        <v>大阪府茨木市紫明園</v>
      </c>
      <c r="F4865" s="7"/>
      <c r="G4865" s="7" t="str">
        <f t="shared" si="1742"/>
        <v>事業用資産</v>
      </c>
      <c r="H4865" s="7" t="str">
        <f t="shared" si="1735"/>
        <v>棚卸以外</v>
      </c>
      <c r="I4865" s="7">
        <v>5</v>
      </c>
      <c r="J4865" s="7" t="str">
        <f>"設備棟"</f>
        <v>設備棟</v>
      </c>
      <c r="K4865" s="7" t="str">
        <f>"鉄筋コンクリート造"</f>
        <v>鉄筋コンクリート造</v>
      </c>
      <c r="L4865" s="7" t="str">
        <f>"S51.05.21"</f>
        <v>S51.05.21</v>
      </c>
      <c r="M4865" s="7">
        <v>96</v>
      </c>
      <c r="N4865" s="7">
        <v>45205063</v>
      </c>
      <c r="O4865" s="7">
        <v>38635547</v>
      </c>
      <c r="P4865" s="7">
        <v>0</v>
      </c>
      <c r="Q4865" s="7" t="str">
        <f t="shared" si="1746"/>
        <v>教育庁</v>
      </c>
      <c r="R4865" s="7" t="str">
        <f t="shared" si="1760"/>
        <v>茨木西高等学校</v>
      </c>
    </row>
    <row r="4866" spans="1:18" s="1" customFormat="1" x14ac:dyDescent="0.45">
      <c r="A4866" s="7" t="str">
        <f t="shared" si="1757"/>
        <v>10377000000</v>
      </c>
      <c r="B4866" s="7" t="str">
        <f t="shared" si="1758"/>
        <v>茨木西高等学校</v>
      </c>
      <c r="C4866" s="7" t="str">
        <f t="shared" si="1741"/>
        <v>行政財産</v>
      </c>
      <c r="D4866" s="7" t="str">
        <f t="shared" si="1756"/>
        <v>学校</v>
      </c>
      <c r="E4866" s="7" t="str">
        <f t="shared" si="1759"/>
        <v>大阪府茨木市紫明園</v>
      </c>
      <c r="F4866" s="7"/>
      <c r="G4866" s="7" t="str">
        <f t="shared" si="1742"/>
        <v>事業用資産</v>
      </c>
      <c r="H4866" s="7" t="str">
        <f t="shared" si="1735"/>
        <v>棚卸以外</v>
      </c>
      <c r="I4866" s="7">
        <v>9</v>
      </c>
      <c r="J4866" s="7" t="str">
        <f>"プール附属棟"</f>
        <v>プール附属棟</v>
      </c>
      <c r="K4866" s="7" t="str">
        <f>"鉄筋コンクリート造"</f>
        <v>鉄筋コンクリート造</v>
      </c>
      <c r="L4866" s="7" t="str">
        <f>"S52.07.02"</f>
        <v>S52.07.02</v>
      </c>
      <c r="M4866" s="7">
        <v>138</v>
      </c>
      <c r="N4866" s="7">
        <v>25688000</v>
      </c>
      <c r="O4866" s="7">
        <v>25687999</v>
      </c>
      <c r="P4866" s="7">
        <v>0</v>
      </c>
      <c r="Q4866" s="7" t="str">
        <f t="shared" si="1746"/>
        <v>教育庁</v>
      </c>
      <c r="R4866" s="7" t="str">
        <f t="shared" si="1760"/>
        <v>茨木西高等学校</v>
      </c>
    </row>
    <row r="4867" spans="1:18" s="1" customFormat="1" x14ac:dyDescent="0.45">
      <c r="A4867" s="7" t="str">
        <f t="shared" si="1757"/>
        <v>10377000000</v>
      </c>
      <c r="B4867" s="7" t="str">
        <f t="shared" si="1758"/>
        <v>茨木西高等学校</v>
      </c>
      <c r="C4867" s="7" t="str">
        <f t="shared" si="1741"/>
        <v>行政財産</v>
      </c>
      <c r="D4867" s="7" t="str">
        <f t="shared" si="1756"/>
        <v>学校</v>
      </c>
      <c r="E4867" s="7" t="str">
        <f t="shared" si="1759"/>
        <v>大阪府茨木市紫明園</v>
      </c>
      <c r="F4867" s="7"/>
      <c r="G4867" s="7" t="str">
        <f t="shared" si="1742"/>
        <v>事業用資産</v>
      </c>
      <c r="H4867" s="7" t="str">
        <f t="shared" si="1735"/>
        <v>棚卸以外</v>
      </c>
      <c r="I4867" s="7">
        <v>10</v>
      </c>
      <c r="J4867" s="7" t="str">
        <f>"体育館"</f>
        <v>体育館</v>
      </c>
      <c r="K4867" s="7" t="str">
        <f>"鉄筋コンクリート造"</f>
        <v>鉄筋コンクリート造</v>
      </c>
      <c r="L4867" s="7" t="str">
        <f>"S52.09.19"</f>
        <v>S52.09.19</v>
      </c>
      <c r="M4867" s="7">
        <v>2804.1</v>
      </c>
      <c r="N4867" s="7">
        <v>363414667</v>
      </c>
      <c r="O4867" s="7">
        <v>289986792</v>
      </c>
      <c r="P4867" s="7">
        <v>0</v>
      </c>
      <c r="Q4867" s="7" t="str">
        <f t="shared" si="1746"/>
        <v>教育庁</v>
      </c>
      <c r="R4867" s="7" t="str">
        <f t="shared" si="1760"/>
        <v>茨木西高等学校</v>
      </c>
    </row>
    <row r="4868" spans="1:18" s="1" customFormat="1" x14ac:dyDescent="0.45">
      <c r="A4868" s="7" t="str">
        <f t="shared" si="1757"/>
        <v>10377000000</v>
      </c>
      <c r="B4868" s="7" t="str">
        <f t="shared" si="1758"/>
        <v>茨木西高等学校</v>
      </c>
      <c r="C4868" s="7" t="str">
        <f t="shared" si="1741"/>
        <v>行政財産</v>
      </c>
      <c r="D4868" s="7" t="str">
        <f t="shared" si="1756"/>
        <v>学校</v>
      </c>
      <c r="E4868" s="7" t="str">
        <f t="shared" si="1759"/>
        <v>大阪府茨木市紫明園</v>
      </c>
      <c r="F4868" s="7"/>
      <c r="G4868" s="7" t="str">
        <f t="shared" si="1742"/>
        <v>事業用資産</v>
      </c>
      <c r="H4868" s="7" t="str">
        <f t="shared" ref="H4868:H4931" si="1761">"棚卸以外"</f>
        <v>棚卸以外</v>
      </c>
      <c r="I4868" s="7">
        <v>11</v>
      </c>
      <c r="J4868" s="7" t="str">
        <f>"下足棟"</f>
        <v>下足棟</v>
      </c>
      <c r="K4868" s="7" t="str">
        <f>"鉄骨造"</f>
        <v>鉄骨造</v>
      </c>
      <c r="L4868" s="7" t="str">
        <f>"S52.09.19"</f>
        <v>S52.09.19</v>
      </c>
      <c r="M4868" s="7">
        <v>253</v>
      </c>
      <c r="N4868" s="7">
        <v>17910000</v>
      </c>
      <c r="O4868" s="7">
        <v>17909999</v>
      </c>
      <c r="P4868" s="7">
        <v>0</v>
      </c>
      <c r="Q4868" s="7" t="str">
        <f t="shared" si="1746"/>
        <v>教育庁</v>
      </c>
      <c r="R4868" s="7" t="str">
        <f t="shared" si="1760"/>
        <v>茨木西高等学校</v>
      </c>
    </row>
    <row r="4869" spans="1:18" s="1" customFormat="1" x14ac:dyDescent="0.45">
      <c r="A4869" s="7" t="str">
        <f t="shared" si="1757"/>
        <v>10377000000</v>
      </c>
      <c r="B4869" s="7" t="str">
        <f t="shared" si="1758"/>
        <v>茨木西高等学校</v>
      </c>
      <c r="C4869" s="7" t="str">
        <f t="shared" si="1741"/>
        <v>行政財産</v>
      </c>
      <c r="D4869" s="7" t="str">
        <f t="shared" si="1756"/>
        <v>学校</v>
      </c>
      <c r="E4869" s="7" t="str">
        <f t="shared" si="1759"/>
        <v>大阪府茨木市紫明園</v>
      </c>
      <c r="F4869" s="7"/>
      <c r="G4869" s="7" t="str">
        <f t="shared" si="1742"/>
        <v>事業用資産</v>
      </c>
      <c r="H4869" s="7" t="str">
        <f t="shared" si="1761"/>
        <v>棚卸以外</v>
      </c>
      <c r="I4869" s="7">
        <v>12</v>
      </c>
      <c r="J4869" s="7" t="str">
        <f>"渡り廊下"</f>
        <v>渡り廊下</v>
      </c>
      <c r="K4869" s="7" t="str">
        <f>"鉄骨造"</f>
        <v>鉄骨造</v>
      </c>
      <c r="L4869" s="7" t="str">
        <f>"S52.09.19"</f>
        <v>S52.09.19</v>
      </c>
      <c r="M4869" s="7">
        <v>57</v>
      </c>
      <c r="N4869" s="7">
        <v>4905179</v>
      </c>
      <c r="O4869" s="7">
        <v>3896804</v>
      </c>
      <c r="P4869" s="7">
        <v>0</v>
      </c>
      <c r="Q4869" s="7" t="str">
        <f t="shared" si="1746"/>
        <v>教育庁</v>
      </c>
      <c r="R4869" s="7" t="str">
        <f t="shared" si="1760"/>
        <v>茨木西高等学校</v>
      </c>
    </row>
    <row r="4870" spans="1:18" s="1" customFormat="1" ht="26.4" x14ac:dyDescent="0.45">
      <c r="A4870" s="7" t="str">
        <f t="shared" si="1757"/>
        <v>10377000000</v>
      </c>
      <c r="B4870" s="7" t="str">
        <f t="shared" si="1758"/>
        <v>茨木西高等学校</v>
      </c>
      <c r="C4870" s="7" t="str">
        <f t="shared" si="1741"/>
        <v>行政財産</v>
      </c>
      <c r="D4870" s="7" t="str">
        <f t="shared" si="1756"/>
        <v>学校</v>
      </c>
      <c r="E4870" s="7" t="str">
        <f t="shared" si="1759"/>
        <v>大阪府茨木市紫明園</v>
      </c>
      <c r="F4870" s="7"/>
      <c r="G4870" s="7" t="str">
        <f t="shared" si="1742"/>
        <v>事業用資産</v>
      </c>
      <c r="H4870" s="7" t="str">
        <f t="shared" si="1761"/>
        <v>棚卸以外</v>
      </c>
      <c r="I4870" s="7">
        <v>13</v>
      </c>
      <c r="J4870" s="7" t="str">
        <f>"渡り廊下"</f>
        <v>渡り廊下</v>
      </c>
      <c r="K4870" s="7" t="str">
        <f>"鉄骨鉄筋コンクリート造"</f>
        <v>鉄骨鉄筋コンクリート造</v>
      </c>
      <c r="L4870" s="7" t="str">
        <f>"S53.04.07"</f>
        <v>S53.04.07</v>
      </c>
      <c r="M4870" s="7">
        <v>388.85</v>
      </c>
      <c r="N4870" s="7">
        <v>39844000</v>
      </c>
      <c r="O4870" s="7">
        <v>39843999</v>
      </c>
      <c r="P4870" s="7">
        <v>0</v>
      </c>
      <c r="Q4870" s="7" t="str">
        <f t="shared" si="1746"/>
        <v>教育庁</v>
      </c>
      <c r="R4870" s="7" t="str">
        <f t="shared" si="1760"/>
        <v>茨木西高等学校</v>
      </c>
    </row>
    <row r="4871" spans="1:18" s="1" customFormat="1" x14ac:dyDescent="0.45">
      <c r="A4871" s="7" t="str">
        <f t="shared" si="1757"/>
        <v>10377000000</v>
      </c>
      <c r="B4871" s="7" t="str">
        <f t="shared" si="1758"/>
        <v>茨木西高等学校</v>
      </c>
      <c r="C4871" s="7" t="str">
        <f t="shared" si="1741"/>
        <v>行政財産</v>
      </c>
      <c r="D4871" s="7" t="str">
        <f t="shared" si="1756"/>
        <v>学校</v>
      </c>
      <c r="E4871" s="7" t="str">
        <f t="shared" si="1759"/>
        <v>大阪府茨木市紫明園</v>
      </c>
      <c r="F4871" s="7"/>
      <c r="G4871" s="7" t="str">
        <f t="shared" si="1742"/>
        <v>事業用資産</v>
      </c>
      <c r="H4871" s="7" t="str">
        <f t="shared" si="1761"/>
        <v>棚卸以外</v>
      </c>
      <c r="I4871" s="7">
        <v>14</v>
      </c>
      <c r="J4871" s="7" t="str">
        <f>"倉庫棟"</f>
        <v>倉庫棟</v>
      </c>
      <c r="K4871" s="7" t="str">
        <f>"鉄骨造"</f>
        <v>鉄骨造</v>
      </c>
      <c r="L4871" s="7" t="str">
        <f>"S53.04.07"</f>
        <v>S53.04.07</v>
      </c>
      <c r="M4871" s="7">
        <v>150</v>
      </c>
      <c r="N4871" s="7">
        <v>7087000</v>
      </c>
      <c r="O4871" s="7">
        <v>7086999</v>
      </c>
      <c r="P4871" s="7">
        <v>0</v>
      </c>
      <c r="Q4871" s="7" t="str">
        <f t="shared" si="1746"/>
        <v>教育庁</v>
      </c>
      <c r="R4871" s="7" t="str">
        <f t="shared" si="1760"/>
        <v>茨木西高等学校</v>
      </c>
    </row>
    <row r="4872" spans="1:18" s="1" customFormat="1" x14ac:dyDescent="0.45">
      <c r="A4872" s="7" t="str">
        <f t="shared" ref="A4872:A4878" si="1762">"10379000500"</f>
        <v>10379000500</v>
      </c>
      <c r="B4872" s="7" t="str">
        <f t="shared" ref="B4872:B4878" si="1763">"福井高校"</f>
        <v>福井高校</v>
      </c>
      <c r="C4872" s="7" t="str">
        <f t="shared" si="1741"/>
        <v>行政財産</v>
      </c>
      <c r="D4872" s="7" t="str">
        <f t="shared" si="1756"/>
        <v>学校</v>
      </c>
      <c r="E4872" s="7" t="str">
        <f t="shared" ref="E4872:E4878" si="1764">"大阪府茨木市西福井３丁目"</f>
        <v>大阪府茨木市西福井３丁目</v>
      </c>
      <c r="F4872" s="7"/>
      <c r="G4872" s="7" t="str">
        <f t="shared" si="1742"/>
        <v>事業用資産</v>
      </c>
      <c r="H4872" s="7" t="str">
        <f t="shared" si="1761"/>
        <v>棚卸以外</v>
      </c>
      <c r="I4872" s="7">
        <v>2</v>
      </c>
      <c r="J4872" s="7" t="str">
        <f>"校舎棟"</f>
        <v>校舎棟</v>
      </c>
      <c r="K4872" s="7" t="str">
        <f>"鉄筋コンクリート造"</f>
        <v>鉄筋コンクリート造</v>
      </c>
      <c r="L4872" s="7" t="str">
        <f>"S59.03.31"</f>
        <v>S59.03.31</v>
      </c>
      <c r="M4872" s="7">
        <v>10951.75</v>
      </c>
      <c r="N4872" s="7">
        <v>1654566979</v>
      </c>
      <c r="O4872" s="7">
        <v>1222256893</v>
      </c>
      <c r="P4872" s="7">
        <v>0</v>
      </c>
      <c r="Q4872" s="7" t="str">
        <f t="shared" si="1746"/>
        <v>教育庁</v>
      </c>
      <c r="R4872" s="7" t="str">
        <f t="shared" ref="R4872:R4878" si="1765">"福井高等学校"</f>
        <v>福井高等学校</v>
      </c>
    </row>
    <row r="4873" spans="1:18" s="1" customFormat="1" x14ac:dyDescent="0.45">
      <c r="A4873" s="7" t="str">
        <f t="shared" si="1762"/>
        <v>10379000500</v>
      </c>
      <c r="B4873" s="7" t="str">
        <f t="shared" si="1763"/>
        <v>福井高校</v>
      </c>
      <c r="C4873" s="7" t="str">
        <f t="shared" si="1741"/>
        <v>行政財産</v>
      </c>
      <c r="D4873" s="7" t="str">
        <f t="shared" si="1756"/>
        <v>学校</v>
      </c>
      <c r="E4873" s="7" t="str">
        <f t="shared" si="1764"/>
        <v>大阪府茨木市西福井３丁目</v>
      </c>
      <c r="F4873" s="7"/>
      <c r="G4873" s="7" t="str">
        <f t="shared" si="1742"/>
        <v>事業用資産</v>
      </c>
      <c r="H4873" s="7" t="str">
        <f t="shared" si="1761"/>
        <v>棚卸以外</v>
      </c>
      <c r="I4873" s="7">
        <v>3</v>
      </c>
      <c r="J4873" s="7" t="str">
        <f>"体育館"</f>
        <v>体育館</v>
      </c>
      <c r="K4873" s="7" t="str">
        <f>"鉄筋コンクリート造"</f>
        <v>鉄筋コンクリート造</v>
      </c>
      <c r="L4873" s="7" t="str">
        <f>"S60.01.10"</f>
        <v>S60.01.10</v>
      </c>
      <c r="M4873" s="7">
        <v>3177.39</v>
      </c>
      <c r="N4873" s="7">
        <v>453355461</v>
      </c>
      <c r="O4873" s="7">
        <v>330866278</v>
      </c>
      <c r="P4873" s="7">
        <v>0</v>
      </c>
      <c r="Q4873" s="7" t="str">
        <f t="shared" si="1746"/>
        <v>教育庁</v>
      </c>
      <c r="R4873" s="7" t="str">
        <f t="shared" si="1765"/>
        <v>福井高等学校</v>
      </c>
    </row>
    <row r="4874" spans="1:18" s="1" customFormat="1" x14ac:dyDescent="0.45">
      <c r="A4874" s="7" t="str">
        <f t="shared" si="1762"/>
        <v>10379000500</v>
      </c>
      <c r="B4874" s="7" t="str">
        <f t="shared" si="1763"/>
        <v>福井高校</v>
      </c>
      <c r="C4874" s="7" t="str">
        <f t="shared" si="1741"/>
        <v>行政財産</v>
      </c>
      <c r="D4874" s="7" t="str">
        <f t="shared" si="1756"/>
        <v>学校</v>
      </c>
      <c r="E4874" s="7" t="str">
        <f t="shared" si="1764"/>
        <v>大阪府茨木市西福井３丁目</v>
      </c>
      <c r="F4874" s="7"/>
      <c r="G4874" s="7" t="str">
        <f t="shared" si="1742"/>
        <v>事業用資産</v>
      </c>
      <c r="H4874" s="7" t="str">
        <f t="shared" si="1761"/>
        <v>棚卸以外</v>
      </c>
      <c r="I4874" s="7">
        <v>4</v>
      </c>
      <c r="J4874" s="7" t="str">
        <f>"プール棟"</f>
        <v>プール棟</v>
      </c>
      <c r="K4874" s="7" t="str">
        <f>"鉄筋コンクリート造"</f>
        <v>鉄筋コンクリート造</v>
      </c>
      <c r="L4874" s="7" t="str">
        <f>"S60.03.30"</f>
        <v>S60.03.30</v>
      </c>
      <c r="M4874" s="7">
        <v>138</v>
      </c>
      <c r="N4874" s="7">
        <v>52723000</v>
      </c>
      <c r="O4874" s="7">
        <v>52722999</v>
      </c>
      <c r="P4874" s="7">
        <v>0</v>
      </c>
      <c r="Q4874" s="7" t="str">
        <f t="shared" si="1746"/>
        <v>教育庁</v>
      </c>
      <c r="R4874" s="7" t="str">
        <f t="shared" si="1765"/>
        <v>福井高等学校</v>
      </c>
    </row>
    <row r="4875" spans="1:18" s="1" customFormat="1" x14ac:dyDescent="0.45">
      <c r="A4875" s="7" t="str">
        <f t="shared" si="1762"/>
        <v>10379000500</v>
      </c>
      <c r="B4875" s="7" t="str">
        <f t="shared" si="1763"/>
        <v>福井高校</v>
      </c>
      <c r="C4875" s="7" t="str">
        <f t="shared" si="1741"/>
        <v>行政財産</v>
      </c>
      <c r="D4875" s="7" t="str">
        <f t="shared" si="1756"/>
        <v>学校</v>
      </c>
      <c r="E4875" s="7" t="str">
        <f t="shared" si="1764"/>
        <v>大阪府茨木市西福井３丁目</v>
      </c>
      <c r="F4875" s="7"/>
      <c r="G4875" s="7" t="str">
        <f t="shared" si="1742"/>
        <v>事業用資産</v>
      </c>
      <c r="H4875" s="7" t="str">
        <f t="shared" si="1761"/>
        <v>棚卸以外</v>
      </c>
      <c r="I4875" s="7">
        <v>5</v>
      </c>
      <c r="J4875" s="7" t="str">
        <f>"倉庫棟"</f>
        <v>倉庫棟</v>
      </c>
      <c r="K4875" s="7" t="str">
        <f>"鉄骨造"</f>
        <v>鉄骨造</v>
      </c>
      <c r="L4875" s="7" t="str">
        <f>"S61.08.30"</f>
        <v>S61.08.30</v>
      </c>
      <c r="M4875" s="7">
        <v>100</v>
      </c>
      <c r="N4875" s="7">
        <v>9170000</v>
      </c>
      <c r="O4875" s="7">
        <v>9169999</v>
      </c>
      <c r="P4875" s="7">
        <v>0</v>
      </c>
      <c r="Q4875" s="7" t="str">
        <f t="shared" si="1746"/>
        <v>教育庁</v>
      </c>
      <c r="R4875" s="7" t="str">
        <f t="shared" si="1765"/>
        <v>福井高等学校</v>
      </c>
    </row>
    <row r="4876" spans="1:18" s="1" customFormat="1" x14ac:dyDescent="0.45">
      <c r="A4876" s="7" t="str">
        <f t="shared" si="1762"/>
        <v>10379000500</v>
      </c>
      <c r="B4876" s="7" t="str">
        <f t="shared" si="1763"/>
        <v>福井高校</v>
      </c>
      <c r="C4876" s="7" t="str">
        <f t="shared" si="1741"/>
        <v>行政財産</v>
      </c>
      <c r="D4876" s="7" t="str">
        <f t="shared" si="1756"/>
        <v>学校</v>
      </c>
      <c r="E4876" s="7" t="str">
        <f t="shared" si="1764"/>
        <v>大阪府茨木市西福井３丁目</v>
      </c>
      <c r="F4876" s="7"/>
      <c r="G4876" s="7" t="str">
        <f t="shared" si="1742"/>
        <v>事業用資産</v>
      </c>
      <c r="H4876" s="7" t="str">
        <f t="shared" si="1761"/>
        <v>棚卸以外</v>
      </c>
      <c r="I4876" s="7">
        <v>6</v>
      </c>
      <c r="J4876" s="7" t="str">
        <f>"倉庫・部室"</f>
        <v>倉庫・部室</v>
      </c>
      <c r="K4876" s="7" t="str">
        <f>"鉄骨造"</f>
        <v>鉄骨造</v>
      </c>
      <c r="L4876" s="7" t="str">
        <f>"S61.08.30"</f>
        <v>S61.08.30</v>
      </c>
      <c r="M4876" s="7">
        <v>112.5</v>
      </c>
      <c r="N4876" s="7">
        <v>10692000</v>
      </c>
      <c r="O4876" s="7">
        <v>10691999</v>
      </c>
      <c r="P4876" s="7">
        <v>0</v>
      </c>
      <c r="Q4876" s="7" t="str">
        <f t="shared" si="1746"/>
        <v>教育庁</v>
      </c>
      <c r="R4876" s="7" t="str">
        <f t="shared" si="1765"/>
        <v>福井高等学校</v>
      </c>
    </row>
    <row r="4877" spans="1:18" s="1" customFormat="1" x14ac:dyDescent="0.45">
      <c r="A4877" s="7" t="str">
        <f t="shared" si="1762"/>
        <v>10379000500</v>
      </c>
      <c r="B4877" s="7" t="str">
        <f t="shared" si="1763"/>
        <v>福井高校</v>
      </c>
      <c r="C4877" s="7" t="str">
        <f t="shared" ref="C4877:C4940" si="1766">"行政財産"</f>
        <v>行政財産</v>
      </c>
      <c r="D4877" s="7" t="str">
        <f t="shared" si="1756"/>
        <v>学校</v>
      </c>
      <c r="E4877" s="7" t="str">
        <f t="shared" si="1764"/>
        <v>大阪府茨木市西福井３丁目</v>
      </c>
      <c r="F4877" s="7"/>
      <c r="G4877" s="7" t="str">
        <f t="shared" si="1742"/>
        <v>事業用資産</v>
      </c>
      <c r="H4877" s="7" t="str">
        <f t="shared" si="1761"/>
        <v>棚卸以外</v>
      </c>
      <c r="I4877" s="7">
        <v>7</v>
      </c>
      <c r="J4877" s="7" t="str">
        <f>"石灰置場"</f>
        <v>石灰置場</v>
      </c>
      <c r="K4877" s="7" t="str">
        <f>"コンクリートブロック造"</f>
        <v>コンクリートブロック造</v>
      </c>
      <c r="L4877" s="7" t="str">
        <f>"S61.08.30"</f>
        <v>S61.08.30</v>
      </c>
      <c r="M4877" s="7">
        <v>6.5</v>
      </c>
      <c r="N4877" s="7">
        <v>953000</v>
      </c>
      <c r="O4877" s="7">
        <v>952999</v>
      </c>
      <c r="P4877" s="7">
        <v>0</v>
      </c>
      <c r="Q4877" s="7" t="str">
        <f t="shared" si="1746"/>
        <v>教育庁</v>
      </c>
      <c r="R4877" s="7" t="str">
        <f t="shared" si="1765"/>
        <v>福井高等学校</v>
      </c>
    </row>
    <row r="4878" spans="1:18" s="1" customFormat="1" x14ac:dyDescent="0.45">
      <c r="A4878" s="7" t="str">
        <f t="shared" si="1762"/>
        <v>10379000500</v>
      </c>
      <c r="B4878" s="7" t="str">
        <f t="shared" si="1763"/>
        <v>福井高校</v>
      </c>
      <c r="C4878" s="7" t="str">
        <f t="shared" si="1766"/>
        <v>行政財産</v>
      </c>
      <c r="D4878" s="7" t="str">
        <f t="shared" si="1756"/>
        <v>学校</v>
      </c>
      <c r="E4878" s="7" t="str">
        <f t="shared" si="1764"/>
        <v>大阪府茨木市西福井３丁目</v>
      </c>
      <c r="F4878" s="7"/>
      <c r="G4878" s="7" t="str">
        <f t="shared" si="1742"/>
        <v>事業用資産</v>
      </c>
      <c r="H4878" s="7" t="str">
        <f t="shared" si="1761"/>
        <v>棚卸以外</v>
      </c>
      <c r="I4878" s="7">
        <v>8</v>
      </c>
      <c r="J4878" s="7" t="str">
        <f>"ゴミ置場"</f>
        <v>ゴミ置場</v>
      </c>
      <c r="K4878" s="7" t="str">
        <f>"コンクリートブロック造"</f>
        <v>コンクリートブロック造</v>
      </c>
      <c r="L4878" s="7" t="str">
        <f>"S61.08.30"</f>
        <v>S61.08.30</v>
      </c>
      <c r="M4878" s="7">
        <v>13.4</v>
      </c>
      <c r="N4878" s="7">
        <v>984000</v>
      </c>
      <c r="O4878" s="7">
        <v>983999</v>
      </c>
      <c r="P4878" s="7">
        <v>0</v>
      </c>
      <c r="Q4878" s="7" t="str">
        <f t="shared" si="1746"/>
        <v>教育庁</v>
      </c>
      <c r="R4878" s="7" t="str">
        <f t="shared" si="1765"/>
        <v>福井高等学校</v>
      </c>
    </row>
    <row r="4879" spans="1:18" s="1" customFormat="1" x14ac:dyDescent="0.45">
      <c r="A4879" s="7" t="str">
        <f t="shared" ref="A4879:A4901" si="1767">"10380000000"</f>
        <v>10380000000</v>
      </c>
      <c r="B4879" s="7" t="str">
        <f t="shared" ref="B4879:B4901" si="1768">"吹田高等学校"</f>
        <v>吹田高等学校</v>
      </c>
      <c r="C4879" s="7" t="str">
        <f t="shared" si="1766"/>
        <v>行政財産</v>
      </c>
      <c r="D4879" s="7" t="str">
        <f t="shared" si="1756"/>
        <v>学校</v>
      </c>
      <c r="E4879" s="7" t="str">
        <f t="shared" ref="E4879:E4901" si="1769">"大阪府吹田市原町４丁目"</f>
        <v>大阪府吹田市原町４丁目</v>
      </c>
      <c r="F4879" s="7"/>
      <c r="G4879" s="7" t="str">
        <f t="shared" si="1742"/>
        <v>事業用資産</v>
      </c>
      <c r="H4879" s="7" t="str">
        <f t="shared" si="1761"/>
        <v>棚卸以外</v>
      </c>
      <c r="I4879" s="7">
        <v>2</v>
      </c>
      <c r="J4879" s="7" t="str">
        <f>"本館"</f>
        <v>本館</v>
      </c>
      <c r="K4879" s="7" t="str">
        <f>"鉄筋コンクリート造"</f>
        <v>鉄筋コンクリート造</v>
      </c>
      <c r="L4879" s="7" t="str">
        <f>"S33.03.31"</f>
        <v>S33.03.31</v>
      </c>
      <c r="M4879" s="7">
        <v>1929.78</v>
      </c>
      <c r="N4879" s="7">
        <v>208230479</v>
      </c>
      <c r="O4879" s="7">
        <v>74318161</v>
      </c>
      <c r="P4879" s="7">
        <v>0</v>
      </c>
      <c r="Q4879" s="7" t="str">
        <f t="shared" si="1746"/>
        <v>教育庁</v>
      </c>
      <c r="R4879" s="7" t="str">
        <f t="shared" ref="R4879:R4901" si="1770">"吹田高等学校"</f>
        <v>吹田高等学校</v>
      </c>
    </row>
    <row r="4880" spans="1:18" s="1" customFormat="1" x14ac:dyDescent="0.45">
      <c r="A4880" s="7" t="str">
        <f t="shared" si="1767"/>
        <v>10380000000</v>
      </c>
      <c r="B4880" s="7" t="str">
        <f t="shared" si="1768"/>
        <v>吹田高等学校</v>
      </c>
      <c r="C4880" s="7" t="str">
        <f t="shared" si="1766"/>
        <v>行政財産</v>
      </c>
      <c r="D4880" s="7" t="str">
        <f t="shared" si="1756"/>
        <v>学校</v>
      </c>
      <c r="E4880" s="7" t="str">
        <f t="shared" si="1769"/>
        <v>大阪府吹田市原町４丁目</v>
      </c>
      <c r="F4880" s="7"/>
      <c r="G4880" s="7" t="str">
        <f t="shared" si="1742"/>
        <v>事業用資産</v>
      </c>
      <c r="H4880" s="7" t="str">
        <f t="shared" si="1761"/>
        <v>棚卸以外</v>
      </c>
      <c r="I4880" s="7">
        <v>6</v>
      </c>
      <c r="J4880" s="7" t="str">
        <f>"東館"</f>
        <v>東館</v>
      </c>
      <c r="K4880" s="7" t="str">
        <f>"鉄筋コンクリート造"</f>
        <v>鉄筋コンクリート造</v>
      </c>
      <c r="L4880" s="7" t="str">
        <f>"S38.01.22"</f>
        <v>S38.01.22</v>
      </c>
      <c r="M4880" s="7">
        <v>1029.55</v>
      </c>
      <c r="N4880" s="7">
        <v>92807488</v>
      </c>
      <c r="O4880" s="7">
        <v>50073624</v>
      </c>
      <c r="P4880" s="7">
        <v>0</v>
      </c>
      <c r="Q4880" s="7" t="str">
        <f t="shared" si="1746"/>
        <v>教育庁</v>
      </c>
      <c r="R4880" s="7" t="str">
        <f t="shared" si="1770"/>
        <v>吹田高等学校</v>
      </c>
    </row>
    <row r="4881" spans="1:18" s="1" customFormat="1" x14ac:dyDescent="0.45">
      <c r="A4881" s="7" t="str">
        <f t="shared" si="1767"/>
        <v>10380000000</v>
      </c>
      <c r="B4881" s="7" t="str">
        <f t="shared" si="1768"/>
        <v>吹田高等学校</v>
      </c>
      <c r="C4881" s="7" t="str">
        <f t="shared" si="1766"/>
        <v>行政財産</v>
      </c>
      <c r="D4881" s="7" t="str">
        <f t="shared" si="1756"/>
        <v>学校</v>
      </c>
      <c r="E4881" s="7" t="str">
        <f t="shared" si="1769"/>
        <v>大阪府吹田市原町４丁目</v>
      </c>
      <c r="F4881" s="7"/>
      <c r="G4881" s="7" t="str">
        <f t="shared" si="1742"/>
        <v>事業用資産</v>
      </c>
      <c r="H4881" s="7" t="str">
        <f t="shared" si="1761"/>
        <v>棚卸以外</v>
      </c>
      <c r="I4881" s="7">
        <v>12</v>
      </c>
      <c r="J4881" s="7" t="str">
        <f>"倉庫"</f>
        <v>倉庫</v>
      </c>
      <c r="K4881" s="7" t="str">
        <f>"鉄筋コンクリート造"</f>
        <v>鉄筋コンクリート造</v>
      </c>
      <c r="L4881" s="7" t="str">
        <f>"S38.03.30"</f>
        <v>S38.03.30</v>
      </c>
      <c r="M4881" s="7">
        <v>71.989999999999995</v>
      </c>
      <c r="N4881" s="7">
        <v>3069698</v>
      </c>
      <c r="O4881" s="7">
        <v>3069697</v>
      </c>
      <c r="P4881" s="7">
        <v>0</v>
      </c>
      <c r="Q4881" s="7" t="str">
        <f t="shared" si="1746"/>
        <v>教育庁</v>
      </c>
      <c r="R4881" s="7" t="str">
        <f t="shared" si="1770"/>
        <v>吹田高等学校</v>
      </c>
    </row>
    <row r="4882" spans="1:18" s="1" customFormat="1" x14ac:dyDescent="0.45">
      <c r="A4882" s="7" t="str">
        <f t="shared" si="1767"/>
        <v>10380000000</v>
      </c>
      <c r="B4882" s="7" t="str">
        <f t="shared" si="1768"/>
        <v>吹田高等学校</v>
      </c>
      <c r="C4882" s="7" t="str">
        <f t="shared" si="1766"/>
        <v>行政財産</v>
      </c>
      <c r="D4882" s="7" t="str">
        <f t="shared" si="1756"/>
        <v>学校</v>
      </c>
      <c r="E4882" s="7" t="str">
        <f t="shared" si="1769"/>
        <v>大阪府吹田市原町４丁目</v>
      </c>
      <c r="F4882" s="7"/>
      <c r="G4882" s="7" t="str">
        <f t="shared" si="1742"/>
        <v>事業用資産</v>
      </c>
      <c r="H4882" s="7" t="str">
        <f t="shared" si="1761"/>
        <v>棚卸以外</v>
      </c>
      <c r="I4882" s="7">
        <v>38</v>
      </c>
      <c r="J4882" s="7" t="str">
        <f>"プール更衣室"</f>
        <v>プール更衣室</v>
      </c>
      <c r="K4882" s="7" t="str">
        <f>"コンクリートブロック造"</f>
        <v>コンクリートブロック造</v>
      </c>
      <c r="L4882" s="7" t="str">
        <f>"S40.06.30"</f>
        <v>S40.06.30</v>
      </c>
      <c r="M4882" s="7">
        <v>170.21</v>
      </c>
      <c r="N4882" s="7">
        <v>7821000</v>
      </c>
      <c r="O4882" s="7">
        <v>6070350</v>
      </c>
      <c r="P4882" s="7">
        <v>0</v>
      </c>
      <c r="Q4882" s="7" t="str">
        <f t="shared" si="1746"/>
        <v>教育庁</v>
      </c>
      <c r="R4882" s="7" t="str">
        <f t="shared" si="1770"/>
        <v>吹田高等学校</v>
      </c>
    </row>
    <row r="4883" spans="1:18" s="1" customFormat="1" x14ac:dyDescent="0.45">
      <c r="A4883" s="7" t="str">
        <f t="shared" si="1767"/>
        <v>10380000000</v>
      </c>
      <c r="B4883" s="7" t="str">
        <f t="shared" si="1768"/>
        <v>吹田高等学校</v>
      </c>
      <c r="C4883" s="7" t="str">
        <f t="shared" si="1766"/>
        <v>行政財産</v>
      </c>
      <c r="D4883" s="7" t="str">
        <f t="shared" si="1756"/>
        <v>学校</v>
      </c>
      <c r="E4883" s="7" t="str">
        <f t="shared" si="1769"/>
        <v>大阪府吹田市原町４丁目</v>
      </c>
      <c r="F4883" s="7"/>
      <c r="G4883" s="7" t="str">
        <f t="shared" si="1742"/>
        <v>事業用資産</v>
      </c>
      <c r="H4883" s="7" t="str">
        <f t="shared" si="1761"/>
        <v>棚卸以外</v>
      </c>
      <c r="I4883" s="7">
        <v>42</v>
      </c>
      <c r="J4883" s="7" t="str">
        <f>"受水槽ポンプ室"</f>
        <v>受水槽ポンプ室</v>
      </c>
      <c r="K4883" s="7" t="str">
        <f>"鉄筋コンクリート造"</f>
        <v>鉄筋コンクリート造</v>
      </c>
      <c r="L4883" s="7" t="str">
        <f>"S40.12.19"</f>
        <v>S40.12.19</v>
      </c>
      <c r="M4883" s="7">
        <v>17.25</v>
      </c>
      <c r="N4883" s="7">
        <v>849000</v>
      </c>
      <c r="O4883" s="7">
        <v>848999</v>
      </c>
      <c r="P4883" s="7">
        <v>0</v>
      </c>
      <c r="Q4883" s="7" t="str">
        <f t="shared" si="1746"/>
        <v>教育庁</v>
      </c>
      <c r="R4883" s="7" t="str">
        <f t="shared" si="1770"/>
        <v>吹田高等学校</v>
      </c>
    </row>
    <row r="4884" spans="1:18" s="1" customFormat="1" x14ac:dyDescent="0.45">
      <c r="A4884" s="7" t="str">
        <f t="shared" si="1767"/>
        <v>10380000000</v>
      </c>
      <c r="B4884" s="7" t="str">
        <f t="shared" si="1768"/>
        <v>吹田高等学校</v>
      </c>
      <c r="C4884" s="7" t="str">
        <f t="shared" si="1766"/>
        <v>行政財産</v>
      </c>
      <c r="D4884" s="7" t="str">
        <f t="shared" si="1756"/>
        <v>学校</v>
      </c>
      <c r="E4884" s="7" t="str">
        <f t="shared" si="1769"/>
        <v>大阪府吹田市原町４丁目</v>
      </c>
      <c r="F4884" s="7"/>
      <c r="G4884" s="7" t="str">
        <f t="shared" si="1742"/>
        <v>事業用資産</v>
      </c>
      <c r="H4884" s="7" t="str">
        <f t="shared" si="1761"/>
        <v>棚卸以外</v>
      </c>
      <c r="I4884" s="7">
        <v>45</v>
      </c>
      <c r="J4884" s="7" t="str">
        <f>"体育用具庫"</f>
        <v>体育用具庫</v>
      </c>
      <c r="K4884" s="7" t="str">
        <f>"軽量鉄骨造"</f>
        <v>軽量鉄骨造</v>
      </c>
      <c r="L4884" s="7" t="str">
        <f>"S42.02.04"</f>
        <v>S42.02.04</v>
      </c>
      <c r="M4884" s="7">
        <v>38.880000000000003</v>
      </c>
      <c r="N4884" s="7">
        <v>340000</v>
      </c>
      <c r="O4884" s="7">
        <v>339999</v>
      </c>
      <c r="P4884" s="7">
        <v>0</v>
      </c>
      <c r="Q4884" s="7" t="str">
        <f t="shared" si="1746"/>
        <v>教育庁</v>
      </c>
      <c r="R4884" s="7" t="str">
        <f t="shared" si="1770"/>
        <v>吹田高等学校</v>
      </c>
    </row>
    <row r="4885" spans="1:18" s="1" customFormat="1" x14ac:dyDescent="0.45">
      <c r="A4885" s="7" t="str">
        <f t="shared" si="1767"/>
        <v>10380000000</v>
      </c>
      <c r="B4885" s="7" t="str">
        <f t="shared" si="1768"/>
        <v>吹田高等学校</v>
      </c>
      <c r="C4885" s="7" t="str">
        <f t="shared" si="1766"/>
        <v>行政財産</v>
      </c>
      <c r="D4885" s="7" t="str">
        <f t="shared" si="1756"/>
        <v>学校</v>
      </c>
      <c r="E4885" s="7" t="str">
        <f t="shared" si="1769"/>
        <v>大阪府吹田市原町４丁目</v>
      </c>
      <c r="F4885" s="7"/>
      <c r="G4885" s="7" t="str">
        <f t="shared" si="1742"/>
        <v>事業用資産</v>
      </c>
      <c r="H4885" s="7" t="str">
        <f t="shared" si="1761"/>
        <v>棚卸以外</v>
      </c>
      <c r="I4885" s="7">
        <v>55</v>
      </c>
      <c r="J4885" s="7" t="str">
        <f>"本館（東）"</f>
        <v>本館（東）</v>
      </c>
      <c r="K4885" s="7" t="str">
        <f t="shared" ref="K4885:K4891" si="1771">"鉄筋コンクリート造"</f>
        <v>鉄筋コンクリート造</v>
      </c>
      <c r="L4885" s="7" t="str">
        <f>"S42.03.28"</f>
        <v>S42.03.28</v>
      </c>
      <c r="M4885" s="7">
        <v>1076.31</v>
      </c>
      <c r="N4885" s="7">
        <v>81102529</v>
      </c>
      <c r="O4885" s="7">
        <v>51081902</v>
      </c>
      <c r="P4885" s="7">
        <v>0</v>
      </c>
      <c r="Q4885" s="7" t="str">
        <f t="shared" si="1746"/>
        <v>教育庁</v>
      </c>
      <c r="R4885" s="7" t="str">
        <f t="shared" si="1770"/>
        <v>吹田高等学校</v>
      </c>
    </row>
    <row r="4886" spans="1:18" s="1" customFormat="1" x14ac:dyDescent="0.45">
      <c r="A4886" s="7" t="str">
        <f t="shared" si="1767"/>
        <v>10380000000</v>
      </c>
      <c r="B4886" s="7" t="str">
        <f t="shared" si="1768"/>
        <v>吹田高等学校</v>
      </c>
      <c r="C4886" s="7" t="str">
        <f t="shared" si="1766"/>
        <v>行政財産</v>
      </c>
      <c r="D4886" s="7" t="str">
        <f t="shared" si="1756"/>
        <v>学校</v>
      </c>
      <c r="E4886" s="7" t="str">
        <f t="shared" si="1769"/>
        <v>大阪府吹田市原町４丁目</v>
      </c>
      <c r="F4886" s="7"/>
      <c r="G4886" s="7" t="str">
        <f t="shared" si="1742"/>
        <v>事業用資産</v>
      </c>
      <c r="H4886" s="7" t="str">
        <f t="shared" si="1761"/>
        <v>棚卸以外</v>
      </c>
      <c r="I4886" s="7">
        <v>60</v>
      </c>
      <c r="J4886" s="7" t="str">
        <f>"中央館（西）"</f>
        <v>中央館（西）</v>
      </c>
      <c r="K4886" s="7" t="str">
        <f t="shared" si="1771"/>
        <v>鉄筋コンクリート造</v>
      </c>
      <c r="L4886" s="7" t="str">
        <f>"S43.03.30"</f>
        <v>S43.03.30</v>
      </c>
      <c r="M4886" s="7">
        <v>1671.31</v>
      </c>
      <c r="N4886" s="7">
        <v>201008549</v>
      </c>
      <c r="O4886" s="7">
        <v>101805939</v>
      </c>
      <c r="P4886" s="7">
        <v>0</v>
      </c>
      <c r="Q4886" s="7" t="str">
        <f t="shared" si="1746"/>
        <v>教育庁</v>
      </c>
      <c r="R4886" s="7" t="str">
        <f t="shared" si="1770"/>
        <v>吹田高等学校</v>
      </c>
    </row>
    <row r="4887" spans="1:18" s="1" customFormat="1" x14ac:dyDescent="0.45">
      <c r="A4887" s="7" t="str">
        <f t="shared" si="1767"/>
        <v>10380000000</v>
      </c>
      <c r="B4887" s="7" t="str">
        <f t="shared" si="1768"/>
        <v>吹田高等学校</v>
      </c>
      <c r="C4887" s="7" t="str">
        <f t="shared" si="1766"/>
        <v>行政財産</v>
      </c>
      <c r="D4887" s="7" t="str">
        <f t="shared" si="1756"/>
        <v>学校</v>
      </c>
      <c r="E4887" s="7" t="str">
        <f t="shared" si="1769"/>
        <v>大阪府吹田市原町４丁目</v>
      </c>
      <c r="F4887" s="7"/>
      <c r="G4887" s="7" t="str">
        <f t="shared" ref="G4887:G4950" si="1772">"事業用資産"</f>
        <v>事業用資産</v>
      </c>
      <c r="H4887" s="7" t="str">
        <f t="shared" si="1761"/>
        <v>棚卸以外</v>
      </c>
      <c r="I4887" s="7">
        <v>61</v>
      </c>
      <c r="J4887" s="7" t="str">
        <f>"中央館（東）"</f>
        <v>中央館（東）</v>
      </c>
      <c r="K4887" s="7" t="str">
        <f t="shared" si="1771"/>
        <v>鉄筋コンクリート造</v>
      </c>
      <c r="L4887" s="7" t="str">
        <f>"S44.03.12"</f>
        <v>S44.03.12</v>
      </c>
      <c r="M4887" s="7">
        <v>1542</v>
      </c>
      <c r="N4887" s="7">
        <v>106930793</v>
      </c>
      <c r="O4887" s="7">
        <v>68327232</v>
      </c>
      <c r="P4887" s="7">
        <v>0</v>
      </c>
      <c r="Q4887" s="7" t="str">
        <f t="shared" si="1746"/>
        <v>教育庁</v>
      </c>
      <c r="R4887" s="7" t="str">
        <f t="shared" si="1770"/>
        <v>吹田高等学校</v>
      </c>
    </row>
    <row r="4888" spans="1:18" s="1" customFormat="1" x14ac:dyDescent="0.45">
      <c r="A4888" s="7" t="str">
        <f t="shared" si="1767"/>
        <v>10380000000</v>
      </c>
      <c r="B4888" s="7" t="str">
        <f t="shared" si="1768"/>
        <v>吹田高等学校</v>
      </c>
      <c r="C4888" s="7" t="str">
        <f t="shared" si="1766"/>
        <v>行政財産</v>
      </c>
      <c r="D4888" s="7" t="str">
        <f t="shared" si="1756"/>
        <v>学校</v>
      </c>
      <c r="E4888" s="7" t="str">
        <f t="shared" si="1769"/>
        <v>大阪府吹田市原町４丁目</v>
      </c>
      <c r="F4888" s="7"/>
      <c r="G4888" s="7" t="str">
        <f t="shared" si="1772"/>
        <v>事業用資産</v>
      </c>
      <c r="H4888" s="7" t="str">
        <f t="shared" si="1761"/>
        <v>棚卸以外</v>
      </c>
      <c r="I4888" s="7">
        <v>62</v>
      </c>
      <c r="J4888" s="7" t="str">
        <f>"渡り廊下"</f>
        <v>渡り廊下</v>
      </c>
      <c r="K4888" s="7" t="str">
        <f t="shared" si="1771"/>
        <v>鉄筋コンクリート造</v>
      </c>
      <c r="L4888" s="7" t="str">
        <f>"S44.03.12"</f>
        <v>S44.03.12</v>
      </c>
      <c r="M4888" s="7">
        <v>333.5</v>
      </c>
      <c r="N4888" s="7">
        <v>22042847</v>
      </c>
      <c r="O4888" s="7">
        <v>12368799</v>
      </c>
      <c r="P4888" s="7">
        <v>0</v>
      </c>
      <c r="Q4888" s="7" t="str">
        <f t="shared" si="1746"/>
        <v>教育庁</v>
      </c>
      <c r="R4888" s="7" t="str">
        <f t="shared" si="1770"/>
        <v>吹田高等学校</v>
      </c>
    </row>
    <row r="4889" spans="1:18" s="1" customFormat="1" x14ac:dyDescent="0.45">
      <c r="A4889" s="7" t="str">
        <f t="shared" si="1767"/>
        <v>10380000000</v>
      </c>
      <c r="B4889" s="7" t="str">
        <f t="shared" si="1768"/>
        <v>吹田高等学校</v>
      </c>
      <c r="C4889" s="7" t="str">
        <f t="shared" si="1766"/>
        <v>行政財産</v>
      </c>
      <c r="D4889" s="7" t="str">
        <f t="shared" si="1756"/>
        <v>学校</v>
      </c>
      <c r="E4889" s="7" t="str">
        <f t="shared" si="1769"/>
        <v>大阪府吹田市原町４丁目</v>
      </c>
      <c r="F4889" s="7"/>
      <c r="G4889" s="7" t="str">
        <f t="shared" si="1772"/>
        <v>事業用資産</v>
      </c>
      <c r="H4889" s="7" t="str">
        <f t="shared" si="1761"/>
        <v>棚卸以外</v>
      </c>
      <c r="I4889" s="7">
        <v>63</v>
      </c>
      <c r="J4889" s="7" t="str">
        <f>"体育館"</f>
        <v>体育館</v>
      </c>
      <c r="K4889" s="7" t="str">
        <f t="shared" si="1771"/>
        <v>鉄筋コンクリート造</v>
      </c>
      <c r="L4889" s="7" t="str">
        <f>"S45.03.25"</f>
        <v>S45.03.25</v>
      </c>
      <c r="M4889" s="7">
        <v>2083.94</v>
      </c>
      <c r="N4889" s="7">
        <v>235904155</v>
      </c>
      <c r="O4889" s="7">
        <v>132273503</v>
      </c>
      <c r="P4889" s="7">
        <v>0</v>
      </c>
      <c r="Q4889" s="7" t="str">
        <f t="shared" si="1746"/>
        <v>教育庁</v>
      </c>
      <c r="R4889" s="7" t="str">
        <f t="shared" si="1770"/>
        <v>吹田高等学校</v>
      </c>
    </row>
    <row r="4890" spans="1:18" s="1" customFormat="1" x14ac:dyDescent="0.45">
      <c r="A4890" s="7" t="str">
        <f t="shared" si="1767"/>
        <v>10380000000</v>
      </c>
      <c r="B4890" s="7" t="str">
        <f t="shared" si="1768"/>
        <v>吹田高等学校</v>
      </c>
      <c r="C4890" s="7" t="str">
        <f t="shared" si="1766"/>
        <v>行政財産</v>
      </c>
      <c r="D4890" s="7" t="str">
        <f t="shared" si="1756"/>
        <v>学校</v>
      </c>
      <c r="E4890" s="7" t="str">
        <f t="shared" si="1769"/>
        <v>大阪府吹田市原町４丁目</v>
      </c>
      <c r="F4890" s="7"/>
      <c r="G4890" s="7" t="str">
        <f t="shared" si="1772"/>
        <v>事業用資産</v>
      </c>
      <c r="H4890" s="7" t="str">
        <f t="shared" si="1761"/>
        <v>棚卸以外</v>
      </c>
      <c r="I4890" s="7">
        <v>64</v>
      </c>
      <c r="J4890" s="7" t="str">
        <f>"北館（西）"</f>
        <v>北館（西）</v>
      </c>
      <c r="K4890" s="7" t="str">
        <f t="shared" si="1771"/>
        <v>鉄筋コンクリート造</v>
      </c>
      <c r="L4890" s="7" t="str">
        <f>"S45.03.25"</f>
        <v>S45.03.25</v>
      </c>
      <c r="M4890" s="7">
        <v>1025.18</v>
      </c>
      <c r="N4890" s="7">
        <v>93822593</v>
      </c>
      <c r="O4890" s="7">
        <v>62089067</v>
      </c>
      <c r="P4890" s="7">
        <v>0</v>
      </c>
      <c r="Q4890" s="7" t="str">
        <f t="shared" si="1746"/>
        <v>教育庁</v>
      </c>
      <c r="R4890" s="7" t="str">
        <f t="shared" si="1770"/>
        <v>吹田高等学校</v>
      </c>
    </row>
    <row r="4891" spans="1:18" s="1" customFormat="1" x14ac:dyDescent="0.45">
      <c r="A4891" s="7" t="str">
        <f t="shared" si="1767"/>
        <v>10380000000</v>
      </c>
      <c r="B4891" s="7" t="str">
        <f t="shared" si="1768"/>
        <v>吹田高等学校</v>
      </c>
      <c r="C4891" s="7" t="str">
        <f t="shared" si="1766"/>
        <v>行政財産</v>
      </c>
      <c r="D4891" s="7" t="str">
        <f t="shared" si="1756"/>
        <v>学校</v>
      </c>
      <c r="E4891" s="7" t="str">
        <f t="shared" si="1769"/>
        <v>大阪府吹田市原町４丁目</v>
      </c>
      <c r="F4891" s="7"/>
      <c r="G4891" s="7" t="str">
        <f t="shared" si="1772"/>
        <v>事業用資産</v>
      </c>
      <c r="H4891" s="7" t="str">
        <f t="shared" si="1761"/>
        <v>棚卸以外</v>
      </c>
      <c r="I4891" s="7">
        <v>65</v>
      </c>
      <c r="J4891" s="7" t="str">
        <f>"中央渡り廊下（北）"</f>
        <v>中央渡り廊下（北）</v>
      </c>
      <c r="K4891" s="7" t="str">
        <f t="shared" si="1771"/>
        <v>鉄筋コンクリート造</v>
      </c>
      <c r="L4891" s="7" t="str">
        <f>"S45.03.25"</f>
        <v>S45.03.25</v>
      </c>
      <c r="M4891" s="7">
        <v>139.26</v>
      </c>
      <c r="N4891" s="7">
        <v>15560493</v>
      </c>
      <c r="O4891" s="7">
        <v>10694943</v>
      </c>
      <c r="P4891" s="7">
        <v>0</v>
      </c>
      <c r="Q4891" s="7" t="str">
        <f t="shared" ref="Q4891:Q4954" si="1773">"教育庁"</f>
        <v>教育庁</v>
      </c>
      <c r="R4891" s="7" t="str">
        <f t="shared" si="1770"/>
        <v>吹田高等学校</v>
      </c>
    </row>
    <row r="4892" spans="1:18" s="1" customFormat="1" x14ac:dyDescent="0.45">
      <c r="A4892" s="7" t="str">
        <f t="shared" si="1767"/>
        <v>10380000000</v>
      </c>
      <c r="B4892" s="7" t="str">
        <f t="shared" si="1768"/>
        <v>吹田高等学校</v>
      </c>
      <c r="C4892" s="7" t="str">
        <f t="shared" si="1766"/>
        <v>行政財産</v>
      </c>
      <c r="D4892" s="7" t="str">
        <f t="shared" si="1756"/>
        <v>学校</v>
      </c>
      <c r="E4892" s="7" t="str">
        <f t="shared" si="1769"/>
        <v>大阪府吹田市原町４丁目</v>
      </c>
      <c r="F4892" s="7"/>
      <c r="G4892" s="7" t="str">
        <f t="shared" si="1772"/>
        <v>事業用資産</v>
      </c>
      <c r="H4892" s="7" t="str">
        <f t="shared" si="1761"/>
        <v>棚卸以外</v>
      </c>
      <c r="I4892" s="7">
        <v>66</v>
      </c>
      <c r="J4892" s="7" t="str">
        <f>"食堂"</f>
        <v>食堂</v>
      </c>
      <c r="K4892" s="7" t="str">
        <f>"鉄骨造"</f>
        <v>鉄骨造</v>
      </c>
      <c r="L4892" s="7" t="str">
        <f>"S45.03.25"</f>
        <v>S45.03.25</v>
      </c>
      <c r="M4892" s="7">
        <v>366.91</v>
      </c>
      <c r="N4892" s="7">
        <v>21849990</v>
      </c>
      <c r="O4892" s="7">
        <v>15928048</v>
      </c>
      <c r="P4892" s="7">
        <v>0</v>
      </c>
      <c r="Q4892" s="7" t="str">
        <f t="shared" si="1773"/>
        <v>教育庁</v>
      </c>
      <c r="R4892" s="7" t="str">
        <f t="shared" si="1770"/>
        <v>吹田高等学校</v>
      </c>
    </row>
    <row r="4893" spans="1:18" s="1" customFormat="1" x14ac:dyDescent="0.45">
      <c r="A4893" s="7" t="str">
        <f t="shared" si="1767"/>
        <v>10380000000</v>
      </c>
      <c r="B4893" s="7" t="str">
        <f t="shared" si="1768"/>
        <v>吹田高等学校</v>
      </c>
      <c r="C4893" s="7" t="str">
        <f t="shared" si="1766"/>
        <v>行政財産</v>
      </c>
      <c r="D4893" s="7" t="str">
        <f t="shared" si="1756"/>
        <v>学校</v>
      </c>
      <c r="E4893" s="7" t="str">
        <f t="shared" si="1769"/>
        <v>大阪府吹田市原町４丁目</v>
      </c>
      <c r="F4893" s="7"/>
      <c r="G4893" s="7" t="str">
        <f t="shared" si="1772"/>
        <v>事業用資産</v>
      </c>
      <c r="H4893" s="7" t="str">
        <f t="shared" si="1761"/>
        <v>棚卸以外</v>
      </c>
      <c r="I4893" s="7">
        <v>68</v>
      </c>
      <c r="J4893" s="7" t="str">
        <f>"北館（東）"</f>
        <v>北館（東）</v>
      </c>
      <c r="K4893" s="7" t="str">
        <f>"鉄筋コンクリート造"</f>
        <v>鉄筋コンクリート造</v>
      </c>
      <c r="L4893" s="7" t="str">
        <f>"S46.03.28"</f>
        <v>S46.03.28</v>
      </c>
      <c r="M4893" s="7">
        <v>1207.17</v>
      </c>
      <c r="N4893" s="7">
        <v>120479349</v>
      </c>
      <c r="O4893" s="7">
        <v>80317798</v>
      </c>
      <c r="P4893" s="7">
        <v>0</v>
      </c>
      <c r="Q4893" s="7" t="str">
        <f t="shared" si="1773"/>
        <v>教育庁</v>
      </c>
      <c r="R4893" s="7" t="str">
        <f t="shared" si="1770"/>
        <v>吹田高等学校</v>
      </c>
    </row>
    <row r="4894" spans="1:18" s="1" customFormat="1" x14ac:dyDescent="0.45">
      <c r="A4894" s="7" t="str">
        <f t="shared" si="1767"/>
        <v>10380000000</v>
      </c>
      <c r="B4894" s="7" t="str">
        <f t="shared" si="1768"/>
        <v>吹田高等学校</v>
      </c>
      <c r="C4894" s="7" t="str">
        <f t="shared" si="1766"/>
        <v>行政財産</v>
      </c>
      <c r="D4894" s="7" t="str">
        <f t="shared" si="1756"/>
        <v>学校</v>
      </c>
      <c r="E4894" s="7" t="str">
        <f t="shared" si="1769"/>
        <v>大阪府吹田市原町４丁目</v>
      </c>
      <c r="F4894" s="7"/>
      <c r="G4894" s="7" t="str">
        <f t="shared" si="1772"/>
        <v>事業用資産</v>
      </c>
      <c r="H4894" s="7" t="str">
        <f t="shared" si="1761"/>
        <v>棚卸以外</v>
      </c>
      <c r="I4894" s="7">
        <v>69</v>
      </c>
      <c r="J4894" s="7" t="str">
        <f>"東渡り廊下（南）"</f>
        <v>東渡り廊下（南）</v>
      </c>
      <c r="K4894" s="7" t="str">
        <f>"鉄筋コンクリート造"</f>
        <v>鉄筋コンクリート造</v>
      </c>
      <c r="L4894" s="7" t="str">
        <f>"S46.03.28"</f>
        <v>S46.03.28</v>
      </c>
      <c r="M4894" s="7">
        <v>265.7</v>
      </c>
      <c r="N4894" s="7">
        <v>17047412</v>
      </c>
      <c r="O4894" s="7">
        <v>10650015</v>
      </c>
      <c r="P4894" s="7">
        <v>0</v>
      </c>
      <c r="Q4894" s="7" t="str">
        <f t="shared" si="1773"/>
        <v>教育庁</v>
      </c>
      <c r="R4894" s="7" t="str">
        <f t="shared" si="1770"/>
        <v>吹田高等学校</v>
      </c>
    </row>
    <row r="4895" spans="1:18" s="1" customFormat="1" x14ac:dyDescent="0.45">
      <c r="A4895" s="7" t="str">
        <f t="shared" si="1767"/>
        <v>10380000000</v>
      </c>
      <c r="B4895" s="7" t="str">
        <f t="shared" si="1768"/>
        <v>吹田高等学校</v>
      </c>
      <c r="C4895" s="7" t="str">
        <f t="shared" si="1766"/>
        <v>行政財産</v>
      </c>
      <c r="D4895" s="7" t="str">
        <f t="shared" si="1756"/>
        <v>学校</v>
      </c>
      <c r="E4895" s="7" t="str">
        <f t="shared" si="1769"/>
        <v>大阪府吹田市原町４丁目</v>
      </c>
      <c r="F4895" s="7"/>
      <c r="G4895" s="7" t="str">
        <f t="shared" si="1772"/>
        <v>事業用資産</v>
      </c>
      <c r="H4895" s="7" t="str">
        <f t="shared" si="1761"/>
        <v>棚卸以外</v>
      </c>
      <c r="I4895" s="7">
        <v>70</v>
      </c>
      <c r="J4895" s="7" t="str">
        <f>"東渡り廊下（北）"</f>
        <v>東渡り廊下（北）</v>
      </c>
      <c r="K4895" s="7" t="str">
        <f>"鉄筋コンクリート造"</f>
        <v>鉄筋コンクリート造</v>
      </c>
      <c r="L4895" s="7" t="str">
        <f>"S46.03.28"</f>
        <v>S46.03.28</v>
      </c>
      <c r="M4895" s="7">
        <v>122.36</v>
      </c>
      <c r="N4895" s="7">
        <v>16140147</v>
      </c>
      <c r="O4895" s="7">
        <v>11384065</v>
      </c>
      <c r="P4895" s="7">
        <v>0</v>
      </c>
      <c r="Q4895" s="7" t="str">
        <f t="shared" si="1773"/>
        <v>教育庁</v>
      </c>
      <c r="R4895" s="7" t="str">
        <f t="shared" si="1770"/>
        <v>吹田高等学校</v>
      </c>
    </row>
    <row r="4896" spans="1:18" s="1" customFormat="1" x14ac:dyDescent="0.45">
      <c r="A4896" s="7" t="str">
        <f t="shared" si="1767"/>
        <v>10380000000</v>
      </c>
      <c r="B4896" s="7" t="str">
        <f t="shared" si="1768"/>
        <v>吹田高等学校</v>
      </c>
      <c r="C4896" s="7" t="str">
        <f t="shared" si="1766"/>
        <v>行政財産</v>
      </c>
      <c r="D4896" s="7" t="str">
        <f t="shared" si="1756"/>
        <v>学校</v>
      </c>
      <c r="E4896" s="7" t="str">
        <f t="shared" si="1769"/>
        <v>大阪府吹田市原町４丁目</v>
      </c>
      <c r="F4896" s="7"/>
      <c r="G4896" s="7" t="str">
        <f t="shared" si="1772"/>
        <v>事業用資産</v>
      </c>
      <c r="H4896" s="7" t="str">
        <f t="shared" si="1761"/>
        <v>棚卸以外</v>
      </c>
      <c r="I4896" s="7">
        <v>71</v>
      </c>
      <c r="J4896" s="7" t="str">
        <f>"守衛室"</f>
        <v>守衛室</v>
      </c>
      <c r="K4896" s="7" t="str">
        <f>"鉄筋コンクリート造"</f>
        <v>鉄筋コンクリート造</v>
      </c>
      <c r="L4896" s="7" t="str">
        <f>"S46.03.28"</f>
        <v>S46.03.28</v>
      </c>
      <c r="M4896" s="7">
        <v>9</v>
      </c>
      <c r="N4896" s="7">
        <v>1223197</v>
      </c>
      <c r="O4896" s="7">
        <v>1223196</v>
      </c>
      <c r="P4896" s="7">
        <v>0</v>
      </c>
      <c r="Q4896" s="7" t="str">
        <f t="shared" si="1773"/>
        <v>教育庁</v>
      </c>
      <c r="R4896" s="7" t="str">
        <f t="shared" si="1770"/>
        <v>吹田高等学校</v>
      </c>
    </row>
    <row r="4897" spans="1:18" s="1" customFormat="1" x14ac:dyDescent="0.45">
      <c r="A4897" s="7" t="str">
        <f t="shared" si="1767"/>
        <v>10380000000</v>
      </c>
      <c r="B4897" s="7" t="str">
        <f t="shared" si="1768"/>
        <v>吹田高等学校</v>
      </c>
      <c r="C4897" s="7" t="str">
        <f t="shared" si="1766"/>
        <v>行政財産</v>
      </c>
      <c r="D4897" s="7" t="str">
        <f t="shared" si="1756"/>
        <v>学校</v>
      </c>
      <c r="E4897" s="7" t="str">
        <f t="shared" si="1769"/>
        <v>大阪府吹田市原町４丁目</v>
      </c>
      <c r="F4897" s="7"/>
      <c r="G4897" s="7" t="str">
        <f t="shared" si="1772"/>
        <v>事業用資産</v>
      </c>
      <c r="H4897" s="7" t="str">
        <f t="shared" si="1761"/>
        <v>棚卸以外</v>
      </c>
      <c r="I4897" s="7">
        <v>73</v>
      </c>
      <c r="J4897" s="7" t="str">
        <f>"下足室棟"</f>
        <v>下足室棟</v>
      </c>
      <c r="K4897" s="7" t="str">
        <f>"鉄骨造"</f>
        <v>鉄骨造</v>
      </c>
      <c r="L4897" s="7" t="str">
        <f>"S47.02.29"</f>
        <v>S47.02.29</v>
      </c>
      <c r="M4897" s="7">
        <v>404.22</v>
      </c>
      <c r="N4897" s="7">
        <v>30320813</v>
      </c>
      <c r="O4897" s="7">
        <v>22380753</v>
      </c>
      <c r="P4897" s="7">
        <v>0</v>
      </c>
      <c r="Q4897" s="7" t="str">
        <f t="shared" si="1773"/>
        <v>教育庁</v>
      </c>
      <c r="R4897" s="7" t="str">
        <f t="shared" si="1770"/>
        <v>吹田高等学校</v>
      </c>
    </row>
    <row r="4898" spans="1:18" s="1" customFormat="1" x14ac:dyDescent="0.45">
      <c r="A4898" s="7" t="str">
        <f t="shared" si="1767"/>
        <v>10380000000</v>
      </c>
      <c r="B4898" s="7" t="str">
        <f t="shared" si="1768"/>
        <v>吹田高等学校</v>
      </c>
      <c r="C4898" s="7" t="str">
        <f t="shared" si="1766"/>
        <v>行政財産</v>
      </c>
      <c r="D4898" s="7" t="str">
        <f t="shared" si="1756"/>
        <v>学校</v>
      </c>
      <c r="E4898" s="7" t="str">
        <f t="shared" si="1769"/>
        <v>大阪府吹田市原町４丁目</v>
      </c>
      <c r="F4898" s="7"/>
      <c r="G4898" s="7" t="str">
        <f t="shared" si="1772"/>
        <v>事業用資産</v>
      </c>
      <c r="H4898" s="7" t="str">
        <f t="shared" si="1761"/>
        <v>棚卸以外</v>
      </c>
      <c r="I4898" s="7">
        <v>77</v>
      </c>
      <c r="J4898" s="7" t="str">
        <f>"給食室"</f>
        <v>給食室</v>
      </c>
      <c r="K4898" s="7" t="str">
        <f>"鉄骨造"</f>
        <v>鉄骨造</v>
      </c>
      <c r="L4898" s="7" t="str">
        <f>"S48.01.31"</f>
        <v>S48.01.31</v>
      </c>
      <c r="M4898" s="7">
        <v>96</v>
      </c>
      <c r="N4898" s="7">
        <v>11352000</v>
      </c>
      <c r="O4898" s="7">
        <v>10300287</v>
      </c>
      <c r="P4898" s="7">
        <v>0</v>
      </c>
      <c r="Q4898" s="7" t="str">
        <f t="shared" si="1773"/>
        <v>教育庁</v>
      </c>
      <c r="R4898" s="7" t="str">
        <f t="shared" si="1770"/>
        <v>吹田高等学校</v>
      </c>
    </row>
    <row r="4899" spans="1:18" s="1" customFormat="1" x14ac:dyDescent="0.45">
      <c r="A4899" s="7" t="str">
        <f t="shared" si="1767"/>
        <v>10380000000</v>
      </c>
      <c r="B4899" s="7" t="str">
        <f t="shared" si="1768"/>
        <v>吹田高等学校</v>
      </c>
      <c r="C4899" s="7" t="str">
        <f t="shared" si="1766"/>
        <v>行政財産</v>
      </c>
      <c r="D4899" s="7" t="str">
        <f t="shared" si="1756"/>
        <v>学校</v>
      </c>
      <c r="E4899" s="7" t="str">
        <f t="shared" si="1769"/>
        <v>大阪府吹田市原町４丁目</v>
      </c>
      <c r="F4899" s="7"/>
      <c r="G4899" s="7" t="str">
        <f t="shared" si="1772"/>
        <v>事業用資産</v>
      </c>
      <c r="H4899" s="7" t="str">
        <f t="shared" si="1761"/>
        <v>棚卸以外</v>
      </c>
      <c r="I4899" s="7">
        <v>78</v>
      </c>
      <c r="J4899" s="7" t="str">
        <f>"渡り廊下"</f>
        <v>渡り廊下</v>
      </c>
      <c r="K4899" s="7" t="str">
        <f>"鉄骨造"</f>
        <v>鉄骨造</v>
      </c>
      <c r="L4899" s="7" t="str">
        <f>"S48.01.31"</f>
        <v>S48.01.31</v>
      </c>
      <c r="M4899" s="7">
        <v>13.2</v>
      </c>
      <c r="N4899" s="7">
        <v>329000</v>
      </c>
      <c r="O4899" s="7">
        <v>328999</v>
      </c>
      <c r="P4899" s="7">
        <v>0</v>
      </c>
      <c r="Q4899" s="7" t="str">
        <f t="shared" si="1773"/>
        <v>教育庁</v>
      </c>
      <c r="R4899" s="7" t="str">
        <f t="shared" si="1770"/>
        <v>吹田高等学校</v>
      </c>
    </row>
    <row r="4900" spans="1:18" s="1" customFormat="1" x14ac:dyDescent="0.45">
      <c r="A4900" s="7" t="str">
        <f t="shared" si="1767"/>
        <v>10380000000</v>
      </c>
      <c r="B4900" s="7" t="str">
        <f t="shared" si="1768"/>
        <v>吹田高等学校</v>
      </c>
      <c r="C4900" s="7" t="str">
        <f t="shared" si="1766"/>
        <v>行政財産</v>
      </c>
      <c r="D4900" s="7" t="str">
        <f t="shared" si="1756"/>
        <v>学校</v>
      </c>
      <c r="E4900" s="7" t="str">
        <f t="shared" si="1769"/>
        <v>大阪府吹田市原町４丁目</v>
      </c>
      <c r="F4900" s="7"/>
      <c r="G4900" s="7" t="str">
        <f t="shared" si="1772"/>
        <v>事業用資産</v>
      </c>
      <c r="H4900" s="7" t="str">
        <f t="shared" si="1761"/>
        <v>棚卸以外</v>
      </c>
      <c r="I4900" s="7">
        <v>79</v>
      </c>
      <c r="J4900" s="7" t="str">
        <f>"事務倉庫"</f>
        <v>事務倉庫</v>
      </c>
      <c r="K4900" s="7" t="str">
        <f>"コンクリートブロック造"</f>
        <v>コンクリートブロック造</v>
      </c>
      <c r="L4900" s="7" t="str">
        <f>"S49.09.24"</f>
        <v>S49.09.24</v>
      </c>
      <c r="M4900" s="7">
        <v>24.05</v>
      </c>
      <c r="N4900" s="7">
        <v>2860000</v>
      </c>
      <c r="O4900" s="7">
        <v>2471097</v>
      </c>
      <c r="P4900" s="7">
        <v>0</v>
      </c>
      <c r="Q4900" s="7" t="str">
        <f t="shared" si="1773"/>
        <v>教育庁</v>
      </c>
      <c r="R4900" s="7" t="str">
        <f t="shared" si="1770"/>
        <v>吹田高等学校</v>
      </c>
    </row>
    <row r="4901" spans="1:18" s="1" customFormat="1" x14ac:dyDescent="0.45">
      <c r="A4901" s="7" t="str">
        <f t="shared" si="1767"/>
        <v>10380000000</v>
      </c>
      <c r="B4901" s="7" t="str">
        <f t="shared" si="1768"/>
        <v>吹田高等学校</v>
      </c>
      <c r="C4901" s="7" t="str">
        <f t="shared" si="1766"/>
        <v>行政財産</v>
      </c>
      <c r="D4901" s="7" t="str">
        <f t="shared" si="1756"/>
        <v>学校</v>
      </c>
      <c r="E4901" s="7" t="str">
        <f t="shared" si="1769"/>
        <v>大阪府吹田市原町４丁目</v>
      </c>
      <c r="F4901" s="7"/>
      <c r="G4901" s="7" t="str">
        <f t="shared" si="1772"/>
        <v>事業用資産</v>
      </c>
      <c r="H4901" s="7" t="str">
        <f t="shared" si="1761"/>
        <v>棚卸以外</v>
      </c>
      <c r="I4901" s="7">
        <v>82</v>
      </c>
      <c r="J4901" s="7" t="str">
        <f>"倉庫"</f>
        <v>倉庫</v>
      </c>
      <c r="K4901" s="7" t="str">
        <f>"コンクリートブロック造"</f>
        <v>コンクリートブロック造</v>
      </c>
      <c r="L4901" s="7" t="str">
        <f>"S55.03.31"</f>
        <v>S55.03.31</v>
      </c>
      <c r="M4901" s="7">
        <v>102.71</v>
      </c>
      <c r="N4901" s="7">
        <v>6845000</v>
      </c>
      <c r="O4901" s="7">
        <v>6844999</v>
      </c>
      <c r="P4901" s="7">
        <v>0</v>
      </c>
      <c r="Q4901" s="7" t="str">
        <f t="shared" si="1773"/>
        <v>教育庁</v>
      </c>
      <c r="R4901" s="7" t="str">
        <f t="shared" si="1770"/>
        <v>吹田高等学校</v>
      </c>
    </row>
    <row r="4902" spans="1:18" s="1" customFormat="1" x14ac:dyDescent="0.45">
      <c r="A4902" s="7" t="str">
        <f t="shared" ref="A4902:A4916" si="1774">"10381000000"</f>
        <v>10381000000</v>
      </c>
      <c r="B4902" s="7" t="str">
        <f t="shared" ref="B4902:B4916" si="1775">"千里高等学校"</f>
        <v>千里高等学校</v>
      </c>
      <c r="C4902" s="7" t="str">
        <f t="shared" si="1766"/>
        <v>行政財産</v>
      </c>
      <c r="D4902" s="7" t="str">
        <f t="shared" si="1756"/>
        <v>学校</v>
      </c>
      <c r="E4902" s="7" t="str">
        <f t="shared" ref="E4902:E4916" si="1776">"大阪府吹田市高野台２丁目"</f>
        <v>大阪府吹田市高野台２丁目</v>
      </c>
      <c r="F4902" s="7"/>
      <c r="G4902" s="7" t="str">
        <f t="shared" si="1772"/>
        <v>事業用資産</v>
      </c>
      <c r="H4902" s="7" t="str">
        <f t="shared" si="1761"/>
        <v>棚卸以外</v>
      </c>
      <c r="I4902" s="7">
        <v>1</v>
      </c>
      <c r="J4902" s="7" t="str">
        <f>"教室特別教室棟"</f>
        <v>教室特別教室棟</v>
      </c>
      <c r="K4902" s="7" t="str">
        <f>"鉄筋コンクリート造"</f>
        <v>鉄筋コンクリート造</v>
      </c>
      <c r="L4902" s="7" t="str">
        <f>"S42.02.20"</f>
        <v>S42.02.20</v>
      </c>
      <c r="M4902" s="7">
        <v>2818.65</v>
      </c>
      <c r="N4902" s="7">
        <v>265077382</v>
      </c>
      <c r="O4902" s="7">
        <v>134383609</v>
      </c>
      <c r="P4902" s="7">
        <v>0</v>
      </c>
      <c r="Q4902" s="7" t="str">
        <f t="shared" si="1773"/>
        <v>教育庁</v>
      </c>
      <c r="R4902" s="7" t="str">
        <f t="shared" ref="R4902:R4916" si="1777">"千里高等学校"</f>
        <v>千里高等学校</v>
      </c>
    </row>
    <row r="4903" spans="1:18" s="1" customFormat="1" x14ac:dyDescent="0.45">
      <c r="A4903" s="7" t="str">
        <f t="shared" si="1774"/>
        <v>10381000000</v>
      </c>
      <c r="B4903" s="7" t="str">
        <f t="shared" si="1775"/>
        <v>千里高等学校</v>
      </c>
      <c r="C4903" s="7" t="str">
        <f t="shared" si="1766"/>
        <v>行政財産</v>
      </c>
      <c r="D4903" s="7" t="str">
        <f t="shared" si="1756"/>
        <v>学校</v>
      </c>
      <c r="E4903" s="7" t="str">
        <f t="shared" si="1776"/>
        <v>大阪府吹田市高野台２丁目</v>
      </c>
      <c r="F4903" s="7"/>
      <c r="G4903" s="7" t="str">
        <f t="shared" si="1772"/>
        <v>事業用資産</v>
      </c>
      <c r="H4903" s="7" t="str">
        <f t="shared" si="1761"/>
        <v>棚卸以外</v>
      </c>
      <c r="I4903" s="7">
        <v>2</v>
      </c>
      <c r="J4903" s="7" t="str">
        <f>"倉庫"</f>
        <v>倉庫</v>
      </c>
      <c r="K4903" s="7" t="str">
        <f>"軽量鉄骨造"</f>
        <v>軽量鉄骨造</v>
      </c>
      <c r="L4903" s="7" t="str">
        <f>"S42.02.20"</f>
        <v>S42.02.20</v>
      </c>
      <c r="M4903" s="7">
        <v>27.63</v>
      </c>
      <c r="N4903" s="7">
        <v>400000</v>
      </c>
      <c r="O4903" s="7">
        <v>399999</v>
      </c>
      <c r="P4903" s="7">
        <v>0</v>
      </c>
      <c r="Q4903" s="7" t="str">
        <f t="shared" si="1773"/>
        <v>教育庁</v>
      </c>
      <c r="R4903" s="7" t="str">
        <f t="shared" si="1777"/>
        <v>千里高等学校</v>
      </c>
    </row>
    <row r="4904" spans="1:18" s="1" customFormat="1" x14ac:dyDescent="0.45">
      <c r="A4904" s="7" t="str">
        <f t="shared" si="1774"/>
        <v>10381000000</v>
      </c>
      <c r="B4904" s="7" t="str">
        <f t="shared" si="1775"/>
        <v>千里高等学校</v>
      </c>
      <c r="C4904" s="7" t="str">
        <f t="shared" si="1766"/>
        <v>行政財産</v>
      </c>
      <c r="D4904" s="7" t="str">
        <f t="shared" si="1756"/>
        <v>学校</v>
      </c>
      <c r="E4904" s="7" t="str">
        <f t="shared" si="1776"/>
        <v>大阪府吹田市高野台２丁目</v>
      </c>
      <c r="F4904" s="7"/>
      <c r="G4904" s="7" t="str">
        <f t="shared" si="1772"/>
        <v>事業用資産</v>
      </c>
      <c r="H4904" s="7" t="str">
        <f t="shared" si="1761"/>
        <v>棚卸以外</v>
      </c>
      <c r="I4904" s="7">
        <v>4</v>
      </c>
      <c r="J4904" s="7" t="str">
        <f>"教室特別教室棟"</f>
        <v>教室特別教室棟</v>
      </c>
      <c r="K4904" s="7" t="str">
        <f>"鉄筋コンクリート造"</f>
        <v>鉄筋コンクリート造</v>
      </c>
      <c r="L4904" s="7" t="str">
        <f>"S43.03.30"</f>
        <v>S43.03.30</v>
      </c>
      <c r="M4904" s="7">
        <v>3113.52</v>
      </c>
      <c r="N4904" s="7">
        <v>184543298</v>
      </c>
      <c r="O4904" s="7">
        <v>120980196</v>
      </c>
      <c r="P4904" s="7">
        <v>0</v>
      </c>
      <c r="Q4904" s="7" t="str">
        <f t="shared" si="1773"/>
        <v>教育庁</v>
      </c>
      <c r="R4904" s="7" t="str">
        <f t="shared" si="1777"/>
        <v>千里高等学校</v>
      </c>
    </row>
    <row r="4905" spans="1:18" s="1" customFormat="1" x14ac:dyDescent="0.45">
      <c r="A4905" s="7" t="str">
        <f t="shared" si="1774"/>
        <v>10381000000</v>
      </c>
      <c r="B4905" s="7" t="str">
        <f t="shared" si="1775"/>
        <v>千里高等学校</v>
      </c>
      <c r="C4905" s="7" t="str">
        <f t="shared" si="1766"/>
        <v>行政財産</v>
      </c>
      <c r="D4905" s="7" t="str">
        <f t="shared" si="1756"/>
        <v>学校</v>
      </c>
      <c r="E4905" s="7" t="str">
        <f t="shared" si="1776"/>
        <v>大阪府吹田市高野台２丁目</v>
      </c>
      <c r="F4905" s="7"/>
      <c r="G4905" s="7" t="str">
        <f t="shared" si="1772"/>
        <v>事業用資産</v>
      </c>
      <c r="H4905" s="7" t="str">
        <f t="shared" si="1761"/>
        <v>棚卸以外</v>
      </c>
      <c r="I4905" s="7">
        <v>5</v>
      </c>
      <c r="J4905" s="7" t="str">
        <f>"ポンプ室"</f>
        <v>ポンプ室</v>
      </c>
      <c r="K4905" s="7" t="str">
        <f>"鉄筋コンクリート造"</f>
        <v>鉄筋コンクリート造</v>
      </c>
      <c r="L4905" s="7" t="str">
        <f>"S43.03.30"</f>
        <v>S43.03.30</v>
      </c>
      <c r="M4905" s="7">
        <v>25.2</v>
      </c>
      <c r="N4905" s="7">
        <v>1156997</v>
      </c>
      <c r="O4905" s="7">
        <v>1156996</v>
      </c>
      <c r="P4905" s="7">
        <v>0</v>
      </c>
      <c r="Q4905" s="7" t="str">
        <f t="shared" si="1773"/>
        <v>教育庁</v>
      </c>
      <c r="R4905" s="7" t="str">
        <f t="shared" si="1777"/>
        <v>千里高等学校</v>
      </c>
    </row>
    <row r="4906" spans="1:18" s="1" customFormat="1" x14ac:dyDescent="0.45">
      <c r="A4906" s="7" t="str">
        <f t="shared" si="1774"/>
        <v>10381000000</v>
      </c>
      <c r="B4906" s="7" t="str">
        <f t="shared" si="1775"/>
        <v>千里高等学校</v>
      </c>
      <c r="C4906" s="7" t="str">
        <f t="shared" si="1766"/>
        <v>行政財産</v>
      </c>
      <c r="D4906" s="7" t="str">
        <f t="shared" si="1756"/>
        <v>学校</v>
      </c>
      <c r="E4906" s="7" t="str">
        <f t="shared" si="1776"/>
        <v>大阪府吹田市高野台２丁目</v>
      </c>
      <c r="F4906" s="7"/>
      <c r="G4906" s="7" t="str">
        <f t="shared" si="1772"/>
        <v>事業用資産</v>
      </c>
      <c r="H4906" s="7" t="str">
        <f t="shared" si="1761"/>
        <v>棚卸以外</v>
      </c>
      <c r="I4906" s="7">
        <v>6</v>
      </c>
      <c r="J4906" s="7" t="str">
        <f>"プール機械室棟"</f>
        <v>プール機械室棟</v>
      </c>
      <c r="K4906" s="7" t="str">
        <f>"鉄筋コンクリート造"</f>
        <v>鉄筋コンクリート造</v>
      </c>
      <c r="L4906" s="7" t="str">
        <f>"S43.07.15"</f>
        <v>S43.07.15</v>
      </c>
      <c r="M4906" s="7">
        <v>28</v>
      </c>
      <c r="N4906" s="7">
        <v>1389427</v>
      </c>
      <c r="O4906" s="7">
        <v>1389426</v>
      </c>
      <c r="P4906" s="7">
        <v>0</v>
      </c>
      <c r="Q4906" s="7" t="str">
        <f t="shared" si="1773"/>
        <v>教育庁</v>
      </c>
      <c r="R4906" s="7" t="str">
        <f t="shared" si="1777"/>
        <v>千里高等学校</v>
      </c>
    </row>
    <row r="4907" spans="1:18" s="1" customFormat="1" x14ac:dyDescent="0.45">
      <c r="A4907" s="7" t="str">
        <f t="shared" si="1774"/>
        <v>10381000000</v>
      </c>
      <c r="B4907" s="7" t="str">
        <f t="shared" si="1775"/>
        <v>千里高等学校</v>
      </c>
      <c r="C4907" s="7" t="str">
        <f t="shared" si="1766"/>
        <v>行政財産</v>
      </c>
      <c r="D4907" s="7" t="str">
        <f t="shared" si="1756"/>
        <v>学校</v>
      </c>
      <c r="E4907" s="7" t="str">
        <f t="shared" si="1776"/>
        <v>大阪府吹田市高野台２丁目</v>
      </c>
      <c r="F4907" s="7"/>
      <c r="G4907" s="7" t="str">
        <f t="shared" si="1772"/>
        <v>事業用資産</v>
      </c>
      <c r="H4907" s="7" t="str">
        <f t="shared" si="1761"/>
        <v>棚卸以外</v>
      </c>
      <c r="I4907" s="7">
        <v>8</v>
      </c>
      <c r="J4907" s="7" t="str">
        <f>"教室管理棟"</f>
        <v>教室管理棟</v>
      </c>
      <c r="K4907" s="7" t="str">
        <f>"鉄筋コンクリート造"</f>
        <v>鉄筋コンクリート造</v>
      </c>
      <c r="L4907" s="7" t="str">
        <f>"S44.02.15"</f>
        <v>S44.02.15</v>
      </c>
      <c r="M4907" s="7">
        <v>3570.84</v>
      </c>
      <c r="N4907" s="7">
        <v>246142106</v>
      </c>
      <c r="O4907" s="7">
        <v>175541910</v>
      </c>
      <c r="P4907" s="7">
        <v>0</v>
      </c>
      <c r="Q4907" s="7" t="str">
        <f t="shared" si="1773"/>
        <v>教育庁</v>
      </c>
      <c r="R4907" s="7" t="str">
        <f t="shared" si="1777"/>
        <v>千里高等学校</v>
      </c>
    </row>
    <row r="4908" spans="1:18" s="1" customFormat="1" x14ac:dyDescent="0.45">
      <c r="A4908" s="7" t="str">
        <f t="shared" si="1774"/>
        <v>10381000000</v>
      </c>
      <c r="B4908" s="7" t="str">
        <f t="shared" si="1775"/>
        <v>千里高等学校</v>
      </c>
      <c r="C4908" s="7" t="str">
        <f t="shared" si="1766"/>
        <v>行政財産</v>
      </c>
      <c r="D4908" s="7" t="str">
        <f t="shared" si="1756"/>
        <v>学校</v>
      </c>
      <c r="E4908" s="7" t="str">
        <f t="shared" si="1776"/>
        <v>大阪府吹田市高野台２丁目</v>
      </c>
      <c r="F4908" s="7"/>
      <c r="G4908" s="7" t="str">
        <f t="shared" si="1772"/>
        <v>事業用資産</v>
      </c>
      <c r="H4908" s="7" t="str">
        <f t="shared" si="1761"/>
        <v>棚卸以外</v>
      </c>
      <c r="I4908" s="7">
        <v>10</v>
      </c>
      <c r="J4908" s="7" t="str">
        <f>"体育館棟"</f>
        <v>体育館棟</v>
      </c>
      <c r="K4908" s="7" t="str">
        <f>"鉄筋コンクリート造"</f>
        <v>鉄筋コンクリート造</v>
      </c>
      <c r="L4908" s="7" t="str">
        <f>"S45.02.28"</f>
        <v>S45.02.28</v>
      </c>
      <c r="M4908" s="7">
        <v>2303.63</v>
      </c>
      <c r="N4908" s="7">
        <v>193796769</v>
      </c>
      <c r="O4908" s="7">
        <v>109762291</v>
      </c>
      <c r="P4908" s="7">
        <v>0</v>
      </c>
      <c r="Q4908" s="7" t="str">
        <f t="shared" si="1773"/>
        <v>教育庁</v>
      </c>
      <c r="R4908" s="7" t="str">
        <f t="shared" si="1777"/>
        <v>千里高等学校</v>
      </c>
    </row>
    <row r="4909" spans="1:18" s="1" customFormat="1" x14ac:dyDescent="0.45">
      <c r="A4909" s="7" t="str">
        <f t="shared" si="1774"/>
        <v>10381000000</v>
      </c>
      <c r="B4909" s="7" t="str">
        <f t="shared" si="1775"/>
        <v>千里高等学校</v>
      </c>
      <c r="C4909" s="7" t="str">
        <f t="shared" si="1766"/>
        <v>行政財産</v>
      </c>
      <c r="D4909" s="7" t="str">
        <f t="shared" si="1756"/>
        <v>学校</v>
      </c>
      <c r="E4909" s="7" t="str">
        <f t="shared" si="1776"/>
        <v>大阪府吹田市高野台２丁目</v>
      </c>
      <c r="F4909" s="7"/>
      <c r="G4909" s="7" t="str">
        <f t="shared" si="1772"/>
        <v>事業用資産</v>
      </c>
      <c r="H4909" s="7" t="str">
        <f t="shared" si="1761"/>
        <v>棚卸以外</v>
      </c>
      <c r="I4909" s="7">
        <v>12</v>
      </c>
      <c r="J4909" s="7" t="str">
        <f>"部室棟"</f>
        <v>部室棟</v>
      </c>
      <c r="K4909" s="7" t="str">
        <f>"コンクリートブロック造"</f>
        <v>コンクリートブロック造</v>
      </c>
      <c r="L4909" s="7" t="str">
        <f>"S46.02.28"</f>
        <v>S46.02.28</v>
      </c>
      <c r="M4909" s="7">
        <v>121.5</v>
      </c>
      <c r="N4909" s="7">
        <v>2617463</v>
      </c>
      <c r="O4909" s="7">
        <v>2617462</v>
      </c>
      <c r="P4909" s="7">
        <v>0</v>
      </c>
      <c r="Q4909" s="7" t="str">
        <f t="shared" si="1773"/>
        <v>教育庁</v>
      </c>
      <c r="R4909" s="7" t="str">
        <f t="shared" si="1777"/>
        <v>千里高等学校</v>
      </c>
    </row>
    <row r="4910" spans="1:18" s="1" customFormat="1" x14ac:dyDescent="0.45">
      <c r="A4910" s="7" t="str">
        <f t="shared" si="1774"/>
        <v>10381000000</v>
      </c>
      <c r="B4910" s="7" t="str">
        <f t="shared" si="1775"/>
        <v>千里高等学校</v>
      </c>
      <c r="C4910" s="7" t="str">
        <f t="shared" si="1766"/>
        <v>行政財産</v>
      </c>
      <c r="D4910" s="7" t="str">
        <f t="shared" si="1756"/>
        <v>学校</v>
      </c>
      <c r="E4910" s="7" t="str">
        <f t="shared" si="1776"/>
        <v>大阪府吹田市高野台２丁目</v>
      </c>
      <c r="F4910" s="7"/>
      <c r="G4910" s="7" t="str">
        <f t="shared" si="1772"/>
        <v>事業用資産</v>
      </c>
      <c r="H4910" s="7" t="str">
        <f t="shared" si="1761"/>
        <v>棚卸以外</v>
      </c>
      <c r="I4910" s="7">
        <v>13</v>
      </c>
      <c r="J4910" s="7" t="str">
        <f>"事務倉庫"</f>
        <v>事務倉庫</v>
      </c>
      <c r="K4910" s="7" t="str">
        <f>"コンクリートブロック造"</f>
        <v>コンクリートブロック造</v>
      </c>
      <c r="L4910" s="7" t="str">
        <f>"S48.03.28"</f>
        <v>S48.03.28</v>
      </c>
      <c r="M4910" s="7">
        <v>85</v>
      </c>
      <c r="N4910" s="7">
        <v>3035000</v>
      </c>
      <c r="O4910" s="7">
        <v>3034999</v>
      </c>
      <c r="P4910" s="7">
        <v>0</v>
      </c>
      <c r="Q4910" s="7" t="str">
        <f t="shared" si="1773"/>
        <v>教育庁</v>
      </c>
      <c r="R4910" s="7" t="str">
        <f t="shared" si="1777"/>
        <v>千里高等学校</v>
      </c>
    </row>
    <row r="4911" spans="1:18" s="1" customFormat="1" x14ac:dyDescent="0.45">
      <c r="A4911" s="7" t="str">
        <f t="shared" si="1774"/>
        <v>10381000000</v>
      </c>
      <c r="B4911" s="7" t="str">
        <f t="shared" si="1775"/>
        <v>千里高等学校</v>
      </c>
      <c r="C4911" s="7" t="str">
        <f t="shared" si="1766"/>
        <v>行政財産</v>
      </c>
      <c r="D4911" s="7" t="str">
        <f t="shared" si="1756"/>
        <v>学校</v>
      </c>
      <c r="E4911" s="7" t="str">
        <f t="shared" si="1776"/>
        <v>大阪府吹田市高野台２丁目</v>
      </c>
      <c r="F4911" s="7"/>
      <c r="G4911" s="7" t="str">
        <f t="shared" si="1772"/>
        <v>事業用資産</v>
      </c>
      <c r="H4911" s="7" t="str">
        <f t="shared" si="1761"/>
        <v>棚卸以外</v>
      </c>
      <c r="I4911" s="7">
        <v>14</v>
      </c>
      <c r="J4911" s="7" t="str">
        <f>"薬品倉庫"</f>
        <v>薬品倉庫</v>
      </c>
      <c r="K4911" s="7" t="str">
        <f>"コンクリートブロック造"</f>
        <v>コンクリートブロック造</v>
      </c>
      <c r="L4911" s="7" t="str">
        <f>"S48.03.28"</f>
        <v>S48.03.28</v>
      </c>
      <c r="M4911" s="7">
        <v>4</v>
      </c>
      <c r="N4911" s="7">
        <v>857000</v>
      </c>
      <c r="O4911" s="7">
        <v>692260</v>
      </c>
      <c r="P4911" s="7">
        <v>0</v>
      </c>
      <c r="Q4911" s="7" t="str">
        <f t="shared" si="1773"/>
        <v>教育庁</v>
      </c>
      <c r="R4911" s="7" t="str">
        <f t="shared" si="1777"/>
        <v>千里高等学校</v>
      </c>
    </row>
    <row r="4912" spans="1:18" s="1" customFormat="1" x14ac:dyDescent="0.45">
      <c r="A4912" s="7" t="str">
        <f t="shared" si="1774"/>
        <v>10381000000</v>
      </c>
      <c r="B4912" s="7" t="str">
        <f t="shared" si="1775"/>
        <v>千里高等学校</v>
      </c>
      <c r="C4912" s="7" t="str">
        <f t="shared" si="1766"/>
        <v>行政財産</v>
      </c>
      <c r="D4912" s="7" t="str">
        <f t="shared" si="1756"/>
        <v>学校</v>
      </c>
      <c r="E4912" s="7" t="str">
        <f t="shared" si="1776"/>
        <v>大阪府吹田市高野台２丁目</v>
      </c>
      <c r="F4912" s="7"/>
      <c r="G4912" s="7" t="str">
        <f t="shared" si="1772"/>
        <v>事業用資産</v>
      </c>
      <c r="H4912" s="7" t="str">
        <f t="shared" si="1761"/>
        <v>棚卸以外</v>
      </c>
      <c r="I4912" s="7">
        <v>15</v>
      </c>
      <c r="J4912" s="7" t="str">
        <f>"倉庫"</f>
        <v>倉庫</v>
      </c>
      <c r="K4912" s="7" t="str">
        <f>"コンクリートブロック造"</f>
        <v>コンクリートブロック造</v>
      </c>
      <c r="L4912" s="7" t="str">
        <f>"S51.03.31"</f>
        <v>S51.03.31</v>
      </c>
      <c r="M4912" s="7">
        <v>36</v>
      </c>
      <c r="N4912" s="7">
        <v>1920000</v>
      </c>
      <c r="O4912" s="7">
        <v>1919999</v>
      </c>
      <c r="P4912" s="7">
        <v>0</v>
      </c>
      <c r="Q4912" s="7" t="str">
        <f t="shared" si="1773"/>
        <v>教育庁</v>
      </c>
      <c r="R4912" s="7" t="str">
        <f t="shared" si="1777"/>
        <v>千里高等学校</v>
      </c>
    </row>
    <row r="4913" spans="1:18" s="1" customFormat="1" x14ac:dyDescent="0.45">
      <c r="A4913" s="7" t="str">
        <f t="shared" si="1774"/>
        <v>10381000000</v>
      </c>
      <c r="B4913" s="7" t="str">
        <f t="shared" si="1775"/>
        <v>千里高等学校</v>
      </c>
      <c r="C4913" s="7" t="str">
        <f t="shared" si="1766"/>
        <v>行政財産</v>
      </c>
      <c r="D4913" s="7" t="str">
        <f t="shared" si="1756"/>
        <v>学校</v>
      </c>
      <c r="E4913" s="7" t="str">
        <f t="shared" si="1776"/>
        <v>大阪府吹田市高野台２丁目</v>
      </c>
      <c r="F4913" s="7"/>
      <c r="G4913" s="7" t="str">
        <f t="shared" si="1772"/>
        <v>事業用資産</v>
      </c>
      <c r="H4913" s="7" t="str">
        <f t="shared" si="1761"/>
        <v>棚卸以外</v>
      </c>
      <c r="I4913" s="7">
        <v>16</v>
      </c>
      <c r="J4913" s="7" t="str">
        <f>"教室棟"</f>
        <v>教室棟</v>
      </c>
      <c r="K4913" s="7" t="str">
        <f>"鉄筋コンクリート造"</f>
        <v>鉄筋コンクリート造</v>
      </c>
      <c r="L4913" s="7" t="str">
        <f>"S57.08.31"</f>
        <v>S57.08.31</v>
      </c>
      <c r="M4913" s="7">
        <v>1705.98</v>
      </c>
      <c r="N4913" s="7">
        <v>240775339</v>
      </c>
      <c r="O4913" s="7">
        <v>206022946</v>
      </c>
      <c r="P4913" s="7">
        <v>0</v>
      </c>
      <c r="Q4913" s="7" t="str">
        <f t="shared" si="1773"/>
        <v>教育庁</v>
      </c>
      <c r="R4913" s="7" t="str">
        <f t="shared" si="1777"/>
        <v>千里高等学校</v>
      </c>
    </row>
    <row r="4914" spans="1:18" s="1" customFormat="1" x14ac:dyDescent="0.45">
      <c r="A4914" s="7" t="str">
        <f t="shared" si="1774"/>
        <v>10381000000</v>
      </c>
      <c r="B4914" s="7" t="str">
        <f t="shared" si="1775"/>
        <v>千里高等学校</v>
      </c>
      <c r="C4914" s="7" t="str">
        <f t="shared" si="1766"/>
        <v>行政財産</v>
      </c>
      <c r="D4914" s="7" t="str">
        <f t="shared" si="1756"/>
        <v>学校</v>
      </c>
      <c r="E4914" s="7" t="str">
        <f t="shared" si="1776"/>
        <v>大阪府吹田市高野台２丁目</v>
      </c>
      <c r="F4914" s="7"/>
      <c r="G4914" s="7" t="str">
        <f t="shared" si="1772"/>
        <v>事業用資産</v>
      </c>
      <c r="H4914" s="7" t="str">
        <f t="shared" si="1761"/>
        <v>棚卸以外</v>
      </c>
      <c r="I4914" s="7">
        <v>17</v>
      </c>
      <c r="J4914" s="7" t="str">
        <f>"フ゜－ル附属室"</f>
        <v>フ゜－ル附属室</v>
      </c>
      <c r="K4914" s="7" t="str">
        <f>"鉄筋コンクリート造"</f>
        <v>鉄筋コンクリート造</v>
      </c>
      <c r="L4914" s="7" t="str">
        <f>"S59.06.15"</f>
        <v>S59.06.15</v>
      </c>
      <c r="M4914" s="7">
        <v>82.2</v>
      </c>
      <c r="N4914" s="7">
        <v>18800000</v>
      </c>
      <c r="O4914" s="7">
        <v>15500310</v>
      </c>
      <c r="P4914" s="7">
        <v>0</v>
      </c>
      <c r="Q4914" s="7" t="str">
        <f t="shared" si="1773"/>
        <v>教育庁</v>
      </c>
      <c r="R4914" s="7" t="str">
        <f t="shared" si="1777"/>
        <v>千里高等学校</v>
      </c>
    </row>
    <row r="4915" spans="1:18" s="1" customFormat="1" x14ac:dyDescent="0.45">
      <c r="A4915" s="7" t="str">
        <f t="shared" si="1774"/>
        <v>10381000000</v>
      </c>
      <c r="B4915" s="7" t="str">
        <f t="shared" si="1775"/>
        <v>千里高等学校</v>
      </c>
      <c r="C4915" s="7" t="str">
        <f t="shared" si="1766"/>
        <v>行政財産</v>
      </c>
      <c r="D4915" s="7" t="str">
        <f t="shared" si="1756"/>
        <v>学校</v>
      </c>
      <c r="E4915" s="7" t="str">
        <f t="shared" si="1776"/>
        <v>大阪府吹田市高野台２丁目</v>
      </c>
      <c r="F4915" s="7"/>
      <c r="G4915" s="7" t="str">
        <f t="shared" si="1772"/>
        <v>事業用資産</v>
      </c>
      <c r="H4915" s="7" t="str">
        <f t="shared" si="1761"/>
        <v>棚卸以外</v>
      </c>
      <c r="I4915" s="7">
        <v>18</v>
      </c>
      <c r="J4915" s="7" t="str">
        <f>"別館"</f>
        <v>別館</v>
      </c>
      <c r="K4915" s="7" t="str">
        <f>"軽量鉄骨造"</f>
        <v>軽量鉄骨造</v>
      </c>
      <c r="L4915" s="7" t="str">
        <f>"H02.03.31"</f>
        <v>H02.03.31</v>
      </c>
      <c r="M4915" s="7">
        <v>202.5</v>
      </c>
      <c r="N4915" s="7">
        <v>22631000</v>
      </c>
      <c r="O4915" s="7">
        <v>22630999</v>
      </c>
      <c r="P4915" s="7">
        <v>0</v>
      </c>
      <c r="Q4915" s="7" t="str">
        <f t="shared" si="1773"/>
        <v>教育庁</v>
      </c>
      <c r="R4915" s="7" t="str">
        <f t="shared" si="1777"/>
        <v>千里高等学校</v>
      </c>
    </row>
    <row r="4916" spans="1:18" s="1" customFormat="1" x14ac:dyDescent="0.45">
      <c r="A4916" s="7" t="str">
        <f t="shared" si="1774"/>
        <v>10381000000</v>
      </c>
      <c r="B4916" s="7" t="str">
        <f t="shared" si="1775"/>
        <v>千里高等学校</v>
      </c>
      <c r="C4916" s="7" t="str">
        <f t="shared" si="1766"/>
        <v>行政財産</v>
      </c>
      <c r="D4916" s="7" t="str">
        <f t="shared" si="1756"/>
        <v>学校</v>
      </c>
      <c r="E4916" s="7" t="str">
        <f t="shared" si="1776"/>
        <v>大阪府吹田市高野台２丁目</v>
      </c>
      <c r="F4916" s="7"/>
      <c r="G4916" s="7" t="str">
        <f t="shared" si="1772"/>
        <v>事業用資産</v>
      </c>
      <c r="H4916" s="7" t="str">
        <f t="shared" si="1761"/>
        <v>棚卸以外</v>
      </c>
      <c r="I4916" s="7">
        <v>19</v>
      </c>
      <c r="J4916" s="7" t="str">
        <f>"セミナーハウス"</f>
        <v>セミナーハウス</v>
      </c>
      <c r="K4916" s="7" t="str">
        <f>"鉄筋コンクリート造"</f>
        <v>鉄筋コンクリート造</v>
      </c>
      <c r="L4916" s="7" t="str">
        <f>"H04.07.13"</f>
        <v>H04.07.13</v>
      </c>
      <c r="M4916" s="7">
        <v>500.65</v>
      </c>
      <c r="N4916" s="7">
        <v>111033000</v>
      </c>
      <c r="O4916" s="7">
        <v>68100240</v>
      </c>
      <c r="P4916" s="7">
        <v>0</v>
      </c>
      <c r="Q4916" s="7" t="str">
        <f t="shared" si="1773"/>
        <v>教育庁</v>
      </c>
      <c r="R4916" s="7" t="str">
        <f t="shared" si="1777"/>
        <v>千里高等学校</v>
      </c>
    </row>
    <row r="4917" spans="1:18" s="1" customFormat="1" x14ac:dyDescent="0.45">
      <c r="A4917" s="7" t="str">
        <f t="shared" ref="A4917:A4925" si="1778">"10382000000"</f>
        <v>10382000000</v>
      </c>
      <c r="B4917" s="7" t="str">
        <f t="shared" ref="B4917:B4925" si="1779">"吹田東高等学校"</f>
        <v>吹田東高等学校</v>
      </c>
      <c r="C4917" s="7" t="str">
        <f t="shared" si="1766"/>
        <v>行政財産</v>
      </c>
      <c r="D4917" s="7" t="str">
        <f t="shared" si="1756"/>
        <v>学校</v>
      </c>
      <c r="E4917" s="7" t="str">
        <f t="shared" ref="E4917:E4925" si="1780">"大阪府吹田市青葉丘南"</f>
        <v>大阪府吹田市青葉丘南</v>
      </c>
      <c r="F4917" s="7"/>
      <c r="G4917" s="7" t="str">
        <f t="shared" si="1772"/>
        <v>事業用資産</v>
      </c>
      <c r="H4917" s="7" t="str">
        <f t="shared" si="1761"/>
        <v>棚卸以外</v>
      </c>
      <c r="I4917" s="7">
        <v>10</v>
      </c>
      <c r="J4917" s="7" t="str">
        <f>"体育館"</f>
        <v>体育館</v>
      </c>
      <c r="K4917" s="7" t="str">
        <f>"鉄筋コンクリート造"</f>
        <v>鉄筋コンクリート造</v>
      </c>
      <c r="L4917" s="7" t="str">
        <f>"S50.12.10"</f>
        <v>S50.12.10</v>
      </c>
      <c r="M4917" s="7">
        <v>2918.59</v>
      </c>
      <c r="N4917" s="7">
        <v>350047242</v>
      </c>
      <c r="O4917" s="7">
        <v>280261199</v>
      </c>
      <c r="P4917" s="7">
        <v>0</v>
      </c>
      <c r="Q4917" s="7" t="str">
        <f t="shared" si="1773"/>
        <v>教育庁</v>
      </c>
      <c r="R4917" s="7" t="str">
        <f t="shared" ref="R4917:R4925" si="1781">"吹田東高等学校"</f>
        <v>吹田東高等学校</v>
      </c>
    </row>
    <row r="4918" spans="1:18" s="1" customFormat="1" x14ac:dyDescent="0.45">
      <c r="A4918" s="7" t="str">
        <f t="shared" si="1778"/>
        <v>10382000000</v>
      </c>
      <c r="B4918" s="7" t="str">
        <f t="shared" si="1779"/>
        <v>吹田東高等学校</v>
      </c>
      <c r="C4918" s="7" t="str">
        <f t="shared" si="1766"/>
        <v>行政財産</v>
      </c>
      <c r="D4918" s="7" t="str">
        <f t="shared" si="1756"/>
        <v>学校</v>
      </c>
      <c r="E4918" s="7" t="str">
        <f t="shared" si="1780"/>
        <v>大阪府吹田市青葉丘南</v>
      </c>
      <c r="F4918" s="7"/>
      <c r="G4918" s="7" t="str">
        <f t="shared" si="1772"/>
        <v>事業用資産</v>
      </c>
      <c r="H4918" s="7" t="str">
        <f t="shared" si="1761"/>
        <v>棚卸以外</v>
      </c>
      <c r="I4918" s="7">
        <v>16</v>
      </c>
      <c r="J4918" s="7" t="str">
        <f>"倉庫"</f>
        <v>倉庫</v>
      </c>
      <c r="K4918" s="7" t="str">
        <f>"鉄骨造"</f>
        <v>鉄骨造</v>
      </c>
      <c r="L4918" s="7" t="str">
        <f>"S52.06.30"</f>
        <v>S52.06.30</v>
      </c>
      <c r="M4918" s="7">
        <v>200</v>
      </c>
      <c r="N4918" s="7">
        <v>15223676</v>
      </c>
      <c r="O4918" s="7">
        <v>13145711</v>
      </c>
      <c r="P4918" s="7">
        <v>0</v>
      </c>
      <c r="Q4918" s="7" t="str">
        <f t="shared" si="1773"/>
        <v>教育庁</v>
      </c>
      <c r="R4918" s="7" t="str">
        <f t="shared" si="1781"/>
        <v>吹田東高等学校</v>
      </c>
    </row>
    <row r="4919" spans="1:18" s="1" customFormat="1" x14ac:dyDescent="0.45">
      <c r="A4919" s="7" t="str">
        <f t="shared" si="1778"/>
        <v>10382000000</v>
      </c>
      <c r="B4919" s="7" t="str">
        <f t="shared" si="1779"/>
        <v>吹田東高等学校</v>
      </c>
      <c r="C4919" s="7" t="str">
        <f t="shared" si="1766"/>
        <v>行政財産</v>
      </c>
      <c r="D4919" s="7" t="str">
        <f t="shared" si="1756"/>
        <v>学校</v>
      </c>
      <c r="E4919" s="7" t="str">
        <f t="shared" si="1780"/>
        <v>大阪府吹田市青葉丘南</v>
      </c>
      <c r="F4919" s="7"/>
      <c r="G4919" s="7" t="str">
        <f t="shared" si="1772"/>
        <v>事業用資産</v>
      </c>
      <c r="H4919" s="7" t="str">
        <f t="shared" si="1761"/>
        <v>棚卸以外</v>
      </c>
      <c r="I4919" s="7">
        <v>17</v>
      </c>
      <c r="J4919" s="7" t="str">
        <f>"プール附属棟"</f>
        <v>プール附属棟</v>
      </c>
      <c r="K4919" s="7" t="str">
        <f>"コンクリートブロック造"</f>
        <v>コンクリートブロック造</v>
      </c>
      <c r="L4919" s="7" t="str">
        <f>"S52.08.31"</f>
        <v>S52.08.31</v>
      </c>
      <c r="M4919" s="7">
        <v>138</v>
      </c>
      <c r="N4919" s="7">
        <v>26032000</v>
      </c>
      <c r="O4919" s="7">
        <v>25927056</v>
      </c>
      <c r="P4919" s="7">
        <v>0</v>
      </c>
      <c r="Q4919" s="7" t="str">
        <f t="shared" si="1773"/>
        <v>教育庁</v>
      </c>
      <c r="R4919" s="7" t="str">
        <f t="shared" si="1781"/>
        <v>吹田東高等学校</v>
      </c>
    </row>
    <row r="4920" spans="1:18" s="1" customFormat="1" x14ac:dyDescent="0.45">
      <c r="A4920" s="7" t="str">
        <f t="shared" si="1778"/>
        <v>10382000000</v>
      </c>
      <c r="B4920" s="7" t="str">
        <f t="shared" si="1779"/>
        <v>吹田東高等学校</v>
      </c>
      <c r="C4920" s="7" t="str">
        <f t="shared" si="1766"/>
        <v>行政財産</v>
      </c>
      <c r="D4920" s="7" t="str">
        <f t="shared" si="1756"/>
        <v>学校</v>
      </c>
      <c r="E4920" s="7" t="str">
        <f t="shared" si="1780"/>
        <v>大阪府吹田市青葉丘南</v>
      </c>
      <c r="F4920" s="7"/>
      <c r="G4920" s="7" t="str">
        <f t="shared" si="1772"/>
        <v>事業用資産</v>
      </c>
      <c r="H4920" s="7" t="str">
        <f t="shared" si="1761"/>
        <v>棚卸以外</v>
      </c>
      <c r="I4920" s="7">
        <v>18</v>
      </c>
      <c r="J4920" s="7" t="str">
        <f>"校舎棟"</f>
        <v>校舎棟</v>
      </c>
      <c r="K4920" s="7" t="str">
        <f>"鉄筋コンクリート造"</f>
        <v>鉄筋コンクリート造</v>
      </c>
      <c r="L4920" s="7" t="str">
        <f t="shared" ref="L4920:L4925" si="1782">"R01.08.02"</f>
        <v>R01.08.02</v>
      </c>
      <c r="M4920" s="7">
        <v>10865.23</v>
      </c>
      <c r="N4920" s="7">
        <v>2607261259</v>
      </c>
      <c r="O4920" s="7">
        <v>322781821</v>
      </c>
      <c r="P4920" s="7">
        <v>0</v>
      </c>
      <c r="Q4920" s="7" t="str">
        <f t="shared" si="1773"/>
        <v>教育庁</v>
      </c>
      <c r="R4920" s="7" t="str">
        <f t="shared" si="1781"/>
        <v>吹田東高等学校</v>
      </c>
    </row>
    <row r="4921" spans="1:18" s="1" customFormat="1" x14ac:dyDescent="0.45">
      <c r="A4921" s="7" t="str">
        <f t="shared" si="1778"/>
        <v>10382000000</v>
      </c>
      <c r="B4921" s="7" t="str">
        <f t="shared" si="1779"/>
        <v>吹田東高等学校</v>
      </c>
      <c r="C4921" s="7" t="str">
        <f t="shared" si="1766"/>
        <v>行政財産</v>
      </c>
      <c r="D4921" s="7" t="str">
        <f t="shared" ref="D4921:D4984" si="1783">"学校"</f>
        <v>学校</v>
      </c>
      <c r="E4921" s="7" t="str">
        <f t="shared" si="1780"/>
        <v>大阪府吹田市青葉丘南</v>
      </c>
      <c r="F4921" s="7"/>
      <c r="G4921" s="7" t="str">
        <f t="shared" si="1772"/>
        <v>事業用資産</v>
      </c>
      <c r="H4921" s="7" t="str">
        <f t="shared" si="1761"/>
        <v>棚卸以外</v>
      </c>
      <c r="I4921" s="7">
        <v>19</v>
      </c>
      <c r="J4921" s="7" t="str">
        <f>"倉庫棟１(校舎棟南）"</f>
        <v>倉庫棟１(校舎棟南）</v>
      </c>
      <c r="K4921" s="7" t="str">
        <f>"鉄骨造"</f>
        <v>鉄骨造</v>
      </c>
      <c r="L4921" s="7" t="str">
        <f t="shared" si="1782"/>
        <v>R01.08.02</v>
      </c>
      <c r="M4921" s="7">
        <v>49.71</v>
      </c>
      <c r="N4921" s="7">
        <v>8283494</v>
      </c>
      <c r="O4921" s="7">
        <v>1109701</v>
      </c>
      <c r="P4921" s="7">
        <v>0</v>
      </c>
      <c r="Q4921" s="7" t="str">
        <f t="shared" si="1773"/>
        <v>教育庁</v>
      </c>
      <c r="R4921" s="7" t="str">
        <f t="shared" si="1781"/>
        <v>吹田東高等学校</v>
      </c>
    </row>
    <row r="4922" spans="1:18" s="1" customFormat="1" x14ac:dyDescent="0.45">
      <c r="A4922" s="7" t="str">
        <f t="shared" si="1778"/>
        <v>10382000000</v>
      </c>
      <c r="B4922" s="7" t="str">
        <f t="shared" si="1779"/>
        <v>吹田東高等学校</v>
      </c>
      <c r="C4922" s="7" t="str">
        <f t="shared" si="1766"/>
        <v>行政財産</v>
      </c>
      <c r="D4922" s="7" t="str">
        <f t="shared" si="1783"/>
        <v>学校</v>
      </c>
      <c r="E4922" s="7" t="str">
        <f t="shared" si="1780"/>
        <v>大阪府吹田市青葉丘南</v>
      </c>
      <c r="F4922" s="7"/>
      <c r="G4922" s="7" t="str">
        <f t="shared" si="1772"/>
        <v>事業用資産</v>
      </c>
      <c r="H4922" s="7" t="str">
        <f t="shared" si="1761"/>
        <v>棚卸以外</v>
      </c>
      <c r="I4922" s="7">
        <v>20</v>
      </c>
      <c r="J4922" s="7" t="str">
        <f>"倉庫棟２（運動場北）"</f>
        <v>倉庫棟２（運動場北）</v>
      </c>
      <c r="K4922" s="7" t="str">
        <f>"鉄骨造"</f>
        <v>鉄骨造</v>
      </c>
      <c r="L4922" s="7" t="str">
        <f t="shared" si="1782"/>
        <v>R01.08.02</v>
      </c>
      <c r="M4922" s="7">
        <v>39.770000000000003</v>
      </c>
      <c r="N4922" s="7">
        <v>7149959</v>
      </c>
      <c r="O4922" s="7">
        <v>965436</v>
      </c>
      <c r="P4922" s="7">
        <v>0</v>
      </c>
      <c r="Q4922" s="7" t="str">
        <f t="shared" si="1773"/>
        <v>教育庁</v>
      </c>
      <c r="R4922" s="7" t="str">
        <f t="shared" si="1781"/>
        <v>吹田東高等学校</v>
      </c>
    </row>
    <row r="4923" spans="1:18" s="1" customFormat="1" x14ac:dyDescent="0.45">
      <c r="A4923" s="7" t="str">
        <f t="shared" si="1778"/>
        <v>10382000000</v>
      </c>
      <c r="B4923" s="7" t="str">
        <f t="shared" si="1779"/>
        <v>吹田東高等学校</v>
      </c>
      <c r="C4923" s="7" t="str">
        <f t="shared" si="1766"/>
        <v>行政財産</v>
      </c>
      <c r="D4923" s="7" t="str">
        <f t="shared" si="1783"/>
        <v>学校</v>
      </c>
      <c r="E4923" s="7" t="str">
        <f t="shared" si="1780"/>
        <v>大阪府吹田市青葉丘南</v>
      </c>
      <c r="F4923" s="7"/>
      <c r="G4923" s="7" t="str">
        <f t="shared" si="1772"/>
        <v>事業用資産</v>
      </c>
      <c r="H4923" s="7" t="str">
        <f t="shared" si="1761"/>
        <v>棚卸以外</v>
      </c>
      <c r="I4923" s="7">
        <v>21</v>
      </c>
      <c r="J4923" s="7" t="str">
        <f>"ゴミ置場(校舎棟南）"</f>
        <v>ゴミ置場(校舎棟南）</v>
      </c>
      <c r="K4923" s="7" t="str">
        <f>"鉄骨造"</f>
        <v>鉄骨造</v>
      </c>
      <c r="L4923" s="7" t="str">
        <f t="shared" si="1782"/>
        <v>R01.08.02</v>
      </c>
      <c r="M4923" s="7">
        <v>31.05</v>
      </c>
      <c r="N4923" s="7">
        <v>7183694</v>
      </c>
      <c r="O4923" s="7">
        <v>875523</v>
      </c>
      <c r="P4923" s="7">
        <v>0</v>
      </c>
      <c r="Q4923" s="7" t="str">
        <f t="shared" si="1773"/>
        <v>教育庁</v>
      </c>
      <c r="R4923" s="7" t="str">
        <f t="shared" si="1781"/>
        <v>吹田東高等学校</v>
      </c>
    </row>
    <row r="4924" spans="1:18" s="1" customFormat="1" x14ac:dyDescent="0.45">
      <c r="A4924" s="7" t="str">
        <f t="shared" si="1778"/>
        <v>10382000000</v>
      </c>
      <c r="B4924" s="7" t="str">
        <f t="shared" si="1779"/>
        <v>吹田東高等学校</v>
      </c>
      <c r="C4924" s="7" t="str">
        <f t="shared" si="1766"/>
        <v>行政財産</v>
      </c>
      <c r="D4924" s="7" t="str">
        <f t="shared" si="1783"/>
        <v>学校</v>
      </c>
      <c r="E4924" s="7" t="str">
        <f t="shared" si="1780"/>
        <v>大阪府吹田市青葉丘南</v>
      </c>
      <c r="F4924" s="7"/>
      <c r="G4924" s="7" t="str">
        <f t="shared" si="1772"/>
        <v>事業用資産</v>
      </c>
      <c r="H4924" s="7" t="str">
        <f t="shared" si="1761"/>
        <v>棚卸以外</v>
      </c>
      <c r="I4924" s="7">
        <v>22</v>
      </c>
      <c r="J4924" s="7" t="str">
        <f>"体育館LPガス庫"</f>
        <v>体育館LPガス庫</v>
      </c>
      <c r="K4924" s="7" t="str">
        <f>"鉄骨造"</f>
        <v>鉄骨造</v>
      </c>
      <c r="L4924" s="7" t="str">
        <f t="shared" si="1782"/>
        <v>R01.08.02</v>
      </c>
      <c r="M4924" s="7">
        <v>10.6</v>
      </c>
      <c r="N4924" s="7">
        <v>7547726</v>
      </c>
      <c r="O4924" s="7">
        <v>1459205</v>
      </c>
      <c r="P4924" s="7">
        <v>0</v>
      </c>
      <c r="Q4924" s="7" t="str">
        <f t="shared" si="1773"/>
        <v>教育庁</v>
      </c>
      <c r="R4924" s="7" t="str">
        <f t="shared" si="1781"/>
        <v>吹田東高等学校</v>
      </c>
    </row>
    <row r="4925" spans="1:18" s="1" customFormat="1" x14ac:dyDescent="0.45">
      <c r="A4925" s="7" t="str">
        <f t="shared" si="1778"/>
        <v>10382000000</v>
      </c>
      <c r="B4925" s="7" t="str">
        <f t="shared" si="1779"/>
        <v>吹田東高等学校</v>
      </c>
      <c r="C4925" s="7" t="str">
        <f t="shared" si="1766"/>
        <v>行政財産</v>
      </c>
      <c r="D4925" s="7" t="str">
        <f t="shared" si="1783"/>
        <v>学校</v>
      </c>
      <c r="E4925" s="7" t="str">
        <f t="shared" si="1780"/>
        <v>大阪府吹田市青葉丘南</v>
      </c>
      <c r="F4925" s="7"/>
      <c r="G4925" s="7" t="str">
        <f t="shared" si="1772"/>
        <v>事業用資産</v>
      </c>
      <c r="H4925" s="7" t="str">
        <f t="shared" si="1761"/>
        <v>棚卸以外</v>
      </c>
      <c r="I4925" s="7">
        <v>23</v>
      </c>
      <c r="J4925" s="7" t="str">
        <f>"体育館渡り廊下"</f>
        <v>体育館渡り廊下</v>
      </c>
      <c r="K4925" s="7" t="str">
        <f>"鉄骨造"</f>
        <v>鉄骨造</v>
      </c>
      <c r="L4925" s="7" t="str">
        <f t="shared" si="1782"/>
        <v>R01.08.02</v>
      </c>
      <c r="M4925" s="7">
        <v>272.68</v>
      </c>
      <c r="N4925" s="7">
        <v>37283606</v>
      </c>
      <c r="O4925" s="7">
        <v>4420228</v>
      </c>
      <c r="P4925" s="7">
        <v>0</v>
      </c>
      <c r="Q4925" s="7" t="str">
        <f t="shared" si="1773"/>
        <v>教育庁</v>
      </c>
      <c r="R4925" s="7" t="str">
        <f t="shared" si="1781"/>
        <v>吹田東高等学校</v>
      </c>
    </row>
    <row r="4926" spans="1:18" s="1" customFormat="1" x14ac:dyDescent="0.45">
      <c r="A4926" s="7" t="str">
        <f>"10383000000"</f>
        <v>10383000000</v>
      </c>
      <c r="B4926" s="7" t="str">
        <f>"北千里高等学校"</f>
        <v>北千里高等学校</v>
      </c>
      <c r="C4926" s="7" t="str">
        <f t="shared" si="1766"/>
        <v>行政財産</v>
      </c>
      <c r="D4926" s="7" t="str">
        <f t="shared" si="1783"/>
        <v>学校</v>
      </c>
      <c r="E4926" s="7" t="str">
        <f>"大阪府吹田市藤白台５丁目"</f>
        <v>大阪府吹田市藤白台５丁目</v>
      </c>
      <c r="F4926" s="7"/>
      <c r="G4926" s="7" t="str">
        <f t="shared" si="1772"/>
        <v>事業用資産</v>
      </c>
      <c r="H4926" s="7" t="str">
        <f t="shared" si="1761"/>
        <v>棚卸以外</v>
      </c>
      <c r="I4926" s="7">
        <v>1</v>
      </c>
      <c r="J4926" s="7" t="str">
        <f>"教室管理室棟"</f>
        <v>教室管理室棟</v>
      </c>
      <c r="K4926" s="7" t="str">
        <f>"鉄筋コンクリート造"</f>
        <v>鉄筋コンクリート造</v>
      </c>
      <c r="L4926" s="7" t="str">
        <f>"S53.02.28"</f>
        <v>S53.02.28</v>
      </c>
      <c r="M4926" s="7">
        <v>12151.65</v>
      </c>
      <c r="N4926" s="7">
        <v>1499211064</v>
      </c>
      <c r="O4926" s="7">
        <v>1224189735</v>
      </c>
      <c r="P4926" s="7">
        <v>0</v>
      </c>
      <c r="Q4926" s="7" t="str">
        <f t="shared" si="1773"/>
        <v>教育庁</v>
      </c>
      <c r="R4926" s="7" t="str">
        <f>"北千里高等学校"</f>
        <v>北千里高等学校</v>
      </c>
    </row>
    <row r="4927" spans="1:18" s="1" customFormat="1" x14ac:dyDescent="0.45">
      <c r="A4927" s="7" t="str">
        <f>"10383000000"</f>
        <v>10383000000</v>
      </c>
      <c r="B4927" s="7" t="str">
        <f>"北千里高等学校"</f>
        <v>北千里高等学校</v>
      </c>
      <c r="C4927" s="7" t="str">
        <f t="shared" si="1766"/>
        <v>行政財産</v>
      </c>
      <c r="D4927" s="7" t="str">
        <f t="shared" si="1783"/>
        <v>学校</v>
      </c>
      <c r="E4927" s="7" t="str">
        <f>"大阪府吹田市藤白台５丁目"</f>
        <v>大阪府吹田市藤白台５丁目</v>
      </c>
      <c r="F4927" s="7"/>
      <c r="G4927" s="7" t="str">
        <f t="shared" si="1772"/>
        <v>事業用資産</v>
      </c>
      <c r="H4927" s="7" t="str">
        <f t="shared" si="1761"/>
        <v>棚卸以外</v>
      </c>
      <c r="I4927" s="7">
        <v>2</v>
      </c>
      <c r="J4927" s="7" t="str">
        <f>"倉庫"</f>
        <v>倉庫</v>
      </c>
      <c r="K4927" s="7" t="str">
        <f>"鉄骨造"</f>
        <v>鉄骨造</v>
      </c>
      <c r="L4927" s="7" t="str">
        <f>"S53.03.31"</f>
        <v>S53.03.31</v>
      </c>
      <c r="M4927" s="7">
        <v>50</v>
      </c>
      <c r="N4927" s="7">
        <v>3718000</v>
      </c>
      <c r="O4927" s="7">
        <v>3717999</v>
      </c>
      <c r="P4927" s="7">
        <v>0</v>
      </c>
      <c r="Q4927" s="7" t="str">
        <f t="shared" si="1773"/>
        <v>教育庁</v>
      </c>
      <c r="R4927" s="7" t="str">
        <f>"北千里高等学校"</f>
        <v>北千里高等学校</v>
      </c>
    </row>
    <row r="4928" spans="1:18" s="1" customFormat="1" x14ac:dyDescent="0.45">
      <c r="A4928" s="7" t="str">
        <f>"10383000000"</f>
        <v>10383000000</v>
      </c>
      <c r="B4928" s="7" t="str">
        <f>"北千里高等学校"</f>
        <v>北千里高等学校</v>
      </c>
      <c r="C4928" s="7" t="str">
        <f t="shared" si="1766"/>
        <v>行政財産</v>
      </c>
      <c r="D4928" s="7" t="str">
        <f t="shared" si="1783"/>
        <v>学校</v>
      </c>
      <c r="E4928" s="7" t="str">
        <f>"大阪府吹田市藤白台５丁目"</f>
        <v>大阪府吹田市藤白台５丁目</v>
      </c>
      <c r="F4928" s="7"/>
      <c r="G4928" s="7" t="str">
        <f t="shared" si="1772"/>
        <v>事業用資産</v>
      </c>
      <c r="H4928" s="7" t="str">
        <f t="shared" si="1761"/>
        <v>棚卸以外</v>
      </c>
      <c r="I4928" s="7">
        <v>3</v>
      </c>
      <c r="J4928" s="7" t="str">
        <f>"メーター室兼塵芥置場"</f>
        <v>メーター室兼塵芥置場</v>
      </c>
      <c r="K4928" s="7" t="str">
        <f>"鉄筋コンクリート造"</f>
        <v>鉄筋コンクリート造</v>
      </c>
      <c r="L4928" s="7" t="str">
        <f>"S53.03.31"</f>
        <v>S53.03.31</v>
      </c>
      <c r="M4928" s="7">
        <v>18.899999999999999</v>
      </c>
      <c r="N4928" s="7">
        <v>1551000</v>
      </c>
      <c r="O4928" s="7">
        <v>1550999</v>
      </c>
      <c r="P4928" s="7">
        <v>0</v>
      </c>
      <c r="Q4928" s="7" t="str">
        <f t="shared" si="1773"/>
        <v>教育庁</v>
      </c>
      <c r="R4928" s="7" t="str">
        <f>"北千里高等学校"</f>
        <v>北千里高等学校</v>
      </c>
    </row>
    <row r="4929" spans="1:18" s="1" customFormat="1" x14ac:dyDescent="0.45">
      <c r="A4929" s="7" t="str">
        <f>"10383000000"</f>
        <v>10383000000</v>
      </c>
      <c r="B4929" s="7" t="str">
        <f>"北千里高等学校"</f>
        <v>北千里高等学校</v>
      </c>
      <c r="C4929" s="7" t="str">
        <f t="shared" si="1766"/>
        <v>行政財産</v>
      </c>
      <c r="D4929" s="7" t="str">
        <f t="shared" si="1783"/>
        <v>学校</v>
      </c>
      <c r="E4929" s="7" t="str">
        <f>"大阪府吹田市藤白台５丁目"</f>
        <v>大阪府吹田市藤白台５丁目</v>
      </c>
      <c r="F4929" s="7"/>
      <c r="G4929" s="7" t="str">
        <f t="shared" si="1772"/>
        <v>事業用資産</v>
      </c>
      <c r="H4929" s="7" t="str">
        <f t="shared" si="1761"/>
        <v>棚卸以外</v>
      </c>
      <c r="I4929" s="7">
        <v>4</v>
      </c>
      <c r="J4929" s="7" t="str">
        <f>"体育館"</f>
        <v>体育館</v>
      </c>
      <c r="K4929" s="7" t="str">
        <f>"鉄筋コンクリート造"</f>
        <v>鉄筋コンクリート造</v>
      </c>
      <c r="L4929" s="7" t="str">
        <f>"S54.08.31"</f>
        <v>S54.08.31</v>
      </c>
      <c r="M4929" s="7">
        <v>3031.24</v>
      </c>
      <c r="N4929" s="7">
        <v>406761936</v>
      </c>
      <c r="O4929" s="7">
        <v>317529809</v>
      </c>
      <c r="P4929" s="7">
        <v>0</v>
      </c>
      <c r="Q4929" s="7" t="str">
        <f t="shared" si="1773"/>
        <v>教育庁</v>
      </c>
      <c r="R4929" s="7" t="str">
        <f>"北千里高等学校"</f>
        <v>北千里高等学校</v>
      </c>
    </row>
    <row r="4930" spans="1:18" s="1" customFormat="1" x14ac:dyDescent="0.45">
      <c r="A4930" s="7" t="str">
        <f>"10383000000"</f>
        <v>10383000000</v>
      </c>
      <c r="B4930" s="7" t="str">
        <f>"北千里高等学校"</f>
        <v>北千里高等学校</v>
      </c>
      <c r="C4930" s="7" t="str">
        <f t="shared" si="1766"/>
        <v>行政財産</v>
      </c>
      <c r="D4930" s="7" t="str">
        <f t="shared" si="1783"/>
        <v>学校</v>
      </c>
      <c r="E4930" s="7" t="str">
        <f>"大阪府吹田市藤白台５丁目"</f>
        <v>大阪府吹田市藤白台５丁目</v>
      </c>
      <c r="F4930" s="7"/>
      <c r="G4930" s="7" t="str">
        <f t="shared" si="1772"/>
        <v>事業用資産</v>
      </c>
      <c r="H4930" s="7" t="str">
        <f t="shared" si="1761"/>
        <v>棚卸以外</v>
      </c>
      <c r="I4930" s="7">
        <v>5</v>
      </c>
      <c r="J4930" s="7" t="str">
        <f>"倉庫"</f>
        <v>倉庫</v>
      </c>
      <c r="K4930" s="7" t="str">
        <f>"鉄骨造"</f>
        <v>鉄骨造</v>
      </c>
      <c r="L4930" s="7" t="str">
        <f>"S55.01.25"</f>
        <v>S55.01.25</v>
      </c>
      <c r="M4930" s="7">
        <v>100</v>
      </c>
      <c r="N4930" s="7">
        <v>7884000</v>
      </c>
      <c r="O4930" s="7">
        <v>7883999</v>
      </c>
      <c r="P4930" s="7">
        <v>0</v>
      </c>
      <c r="Q4930" s="7" t="str">
        <f t="shared" si="1773"/>
        <v>教育庁</v>
      </c>
      <c r="R4930" s="7" t="str">
        <f>"北千里高等学校"</f>
        <v>北千里高等学校</v>
      </c>
    </row>
    <row r="4931" spans="1:18" s="1" customFormat="1" x14ac:dyDescent="0.45">
      <c r="A4931" s="7" t="str">
        <f t="shared" ref="A4931:A4936" si="1784">"10384000500"</f>
        <v>10384000500</v>
      </c>
      <c r="B4931" s="7" t="str">
        <f t="shared" ref="B4931:B4936" si="1785">"山田高校"</f>
        <v>山田高校</v>
      </c>
      <c r="C4931" s="7" t="str">
        <f t="shared" si="1766"/>
        <v>行政財産</v>
      </c>
      <c r="D4931" s="7" t="str">
        <f t="shared" si="1783"/>
        <v>学校</v>
      </c>
      <c r="E4931" s="7" t="str">
        <f t="shared" ref="E4931:E4936" si="1786">"大阪府吹田市山田　東３丁目"</f>
        <v>大阪府吹田市山田　東３丁目</v>
      </c>
      <c r="F4931" s="7"/>
      <c r="G4931" s="7" t="str">
        <f t="shared" si="1772"/>
        <v>事業用資産</v>
      </c>
      <c r="H4931" s="7" t="str">
        <f t="shared" si="1761"/>
        <v>棚卸以外</v>
      </c>
      <c r="I4931" s="7">
        <v>1</v>
      </c>
      <c r="J4931" s="7" t="str">
        <f>"校舎棟"</f>
        <v>校舎棟</v>
      </c>
      <c r="K4931" s="7" t="str">
        <f t="shared" ref="K4931:K4940" si="1787">"鉄筋コンクリート造"</f>
        <v>鉄筋コンクリート造</v>
      </c>
      <c r="L4931" s="7" t="str">
        <f>"S59.03.22"</f>
        <v>S59.03.22</v>
      </c>
      <c r="M4931" s="7">
        <v>9605.94</v>
      </c>
      <c r="N4931" s="7">
        <v>1348132269</v>
      </c>
      <c r="O4931" s="7">
        <v>1025417443</v>
      </c>
      <c r="P4931" s="7">
        <v>0</v>
      </c>
      <c r="Q4931" s="7" t="str">
        <f t="shared" si="1773"/>
        <v>教育庁</v>
      </c>
      <c r="R4931" s="7" t="str">
        <f t="shared" ref="R4931:R4936" si="1788">"山田高等学校"</f>
        <v>山田高等学校</v>
      </c>
    </row>
    <row r="4932" spans="1:18" s="1" customFormat="1" x14ac:dyDescent="0.45">
      <c r="A4932" s="7" t="str">
        <f t="shared" si="1784"/>
        <v>10384000500</v>
      </c>
      <c r="B4932" s="7" t="str">
        <f t="shared" si="1785"/>
        <v>山田高校</v>
      </c>
      <c r="C4932" s="7" t="str">
        <f t="shared" si="1766"/>
        <v>行政財産</v>
      </c>
      <c r="D4932" s="7" t="str">
        <f t="shared" si="1783"/>
        <v>学校</v>
      </c>
      <c r="E4932" s="7" t="str">
        <f t="shared" si="1786"/>
        <v>大阪府吹田市山田　東３丁目</v>
      </c>
      <c r="F4932" s="7"/>
      <c r="G4932" s="7" t="str">
        <f t="shared" si="1772"/>
        <v>事業用資産</v>
      </c>
      <c r="H4932" s="7" t="str">
        <f t="shared" ref="H4932:H4995" si="1789">"棚卸以外"</f>
        <v>棚卸以外</v>
      </c>
      <c r="I4932" s="7">
        <v>2</v>
      </c>
      <c r="J4932" s="7" t="str">
        <f>"倉庫（元汚水処理場）"</f>
        <v>倉庫（元汚水処理場）</v>
      </c>
      <c r="K4932" s="7" t="str">
        <f t="shared" si="1787"/>
        <v>鉄筋コンクリート造</v>
      </c>
      <c r="L4932" s="7" t="str">
        <f>"S59.03.27"</f>
        <v>S59.03.27</v>
      </c>
      <c r="M4932" s="7">
        <v>36.1</v>
      </c>
      <c r="N4932" s="7">
        <v>22813636</v>
      </c>
      <c r="O4932" s="7">
        <v>22813635</v>
      </c>
      <c r="P4932" s="7">
        <v>0</v>
      </c>
      <c r="Q4932" s="7" t="str">
        <f t="shared" si="1773"/>
        <v>教育庁</v>
      </c>
      <c r="R4932" s="7" t="str">
        <f t="shared" si="1788"/>
        <v>山田高等学校</v>
      </c>
    </row>
    <row r="4933" spans="1:18" s="1" customFormat="1" x14ac:dyDescent="0.45">
      <c r="A4933" s="7" t="str">
        <f t="shared" si="1784"/>
        <v>10384000500</v>
      </c>
      <c r="B4933" s="7" t="str">
        <f t="shared" si="1785"/>
        <v>山田高校</v>
      </c>
      <c r="C4933" s="7" t="str">
        <f t="shared" si="1766"/>
        <v>行政財産</v>
      </c>
      <c r="D4933" s="7" t="str">
        <f t="shared" si="1783"/>
        <v>学校</v>
      </c>
      <c r="E4933" s="7" t="str">
        <f t="shared" si="1786"/>
        <v>大阪府吹田市山田　東３丁目</v>
      </c>
      <c r="F4933" s="7"/>
      <c r="G4933" s="7" t="str">
        <f t="shared" si="1772"/>
        <v>事業用資産</v>
      </c>
      <c r="H4933" s="7" t="str">
        <f t="shared" si="1789"/>
        <v>棚卸以外</v>
      </c>
      <c r="I4933" s="7">
        <v>3</v>
      </c>
      <c r="J4933" s="7" t="str">
        <f>"体育館"</f>
        <v>体育館</v>
      </c>
      <c r="K4933" s="7" t="str">
        <f t="shared" si="1787"/>
        <v>鉄筋コンクリート造</v>
      </c>
      <c r="L4933" s="7" t="str">
        <f>"S60.01.11"</f>
        <v>S60.01.11</v>
      </c>
      <c r="M4933" s="7">
        <v>3031.68</v>
      </c>
      <c r="N4933" s="7">
        <v>521343990</v>
      </c>
      <c r="O4933" s="7">
        <v>368549445</v>
      </c>
      <c r="P4933" s="7">
        <v>0</v>
      </c>
      <c r="Q4933" s="7" t="str">
        <f t="shared" si="1773"/>
        <v>教育庁</v>
      </c>
      <c r="R4933" s="7" t="str">
        <f t="shared" si="1788"/>
        <v>山田高等学校</v>
      </c>
    </row>
    <row r="4934" spans="1:18" s="1" customFormat="1" x14ac:dyDescent="0.45">
      <c r="A4934" s="7" t="str">
        <f t="shared" si="1784"/>
        <v>10384000500</v>
      </c>
      <c r="B4934" s="7" t="str">
        <f t="shared" si="1785"/>
        <v>山田高校</v>
      </c>
      <c r="C4934" s="7" t="str">
        <f t="shared" si="1766"/>
        <v>行政財産</v>
      </c>
      <c r="D4934" s="7" t="str">
        <f t="shared" si="1783"/>
        <v>学校</v>
      </c>
      <c r="E4934" s="7" t="str">
        <f t="shared" si="1786"/>
        <v>大阪府吹田市山田　東３丁目</v>
      </c>
      <c r="F4934" s="7"/>
      <c r="G4934" s="7" t="str">
        <f t="shared" si="1772"/>
        <v>事業用資産</v>
      </c>
      <c r="H4934" s="7" t="str">
        <f t="shared" si="1789"/>
        <v>棚卸以外</v>
      </c>
      <c r="I4934" s="7">
        <v>4</v>
      </c>
      <c r="J4934" s="7" t="str">
        <f>"プ－ル附属棟"</f>
        <v>プ－ル附属棟</v>
      </c>
      <c r="K4934" s="7" t="str">
        <f t="shared" si="1787"/>
        <v>鉄筋コンクリート造</v>
      </c>
      <c r="L4934" s="7" t="str">
        <f>"S60.05.31"</f>
        <v>S60.05.31</v>
      </c>
      <c r="M4934" s="7">
        <v>306.39999999999998</v>
      </c>
      <c r="N4934" s="7">
        <v>35244440</v>
      </c>
      <c r="O4934" s="7">
        <v>34956615</v>
      </c>
      <c r="P4934" s="7">
        <v>0</v>
      </c>
      <c r="Q4934" s="7" t="str">
        <f t="shared" si="1773"/>
        <v>教育庁</v>
      </c>
      <c r="R4934" s="7" t="str">
        <f t="shared" si="1788"/>
        <v>山田高等学校</v>
      </c>
    </row>
    <row r="4935" spans="1:18" s="1" customFormat="1" x14ac:dyDescent="0.45">
      <c r="A4935" s="7" t="str">
        <f t="shared" si="1784"/>
        <v>10384000500</v>
      </c>
      <c r="B4935" s="7" t="str">
        <f t="shared" si="1785"/>
        <v>山田高校</v>
      </c>
      <c r="C4935" s="7" t="str">
        <f t="shared" si="1766"/>
        <v>行政財産</v>
      </c>
      <c r="D4935" s="7" t="str">
        <f t="shared" si="1783"/>
        <v>学校</v>
      </c>
      <c r="E4935" s="7" t="str">
        <f t="shared" si="1786"/>
        <v>大阪府吹田市山田　東３丁目</v>
      </c>
      <c r="F4935" s="7"/>
      <c r="G4935" s="7" t="str">
        <f t="shared" si="1772"/>
        <v>事業用資産</v>
      </c>
      <c r="H4935" s="7" t="str">
        <f t="shared" si="1789"/>
        <v>棚卸以外</v>
      </c>
      <c r="I4935" s="7">
        <v>5</v>
      </c>
      <c r="J4935" s="7" t="str">
        <f>"図書・視聴覚棟"</f>
        <v>図書・視聴覚棟</v>
      </c>
      <c r="K4935" s="7" t="str">
        <f t="shared" si="1787"/>
        <v>鉄筋コンクリート造</v>
      </c>
      <c r="L4935" s="7" t="str">
        <f>"S61.03.31"</f>
        <v>S61.03.31</v>
      </c>
      <c r="M4935" s="7">
        <v>1009.76</v>
      </c>
      <c r="N4935" s="7">
        <v>135442216</v>
      </c>
      <c r="O4935" s="7">
        <v>103402164</v>
      </c>
      <c r="P4935" s="7">
        <v>0</v>
      </c>
      <c r="Q4935" s="7" t="str">
        <f t="shared" si="1773"/>
        <v>教育庁</v>
      </c>
      <c r="R4935" s="7" t="str">
        <f t="shared" si="1788"/>
        <v>山田高等学校</v>
      </c>
    </row>
    <row r="4936" spans="1:18" s="1" customFormat="1" x14ac:dyDescent="0.45">
      <c r="A4936" s="7" t="str">
        <f t="shared" si="1784"/>
        <v>10384000500</v>
      </c>
      <c r="B4936" s="7" t="str">
        <f t="shared" si="1785"/>
        <v>山田高校</v>
      </c>
      <c r="C4936" s="7" t="str">
        <f t="shared" si="1766"/>
        <v>行政財産</v>
      </c>
      <c r="D4936" s="7" t="str">
        <f t="shared" si="1783"/>
        <v>学校</v>
      </c>
      <c r="E4936" s="7" t="str">
        <f t="shared" si="1786"/>
        <v>大阪府吹田市山田　東３丁目</v>
      </c>
      <c r="F4936" s="7"/>
      <c r="G4936" s="7" t="str">
        <f t="shared" si="1772"/>
        <v>事業用資産</v>
      </c>
      <c r="H4936" s="7" t="str">
        <f t="shared" si="1789"/>
        <v>棚卸以外</v>
      </c>
      <c r="I4936" s="7">
        <v>6</v>
      </c>
      <c r="J4936" s="7" t="str">
        <f>"ゴミ集積場"</f>
        <v>ゴミ集積場</v>
      </c>
      <c r="K4936" s="7" t="str">
        <f t="shared" si="1787"/>
        <v>鉄筋コンクリート造</v>
      </c>
      <c r="L4936" s="7" t="str">
        <f>"S61.03.31"</f>
        <v>S61.03.31</v>
      </c>
      <c r="M4936" s="7">
        <v>9.1199999999999992</v>
      </c>
      <c r="N4936" s="7">
        <v>1440000</v>
      </c>
      <c r="O4936" s="7">
        <v>1402152</v>
      </c>
      <c r="P4936" s="7">
        <v>0</v>
      </c>
      <c r="Q4936" s="7" t="str">
        <f t="shared" si="1773"/>
        <v>教育庁</v>
      </c>
      <c r="R4936" s="7" t="str">
        <f t="shared" si="1788"/>
        <v>山田高等学校</v>
      </c>
    </row>
    <row r="4937" spans="1:18" s="1" customFormat="1" x14ac:dyDescent="0.45">
      <c r="A4937" s="7" t="str">
        <f t="shared" ref="A4937:A4952" si="1790">"10386000000"</f>
        <v>10386000000</v>
      </c>
      <c r="B4937" s="7" t="str">
        <f t="shared" ref="B4937:B4952" si="1791">"三島高等学校"</f>
        <v>三島高等学校</v>
      </c>
      <c r="C4937" s="7" t="str">
        <f t="shared" si="1766"/>
        <v>行政財産</v>
      </c>
      <c r="D4937" s="7" t="str">
        <f t="shared" si="1783"/>
        <v>学校</v>
      </c>
      <c r="E4937" s="7" t="str">
        <f t="shared" ref="E4937:E4952" si="1792">"大阪府高槻市今城町"</f>
        <v>大阪府高槻市今城町</v>
      </c>
      <c r="F4937" s="7"/>
      <c r="G4937" s="7" t="str">
        <f t="shared" si="1772"/>
        <v>事業用資産</v>
      </c>
      <c r="H4937" s="7" t="str">
        <f t="shared" si="1789"/>
        <v>棚卸以外</v>
      </c>
      <c r="I4937" s="7">
        <v>1</v>
      </c>
      <c r="J4937" s="7" t="str">
        <f>"北館"</f>
        <v>北館</v>
      </c>
      <c r="K4937" s="7" t="str">
        <f t="shared" si="1787"/>
        <v>鉄筋コンクリート造</v>
      </c>
      <c r="L4937" s="7" t="str">
        <f>"S45.02.28"</f>
        <v>S45.02.28</v>
      </c>
      <c r="M4937" s="7">
        <v>4817.1000000000004</v>
      </c>
      <c r="N4937" s="7">
        <v>301602906</v>
      </c>
      <c r="O4937" s="7">
        <v>238304453</v>
      </c>
      <c r="P4937" s="7">
        <v>0</v>
      </c>
      <c r="Q4937" s="7" t="str">
        <f t="shared" si="1773"/>
        <v>教育庁</v>
      </c>
      <c r="R4937" s="7" t="str">
        <f t="shared" ref="R4937:R4952" si="1793">"三島高等学校"</f>
        <v>三島高等学校</v>
      </c>
    </row>
    <row r="4938" spans="1:18" s="1" customFormat="1" x14ac:dyDescent="0.45">
      <c r="A4938" s="7" t="str">
        <f t="shared" si="1790"/>
        <v>10386000000</v>
      </c>
      <c r="B4938" s="7" t="str">
        <f t="shared" si="1791"/>
        <v>三島高等学校</v>
      </c>
      <c r="C4938" s="7" t="str">
        <f t="shared" si="1766"/>
        <v>行政財産</v>
      </c>
      <c r="D4938" s="7" t="str">
        <f t="shared" si="1783"/>
        <v>学校</v>
      </c>
      <c r="E4938" s="7" t="str">
        <f t="shared" si="1792"/>
        <v>大阪府高槻市今城町</v>
      </c>
      <c r="F4938" s="7"/>
      <c r="G4938" s="7" t="str">
        <f t="shared" si="1772"/>
        <v>事業用資産</v>
      </c>
      <c r="H4938" s="7" t="str">
        <f t="shared" si="1789"/>
        <v>棚卸以外</v>
      </c>
      <c r="I4938" s="7">
        <v>5</v>
      </c>
      <c r="J4938" s="7" t="str">
        <f>"消火水槽ポンプ室"</f>
        <v>消火水槽ポンプ室</v>
      </c>
      <c r="K4938" s="7" t="str">
        <f t="shared" si="1787"/>
        <v>鉄筋コンクリート造</v>
      </c>
      <c r="L4938" s="7" t="str">
        <f>"S45.02.28"</f>
        <v>S45.02.28</v>
      </c>
      <c r="M4938" s="7">
        <v>30</v>
      </c>
      <c r="N4938" s="7">
        <v>2411000</v>
      </c>
      <c r="O4938" s="7">
        <v>2410999</v>
      </c>
      <c r="P4938" s="7">
        <v>0</v>
      </c>
      <c r="Q4938" s="7" t="str">
        <f t="shared" si="1773"/>
        <v>教育庁</v>
      </c>
      <c r="R4938" s="7" t="str">
        <f t="shared" si="1793"/>
        <v>三島高等学校</v>
      </c>
    </row>
    <row r="4939" spans="1:18" s="1" customFormat="1" x14ac:dyDescent="0.45">
      <c r="A4939" s="7" t="str">
        <f t="shared" si="1790"/>
        <v>10386000000</v>
      </c>
      <c r="B4939" s="7" t="str">
        <f t="shared" si="1791"/>
        <v>三島高等学校</v>
      </c>
      <c r="C4939" s="7" t="str">
        <f t="shared" si="1766"/>
        <v>行政財産</v>
      </c>
      <c r="D4939" s="7" t="str">
        <f t="shared" si="1783"/>
        <v>学校</v>
      </c>
      <c r="E4939" s="7" t="str">
        <f t="shared" si="1792"/>
        <v>大阪府高槻市今城町</v>
      </c>
      <c r="F4939" s="7"/>
      <c r="G4939" s="7" t="str">
        <f t="shared" si="1772"/>
        <v>事業用資産</v>
      </c>
      <c r="H4939" s="7" t="str">
        <f t="shared" si="1789"/>
        <v>棚卸以外</v>
      </c>
      <c r="I4939" s="7">
        <v>8</v>
      </c>
      <c r="J4939" s="7" t="str">
        <f>"南館"</f>
        <v>南館</v>
      </c>
      <c r="K4939" s="7" t="str">
        <f t="shared" si="1787"/>
        <v>鉄筋コンクリート造</v>
      </c>
      <c r="L4939" s="7" t="str">
        <f>"S46.03.28"</f>
        <v>S46.03.28</v>
      </c>
      <c r="M4939" s="7">
        <v>4867.21</v>
      </c>
      <c r="N4939" s="7">
        <v>381498731</v>
      </c>
      <c r="O4939" s="7">
        <v>280093146</v>
      </c>
      <c r="P4939" s="7">
        <v>0</v>
      </c>
      <c r="Q4939" s="7" t="str">
        <f t="shared" si="1773"/>
        <v>教育庁</v>
      </c>
      <c r="R4939" s="7" t="str">
        <f t="shared" si="1793"/>
        <v>三島高等学校</v>
      </c>
    </row>
    <row r="4940" spans="1:18" s="1" customFormat="1" x14ac:dyDescent="0.45">
      <c r="A4940" s="7" t="str">
        <f t="shared" si="1790"/>
        <v>10386000000</v>
      </c>
      <c r="B4940" s="7" t="str">
        <f t="shared" si="1791"/>
        <v>三島高等学校</v>
      </c>
      <c r="C4940" s="7" t="str">
        <f t="shared" si="1766"/>
        <v>行政財産</v>
      </c>
      <c r="D4940" s="7" t="str">
        <f t="shared" si="1783"/>
        <v>学校</v>
      </c>
      <c r="E4940" s="7" t="str">
        <f t="shared" si="1792"/>
        <v>大阪府高槻市今城町</v>
      </c>
      <c r="F4940" s="7"/>
      <c r="G4940" s="7" t="str">
        <f t="shared" si="1772"/>
        <v>事業用資産</v>
      </c>
      <c r="H4940" s="7" t="str">
        <f t="shared" si="1789"/>
        <v>棚卸以外</v>
      </c>
      <c r="I4940" s="7">
        <v>10</v>
      </c>
      <c r="J4940" s="7" t="str">
        <f>"電気室"</f>
        <v>電気室</v>
      </c>
      <c r="K4940" s="7" t="str">
        <f t="shared" si="1787"/>
        <v>鉄筋コンクリート造</v>
      </c>
      <c r="L4940" s="7" t="str">
        <f>"S46.03.28"</f>
        <v>S46.03.28</v>
      </c>
      <c r="M4940" s="7">
        <v>45.5</v>
      </c>
      <c r="N4940" s="7">
        <v>4897000</v>
      </c>
      <c r="O4940" s="7">
        <v>4896999</v>
      </c>
      <c r="P4940" s="7">
        <v>0</v>
      </c>
      <c r="Q4940" s="7" t="str">
        <f t="shared" si="1773"/>
        <v>教育庁</v>
      </c>
      <c r="R4940" s="7" t="str">
        <f t="shared" si="1793"/>
        <v>三島高等学校</v>
      </c>
    </row>
    <row r="4941" spans="1:18" s="1" customFormat="1" x14ac:dyDescent="0.45">
      <c r="A4941" s="7" t="str">
        <f t="shared" si="1790"/>
        <v>10386000000</v>
      </c>
      <c r="B4941" s="7" t="str">
        <f t="shared" si="1791"/>
        <v>三島高等学校</v>
      </c>
      <c r="C4941" s="7" t="str">
        <f t="shared" ref="C4941:C5004" si="1794">"行政財産"</f>
        <v>行政財産</v>
      </c>
      <c r="D4941" s="7" t="str">
        <f t="shared" si="1783"/>
        <v>学校</v>
      </c>
      <c r="E4941" s="7" t="str">
        <f t="shared" si="1792"/>
        <v>大阪府高槻市今城町</v>
      </c>
      <c r="F4941" s="7"/>
      <c r="G4941" s="7" t="str">
        <f t="shared" si="1772"/>
        <v>事業用資産</v>
      </c>
      <c r="H4941" s="7" t="str">
        <f t="shared" si="1789"/>
        <v>棚卸以外</v>
      </c>
      <c r="I4941" s="7">
        <v>11</v>
      </c>
      <c r="J4941" s="7" t="str">
        <f>"倉庫"</f>
        <v>倉庫</v>
      </c>
      <c r="K4941" s="7" t="str">
        <f>"軽量鉄骨造"</f>
        <v>軽量鉄骨造</v>
      </c>
      <c r="L4941" s="7" t="str">
        <f>"S46.03.28"</f>
        <v>S46.03.28</v>
      </c>
      <c r="M4941" s="7">
        <v>77.760000000000005</v>
      </c>
      <c r="N4941" s="7">
        <v>1365000</v>
      </c>
      <c r="O4941" s="7">
        <v>1364999</v>
      </c>
      <c r="P4941" s="7">
        <v>0</v>
      </c>
      <c r="Q4941" s="7" t="str">
        <f t="shared" si="1773"/>
        <v>教育庁</v>
      </c>
      <c r="R4941" s="7" t="str">
        <f t="shared" si="1793"/>
        <v>三島高等学校</v>
      </c>
    </row>
    <row r="4942" spans="1:18" s="1" customFormat="1" x14ac:dyDescent="0.45">
      <c r="A4942" s="7" t="str">
        <f t="shared" si="1790"/>
        <v>10386000000</v>
      </c>
      <c r="B4942" s="7" t="str">
        <f t="shared" si="1791"/>
        <v>三島高等学校</v>
      </c>
      <c r="C4942" s="7" t="str">
        <f t="shared" si="1794"/>
        <v>行政財産</v>
      </c>
      <c r="D4942" s="7" t="str">
        <f t="shared" si="1783"/>
        <v>学校</v>
      </c>
      <c r="E4942" s="7" t="str">
        <f t="shared" si="1792"/>
        <v>大阪府高槻市今城町</v>
      </c>
      <c r="F4942" s="7"/>
      <c r="G4942" s="7" t="str">
        <f t="shared" si="1772"/>
        <v>事業用資産</v>
      </c>
      <c r="H4942" s="7" t="str">
        <f t="shared" si="1789"/>
        <v>棚卸以外</v>
      </c>
      <c r="I4942" s="7">
        <v>13</v>
      </c>
      <c r="J4942" s="7" t="str">
        <f>"中央渡り廊下"</f>
        <v>中央渡り廊下</v>
      </c>
      <c r="K4942" s="7" t="str">
        <f>"鉄筋コンクリート造"</f>
        <v>鉄筋コンクリート造</v>
      </c>
      <c r="L4942" s="7" t="str">
        <f>"S47.03.15"</f>
        <v>S47.03.15</v>
      </c>
      <c r="M4942" s="7">
        <v>306.60000000000002</v>
      </c>
      <c r="N4942" s="7">
        <v>18130515</v>
      </c>
      <c r="O4942" s="7">
        <v>14825419</v>
      </c>
      <c r="P4942" s="7">
        <v>0</v>
      </c>
      <c r="Q4942" s="7" t="str">
        <f t="shared" si="1773"/>
        <v>教育庁</v>
      </c>
      <c r="R4942" s="7" t="str">
        <f t="shared" si="1793"/>
        <v>三島高等学校</v>
      </c>
    </row>
    <row r="4943" spans="1:18" s="1" customFormat="1" x14ac:dyDescent="0.45">
      <c r="A4943" s="7" t="str">
        <f t="shared" si="1790"/>
        <v>10386000000</v>
      </c>
      <c r="B4943" s="7" t="str">
        <f t="shared" si="1791"/>
        <v>三島高等学校</v>
      </c>
      <c r="C4943" s="7" t="str">
        <f t="shared" si="1794"/>
        <v>行政財産</v>
      </c>
      <c r="D4943" s="7" t="str">
        <f t="shared" si="1783"/>
        <v>学校</v>
      </c>
      <c r="E4943" s="7" t="str">
        <f t="shared" si="1792"/>
        <v>大阪府高槻市今城町</v>
      </c>
      <c r="F4943" s="7"/>
      <c r="G4943" s="7" t="str">
        <f t="shared" si="1772"/>
        <v>事業用資産</v>
      </c>
      <c r="H4943" s="7" t="str">
        <f t="shared" si="1789"/>
        <v>棚卸以外</v>
      </c>
      <c r="I4943" s="7">
        <v>14</v>
      </c>
      <c r="J4943" s="7" t="str">
        <f>"食堂"</f>
        <v>食堂</v>
      </c>
      <c r="K4943" s="7" t="str">
        <f>"鉄筋コンクリート造"</f>
        <v>鉄筋コンクリート造</v>
      </c>
      <c r="L4943" s="7" t="str">
        <f>"S47.03.15"</f>
        <v>S47.03.15</v>
      </c>
      <c r="M4943" s="7">
        <v>410.39</v>
      </c>
      <c r="N4943" s="7">
        <v>25340053</v>
      </c>
      <c r="O4943" s="7">
        <v>25232921</v>
      </c>
      <c r="P4943" s="7">
        <v>0</v>
      </c>
      <c r="Q4943" s="7" t="str">
        <f t="shared" si="1773"/>
        <v>教育庁</v>
      </c>
      <c r="R4943" s="7" t="str">
        <f t="shared" si="1793"/>
        <v>三島高等学校</v>
      </c>
    </row>
    <row r="4944" spans="1:18" s="1" customFormat="1" x14ac:dyDescent="0.45">
      <c r="A4944" s="7" t="str">
        <f t="shared" si="1790"/>
        <v>10386000000</v>
      </c>
      <c r="B4944" s="7" t="str">
        <f t="shared" si="1791"/>
        <v>三島高等学校</v>
      </c>
      <c r="C4944" s="7" t="str">
        <f t="shared" si="1794"/>
        <v>行政財産</v>
      </c>
      <c r="D4944" s="7" t="str">
        <f t="shared" si="1783"/>
        <v>学校</v>
      </c>
      <c r="E4944" s="7" t="str">
        <f t="shared" si="1792"/>
        <v>大阪府高槻市今城町</v>
      </c>
      <c r="F4944" s="7"/>
      <c r="G4944" s="7" t="str">
        <f t="shared" si="1772"/>
        <v>事業用資産</v>
      </c>
      <c r="H4944" s="7" t="str">
        <f t="shared" si="1789"/>
        <v>棚卸以外</v>
      </c>
      <c r="I4944" s="7">
        <v>15</v>
      </c>
      <c r="J4944" s="7" t="str">
        <f>"体育館"</f>
        <v>体育館</v>
      </c>
      <c r="K4944" s="7" t="str">
        <f>"鉄筋コンクリート造"</f>
        <v>鉄筋コンクリート造</v>
      </c>
      <c r="L4944" s="7" t="str">
        <f>"S47.05.20"</f>
        <v>S47.05.20</v>
      </c>
      <c r="M4944" s="7">
        <v>2052.38</v>
      </c>
      <c r="N4944" s="7">
        <v>198714676</v>
      </c>
      <c r="O4944" s="7">
        <v>132726291</v>
      </c>
      <c r="P4944" s="7">
        <v>0</v>
      </c>
      <c r="Q4944" s="7" t="str">
        <f t="shared" si="1773"/>
        <v>教育庁</v>
      </c>
      <c r="R4944" s="7" t="str">
        <f t="shared" si="1793"/>
        <v>三島高等学校</v>
      </c>
    </row>
    <row r="4945" spans="1:18" s="1" customFormat="1" x14ac:dyDescent="0.45">
      <c r="A4945" s="7" t="str">
        <f t="shared" si="1790"/>
        <v>10386000000</v>
      </c>
      <c r="B4945" s="7" t="str">
        <f t="shared" si="1791"/>
        <v>三島高等学校</v>
      </c>
      <c r="C4945" s="7" t="str">
        <f t="shared" si="1794"/>
        <v>行政財産</v>
      </c>
      <c r="D4945" s="7" t="str">
        <f t="shared" si="1783"/>
        <v>学校</v>
      </c>
      <c r="E4945" s="7" t="str">
        <f t="shared" si="1792"/>
        <v>大阪府高槻市今城町</v>
      </c>
      <c r="F4945" s="7"/>
      <c r="G4945" s="7" t="str">
        <f t="shared" si="1772"/>
        <v>事業用資産</v>
      </c>
      <c r="H4945" s="7" t="str">
        <f t="shared" si="1789"/>
        <v>棚卸以外</v>
      </c>
      <c r="I4945" s="7">
        <v>17</v>
      </c>
      <c r="J4945" s="7" t="str">
        <f>"南渡り廊下"</f>
        <v>南渡り廊下</v>
      </c>
      <c r="K4945" s="7" t="str">
        <f>"鉄筋コンクリート造"</f>
        <v>鉄筋コンクリート造</v>
      </c>
      <c r="L4945" s="7" t="str">
        <f>"S47.05.20"</f>
        <v>S47.05.20</v>
      </c>
      <c r="M4945" s="7">
        <v>392</v>
      </c>
      <c r="N4945" s="7">
        <v>20294459</v>
      </c>
      <c r="O4945" s="7">
        <v>17553439</v>
      </c>
      <c r="P4945" s="7">
        <v>0</v>
      </c>
      <c r="Q4945" s="7" t="str">
        <f t="shared" si="1773"/>
        <v>教育庁</v>
      </c>
      <c r="R4945" s="7" t="str">
        <f t="shared" si="1793"/>
        <v>三島高等学校</v>
      </c>
    </row>
    <row r="4946" spans="1:18" s="1" customFormat="1" x14ac:dyDescent="0.45">
      <c r="A4946" s="7" t="str">
        <f t="shared" si="1790"/>
        <v>10386000000</v>
      </c>
      <c r="B4946" s="7" t="str">
        <f t="shared" si="1791"/>
        <v>三島高等学校</v>
      </c>
      <c r="C4946" s="7" t="str">
        <f t="shared" si="1794"/>
        <v>行政財産</v>
      </c>
      <c r="D4946" s="7" t="str">
        <f t="shared" si="1783"/>
        <v>学校</v>
      </c>
      <c r="E4946" s="7" t="str">
        <f t="shared" si="1792"/>
        <v>大阪府高槻市今城町</v>
      </c>
      <c r="F4946" s="7"/>
      <c r="G4946" s="7" t="str">
        <f t="shared" si="1772"/>
        <v>事業用資産</v>
      </c>
      <c r="H4946" s="7" t="str">
        <f t="shared" si="1789"/>
        <v>棚卸以外</v>
      </c>
      <c r="I4946" s="7">
        <v>18</v>
      </c>
      <c r="J4946" s="7" t="str">
        <f>"プール附属棟"</f>
        <v>プール附属棟</v>
      </c>
      <c r="K4946" s="7" t="str">
        <f>"コンクリートブロック造"</f>
        <v>コンクリートブロック造</v>
      </c>
      <c r="L4946" s="7" t="str">
        <f>"S47.05.20"</f>
        <v>S47.05.20</v>
      </c>
      <c r="M4946" s="7">
        <v>51</v>
      </c>
      <c r="N4946" s="7">
        <v>6373000</v>
      </c>
      <c r="O4946" s="7">
        <v>6372999</v>
      </c>
      <c r="P4946" s="7">
        <v>0</v>
      </c>
      <c r="Q4946" s="7" t="str">
        <f t="shared" si="1773"/>
        <v>教育庁</v>
      </c>
      <c r="R4946" s="7" t="str">
        <f t="shared" si="1793"/>
        <v>三島高等学校</v>
      </c>
    </row>
    <row r="4947" spans="1:18" s="1" customFormat="1" x14ac:dyDescent="0.45">
      <c r="A4947" s="7" t="str">
        <f t="shared" si="1790"/>
        <v>10386000000</v>
      </c>
      <c r="B4947" s="7" t="str">
        <f t="shared" si="1791"/>
        <v>三島高等学校</v>
      </c>
      <c r="C4947" s="7" t="str">
        <f t="shared" si="1794"/>
        <v>行政財産</v>
      </c>
      <c r="D4947" s="7" t="str">
        <f t="shared" si="1783"/>
        <v>学校</v>
      </c>
      <c r="E4947" s="7" t="str">
        <f t="shared" si="1792"/>
        <v>大阪府高槻市今城町</v>
      </c>
      <c r="F4947" s="7"/>
      <c r="G4947" s="7" t="str">
        <f t="shared" si="1772"/>
        <v>事業用資産</v>
      </c>
      <c r="H4947" s="7" t="str">
        <f t="shared" si="1789"/>
        <v>棚卸以外</v>
      </c>
      <c r="I4947" s="7">
        <v>21</v>
      </c>
      <c r="J4947" s="7" t="str">
        <f>"石灰倉庫"</f>
        <v>石灰倉庫</v>
      </c>
      <c r="K4947" s="7" t="str">
        <f>"コンクリートブロック造"</f>
        <v>コンクリートブロック造</v>
      </c>
      <c r="L4947" s="7" t="str">
        <f>"S52.05.04"</f>
        <v>S52.05.04</v>
      </c>
      <c r="M4947" s="7">
        <v>3.6</v>
      </c>
      <c r="N4947" s="7">
        <v>220000</v>
      </c>
      <c r="O4947" s="7">
        <v>219999</v>
      </c>
      <c r="P4947" s="7">
        <v>0</v>
      </c>
      <c r="Q4947" s="7" t="str">
        <f t="shared" si="1773"/>
        <v>教育庁</v>
      </c>
      <c r="R4947" s="7" t="str">
        <f t="shared" si="1793"/>
        <v>三島高等学校</v>
      </c>
    </row>
    <row r="4948" spans="1:18" s="1" customFormat="1" x14ac:dyDescent="0.45">
      <c r="A4948" s="7" t="str">
        <f t="shared" si="1790"/>
        <v>10386000000</v>
      </c>
      <c r="B4948" s="7" t="str">
        <f t="shared" si="1791"/>
        <v>三島高等学校</v>
      </c>
      <c r="C4948" s="7" t="str">
        <f t="shared" si="1794"/>
        <v>行政財産</v>
      </c>
      <c r="D4948" s="7" t="str">
        <f t="shared" si="1783"/>
        <v>学校</v>
      </c>
      <c r="E4948" s="7" t="str">
        <f t="shared" si="1792"/>
        <v>大阪府高槻市今城町</v>
      </c>
      <c r="F4948" s="7"/>
      <c r="G4948" s="7" t="str">
        <f t="shared" si="1772"/>
        <v>事業用資産</v>
      </c>
      <c r="H4948" s="7" t="str">
        <f t="shared" si="1789"/>
        <v>棚卸以外</v>
      </c>
      <c r="I4948" s="7">
        <v>22</v>
      </c>
      <c r="J4948" s="7" t="str">
        <f>"倉庫"</f>
        <v>倉庫</v>
      </c>
      <c r="K4948" s="7" t="str">
        <f>"鉄骨造"</f>
        <v>鉄骨造</v>
      </c>
      <c r="L4948" s="7" t="str">
        <f>"S55.08.27"</f>
        <v>S55.08.27</v>
      </c>
      <c r="M4948" s="7">
        <v>245.7</v>
      </c>
      <c r="N4948" s="7">
        <v>11265000</v>
      </c>
      <c r="O4948" s="7">
        <v>11264999</v>
      </c>
      <c r="P4948" s="7">
        <v>0</v>
      </c>
      <c r="Q4948" s="7" t="str">
        <f t="shared" si="1773"/>
        <v>教育庁</v>
      </c>
      <c r="R4948" s="7" t="str">
        <f t="shared" si="1793"/>
        <v>三島高等学校</v>
      </c>
    </row>
    <row r="4949" spans="1:18" s="1" customFormat="1" x14ac:dyDescent="0.45">
      <c r="A4949" s="7" t="str">
        <f t="shared" si="1790"/>
        <v>10386000000</v>
      </c>
      <c r="B4949" s="7" t="str">
        <f t="shared" si="1791"/>
        <v>三島高等学校</v>
      </c>
      <c r="C4949" s="7" t="str">
        <f t="shared" si="1794"/>
        <v>行政財産</v>
      </c>
      <c r="D4949" s="7" t="str">
        <f t="shared" si="1783"/>
        <v>学校</v>
      </c>
      <c r="E4949" s="7" t="str">
        <f t="shared" si="1792"/>
        <v>大阪府高槻市今城町</v>
      </c>
      <c r="F4949" s="7"/>
      <c r="G4949" s="7" t="str">
        <f t="shared" si="1772"/>
        <v>事業用資産</v>
      </c>
      <c r="H4949" s="7" t="str">
        <f t="shared" si="1789"/>
        <v>棚卸以外</v>
      </c>
      <c r="I4949" s="7">
        <v>23</v>
      </c>
      <c r="J4949" s="7" t="str">
        <f>"東館"</f>
        <v>東館</v>
      </c>
      <c r="K4949" s="7" t="str">
        <f>"鉄筋コンクリート造"</f>
        <v>鉄筋コンクリート造</v>
      </c>
      <c r="L4949" s="7" t="str">
        <f>"S58.12.20"</f>
        <v>S58.12.20</v>
      </c>
      <c r="M4949" s="7">
        <v>774.06</v>
      </c>
      <c r="N4949" s="7">
        <v>111806108</v>
      </c>
      <c r="O4949" s="7">
        <v>91000014</v>
      </c>
      <c r="P4949" s="7">
        <v>0</v>
      </c>
      <c r="Q4949" s="7" t="str">
        <f t="shared" si="1773"/>
        <v>教育庁</v>
      </c>
      <c r="R4949" s="7" t="str">
        <f t="shared" si="1793"/>
        <v>三島高等学校</v>
      </c>
    </row>
    <row r="4950" spans="1:18" s="1" customFormat="1" x14ac:dyDescent="0.45">
      <c r="A4950" s="7" t="str">
        <f t="shared" si="1790"/>
        <v>10386000000</v>
      </c>
      <c r="B4950" s="7" t="str">
        <f t="shared" si="1791"/>
        <v>三島高等学校</v>
      </c>
      <c r="C4950" s="7" t="str">
        <f t="shared" si="1794"/>
        <v>行政財産</v>
      </c>
      <c r="D4950" s="7" t="str">
        <f t="shared" si="1783"/>
        <v>学校</v>
      </c>
      <c r="E4950" s="7" t="str">
        <f t="shared" si="1792"/>
        <v>大阪府高槻市今城町</v>
      </c>
      <c r="F4950" s="7"/>
      <c r="G4950" s="7" t="str">
        <f t="shared" si="1772"/>
        <v>事業用資産</v>
      </c>
      <c r="H4950" s="7" t="str">
        <f t="shared" si="1789"/>
        <v>棚卸以外</v>
      </c>
      <c r="I4950" s="7">
        <v>24</v>
      </c>
      <c r="J4950" s="7" t="str">
        <f>"汚水処理場"</f>
        <v>汚水処理場</v>
      </c>
      <c r="K4950" s="7" t="str">
        <f>"鉄筋コンクリート造"</f>
        <v>鉄筋コンクリート造</v>
      </c>
      <c r="L4950" s="7" t="str">
        <f>"S58.12.20"</f>
        <v>S58.12.20</v>
      </c>
      <c r="M4950" s="7">
        <v>113.55</v>
      </c>
      <c r="N4950" s="7">
        <v>66469000</v>
      </c>
      <c r="O4950" s="7">
        <v>66468999</v>
      </c>
      <c r="P4950" s="7">
        <v>0</v>
      </c>
      <c r="Q4950" s="7" t="str">
        <f t="shared" si="1773"/>
        <v>教育庁</v>
      </c>
      <c r="R4950" s="7" t="str">
        <f t="shared" si="1793"/>
        <v>三島高等学校</v>
      </c>
    </row>
    <row r="4951" spans="1:18" s="1" customFormat="1" x14ac:dyDescent="0.45">
      <c r="A4951" s="7" t="str">
        <f t="shared" si="1790"/>
        <v>10386000000</v>
      </c>
      <c r="B4951" s="7" t="str">
        <f t="shared" si="1791"/>
        <v>三島高等学校</v>
      </c>
      <c r="C4951" s="7" t="str">
        <f t="shared" si="1794"/>
        <v>行政財産</v>
      </c>
      <c r="D4951" s="7" t="str">
        <f t="shared" si="1783"/>
        <v>学校</v>
      </c>
      <c r="E4951" s="7" t="str">
        <f t="shared" si="1792"/>
        <v>大阪府高槻市今城町</v>
      </c>
      <c r="F4951" s="7"/>
      <c r="G4951" s="7" t="str">
        <f t="shared" ref="G4951:G5014" si="1795">"事業用資産"</f>
        <v>事業用資産</v>
      </c>
      <c r="H4951" s="7" t="str">
        <f t="shared" si="1789"/>
        <v>棚卸以外</v>
      </c>
      <c r="I4951" s="7">
        <v>25</v>
      </c>
      <c r="J4951" s="7" t="str">
        <f>"受水ポンプ室"</f>
        <v>受水ポンプ室</v>
      </c>
      <c r="K4951" s="7" t="str">
        <f>"鉄筋コンクリート造"</f>
        <v>鉄筋コンクリート造</v>
      </c>
      <c r="L4951" s="7" t="str">
        <f>"S58.12.20"</f>
        <v>S58.12.20</v>
      </c>
      <c r="M4951" s="7">
        <v>31.31</v>
      </c>
      <c r="N4951" s="7">
        <v>13661000</v>
      </c>
      <c r="O4951" s="7">
        <v>13660999</v>
      </c>
      <c r="P4951" s="7">
        <v>0</v>
      </c>
      <c r="Q4951" s="7" t="str">
        <f t="shared" si="1773"/>
        <v>教育庁</v>
      </c>
      <c r="R4951" s="7" t="str">
        <f t="shared" si="1793"/>
        <v>三島高等学校</v>
      </c>
    </row>
    <row r="4952" spans="1:18" s="1" customFormat="1" x14ac:dyDescent="0.45">
      <c r="A4952" s="7" t="str">
        <f t="shared" si="1790"/>
        <v>10386000000</v>
      </c>
      <c r="B4952" s="7" t="str">
        <f t="shared" si="1791"/>
        <v>三島高等学校</v>
      </c>
      <c r="C4952" s="7" t="str">
        <f t="shared" si="1794"/>
        <v>行政財産</v>
      </c>
      <c r="D4952" s="7" t="str">
        <f t="shared" si="1783"/>
        <v>学校</v>
      </c>
      <c r="E4952" s="7" t="str">
        <f t="shared" si="1792"/>
        <v>大阪府高槻市今城町</v>
      </c>
      <c r="F4952" s="7"/>
      <c r="G4952" s="7" t="str">
        <f t="shared" si="1795"/>
        <v>事業用資産</v>
      </c>
      <c r="H4952" s="7" t="str">
        <f t="shared" si="1789"/>
        <v>棚卸以外</v>
      </c>
      <c r="I4952" s="7">
        <v>26</v>
      </c>
      <c r="J4952" s="7" t="str">
        <f>"プール更衣室"</f>
        <v>プール更衣室</v>
      </c>
      <c r="K4952" s="7" t="str">
        <f>"鉄骨造"</f>
        <v>鉄骨造</v>
      </c>
      <c r="L4952" s="7" t="str">
        <f>"H02.03.31"</f>
        <v>H02.03.31</v>
      </c>
      <c r="M4952" s="7">
        <v>60</v>
      </c>
      <c r="N4952" s="7">
        <v>11881000</v>
      </c>
      <c r="O4952" s="7">
        <v>11531916</v>
      </c>
      <c r="P4952" s="7">
        <v>0</v>
      </c>
      <c r="Q4952" s="7" t="str">
        <f t="shared" si="1773"/>
        <v>教育庁</v>
      </c>
      <c r="R4952" s="7" t="str">
        <f t="shared" si="1793"/>
        <v>三島高等学校</v>
      </c>
    </row>
    <row r="4953" spans="1:18" s="1" customFormat="1" x14ac:dyDescent="0.45">
      <c r="A4953" s="7" t="str">
        <f t="shared" ref="A4953:A4960" si="1796">"10388000000"</f>
        <v>10388000000</v>
      </c>
      <c r="B4953" s="7" t="str">
        <f t="shared" ref="B4953:B4960" si="1797">"高槻北高等学校"</f>
        <v>高槻北高等学校</v>
      </c>
      <c r="C4953" s="7" t="str">
        <f t="shared" si="1794"/>
        <v>行政財産</v>
      </c>
      <c r="D4953" s="7" t="str">
        <f t="shared" si="1783"/>
        <v>学校</v>
      </c>
      <c r="E4953" s="7" t="str">
        <f t="shared" ref="E4953:E4960" si="1798">"大阪府高槻市別所本町"</f>
        <v>大阪府高槻市別所本町</v>
      </c>
      <c r="F4953" s="7"/>
      <c r="G4953" s="7" t="str">
        <f t="shared" si="1795"/>
        <v>事業用資産</v>
      </c>
      <c r="H4953" s="7" t="str">
        <f t="shared" si="1789"/>
        <v>棚卸以外</v>
      </c>
      <c r="I4953" s="7">
        <v>1</v>
      </c>
      <c r="J4953" s="7" t="str">
        <f>"管理普通特別教室棟"</f>
        <v>管理普通特別教室棟</v>
      </c>
      <c r="K4953" s="7" t="str">
        <f>"鉄筋コンクリート造"</f>
        <v>鉄筋コンクリート造</v>
      </c>
      <c r="L4953" s="7" t="str">
        <f>"S52.03.31"</f>
        <v>S52.03.31</v>
      </c>
      <c r="M4953" s="7">
        <v>10959.95</v>
      </c>
      <c r="N4953" s="7">
        <v>1151110431</v>
      </c>
      <c r="O4953" s="7">
        <v>996006456</v>
      </c>
      <c r="P4953" s="7">
        <v>0</v>
      </c>
      <c r="Q4953" s="7" t="str">
        <f t="shared" si="1773"/>
        <v>教育庁</v>
      </c>
      <c r="R4953" s="7" t="str">
        <f t="shared" ref="R4953:R4960" si="1799">"高槻北高等学校"</f>
        <v>高槻北高等学校</v>
      </c>
    </row>
    <row r="4954" spans="1:18" s="1" customFormat="1" x14ac:dyDescent="0.45">
      <c r="A4954" s="7" t="str">
        <f t="shared" si="1796"/>
        <v>10388000000</v>
      </c>
      <c r="B4954" s="7" t="str">
        <f t="shared" si="1797"/>
        <v>高槻北高等学校</v>
      </c>
      <c r="C4954" s="7" t="str">
        <f t="shared" si="1794"/>
        <v>行政財産</v>
      </c>
      <c r="D4954" s="7" t="str">
        <f t="shared" si="1783"/>
        <v>学校</v>
      </c>
      <c r="E4954" s="7" t="str">
        <f t="shared" si="1798"/>
        <v>大阪府高槻市別所本町</v>
      </c>
      <c r="F4954" s="7"/>
      <c r="G4954" s="7" t="str">
        <f t="shared" si="1795"/>
        <v>事業用資産</v>
      </c>
      <c r="H4954" s="7" t="str">
        <f t="shared" si="1789"/>
        <v>棚卸以外</v>
      </c>
      <c r="I4954" s="7">
        <v>2</v>
      </c>
      <c r="J4954" s="7" t="str">
        <f>"倉庫"</f>
        <v>倉庫</v>
      </c>
      <c r="K4954" s="7" t="str">
        <f>"鉄骨造"</f>
        <v>鉄骨造</v>
      </c>
      <c r="L4954" s="7" t="str">
        <f>"S52.03.31"</f>
        <v>S52.03.31</v>
      </c>
      <c r="M4954" s="7">
        <v>100</v>
      </c>
      <c r="N4954" s="7">
        <v>5560000</v>
      </c>
      <c r="O4954" s="7">
        <v>5559999</v>
      </c>
      <c r="P4954" s="7">
        <v>0</v>
      </c>
      <c r="Q4954" s="7" t="str">
        <f t="shared" si="1773"/>
        <v>教育庁</v>
      </c>
      <c r="R4954" s="7" t="str">
        <f t="shared" si="1799"/>
        <v>高槻北高等学校</v>
      </c>
    </row>
    <row r="4955" spans="1:18" s="1" customFormat="1" x14ac:dyDescent="0.45">
      <c r="A4955" s="7" t="str">
        <f t="shared" si="1796"/>
        <v>10388000000</v>
      </c>
      <c r="B4955" s="7" t="str">
        <f t="shared" si="1797"/>
        <v>高槻北高等学校</v>
      </c>
      <c r="C4955" s="7" t="str">
        <f t="shared" si="1794"/>
        <v>行政財産</v>
      </c>
      <c r="D4955" s="7" t="str">
        <f t="shared" si="1783"/>
        <v>学校</v>
      </c>
      <c r="E4955" s="7" t="str">
        <f t="shared" si="1798"/>
        <v>大阪府高槻市別所本町</v>
      </c>
      <c r="F4955" s="7"/>
      <c r="G4955" s="7" t="str">
        <f t="shared" si="1795"/>
        <v>事業用資産</v>
      </c>
      <c r="H4955" s="7" t="str">
        <f t="shared" si="1789"/>
        <v>棚卸以外</v>
      </c>
      <c r="I4955" s="7">
        <v>4</v>
      </c>
      <c r="J4955" s="7" t="str">
        <f>"プール附属棟"</f>
        <v>プール附属棟</v>
      </c>
      <c r="K4955" s="7" t="str">
        <f>"鉄筋コンクリート造"</f>
        <v>鉄筋コンクリート造</v>
      </c>
      <c r="L4955" s="7" t="str">
        <f>"S53.06.30"</f>
        <v>S53.06.30</v>
      </c>
      <c r="M4955" s="7">
        <v>138</v>
      </c>
      <c r="N4955" s="7">
        <v>44028000</v>
      </c>
      <c r="O4955" s="7">
        <v>40262601</v>
      </c>
      <c r="P4955" s="7">
        <v>0</v>
      </c>
      <c r="Q4955" s="7" t="str">
        <f t="shared" ref="Q4955:Q5018" si="1800">"教育庁"</f>
        <v>教育庁</v>
      </c>
      <c r="R4955" s="7" t="str">
        <f t="shared" si="1799"/>
        <v>高槻北高等学校</v>
      </c>
    </row>
    <row r="4956" spans="1:18" s="1" customFormat="1" x14ac:dyDescent="0.45">
      <c r="A4956" s="7" t="str">
        <f t="shared" si="1796"/>
        <v>10388000000</v>
      </c>
      <c r="B4956" s="7" t="str">
        <f t="shared" si="1797"/>
        <v>高槻北高等学校</v>
      </c>
      <c r="C4956" s="7" t="str">
        <f t="shared" si="1794"/>
        <v>行政財産</v>
      </c>
      <c r="D4956" s="7" t="str">
        <f t="shared" si="1783"/>
        <v>学校</v>
      </c>
      <c r="E4956" s="7" t="str">
        <f t="shared" si="1798"/>
        <v>大阪府高槻市別所本町</v>
      </c>
      <c r="F4956" s="7"/>
      <c r="G4956" s="7" t="str">
        <f t="shared" si="1795"/>
        <v>事業用資産</v>
      </c>
      <c r="H4956" s="7" t="str">
        <f t="shared" si="1789"/>
        <v>棚卸以外</v>
      </c>
      <c r="I4956" s="7">
        <v>5</v>
      </c>
      <c r="J4956" s="7" t="str">
        <f>"倉庫"</f>
        <v>倉庫</v>
      </c>
      <c r="K4956" s="7" t="str">
        <f>"鉄骨造"</f>
        <v>鉄骨造</v>
      </c>
      <c r="L4956" s="7" t="str">
        <f>"S53.06.30"</f>
        <v>S53.06.30</v>
      </c>
      <c r="M4956" s="7">
        <v>100</v>
      </c>
      <c r="N4956" s="7">
        <v>6020000</v>
      </c>
      <c r="O4956" s="7">
        <v>6019999</v>
      </c>
      <c r="P4956" s="7">
        <v>0</v>
      </c>
      <c r="Q4956" s="7" t="str">
        <f t="shared" si="1800"/>
        <v>教育庁</v>
      </c>
      <c r="R4956" s="7" t="str">
        <f t="shared" si="1799"/>
        <v>高槻北高等学校</v>
      </c>
    </row>
    <row r="4957" spans="1:18" s="1" customFormat="1" x14ac:dyDescent="0.45">
      <c r="A4957" s="7" t="str">
        <f t="shared" si="1796"/>
        <v>10388000000</v>
      </c>
      <c r="B4957" s="7" t="str">
        <f t="shared" si="1797"/>
        <v>高槻北高等学校</v>
      </c>
      <c r="C4957" s="7" t="str">
        <f t="shared" si="1794"/>
        <v>行政財産</v>
      </c>
      <c r="D4957" s="7" t="str">
        <f t="shared" si="1783"/>
        <v>学校</v>
      </c>
      <c r="E4957" s="7" t="str">
        <f t="shared" si="1798"/>
        <v>大阪府高槻市別所本町</v>
      </c>
      <c r="F4957" s="7"/>
      <c r="G4957" s="7" t="str">
        <f t="shared" si="1795"/>
        <v>事業用資産</v>
      </c>
      <c r="H4957" s="7" t="str">
        <f t="shared" si="1789"/>
        <v>棚卸以外</v>
      </c>
      <c r="I4957" s="7">
        <v>7</v>
      </c>
      <c r="J4957" s="7" t="str">
        <f>"体育館"</f>
        <v>体育館</v>
      </c>
      <c r="K4957" s="7" t="str">
        <f>"鉄筋コンクリート造"</f>
        <v>鉄筋コンクリート造</v>
      </c>
      <c r="L4957" s="7" t="str">
        <f>"S53.09.25"</f>
        <v>S53.09.25</v>
      </c>
      <c r="M4957" s="7">
        <v>3034.84</v>
      </c>
      <c r="N4957" s="7">
        <v>419459777</v>
      </c>
      <c r="O4957" s="7">
        <v>316277557</v>
      </c>
      <c r="P4957" s="7">
        <v>0</v>
      </c>
      <c r="Q4957" s="7" t="str">
        <f t="shared" si="1800"/>
        <v>教育庁</v>
      </c>
      <c r="R4957" s="7" t="str">
        <f t="shared" si="1799"/>
        <v>高槻北高等学校</v>
      </c>
    </row>
    <row r="4958" spans="1:18" s="1" customFormat="1" x14ac:dyDescent="0.45">
      <c r="A4958" s="7" t="str">
        <f t="shared" si="1796"/>
        <v>10388000000</v>
      </c>
      <c r="B4958" s="7" t="str">
        <f t="shared" si="1797"/>
        <v>高槻北高等学校</v>
      </c>
      <c r="C4958" s="7" t="str">
        <f t="shared" si="1794"/>
        <v>行政財産</v>
      </c>
      <c r="D4958" s="7" t="str">
        <f t="shared" si="1783"/>
        <v>学校</v>
      </c>
      <c r="E4958" s="7" t="str">
        <f t="shared" si="1798"/>
        <v>大阪府高槻市別所本町</v>
      </c>
      <c r="F4958" s="7"/>
      <c r="G4958" s="7" t="str">
        <f t="shared" si="1795"/>
        <v>事業用資産</v>
      </c>
      <c r="H4958" s="7" t="str">
        <f t="shared" si="1789"/>
        <v>棚卸以外</v>
      </c>
      <c r="I4958" s="7">
        <v>11</v>
      </c>
      <c r="J4958" s="7" t="str">
        <f>"ごみ置場"</f>
        <v>ごみ置場</v>
      </c>
      <c r="K4958" s="7" t="str">
        <f>"コンクリートブロック造"</f>
        <v>コンクリートブロック造</v>
      </c>
      <c r="L4958" s="7" t="str">
        <f>"S62.03.31"</f>
        <v>S62.03.31</v>
      </c>
      <c r="M4958" s="7">
        <v>13.12</v>
      </c>
      <c r="N4958" s="7">
        <v>997000</v>
      </c>
      <c r="O4958" s="7">
        <v>996999</v>
      </c>
      <c r="P4958" s="7">
        <v>0</v>
      </c>
      <c r="Q4958" s="7" t="str">
        <f t="shared" si="1800"/>
        <v>教育庁</v>
      </c>
      <c r="R4958" s="7" t="str">
        <f t="shared" si="1799"/>
        <v>高槻北高等学校</v>
      </c>
    </row>
    <row r="4959" spans="1:18" s="1" customFormat="1" x14ac:dyDescent="0.45">
      <c r="A4959" s="7" t="str">
        <f t="shared" si="1796"/>
        <v>10388000000</v>
      </c>
      <c r="B4959" s="7" t="str">
        <f t="shared" si="1797"/>
        <v>高槻北高等学校</v>
      </c>
      <c r="C4959" s="7" t="str">
        <f t="shared" si="1794"/>
        <v>行政財産</v>
      </c>
      <c r="D4959" s="7" t="str">
        <f t="shared" si="1783"/>
        <v>学校</v>
      </c>
      <c r="E4959" s="7" t="str">
        <f t="shared" si="1798"/>
        <v>大阪府高槻市別所本町</v>
      </c>
      <c r="F4959" s="7"/>
      <c r="G4959" s="7" t="str">
        <f t="shared" si="1795"/>
        <v>事業用資産</v>
      </c>
      <c r="H4959" s="7" t="str">
        <f t="shared" si="1789"/>
        <v>棚卸以外</v>
      </c>
      <c r="I4959" s="7">
        <v>12</v>
      </c>
      <c r="J4959" s="7" t="str">
        <f>"部共同倉庫"</f>
        <v>部共同倉庫</v>
      </c>
      <c r="K4959" s="7" t="str">
        <f>"コンクリートブロック造"</f>
        <v>コンクリートブロック造</v>
      </c>
      <c r="L4959" s="7" t="str">
        <f>"H08.11.14"</f>
        <v>H08.11.14</v>
      </c>
      <c r="M4959" s="7">
        <v>53.34</v>
      </c>
      <c r="N4959" s="7">
        <v>2154000</v>
      </c>
      <c r="O4959" s="7">
        <v>1668480</v>
      </c>
      <c r="P4959" s="7">
        <v>0</v>
      </c>
      <c r="Q4959" s="7" t="str">
        <f t="shared" si="1800"/>
        <v>教育庁</v>
      </c>
      <c r="R4959" s="7" t="str">
        <f t="shared" si="1799"/>
        <v>高槻北高等学校</v>
      </c>
    </row>
    <row r="4960" spans="1:18" s="1" customFormat="1" x14ac:dyDescent="0.45">
      <c r="A4960" s="7" t="str">
        <f t="shared" si="1796"/>
        <v>10388000000</v>
      </c>
      <c r="B4960" s="7" t="str">
        <f t="shared" si="1797"/>
        <v>高槻北高等学校</v>
      </c>
      <c r="C4960" s="7" t="str">
        <f t="shared" si="1794"/>
        <v>行政財産</v>
      </c>
      <c r="D4960" s="7" t="str">
        <f t="shared" si="1783"/>
        <v>学校</v>
      </c>
      <c r="E4960" s="7" t="str">
        <f t="shared" si="1798"/>
        <v>大阪府高槻市別所本町</v>
      </c>
      <c r="F4960" s="7"/>
      <c r="G4960" s="7" t="str">
        <f t="shared" si="1795"/>
        <v>事業用資産</v>
      </c>
      <c r="H4960" s="7" t="str">
        <f t="shared" si="1789"/>
        <v>棚卸以外</v>
      </c>
      <c r="I4960" s="7">
        <v>13</v>
      </c>
      <c r="J4960" s="7" t="str">
        <f>"部共同倉庫"</f>
        <v>部共同倉庫</v>
      </c>
      <c r="K4960" s="7" t="str">
        <f>"コンクリートブロック造"</f>
        <v>コンクリートブロック造</v>
      </c>
      <c r="L4960" s="7" t="str">
        <f>"H08.11.14"</f>
        <v>H08.11.14</v>
      </c>
      <c r="M4960" s="7">
        <v>53.34</v>
      </c>
      <c r="N4960" s="7">
        <v>2154000</v>
      </c>
      <c r="O4960" s="7">
        <v>1668480</v>
      </c>
      <c r="P4960" s="7">
        <v>0</v>
      </c>
      <c r="Q4960" s="7" t="str">
        <f t="shared" si="1800"/>
        <v>教育庁</v>
      </c>
      <c r="R4960" s="7" t="str">
        <f t="shared" si="1799"/>
        <v>高槻北高等学校</v>
      </c>
    </row>
    <row r="4961" spans="1:18" s="1" customFormat="1" x14ac:dyDescent="0.45">
      <c r="A4961" s="7" t="str">
        <f t="shared" ref="A4961:A4966" si="1801">"10389000000"</f>
        <v>10389000000</v>
      </c>
      <c r="B4961" s="7" t="str">
        <f t="shared" ref="B4961:B4966" si="1802">"芥川高等学校"</f>
        <v>芥川高等学校</v>
      </c>
      <c r="C4961" s="7" t="str">
        <f t="shared" si="1794"/>
        <v>行政財産</v>
      </c>
      <c r="D4961" s="7" t="str">
        <f t="shared" si="1783"/>
        <v>学校</v>
      </c>
      <c r="E4961" s="7" t="str">
        <f t="shared" ref="E4961:E4966" si="1803">"大阪府高槻市浦堂１丁目"</f>
        <v>大阪府高槻市浦堂１丁目</v>
      </c>
      <c r="F4961" s="7"/>
      <c r="G4961" s="7" t="str">
        <f t="shared" si="1795"/>
        <v>事業用資産</v>
      </c>
      <c r="H4961" s="7" t="str">
        <f t="shared" si="1789"/>
        <v>棚卸以外</v>
      </c>
      <c r="I4961" s="7">
        <v>2</v>
      </c>
      <c r="J4961" s="7" t="str">
        <f>"校舎"</f>
        <v>校舎</v>
      </c>
      <c r="K4961" s="7" t="str">
        <f>"鉄筋コンクリート造"</f>
        <v>鉄筋コンクリート造</v>
      </c>
      <c r="L4961" s="7" t="str">
        <f>"S55.05.31"</f>
        <v>S55.05.31</v>
      </c>
      <c r="M4961" s="7">
        <v>10967.52</v>
      </c>
      <c r="N4961" s="7">
        <v>1246423219</v>
      </c>
      <c r="O4961" s="7">
        <v>1002792334</v>
      </c>
      <c r="P4961" s="7">
        <v>0</v>
      </c>
      <c r="Q4961" s="7" t="str">
        <f t="shared" si="1800"/>
        <v>教育庁</v>
      </c>
      <c r="R4961" s="7" t="str">
        <f t="shared" ref="R4961:R4966" si="1804">"芥川高等学校"</f>
        <v>芥川高等学校</v>
      </c>
    </row>
    <row r="4962" spans="1:18" s="1" customFormat="1" x14ac:dyDescent="0.45">
      <c r="A4962" s="7" t="str">
        <f t="shared" si="1801"/>
        <v>10389000000</v>
      </c>
      <c r="B4962" s="7" t="str">
        <f t="shared" si="1802"/>
        <v>芥川高等学校</v>
      </c>
      <c r="C4962" s="7" t="str">
        <f t="shared" si="1794"/>
        <v>行政財産</v>
      </c>
      <c r="D4962" s="7" t="str">
        <f t="shared" si="1783"/>
        <v>学校</v>
      </c>
      <c r="E4962" s="7" t="str">
        <f t="shared" si="1803"/>
        <v>大阪府高槻市浦堂１丁目</v>
      </c>
      <c r="F4962" s="7"/>
      <c r="G4962" s="7" t="str">
        <f t="shared" si="1795"/>
        <v>事業用資産</v>
      </c>
      <c r="H4962" s="7" t="str">
        <f t="shared" si="1789"/>
        <v>棚卸以外</v>
      </c>
      <c r="I4962" s="7">
        <v>3</v>
      </c>
      <c r="J4962" s="7" t="str">
        <f>"プール附属棟"</f>
        <v>プール附属棟</v>
      </c>
      <c r="K4962" s="7" t="str">
        <f>"鉄筋コンクリート造"</f>
        <v>鉄筋コンクリート造</v>
      </c>
      <c r="L4962" s="7" t="str">
        <f>"S56.03.31"</f>
        <v>S56.03.31</v>
      </c>
      <c r="M4962" s="7">
        <v>138</v>
      </c>
      <c r="N4962" s="7">
        <v>37840580</v>
      </c>
      <c r="O4962" s="7">
        <v>37721808</v>
      </c>
      <c r="P4962" s="7">
        <v>0</v>
      </c>
      <c r="Q4962" s="7" t="str">
        <f t="shared" si="1800"/>
        <v>教育庁</v>
      </c>
      <c r="R4962" s="7" t="str">
        <f t="shared" si="1804"/>
        <v>芥川高等学校</v>
      </c>
    </row>
    <row r="4963" spans="1:18" s="1" customFormat="1" x14ac:dyDescent="0.45">
      <c r="A4963" s="7" t="str">
        <f t="shared" si="1801"/>
        <v>10389000000</v>
      </c>
      <c r="B4963" s="7" t="str">
        <f t="shared" si="1802"/>
        <v>芥川高等学校</v>
      </c>
      <c r="C4963" s="7" t="str">
        <f t="shared" si="1794"/>
        <v>行政財産</v>
      </c>
      <c r="D4963" s="7" t="str">
        <f t="shared" si="1783"/>
        <v>学校</v>
      </c>
      <c r="E4963" s="7" t="str">
        <f t="shared" si="1803"/>
        <v>大阪府高槻市浦堂１丁目</v>
      </c>
      <c r="F4963" s="7"/>
      <c r="G4963" s="7" t="str">
        <f t="shared" si="1795"/>
        <v>事業用資産</v>
      </c>
      <c r="H4963" s="7" t="str">
        <f t="shared" si="1789"/>
        <v>棚卸以外</v>
      </c>
      <c r="I4963" s="7">
        <v>4</v>
      </c>
      <c r="J4963" s="7" t="str">
        <f>"体育館"</f>
        <v>体育館</v>
      </c>
      <c r="K4963" s="7" t="str">
        <f>"鉄筋コンクリート造"</f>
        <v>鉄筋コンクリート造</v>
      </c>
      <c r="L4963" s="7" t="str">
        <f>"S56.05.21"</f>
        <v>S56.05.21</v>
      </c>
      <c r="M4963" s="7">
        <v>3053.89</v>
      </c>
      <c r="N4963" s="7">
        <v>510508288</v>
      </c>
      <c r="O4963" s="7">
        <v>390002326</v>
      </c>
      <c r="P4963" s="7">
        <v>0</v>
      </c>
      <c r="Q4963" s="7" t="str">
        <f t="shared" si="1800"/>
        <v>教育庁</v>
      </c>
      <c r="R4963" s="7" t="str">
        <f t="shared" si="1804"/>
        <v>芥川高等学校</v>
      </c>
    </row>
    <row r="4964" spans="1:18" s="1" customFormat="1" x14ac:dyDescent="0.45">
      <c r="A4964" s="7" t="str">
        <f t="shared" si="1801"/>
        <v>10389000000</v>
      </c>
      <c r="B4964" s="7" t="str">
        <f t="shared" si="1802"/>
        <v>芥川高等学校</v>
      </c>
      <c r="C4964" s="7" t="str">
        <f t="shared" si="1794"/>
        <v>行政財産</v>
      </c>
      <c r="D4964" s="7" t="str">
        <f t="shared" si="1783"/>
        <v>学校</v>
      </c>
      <c r="E4964" s="7" t="str">
        <f t="shared" si="1803"/>
        <v>大阪府高槻市浦堂１丁目</v>
      </c>
      <c r="F4964" s="7"/>
      <c r="G4964" s="7" t="str">
        <f t="shared" si="1795"/>
        <v>事業用資産</v>
      </c>
      <c r="H4964" s="7" t="str">
        <f t="shared" si="1789"/>
        <v>棚卸以外</v>
      </c>
      <c r="I4964" s="7">
        <v>6</v>
      </c>
      <c r="J4964" s="7" t="str">
        <f>"倉庫１"</f>
        <v>倉庫１</v>
      </c>
      <c r="K4964" s="7" t="str">
        <f>"鉄骨造"</f>
        <v>鉄骨造</v>
      </c>
      <c r="L4964" s="7" t="str">
        <f>"S57.02.27"</f>
        <v>S57.02.27</v>
      </c>
      <c r="M4964" s="7">
        <v>130.97999999999999</v>
      </c>
      <c r="N4964" s="7">
        <v>8851000</v>
      </c>
      <c r="O4964" s="7">
        <v>8850999</v>
      </c>
      <c r="P4964" s="7">
        <v>0</v>
      </c>
      <c r="Q4964" s="7" t="str">
        <f t="shared" si="1800"/>
        <v>教育庁</v>
      </c>
      <c r="R4964" s="7" t="str">
        <f t="shared" si="1804"/>
        <v>芥川高等学校</v>
      </c>
    </row>
    <row r="4965" spans="1:18" s="1" customFormat="1" x14ac:dyDescent="0.45">
      <c r="A4965" s="7" t="str">
        <f t="shared" si="1801"/>
        <v>10389000000</v>
      </c>
      <c r="B4965" s="7" t="str">
        <f t="shared" si="1802"/>
        <v>芥川高等学校</v>
      </c>
      <c r="C4965" s="7" t="str">
        <f t="shared" si="1794"/>
        <v>行政財産</v>
      </c>
      <c r="D4965" s="7" t="str">
        <f t="shared" si="1783"/>
        <v>学校</v>
      </c>
      <c r="E4965" s="7" t="str">
        <f t="shared" si="1803"/>
        <v>大阪府高槻市浦堂１丁目</v>
      </c>
      <c r="F4965" s="7"/>
      <c r="G4965" s="7" t="str">
        <f t="shared" si="1795"/>
        <v>事業用資産</v>
      </c>
      <c r="H4965" s="7" t="str">
        <f t="shared" si="1789"/>
        <v>棚卸以外</v>
      </c>
      <c r="I4965" s="7">
        <v>7</v>
      </c>
      <c r="J4965" s="7" t="str">
        <f>"倉庫２"</f>
        <v>倉庫２</v>
      </c>
      <c r="K4965" s="7" t="str">
        <f>"鉄骨造"</f>
        <v>鉄骨造</v>
      </c>
      <c r="L4965" s="7" t="str">
        <f>"S57.02.27"</f>
        <v>S57.02.27</v>
      </c>
      <c r="M4965" s="7">
        <v>65.569999999999993</v>
      </c>
      <c r="N4965" s="7">
        <v>4430000</v>
      </c>
      <c r="O4965" s="7">
        <v>4429999</v>
      </c>
      <c r="P4965" s="7">
        <v>0</v>
      </c>
      <c r="Q4965" s="7" t="str">
        <f t="shared" si="1800"/>
        <v>教育庁</v>
      </c>
      <c r="R4965" s="7" t="str">
        <f t="shared" si="1804"/>
        <v>芥川高等学校</v>
      </c>
    </row>
    <row r="4966" spans="1:18" s="1" customFormat="1" x14ac:dyDescent="0.45">
      <c r="A4966" s="7" t="str">
        <f t="shared" si="1801"/>
        <v>10389000000</v>
      </c>
      <c r="B4966" s="7" t="str">
        <f t="shared" si="1802"/>
        <v>芥川高等学校</v>
      </c>
      <c r="C4966" s="7" t="str">
        <f t="shared" si="1794"/>
        <v>行政財産</v>
      </c>
      <c r="D4966" s="7" t="str">
        <f t="shared" si="1783"/>
        <v>学校</v>
      </c>
      <c r="E4966" s="7" t="str">
        <f t="shared" si="1803"/>
        <v>大阪府高槻市浦堂１丁目</v>
      </c>
      <c r="F4966" s="7"/>
      <c r="G4966" s="7" t="str">
        <f t="shared" si="1795"/>
        <v>事業用資産</v>
      </c>
      <c r="H4966" s="7" t="str">
        <f t="shared" si="1789"/>
        <v>棚卸以外</v>
      </c>
      <c r="I4966" s="7">
        <v>8</v>
      </c>
      <c r="J4966" s="7" t="str">
        <f>"石灰倉庫"</f>
        <v>石灰倉庫</v>
      </c>
      <c r="K4966" s="7" t="str">
        <f>"コンクリートブロック造"</f>
        <v>コンクリートブロック造</v>
      </c>
      <c r="L4966" s="7" t="str">
        <f>"S58.03.31"</f>
        <v>S58.03.31</v>
      </c>
      <c r="M4966" s="7">
        <v>14.25</v>
      </c>
      <c r="N4966" s="7">
        <v>1369000</v>
      </c>
      <c r="O4966" s="7">
        <v>1368999</v>
      </c>
      <c r="P4966" s="7">
        <v>0</v>
      </c>
      <c r="Q4966" s="7" t="str">
        <f t="shared" si="1800"/>
        <v>教育庁</v>
      </c>
      <c r="R4966" s="7" t="str">
        <f t="shared" si="1804"/>
        <v>芥川高等学校</v>
      </c>
    </row>
    <row r="4967" spans="1:18" s="1" customFormat="1" x14ac:dyDescent="0.45">
      <c r="A4967" s="7" t="str">
        <f t="shared" ref="A4967:A4973" si="1805">"10390000500"</f>
        <v>10390000500</v>
      </c>
      <c r="B4967" s="7" t="str">
        <f t="shared" ref="B4967:B4973" si="1806">"阿武野高等学校"</f>
        <v>阿武野高等学校</v>
      </c>
      <c r="C4967" s="7" t="str">
        <f t="shared" si="1794"/>
        <v>行政財産</v>
      </c>
      <c r="D4967" s="7" t="str">
        <f t="shared" si="1783"/>
        <v>学校</v>
      </c>
      <c r="E4967" s="7" t="str">
        <f t="shared" ref="E4967:E4973" si="1807">"大阪府高槻市氷室町３丁目"</f>
        <v>大阪府高槻市氷室町３丁目</v>
      </c>
      <c r="F4967" s="7"/>
      <c r="G4967" s="7" t="str">
        <f t="shared" si="1795"/>
        <v>事業用資産</v>
      </c>
      <c r="H4967" s="7" t="str">
        <f t="shared" si="1789"/>
        <v>棚卸以外</v>
      </c>
      <c r="I4967" s="7">
        <v>1</v>
      </c>
      <c r="J4967" s="7" t="str">
        <f>"校舎"</f>
        <v>校舎</v>
      </c>
      <c r="K4967" s="7" t="str">
        <f>"鉄筋コンクリート造"</f>
        <v>鉄筋コンクリート造</v>
      </c>
      <c r="L4967" s="7" t="str">
        <f>"S58.02.28"</f>
        <v>S58.02.28</v>
      </c>
      <c r="M4967" s="7">
        <v>11012.68</v>
      </c>
      <c r="N4967" s="7">
        <v>1485946889</v>
      </c>
      <c r="O4967" s="7">
        <v>1158687324</v>
      </c>
      <c r="P4967" s="7">
        <v>0</v>
      </c>
      <c r="Q4967" s="7" t="str">
        <f t="shared" si="1800"/>
        <v>教育庁</v>
      </c>
      <c r="R4967" s="7" t="str">
        <f t="shared" ref="R4967:R4973" si="1808">"阿武野高等学校"</f>
        <v>阿武野高等学校</v>
      </c>
    </row>
    <row r="4968" spans="1:18" s="1" customFormat="1" x14ac:dyDescent="0.45">
      <c r="A4968" s="7" t="str">
        <f t="shared" si="1805"/>
        <v>10390000500</v>
      </c>
      <c r="B4968" s="7" t="str">
        <f t="shared" si="1806"/>
        <v>阿武野高等学校</v>
      </c>
      <c r="C4968" s="7" t="str">
        <f t="shared" si="1794"/>
        <v>行政財産</v>
      </c>
      <c r="D4968" s="7" t="str">
        <f t="shared" si="1783"/>
        <v>学校</v>
      </c>
      <c r="E4968" s="7" t="str">
        <f t="shared" si="1807"/>
        <v>大阪府高槻市氷室町３丁目</v>
      </c>
      <c r="F4968" s="7"/>
      <c r="G4968" s="7" t="str">
        <f t="shared" si="1795"/>
        <v>事業用資産</v>
      </c>
      <c r="H4968" s="7" t="str">
        <f t="shared" si="1789"/>
        <v>棚卸以外</v>
      </c>
      <c r="I4968" s="7">
        <v>3</v>
      </c>
      <c r="J4968" s="7" t="str">
        <f>"体育館"</f>
        <v>体育館</v>
      </c>
      <c r="K4968" s="7" t="str">
        <f>"鉄筋コンクリート造"</f>
        <v>鉄筋コンクリート造</v>
      </c>
      <c r="L4968" s="7" t="str">
        <f>"S59.02.27"</f>
        <v>S59.02.27</v>
      </c>
      <c r="M4968" s="7">
        <v>3031.68</v>
      </c>
      <c r="N4968" s="7">
        <v>528753312</v>
      </c>
      <c r="O4968" s="7">
        <v>370254827</v>
      </c>
      <c r="P4968" s="7">
        <v>0</v>
      </c>
      <c r="Q4968" s="7" t="str">
        <f t="shared" si="1800"/>
        <v>教育庁</v>
      </c>
      <c r="R4968" s="7" t="str">
        <f t="shared" si="1808"/>
        <v>阿武野高等学校</v>
      </c>
    </row>
    <row r="4969" spans="1:18" s="1" customFormat="1" x14ac:dyDescent="0.45">
      <c r="A4969" s="7" t="str">
        <f t="shared" si="1805"/>
        <v>10390000500</v>
      </c>
      <c r="B4969" s="7" t="str">
        <f t="shared" si="1806"/>
        <v>阿武野高等学校</v>
      </c>
      <c r="C4969" s="7" t="str">
        <f t="shared" si="1794"/>
        <v>行政財産</v>
      </c>
      <c r="D4969" s="7" t="str">
        <f t="shared" si="1783"/>
        <v>学校</v>
      </c>
      <c r="E4969" s="7" t="str">
        <f t="shared" si="1807"/>
        <v>大阪府高槻市氷室町３丁目</v>
      </c>
      <c r="F4969" s="7"/>
      <c r="G4969" s="7" t="str">
        <f t="shared" si="1795"/>
        <v>事業用資産</v>
      </c>
      <c r="H4969" s="7" t="str">
        <f t="shared" si="1789"/>
        <v>棚卸以外</v>
      </c>
      <c r="I4969" s="7">
        <v>4</v>
      </c>
      <c r="J4969" s="7" t="str">
        <f>"プール附属棟"</f>
        <v>プール附属棟</v>
      </c>
      <c r="K4969" s="7" t="str">
        <f>"鉄筋コンクリート造"</f>
        <v>鉄筋コンクリート造</v>
      </c>
      <c r="L4969" s="7" t="str">
        <f>"S59.03.30"</f>
        <v>S59.03.30</v>
      </c>
      <c r="M4969" s="7">
        <v>138</v>
      </c>
      <c r="N4969" s="7">
        <v>51763070</v>
      </c>
      <c r="O4969" s="7">
        <v>42778132</v>
      </c>
      <c r="P4969" s="7">
        <v>0</v>
      </c>
      <c r="Q4969" s="7" t="str">
        <f t="shared" si="1800"/>
        <v>教育庁</v>
      </c>
      <c r="R4969" s="7" t="str">
        <f t="shared" si="1808"/>
        <v>阿武野高等学校</v>
      </c>
    </row>
    <row r="4970" spans="1:18" s="1" customFormat="1" x14ac:dyDescent="0.45">
      <c r="A4970" s="7" t="str">
        <f t="shared" si="1805"/>
        <v>10390000500</v>
      </c>
      <c r="B4970" s="7" t="str">
        <f t="shared" si="1806"/>
        <v>阿武野高等学校</v>
      </c>
      <c r="C4970" s="7" t="str">
        <f t="shared" si="1794"/>
        <v>行政財産</v>
      </c>
      <c r="D4970" s="7" t="str">
        <f t="shared" si="1783"/>
        <v>学校</v>
      </c>
      <c r="E4970" s="7" t="str">
        <f t="shared" si="1807"/>
        <v>大阪府高槻市氷室町３丁目</v>
      </c>
      <c r="F4970" s="7"/>
      <c r="G4970" s="7" t="str">
        <f t="shared" si="1795"/>
        <v>事業用資産</v>
      </c>
      <c r="H4970" s="7" t="str">
        <f t="shared" si="1789"/>
        <v>棚卸以外</v>
      </c>
      <c r="I4970" s="7">
        <v>5</v>
      </c>
      <c r="J4970" s="7" t="str">
        <f>"倉庫１"</f>
        <v>倉庫１</v>
      </c>
      <c r="K4970" s="7" t="str">
        <f>"鉄骨造"</f>
        <v>鉄骨造</v>
      </c>
      <c r="L4970" s="7" t="str">
        <f>"S59.03.30"</f>
        <v>S59.03.30</v>
      </c>
      <c r="M4970" s="7">
        <v>100</v>
      </c>
      <c r="N4970" s="7">
        <v>7306000</v>
      </c>
      <c r="O4970" s="7">
        <v>7305999</v>
      </c>
      <c r="P4970" s="7">
        <v>0</v>
      </c>
      <c r="Q4970" s="7" t="str">
        <f t="shared" si="1800"/>
        <v>教育庁</v>
      </c>
      <c r="R4970" s="7" t="str">
        <f t="shared" si="1808"/>
        <v>阿武野高等学校</v>
      </c>
    </row>
    <row r="4971" spans="1:18" s="1" customFormat="1" x14ac:dyDescent="0.45">
      <c r="A4971" s="7" t="str">
        <f t="shared" si="1805"/>
        <v>10390000500</v>
      </c>
      <c r="B4971" s="7" t="str">
        <f t="shared" si="1806"/>
        <v>阿武野高等学校</v>
      </c>
      <c r="C4971" s="7" t="str">
        <f t="shared" si="1794"/>
        <v>行政財産</v>
      </c>
      <c r="D4971" s="7" t="str">
        <f t="shared" si="1783"/>
        <v>学校</v>
      </c>
      <c r="E4971" s="7" t="str">
        <f t="shared" si="1807"/>
        <v>大阪府高槻市氷室町３丁目</v>
      </c>
      <c r="F4971" s="7"/>
      <c r="G4971" s="7" t="str">
        <f t="shared" si="1795"/>
        <v>事業用資産</v>
      </c>
      <c r="H4971" s="7" t="str">
        <f t="shared" si="1789"/>
        <v>棚卸以外</v>
      </c>
      <c r="I4971" s="7">
        <v>7</v>
      </c>
      <c r="J4971" s="7" t="str">
        <f>"倉庫２"</f>
        <v>倉庫２</v>
      </c>
      <c r="K4971" s="7" t="str">
        <f>"鉄骨造"</f>
        <v>鉄骨造</v>
      </c>
      <c r="L4971" s="7" t="str">
        <f>"S60.03.08"</f>
        <v>S60.03.08</v>
      </c>
      <c r="M4971" s="7">
        <v>100</v>
      </c>
      <c r="N4971" s="7">
        <v>9962000</v>
      </c>
      <c r="O4971" s="7">
        <v>9961999</v>
      </c>
      <c r="P4971" s="7">
        <v>0</v>
      </c>
      <c r="Q4971" s="7" t="str">
        <f t="shared" si="1800"/>
        <v>教育庁</v>
      </c>
      <c r="R4971" s="7" t="str">
        <f t="shared" si="1808"/>
        <v>阿武野高等学校</v>
      </c>
    </row>
    <row r="4972" spans="1:18" s="1" customFormat="1" x14ac:dyDescent="0.45">
      <c r="A4972" s="7" t="str">
        <f t="shared" si="1805"/>
        <v>10390000500</v>
      </c>
      <c r="B4972" s="7" t="str">
        <f t="shared" si="1806"/>
        <v>阿武野高等学校</v>
      </c>
      <c r="C4972" s="7" t="str">
        <f t="shared" si="1794"/>
        <v>行政財産</v>
      </c>
      <c r="D4972" s="7" t="str">
        <f t="shared" si="1783"/>
        <v>学校</v>
      </c>
      <c r="E4972" s="7" t="str">
        <f t="shared" si="1807"/>
        <v>大阪府高槻市氷室町３丁目</v>
      </c>
      <c r="F4972" s="7"/>
      <c r="G4972" s="7" t="str">
        <f t="shared" si="1795"/>
        <v>事業用資産</v>
      </c>
      <c r="H4972" s="7" t="str">
        <f t="shared" si="1789"/>
        <v>棚卸以外</v>
      </c>
      <c r="I4972" s="7">
        <v>8</v>
      </c>
      <c r="J4972" s="7" t="str">
        <f>"石灰倉庫"</f>
        <v>石灰倉庫</v>
      </c>
      <c r="K4972" s="7" t="str">
        <f>"コンクリートブロック造"</f>
        <v>コンクリートブロック造</v>
      </c>
      <c r="L4972" s="7" t="str">
        <f>"S61.03.12"</f>
        <v>S61.03.12</v>
      </c>
      <c r="M4972" s="7">
        <v>3.44</v>
      </c>
      <c r="N4972" s="7">
        <v>464000</v>
      </c>
      <c r="O4972" s="7">
        <v>463999</v>
      </c>
      <c r="P4972" s="7">
        <v>0</v>
      </c>
      <c r="Q4972" s="7" t="str">
        <f t="shared" si="1800"/>
        <v>教育庁</v>
      </c>
      <c r="R4972" s="7" t="str">
        <f t="shared" si="1808"/>
        <v>阿武野高等学校</v>
      </c>
    </row>
    <row r="4973" spans="1:18" s="1" customFormat="1" x14ac:dyDescent="0.45">
      <c r="A4973" s="7" t="str">
        <f t="shared" si="1805"/>
        <v>10390000500</v>
      </c>
      <c r="B4973" s="7" t="str">
        <f t="shared" si="1806"/>
        <v>阿武野高等学校</v>
      </c>
      <c r="C4973" s="7" t="str">
        <f t="shared" si="1794"/>
        <v>行政財産</v>
      </c>
      <c r="D4973" s="7" t="str">
        <f t="shared" si="1783"/>
        <v>学校</v>
      </c>
      <c r="E4973" s="7" t="str">
        <f t="shared" si="1807"/>
        <v>大阪府高槻市氷室町３丁目</v>
      </c>
      <c r="F4973" s="7"/>
      <c r="G4973" s="7" t="str">
        <f t="shared" si="1795"/>
        <v>事業用資産</v>
      </c>
      <c r="H4973" s="7" t="str">
        <f t="shared" si="1789"/>
        <v>棚卸以外</v>
      </c>
      <c r="I4973" s="7">
        <v>9</v>
      </c>
      <c r="J4973" s="7" t="str">
        <f>"ごみ倉庫"</f>
        <v>ごみ倉庫</v>
      </c>
      <c r="K4973" s="7" t="str">
        <f>"鉄骨造"</f>
        <v>鉄骨造</v>
      </c>
      <c r="L4973" s="7" t="str">
        <f>"S61.03.12"</f>
        <v>S61.03.12</v>
      </c>
      <c r="M4973" s="7">
        <v>12.5</v>
      </c>
      <c r="N4973" s="7">
        <v>635000</v>
      </c>
      <c r="O4973" s="7">
        <v>634999</v>
      </c>
      <c r="P4973" s="7">
        <v>0</v>
      </c>
      <c r="Q4973" s="7" t="str">
        <f t="shared" si="1800"/>
        <v>教育庁</v>
      </c>
      <c r="R4973" s="7" t="str">
        <f t="shared" si="1808"/>
        <v>阿武野高等学校</v>
      </c>
    </row>
    <row r="4974" spans="1:18" s="1" customFormat="1" x14ac:dyDescent="0.45">
      <c r="A4974" s="7" t="str">
        <f t="shared" ref="A4974:A4980" si="1809">"10391000000"</f>
        <v>10391000000</v>
      </c>
      <c r="B4974" s="7" t="str">
        <f t="shared" ref="B4974:B4980" si="1810">"大冠高等学校"</f>
        <v>大冠高等学校</v>
      </c>
      <c r="C4974" s="7" t="str">
        <f t="shared" si="1794"/>
        <v>行政財産</v>
      </c>
      <c r="D4974" s="7" t="str">
        <f t="shared" si="1783"/>
        <v>学校</v>
      </c>
      <c r="E4974" s="7" t="str">
        <f t="shared" ref="E4974:E4980" si="1811">"大阪府高槻市大塚町４丁目"</f>
        <v>大阪府高槻市大塚町４丁目</v>
      </c>
      <c r="F4974" s="7"/>
      <c r="G4974" s="7" t="str">
        <f t="shared" si="1795"/>
        <v>事業用資産</v>
      </c>
      <c r="H4974" s="7" t="str">
        <f t="shared" si="1789"/>
        <v>棚卸以外</v>
      </c>
      <c r="I4974" s="7">
        <v>1</v>
      </c>
      <c r="J4974" s="7" t="str">
        <f>"校舎棟"</f>
        <v>校舎棟</v>
      </c>
      <c r="K4974" s="7" t="str">
        <f>"鉄筋コンクリート造"</f>
        <v>鉄筋コンクリート造</v>
      </c>
      <c r="L4974" s="7" t="str">
        <f>"S61.03.31"</f>
        <v>S61.03.31</v>
      </c>
      <c r="M4974" s="7">
        <v>11987.68</v>
      </c>
      <c r="N4974" s="7">
        <v>1621810300</v>
      </c>
      <c r="O4974" s="7">
        <v>1485547381</v>
      </c>
      <c r="P4974" s="7">
        <v>0</v>
      </c>
      <c r="Q4974" s="7" t="str">
        <f t="shared" si="1800"/>
        <v>教育庁</v>
      </c>
      <c r="R4974" s="7" t="str">
        <f t="shared" ref="R4974:R4980" si="1812">"大冠高等学校"</f>
        <v>大冠高等学校</v>
      </c>
    </row>
    <row r="4975" spans="1:18" s="1" customFormat="1" x14ac:dyDescent="0.45">
      <c r="A4975" s="7" t="str">
        <f t="shared" si="1809"/>
        <v>10391000000</v>
      </c>
      <c r="B4975" s="7" t="str">
        <f t="shared" si="1810"/>
        <v>大冠高等学校</v>
      </c>
      <c r="C4975" s="7" t="str">
        <f t="shared" si="1794"/>
        <v>行政財産</v>
      </c>
      <c r="D4975" s="7" t="str">
        <f t="shared" si="1783"/>
        <v>学校</v>
      </c>
      <c r="E4975" s="7" t="str">
        <f t="shared" si="1811"/>
        <v>大阪府高槻市大塚町４丁目</v>
      </c>
      <c r="F4975" s="7"/>
      <c r="G4975" s="7" t="str">
        <f t="shared" si="1795"/>
        <v>事業用資産</v>
      </c>
      <c r="H4975" s="7" t="str">
        <f t="shared" si="1789"/>
        <v>棚卸以外</v>
      </c>
      <c r="I4975" s="7">
        <v>2</v>
      </c>
      <c r="J4975" s="7" t="str">
        <f>"体育館"</f>
        <v>体育館</v>
      </c>
      <c r="K4975" s="7" t="str">
        <f>"鉄筋コンクリート造"</f>
        <v>鉄筋コンクリート造</v>
      </c>
      <c r="L4975" s="7" t="str">
        <f>"S61.03.31"</f>
        <v>S61.03.31</v>
      </c>
      <c r="M4975" s="7">
        <v>3053.89</v>
      </c>
      <c r="N4975" s="7">
        <v>529354149</v>
      </c>
      <c r="O4975" s="7">
        <v>362597437</v>
      </c>
      <c r="P4975" s="7">
        <v>0</v>
      </c>
      <c r="Q4975" s="7" t="str">
        <f t="shared" si="1800"/>
        <v>教育庁</v>
      </c>
      <c r="R4975" s="7" t="str">
        <f t="shared" si="1812"/>
        <v>大冠高等学校</v>
      </c>
    </row>
    <row r="4976" spans="1:18" s="1" customFormat="1" x14ac:dyDescent="0.45">
      <c r="A4976" s="7" t="str">
        <f t="shared" si="1809"/>
        <v>10391000000</v>
      </c>
      <c r="B4976" s="7" t="str">
        <f t="shared" si="1810"/>
        <v>大冠高等学校</v>
      </c>
      <c r="C4976" s="7" t="str">
        <f t="shared" si="1794"/>
        <v>行政財産</v>
      </c>
      <c r="D4976" s="7" t="str">
        <f t="shared" si="1783"/>
        <v>学校</v>
      </c>
      <c r="E4976" s="7" t="str">
        <f t="shared" si="1811"/>
        <v>大阪府高槻市大塚町４丁目</v>
      </c>
      <c r="F4976" s="7"/>
      <c r="G4976" s="7" t="str">
        <f t="shared" si="1795"/>
        <v>事業用資産</v>
      </c>
      <c r="H4976" s="7" t="str">
        <f t="shared" si="1789"/>
        <v>棚卸以外</v>
      </c>
      <c r="I4976" s="7">
        <v>3</v>
      </c>
      <c r="J4976" s="7" t="str">
        <f>"プール附属棟"</f>
        <v>プール附属棟</v>
      </c>
      <c r="K4976" s="7" t="str">
        <f>"鉄筋コンクリート造"</f>
        <v>鉄筋コンクリート造</v>
      </c>
      <c r="L4976" s="7" t="str">
        <f>"S61.06.25"</f>
        <v>S61.06.25</v>
      </c>
      <c r="M4976" s="7">
        <v>138</v>
      </c>
      <c r="N4976" s="7">
        <v>39662103</v>
      </c>
      <c r="O4976" s="7">
        <v>37936374</v>
      </c>
      <c r="P4976" s="7">
        <v>0</v>
      </c>
      <c r="Q4976" s="7" t="str">
        <f t="shared" si="1800"/>
        <v>教育庁</v>
      </c>
      <c r="R4976" s="7" t="str">
        <f t="shared" si="1812"/>
        <v>大冠高等学校</v>
      </c>
    </row>
    <row r="4977" spans="1:18" s="1" customFormat="1" x14ac:dyDescent="0.45">
      <c r="A4977" s="7" t="str">
        <f t="shared" si="1809"/>
        <v>10391000000</v>
      </c>
      <c r="B4977" s="7" t="str">
        <f t="shared" si="1810"/>
        <v>大冠高等学校</v>
      </c>
      <c r="C4977" s="7" t="str">
        <f t="shared" si="1794"/>
        <v>行政財産</v>
      </c>
      <c r="D4977" s="7" t="str">
        <f t="shared" si="1783"/>
        <v>学校</v>
      </c>
      <c r="E4977" s="7" t="str">
        <f t="shared" si="1811"/>
        <v>大阪府高槻市大塚町４丁目</v>
      </c>
      <c r="F4977" s="7"/>
      <c r="G4977" s="7" t="str">
        <f t="shared" si="1795"/>
        <v>事業用資産</v>
      </c>
      <c r="H4977" s="7" t="str">
        <f t="shared" si="1789"/>
        <v>棚卸以外</v>
      </c>
      <c r="I4977" s="7">
        <v>5</v>
      </c>
      <c r="J4977" s="7" t="str">
        <f>"体育倉庫"</f>
        <v>体育倉庫</v>
      </c>
      <c r="K4977" s="7" t="str">
        <f>"鉄骨造"</f>
        <v>鉄骨造</v>
      </c>
      <c r="L4977" s="7" t="str">
        <f>"S62.03.16"</f>
        <v>S62.03.16</v>
      </c>
      <c r="M4977" s="7">
        <v>100</v>
      </c>
      <c r="N4977" s="7">
        <v>9089000</v>
      </c>
      <c r="O4977" s="7">
        <v>9088999</v>
      </c>
      <c r="P4977" s="7">
        <v>0</v>
      </c>
      <c r="Q4977" s="7" t="str">
        <f t="shared" si="1800"/>
        <v>教育庁</v>
      </c>
      <c r="R4977" s="7" t="str">
        <f t="shared" si="1812"/>
        <v>大冠高等学校</v>
      </c>
    </row>
    <row r="4978" spans="1:18" s="1" customFormat="1" x14ac:dyDescent="0.45">
      <c r="A4978" s="7" t="str">
        <f t="shared" si="1809"/>
        <v>10391000000</v>
      </c>
      <c r="B4978" s="7" t="str">
        <f t="shared" si="1810"/>
        <v>大冠高等学校</v>
      </c>
      <c r="C4978" s="7" t="str">
        <f t="shared" si="1794"/>
        <v>行政財産</v>
      </c>
      <c r="D4978" s="7" t="str">
        <f t="shared" si="1783"/>
        <v>学校</v>
      </c>
      <c r="E4978" s="7" t="str">
        <f t="shared" si="1811"/>
        <v>大阪府高槻市大塚町４丁目</v>
      </c>
      <c r="F4978" s="7"/>
      <c r="G4978" s="7" t="str">
        <f t="shared" si="1795"/>
        <v>事業用資産</v>
      </c>
      <c r="H4978" s="7" t="str">
        <f t="shared" si="1789"/>
        <v>棚卸以外</v>
      </c>
      <c r="I4978" s="7">
        <v>6</v>
      </c>
      <c r="J4978" s="7" t="str">
        <f>"ゴミ収納庫"</f>
        <v>ゴミ収納庫</v>
      </c>
      <c r="K4978" s="7" t="str">
        <f>"鉄筋コンクリート造"</f>
        <v>鉄筋コンクリート造</v>
      </c>
      <c r="L4978" s="7" t="str">
        <f>"S62.03.16"</f>
        <v>S62.03.16</v>
      </c>
      <c r="M4978" s="7">
        <v>9.48</v>
      </c>
      <c r="N4978" s="7">
        <v>1401000</v>
      </c>
      <c r="O4978" s="7">
        <v>1327536</v>
      </c>
      <c r="P4978" s="7">
        <v>0</v>
      </c>
      <c r="Q4978" s="7" t="str">
        <f t="shared" si="1800"/>
        <v>教育庁</v>
      </c>
      <c r="R4978" s="7" t="str">
        <f t="shared" si="1812"/>
        <v>大冠高等学校</v>
      </c>
    </row>
    <row r="4979" spans="1:18" s="1" customFormat="1" x14ac:dyDescent="0.45">
      <c r="A4979" s="7" t="str">
        <f t="shared" si="1809"/>
        <v>10391000000</v>
      </c>
      <c r="B4979" s="7" t="str">
        <f t="shared" si="1810"/>
        <v>大冠高等学校</v>
      </c>
      <c r="C4979" s="7" t="str">
        <f t="shared" si="1794"/>
        <v>行政財産</v>
      </c>
      <c r="D4979" s="7" t="str">
        <f t="shared" si="1783"/>
        <v>学校</v>
      </c>
      <c r="E4979" s="7" t="str">
        <f t="shared" si="1811"/>
        <v>大阪府高槻市大塚町４丁目</v>
      </c>
      <c r="F4979" s="7"/>
      <c r="G4979" s="7" t="str">
        <f t="shared" si="1795"/>
        <v>事業用資産</v>
      </c>
      <c r="H4979" s="7" t="str">
        <f t="shared" si="1789"/>
        <v>棚卸以外</v>
      </c>
      <c r="I4979" s="7">
        <v>7</v>
      </c>
      <c r="J4979" s="7" t="str">
        <f>"体育倉庫棟"</f>
        <v>体育倉庫棟</v>
      </c>
      <c r="K4979" s="7" t="str">
        <f>"鉄骨造"</f>
        <v>鉄骨造</v>
      </c>
      <c r="L4979" s="7" t="str">
        <f>"S62.10.31"</f>
        <v>S62.10.31</v>
      </c>
      <c r="M4979" s="7">
        <v>75</v>
      </c>
      <c r="N4979" s="7">
        <v>7747000</v>
      </c>
      <c r="O4979" s="7">
        <v>7746999</v>
      </c>
      <c r="P4979" s="7">
        <v>0</v>
      </c>
      <c r="Q4979" s="7" t="str">
        <f t="shared" si="1800"/>
        <v>教育庁</v>
      </c>
      <c r="R4979" s="7" t="str">
        <f t="shared" si="1812"/>
        <v>大冠高等学校</v>
      </c>
    </row>
    <row r="4980" spans="1:18" s="1" customFormat="1" x14ac:dyDescent="0.45">
      <c r="A4980" s="7" t="str">
        <f t="shared" si="1809"/>
        <v>10391000000</v>
      </c>
      <c r="B4980" s="7" t="str">
        <f t="shared" si="1810"/>
        <v>大冠高等学校</v>
      </c>
      <c r="C4980" s="7" t="str">
        <f t="shared" si="1794"/>
        <v>行政財産</v>
      </c>
      <c r="D4980" s="7" t="str">
        <f t="shared" si="1783"/>
        <v>学校</v>
      </c>
      <c r="E4980" s="7" t="str">
        <f t="shared" si="1811"/>
        <v>大阪府高槻市大塚町４丁目</v>
      </c>
      <c r="F4980" s="7"/>
      <c r="G4980" s="7" t="str">
        <f t="shared" si="1795"/>
        <v>事業用資産</v>
      </c>
      <c r="H4980" s="7" t="str">
        <f t="shared" si="1789"/>
        <v>棚卸以外</v>
      </c>
      <c r="I4980" s="7">
        <v>8</v>
      </c>
      <c r="J4980" s="7" t="str">
        <f>"石灰庫棟"</f>
        <v>石灰庫棟</v>
      </c>
      <c r="K4980" s="7" t="str">
        <f>"コンクリートブロック造"</f>
        <v>コンクリートブロック造</v>
      </c>
      <c r="L4980" s="7" t="str">
        <f>"S62.11.18"</f>
        <v>S62.11.18</v>
      </c>
      <c r="M4980" s="7">
        <v>4.41</v>
      </c>
      <c r="N4980" s="7">
        <v>633000</v>
      </c>
      <c r="O4980" s="7">
        <v>632999</v>
      </c>
      <c r="P4980" s="7">
        <v>0</v>
      </c>
      <c r="Q4980" s="7" t="str">
        <f t="shared" si="1800"/>
        <v>教育庁</v>
      </c>
      <c r="R4980" s="7" t="str">
        <f t="shared" si="1812"/>
        <v>大冠高等学校</v>
      </c>
    </row>
    <row r="4981" spans="1:18" s="1" customFormat="1" x14ac:dyDescent="0.45">
      <c r="A4981" s="7" t="str">
        <f t="shared" ref="A4981:A5001" si="1813">"10392000000"</f>
        <v>10392000000</v>
      </c>
      <c r="B4981" s="7" t="str">
        <f t="shared" ref="B4981:B5001" si="1814">"摂津高等学校"</f>
        <v>摂津高等学校</v>
      </c>
      <c r="C4981" s="7" t="str">
        <f t="shared" si="1794"/>
        <v>行政財産</v>
      </c>
      <c r="D4981" s="7" t="str">
        <f t="shared" si="1783"/>
        <v>学校</v>
      </c>
      <c r="E4981" s="7" t="str">
        <f t="shared" ref="E4981:E5001" si="1815">"大阪府摂津市学園町１丁目"</f>
        <v>大阪府摂津市学園町１丁目</v>
      </c>
      <c r="F4981" s="7"/>
      <c r="G4981" s="7" t="str">
        <f t="shared" si="1795"/>
        <v>事業用資産</v>
      </c>
      <c r="H4981" s="7" t="str">
        <f t="shared" si="1789"/>
        <v>棚卸以外</v>
      </c>
      <c r="I4981" s="7">
        <v>1</v>
      </c>
      <c r="J4981" s="7" t="str">
        <f>"１号館"</f>
        <v>１号館</v>
      </c>
      <c r="K4981" s="7" t="str">
        <f>"鉄筋コンクリート造"</f>
        <v>鉄筋コンクリート造</v>
      </c>
      <c r="L4981" s="7" t="str">
        <f>"S47.04.01"</f>
        <v>S47.04.01</v>
      </c>
      <c r="M4981" s="7">
        <v>2606.0700000000002</v>
      </c>
      <c r="N4981" s="7">
        <v>201558400</v>
      </c>
      <c r="O4981" s="7">
        <v>161967218</v>
      </c>
      <c r="P4981" s="7">
        <v>0</v>
      </c>
      <c r="Q4981" s="7" t="str">
        <f t="shared" si="1800"/>
        <v>教育庁</v>
      </c>
      <c r="R4981" s="7" t="str">
        <f t="shared" ref="R4981:R5001" si="1816">"摂津高等学校"</f>
        <v>摂津高等学校</v>
      </c>
    </row>
    <row r="4982" spans="1:18" s="1" customFormat="1" x14ac:dyDescent="0.45">
      <c r="A4982" s="7" t="str">
        <f t="shared" si="1813"/>
        <v>10392000000</v>
      </c>
      <c r="B4982" s="7" t="str">
        <f t="shared" si="1814"/>
        <v>摂津高等学校</v>
      </c>
      <c r="C4982" s="7" t="str">
        <f t="shared" si="1794"/>
        <v>行政財産</v>
      </c>
      <c r="D4982" s="7" t="str">
        <f t="shared" si="1783"/>
        <v>学校</v>
      </c>
      <c r="E4982" s="7" t="str">
        <f t="shared" si="1815"/>
        <v>大阪府摂津市学園町１丁目</v>
      </c>
      <c r="F4982" s="7"/>
      <c r="G4982" s="7" t="str">
        <f t="shared" si="1795"/>
        <v>事業用資産</v>
      </c>
      <c r="H4982" s="7" t="str">
        <f t="shared" si="1789"/>
        <v>棚卸以外</v>
      </c>
      <c r="I4982" s="7">
        <v>2</v>
      </c>
      <c r="J4982" s="7" t="str">
        <f>"設備棟"</f>
        <v>設備棟</v>
      </c>
      <c r="K4982" s="7" t="str">
        <f>"鉄筋コンクリート造"</f>
        <v>鉄筋コンクリート造</v>
      </c>
      <c r="L4982" s="7" t="str">
        <f>"S47.04.01"</f>
        <v>S47.04.01</v>
      </c>
      <c r="M4982" s="7">
        <v>106.92</v>
      </c>
      <c r="N4982" s="7">
        <v>21155386</v>
      </c>
      <c r="O4982" s="7">
        <v>16155143</v>
      </c>
      <c r="P4982" s="7">
        <v>0</v>
      </c>
      <c r="Q4982" s="7" t="str">
        <f t="shared" si="1800"/>
        <v>教育庁</v>
      </c>
      <c r="R4982" s="7" t="str">
        <f t="shared" si="1816"/>
        <v>摂津高等学校</v>
      </c>
    </row>
    <row r="4983" spans="1:18" s="1" customFormat="1" x14ac:dyDescent="0.45">
      <c r="A4983" s="7" t="str">
        <f t="shared" si="1813"/>
        <v>10392000000</v>
      </c>
      <c r="B4983" s="7" t="str">
        <f t="shared" si="1814"/>
        <v>摂津高等学校</v>
      </c>
      <c r="C4983" s="7" t="str">
        <f t="shared" si="1794"/>
        <v>行政財産</v>
      </c>
      <c r="D4983" s="7" t="str">
        <f t="shared" si="1783"/>
        <v>学校</v>
      </c>
      <c r="E4983" s="7" t="str">
        <f t="shared" si="1815"/>
        <v>大阪府摂津市学園町１丁目</v>
      </c>
      <c r="F4983" s="7"/>
      <c r="G4983" s="7" t="str">
        <f t="shared" si="1795"/>
        <v>事業用資産</v>
      </c>
      <c r="H4983" s="7" t="str">
        <f t="shared" si="1789"/>
        <v>棚卸以外</v>
      </c>
      <c r="I4983" s="7">
        <v>3</v>
      </c>
      <c r="J4983" s="7" t="str">
        <f>"倉庫"</f>
        <v>倉庫</v>
      </c>
      <c r="K4983" s="7" t="str">
        <f>"鉄骨造"</f>
        <v>鉄骨造</v>
      </c>
      <c r="L4983" s="7" t="str">
        <f>"S47.04.01"</f>
        <v>S47.04.01</v>
      </c>
      <c r="M4983" s="7">
        <v>97.76</v>
      </c>
      <c r="N4983" s="7">
        <v>7390690</v>
      </c>
      <c r="O4983" s="7">
        <v>4808319</v>
      </c>
      <c r="P4983" s="7">
        <v>0</v>
      </c>
      <c r="Q4983" s="7" t="str">
        <f t="shared" si="1800"/>
        <v>教育庁</v>
      </c>
      <c r="R4983" s="7" t="str">
        <f t="shared" si="1816"/>
        <v>摂津高等学校</v>
      </c>
    </row>
    <row r="4984" spans="1:18" s="1" customFormat="1" x14ac:dyDescent="0.45">
      <c r="A4984" s="7" t="str">
        <f t="shared" si="1813"/>
        <v>10392000000</v>
      </c>
      <c r="B4984" s="7" t="str">
        <f t="shared" si="1814"/>
        <v>摂津高等学校</v>
      </c>
      <c r="C4984" s="7" t="str">
        <f t="shared" si="1794"/>
        <v>行政財産</v>
      </c>
      <c r="D4984" s="7" t="str">
        <f t="shared" si="1783"/>
        <v>学校</v>
      </c>
      <c r="E4984" s="7" t="str">
        <f t="shared" si="1815"/>
        <v>大阪府摂津市学園町１丁目</v>
      </c>
      <c r="F4984" s="7"/>
      <c r="G4984" s="7" t="str">
        <f t="shared" si="1795"/>
        <v>事業用資産</v>
      </c>
      <c r="H4984" s="7" t="str">
        <f t="shared" si="1789"/>
        <v>棚卸以外</v>
      </c>
      <c r="I4984" s="7">
        <v>4</v>
      </c>
      <c r="J4984" s="7" t="str">
        <f>"自転車置場"</f>
        <v>自転車置場</v>
      </c>
      <c r="K4984" s="7" t="str">
        <f>"鉄骨造"</f>
        <v>鉄骨造</v>
      </c>
      <c r="L4984" s="7" t="str">
        <f>"S47.04.01"</f>
        <v>S47.04.01</v>
      </c>
      <c r="M4984" s="7">
        <v>45</v>
      </c>
      <c r="N4984" s="7">
        <v>642000</v>
      </c>
      <c r="O4984" s="7">
        <v>641999</v>
      </c>
      <c r="P4984" s="7">
        <v>0</v>
      </c>
      <c r="Q4984" s="7" t="str">
        <f t="shared" si="1800"/>
        <v>教育庁</v>
      </c>
      <c r="R4984" s="7" t="str">
        <f t="shared" si="1816"/>
        <v>摂津高等学校</v>
      </c>
    </row>
    <row r="4985" spans="1:18" s="1" customFormat="1" x14ac:dyDescent="0.45">
      <c r="A4985" s="7" t="str">
        <f t="shared" si="1813"/>
        <v>10392000000</v>
      </c>
      <c r="B4985" s="7" t="str">
        <f t="shared" si="1814"/>
        <v>摂津高等学校</v>
      </c>
      <c r="C4985" s="7" t="str">
        <f t="shared" si="1794"/>
        <v>行政財産</v>
      </c>
      <c r="D4985" s="7" t="str">
        <f t="shared" ref="D4985:D5048" si="1817">"学校"</f>
        <v>学校</v>
      </c>
      <c r="E4985" s="7" t="str">
        <f t="shared" si="1815"/>
        <v>大阪府摂津市学園町１丁目</v>
      </c>
      <c r="F4985" s="7"/>
      <c r="G4985" s="7" t="str">
        <f t="shared" si="1795"/>
        <v>事業用資産</v>
      </c>
      <c r="H4985" s="7" t="str">
        <f t="shared" si="1789"/>
        <v>棚卸以外</v>
      </c>
      <c r="I4985" s="7">
        <v>5</v>
      </c>
      <c r="J4985" s="7" t="str">
        <f>"渡り廊下"</f>
        <v>渡り廊下</v>
      </c>
      <c r="K4985" s="7" t="str">
        <f t="shared" ref="K4985:K4990" si="1818">"鉄筋コンクリート造"</f>
        <v>鉄筋コンクリート造</v>
      </c>
      <c r="L4985" s="7" t="str">
        <f>"S47.04.01"</f>
        <v>S47.04.01</v>
      </c>
      <c r="M4985" s="7">
        <v>133.35</v>
      </c>
      <c r="N4985" s="7">
        <v>1611000</v>
      </c>
      <c r="O4985" s="7">
        <v>1610999</v>
      </c>
      <c r="P4985" s="7">
        <v>0</v>
      </c>
      <c r="Q4985" s="7" t="str">
        <f t="shared" si="1800"/>
        <v>教育庁</v>
      </c>
      <c r="R4985" s="7" t="str">
        <f t="shared" si="1816"/>
        <v>摂津高等学校</v>
      </c>
    </row>
    <row r="4986" spans="1:18" s="1" customFormat="1" x14ac:dyDescent="0.45">
      <c r="A4986" s="7" t="str">
        <f t="shared" si="1813"/>
        <v>10392000000</v>
      </c>
      <c r="B4986" s="7" t="str">
        <f t="shared" si="1814"/>
        <v>摂津高等学校</v>
      </c>
      <c r="C4986" s="7" t="str">
        <f t="shared" si="1794"/>
        <v>行政財産</v>
      </c>
      <c r="D4986" s="7" t="str">
        <f t="shared" si="1817"/>
        <v>学校</v>
      </c>
      <c r="E4986" s="7" t="str">
        <f t="shared" si="1815"/>
        <v>大阪府摂津市学園町１丁目</v>
      </c>
      <c r="F4986" s="7"/>
      <c r="G4986" s="7" t="str">
        <f t="shared" si="1795"/>
        <v>事業用資産</v>
      </c>
      <c r="H4986" s="7" t="str">
        <f t="shared" si="1789"/>
        <v>棚卸以外</v>
      </c>
      <c r="I4986" s="7">
        <v>6</v>
      </c>
      <c r="J4986" s="7" t="str">
        <f>"２号館"</f>
        <v>２号館</v>
      </c>
      <c r="K4986" s="7" t="str">
        <f t="shared" si="1818"/>
        <v>鉄筋コンクリート造</v>
      </c>
      <c r="L4986" s="7" t="str">
        <f t="shared" ref="L4986:L4993" si="1819">"S48.03.31"</f>
        <v>S48.03.31</v>
      </c>
      <c r="M4986" s="7">
        <v>2702.85</v>
      </c>
      <c r="N4986" s="7">
        <v>301439542</v>
      </c>
      <c r="O4986" s="7">
        <v>171115617</v>
      </c>
      <c r="P4986" s="7">
        <v>0</v>
      </c>
      <c r="Q4986" s="7" t="str">
        <f t="shared" si="1800"/>
        <v>教育庁</v>
      </c>
      <c r="R4986" s="7" t="str">
        <f t="shared" si="1816"/>
        <v>摂津高等学校</v>
      </c>
    </row>
    <row r="4987" spans="1:18" s="1" customFormat="1" x14ac:dyDescent="0.45">
      <c r="A4987" s="7" t="str">
        <f t="shared" si="1813"/>
        <v>10392000000</v>
      </c>
      <c r="B4987" s="7" t="str">
        <f t="shared" si="1814"/>
        <v>摂津高等学校</v>
      </c>
      <c r="C4987" s="7" t="str">
        <f t="shared" si="1794"/>
        <v>行政財産</v>
      </c>
      <c r="D4987" s="7" t="str">
        <f t="shared" si="1817"/>
        <v>学校</v>
      </c>
      <c r="E4987" s="7" t="str">
        <f t="shared" si="1815"/>
        <v>大阪府摂津市学園町１丁目</v>
      </c>
      <c r="F4987" s="7"/>
      <c r="G4987" s="7" t="str">
        <f t="shared" si="1795"/>
        <v>事業用資産</v>
      </c>
      <c r="H4987" s="7" t="str">
        <f t="shared" si="1789"/>
        <v>棚卸以外</v>
      </c>
      <c r="I4987" s="7">
        <v>7</v>
      </c>
      <c r="J4987" s="7" t="str">
        <f>"３号館"</f>
        <v>３号館</v>
      </c>
      <c r="K4987" s="7" t="str">
        <f t="shared" si="1818"/>
        <v>鉄筋コンクリート造</v>
      </c>
      <c r="L4987" s="7" t="str">
        <f t="shared" si="1819"/>
        <v>S48.03.31</v>
      </c>
      <c r="M4987" s="7">
        <v>2492.94</v>
      </c>
      <c r="N4987" s="7">
        <v>222856146</v>
      </c>
      <c r="O4987" s="7">
        <v>156167975</v>
      </c>
      <c r="P4987" s="7">
        <v>0</v>
      </c>
      <c r="Q4987" s="7" t="str">
        <f t="shared" si="1800"/>
        <v>教育庁</v>
      </c>
      <c r="R4987" s="7" t="str">
        <f t="shared" si="1816"/>
        <v>摂津高等学校</v>
      </c>
    </row>
    <row r="4988" spans="1:18" s="1" customFormat="1" x14ac:dyDescent="0.45">
      <c r="A4988" s="7" t="str">
        <f t="shared" si="1813"/>
        <v>10392000000</v>
      </c>
      <c r="B4988" s="7" t="str">
        <f t="shared" si="1814"/>
        <v>摂津高等学校</v>
      </c>
      <c r="C4988" s="7" t="str">
        <f t="shared" si="1794"/>
        <v>行政財産</v>
      </c>
      <c r="D4988" s="7" t="str">
        <f t="shared" si="1817"/>
        <v>学校</v>
      </c>
      <c r="E4988" s="7" t="str">
        <f t="shared" si="1815"/>
        <v>大阪府摂津市学園町１丁目</v>
      </c>
      <c r="F4988" s="7"/>
      <c r="G4988" s="7" t="str">
        <f t="shared" si="1795"/>
        <v>事業用資産</v>
      </c>
      <c r="H4988" s="7" t="str">
        <f t="shared" si="1789"/>
        <v>棚卸以外</v>
      </c>
      <c r="I4988" s="7">
        <v>8</v>
      </c>
      <c r="J4988" s="7" t="str">
        <f>"渡り廊下"</f>
        <v>渡り廊下</v>
      </c>
      <c r="K4988" s="7" t="str">
        <f t="shared" si="1818"/>
        <v>鉄筋コンクリート造</v>
      </c>
      <c r="L4988" s="7" t="str">
        <f t="shared" si="1819"/>
        <v>S48.03.31</v>
      </c>
      <c r="M4988" s="7">
        <v>290.7</v>
      </c>
      <c r="N4988" s="7">
        <v>18440730</v>
      </c>
      <c r="O4988" s="7">
        <v>14884081</v>
      </c>
      <c r="P4988" s="7">
        <v>0</v>
      </c>
      <c r="Q4988" s="7" t="str">
        <f t="shared" si="1800"/>
        <v>教育庁</v>
      </c>
      <c r="R4988" s="7" t="str">
        <f t="shared" si="1816"/>
        <v>摂津高等学校</v>
      </c>
    </row>
    <row r="4989" spans="1:18" s="1" customFormat="1" x14ac:dyDescent="0.45">
      <c r="A4989" s="7" t="str">
        <f t="shared" si="1813"/>
        <v>10392000000</v>
      </c>
      <c r="B4989" s="7" t="str">
        <f t="shared" si="1814"/>
        <v>摂津高等学校</v>
      </c>
      <c r="C4989" s="7" t="str">
        <f t="shared" si="1794"/>
        <v>行政財産</v>
      </c>
      <c r="D4989" s="7" t="str">
        <f t="shared" si="1817"/>
        <v>学校</v>
      </c>
      <c r="E4989" s="7" t="str">
        <f t="shared" si="1815"/>
        <v>大阪府摂津市学園町１丁目</v>
      </c>
      <c r="F4989" s="7"/>
      <c r="G4989" s="7" t="str">
        <f t="shared" si="1795"/>
        <v>事業用資産</v>
      </c>
      <c r="H4989" s="7" t="str">
        <f t="shared" si="1789"/>
        <v>棚卸以外</v>
      </c>
      <c r="I4989" s="7">
        <v>9</v>
      </c>
      <c r="J4989" s="7" t="str">
        <f>"渡り廊下"</f>
        <v>渡り廊下</v>
      </c>
      <c r="K4989" s="7" t="str">
        <f t="shared" si="1818"/>
        <v>鉄筋コンクリート造</v>
      </c>
      <c r="L4989" s="7" t="str">
        <f t="shared" si="1819"/>
        <v>S48.03.31</v>
      </c>
      <c r="M4989" s="7">
        <v>282</v>
      </c>
      <c r="N4989" s="7">
        <v>13835985</v>
      </c>
      <c r="O4989" s="7">
        <v>13262855</v>
      </c>
      <c r="P4989" s="7">
        <v>0</v>
      </c>
      <c r="Q4989" s="7" t="str">
        <f t="shared" si="1800"/>
        <v>教育庁</v>
      </c>
      <c r="R4989" s="7" t="str">
        <f t="shared" si="1816"/>
        <v>摂津高等学校</v>
      </c>
    </row>
    <row r="4990" spans="1:18" s="1" customFormat="1" x14ac:dyDescent="0.45">
      <c r="A4990" s="7" t="str">
        <f t="shared" si="1813"/>
        <v>10392000000</v>
      </c>
      <c r="B4990" s="7" t="str">
        <f t="shared" si="1814"/>
        <v>摂津高等学校</v>
      </c>
      <c r="C4990" s="7" t="str">
        <f t="shared" si="1794"/>
        <v>行政財産</v>
      </c>
      <c r="D4990" s="7" t="str">
        <f t="shared" si="1817"/>
        <v>学校</v>
      </c>
      <c r="E4990" s="7" t="str">
        <f t="shared" si="1815"/>
        <v>大阪府摂津市学園町１丁目</v>
      </c>
      <c r="F4990" s="7"/>
      <c r="G4990" s="7" t="str">
        <f t="shared" si="1795"/>
        <v>事業用資産</v>
      </c>
      <c r="H4990" s="7" t="str">
        <f t="shared" si="1789"/>
        <v>棚卸以外</v>
      </c>
      <c r="I4990" s="7">
        <v>10</v>
      </c>
      <c r="J4990" s="7" t="str">
        <f>"渡り廊下"</f>
        <v>渡り廊下</v>
      </c>
      <c r="K4990" s="7" t="str">
        <f t="shared" si="1818"/>
        <v>鉄筋コンクリート造</v>
      </c>
      <c r="L4990" s="7" t="str">
        <f t="shared" si="1819"/>
        <v>S48.03.31</v>
      </c>
      <c r="M4990" s="7">
        <v>310.5</v>
      </c>
      <c r="N4990" s="7">
        <v>19829704</v>
      </c>
      <c r="O4990" s="7">
        <v>15981159</v>
      </c>
      <c r="P4990" s="7">
        <v>0</v>
      </c>
      <c r="Q4990" s="7" t="str">
        <f t="shared" si="1800"/>
        <v>教育庁</v>
      </c>
      <c r="R4990" s="7" t="str">
        <f t="shared" si="1816"/>
        <v>摂津高等学校</v>
      </c>
    </row>
    <row r="4991" spans="1:18" s="1" customFormat="1" x14ac:dyDescent="0.45">
      <c r="A4991" s="7" t="str">
        <f t="shared" si="1813"/>
        <v>10392000000</v>
      </c>
      <c r="B4991" s="7" t="str">
        <f t="shared" si="1814"/>
        <v>摂津高等学校</v>
      </c>
      <c r="C4991" s="7" t="str">
        <f t="shared" si="1794"/>
        <v>行政財産</v>
      </c>
      <c r="D4991" s="7" t="str">
        <f t="shared" si="1817"/>
        <v>学校</v>
      </c>
      <c r="E4991" s="7" t="str">
        <f t="shared" si="1815"/>
        <v>大阪府摂津市学園町１丁目</v>
      </c>
      <c r="F4991" s="7"/>
      <c r="G4991" s="7" t="str">
        <f t="shared" si="1795"/>
        <v>事業用資産</v>
      </c>
      <c r="H4991" s="7" t="str">
        <f t="shared" si="1789"/>
        <v>棚卸以外</v>
      </c>
      <c r="I4991" s="7">
        <v>11</v>
      </c>
      <c r="J4991" s="7" t="str">
        <f>"自転車置場"</f>
        <v>自転車置場</v>
      </c>
      <c r="K4991" s="7" t="str">
        <f>"鉄骨造"</f>
        <v>鉄骨造</v>
      </c>
      <c r="L4991" s="7" t="str">
        <f t="shared" si="1819"/>
        <v>S48.03.31</v>
      </c>
      <c r="M4991" s="7">
        <v>37.5</v>
      </c>
      <c r="N4991" s="7">
        <v>546000</v>
      </c>
      <c r="O4991" s="7">
        <v>545999</v>
      </c>
      <c r="P4991" s="7">
        <v>0</v>
      </c>
      <c r="Q4991" s="7" t="str">
        <f t="shared" si="1800"/>
        <v>教育庁</v>
      </c>
      <c r="R4991" s="7" t="str">
        <f t="shared" si="1816"/>
        <v>摂津高等学校</v>
      </c>
    </row>
    <row r="4992" spans="1:18" s="1" customFormat="1" x14ac:dyDescent="0.45">
      <c r="A4992" s="7" t="str">
        <f t="shared" si="1813"/>
        <v>10392000000</v>
      </c>
      <c r="B4992" s="7" t="str">
        <f t="shared" si="1814"/>
        <v>摂津高等学校</v>
      </c>
      <c r="C4992" s="7" t="str">
        <f t="shared" si="1794"/>
        <v>行政財産</v>
      </c>
      <c r="D4992" s="7" t="str">
        <f t="shared" si="1817"/>
        <v>学校</v>
      </c>
      <c r="E4992" s="7" t="str">
        <f t="shared" si="1815"/>
        <v>大阪府摂津市学園町１丁目</v>
      </c>
      <c r="F4992" s="7"/>
      <c r="G4992" s="7" t="str">
        <f t="shared" si="1795"/>
        <v>事業用資産</v>
      </c>
      <c r="H4992" s="7" t="str">
        <f t="shared" si="1789"/>
        <v>棚卸以外</v>
      </c>
      <c r="I4992" s="7">
        <v>12</v>
      </c>
      <c r="J4992" s="7" t="str">
        <f>"自転車置場"</f>
        <v>自転車置場</v>
      </c>
      <c r="K4992" s="7" t="str">
        <f>"鉄骨造"</f>
        <v>鉄骨造</v>
      </c>
      <c r="L4992" s="7" t="str">
        <f t="shared" si="1819"/>
        <v>S48.03.31</v>
      </c>
      <c r="M4992" s="7">
        <v>37.5</v>
      </c>
      <c r="N4992" s="7">
        <v>546000</v>
      </c>
      <c r="O4992" s="7">
        <v>545999</v>
      </c>
      <c r="P4992" s="7">
        <v>0</v>
      </c>
      <c r="Q4992" s="7" t="str">
        <f t="shared" si="1800"/>
        <v>教育庁</v>
      </c>
      <c r="R4992" s="7" t="str">
        <f t="shared" si="1816"/>
        <v>摂津高等学校</v>
      </c>
    </row>
    <row r="4993" spans="1:18" s="1" customFormat="1" x14ac:dyDescent="0.45">
      <c r="A4993" s="7" t="str">
        <f t="shared" si="1813"/>
        <v>10392000000</v>
      </c>
      <c r="B4993" s="7" t="str">
        <f t="shared" si="1814"/>
        <v>摂津高等学校</v>
      </c>
      <c r="C4993" s="7" t="str">
        <f t="shared" si="1794"/>
        <v>行政財産</v>
      </c>
      <c r="D4993" s="7" t="str">
        <f t="shared" si="1817"/>
        <v>学校</v>
      </c>
      <c r="E4993" s="7" t="str">
        <f t="shared" si="1815"/>
        <v>大阪府摂津市学園町１丁目</v>
      </c>
      <c r="F4993" s="7"/>
      <c r="G4993" s="7" t="str">
        <f t="shared" si="1795"/>
        <v>事業用資産</v>
      </c>
      <c r="H4993" s="7" t="str">
        <f t="shared" si="1789"/>
        <v>棚卸以外</v>
      </c>
      <c r="I4993" s="7">
        <v>13</v>
      </c>
      <c r="J4993" s="7" t="str">
        <f>"自転車置場"</f>
        <v>自転車置場</v>
      </c>
      <c r="K4993" s="7" t="str">
        <f>"鉄骨造"</f>
        <v>鉄骨造</v>
      </c>
      <c r="L4993" s="7" t="str">
        <f t="shared" si="1819"/>
        <v>S48.03.31</v>
      </c>
      <c r="M4993" s="7">
        <v>125</v>
      </c>
      <c r="N4993" s="7">
        <v>1824000</v>
      </c>
      <c r="O4993" s="7">
        <v>1823999</v>
      </c>
      <c r="P4993" s="7">
        <v>0</v>
      </c>
      <c r="Q4993" s="7" t="str">
        <f t="shared" si="1800"/>
        <v>教育庁</v>
      </c>
      <c r="R4993" s="7" t="str">
        <f t="shared" si="1816"/>
        <v>摂津高等学校</v>
      </c>
    </row>
    <row r="4994" spans="1:18" s="1" customFormat="1" x14ac:dyDescent="0.45">
      <c r="A4994" s="7" t="str">
        <f t="shared" si="1813"/>
        <v>10392000000</v>
      </c>
      <c r="B4994" s="7" t="str">
        <f t="shared" si="1814"/>
        <v>摂津高等学校</v>
      </c>
      <c r="C4994" s="7" t="str">
        <f t="shared" si="1794"/>
        <v>行政財産</v>
      </c>
      <c r="D4994" s="7" t="str">
        <f t="shared" si="1817"/>
        <v>学校</v>
      </c>
      <c r="E4994" s="7" t="str">
        <f t="shared" si="1815"/>
        <v>大阪府摂津市学園町１丁目</v>
      </c>
      <c r="F4994" s="7"/>
      <c r="G4994" s="7" t="str">
        <f t="shared" si="1795"/>
        <v>事業用資産</v>
      </c>
      <c r="H4994" s="7" t="str">
        <f t="shared" si="1789"/>
        <v>棚卸以外</v>
      </c>
      <c r="I4994" s="7">
        <v>14</v>
      </c>
      <c r="J4994" s="7" t="str">
        <f>"体育館"</f>
        <v>体育館</v>
      </c>
      <c r="K4994" s="7" t="str">
        <f>"鉄筋コンクリート造"</f>
        <v>鉄筋コンクリート造</v>
      </c>
      <c r="L4994" s="7" t="str">
        <f>"S48.06.05"</f>
        <v>S48.06.05</v>
      </c>
      <c r="M4994" s="7">
        <v>3015.81</v>
      </c>
      <c r="N4994" s="7">
        <v>278479014</v>
      </c>
      <c r="O4994" s="7">
        <v>193762181</v>
      </c>
      <c r="P4994" s="7">
        <v>0</v>
      </c>
      <c r="Q4994" s="7" t="str">
        <f t="shared" si="1800"/>
        <v>教育庁</v>
      </c>
      <c r="R4994" s="7" t="str">
        <f t="shared" si="1816"/>
        <v>摂津高等学校</v>
      </c>
    </row>
    <row r="4995" spans="1:18" s="1" customFormat="1" x14ac:dyDescent="0.45">
      <c r="A4995" s="7" t="str">
        <f t="shared" si="1813"/>
        <v>10392000000</v>
      </c>
      <c r="B4995" s="7" t="str">
        <f t="shared" si="1814"/>
        <v>摂津高等学校</v>
      </c>
      <c r="C4995" s="7" t="str">
        <f t="shared" si="1794"/>
        <v>行政財産</v>
      </c>
      <c r="D4995" s="7" t="str">
        <f t="shared" si="1817"/>
        <v>学校</v>
      </c>
      <c r="E4995" s="7" t="str">
        <f t="shared" si="1815"/>
        <v>大阪府摂津市学園町１丁目</v>
      </c>
      <c r="F4995" s="7"/>
      <c r="G4995" s="7" t="str">
        <f t="shared" si="1795"/>
        <v>事業用資産</v>
      </c>
      <c r="H4995" s="7" t="str">
        <f t="shared" si="1789"/>
        <v>棚卸以外</v>
      </c>
      <c r="I4995" s="7">
        <v>15</v>
      </c>
      <c r="J4995" s="7" t="str">
        <f>"プール附属棟"</f>
        <v>プール附属棟</v>
      </c>
      <c r="K4995" s="7" t="str">
        <f>"鉄筋コンクリート造"</f>
        <v>鉄筋コンクリート造</v>
      </c>
      <c r="L4995" s="7" t="str">
        <f>"S48.06.05"</f>
        <v>S48.06.05</v>
      </c>
      <c r="M4995" s="7">
        <v>138</v>
      </c>
      <c r="N4995" s="7">
        <v>14690000</v>
      </c>
      <c r="O4995" s="7">
        <v>14689998</v>
      </c>
      <c r="P4995" s="7">
        <v>0</v>
      </c>
      <c r="Q4995" s="7" t="str">
        <f t="shared" si="1800"/>
        <v>教育庁</v>
      </c>
      <c r="R4995" s="7" t="str">
        <f t="shared" si="1816"/>
        <v>摂津高等学校</v>
      </c>
    </row>
    <row r="4996" spans="1:18" s="1" customFormat="1" x14ac:dyDescent="0.45">
      <c r="A4996" s="7" t="str">
        <f t="shared" si="1813"/>
        <v>10392000000</v>
      </c>
      <c r="B4996" s="7" t="str">
        <f t="shared" si="1814"/>
        <v>摂津高等学校</v>
      </c>
      <c r="C4996" s="7" t="str">
        <f t="shared" si="1794"/>
        <v>行政財産</v>
      </c>
      <c r="D4996" s="7" t="str">
        <f t="shared" si="1817"/>
        <v>学校</v>
      </c>
      <c r="E4996" s="7" t="str">
        <f t="shared" si="1815"/>
        <v>大阪府摂津市学園町１丁目</v>
      </c>
      <c r="F4996" s="7"/>
      <c r="G4996" s="7" t="str">
        <f t="shared" si="1795"/>
        <v>事業用資産</v>
      </c>
      <c r="H4996" s="7" t="str">
        <f t="shared" ref="H4996:H5059" si="1820">"棚卸以外"</f>
        <v>棚卸以外</v>
      </c>
      <c r="I4996" s="7">
        <v>16</v>
      </c>
      <c r="J4996" s="7" t="str">
        <f>"４号館"</f>
        <v>４号館</v>
      </c>
      <c r="K4996" s="7" t="str">
        <f>"鉄筋コンクリート造"</f>
        <v>鉄筋コンクリート造</v>
      </c>
      <c r="L4996" s="7" t="str">
        <f>"S49.03.30"</f>
        <v>S49.03.30</v>
      </c>
      <c r="M4996" s="7">
        <v>2510.56</v>
      </c>
      <c r="N4996" s="7">
        <v>213705430</v>
      </c>
      <c r="O4996" s="7">
        <v>160246509</v>
      </c>
      <c r="P4996" s="7">
        <v>0</v>
      </c>
      <c r="Q4996" s="7" t="str">
        <f t="shared" si="1800"/>
        <v>教育庁</v>
      </c>
      <c r="R4996" s="7" t="str">
        <f t="shared" si="1816"/>
        <v>摂津高等学校</v>
      </c>
    </row>
    <row r="4997" spans="1:18" s="1" customFormat="1" x14ac:dyDescent="0.45">
      <c r="A4997" s="7" t="str">
        <f t="shared" si="1813"/>
        <v>10392000000</v>
      </c>
      <c r="B4997" s="7" t="str">
        <f t="shared" si="1814"/>
        <v>摂津高等学校</v>
      </c>
      <c r="C4997" s="7" t="str">
        <f t="shared" si="1794"/>
        <v>行政財産</v>
      </c>
      <c r="D4997" s="7" t="str">
        <f t="shared" si="1817"/>
        <v>学校</v>
      </c>
      <c r="E4997" s="7" t="str">
        <f t="shared" si="1815"/>
        <v>大阪府摂津市学園町１丁目</v>
      </c>
      <c r="F4997" s="7"/>
      <c r="G4997" s="7" t="str">
        <f t="shared" si="1795"/>
        <v>事業用資産</v>
      </c>
      <c r="H4997" s="7" t="str">
        <f t="shared" si="1820"/>
        <v>棚卸以外</v>
      </c>
      <c r="I4997" s="7">
        <v>17</v>
      </c>
      <c r="J4997" s="7" t="str">
        <f>"５号館"</f>
        <v>５号館</v>
      </c>
      <c r="K4997" s="7" t="str">
        <f>"鉄筋コンクリート造"</f>
        <v>鉄筋コンクリート造</v>
      </c>
      <c r="L4997" s="7" t="str">
        <f>"S49.03.30"</f>
        <v>S49.03.30</v>
      </c>
      <c r="M4997" s="7">
        <v>819.91</v>
      </c>
      <c r="N4997" s="7">
        <v>68427165</v>
      </c>
      <c r="O4997" s="7">
        <v>63890047</v>
      </c>
      <c r="P4997" s="7">
        <v>0</v>
      </c>
      <c r="Q4997" s="7" t="str">
        <f t="shared" si="1800"/>
        <v>教育庁</v>
      </c>
      <c r="R4997" s="7" t="str">
        <f t="shared" si="1816"/>
        <v>摂津高等学校</v>
      </c>
    </row>
    <row r="4998" spans="1:18" s="1" customFormat="1" x14ac:dyDescent="0.45">
      <c r="A4998" s="7" t="str">
        <f t="shared" si="1813"/>
        <v>10392000000</v>
      </c>
      <c r="B4998" s="7" t="str">
        <f t="shared" si="1814"/>
        <v>摂津高等学校</v>
      </c>
      <c r="C4998" s="7" t="str">
        <f t="shared" si="1794"/>
        <v>行政財産</v>
      </c>
      <c r="D4998" s="7" t="str">
        <f t="shared" si="1817"/>
        <v>学校</v>
      </c>
      <c r="E4998" s="7" t="str">
        <f t="shared" si="1815"/>
        <v>大阪府摂津市学園町１丁目</v>
      </c>
      <c r="F4998" s="7"/>
      <c r="G4998" s="7" t="str">
        <f t="shared" si="1795"/>
        <v>事業用資産</v>
      </c>
      <c r="H4998" s="7" t="str">
        <f t="shared" si="1820"/>
        <v>棚卸以外</v>
      </c>
      <c r="I4998" s="7">
        <v>18</v>
      </c>
      <c r="J4998" s="7" t="str">
        <f>"下足室"</f>
        <v>下足室</v>
      </c>
      <c r="K4998" s="7" t="str">
        <f t="shared" ref="K4998:K5004" si="1821">"鉄骨造"</f>
        <v>鉄骨造</v>
      </c>
      <c r="L4998" s="7" t="str">
        <f>"S49.03.30"</f>
        <v>S49.03.30</v>
      </c>
      <c r="M4998" s="7">
        <v>262.35000000000002</v>
      </c>
      <c r="N4998" s="7">
        <v>23539570</v>
      </c>
      <c r="O4998" s="7">
        <v>21045147</v>
      </c>
      <c r="P4998" s="7">
        <v>0</v>
      </c>
      <c r="Q4998" s="7" t="str">
        <f t="shared" si="1800"/>
        <v>教育庁</v>
      </c>
      <c r="R4998" s="7" t="str">
        <f t="shared" si="1816"/>
        <v>摂津高等学校</v>
      </c>
    </row>
    <row r="4999" spans="1:18" s="1" customFormat="1" x14ac:dyDescent="0.45">
      <c r="A4999" s="7" t="str">
        <f t="shared" si="1813"/>
        <v>10392000000</v>
      </c>
      <c r="B4999" s="7" t="str">
        <f t="shared" si="1814"/>
        <v>摂津高等学校</v>
      </c>
      <c r="C4999" s="7" t="str">
        <f t="shared" si="1794"/>
        <v>行政財産</v>
      </c>
      <c r="D4999" s="7" t="str">
        <f t="shared" si="1817"/>
        <v>学校</v>
      </c>
      <c r="E4999" s="7" t="str">
        <f t="shared" si="1815"/>
        <v>大阪府摂津市学園町１丁目</v>
      </c>
      <c r="F4999" s="7"/>
      <c r="G4999" s="7" t="str">
        <f t="shared" si="1795"/>
        <v>事業用資産</v>
      </c>
      <c r="H4999" s="7" t="str">
        <f t="shared" si="1820"/>
        <v>棚卸以外</v>
      </c>
      <c r="I4999" s="7">
        <v>19</v>
      </c>
      <c r="J4999" s="7" t="str">
        <f>"自転車置場"</f>
        <v>自転車置場</v>
      </c>
      <c r="K4999" s="7" t="str">
        <f t="shared" si="1821"/>
        <v>鉄骨造</v>
      </c>
      <c r="L4999" s="7" t="str">
        <f>"S50.03.31"</f>
        <v>S50.03.31</v>
      </c>
      <c r="M4999" s="7">
        <v>100</v>
      </c>
      <c r="N4999" s="7">
        <v>2689000</v>
      </c>
      <c r="O4999" s="7">
        <v>2688999</v>
      </c>
      <c r="P4999" s="7">
        <v>0</v>
      </c>
      <c r="Q4999" s="7" t="str">
        <f t="shared" si="1800"/>
        <v>教育庁</v>
      </c>
      <c r="R4999" s="7" t="str">
        <f t="shared" si="1816"/>
        <v>摂津高等学校</v>
      </c>
    </row>
    <row r="5000" spans="1:18" s="1" customFormat="1" x14ac:dyDescent="0.45">
      <c r="A5000" s="7" t="str">
        <f t="shared" si="1813"/>
        <v>10392000000</v>
      </c>
      <c r="B5000" s="7" t="str">
        <f t="shared" si="1814"/>
        <v>摂津高等学校</v>
      </c>
      <c r="C5000" s="7" t="str">
        <f t="shared" si="1794"/>
        <v>行政財産</v>
      </c>
      <c r="D5000" s="7" t="str">
        <f t="shared" si="1817"/>
        <v>学校</v>
      </c>
      <c r="E5000" s="7" t="str">
        <f t="shared" si="1815"/>
        <v>大阪府摂津市学園町１丁目</v>
      </c>
      <c r="F5000" s="7"/>
      <c r="G5000" s="7" t="str">
        <f t="shared" si="1795"/>
        <v>事業用資産</v>
      </c>
      <c r="H5000" s="7" t="str">
        <f t="shared" si="1820"/>
        <v>棚卸以外</v>
      </c>
      <c r="I5000" s="7">
        <v>20</v>
      </c>
      <c r="J5000" s="7" t="str">
        <f>"自転車置場"</f>
        <v>自転車置場</v>
      </c>
      <c r="K5000" s="7" t="str">
        <f t="shared" si="1821"/>
        <v>鉄骨造</v>
      </c>
      <c r="L5000" s="7" t="str">
        <f>"S54.08.30"</f>
        <v>S54.08.30</v>
      </c>
      <c r="M5000" s="7">
        <v>61.44</v>
      </c>
      <c r="N5000" s="7">
        <v>3200000</v>
      </c>
      <c r="O5000" s="7">
        <v>3199999</v>
      </c>
      <c r="P5000" s="7">
        <v>0</v>
      </c>
      <c r="Q5000" s="7" t="str">
        <f t="shared" si="1800"/>
        <v>教育庁</v>
      </c>
      <c r="R5000" s="7" t="str">
        <f t="shared" si="1816"/>
        <v>摂津高等学校</v>
      </c>
    </row>
    <row r="5001" spans="1:18" s="1" customFormat="1" x14ac:dyDescent="0.45">
      <c r="A5001" s="7" t="str">
        <f t="shared" si="1813"/>
        <v>10392000000</v>
      </c>
      <c r="B5001" s="7" t="str">
        <f t="shared" si="1814"/>
        <v>摂津高等学校</v>
      </c>
      <c r="C5001" s="7" t="str">
        <f t="shared" si="1794"/>
        <v>行政財産</v>
      </c>
      <c r="D5001" s="7" t="str">
        <f t="shared" si="1817"/>
        <v>学校</v>
      </c>
      <c r="E5001" s="7" t="str">
        <f t="shared" si="1815"/>
        <v>大阪府摂津市学園町１丁目</v>
      </c>
      <c r="F5001" s="7"/>
      <c r="G5001" s="7" t="str">
        <f t="shared" si="1795"/>
        <v>事業用資産</v>
      </c>
      <c r="H5001" s="7" t="str">
        <f t="shared" si="1820"/>
        <v>棚卸以外</v>
      </c>
      <c r="I5001" s="7">
        <v>21</v>
      </c>
      <c r="J5001" s="7" t="str">
        <f>"組立式倉庫"</f>
        <v>組立式倉庫</v>
      </c>
      <c r="K5001" s="7" t="str">
        <f t="shared" si="1821"/>
        <v>鉄骨造</v>
      </c>
      <c r="L5001" s="7" t="str">
        <f>"H05.03.29"</f>
        <v>H05.03.29</v>
      </c>
      <c r="M5001" s="7">
        <v>31</v>
      </c>
      <c r="N5001" s="7">
        <v>800000</v>
      </c>
      <c r="O5001" s="7">
        <v>774360</v>
      </c>
      <c r="P5001" s="7">
        <v>0</v>
      </c>
      <c r="Q5001" s="7" t="str">
        <f t="shared" si="1800"/>
        <v>教育庁</v>
      </c>
      <c r="R5001" s="7" t="str">
        <f t="shared" si="1816"/>
        <v>摂津高等学校</v>
      </c>
    </row>
    <row r="5002" spans="1:18" s="1" customFormat="1" x14ac:dyDescent="0.45">
      <c r="A5002" s="7" t="str">
        <f t="shared" ref="A5002:A5018" si="1822">"10394000000"</f>
        <v>10394000000</v>
      </c>
      <c r="B5002" s="7" t="str">
        <f t="shared" ref="B5002:B5018" si="1823">"島本高等学校"</f>
        <v>島本高等学校</v>
      </c>
      <c r="C5002" s="7" t="str">
        <f t="shared" si="1794"/>
        <v>行政財産</v>
      </c>
      <c r="D5002" s="7" t="str">
        <f t="shared" si="1817"/>
        <v>学校</v>
      </c>
      <c r="E5002" s="7" t="str">
        <f t="shared" ref="E5002:E5018" si="1824">"大阪府三島郡　島本町桜井台"</f>
        <v>大阪府三島郡　島本町桜井台</v>
      </c>
      <c r="F5002" s="7"/>
      <c r="G5002" s="7" t="str">
        <f t="shared" si="1795"/>
        <v>事業用資産</v>
      </c>
      <c r="H5002" s="7" t="str">
        <f t="shared" si="1820"/>
        <v>棚卸以外</v>
      </c>
      <c r="I5002" s="7">
        <v>1</v>
      </c>
      <c r="J5002" s="7" t="str">
        <f>"特別教室棟"</f>
        <v>特別教室棟</v>
      </c>
      <c r="K5002" s="7" t="str">
        <f t="shared" si="1821"/>
        <v>鉄骨造</v>
      </c>
      <c r="L5002" s="7" t="str">
        <f t="shared" ref="L5002:L5008" si="1825">"S49.04.30"</f>
        <v>S49.04.30</v>
      </c>
      <c r="M5002" s="7">
        <v>3814.5</v>
      </c>
      <c r="N5002" s="7">
        <v>459682536</v>
      </c>
      <c r="O5002" s="7">
        <v>428938983</v>
      </c>
      <c r="P5002" s="7">
        <v>0</v>
      </c>
      <c r="Q5002" s="7" t="str">
        <f t="shared" si="1800"/>
        <v>教育庁</v>
      </c>
      <c r="R5002" s="7" t="str">
        <f t="shared" ref="R5002:R5018" si="1826">"島本高等学校"</f>
        <v>島本高等学校</v>
      </c>
    </row>
    <row r="5003" spans="1:18" s="1" customFormat="1" x14ac:dyDescent="0.45">
      <c r="A5003" s="7" t="str">
        <f t="shared" si="1822"/>
        <v>10394000000</v>
      </c>
      <c r="B5003" s="7" t="str">
        <f t="shared" si="1823"/>
        <v>島本高等学校</v>
      </c>
      <c r="C5003" s="7" t="str">
        <f t="shared" si="1794"/>
        <v>行政財産</v>
      </c>
      <c r="D5003" s="7" t="str">
        <f t="shared" si="1817"/>
        <v>学校</v>
      </c>
      <c r="E5003" s="7" t="str">
        <f t="shared" si="1824"/>
        <v>大阪府三島郡　島本町桜井台</v>
      </c>
      <c r="F5003" s="7"/>
      <c r="G5003" s="7" t="str">
        <f t="shared" si="1795"/>
        <v>事業用資産</v>
      </c>
      <c r="H5003" s="7" t="str">
        <f t="shared" si="1820"/>
        <v>棚卸以外</v>
      </c>
      <c r="I5003" s="7">
        <v>2</v>
      </c>
      <c r="J5003" s="7" t="str">
        <f>"普通教室棟"</f>
        <v>普通教室棟</v>
      </c>
      <c r="K5003" s="7" t="str">
        <f t="shared" si="1821"/>
        <v>鉄骨造</v>
      </c>
      <c r="L5003" s="7" t="str">
        <f t="shared" si="1825"/>
        <v>S49.04.30</v>
      </c>
      <c r="M5003" s="7">
        <v>4234.3999999999996</v>
      </c>
      <c r="N5003" s="7">
        <v>440483029</v>
      </c>
      <c r="O5003" s="7">
        <v>424895193</v>
      </c>
      <c r="P5003" s="7">
        <v>0</v>
      </c>
      <c r="Q5003" s="7" t="str">
        <f t="shared" si="1800"/>
        <v>教育庁</v>
      </c>
      <c r="R5003" s="7" t="str">
        <f t="shared" si="1826"/>
        <v>島本高等学校</v>
      </c>
    </row>
    <row r="5004" spans="1:18" s="1" customFormat="1" x14ac:dyDescent="0.45">
      <c r="A5004" s="7" t="str">
        <f t="shared" si="1822"/>
        <v>10394000000</v>
      </c>
      <c r="B5004" s="7" t="str">
        <f t="shared" si="1823"/>
        <v>島本高等学校</v>
      </c>
      <c r="C5004" s="7" t="str">
        <f t="shared" si="1794"/>
        <v>行政財産</v>
      </c>
      <c r="D5004" s="7" t="str">
        <f t="shared" si="1817"/>
        <v>学校</v>
      </c>
      <c r="E5004" s="7" t="str">
        <f t="shared" si="1824"/>
        <v>大阪府三島郡　島本町桜井台</v>
      </c>
      <c r="F5004" s="7"/>
      <c r="G5004" s="7" t="str">
        <f t="shared" si="1795"/>
        <v>事業用資産</v>
      </c>
      <c r="H5004" s="7" t="str">
        <f t="shared" si="1820"/>
        <v>棚卸以外</v>
      </c>
      <c r="I5004" s="7">
        <v>3</v>
      </c>
      <c r="J5004" s="7" t="str">
        <f>"渡り廊下"</f>
        <v>渡り廊下</v>
      </c>
      <c r="K5004" s="7" t="str">
        <f t="shared" si="1821"/>
        <v>鉄骨造</v>
      </c>
      <c r="L5004" s="7" t="str">
        <f t="shared" si="1825"/>
        <v>S49.04.30</v>
      </c>
      <c r="M5004" s="7">
        <v>376.74</v>
      </c>
      <c r="N5004" s="7">
        <v>36846087</v>
      </c>
      <c r="O5004" s="7">
        <v>36045395</v>
      </c>
      <c r="P5004" s="7">
        <v>0</v>
      </c>
      <c r="Q5004" s="7" t="str">
        <f t="shared" si="1800"/>
        <v>教育庁</v>
      </c>
      <c r="R5004" s="7" t="str">
        <f t="shared" si="1826"/>
        <v>島本高等学校</v>
      </c>
    </row>
    <row r="5005" spans="1:18" s="1" customFormat="1" x14ac:dyDescent="0.45">
      <c r="A5005" s="7" t="str">
        <f t="shared" si="1822"/>
        <v>10394000000</v>
      </c>
      <c r="B5005" s="7" t="str">
        <f t="shared" si="1823"/>
        <v>島本高等学校</v>
      </c>
      <c r="C5005" s="7" t="str">
        <f t="shared" ref="C5005:C5068" si="1827">"行政財産"</f>
        <v>行政財産</v>
      </c>
      <c r="D5005" s="7" t="str">
        <f t="shared" si="1817"/>
        <v>学校</v>
      </c>
      <c r="E5005" s="7" t="str">
        <f t="shared" si="1824"/>
        <v>大阪府三島郡　島本町桜井台</v>
      </c>
      <c r="F5005" s="7"/>
      <c r="G5005" s="7" t="str">
        <f t="shared" si="1795"/>
        <v>事業用資産</v>
      </c>
      <c r="H5005" s="7" t="str">
        <f t="shared" si="1820"/>
        <v>棚卸以外</v>
      </c>
      <c r="I5005" s="7">
        <v>4</v>
      </c>
      <c r="J5005" s="7" t="str">
        <f>"設備棟"</f>
        <v>設備棟</v>
      </c>
      <c r="K5005" s="7" t="str">
        <f>"鉄筋コンクリート造"</f>
        <v>鉄筋コンクリート造</v>
      </c>
      <c r="L5005" s="7" t="str">
        <f t="shared" si="1825"/>
        <v>S49.04.30</v>
      </c>
      <c r="M5005" s="7">
        <v>91.26</v>
      </c>
      <c r="N5005" s="7">
        <v>16927000</v>
      </c>
      <c r="O5005" s="7">
        <v>16926999</v>
      </c>
      <c r="P5005" s="7">
        <v>0</v>
      </c>
      <c r="Q5005" s="7" t="str">
        <f t="shared" si="1800"/>
        <v>教育庁</v>
      </c>
      <c r="R5005" s="7" t="str">
        <f t="shared" si="1826"/>
        <v>島本高等学校</v>
      </c>
    </row>
    <row r="5006" spans="1:18" s="1" customFormat="1" x14ac:dyDescent="0.45">
      <c r="A5006" s="7" t="str">
        <f t="shared" si="1822"/>
        <v>10394000000</v>
      </c>
      <c r="B5006" s="7" t="str">
        <f t="shared" si="1823"/>
        <v>島本高等学校</v>
      </c>
      <c r="C5006" s="7" t="str">
        <f t="shared" si="1827"/>
        <v>行政財産</v>
      </c>
      <c r="D5006" s="7" t="str">
        <f t="shared" si="1817"/>
        <v>学校</v>
      </c>
      <c r="E5006" s="7" t="str">
        <f t="shared" si="1824"/>
        <v>大阪府三島郡　島本町桜井台</v>
      </c>
      <c r="F5006" s="7"/>
      <c r="G5006" s="7" t="str">
        <f t="shared" si="1795"/>
        <v>事業用資産</v>
      </c>
      <c r="H5006" s="7" t="str">
        <f t="shared" si="1820"/>
        <v>棚卸以外</v>
      </c>
      <c r="I5006" s="7">
        <v>5</v>
      </c>
      <c r="J5006" s="7" t="str">
        <f>"倉庫"</f>
        <v>倉庫</v>
      </c>
      <c r="K5006" s="7" t="str">
        <f>"鉄骨造"</f>
        <v>鉄骨造</v>
      </c>
      <c r="L5006" s="7" t="str">
        <f t="shared" si="1825"/>
        <v>S49.04.30</v>
      </c>
      <c r="M5006" s="7">
        <v>50</v>
      </c>
      <c r="N5006" s="7">
        <v>3298000</v>
      </c>
      <c r="O5006" s="7">
        <v>3297999</v>
      </c>
      <c r="P5006" s="7">
        <v>0</v>
      </c>
      <c r="Q5006" s="7" t="str">
        <f t="shared" si="1800"/>
        <v>教育庁</v>
      </c>
      <c r="R5006" s="7" t="str">
        <f t="shared" si="1826"/>
        <v>島本高等学校</v>
      </c>
    </row>
    <row r="5007" spans="1:18" s="1" customFormat="1" x14ac:dyDescent="0.45">
      <c r="A5007" s="7" t="str">
        <f t="shared" si="1822"/>
        <v>10394000000</v>
      </c>
      <c r="B5007" s="7" t="str">
        <f t="shared" si="1823"/>
        <v>島本高等学校</v>
      </c>
      <c r="C5007" s="7" t="str">
        <f t="shared" si="1827"/>
        <v>行政財産</v>
      </c>
      <c r="D5007" s="7" t="str">
        <f t="shared" si="1817"/>
        <v>学校</v>
      </c>
      <c r="E5007" s="7" t="str">
        <f t="shared" si="1824"/>
        <v>大阪府三島郡　島本町桜井台</v>
      </c>
      <c r="F5007" s="7"/>
      <c r="G5007" s="7" t="str">
        <f t="shared" si="1795"/>
        <v>事業用資産</v>
      </c>
      <c r="H5007" s="7" t="str">
        <f t="shared" si="1820"/>
        <v>棚卸以外</v>
      </c>
      <c r="I5007" s="7">
        <v>6</v>
      </c>
      <c r="J5007" s="7" t="str">
        <f>"自転車置場"</f>
        <v>自転車置場</v>
      </c>
      <c r="K5007" s="7" t="str">
        <f>"鉄骨造"</f>
        <v>鉄骨造</v>
      </c>
      <c r="L5007" s="7" t="str">
        <f t="shared" si="1825"/>
        <v>S49.04.30</v>
      </c>
      <c r="M5007" s="7">
        <v>200</v>
      </c>
      <c r="N5007" s="7">
        <v>8182000</v>
      </c>
      <c r="O5007" s="7">
        <v>8181999</v>
      </c>
      <c r="P5007" s="7">
        <v>0</v>
      </c>
      <c r="Q5007" s="7" t="str">
        <f t="shared" si="1800"/>
        <v>教育庁</v>
      </c>
      <c r="R5007" s="7" t="str">
        <f t="shared" si="1826"/>
        <v>島本高等学校</v>
      </c>
    </row>
    <row r="5008" spans="1:18" s="1" customFormat="1" x14ac:dyDescent="0.45">
      <c r="A5008" s="7" t="str">
        <f t="shared" si="1822"/>
        <v>10394000000</v>
      </c>
      <c r="B5008" s="7" t="str">
        <f t="shared" si="1823"/>
        <v>島本高等学校</v>
      </c>
      <c r="C5008" s="7" t="str">
        <f t="shared" si="1827"/>
        <v>行政財産</v>
      </c>
      <c r="D5008" s="7" t="str">
        <f t="shared" si="1817"/>
        <v>学校</v>
      </c>
      <c r="E5008" s="7" t="str">
        <f t="shared" si="1824"/>
        <v>大阪府三島郡　島本町桜井台</v>
      </c>
      <c r="F5008" s="7"/>
      <c r="G5008" s="7" t="str">
        <f t="shared" si="1795"/>
        <v>事業用資産</v>
      </c>
      <c r="H5008" s="7" t="str">
        <f t="shared" si="1820"/>
        <v>棚卸以外</v>
      </c>
      <c r="I5008" s="7">
        <v>7</v>
      </c>
      <c r="J5008" s="7" t="str">
        <f>"汚水処理場機械室"</f>
        <v>汚水処理場機械室</v>
      </c>
      <c r="K5008" s="7" t="str">
        <f>"コンクリートブロック造"</f>
        <v>コンクリートブロック造</v>
      </c>
      <c r="L5008" s="7" t="str">
        <f t="shared" si="1825"/>
        <v>S49.04.30</v>
      </c>
      <c r="M5008" s="7">
        <v>93.73</v>
      </c>
      <c r="N5008" s="7">
        <v>27524000</v>
      </c>
      <c r="O5008" s="7">
        <v>27523999</v>
      </c>
      <c r="P5008" s="7">
        <v>0</v>
      </c>
      <c r="Q5008" s="7" t="str">
        <f t="shared" si="1800"/>
        <v>教育庁</v>
      </c>
      <c r="R5008" s="7" t="str">
        <f t="shared" si="1826"/>
        <v>島本高等学校</v>
      </c>
    </row>
    <row r="5009" spans="1:18" s="1" customFormat="1" x14ac:dyDescent="0.45">
      <c r="A5009" s="7" t="str">
        <f t="shared" si="1822"/>
        <v>10394000000</v>
      </c>
      <c r="B5009" s="7" t="str">
        <f t="shared" si="1823"/>
        <v>島本高等学校</v>
      </c>
      <c r="C5009" s="7" t="str">
        <f t="shared" si="1827"/>
        <v>行政財産</v>
      </c>
      <c r="D5009" s="7" t="str">
        <f t="shared" si="1817"/>
        <v>学校</v>
      </c>
      <c r="E5009" s="7" t="str">
        <f t="shared" si="1824"/>
        <v>大阪府三島郡　島本町桜井台</v>
      </c>
      <c r="F5009" s="7"/>
      <c r="G5009" s="7" t="str">
        <f t="shared" si="1795"/>
        <v>事業用資産</v>
      </c>
      <c r="H5009" s="7" t="str">
        <f t="shared" si="1820"/>
        <v>棚卸以外</v>
      </c>
      <c r="I5009" s="7">
        <v>9</v>
      </c>
      <c r="J5009" s="7" t="str">
        <f>"理科教室棟"</f>
        <v>理科教室棟</v>
      </c>
      <c r="K5009" s="7" t="str">
        <f>"鉄骨造"</f>
        <v>鉄骨造</v>
      </c>
      <c r="L5009" s="7" t="str">
        <f>"S50.03.31"</f>
        <v>S50.03.31</v>
      </c>
      <c r="M5009" s="7">
        <v>2387.56</v>
      </c>
      <c r="N5009" s="7">
        <v>297948011</v>
      </c>
      <c r="O5009" s="7">
        <v>287472949</v>
      </c>
      <c r="P5009" s="7">
        <v>0</v>
      </c>
      <c r="Q5009" s="7" t="str">
        <f t="shared" si="1800"/>
        <v>教育庁</v>
      </c>
      <c r="R5009" s="7" t="str">
        <f t="shared" si="1826"/>
        <v>島本高等学校</v>
      </c>
    </row>
    <row r="5010" spans="1:18" s="1" customFormat="1" x14ac:dyDescent="0.45">
      <c r="A5010" s="7" t="str">
        <f t="shared" si="1822"/>
        <v>10394000000</v>
      </c>
      <c r="B5010" s="7" t="str">
        <f t="shared" si="1823"/>
        <v>島本高等学校</v>
      </c>
      <c r="C5010" s="7" t="str">
        <f t="shared" si="1827"/>
        <v>行政財産</v>
      </c>
      <c r="D5010" s="7" t="str">
        <f t="shared" si="1817"/>
        <v>学校</v>
      </c>
      <c r="E5010" s="7" t="str">
        <f t="shared" si="1824"/>
        <v>大阪府三島郡　島本町桜井台</v>
      </c>
      <c r="F5010" s="7"/>
      <c r="G5010" s="7" t="str">
        <f t="shared" si="1795"/>
        <v>事業用資産</v>
      </c>
      <c r="H5010" s="7" t="str">
        <f t="shared" si="1820"/>
        <v>棚卸以外</v>
      </c>
      <c r="I5010" s="7">
        <v>10</v>
      </c>
      <c r="J5010" s="7" t="str">
        <f>"渡り廊下"</f>
        <v>渡り廊下</v>
      </c>
      <c r="K5010" s="7" t="str">
        <f>"鉄骨造"</f>
        <v>鉄骨造</v>
      </c>
      <c r="L5010" s="7" t="str">
        <f>"S50.03.31"</f>
        <v>S50.03.31</v>
      </c>
      <c r="M5010" s="7">
        <v>353.88</v>
      </c>
      <c r="N5010" s="7">
        <v>46489000</v>
      </c>
      <c r="O5010" s="7">
        <v>46450569</v>
      </c>
      <c r="P5010" s="7">
        <v>0</v>
      </c>
      <c r="Q5010" s="7" t="str">
        <f t="shared" si="1800"/>
        <v>教育庁</v>
      </c>
      <c r="R5010" s="7" t="str">
        <f t="shared" si="1826"/>
        <v>島本高等学校</v>
      </c>
    </row>
    <row r="5011" spans="1:18" s="1" customFormat="1" x14ac:dyDescent="0.45">
      <c r="A5011" s="7" t="str">
        <f t="shared" si="1822"/>
        <v>10394000000</v>
      </c>
      <c r="B5011" s="7" t="str">
        <f t="shared" si="1823"/>
        <v>島本高等学校</v>
      </c>
      <c r="C5011" s="7" t="str">
        <f t="shared" si="1827"/>
        <v>行政財産</v>
      </c>
      <c r="D5011" s="7" t="str">
        <f t="shared" si="1817"/>
        <v>学校</v>
      </c>
      <c r="E5011" s="7" t="str">
        <f t="shared" si="1824"/>
        <v>大阪府三島郡　島本町桜井台</v>
      </c>
      <c r="F5011" s="7"/>
      <c r="G5011" s="7" t="str">
        <f t="shared" si="1795"/>
        <v>事業用資産</v>
      </c>
      <c r="H5011" s="7" t="str">
        <f t="shared" si="1820"/>
        <v>棚卸以外</v>
      </c>
      <c r="I5011" s="7">
        <v>11</v>
      </c>
      <c r="J5011" s="7" t="str">
        <f>"ごみ集積場"</f>
        <v>ごみ集積場</v>
      </c>
      <c r="K5011" s="7" t="str">
        <f>"コンクリートブロック造"</f>
        <v>コンクリートブロック造</v>
      </c>
      <c r="L5011" s="7" t="str">
        <f>"S50.03.31"</f>
        <v>S50.03.31</v>
      </c>
      <c r="M5011" s="7">
        <v>10.18</v>
      </c>
      <c r="N5011" s="7">
        <v>580000</v>
      </c>
      <c r="O5011" s="7">
        <v>579999</v>
      </c>
      <c r="P5011" s="7">
        <v>0</v>
      </c>
      <c r="Q5011" s="7" t="str">
        <f t="shared" si="1800"/>
        <v>教育庁</v>
      </c>
      <c r="R5011" s="7" t="str">
        <f t="shared" si="1826"/>
        <v>島本高等学校</v>
      </c>
    </row>
    <row r="5012" spans="1:18" s="1" customFormat="1" x14ac:dyDescent="0.45">
      <c r="A5012" s="7" t="str">
        <f t="shared" si="1822"/>
        <v>10394000000</v>
      </c>
      <c r="B5012" s="7" t="str">
        <f t="shared" si="1823"/>
        <v>島本高等学校</v>
      </c>
      <c r="C5012" s="7" t="str">
        <f t="shared" si="1827"/>
        <v>行政財産</v>
      </c>
      <c r="D5012" s="7" t="str">
        <f t="shared" si="1817"/>
        <v>学校</v>
      </c>
      <c r="E5012" s="7" t="str">
        <f t="shared" si="1824"/>
        <v>大阪府三島郡　島本町桜井台</v>
      </c>
      <c r="F5012" s="7"/>
      <c r="G5012" s="7" t="str">
        <f t="shared" si="1795"/>
        <v>事業用資産</v>
      </c>
      <c r="H5012" s="7" t="str">
        <f t="shared" si="1820"/>
        <v>棚卸以外</v>
      </c>
      <c r="I5012" s="7">
        <v>12</v>
      </c>
      <c r="J5012" s="7" t="str">
        <f>"体育館"</f>
        <v>体育館</v>
      </c>
      <c r="K5012" s="7" t="str">
        <f>"鉄筋コンクリート造"</f>
        <v>鉄筋コンクリート造</v>
      </c>
      <c r="L5012" s="7" t="str">
        <f>"S50.07.21"</f>
        <v>S50.07.21</v>
      </c>
      <c r="M5012" s="7">
        <v>2933</v>
      </c>
      <c r="N5012" s="7">
        <v>306945457</v>
      </c>
      <c r="O5012" s="7">
        <v>271196812</v>
      </c>
      <c r="P5012" s="7">
        <v>0</v>
      </c>
      <c r="Q5012" s="7" t="str">
        <f t="shared" si="1800"/>
        <v>教育庁</v>
      </c>
      <c r="R5012" s="7" t="str">
        <f t="shared" si="1826"/>
        <v>島本高等学校</v>
      </c>
    </row>
    <row r="5013" spans="1:18" s="1" customFormat="1" x14ac:dyDescent="0.45">
      <c r="A5013" s="7" t="str">
        <f t="shared" si="1822"/>
        <v>10394000000</v>
      </c>
      <c r="B5013" s="7" t="str">
        <f t="shared" si="1823"/>
        <v>島本高等学校</v>
      </c>
      <c r="C5013" s="7" t="str">
        <f t="shared" si="1827"/>
        <v>行政財産</v>
      </c>
      <c r="D5013" s="7" t="str">
        <f t="shared" si="1817"/>
        <v>学校</v>
      </c>
      <c r="E5013" s="7" t="str">
        <f t="shared" si="1824"/>
        <v>大阪府三島郡　島本町桜井台</v>
      </c>
      <c r="F5013" s="7"/>
      <c r="G5013" s="7" t="str">
        <f t="shared" si="1795"/>
        <v>事業用資産</v>
      </c>
      <c r="H5013" s="7" t="str">
        <f t="shared" si="1820"/>
        <v>棚卸以外</v>
      </c>
      <c r="I5013" s="7">
        <v>13</v>
      </c>
      <c r="J5013" s="7" t="str">
        <f>"フ゜－ル食堂棟"</f>
        <v>フ゜－ル食堂棟</v>
      </c>
      <c r="K5013" s="7" t="str">
        <f>"鉄筋コンクリート造"</f>
        <v>鉄筋コンクリート造</v>
      </c>
      <c r="L5013" s="7" t="str">
        <f>"S50.10.31"</f>
        <v>S50.10.31</v>
      </c>
      <c r="M5013" s="7">
        <v>813.01</v>
      </c>
      <c r="N5013" s="7">
        <v>147525157</v>
      </c>
      <c r="O5013" s="7">
        <v>138203363</v>
      </c>
      <c r="P5013" s="7">
        <v>0</v>
      </c>
      <c r="Q5013" s="7" t="str">
        <f t="shared" si="1800"/>
        <v>教育庁</v>
      </c>
      <c r="R5013" s="7" t="str">
        <f t="shared" si="1826"/>
        <v>島本高等学校</v>
      </c>
    </row>
    <row r="5014" spans="1:18" s="1" customFormat="1" x14ac:dyDescent="0.45">
      <c r="A5014" s="7" t="str">
        <f t="shared" si="1822"/>
        <v>10394000000</v>
      </c>
      <c r="B5014" s="7" t="str">
        <f t="shared" si="1823"/>
        <v>島本高等学校</v>
      </c>
      <c r="C5014" s="7" t="str">
        <f t="shared" si="1827"/>
        <v>行政財産</v>
      </c>
      <c r="D5014" s="7" t="str">
        <f t="shared" si="1817"/>
        <v>学校</v>
      </c>
      <c r="E5014" s="7" t="str">
        <f t="shared" si="1824"/>
        <v>大阪府三島郡　島本町桜井台</v>
      </c>
      <c r="F5014" s="7"/>
      <c r="G5014" s="7" t="str">
        <f t="shared" si="1795"/>
        <v>事業用資産</v>
      </c>
      <c r="H5014" s="7" t="str">
        <f t="shared" si="1820"/>
        <v>棚卸以外</v>
      </c>
      <c r="I5014" s="7">
        <v>14</v>
      </c>
      <c r="J5014" s="7" t="str">
        <f>"渡り廊下"</f>
        <v>渡り廊下</v>
      </c>
      <c r="K5014" s="7" t="str">
        <f>"鉄骨造"</f>
        <v>鉄骨造</v>
      </c>
      <c r="L5014" s="7" t="str">
        <f>"S50.10.31"</f>
        <v>S50.10.31</v>
      </c>
      <c r="M5014" s="7">
        <v>16</v>
      </c>
      <c r="N5014" s="7">
        <v>939000</v>
      </c>
      <c r="O5014" s="7">
        <v>833714</v>
      </c>
      <c r="P5014" s="7">
        <v>0</v>
      </c>
      <c r="Q5014" s="7" t="str">
        <f t="shared" si="1800"/>
        <v>教育庁</v>
      </c>
      <c r="R5014" s="7" t="str">
        <f t="shared" si="1826"/>
        <v>島本高等学校</v>
      </c>
    </row>
    <row r="5015" spans="1:18" s="1" customFormat="1" x14ac:dyDescent="0.45">
      <c r="A5015" s="7" t="str">
        <f t="shared" si="1822"/>
        <v>10394000000</v>
      </c>
      <c r="B5015" s="7" t="str">
        <f t="shared" si="1823"/>
        <v>島本高等学校</v>
      </c>
      <c r="C5015" s="7" t="str">
        <f t="shared" si="1827"/>
        <v>行政財産</v>
      </c>
      <c r="D5015" s="7" t="str">
        <f t="shared" si="1817"/>
        <v>学校</v>
      </c>
      <c r="E5015" s="7" t="str">
        <f t="shared" si="1824"/>
        <v>大阪府三島郡　島本町桜井台</v>
      </c>
      <c r="F5015" s="7"/>
      <c r="G5015" s="7" t="str">
        <f t="shared" ref="G5015:G5078" si="1828">"事業用資産"</f>
        <v>事業用資産</v>
      </c>
      <c r="H5015" s="7" t="str">
        <f t="shared" si="1820"/>
        <v>棚卸以外</v>
      </c>
      <c r="I5015" s="7">
        <v>15</v>
      </c>
      <c r="J5015" s="7" t="str">
        <f>"管理棟"</f>
        <v>管理棟</v>
      </c>
      <c r="K5015" s="7" t="str">
        <f>"鉄骨造"</f>
        <v>鉄骨造</v>
      </c>
      <c r="L5015" s="7" t="str">
        <f>"S51.03.31"</f>
        <v>S51.03.31</v>
      </c>
      <c r="M5015" s="7">
        <v>1381.28</v>
      </c>
      <c r="N5015" s="7">
        <v>231625647</v>
      </c>
      <c r="O5015" s="7">
        <v>173249178</v>
      </c>
      <c r="P5015" s="7">
        <v>0</v>
      </c>
      <c r="Q5015" s="7" t="str">
        <f t="shared" si="1800"/>
        <v>教育庁</v>
      </c>
      <c r="R5015" s="7" t="str">
        <f t="shared" si="1826"/>
        <v>島本高等学校</v>
      </c>
    </row>
    <row r="5016" spans="1:18" s="1" customFormat="1" x14ac:dyDescent="0.45">
      <c r="A5016" s="7" t="str">
        <f t="shared" si="1822"/>
        <v>10394000000</v>
      </c>
      <c r="B5016" s="7" t="str">
        <f t="shared" si="1823"/>
        <v>島本高等学校</v>
      </c>
      <c r="C5016" s="7" t="str">
        <f t="shared" si="1827"/>
        <v>行政財産</v>
      </c>
      <c r="D5016" s="7" t="str">
        <f t="shared" si="1817"/>
        <v>学校</v>
      </c>
      <c r="E5016" s="7" t="str">
        <f t="shared" si="1824"/>
        <v>大阪府三島郡　島本町桜井台</v>
      </c>
      <c r="F5016" s="7"/>
      <c r="G5016" s="7" t="str">
        <f t="shared" si="1828"/>
        <v>事業用資産</v>
      </c>
      <c r="H5016" s="7" t="str">
        <f t="shared" si="1820"/>
        <v>棚卸以外</v>
      </c>
      <c r="I5016" s="7">
        <v>18</v>
      </c>
      <c r="J5016" s="7" t="str">
        <f>"倉庫"</f>
        <v>倉庫</v>
      </c>
      <c r="K5016" s="7" t="str">
        <f>"鉄骨造"</f>
        <v>鉄骨造</v>
      </c>
      <c r="L5016" s="7" t="str">
        <f>"S52.03.31"</f>
        <v>S52.03.31</v>
      </c>
      <c r="M5016" s="7">
        <v>50</v>
      </c>
      <c r="N5016" s="7">
        <v>4504000</v>
      </c>
      <c r="O5016" s="7">
        <v>4503999</v>
      </c>
      <c r="P5016" s="7">
        <v>0</v>
      </c>
      <c r="Q5016" s="7" t="str">
        <f t="shared" si="1800"/>
        <v>教育庁</v>
      </c>
      <c r="R5016" s="7" t="str">
        <f t="shared" si="1826"/>
        <v>島本高等学校</v>
      </c>
    </row>
    <row r="5017" spans="1:18" s="1" customFormat="1" x14ac:dyDescent="0.45">
      <c r="A5017" s="7" t="str">
        <f t="shared" si="1822"/>
        <v>10394000000</v>
      </c>
      <c r="B5017" s="7" t="str">
        <f t="shared" si="1823"/>
        <v>島本高等学校</v>
      </c>
      <c r="C5017" s="7" t="str">
        <f t="shared" si="1827"/>
        <v>行政財産</v>
      </c>
      <c r="D5017" s="7" t="str">
        <f t="shared" si="1817"/>
        <v>学校</v>
      </c>
      <c r="E5017" s="7" t="str">
        <f t="shared" si="1824"/>
        <v>大阪府三島郡　島本町桜井台</v>
      </c>
      <c r="F5017" s="7"/>
      <c r="G5017" s="7" t="str">
        <f t="shared" si="1828"/>
        <v>事業用資産</v>
      </c>
      <c r="H5017" s="7" t="str">
        <f t="shared" si="1820"/>
        <v>棚卸以外</v>
      </c>
      <c r="I5017" s="7">
        <v>19</v>
      </c>
      <c r="J5017" s="7" t="str">
        <f>"倉庫"</f>
        <v>倉庫</v>
      </c>
      <c r="K5017" s="7" t="str">
        <f>"鉄骨造"</f>
        <v>鉄骨造</v>
      </c>
      <c r="L5017" s="7" t="str">
        <f>"S52.03.31"</f>
        <v>S52.03.31</v>
      </c>
      <c r="M5017" s="7">
        <v>50</v>
      </c>
      <c r="N5017" s="7">
        <v>4504000</v>
      </c>
      <c r="O5017" s="7">
        <v>4503999</v>
      </c>
      <c r="P5017" s="7">
        <v>0</v>
      </c>
      <c r="Q5017" s="7" t="str">
        <f t="shared" si="1800"/>
        <v>教育庁</v>
      </c>
      <c r="R5017" s="7" t="str">
        <f t="shared" si="1826"/>
        <v>島本高等学校</v>
      </c>
    </row>
    <row r="5018" spans="1:18" s="1" customFormat="1" x14ac:dyDescent="0.45">
      <c r="A5018" s="7" t="str">
        <f t="shared" si="1822"/>
        <v>10394000000</v>
      </c>
      <c r="B5018" s="7" t="str">
        <f t="shared" si="1823"/>
        <v>島本高等学校</v>
      </c>
      <c r="C5018" s="7" t="str">
        <f t="shared" si="1827"/>
        <v>行政財産</v>
      </c>
      <c r="D5018" s="7" t="str">
        <f t="shared" si="1817"/>
        <v>学校</v>
      </c>
      <c r="E5018" s="7" t="str">
        <f t="shared" si="1824"/>
        <v>大阪府三島郡　島本町桜井台</v>
      </c>
      <c r="F5018" s="7"/>
      <c r="G5018" s="7" t="str">
        <f t="shared" si="1828"/>
        <v>事業用資産</v>
      </c>
      <c r="H5018" s="7" t="str">
        <f t="shared" si="1820"/>
        <v>棚卸以外</v>
      </c>
      <c r="I5018" s="7">
        <v>20</v>
      </c>
      <c r="J5018" s="7" t="str">
        <f>"倉庫"</f>
        <v>倉庫</v>
      </c>
      <c r="K5018" s="7" t="str">
        <f>"鉄骨造"</f>
        <v>鉄骨造</v>
      </c>
      <c r="L5018" s="7" t="str">
        <f>"S62.03.20"</f>
        <v>S62.03.20</v>
      </c>
      <c r="M5018" s="7">
        <v>27.12</v>
      </c>
      <c r="N5018" s="7">
        <v>2200000</v>
      </c>
      <c r="O5018" s="7">
        <v>2199999</v>
      </c>
      <c r="P5018" s="7">
        <v>0</v>
      </c>
      <c r="Q5018" s="7" t="str">
        <f t="shared" si="1800"/>
        <v>教育庁</v>
      </c>
      <c r="R5018" s="7" t="str">
        <f t="shared" si="1826"/>
        <v>島本高等学校</v>
      </c>
    </row>
    <row r="5019" spans="1:18" s="1" customFormat="1" x14ac:dyDescent="0.45">
      <c r="A5019" s="7" t="str">
        <f t="shared" ref="A5019:A5028" si="1829">"10395000000"</f>
        <v>10395000000</v>
      </c>
      <c r="B5019" s="7" t="str">
        <f t="shared" ref="B5019:B5028" si="1830">"四條畷高等学校"</f>
        <v>四條畷高等学校</v>
      </c>
      <c r="C5019" s="7" t="str">
        <f t="shared" si="1827"/>
        <v>行政財産</v>
      </c>
      <c r="D5019" s="7" t="str">
        <f t="shared" si="1817"/>
        <v>学校</v>
      </c>
      <c r="E5019" s="7" t="str">
        <f t="shared" ref="E5019:E5028" si="1831">"大阪府四條畷市雁屋北町"</f>
        <v>大阪府四條畷市雁屋北町</v>
      </c>
      <c r="F5019" s="7"/>
      <c r="G5019" s="7" t="str">
        <f t="shared" si="1828"/>
        <v>事業用資産</v>
      </c>
      <c r="H5019" s="7" t="str">
        <f t="shared" si="1820"/>
        <v>棚卸以外</v>
      </c>
      <c r="I5019" s="7">
        <v>1</v>
      </c>
      <c r="J5019" s="7" t="str">
        <f>"本館"</f>
        <v>本館</v>
      </c>
      <c r="K5019" s="7" t="str">
        <f t="shared" ref="K5019:K5024" si="1832">"鉄筋コンクリート造"</f>
        <v>鉄筋コンクリート造</v>
      </c>
      <c r="L5019" s="7" t="str">
        <f>"S10.06.11"</f>
        <v>S10.06.11</v>
      </c>
      <c r="M5019" s="7">
        <v>4526.46</v>
      </c>
      <c r="N5019" s="7">
        <v>613840800</v>
      </c>
      <c r="O5019" s="7">
        <v>239016094</v>
      </c>
      <c r="P5019" s="7">
        <v>0</v>
      </c>
      <c r="Q5019" s="7" t="str">
        <f t="shared" ref="Q5019:Q5082" si="1833">"教育庁"</f>
        <v>教育庁</v>
      </c>
      <c r="R5019" s="7" t="str">
        <f t="shared" ref="R5019:R5028" si="1834">"四條畷高等学校"</f>
        <v>四條畷高等学校</v>
      </c>
    </row>
    <row r="5020" spans="1:18" s="1" customFormat="1" x14ac:dyDescent="0.45">
      <c r="A5020" s="7" t="str">
        <f t="shared" si="1829"/>
        <v>10395000000</v>
      </c>
      <c r="B5020" s="7" t="str">
        <f t="shared" si="1830"/>
        <v>四條畷高等学校</v>
      </c>
      <c r="C5020" s="7" t="str">
        <f t="shared" si="1827"/>
        <v>行政財産</v>
      </c>
      <c r="D5020" s="7" t="str">
        <f t="shared" si="1817"/>
        <v>学校</v>
      </c>
      <c r="E5020" s="7" t="str">
        <f t="shared" si="1831"/>
        <v>大阪府四條畷市雁屋北町</v>
      </c>
      <c r="F5020" s="7"/>
      <c r="G5020" s="7" t="str">
        <f t="shared" si="1828"/>
        <v>事業用資産</v>
      </c>
      <c r="H5020" s="7" t="str">
        <f t="shared" si="1820"/>
        <v>棚卸以外</v>
      </c>
      <c r="I5020" s="7">
        <v>21</v>
      </c>
      <c r="J5020" s="7" t="str">
        <f>"新館"</f>
        <v>新館</v>
      </c>
      <c r="K5020" s="7" t="str">
        <f t="shared" si="1832"/>
        <v>鉄筋コンクリート造</v>
      </c>
      <c r="L5020" s="7" t="str">
        <f>"S37.06.30"</f>
        <v>S37.06.30</v>
      </c>
      <c r="M5020" s="7">
        <v>3689.43</v>
      </c>
      <c r="N5020" s="7">
        <v>334752809</v>
      </c>
      <c r="O5020" s="7">
        <v>112370446</v>
      </c>
      <c r="P5020" s="7">
        <v>0</v>
      </c>
      <c r="Q5020" s="7" t="str">
        <f t="shared" si="1833"/>
        <v>教育庁</v>
      </c>
      <c r="R5020" s="7" t="str">
        <f t="shared" si="1834"/>
        <v>四條畷高等学校</v>
      </c>
    </row>
    <row r="5021" spans="1:18" s="1" customFormat="1" x14ac:dyDescent="0.45">
      <c r="A5021" s="7" t="str">
        <f t="shared" si="1829"/>
        <v>10395000000</v>
      </c>
      <c r="B5021" s="7" t="str">
        <f t="shared" si="1830"/>
        <v>四條畷高等学校</v>
      </c>
      <c r="C5021" s="7" t="str">
        <f t="shared" si="1827"/>
        <v>行政財産</v>
      </c>
      <c r="D5021" s="7" t="str">
        <f t="shared" si="1817"/>
        <v>学校</v>
      </c>
      <c r="E5021" s="7" t="str">
        <f t="shared" si="1831"/>
        <v>大阪府四條畷市雁屋北町</v>
      </c>
      <c r="F5021" s="7"/>
      <c r="G5021" s="7" t="str">
        <f t="shared" si="1828"/>
        <v>事業用資産</v>
      </c>
      <c r="H5021" s="7" t="str">
        <f t="shared" si="1820"/>
        <v>棚卸以外</v>
      </c>
      <c r="I5021" s="7">
        <v>25</v>
      </c>
      <c r="J5021" s="7" t="str">
        <f>"便所"</f>
        <v>便所</v>
      </c>
      <c r="K5021" s="7" t="str">
        <f t="shared" si="1832"/>
        <v>鉄筋コンクリート造</v>
      </c>
      <c r="L5021" s="7" t="str">
        <f>"S41.08.10"</f>
        <v>S41.08.10</v>
      </c>
      <c r="M5021" s="7">
        <v>97.38</v>
      </c>
      <c r="N5021" s="7">
        <v>17489610</v>
      </c>
      <c r="O5021" s="7">
        <v>12486502</v>
      </c>
      <c r="P5021" s="7">
        <v>0</v>
      </c>
      <c r="Q5021" s="7" t="str">
        <f t="shared" si="1833"/>
        <v>教育庁</v>
      </c>
      <c r="R5021" s="7" t="str">
        <f t="shared" si="1834"/>
        <v>四條畷高等学校</v>
      </c>
    </row>
    <row r="5022" spans="1:18" s="1" customFormat="1" x14ac:dyDescent="0.45">
      <c r="A5022" s="7" t="str">
        <f t="shared" si="1829"/>
        <v>10395000000</v>
      </c>
      <c r="B5022" s="7" t="str">
        <f t="shared" si="1830"/>
        <v>四條畷高等学校</v>
      </c>
      <c r="C5022" s="7" t="str">
        <f t="shared" si="1827"/>
        <v>行政財産</v>
      </c>
      <c r="D5022" s="7" t="str">
        <f t="shared" si="1817"/>
        <v>学校</v>
      </c>
      <c r="E5022" s="7" t="str">
        <f t="shared" si="1831"/>
        <v>大阪府四條畷市雁屋北町</v>
      </c>
      <c r="F5022" s="7"/>
      <c r="G5022" s="7" t="str">
        <f t="shared" si="1828"/>
        <v>事業用資産</v>
      </c>
      <c r="H5022" s="7" t="str">
        <f t="shared" si="1820"/>
        <v>棚卸以外</v>
      </c>
      <c r="I5022" s="7">
        <v>39</v>
      </c>
      <c r="J5022" s="7" t="str">
        <f>"東館"</f>
        <v>東館</v>
      </c>
      <c r="K5022" s="7" t="str">
        <f t="shared" si="1832"/>
        <v>鉄筋コンクリート造</v>
      </c>
      <c r="L5022" s="7" t="str">
        <f>"S62.03.31"</f>
        <v>S62.03.31</v>
      </c>
      <c r="M5022" s="7">
        <v>1368.72</v>
      </c>
      <c r="N5022" s="7">
        <v>239415433</v>
      </c>
      <c r="O5022" s="7">
        <v>166677763</v>
      </c>
      <c r="P5022" s="7">
        <v>0</v>
      </c>
      <c r="Q5022" s="7" t="str">
        <f t="shared" si="1833"/>
        <v>教育庁</v>
      </c>
      <c r="R5022" s="7" t="str">
        <f t="shared" si="1834"/>
        <v>四條畷高等学校</v>
      </c>
    </row>
    <row r="5023" spans="1:18" s="1" customFormat="1" x14ac:dyDescent="0.45">
      <c r="A5023" s="7" t="str">
        <f t="shared" si="1829"/>
        <v>10395000000</v>
      </c>
      <c r="B5023" s="7" t="str">
        <f t="shared" si="1830"/>
        <v>四條畷高等学校</v>
      </c>
      <c r="C5023" s="7" t="str">
        <f t="shared" si="1827"/>
        <v>行政財産</v>
      </c>
      <c r="D5023" s="7" t="str">
        <f t="shared" si="1817"/>
        <v>学校</v>
      </c>
      <c r="E5023" s="7" t="str">
        <f t="shared" si="1831"/>
        <v>大阪府四條畷市雁屋北町</v>
      </c>
      <c r="F5023" s="7"/>
      <c r="G5023" s="7" t="str">
        <f t="shared" si="1828"/>
        <v>事業用資産</v>
      </c>
      <c r="H5023" s="7" t="str">
        <f t="shared" si="1820"/>
        <v>棚卸以外</v>
      </c>
      <c r="I5023" s="7">
        <v>41</v>
      </c>
      <c r="J5023" s="7" t="str">
        <f>"体育館"</f>
        <v>体育館</v>
      </c>
      <c r="K5023" s="7" t="str">
        <f t="shared" si="1832"/>
        <v>鉄筋コンクリート造</v>
      </c>
      <c r="L5023" s="7" t="str">
        <f>"H08.09.27"</f>
        <v>H08.09.27</v>
      </c>
      <c r="M5023" s="7">
        <v>2952.74</v>
      </c>
      <c r="N5023" s="7">
        <v>780222921</v>
      </c>
      <c r="O5023" s="7">
        <v>424035825</v>
      </c>
      <c r="P5023" s="7">
        <v>0</v>
      </c>
      <c r="Q5023" s="7" t="str">
        <f t="shared" si="1833"/>
        <v>教育庁</v>
      </c>
      <c r="R5023" s="7" t="str">
        <f t="shared" si="1834"/>
        <v>四條畷高等学校</v>
      </c>
    </row>
    <row r="5024" spans="1:18" s="1" customFormat="1" x14ac:dyDescent="0.45">
      <c r="A5024" s="7" t="str">
        <f t="shared" si="1829"/>
        <v>10395000000</v>
      </c>
      <c r="B5024" s="7" t="str">
        <f t="shared" si="1830"/>
        <v>四條畷高等学校</v>
      </c>
      <c r="C5024" s="7" t="str">
        <f t="shared" si="1827"/>
        <v>行政財産</v>
      </c>
      <c r="D5024" s="7" t="str">
        <f t="shared" si="1817"/>
        <v>学校</v>
      </c>
      <c r="E5024" s="7" t="str">
        <f t="shared" si="1831"/>
        <v>大阪府四條畷市雁屋北町</v>
      </c>
      <c r="F5024" s="7"/>
      <c r="G5024" s="7" t="str">
        <f t="shared" si="1828"/>
        <v>事業用資産</v>
      </c>
      <c r="H5024" s="7" t="str">
        <f t="shared" si="1820"/>
        <v>棚卸以外</v>
      </c>
      <c r="I5024" s="7">
        <v>43</v>
      </c>
      <c r="J5024" s="7" t="str">
        <f>"理科棟"</f>
        <v>理科棟</v>
      </c>
      <c r="K5024" s="7" t="str">
        <f t="shared" si="1832"/>
        <v>鉄筋コンクリート造</v>
      </c>
      <c r="L5024" s="7" t="str">
        <f>"H12.07.19"</f>
        <v>H12.07.19</v>
      </c>
      <c r="M5024" s="7">
        <v>2729.52</v>
      </c>
      <c r="N5024" s="7">
        <v>837101558</v>
      </c>
      <c r="O5024" s="7">
        <v>398755641</v>
      </c>
      <c r="P5024" s="7">
        <v>0</v>
      </c>
      <c r="Q5024" s="7" t="str">
        <f t="shared" si="1833"/>
        <v>教育庁</v>
      </c>
      <c r="R5024" s="7" t="str">
        <f t="shared" si="1834"/>
        <v>四條畷高等学校</v>
      </c>
    </row>
    <row r="5025" spans="1:18" s="1" customFormat="1" x14ac:dyDescent="0.45">
      <c r="A5025" s="7" t="str">
        <f t="shared" si="1829"/>
        <v>10395000000</v>
      </c>
      <c r="B5025" s="7" t="str">
        <f t="shared" si="1830"/>
        <v>四條畷高等学校</v>
      </c>
      <c r="C5025" s="7" t="str">
        <f t="shared" si="1827"/>
        <v>行政財産</v>
      </c>
      <c r="D5025" s="7" t="str">
        <f t="shared" si="1817"/>
        <v>学校</v>
      </c>
      <c r="E5025" s="7" t="str">
        <f t="shared" si="1831"/>
        <v>大阪府四條畷市雁屋北町</v>
      </c>
      <c r="F5025" s="7"/>
      <c r="G5025" s="7" t="str">
        <f t="shared" si="1828"/>
        <v>事業用資産</v>
      </c>
      <c r="H5025" s="7" t="str">
        <f t="shared" si="1820"/>
        <v>棚卸以外</v>
      </c>
      <c r="I5025" s="7">
        <v>45</v>
      </c>
      <c r="J5025" s="7" t="str">
        <f>"渡り廊下１"</f>
        <v>渡り廊下１</v>
      </c>
      <c r="K5025" s="7" t="str">
        <f>"鉄骨造"</f>
        <v>鉄骨造</v>
      </c>
      <c r="L5025" s="7" t="str">
        <f>"H16.09.21"</f>
        <v>H16.09.21</v>
      </c>
      <c r="M5025" s="7">
        <v>49.08</v>
      </c>
      <c r="N5025" s="7">
        <v>11648000</v>
      </c>
      <c r="O5025" s="7">
        <v>6951264</v>
      </c>
      <c r="P5025" s="7">
        <v>0</v>
      </c>
      <c r="Q5025" s="7" t="str">
        <f t="shared" si="1833"/>
        <v>教育庁</v>
      </c>
      <c r="R5025" s="7" t="str">
        <f t="shared" si="1834"/>
        <v>四條畷高等学校</v>
      </c>
    </row>
    <row r="5026" spans="1:18" s="1" customFormat="1" x14ac:dyDescent="0.45">
      <c r="A5026" s="7" t="str">
        <f t="shared" si="1829"/>
        <v>10395000000</v>
      </c>
      <c r="B5026" s="7" t="str">
        <f t="shared" si="1830"/>
        <v>四條畷高等学校</v>
      </c>
      <c r="C5026" s="7" t="str">
        <f t="shared" si="1827"/>
        <v>行政財産</v>
      </c>
      <c r="D5026" s="7" t="str">
        <f t="shared" si="1817"/>
        <v>学校</v>
      </c>
      <c r="E5026" s="7" t="str">
        <f t="shared" si="1831"/>
        <v>大阪府四條畷市雁屋北町</v>
      </c>
      <c r="F5026" s="7"/>
      <c r="G5026" s="7" t="str">
        <f t="shared" si="1828"/>
        <v>事業用資産</v>
      </c>
      <c r="H5026" s="7" t="str">
        <f t="shared" si="1820"/>
        <v>棚卸以外</v>
      </c>
      <c r="I5026" s="7">
        <v>46</v>
      </c>
      <c r="J5026" s="7" t="str">
        <f>"渡り廊下２"</f>
        <v>渡り廊下２</v>
      </c>
      <c r="K5026" s="7" t="str">
        <f>"鉄骨造"</f>
        <v>鉄骨造</v>
      </c>
      <c r="L5026" s="7" t="str">
        <f>"H16.09.21"</f>
        <v>H16.09.21</v>
      </c>
      <c r="M5026" s="7">
        <v>197.72</v>
      </c>
      <c r="N5026" s="7">
        <v>44972000</v>
      </c>
      <c r="O5026" s="7">
        <v>26097239</v>
      </c>
      <c r="P5026" s="7">
        <v>0</v>
      </c>
      <c r="Q5026" s="7" t="str">
        <f t="shared" si="1833"/>
        <v>教育庁</v>
      </c>
      <c r="R5026" s="7" t="str">
        <f t="shared" si="1834"/>
        <v>四條畷高等学校</v>
      </c>
    </row>
    <row r="5027" spans="1:18" s="1" customFormat="1" x14ac:dyDescent="0.45">
      <c r="A5027" s="7" t="str">
        <f t="shared" si="1829"/>
        <v>10395000000</v>
      </c>
      <c r="B5027" s="7" t="str">
        <f t="shared" si="1830"/>
        <v>四條畷高等学校</v>
      </c>
      <c r="C5027" s="7" t="str">
        <f t="shared" si="1827"/>
        <v>行政財産</v>
      </c>
      <c r="D5027" s="7" t="str">
        <f t="shared" si="1817"/>
        <v>学校</v>
      </c>
      <c r="E5027" s="7" t="str">
        <f t="shared" si="1831"/>
        <v>大阪府四條畷市雁屋北町</v>
      </c>
      <c r="F5027" s="7"/>
      <c r="G5027" s="7" t="str">
        <f t="shared" si="1828"/>
        <v>事業用資産</v>
      </c>
      <c r="H5027" s="7" t="str">
        <f t="shared" si="1820"/>
        <v>棚卸以外</v>
      </c>
      <c r="I5027" s="7">
        <v>47</v>
      </c>
      <c r="J5027" s="7" t="str">
        <f>"クラブ倉庫"</f>
        <v>クラブ倉庫</v>
      </c>
      <c r="K5027" s="7" t="str">
        <f>"軽量鉄骨造"</f>
        <v>軽量鉄骨造</v>
      </c>
      <c r="L5027" s="7" t="str">
        <f>"H19.03.31"</f>
        <v>H19.03.31</v>
      </c>
      <c r="M5027" s="7">
        <v>296.45999999999998</v>
      </c>
      <c r="N5027" s="7">
        <v>22913000</v>
      </c>
      <c r="O5027" s="7">
        <v>15275520</v>
      </c>
      <c r="P5027" s="7">
        <v>0</v>
      </c>
      <c r="Q5027" s="7" t="str">
        <f t="shared" si="1833"/>
        <v>教育庁</v>
      </c>
      <c r="R5027" s="7" t="str">
        <f t="shared" si="1834"/>
        <v>四條畷高等学校</v>
      </c>
    </row>
    <row r="5028" spans="1:18" s="1" customFormat="1" x14ac:dyDescent="0.45">
      <c r="A5028" s="7" t="str">
        <f t="shared" si="1829"/>
        <v>10395000000</v>
      </c>
      <c r="B5028" s="7" t="str">
        <f t="shared" si="1830"/>
        <v>四條畷高等学校</v>
      </c>
      <c r="C5028" s="7" t="str">
        <f t="shared" si="1827"/>
        <v>行政財産</v>
      </c>
      <c r="D5028" s="7" t="str">
        <f t="shared" si="1817"/>
        <v>学校</v>
      </c>
      <c r="E5028" s="7" t="str">
        <f t="shared" si="1831"/>
        <v>大阪府四條畷市雁屋北町</v>
      </c>
      <c r="F5028" s="7"/>
      <c r="G5028" s="7" t="str">
        <f t="shared" si="1828"/>
        <v>事業用資産</v>
      </c>
      <c r="H5028" s="7" t="str">
        <f t="shared" si="1820"/>
        <v>棚卸以外</v>
      </c>
      <c r="I5028" s="7">
        <v>48</v>
      </c>
      <c r="J5028" s="7" t="str">
        <f>"鹿深野ホール"</f>
        <v>鹿深野ホール</v>
      </c>
      <c r="K5028" s="7" t="str">
        <f>"軽量鉄骨造"</f>
        <v>軽量鉄骨造</v>
      </c>
      <c r="L5028" s="7" t="str">
        <f>"H19.03.30"</f>
        <v>H19.03.30</v>
      </c>
      <c r="M5028" s="7">
        <v>773.18</v>
      </c>
      <c r="N5028" s="7">
        <v>250098936</v>
      </c>
      <c r="O5028" s="7">
        <v>133211339</v>
      </c>
      <c r="P5028" s="7">
        <v>0</v>
      </c>
      <c r="Q5028" s="7" t="str">
        <f t="shared" si="1833"/>
        <v>教育庁</v>
      </c>
      <c r="R5028" s="7" t="str">
        <f t="shared" si="1834"/>
        <v>四條畷高等学校</v>
      </c>
    </row>
    <row r="5029" spans="1:18" s="1" customFormat="1" x14ac:dyDescent="0.45">
      <c r="A5029" s="7" t="str">
        <f t="shared" ref="A5029:A5058" si="1835">"10397000000"</f>
        <v>10397000000</v>
      </c>
      <c r="B5029" s="7" t="str">
        <f t="shared" ref="B5029:B5058" si="1836">"寝屋川高等学校"</f>
        <v>寝屋川高等学校</v>
      </c>
      <c r="C5029" s="7" t="str">
        <f t="shared" si="1827"/>
        <v>行政財産</v>
      </c>
      <c r="D5029" s="7" t="str">
        <f t="shared" si="1817"/>
        <v>学校</v>
      </c>
      <c r="E5029" s="7" t="str">
        <f t="shared" ref="E5029:E5058" si="1837">"大阪府寝屋川市本町"</f>
        <v>大阪府寝屋川市本町</v>
      </c>
      <c r="F5029" s="7"/>
      <c r="G5029" s="7" t="str">
        <f t="shared" si="1828"/>
        <v>事業用資産</v>
      </c>
      <c r="H5029" s="7" t="str">
        <f t="shared" si="1820"/>
        <v>棚卸以外</v>
      </c>
      <c r="I5029" s="7">
        <v>1</v>
      </c>
      <c r="J5029" s="7" t="str">
        <f>"本館"</f>
        <v>本館</v>
      </c>
      <c r="K5029" s="7" t="str">
        <f>"鉄筋コンクリート造"</f>
        <v>鉄筋コンクリート造</v>
      </c>
      <c r="L5029" s="7" t="str">
        <f>"S12.09.24"</f>
        <v>S12.09.24</v>
      </c>
      <c r="M5029" s="7">
        <v>2249.0500000000002</v>
      </c>
      <c r="N5029" s="7">
        <v>65572234</v>
      </c>
      <c r="O5029" s="7">
        <v>59231659</v>
      </c>
      <c r="P5029" s="7">
        <v>0</v>
      </c>
      <c r="Q5029" s="7" t="str">
        <f t="shared" si="1833"/>
        <v>教育庁</v>
      </c>
      <c r="R5029" s="7" t="str">
        <f t="shared" ref="R5029:R5058" si="1838">"寝屋川高等学校"</f>
        <v>寝屋川高等学校</v>
      </c>
    </row>
    <row r="5030" spans="1:18" s="1" customFormat="1" x14ac:dyDescent="0.45">
      <c r="A5030" s="7" t="str">
        <f t="shared" si="1835"/>
        <v>10397000000</v>
      </c>
      <c r="B5030" s="7" t="str">
        <f t="shared" si="1836"/>
        <v>寝屋川高等学校</v>
      </c>
      <c r="C5030" s="7" t="str">
        <f t="shared" si="1827"/>
        <v>行政財産</v>
      </c>
      <c r="D5030" s="7" t="str">
        <f t="shared" si="1817"/>
        <v>学校</v>
      </c>
      <c r="E5030" s="7" t="str">
        <f t="shared" si="1837"/>
        <v>大阪府寝屋川市本町</v>
      </c>
      <c r="F5030" s="7"/>
      <c r="G5030" s="7" t="str">
        <f t="shared" si="1828"/>
        <v>事業用資産</v>
      </c>
      <c r="H5030" s="7" t="str">
        <f t="shared" si="1820"/>
        <v>棚卸以外</v>
      </c>
      <c r="I5030" s="7">
        <v>15</v>
      </c>
      <c r="J5030" s="7" t="str">
        <f>"西倉庫"</f>
        <v>西倉庫</v>
      </c>
      <c r="K5030" s="7" t="str">
        <f>"コンクリートブロック造"</f>
        <v>コンクリートブロック造</v>
      </c>
      <c r="L5030" s="7" t="str">
        <f>"S37.03.30"</f>
        <v>S37.03.30</v>
      </c>
      <c r="M5030" s="7">
        <v>48.21</v>
      </c>
      <c r="N5030" s="7">
        <v>2201700</v>
      </c>
      <c r="O5030" s="7">
        <v>2201699</v>
      </c>
      <c r="P5030" s="7">
        <v>0</v>
      </c>
      <c r="Q5030" s="7" t="str">
        <f t="shared" si="1833"/>
        <v>教育庁</v>
      </c>
      <c r="R5030" s="7" t="str">
        <f t="shared" si="1838"/>
        <v>寝屋川高等学校</v>
      </c>
    </row>
    <row r="5031" spans="1:18" s="1" customFormat="1" x14ac:dyDescent="0.45">
      <c r="A5031" s="7" t="str">
        <f t="shared" si="1835"/>
        <v>10397000000</v>
      </c>
      <c r="B5031" s="7" t="str">
        <f t="shared" si="1836"/>
        <v>寝屋川高等学校</v>
      </c>
      <c r="C5031" s="7" t="str">
        <f t="shared" si="1827"/>
        <v>行政財産</v>
      </c>
      <c r="D5031" s="7" t="str">
        <f t="shared" si="1817"/>
        <v>学校</v>
      </c>
      <c r="E5031" s="7" t="str">
        <f t="shared" si="1837"/>
        <v>大阪府寝屋川市本町</v>
      </c>
      <c r="F5031" s="7"/>
      <c r="G5031" s="7" t="str">
        <f t="shared" si="1828"/>
        <v>事業用資産</v>
      </c>
      <c r="H5031" s="7" t="str">
        <f t="shared" si="1820"/>
        <v>棚卸以外</v>
      </c>
      <c r="I5031" s="7">
        <v>30</v>
      </c>
      <c r="J5031" s="7" t="str">
        <f>"特別教室館（Ａ）"</f>
        <v>特別教室館（Ａ）</v>
      </c>
      <c r="K5031" s="7" t="str">
        <f t="shared" ref="K5031:K5040" si="1839">"鉄筋コンクリート造"</f>
        <v>鉄筋コンクリート造</v>
      </c>
      <c r="L5031" s="7" t="str">
        <f>"S41.03.15"</f>
        <v>S41.03.15</v>
      </c>
      <c r="M5031" s="7">
        <v>1190.3399999999999</v>
      </c>
      <c r="N5031" s="7">
        <v>74012636</v>
      </c>
      <c r="O5031" s="7">
        <v>54328662</v>
      </c>
      <c r="P5031" s="7">
        <v>0</v>
      </c>
      <c r="Q5031" s="7" t="str">
        <f t="shared" si="1833"/>
        <v>教育庁</v>
      </c>
      <c r="R5031" s="7" t="str">
        <f t="shared" si="1838"/>
        <v>寝屋川高等学校</v>
      </c>
    </row>
    <row r="5032" spans="1:18" s="1" customFormat="1" x14ac:dyDescent="0.45">
      <c r="A5032" s="7" t="str">
        <f t="shared" si="1835"/>
        <v>10397000000</v>
      </c>
      <c r="B5032" s="7" t="str">
        <f t="shared" si="1836"/>
        <v>寝屋川高等学校</v>
      </c>
      <c r="C5032" s="7" t="str">
        <f t="shared" si="1827"/>
        <v>行政財産</v>
      </c>
      <c r="D5032" s="7" t="str">
        <f t="shared" si="1817"/>
        <v>学校</v>
      </c>
      <c r="E5032" s="7" t="str">
        <f t="shared" si="1837"/>
        <v>大阪府寝屋川市本町</v>
      </c>
      <c r="F5032" s="7"/>
      <c r="G5032" s="7" t="str">
        <f t="shared" si="1828"/>
        <v>事業用資産</v>
      </c>
      <c r="H5032" s="7" t="str">
        <f t="shared" si="1820"/>
        <v>棚卸以外</v>
      </c>
      <c r="I5032" s="7">
        <v>31</v>
      </c>
      <c r="J5032" s="7" t="str">
        <f>"渡り廊下"</f>
        <v>渡り廊下</v>
      </c>
      <c r="K5032" s="7" t="str">
        <f t="shared" si="1839"/>
        <v>鉄筋コンクリート造</v>
      </c>
      <c r="L5032" s="7" t="str">
        <f>"S41.03.15"</f>
        <v>S41.03.15</v>
      </c>
      <c r="M5032" s="7">
        <v>70.11</v>
      </c>
      <c r="N5032" s="7">
        <v>3346074</v>
      </c>
      <c r="O5032" s="7">
        <v>2012184</v>
      </c>
      <c r="P5032" s="7">
        <v>0</v>
      </c>
      <c r="Q5032" s="7" t="str">
        <f t="shared" si="1833"/>
        <v>教育庁</v>
      </c>
      <c r="R5032" s="7" t="str">
        <f t="shared" si="1838"/>
        <v>寝屋川高等学校</v>
      </c>
    </row>
    <row r="5033" spans="1:18" s="1" customFormat="1" x14ac:dyDescent="0.45">
      <c r="A5033" s="7" t="str">
        <f t="shared" si="1835"/>
        <v>10397000000</v>
      </c>
      <c r="B5033" s="7" t="str">
        <f t="shared" si="1836"/>
        <v>寝屋川高等学校</v>
      </c>
      <c r="C5033" s="7" t="str">
        <f t="shared" si="1827"/>
        <v>行政財産</v>
      </c>
      <c r="D5033" s="7" t="str">
        <f t="shared" si="1817"/>
        <v>学校</v>
      </c>
      <c r="E5033" s="7" t="str">
        <f t="shared" si="1837"/>
        <v>大阪府寝屋川市本町</v>
      </c>
      <c r="F5033" s="7"/>
      <c r="G5033" s="7" t="str">
        <f t="shared" si="1828"/>
        <v>事業用資産</v>
      </c>
      <c r="H5033" s="7" t="str">
        <f t="shared" si="1820"/>
        <v>棚卸以外</v>
      </c>
      <c r="I5033" s="7">
        <v>32</v>
      </c>
      <c r="J5033" s="7" t="str">
        <f>"渡り廊下"</f>
        <v>渡り廊下</v>
      </c>
      <c r="K5033" s="7" t="str">
        <f t="shared" si="1839"/>
        <v>鉄筋コンクリート造</v>
      </c>
      <c r="L5033" s="7" t="str">
        <f>"S41.03.15"</f>
        <v>S41.03.15</v>
      </c>
      <c r="M5033" s="7">
        <v>16.329999999999998</v>
      </c>
      <c r="N5033" s="7">
        <v>7046000</v>
      </c>
      <c r="O5033" s="7">
        <v>2620711</v>
      </c>
      <c r="P5033" s="7">
        <v>0</v>
      </c>
      <c r="Q5033" s="7" t="str">
        <f t="shared" si="1833"/>
        <v>教育庁</v>
      </c>
      <c r="R5033" s="7" t="str">
        <f t="shared" si="1838"/>
        <v>寝屋川高等学校</v>
      </c>
    </row>
    <row r="5034" spans="1:18" s="1" customFormat="1" x14ac:dyDescent="0.45">
      <c r="A5034" s="7" t="str">
        <f t="shared" si="1835"/>
        <v>10397000000</v>
      </c>
      <c r="B5034" s="7" t="str">
        <f t="shared" si="1836"/>
        <v>寝屋川高等学校</v>
      </c>
      <c r="C5034" s="7" t="str">
        <f t="shared" si="1827"/>
        <v>行政財産</v>
      </c>
      <c r="D5034" s="7" t="str">
        <f t="shared" si="1817"/>
        <v>学校</v>
      </c>
      <c r="E5034" s="7" t="str">
        <f t="shared" si="1837"/>
        <v>大阪府寝屋川市本町</v>
      </c>
      <c r="F5034" s="7"/>
      <c r="G5034" s="7" t="str">
        <f t="shared" si="1828"/>
        <v>事業用資産</v>
      </c>
      <c r="H5034" s="7" t="str">
        <f t="shared" si="1820"/>
        <v>棚卸以外</v>
      </c>
      <c r="I5034" s="7">
        <v>33</v>
      </c>
      <c r="J5034" s="7" t="str">
        <f>"電気室"</f>
        <v>電気室</v>
      </c>
      <c r="K5034" s="7" t="str">
        <f t="shared" si="1839"/>
        <v>鉄筋コンクリート造</v>
      </c>
      <c r="L5034" s="7" t="str">
        <f>"S41.03.15"</f>
        <v>S41.03.15</v>
      </c>
      <c r="M5034" s="7">
        <v>36.26</v>
      </c>
      <c r="N5034" s="7">
        <v>8654968</v>
      </c>
      <c r="O5034" s="7">
        <v>8654967</v>
      </c>
      <c r="P5034" s="7">
        <v>0</v>
      </c>
      <c r="Q5034" s="7" t="str">
        <f t="shared" si="1833"/>
        <v>教育庁</v>
      </c>
      <c r="R5034" s="7" t="str">
        <f t="shared" si="1838"/>
        <v>寝屋川高等学校</v>
      </c>
    </row>
    <row r="5035" spans="1:18" s="1" customFormat="1" x14ac:dyDescent="0.45">
      <c r="A5035" s="7" t="str">
        <f t="shared" si="1835"/>
        <v>10397000000</v>
      </c>
      <c r="B5035" s="7" t="str">
        <f t="shared" si="1836"/>
        <v>寝屋川高等学校</v>
      </c>
      <c r="C5035" s="7" t="str">
        <f t="shared" si="1827"/>
        <v>行政財産</v>
      </c>
      <c r="D5035" s="7" t="str">
        <f t="shared" si="1817"/>
        <v>学校</v>
      </c>
      <c r="E5035" s="7" t="str">
        <f t="shared" si="1837"/>
        <v>大阪府寝屋川市本町</v>
      </c>
      <c r="F5035" s="7"/>
      <c r="G5035" s="7" t="str">
        <f t="shared" si="1828"/>
        <v>事業用資産</v>
      </c>
      <c r="H5035" s="7" t="str">
        <f t="shared" si="1820"/>
        <v>棚卸以外</v>
      </c>
      <c r="I5035" s="7">
        <v>36</v>
      </c>
      <c r="J5035" s="7" t="str">
        <f>"特別教室館（Ｂ）"</f>
        <v>特別教室館（Ｂ）</v>
      </c>
      <c r="K5035" s="7" t="str">
        <f t="shared" si="1839"/>
        <v>鉄筋コンクリート造</v>
      </c>
      <c r="L5035" s="7" t="str">
        <f>"S42.02.15"</f>
        <v>S42.02.15</v>
      </c>
      <c r="M5035" s="7">
        <v>637.41</v>
      </c>
      <c r="N5035" s="7">
        <v>41593123</v>
      </c>
      <c r="O5035" s="7">
        <v>29977404</v>
      </c>
      <c r="P5035" s="7">
        <v>0</v>
      </c>
      <c r="Q5035" s="7" t="str">
        <f t="shared" si="1833"/>
        <v>教育庁</v>
      </c>
      <c r="R5035" s="7" t="str">
        <f t="shared" si="1838"/>
        <v>寝屋川高等学校</v>
      </c>
    </row>
    <row r="5036" spans="1:18" s="1" customFormat="1" x14ac:dyDescent="0.45">
      <c r="A5036" s="7" t="str">
        <f t="shared" si="1835"/>
        <v>10397000000</v>
      </c>
      <c r="B5036" s="7" t="str">
        <f t="shared" si="1836"/>
        <v>寝屋川高等学校</v>
      </c>
      <c r="C5036" s="7" t="str">
        <f t="shared" si="1827"/>
        <v>行政財産</v>
      </c>
      <c r="D5036" s="7" t="str">
        <f t="shared" si="1817"/>
        <v>学校</v>
      </c>
      <c r="E5036" s="7" t="str">
        <f t="shared" si="1837"/>
        <v>大阪府寝屋川市本町</v>
      </c>
      <c r="F5036" s="7"/>
      <c r="G5036" s="7" t="str">
        <f t="shared" si="1828"/>
        <v>事業用資産</v>
      </c>
      <c r="H5036" s="7" t="str">
        <f t="shared" si="1820"/>
        <v>棚卸以外</v>
      </c>
      <c r="I5036" s="7">
        <v>39</v>
      </c>
      <c r="J5036" s="7" t="str">
        <f>"東館"</f>
        <v>東館</v>
      </c>
      <c r="K5036" s="7" t="str">
        <f t="shared" si="1839"/>
        <v>鉄筋コンクリート造</v>
      </c>
      <c r="L5036" s="7" t="str">
        <f>"S43.03.25"</f>
        <v>S43.03.25</v>
      </c>
      <c r="M5036" s="7">
        <v>2046.17</v>
      </c>
      <c r="N5036" s="7">
        <v>128303430</v>
      </c>
      <c r="O5036" s="7">
        <v>82021086</v>
      </c>
      <c r="P5036" s="7">
        <v>0</v>
      </c>
      <c r="Q5036" s="7" t="str">
        <f t="shared" si="1833"/>
        <v>教育庁</v>
      </c>
      <c r="R5036" s="7" t="str">
        <f t="shared" si="1838"/>
        <v>寝屋川高等学校</v>
      </c>
    </row>
    <row r="5037" spans="1:18" s="1" customFormat="1" x14ac:dyDescent="0.45">
      <c r="A5037" s="7" t="str">
        <f t="shared" si="1835"/>
        <v>10397000000</v>
      </c>
      <c r="B5037" s="7" t="str">
        <f t="shared" si="1836"/>
        <v>寝屋川高等学校</v>
      </c>
      <c r="C5037" s="7" t="str">
        <f t="shared" si="1827"/>
        <v>行政財産</v>
      </c>
      <c r="D5037" s="7" t="str">
        <f t="shared" si="1817"/>
        <v>学校</v>
      </c>
      <c r="E5037" s="7" t="str">
        <f t="shared" si="1837"/>
        <v>大阪府寝屋川市本町</v>
      </c>
      <c r="F5037" s="7"/>
      <c r="G5037" s="7" t="str">
        <f t="shared" si="1828"/>
        <v>事業用資産</v>
      </c>
      <c r="H5037" s="7" t="str">
        <f t="shared" si="1820"/>
        <v>棚卸以外</v>
      </c>
      <c r="I5037" s="7">
        <v>40</v>
      </c>
      <c r="J5037" s="7" t="str">
        <f>"渡り廊下"</f>
        <v>渡り廊下</v>
      </c>
      <c r="K5037" s="7" t="str">
        <f t="shared" si="1839"/>
        <v>鉄筋コンクリート造</v>
      </c>
      <c r="L5037" s="7" t="str">
        <f>"S43.03.25"</f>
        <v>S43.03.25</v>
      </c>
      <c r="M5037" s="7">
        <v>25.38</v>
      </c>
      <c r="N5037" s="7">
        <v>776100</v>
      </c>
      <c r="O5037" s="7">
        <v>776099</v>
      </c>
      <c r="P5037" s="7">
        <v>0</v>
      </c>
      <c r="Q5037" s="7" t="str">
        <f t="shared" si="1833"/>
        <v>教育庁</v>
      </c>
      <c r="R5037" s="7" t="str">
        <f t="shared" si="1838"/>
        <v>寝屋川高等学校</v>
      </c>
    </row>
    <row r="5038" spans="1:18" s="1" customFormat="1" x14ac:dyDescent="0.45">
      <c r="A5038" s="7" t="str">
        <f t="shared" si="1835"/>
        <v>10397000000</v>
      </c>
      <c r="B5038" s="7" t="str">
        <f t="shared" si="1836"/>
        <v>寝屋川高等学校</v>
      </c>
      <c r="C5038" s="7" t="str">
        <f t="shared" si="1827"/>
        <v>行政財産</v>
      </c>
      <c r="D5038" s="7" t="str">
        <f t="shared" si="1817"/>
        <v>学校</v>
      </c>
      <c r="E5038" s="7" t="str">
        <f t="shared" si="1837"/>
        <v>大阪府寝屋川市本町</v>
      </c>
      <c r="F5038" s="7"/>
      <c r="G5038" s="7" t="str">
        <f t="shared" si="1828"/>
        <v>事業用資産</v>
      </c>
      <c r="H5038" s="7" t="str">
        <f t="shared" si="1820"/>
        <v>棚卸以外</v>
      </c>
      <c r="I5038" s="7">
        <v>42</v>
      </c>
      <c r="J5038" s="7" t="str">
        <f>"新体育館"</f>
        <v>新体育館</v>
      </c>
      <c r="K5038" s="7" t="str">
        <f t="shared" si="1839"/>
        <v>鉄筋コンクリート造</v>
      </c>
      <c r="L5038" s="7" t="str">
        <f>"S46.02.15"</f>
        <v>S46.02.15</v>
      </c>
      <c r="M5038" s="7">
        <v>2102.9</v>
      </c>
      <c r="N5038" s="7">
        <v>196719600</v>
      </c>
      <c r="O5038" s="7">
        <v>126318434</v>
      </c>
      <c r="P5038" s="7">
        <v>0</v>
      </c>
      <c r="Q5038" s="7" t="str">
        <f t="shared" si="1833"/>
        <v>教育庁</v>
      </c>
      <c r="R5038" s="7" t="str">
        <f t="shared" si="1838"/>
        <v>寝屋川高等学校</v>
      </c>
    </row>
    <row r="5039" spans="1:18" s="1" customFormat="1" x14ac:dyDescent="0.45">
      <c r="A5039" s="7" t="str">
        <f t="shared" si="1835"/>
        <v>10397000000</v>
      </c>
      <c r="B5039" s="7" t="str">
        <f t="shared" si="1836"/>
        <v>寝屋川高等学校</v>
      </c>
      <c r="C5039" s="7" t="str">
        <f t="shared" si="1827"/>
        <v>行政財産</v>
      </c>
      <c r="D5039" s="7" t="str">
        <f t="shared" si="1817"/>
        <v>学校</v>
      </c>
      <c r="E5039" s="7" t="str">
        <f t="shared" si="1837"/>
        <v>大阪府寝屋川市本町</v>
      </c>
      <c r="F5039" s="7"/>
      <c r="G5039" s="7" t="str">
        <f t="shared" si="1828"/>
        <v>事業用資産</v>
      </c>
      <c r="H5039" s="7" t="str">
        <f t="shared" si="1820"/>
        <v>棚卸以外</v>
      </c>
      <c r="I5039" s="7">
        <v>43</v>
      </c>
      <c r="J5039" s="7" t="str">
        <f>"食堂館"</f>
        <v>食堂館</v>
      </c>
      <c r="K5039" s="7" t="str">
        <f t="shared" si="1839"/>
        <v>鉄筋コンクリート造</v>
      </c>
      <c r="L5039" s="7" t="str">
        <f>"S47.03.15"</f>
        <v>S47.03.15</v>
      </c>
      <c r="M5039" s="7">
        <v>921.65</v>
      </c>
      <c r="N5039" s="7">
        <v>49617159</v>
      </c>
      <c r="O5039" s="7">
        <v>48327096</v>
      </c>
      <c r="P5039" s="7">
        <v>0</v>
      </c>
      <c r="Q5039" s="7" t="str">
        <f t="shared" si="1833"/>
        <v>教育庁</v>
      </c>
      <c r="R5039" s="7" t="str">
        <f t="shared" si="1838"/>
        <v>寝屋川高等学校</v>
      </c>
    </row>
    <row r="5040" spans="1:18" s="1" customFormat="1" x14ac:dyDescent="0.45">
      <c r="A5040" s="7" t="str">
        <f t="shared" si="1835"/>
        <v>10397000000</v>
      </c>
      <c r="B5040" s="7" t="str">
        <f t="shared" si="1836"/>
        <v>寝屋川高等学校</v>
      </c>
      <c r="C5040" s="7" t="str">
        <f t="shared" si="1827"/>
        <v>行政財産</v>
      </c>
      <c r="D5040" s="7" t="str">
        <f t="shared" si="1817"/>
        <v>学校</v>
      </c>
      <c r="E5040" s="7" t="str">
        <f t="shared" si="1837"/>
        <v>大阪府寝屋川市本町</v>
      </c>
      <c r="F5040" s="7"/>
      <c r="G5040" s="7" t="str">
        <f t="shared" si="1828"/>
        <v>事業用資産</v>
      </c>
      <c r="H5040" s="7" t="str">
        <f t="shared" si="1820"/>
        <v>棚卸以外</v>
      </c>
      <c r="I5040" s="7">
        <v>44</v>
      </c>
      <c r="J5040" s="7" t="str">
        <f>"渡り廊下"</f>
        <v>渡り廊下</v>
      </c>
      <c r="K5040" s="7" t="str">
        <f t="shared" si="1839"/>
        <v>鉄筋コンクリート造</v>
      </c>
      <c r="L5040" s="7" t="str">
        <f>"S47.03.15"</f>
        <v>S47.03.15</v>
      </c>
      <c r="M5040" s="7">
        <v>21.78</v>
      </c>
      <c r="N5040" s="7">
        <v>777769</v>
      </c>
      <c r="O5040" s="7">
        <v>777768</v>
      </c>
      <c r="P5040" s="7">
        <v>0</v>
      </c>
      <c r="Q5040" s="7" t="str">
        <f t="shared" si="1833"/>
        <v>教育庁</v>
      </c>
      <c r="R5040" s="7" t="str">
        <f t="shared" si="1838"/>
        <v>寝屋川高等学校</v>
      </c>
    </row>
    <row r="5041" spans="1:18" s="1" customFormat="1" x14ac:dyDescent="0.45">
      <c r="A5041" s="7" t="str">
        <f t="shared" si="1835"/>
        <v>10397000000</v>
      </c>
      <c r="B5041" s="7" t="str">
        <f t="shared" si="1836"/>
        <v>寝屋川高等学校</v>
      </c>
      <c r="C5041" s="7" t="str">
        <f t="shared" si="1827"/>
        <v>行政財産</v>
      </c>
      <c r="D5041" s="7" t="str">
        <f t="shared" si="1817"/>
        <v>学校</v>
      </c>
      <c r="E5041" s="7" t="str">
        <f t="shared" si="1837"/>
        <v>大阪府寝屋川市本町</v>
      </c>
      <c r="F5041" s="7"/>
      <c r="G5041" s="7" t="str">
        <f t="shared" si="1828"/>
        <v>事業用資産</v>
      </c>
      <c r="H5041" s="7" t="str">
        <f t="shared" si="1820"/>
        <v>棚卸以外</v>
      </c>
      <c r="I5041" s="7">
        <v>45</v>
      </c>
      <c r="J5041" s="7" t="str">
        <f>"給食室"</f>
        <v>給食室</v>
      </c>
      <c r="K5041" s="7" t="str">
        <f>"鉄骨造"</f>
        <v>鉄骨造</v>
      </c>
      <c r="L5041" s="7" t="str">
        <f>"S48.03.28"</f>
        <v>S48.03.28</v>
      </c>
      <c r="M5041" s="7">
        <v>99.27</v>
      </c>
      <c r="N5041" s="7">
        <v>11530000</v>
      </c>
      <c r="O5041" s="7">
        <v>11515749</v>
      </c>
      <c r="P5041" s="7">
        <v>0</v>
      </c>
      <c r="Q5041" s="7" t="str">
        <f t="shared" si="1833"/>
        <v>教育庁</v>
      </c>
      <c r="R5041" s="7" t="str">
        <f t="shared" si="1838"/>
        <v>寝屋川高等学校</v>
      </c>
    </row>
    <row r="5042" spans="1:18" s="1" customFormat="1" x14ac:dyDescent="0.45">
      <c r="A5042" s="7" t="str">
        <f t="shared" si="1835"/>
        <v>10397000000</v>
      </c>
      <c r="B5042" s="7" t="str">
        <f t="shared" si="1836"/>
        <v>寝屋川高等学校</v>
      </c>
      <c r="C5042" s="7" t="str">
        <f t="shared" si="1827"/>
        <v>行政財産</v>
      </c>
      <c r="D5042" s="7" t="str">
        <f t="shared" si="1817"/>
        <v>学校</v>
      </c>
      <c r="E5042" s="7" t="str">
        <f t="shared" si="1837"/>
        <v>大阪府寝屋川市本町</v>
      </c>
      <c r="F5042" s="7"/>
      <c r="G5042" s="7" t="str">
        <f t="shared" si="1828"/>
        <v>事業用資産</v>
      </c>
      <c r="H5042" s="7" t="str">
        <f t="shared" si="1820"/>
        <v>棚卸以外</v>
      </c>
      <c r="I5042" s="7">
        <v>48</v>
      </c>
      <c r="J5042" s="7" t="str">
        <f>"西特別教室"</f>
        <v>西特別教室</v>
      </c>
      <c r="K5042" s="7" t="str">
        <f>"鉄骨造"</f>
        <v>鉄骨造</v>
      </c>
      <c r="L5042" s="7" t="str">
        <f>"S49.05.31"</f>
        <v>S49.05.31</v>
      </c>
      <c r="M5042" s="7">
        <v>122.83</v>
      </c>
      <c r="N5042" s="7">
        <v>26978984</v>
      </c>
      <c r="O5042" s="7">
        <v>21618515</v>
      </c>
      <c r="P5042" s="7">
        <v>0</v>
      </c>
      <c r="Q5042" s="7" t="str">
        <f t="shared" si="1833"/>
        <v>教育庁</v>
      </c>
      <c r="R5042" s="7" t="str">
        <f t="shared" si="1838"/>
        <v>寝屋川高等学校</v>
      </c>
    </row>
    <row r="5043" spans="1:18" s="1" customFormat="1" x14ac:dyDescent="0.45">
      <c r="A5043" s="7" t="str">
        <f t="shared" si="1835"/>
        <v>10397000000</v>
      </c>
      <c r="B5043" s="7" t="str">
        <f t="shared" si="1836"/>
        <v>寝屋川高等学校</v>
      </c>
      <c r="C5043" s="7" t="str">
        <f t="shared" si="1827"/>
        <v>行政財産</v>
      </c>
      <c r="D5043" s="7" t="str">
        <f t="shared" si="1817"/>
        <v>学校</v>
      </c>
      <c r="E5043" s="7" t="str">
        <f t="shared" si="1837"/>
        <v>大阪府寝屋川市本町</v>
      </c>
      <c r="F5043" s="7"/>
      <c r="G5043" s="7" t="str">
        <f t="shared" si="1828"/>
        <v>事業用資産</v>
      </c>
      <c r="H5043" s="7" t="str">
        <f t="shared" si="1820"/>
        <v>棚卸以外</v>
      </c>
      <c r="I5043" s="7">
        <v>50</v>
      </c>
      <c r="J5043" s="7" t="str">
        <f>"作法室"</f>
        <v>作法室</v>
      </c>
      <c r="K5043" s="7" t="str">
        <f>"鉄筋コンクリート造"</f>
        <v>鉄筋コンクリート造</v>
      </c>
      <c r="L5043" s="7" t="str">
        <f>"S45.03.28"</f>
        <v>S45.03.28</v>
      </c>
      <c r="M5043" s="7">
        <v>154.80000000000001</v>
      </c>
      <c r="N5043" s="7">
        <v>23861427</v>
      </c>
      <c r="O5043" s="7">
        <v>23427621</v>
      </c>
      <c r="P5043" s="7">
        <v>0</v>
      </c>
      <c r="Q5043" s="7" t="str">
        <f t="shared" si="1833"/>
        <v>教育庁</v>
      </c>
      <c r="R5043" s="7" t="str">
        <f t="shared" si="1838"/>
        <v>寝屋川高等学校</v>
      </c>
    </row>
    <row r="5044" spans="1:18" s="1" customFormat="1" x14ac:dyDescent="0.45">
      <c r="A5044" s="7" t="str">
        <f t="shared" si="1835"/>
        <v>10397000000</v>
      </c>
      <c r="B5044" s="7" t="str">
        <f t="shared" si="1836"/>
        <v>寝屋川高等学校</v>
      </c>
      <c r="C5044" s="7" t="str">
        <f t="shared" si="1827"/>
        <v>行政財産</v>
      </c>
      <c r="D5044" s="7" t="str">
        <f t="shared" si="1817"/>
        <v>学校</v>
      </c>
      <c r="E5044" s="7" t="str">
        <f t="shared" si="1837"/>
        <v>大阪府寝屋川市本町</v>
      </c>
      <c r="F5044" s="7"/>
      <c r="G5044" s="7" t="str">
        <f t="shared" si="1828"/>
        <v>事業用資産</v>
      </c>
      <c r="H5044" s="7" t="str">
        <f t="shared" si="1820"/>
        <v>棚卸以外</v>
      </c>
      <c r="I5044" s="7">
        <v>51</v>
      </c>
      <c r="J5044" s="7" t="str">
        <f>"倉庫"</f>
        <v>倉庫</v>
      </c>
      <c r="K5044" s="7" t="str">
        <f>"レンガ、石積造"</f>
        <v>レンガ、石積造</v>
      </c>
      <c r="L5044" s="7" t="str">
        <f>"S50.08.04"</f>
        <v>S50.08.04</v>
      </c>
      <c r="M5044" s="7">
        <v>30.61</v>
      </c>
      <c r="N5044" s="7">
        <v>1095000</v>
      </c>
      <c r="O5044" s="7">
        <v>1094999</v>
      </c>
      <c r="P5044" s="7">
        <v>0</v>
      </c>
      <c r="Q5044" s="7" t="str">
        <f t="shared" si="1833"/>
        <v>教育庁</v>
      </c>
      <c r="R5044" s="7" t="str">
        <f t="shared" si="1838"/>
        <v>寝屋川高等学校</v>
      </c>
    </row>
    <row r="5045" spans="1:18" s="1" customFormat="1" x14ac:dyDescent="0.45">
      <c r="A5045" s="7" t="str">
        <f t="shared" si="1835"/>
        <v>10397000000</v>
      </c>
      <c r="B5045" s="7" t="str">
        <f t="shared" si="1836"/>
        <v>寝屋川高等学校</v>
      </c>
      <c r="C5045" s="7" t="str">
        <f t="shared" si="1827"/>
        <v>行政財産</v>
      </c>
      <c r="D5045" s="7" t="str">
        <f t="shared" si="1817"/>
        <v>学校</v>
      </c>
      <c r="E5045" s="7" t="str">
        <f t="shared" si="1837"/>
        <v>大阪府寝屋川市本町</v>
      </c>
      <c r="F5045" s="7"/>
      <c r="G5045" s="7" t="str">
        <f t="shared" si="1828"/>
        <v>事業用資産</v>
      </c>
      <c r="H5045" s="7" t="str">
        <f t="shared" si="1820"/>
        <v>棚卸以外</v>
      </c>
      <c r="I5045" s="7">
        <v>52</v>
      </c>
      <c r="J5045" s="7" t="str">
        <f>"体育倉庫"</f>
        <v>体育倉庫</v>
      </c>
      <c r="K5045" s="7" t="str">
        <f>"レンガ、石積造"</f>
        <v>レンガ、石積造</v>
      </c>
      <c r="L5045" s="7" t="str">
        <f>"S50.10.02"</f>
        <v>S50.10.02</v>
      </c>
      <c r="M5045" s="7">
        <v>39.89</v>
      </c>
      <c r="N5045" s="7">
        <v>1428000</v>
      </c>
      <c r="O5045" s="7">
        <v>1427999</v>
      </c>
      <c r="P5045" s="7">
        <v>0</v>
      </c>
      <c r="Q5045" s="7" t="str">
        <f t="shared" si="1833"/>
        <v>教育庁</v>
      </c>
      <c r="R5045" s="7" t="str">
        <f t="shared" si="1838"/>
        <v>寝屋川高等学校</v>
      </c>
    </row>
    <row r="5046" spans="1:18" s="1" customFormat="1" x14ac:dyDescent="0.45">
      <c r="A5046" s="7" t="str">
        <f t="shared" si="1835"/>
        <v>10397000000</v>
      </c>
      <c r="B5046" s="7" t="str">
        <f t="shared" si="1836"/>
        <v>寝屋川高等学校</v>
      </c>
      <c r="C5046" s="7" t="str">
        <f t="shared" si="1827"/>
        <v>行政財産</v>
      </c>
      <c r="D5046" s="7" t="str">
        <f t="shared" si="1817"/>
        <v>学校</v>
      </c>
      <c r="E5046" s="7" t="str">
        <f t="shared" si="1837"/>
        <v>大阪府寝屋川市本町</v>
      </c>
      <c r="F5046" s="7"/>
      <c r="G5046" s="7" t="str">
        <f t="shared" si="1828"/>
        <v>事業用資産</v>
      </c>
      <c r="H5046" s="7" t="str">
        <f t="shared" si="1820"/>
        <v>棚卸以外</v>
      </c>
      <c r="I5046" s="7">
        <v>53</v>
      </c>
      <c r="J5046" s="7" t="str">
        <f>"守衛室"</f>
        <v>守衛室</v>
      </c>
      <c r="K5046" s="7" t="str">
        <f>"コンクリートブロック造"</f>
        <v>コンクリートブロック造</v>
      </c>
      <c r="L5046" s="7" t="str">
        <f>"S50.10.30"</f>
        <v>S50.10.30</v>
      </c>
      <c r="M5046" s="7">
        <v>8.8000000000000007</v>
      </c>
      <c r="N5046" s="7">
        <v>1947000</v>
      </c>
      <c r="O5046" s="7">
        <v>1946999</v>
      </c>
      <c r="P5046" s="7">
        <v>0</v>
      </c>
      <c r="Q5046" s="7" t="str">
        <f t="shared" si="1833"/>
        <v>教育庁</v>
      </c>
      <c r="R5046" s="7" t="str">
        <f t="shared" si="1838"/>
        <v>寝屋川高等学校</v>
      </c>
    </row>
    <row r="5047" spans="1:18" s="1" customFormat="1" x14ac:dyDescent="0.45">
      <c r="A5047" s="7" t="str">
        <f t="shared" si="1835"/>
        <v>10397000000</v>
      </c>
      <c r="B5047" s="7" t="str">
        <f t="shared" si="1836"/>
        <v>寝屋川高等学校</v>
      </c>
      <c r="C5047" s="7" t="str">
        <f t="shared" si="1827"/>
        <v>行政財産</v>
      </c>
      <c r="D5047" s="7" t="str">
        <f t="shared" si="1817"/>
        <v>学校</v>
      </c>
      <c r="E5047" s="7" t="str">
        <f t="shared" si="1837"/>
        <v>大阪府寝屋川市本町</v>
      </c>
      <c r="F5047" s="7"/>
      <c r="G5047" s="7" t="str">
        <f t="shared" si="1828"/>
        <v>事業用資産</v>
      </c>
      <c r="H5047" s="7" t="str">
        <f t="shared" si="1820"/>
        <v>棚卸以外</v>
      </c>
      <c r="I5047" s="7">
        <v>55</v>
      </c>
      <c r="J5047" s="7" t="str">
        <f>"倉庫"</f>
        <v>倉庫</v>
      </c>
      <c r="K5047" s="7" t="str">
        <f>"鉄骨造"</f>
        <v>鉄骨造</v>
      </c>
      <c r="L5047" s="7" t="str">
        <f>"S58.03.31"</f>
        <v>S58.03.31</v>
      </c>
      <c r="M5047" s="7">
        <v>129</v>
      </c>
      <c r="N5047" s="7">
        <v>8063000</v>
      </c>
      <c r="O5047" s="7">
        <v>8062999</v>
      </c>
      <c r="P5047" s="7">
        <v>0</v>
      </c>
      <c r="Q5047" s="7" t="str">
        <f t="shared" si="1833"/>
        <v>教育庁</v>
      </c>
      <c r="R5047" s="7" t="str">
        <f t="shared" si="1838"/>
        <v>寝屋川高等学校</v>
      </c>
    </row>
    <row r="5048" spans="1:18" s="1" customFormat="1" x14ac:dyDescent="0.45">
      <c r="A5048" s="7" t="str">
        <f t="shared" si="1835"/>
        <v>10397000000</v>
      </c>
      <c r="B5048" s="7" t="str">
        <f t="shared" si="1836"/>
        <v>寝屋川高等学校</v>
      </c>
      <c r="C5048" s="7" t="str">
        <f t="shared" si="1827"/>
        <v>行政財産</v>
      </c>
      <c r="D5048" s="7" t="str">
        <f t="shared" si="1817"/>
        <v>学校</v>
      </c>
      <c r="E5048" s="7" t="str">
        <f t="shared" si="1837"/>
        <v>大阪府寝屋川市本町</v>
      </c>
      <c r="F5048" s="7"/>
      <c r="G5048" s="7" t="str">
        <f t="shared" si="1828"/>
        <v>事業用資産</v>
      </c>
      <c r="H5048" s="7" t="str">
        <f t="shared" si="1820"/>
        <v>棚卸以外</v>
      </c>
      <c r="I5048" s="7">
        <v>56</v>
      </c>
      <c r="J5048" s="7" t="str">
        <f>"定時制第２職員室"</f>
        <v>定時制第２職員室</v>
      </c>
      <c r="K5048" s="7" t="str">
        <f>"鉄骨造"</f>
        <v>鉄骨造</v>
      </c>
      <c r="L5048" s="7" t="str">
        <f>"S58.08.31"</f>
        <v>S58.08.31</v>
      </c>
      <c r="M5048" s="7">
        <v>23.92</v>
      </c>
      <c r="N5048" s="7">
        <v>5167000</v>
      </c>
      <c r="O5048" s="7">
        <v>5166999</v>
      </c>
      <c r="P5048" s="7">
        <v>0</v>
      </c>
      <c r="Q5048" s="7" t="str">
        <f t="shared" si="1833"/>
        <v>教育庁</v>
      </c>
      <c r="R5048" s="7" t="str">
        <f t="shared" si="1838"/>
        <v>寝屋川高等学校</v>
      </c>
    </row>
    <row r="5049" spans="1:18" s="1" customFormat="1" x14ac:dyDescent="0.45">
      <c r="A5049" s="7" t="str">
        <f t="shared" si="1835"/>
        <v>10397000000</v>
      </c>
      <c r="B5049" s="7" t="str">
        <f t="shared" si="1836"/>
        <v>寝屋川高等学校</v>
      </c>
      <c r="C5049" s="7" t="str">
        <f t="shared" si="1827"/>
        <v>行政財産</v>
      </c>
      <c r="D5049" s="7" t="str">
        <f t="shared" ref="D5049:D5112" si="1840">"学校"</f>
        <v>学校</v>
      </c>
      <c r="E5049" s="7" t="str">
        <f t="shared" si="1837"/>
        <v>大阪府寝屋川市本町</v>
      </c>
      <c r="F5049" s="7"/>
      <c r="G5049" s="7" t="str">
        <f t="shared" si="1828"/>
        <v>事業用資産</v>
      </c>
      <c r="H5049" s="7" t="str">
        <f t="shared" si="1820"/>
        <v>棚卸以外</v>
      </c>
      <c r="I5049" s="7">
        <v>57</v>
      </c>
      <c r="J5049" s="7" t="str">
        <f>"西館"</f>
        <v>西館</v>
      </c>
      <c r="K5049" s="7" t="str">
        <f>"鉄筋コンクリート造"</f>
        <v>鉄筋コンクリート造</v>
      </c>
      <c r="L5049" s="7" t="str">
        <f>"S59.02.10"</f>
        <v>S59.02.10</v>
      </c>
      <c r="M5049" s="7">
        <v>1049.8800000000001</v>
      </c>
      <c r="N5049" s="7">
        <v>199870733</v>
      </c>
      <c r="O5049" s="7">
        <v>163407358</v>
      </c>
      <c r="P5049" s="7">
        <v>0</v>
      </c>
      <c r="Q5049" s="7" t="str">
        <f t="shared" si="1833"/>
        <v>教育庁</v>
      </c>
      <c r="R5049" s="7" t="str">
        <f t="shared" si="1838"/>
        <v>寝屋川高等学校</v>
      </c>
    </row>
    <row r="5050" spans="1:18" s="1" customFormat="1" x14ac:dyDescent="0.45">
      <c r="A5050" s="7" t="str">
        <f t="shared" si="1835"/>
        <v>10397000000</v>
      </c>
      <c r="B5050" s="7" t="str">
        <f t="shared" si="1836"/>
        <v>寝屋川高等学校</v>
      </c>
      <c r="C5050" s="7" t="str">
        <f t="shared" si="1827"/>
        <v>行政財産</v>
      </c>
      <c r="D5050" s="7" t="str">
        <f t="shared" si="1840"/>
        <v>学校</v>
      </c>
      <c r="E5050" s="7" t="str">
        <f t="shared" si="1837"/>
        <v>大阪府寝屋川市本町</v>
      </c>
      <c r="F5050" s="7"/>
      <c r="G5050" s="7" t="str">
        <f t="shared" si="1828"/>
        <v>事業用資産</v>
      </c>
      <c r="H5050" s="7" t="str">
        <f t="shared" si="1820"/>
        <v>棚卸以外</v>
      </c>
      <c r="I5050" s="7">
        <v>58</v>
      </c>
      <c r="J5050" s="7" t="str">
        <f>"会議室棟"</f>
        <v>会議室棟</v>
      </c>
      <c r="K5050" s="7" t="str">
        <f>"鉄骨造"</f>
        <v>鉄骨造</v>
      </c>
      <c r="L5050" s="7" t="str">
        <f>"S59.02.10"</f>
        <v>S59.02.10</v>
      </c>
      <c r="M5050" s="7">
        <v>281.20999999999998</v>
      </c>
      <c r="N5050" s="7">
        <v>58127000</v>
      </c>
      <c r="O5050" s="7">
        <v>58126999</v>
      </c>
      <c r="P5050" s="7">
        <v>0</v>
      </c>
      <c r="Q5050" s="7" t="str">
        <f t="shared" si="1833"/>
        <v>教育庁</v>
      </c>
      <c r="R5050" s="7" t="str">
        <f t="shared" si="1838"/>
        <v>寝屋川高等学校</v>
      </c>
    </row>
    <row r="5051" spans="1:18" s="1" customFormat="1" x14ac:dyDescent="0.45">
      <c r="A5051" s="7" t="str">
        <f t="shared" si="1835"/>
        <v>10397000000</v>
      </c>
      <c r="B5051" s="7" t="str">
        <f t="shared" si="1836"/>
        <v>寝屋川高等学校</v>
      </c>
      <c r="C5051" s="7" t="str">
        <f t="shared" si="1827"/>
        <v>行政財産</v>
      </c>
      <c r="D5051" s="7" t="str">
        <f t="shared" si="1840"/>
        <v>学校</v>
      </c>
      <c r="E5051" s="7" t="str">
        <f t="shared" si="1837"/>
        <v>大阪府寝屋川市本町</v>
      </c>
      <c r="F5051" s="7"/>
      <c r="G5051" s="7" t="str">
        <f t="shared" si="1828"/>
        <v>事業用資産</v>
      </c>
      <c r="H5051" s="7" t="str">
        <f t="shared" si="1820"/>
        <v>棚卸以外</v>
      </c>
      <c r="I5051" s="7">
        <v>61</v>
      </c>
      <c r="J5051" s="7" t="str">
        <f>"倉庫"</f>
        <v>倉庫</v>
      </c>
      <c r="K5051" s="7" t="str">
        <f>"軽量鉄骨造"</f>
        <v>軽量鉄骨造</v>
      </c>
      <c r="L5051" s="7" t="str">
        <f>"H01.03.25"</f>
        <v>H01.03.25</v>
      </c>
      <c r="M5051" s="7">
        <v>35</v>
      </c>
      <c r="N5051" s="7">
        <v>4475000</v>
      </c>
      <c r="O5051" s="7">
        <v>4474999</v>
      </c>
      <c r="P5051" s="7">
        <v>0</v>
      </c>
      <c r="Q5051" s="7" t="str">
        <f t="shared" si="1833"/>
        <v>教育庁</v>
      </c>
      <c r="R5051" s="7" t="str">
        <f t="shared" si="1838"/>
        <v>寝屋川高等学校</v>
      </c>
    </row>
    <row r="5052" spans="1:18" s="1" customFormat="1" x14ac:dyDescent="0.45">
      <c r="A5052" s="7" t="str">
        <f t="shared" si="1835"/>
        <v>10397000000</v>
      </c>
      <c r="B5052" s="7" t="str">
        <f t="shared" si="1836"/>
        <v>寝屋川高等学校</v>
      </c>
      <c r="C5052" s="7" t="str">
        <f t="shared" si="1827"/>
        <v>行政財産</v>
      </c>
      <c r="D5052" s="7" t="str">
        <f t="shared" si="1840"/>
        <v>学校</v>
      </c>
      <c r="E5052" s="7" t="str">
        <f t="shared" si="1837"/>
        <v>大阪府寝屋川市本町</v>
      </c>
      <c r="F5052" s="7"/>
      <c r="G5052" s="7" t="str">
        <f t="shared" si="1828"/>
        <v>事業用資産</v>
      </c>
      <c r="H5052" s="7" t="str">
        <f t="shared" si="1820"/>
        <v>棚卸以外</v>
      </c>
      <c r="I5052" s="7">
        <v>62</v>
      </c>
      <c r="J5052" s="7" t="str">
        <f>"定時制指導室"</f>
        <v>定時制指導室</v>
      </c>
      <c r="K5052" s="7" t="str">
        <f>"軽量鉄骨造"</f>
        <v>軽量鉄骨造</v>
      </c>
      <c r="L5052" s="7" t="str">
        <f>"H01.03.25"</f>
        <v>H01.03.25</v>
      </c>
      <c r="M5052" s="7">
        <v>61.25</v>
      </c>
      <c r="N5052" s="7">
        <v>7525000</v>
      </c>
      <c r="O5052" s="7">
        <v>7524999</v>
      </c>
      <c r="P5052" s="7">
        <v>0</v>
      </c>
      <c r="Q5052" s="7" t="str">
        <f t="shared" si="1833"/>
        <v>教育庁</v>
      </c>
      <c r="R5052" s="7" t="str">
        <f t="shared" si="1838"/>
        <v>寝屋川高等学校</v>
      </c>
    </row>
    <row r="5053" spans="1:18" s="1" customFormat="1" x14ac:dyDescent="0.45">
      <c r="A5053" s="7" t="str">
        <f t="shared" si="1835"/>
        <v>10397000000</v>
      </c>
      <c r="B5053" s="7" t="str">
        <f t="shared" si="1836"/>
        <v>寝屋川高等学校</v>
      </c>
      <c r="C5053" s="7" t="str">
        <f t="shared" si="1827"/>
        <v>行政財産</v>
      </c>
      <c r="D5053" s="7" t="str">
        <f t="shared" si="1840"/>
        <v>学校</v>
      </c>
      <c r="E5053" s="7" t="str">
        <f t="shared" si="1837"/>
        <v>大阪府寝屋川市本町</v>
      </c>
      <c r="F5053" s="7"/>
      <c r="G5053" s="7" t="str">
        <f t="shared" si="1828"/>
        <v>事業用資産</v>
      </c>
      <c r="H5053" s="7" t="str">
        <f t="shared" si="1820"/>
        <v>棚卸以外</v>
      </c>
      <c r="I5053" s="7">
        <v>63</v>
      </c>
      <c r="J5053" s="7" t="str">
        <f>"プール附属棟"</f>
        <v>プール附属棟</v>
      </c>
      <c r="K5053" s="7" t="str">
        <f>"軽量鉄骨造"</f>
        <v>軽量鉄骨造</v>
      </c>
      <c r="L5053" s="7" t="str">
        <f>"H01.03.25"</f>
        <v>H01.03.25</v>
      </c>
      <c r="M5053" s="7">
        <v>138</v>
      </c>
      <c r="N5053" s="7">
        <v>36617000</v>
      </c>
      <c r="O5053" s="7">
        <v>36616999</v>
      </c>
      <c r="P5053" s="7">
        <v>0</v>
      </c>
      <c r="Q5053" s="7" t="str">
        <f t="shared" si="1833"/>
        <v>教育庁</v>
      </c>
      <c r="R5053" s="7" t="str">
        <f t="shared" si="1838"/>
        <v>寝屋川高等学校</v>
      </c>
    </row>
    <row r="5054" spans="1:18" s="1" customFormat="1" x14ac:dyDescent="0.45">
      <c r="A5054" s="7" t="str">
        <f t="shared" si="1835"/>
        <v>10397000000</v>
      </c>
      <c r="B5054" s="7" t="str">
        <f t="shared" si="1836"/>
        <v>寝屋川高等学校</v>
      </c>
      <c r="C5054" s="7" t="str">
        <f t="shared" si="1827"/>
        <v>行政財産</v>
      </c>
      <c r="D5054" s="7" t="str">
        <f t="shared" si="1840"/>
        <v>学校</v>
      </c>
      <c r="E5054" s="7" t="str">
        <f t="shared" si="1837"/>
        <v>大阪府寝屋川市本町</v>
      </c>
      <c r="F5054" s="7"/>
      <c r="G5054" s="7" t="str">
        <f t="shared" si="1828"/>
        <v>事業用資産</v>
      </c>
      <c r="H5054" s="7" t="str">
        <f t="shared" si="1820"/>
        <v>棚卸以外</v>
      </c>
      <c r="I5054" s="7">
        <v>64</v>
      </c>
      <c r="J5054" s="7" t="str">
        <f>"セミナーハウス（北水会館）"</f>
        <v>セミナーハウス（北水会館）</v>
      </c>
      <c r="K5054" s="7" t="str">
        <f>"軽量鉄骨造"</f>
        <v>軽量鉄骨造</v>
      </c>
      <c r="L5054" s="7" t="str">
        <f>"H02.03.26"</f>
        <v>H02.03.26</v>
      </c>
      <c r="M5054" s="7">
        <v>500.07</v>
      </c>
      <c r="N5054" s="7">
        <v>95114741</v>
      </c>
      <c r="O5054" s="7">
        <v>93572167</v>
      </c>
      <c r="P5054" s="7">
        <v>0</v>
      </c>
      <c r="Q5054" s="7" t="str">
        <f t="shared" si="1833"/>
        <v>教育庁</v>
      </c>
      <c r="R5054" s="7" t="str">
        <f t="shared" si="1838"/>
        <v>寝屋川高等学校</v>
      </c>
    </row>
    <row r="5055" spans="1:18" s="1" customFormat="1" x14ac:dyDescent="0.45">
      <c r="A5055" s="7" t="str">
        <f t="shared" si="1835"/>
        <v>10397000000</v>
      </c>
      <c r="B5055" s="7" t="str">
        <f t="shared" si="1836"/>
        <v>寝屋川高等学校</v>
      </c>
      <c r="C5055" s="7" t="str">
        <f t="shared" si="1827"/>
        <v>行政財産</v>
      </c>
      <c r="D5055" s="7" t="str">
        <f t="shared" si="1840"/>
        <v>学校</v>
      </c>
      <c r="E5055" s="7" t="str">
        <f t="shared" si="1837"/>
        <v>大阪府寝屋川市本町</v>
      </c>
      <c r="F5055" s="7"/>
      <c r="G5055" s="7" t="str">
        <f t="shared" si="1828"/>
        <v>事業用資産</v>
      </c>
      <c r="H5055" s="7" t="str">
        <f t="shared" si="1820"/>
        <v>棚卸以外</v>
      </c>
      <c r="I5055" s="7">
        <v>65</v>
      </c>
      <c r="J5055" s="7" t="str">
        <f>"倉庫"</f>
        <v>倉庫</v>
      </c>
      <c r="K5055" s="7" t="str">
        <f>"土蔵造(簡易建物)"</f>
        <v>土蔵造(簡易建物)</v>
      </c>
      <c r="L5055" s="7" t="str">
        <f>"H17.01.31"</f>
        <v>H17.01.31</v>
      </c>
      <c r="M5055" s="7">
        <v>29.96</v>
      </c>
      <c r="N5055" s="7">
        <v>1020000</v>
      </c>
      <c r="O5055" s="7">
        <v>772156</v>
      </c>
      <c r="P5055" s="7">
        <v>0</v>
      </c>
      <c r="Q5055" s="7" t="str">
        <f t="shared" si="1833"/>
        <v>教育庁</v>
      </c>
      <c r="R5055" s="7" t="str">
        <f t="shared" si="1838"/>
        <v>寝屋川高等学校</v>
      </c>
    </row>
    <row r="5056" spans="1:18" s="1" customFormat="1" x14ac:dyDescent="0.45">
      <c r="A5056" s="7" t="str">
        <f t="shared" si="1835"/>
        <v>10397000000</v>
      </c>
      <c r="B5056" s="7" t="str">
        <f t="shared" si="1836"/>
        <v>寝屋川高等学校</v>
      </c>
      <c r="C5056" s="7" t="str">
        <f t="shared" si="1827"/>
        <v>行政財産</v>
      </c>
      <c r="D5056" s="7" t="str">
        <f t="shared" si="1840"/>
        <v>学校</v>
      </c>
      <c r="E5056" s="7" t="str">
        <f t="shared" si="1837"/>
        <v>大阪府寝屋川市本町</v>
      </c>
      <c r="F5056" s="7"/>
      <c r="G5056" s="7" t="str">
        <f t="shared" si="1828"/>
        <v>事業用資産</v>
      </c>
      <c r="H5056" s="7" t="str">
        <f t="shared" si="1820"/>
        <v>棚卸以外</v>
      </c>
      <c r="I5056" s="7">
        <v>66</v>
      </c>
      <c r="J5056" s="7" t="str">
        <f>"北館"</f>
        <v>北館</v>
      </c>
      <c r="K5056" s="7" t="str">
        <f>"鉄骨造"</f>
        <v>鉄骨造</v>
      </c>
      <c r="L5056" s="7" t="str">
        <f>"H18.08.21"</f>
        <v>H18.08.21</v>
      </c>
      <c r="M5056" s="7">
        <v>414</v>
      </c>
      <c r="N5056" s="7">
        <v>62936035</v>
      </c>
      <c r="O5056" s="7">
        <v>30449698</v>
      </c>
      <c r="P5056" s="7">
        <v>0</v>
      </c>
      <c r="Q5056" s="7" t="str">
        <f t="shared" si="1833"/>
        <v>教育庁</v>
      </c>
      <c r="R5056" s="7" t="str">
        <f t="shared" si="1838"/>
        <v>寝屋川高等学校</v>
      </c>
    </row>
    <row r="5057" spans="1:18" s="1" customFormat="1" x14ac:dyDescent="0.45">
      <c r="A5057" s="7" t="str">
        <f t="shared" si="1835"/>
        <v>10397000000</v>
      </c>
      <c r="B5057" s="7" t="str">
        <f t="shared" si="1836"/>
        <v>寝屋川高等学校</v>
      </c>
      <c r="C5057" s="7" t="str">
        <f t="shared" si="1827"/>
        <v>行政財産</v>
      </c>
      <c r="D5057" s="7" t="str">
        <f t="shared" si="1840"/>
        <v>学校</v>
      </c>
      <c r="E5057" s="7" t="str">
        <f t="shared" si="1837"/>
        <v>大阪府寝屋川市本町</v>
      </c>
      <c r="F5057" s="7"/>
      <c r="G5057" s="7" t="str">
        <f t="shared" si="1828"/>
        <v>事業用資産</v>
      </c>
      <c r="H5057" s="7" t="str">
        <f t="shared" si="1820"/>
        <v>棚卸以外</v>
      </c>
      <c r="I5057" s="7">
        <v>68</v>
      </c>
      <c r="J5057" s="7" t="str">
        <f>"理科館"</f>
        <v>理科館</v>
      </c>
      <c r="K5057" s="7" t="str">
        <f>"鉄筋コンクリート造"</f>
        <v>鉄筋コンクリート造</v>
      </c>
      <c r="L5057" s="7" t="str">
        <f>"H21.03.04"</f>
        <v>H21.03.04</v>
      </c>
      <c r="M5057" s="7">
        <v>1090.6199999999999</v>
      </c>
      <c r="N5057" s="7">
        <v>174809215</v>
      </c>
      <c r="O5057" s="7">
        <v>51827037</v>
      </c>
      <c r="P5057" s="7">
        <v>0</v>
      </c>
      <c r="Q5057" s="7" t="str">
        <f t="shared" si="1833"/>
        <v>教育庁</v>
      </c>
      <c r="R5057" s="7" t="str">
        <f t="shared" si="1838"/>
        <v>寝屋川高等学校</v>
      </c>
    </row>
    <row r="5058" spans="1:18" s="1" customFormat="1" x14ac:dyDescent="0.45">
      <c r="A5058" s="7" t="str">
        <f t="shared" si="1835"/>
        <v>10397000000</v>
      </c>
      <c r="B5058" s="7" t="str">
        <f t="shared" si="1836"/>
        <v>寝屋川高等学校</v>
      </c>
      <c r="C5058" s="7" t="str">
        <f t="shared" si="1827"/>
        <v>行政財産</v>
      </c>
      <c r="D5058" s="7" t="str">
        <f t="shared" si="1840"/>
        <v>学校</v>
      </c>
      <c r="E5058" s="7" t="str">
        <f t="shared" si="1837"/>
        <v>大阪府寝屋川市本町</v>
      </c>
      <c r="F5058" s="7"/>
      <c r="G5058" s="7" t="str">
        <f t="shared" si="1828"/>
        <v>事業用資産</v>
      </c>
      <c r="H5058" s="7" t="str">
        <f t="shared" si="1820"/>
        <v>棚卸以外</v>
      </c>
      <c r="I5058" s="7">
        <v>69</v>
      </c>
      <c r="J5058" s="7" t="str">
        <f>"クラブハウス（健技館）"</f>
        <v>クラブハウス（健技館）</v>
      </c>
      <c r="K5058" s="7" t="str">
        <f>"鉄骨造"</f>
        <v>鉄骨造</v>
      </c>
      <c r="L5058" s="7" t="str">
        <f>"H23.03.31"</f>
        <v>H23.03.31</v>
      </c>
      <c r="M5058" s="7">
        <v>286.48</v>
      </c>
      <c r="N5058" s="7">
        <v>44305700</v>
      </c>
      <c r="O5058" s="7">
        <v>15203020</v>
      </c>
      <c r="P5058" s="7">
        <v>0</v>
      </c>
      <c r="Q5058" s="7" t="str">
        <f t="shared" si="1833"/>
        <v>教育庁</v>
      </c>
      <c r="R5058" s="7" t="str">
        <f t="shared" si="1838"/>
        <v>寝屋川高等学校</v>
      </c>
    </row>
    <row r="5059" spans="1:18" s="1" customFormat="1" x14ac:dyDescent="0.45">
      <c r="A5059" s="7" t="str">
        <f>"10400000000"</f>
        <v>10400000000</v>
      </c>
      <c r="B5059" s="7" t="str">
        <f>"西寝屋川高等学校"</f>
        <v>西寝屋川高等学校</v>
      </c>
      <c r="C5059" s="7" t="str">
        <f t="shared" si="1827"/>
        <v>行政財産</v>
      </c>
      <c r="D5059" s="7" t="str">
        <f t="shared" si="1840"/>
        <v>学校</v>
      </c>
      <c r="E5059" s="7" t="str">
        <f>"大阪府寝屋川市葛原２丁目"</f>
        <v>大阪府寝屋川市葛原２丁目</v>
      </c>
      <c r="F5059" s="7"/>
      <c r="G5059" s="7" t="str">
        <f t="shared" si="1828"/>
        <v>事業用資産</v>
      </c>
      <c r="H5059" s="7" t="str">
        <f t="shared" si="1820"/>
        <v>棚卸以外</v>
      </c>
      <c r="I5059" s="7">
        <v>2</v>
      </c>
      <c r="J5059" s="7" t="str">
        <f>"校舎"</f>
        <v>校舎</v>
      </c>
      <c r="K5059" s="7" t="str">
        <f>"鉄筋コンクリート造"</f>
        <v>鉄筋コンクリート造</v>
      </c>
      <c r="L5059" s="7" t="str">
        <f>"S55.10.03"</f>
        <v>S55.10.03</v>
      </c>
      <c r="M5059" s="7">
        <v>10958.75</v>
      </c>
      <c r="N5059" s="7">
        <v>1590228193</v>
      </c>
      <c r="O5059" s="7">
        <v>1299977796</v>
      </c>
      <c r="P5059" s="7">
        <v>0</v>
      </c>
      <c r="Q5059" s="7" t="str">
        <f t="shared" si="1833"/>
        <v>教育庁</v>
      </c>
      <c r="R5059" s="7" t="str">
        <f>"西寝屋川高等学校"</f>
        <v>西寝屋川高等学校</v>
      </c>
    </row>
    <row r="5060" spans="1:18" s="1" customFormat="1" x14ac:dyDescent="0.45">
      <c r="A5060" s="7" t="str">
        <f>"10400000000"</f>
        <v>10400000000</v>
      </c>
      <c r="B5060" s="7" t="str">
        <f>"西寝屋川高等学校"</f>
        <v>西寝屋川高等学校</v>
      </c>
      <c r="C5060" s="7" t="str">
        <f t="shared" si="1827"/>
        <v>行政財産</v>
      </c>
      <c r="D5060" s="7" t="str">
        <f t="shared" si="1840"/>
        <v>学校</v>
      </c>
      <c r="E5060" s="7" t="str">
        <f>"大阪府寝屋川市葛原２丁目"</f>
        <v>大阪府寝屋川市葛原２丁目</v>
      </c>
      <c r="F5060" s="7"/>
      <c r="G5060" s="7" t="str">
        <f t="shared" si="1828"/>
        <v>事業用資産</v>
      </c>
      <c r="H5060" s="7" t="str">
        <f t="shared" ref="H5060:H5123" si="1841">"棚卸以外"</f>
        <v>棚卸以外</v>
      </c>
      <c r="I5060" s="7">
        <v>3</v>
      </c>
      <c r="J5060" s="7" t="str">
        <f>"体育館"</f>
        <v>体育館</v>
      </c>
      <c r="K5060" s="7" t="str">
        <f>"鉄筋コンクリート造"</f>
        <v>鉄筋コンクリート造</v>
      </c>
      <c r="L5060" s="7" t="str">
        <f>"S56.04.01"</f>
        <v>S56.04.01</v>
      </c>
      <c r="M5060" s="7">
        <v>3053.89</v>
      </c>
      <c r="N5060" s="7">
        <v>489001820</v>
      </c>
      <c r="O5060" s="7">
        <v>390061408</v>
      </c>
      <c r="P5060" s="7">
        <v>0</v>
      </c>
      <c r="Q5060" s="7" t="str">
        <f t="shared" si="1833"/>
        <v>教育庁</v>
      </c>
      <c r="R5060" s="7" t="str">
        <f>"西寝屋川高等学校"</f>
        <v>西寝屋川高等学校</v>
      </c>
    </row>
    <row r="5061" spans="1:18" s="1" customFormat="1" x14ac:dyDescent="0.45">
      <c r="A5061" s="7" t="str">
        <f>"10400000000"</f>
        <v>10400000000</v>
      </c>
      <c r="B5061" s="7" t="str">
        <f>"西寝屋川高等学校"</f>
        <v>西寝屋川高等学校</v>
      </c>
      <c r="C5061" s="7" t="str">
        <f t="shared" si="1827"/>
        <v>行政財産</v>
      </c>
      <c r="D5061" s="7" t="str">
        <f t="shared" si="1840"/>
        <v>学校</v>
      </c>
      <c r="E5061" s="7" t="str">
        <f>"大阪府寝屋川市葛原２丁目"</f>
        <v>大阪府寝屋川市葛原２丁目</v>
      </c>
      <c r="F5061" s="7"/>
      <c r="G5061" s="7" t="str">
        <f t="shared" si="1828"/>
        <v>事業用資産</v>
      </c>
      <c r="H5061" s="7" t="str">
        <f t="shared" si="1841"/>
        <v>棚卸以外</v>
      </c>
      <c r="I5061" s="7">
        <v>4</v>
      </c>
      <c r="J5061" s="7" t="str">
        <f>"プール附属棟"</f>
        <v>プール附属棟</v>
      </c>
      <c r="K5061" s="7" t="str">
        <f>"鉄筋コンクリート造"</f>
        <v>鉄筋コンクリート造</v>
      </c>
      <c r="L5061" s="7" t="str">
        <f>"S56.05.20"</f>
        <v>S56.05.20</v>
      </c>
      <c r="M5061" s="7">
        <v>138</v>
      </c>
      <c r="N5061" s="7">
        <v>53107185</v>
      </c>
      <c r="O5061" s="7">
        <v>53011512</v>
      </c>
      <c r="P5061" s="7">
        <v>0</v>
      </c>
      <c r="Q5061" s="7" t="str">
        <f t="shared" si="1833"/>
        <v>教育庁</v>
      </c>
      <c r="R5061" s="7" t="str">
        <f>"西寝屋川高等学校"</f>
        <v>西寝屋川高等学校</v>
      </c>
    </row>
    <row r="5062" spans="1:18" s="1" customFormat="1" x14ac:dyDescent="0.45">
      <c r="A5062" s="7" t="str">
        <f>"10400000000"</f>
        <v>10400000000</v>
      </c>
      <c r="B5062" s="7" t="str">
        <f>"西寝屋川高等学校"</f>
        <v>西寝屋川高等学校</v>
      </c>
      <c r="C5062" s="7" t="str">
        <f t="shared" si="1827"/>
        <v>行政財産</v>
      </c>
      <c r="D5062" s="7" t="str">
        <f t="shared" si="1840"/>
        <v>学校</v>
      </c>
      <c r="E5062" s="7" t="str">
        <f>"大阪府寝屋川市葛原２丁目"</f>
        <v>大阪府寝屋川市葛原２丁目</v>
      </c>
      <c r="F5062" s="7"/>
      <c r="G5062" s="7" t="str">
        <f t="shared" si="1828"/>
        <v>事業用資産</v>
      </c>
      <c r="H5062" s="7" t="str">
        <f t="shared" si="1841"/>
        <v>棚卸以外</v>
      </c>
      <c r="I5062" s="7">
        <v>5</v>
      </c>
      <c r="J5062" s="7" t="str">
        <f>"倉庫"</f>
        <v>倉庫</v>
      </c>
      <c r="K5062" s="7" t="str">
        <f>"軽量鉄骨造"</f>
        <v>軽量鉄骨造</v>
      </c>
      <c r="L5062" s="7" t="str">
        <f>"S56.09.17"</f>
        <v>S56.09.17</v>
      </c>
      <c r="M5062" s="7">
        <v>228.15</v>
      </c>
      <c r="N5062" s="7">
        <v>12695000</v>
      </c>
      <c r="O5062" s="7">
        <v>12694999</v>
      </c>
      <c r="P5062" s="7">
        <v>0</v>
      </c>
      <c r="Q5062" s="7" t="str">
        <f t="shared" si="1833"/>
        <v>教育庁</v>
      </c>
      <c r="R5062" s="7" t="str">
        <f>"西寝屋川高等学校"</f>
        <v>西寝屋川高等学校</v>
      </c>
    </row>
    <row r="5063" spans="1:18" s="1" customFormat="1" x14ac:dyDescent="0.45">
      <c r="A5063" s="7" t="str">
        <f>"10400000000"</f>
        <v>10400000000</v>
      </c>
      <c r="B5063" s="7" t="str">
        <f>"西寝屋川高等学校"</f>
        <v>西寝屋川高等学校</v>
      </c>
      <c r="C5063" s="7" t="str">
        <f t="shared" si="1827"/>
        <v>行政財産</v>
      </c>
      <c r="D5063" s="7" t="str">
        <f t="shared" si="1840"/>
        <v>学校</v>
      </c>
      <c r="E5063" s="7" t="str">
        <f>"大阪府寝屋川市葛原２丁目"</f>
        <v>大阪府寝屋川市葛原２丁目</v>
      </c>
      <c r="F5063" s="7"/>
      <c r="G5063" s="7" t="str">
        <f t="shared" si="1828"/>
        <v>事業用資産</v>
      </c>
      <c r="H5063" s="7" t="str">
        <f t="shared" si="1841"/>
        <v>棚卸以外</v>
      </c>
      <c r="I5063" s="7">
        <v>6</v>
      </c>
      <c r="J5063" s="7" t="str">
        <f>"石灰倉庫"</f>
        <v>石灰倉庫</v>
      </c>
      <c r="K5063" s="7" t="str">
        <f>"コンクリートブロック造"</f>
        <v>コンクリートブロック造</v>
      </c>
      <c r="L5063" s="7" t="str">
        <f>"S58.04.06"</f>
        <v>S58.04.06</v>
      </c>
      <c r="M5063" s="7">
        <v>6.51</v>
      </c>
      <c r="N5063" s="7">
        <v>576000</v>
      </c>
      <c r="O5063" s="7">
        <v>575999</v>
      </c>
      <c r="P5063" s="7">
        <v>0</v>
      </c>
      <c r="Q5063" s="7" t="str">
        <f t="shared" si="1833"/>
        <v>教育庁</v>
      </c>
      <c r="R5063" s="7" t="str">
        <f>"西寝屋川高等学校"</f>
        <v>西寝屋川高等学校</v>
      </c>
    </row>
    <row r="5064" spans="1:18" s="1" customFormat="1" x14ac:dyDescent="0.45">
      <c r="A5064" s="7" t="str">
        <f t="shared" ref="A5064:A5088" si="1842">"10401000000"</f>
        <v>10401000000</v>
      </c>
      <c r="B5064" s="7" t="str">
        <f t="shared" ref="B5064:B5088" si="1843">"枚方高等学校"</f>
        <v>枚方高等学校</v>
      </c>
      <c r="C5064" s="7" t="str">
        <f t="shared" si="1827"/>
        <v>行政財産</v>
      </c>
      <c r="D5064" s="7" t="str">
        <f t="shared" si="1840"/>
        <v>学校</v>
      </c>
      <c r="E5064" s="7" t="str">
        <f t="shared" ref="E5064:E5088" si="1844">"大阪府枚方市大垣内町３丁目"</f>
        <v>大阪府枚方市大垣内町３丁目</v>
      </c>
      <c r="F5064" s="7"/>
      <c r="G5064" s="7" t="str">
        <f t="shared" si="1828"/>
        <v>事業用資産</v>
      </c>
      <c r="H5064" s="7" t="str">
        <f t="shared" si="1841"/>
        <v>棚卸以外</v>
      </c>
      <c r="I5064" s="7">
        <v>1</v>
      </c>
      <c r="J5064" s="7" t="str">
        <f>"普通教室棟"</f>
        <v>普通教室棟</v>
      </c>
      <c r="K5064" s="7" t="str">
        <f>"鉄筋コンクリート造"</f>
        <v>鉄筋コンクリート造</v>
      </c>
      <c r="L5064" s="7" t="str">
        <f>"S38.02.12"</f>
        <v>S38.02.12</v>
      </c>
      <c r="M5064" s="7">
        <v>2628.52</v>
      </c>
      <c r="N5064" s="7">
        <v>255753643</v>
      </c>
      <c r="O5064" s="7">
        <v>137565230</v>
      </c>
      <c r="P5064" s="7">
        <v>0</v>
      </c>
      <c r="Q5064" s="7" t="str">
        <f t="shared" si="1833"/>
        <v>教育庁</v>
      </c>
      <c r="R5064" s="7" t="str">
        <f t="shared" ref="R5064:R5088" si="1845">"枚方高等学校"</f>
        <v>枚方高等学校</v>
      </c>
    </row>
    <row r="5065" spans="1:18" s="1" customFormat="1" x14ac:dyDescent="0.45">
      <c r="A5065" s="7" t="str">
        <f t="shared" si="1842"/>
        <v>10401000000</v>
      </c>
      <c r="B5065" s="7" t="str">
        <f t="shared" si="1843"/>
        <v>枚方高等学校</v>
      </c>
      <c r="C5065" s="7" t="str">
        <f t="shared" si="1827"/>
        <v>行政財産</v>
      </c>
      <c r="D5065" s="7" t="str">
        <f t="shared" si="1840"/>
        <v>学校</v>
      </c>
      <c r="E5065" s="7" t="str">
        <f t="shared" si="1844"/>
        <v>大阪府枚方市大垣内町３丁目</v>
      </c>
      <c r="F5065" s="7"/>
      <c r="G5065" s="7" t="str">
        <f t="shared" si="1828"/>
        <v>事業用資産</v>
      </c>
      <c r="H5065" s="7" t="str">
        <f t="shared" si="1841"/>
        <v>棚卸以外</v>
      </c>
      <c r="I5065" s="7">
        <v>2</v>
      </c>
      <c r="J5065" s="7" t="str">
        <f>"電気室"</f>
        <v>電気室</v>
      </c>
      <c r="K5065" s="7" t="str">
        <f>"鉄筋コンクリート造"</f>
        <v>鉄筋コンクリート造</v>
      </c>
      <c r="L5065" s="7" t="str">
        <f>"S38.02.12"</f>
        <v>S38.02.12</v>
      </c>
      <c r="M5065" s="7">
        <v>34.97</v>
      </c>
      <c r="N5065" s="7">
        <v>7778252</v>
      </c>
      <c r="O5065" s="7">
        <v>6872579</v>
      </c>
      <c r="P5065" s="7">
        <v>0</v>
      </c>
      <c r="Q5065" s="7" t="str">
        <f t="shared" si="1833"/>
        <v>教育庁</v>
      </c>
      <c r="R5065" s="7" t="str">
        <f t="shared" si="1845"/>
        <v>枚方高等学校</v>
      </c>
    </row>
    <row r="5066" spans="1:18" s="1" customFormat="1" x14ac:dyDescent="0.45">
      <c r="A5066" s="7" t="str">
        <f t="shared" si="1842"/>
        <v>10401000000</v>
      </c>
      <c r="B5066" s="7" t="str">
        <f t="shared" si="1843"/>
        <v>枚方高等学校</v>
      </c>
      <c r="C5066" s="7" t="str">
        <f t="shared" si="1827"/>
        <v>行政財産</v>
      </c>
      <c r="D5066" s="7" t="str">
        <f t="shared" si="1840"/>
        <v>学校</v>
      </c>
      <c r="E5066" s="7" t="str">
        <f t="shared" si="1844"/>
        <v>大阪府枚方市大垣内町３丁目</v>
      </c>
      <c r="F5066" s="7"/>
      <c r="G5066" s="7" t="str">
        <f t="shared" si="1828"/>
        <v>事業用資産</v>
      </c>
      <c r="H5066" s="7" t="str">
        <f t="shared" si="1841"/>
        <v>棚卸以外</v>
      </c>
      <c r="I5066" s="7">
        <v>5</v>
      </c>
      <c r="J5066" s="7" t="str">
        <f>"特別教室棟"</f>
        <v>特別教室棟</v>
      </c>
      <c r="K5066" s="7" t="str">
        <f>"鉄筋コンクリート造"</f>
        <v>鉄筋コンクリート造</v>
      </c>
      <c r="L5066" s="7" t="str">
        <f>"S39.02.29"</f>
        <v>S39.02.29</v>
      </c>
      <c r="M5066" s="7">
        <v>3103</v>
      </c>
      <c r="N5066" s="7">
        <v>330686391</v>
      </c>
      <c r="O5066" s="7">
        <v>180177552</v>
      </c>
      <c r="P5066" s="7">
        <v>0</v>
      </c>
      <c r="Q5066" s="7" t="str">
        <f t="shared" si="1833"/>
        <v>教育庁</v>
      </c>
      <c r="R5066" s="7" t="str">
        <f t="shared" si="1845"/>
        <v>枚方高等学校</v>
      </c>
    </row>
    <row r="5067" spans="1:18" s="1" customFormat="1" x14ac:dyDescent="0.45">
      <c r="A5067" s="7" t="str">
        <f t="shared" si="1842"/>
        <v>10401000000</v>
      </c>
      <c r="B5067" s="7" t="str">
        <f t="shared" si="1843"/>
        <v>枚方高等学校</v>
      </c>
      <c r="C5067" s="7" t="str">
        <f t="shared" si="1827"/>
        <v>行政財産</v>
      </c>
      <c r="D5067" s="7" t="str">
        <f t="shared" si="1840"/>
        <v>学校</v>
      </c>
      <c r="E5067" s="7" t="str">
        <f t="shared" si="1844"/>
        <v>大阪府枚方市大垣内町３丁目</v>
      </c>
      <c r="F5067" s="7"/>
      <c r="G5067" s="7" t="str">
        <f t="shared" si="1828"/>
        <v>事業用資産</v>
      </c>
      <c r="H5067" s="7" t="str">
        <f t="shared" si="1841"/>
        <v>棚卸以外</v>
      </c>
      <c r="I5067" s="7">
        <v>6</v>
      </c>
      <c r="J5067" s="7" t="str">
        <f>"渡り廊下"</f>
        <v>渡り廊下</v>
      </c>
      <c r="K5067" s="7" t="str">
        <f>"鉄筋コンクリート造"</f>
        <v>鉄筋コンクリート造</v>
      </c>
      <c r="L5067" s="7" t="str">
        <f>"S39.02.29"</f>
        <v>S39.02.29</v>
      </c>
      <c r="M5067" s="7">
        <v>333.98</v>
      </c>
      <c r="N5067" s="7">
        <v>26836505</v>
      </c>
      <c r="O5067" s="7">
        <v>17320455</v>
      </c>
      <c r="P5067" s="7">
        <v>0</v>
      </c>
      <c r="Q5067" s="7" t="str">
        <f t="shared" si="1833"/>
        <v>教育庁</v>
      </c>
      <c r="R5067" s="7" t="str">
        <f t="shared" si="1845"/>
        <v>枚方高等学校</v>
      </c>
    </row>
    <row r="5068" spans="1:18" s="1" customFormat="1" x14ac:dyDescent="0.45">
      <c r="A5068" s="7" t="str">
        <f t="shared" si="1842"/>
        <v>10401000000</v>
      </c>
      <c r="B5068" s="7" t="str">
        <f t="shared" si="1843"/>
        <v>枚方高等学校</v>
      </c>
      <c r="C5068" s="7" t="str">
        <f t="shared" si="1827"/>
        <v>行政財産</v>
      </c>
      <c r="D5068" s="7" t="str">
        <f t="shared" si="1840"/>
        <v>学校</v>
      </c>
      <c r="E5068" s="7" t="str">
        <f t="shared" si="1844"/>
        <v>大阪府枚方市大垣内町３丁目</v>
      </c>
      <c r="F5068" s="7"/>
      <c r="G5068" s="7" t="str">
        <f t="shared" si="1828"/>
        <v>事業用資産</v>
      </c>
      <c r="H5068" s="7" t="str">
        <f t="shared" si="1841"/>
        <v>棚卸以外</v>
      </c>
      <c r="I5068" s="7">
        <v>7</v>
      </c>
      <c r="J5068" s="7" t="str">
        <f>"セミナーハウス（旧仮設校舎）"</f>
        <v>セミナーハウス（旧仮設校舎）</v>
      </c>
      <c r="K5068" s="7" t="str">
        <f>"軽量鉄骨造"</f>
        <v>軽量鉄骨造</v>
      </c>
      <c r="L5068" s="7" t="str">
        <f>"S39.02.29"</f>
        <v>S39.02.29</v>
      </c>
      <c r="M5068" s="7">
        <v>194.38</v>
      </c>
      <c r="N5068" s="7">
        <v>22154840</v>
      </c>
      <c r="O5068" s="7">
        <v>9320833</v>
      </c>
      <c r="P5068" s="7">
        <v>0</v>
      </c>
      <c r="Q5068" s="7" t="str">
        <f t="shared" si="1833"/>
        <v>教育庁</v>
      </c>
      <c r="R5068" s="7" t="str">
        <f t="shared" si="1845"/>
        <v>枚方高等学校</v>
      </c>
    </row>
    <row r="5069" spans="1:18" s="1" customFormat="1" x14ac:dyDescent="0.45">
      <c r="A5069" s="7" t="str">
        <f t="shared" si="1842"/>
        <v>10401000000</v>
      </c>
      <c r="B5069" s="7" t="str">
        <f t="shared" si="1843"/>
        <v>枚方高等学校</v>
      </c>
      <c r="C5069" s="7" t="str">
        <f t="shared" ref="C5069:C5132" si="1846">"行政財産"</f>
        <v>行政財産</v>
      </c>
      <c r="D5069" s="7" t="str">
        <f t="shared" si="1840"/>
        <v>学校</v>
      </c>
      <c r="E5069" s="7" t="str">
        <f t="shared" si="1844"/>
        <v>大阪府枚方市大垣内町３丁目</v>
      </c>
      <c r="F5069" s="7"/>
      <c r="G5069" s="7" t="str">
        <f t="shared" si="1828"/>
        <v>事業用資産</v>
      </c>
      <c r="H5069" s="7" t="str">
        <f t="shared" si="1841"/>
        <v>棚卸以外</v>
      </c>
      <c r="I5069" s="7">
        <v>10</v>
      </c>
      <c r="J5069" s="7" t="str">
        <f>"本館"</f>
        <v>本館</v>
      </c>
      <c r="K5069" s="7" t="str">
        <f t="shared" ref="K5069:K5074" si="1847">"鉄筋コンクリート造"</f>
        <v>鉄筋コンクリート造</v>
      </c>
      <c r="L5069" s="7" t="str">
        <f>"S40.02.28"</f>
        <v>S40.02.28</v>
      </c>
      <c r="M5069" s="7">
        <v>2697.85</v>
      </c>
      <c r="N5069" s="7">
        <v>332471712</v>
      </c>
      <c r="O5069" s="7">
        <v>175212041</v>
      </c>
      <c r="P5069" s="7">
        <v>0</v>
      </c>
      <c r="Q5069" s="7" t="str">
        <f t="shared" si="1833"/>
        <v>教育庁</v>
      </c>
      <c r="R5069" s="7" t="str">
        <f t="shared" si="1845"/>
        <v>枚方高等学校</v>
      </c>
    </row>
    <row r="5070" spans="1:18" s="1" customFormat="1" x14ac:dyDescent="0.45">
      <c r="A5070" s="7" t="str">
        <f t="shared" si="1842"/>
        <v>10401000000</v>
      </c>
      <c r="B5070" s="7" t="str">
        <f t="shared" si="1843"/>
        <v>枚方高等学校</v>
      </c>
      <c r="C5070" s="7" t="str">
        <f t="shared" si="1846"/>
        <v>行政財産</v>
      </c>
      <c r="D5070" s="7" t="str">
        <f t="shared" si="1840"/>
        <v>学校</v>
      </c>
      <c r="E5070" s="7" t="str">
        <f t="shared" si="1844"/>
        <v>大阪府枚方市大垣内町３丁目</v>
      </c>
      <c r="F5070" s="7"/>
      <c r="G5070" s="7" t="str">
        <f t="shared" si="1828"/>
        <v>事業用資産</v>
      </c>
      <c r="H5070" s="7" t="str">
        <f t="shared" si="1841"/>
        <v>棚卸以外</v>
      </c>
      <c r="I5070" s="7">
        <v>11</v>
      </c>
      <c r="J5070" s="7" t="str">
        <f>"渡り廊下"</f>
        <v>渡り廊下</v>
      </c>
      <c r="K5070" s="7" t="str">
        <f t="shared" si="1847"/>
        <v>鉄筋コンクリート造</v>
      </c>
      <c r="L5070" s="7" t="str">
        <f>"S40.02.28"</f>
        <v>S40.02.28</v>
      </c>
      <c r="M5070" s="7">
        <v>166.61</v>
      </c>
      <c r="N5070" s="7">
        <v>11912758</v>
      </c>
      <c r="O5070" s="7">
        <v>7803005</v>
      </c>
      <c r="P5070" s="7">
        <v>0</v>
      </c>
      <c r="Q5070" s="7" t="str">
        <f t="shared" si="1833"/>
        <v>教育庁</v>
      </c>
      <c r="R5070" s="7" t="str">
        <f t="shared" si="1845"/>
        <v>枚方高等学校</v>
      </c>
    </row>
    <row r="5071" spans="1:18" s="1" customFormat="1" x14ac:dyDescent="0.45">
      <c r="A5071" s="7" t="str">
        <f t="shared" si="1842"/>
        <v>10401000000</v>
      </c>
      <c r="B5071" s="7" t="str">
        <f t="shared" si="1843"/>
        <v>枚方高等学校</v>
      </c>
      <c r="C5071" s="7" t="str">
        <f t="shared" si="1846"/>
        <v>行政財産</v>
      </c>
      <c r="D5071" s="7" t="str">
        <f t="shared" si="1840"/>
        <v>学校</v>
      </c>
      <c r="E5071" s="7" t="str">
        <f t="shared" si="1844"/>
        <v>大阪府枚方市大垣内町３丁目</v>
      </c>
      <c r="F5071" s="7"/>
      <c r="G5071" s="7" t="str">
        <f t="shared" si="1828"/>
        <v>事業用資産</v>
      </c>
      <c r="H5071" s="7" t="str">
        <f t="shared" si="1841"/>
        <v>棚卸以外</v>
      </c>
      <c r="I5071" s="7">
        <v>12</v>
      </c>
      <c r="J5071" s="7" t="str">
        <f>"渡り廊下"</f>
        <v>渡り廊下</v>
      </c>
      <c r="K5071" s="7" t="str">
        <f t="shared" si="1847"/>
        <v>鉄筋コンクリート造</v>
      </c>
      <c r="L5071" s="7" t="str">
        <f>"S40.02.28"</f>
        <v>S40.02.28</v>
      </c>
      <c r="M5071" s="7">
        <v>166.61</v>
      </c>
      <c r="N5071" s="7">
        <v>11912758</v>
      </c>
      <c r="O5071" s="7">
        <v>7803005</v>
      </c>
      <c r="P5071" s="7">
        <v>0</v>
      </c>
      <c r="Q5071" s="7" t="str">
        <f t="shared" si="1833"/>
        <v>教育庁</v>
      </c>
      <c r="R5071" s="7" t="str">
        <f t="shared" si="1845"/>
        <v>枚方高等学校</v>
      </c>
    </row>
    <row r="5072" spans="1:18" s="1" customFormat="1" x14ac:dyDescent="0.45">
      <c r="A5072" s="7" t="str">
        <f t="shared" si="1842"/>
        <v>10401000000</v>
      </c>
      <c r="B5072" s="7" t="str">
        <f t="shared" si="1843"/>
        <v>枚方高等学校</v>
      </c>
      <c r="C5072" s="7" t="str">
        <f t="shared" si="1846"/>
        <v>行政財産</v>
      </c>
      <c r="D5072" s="7" t="str">
        <f t="shared" si="1840"/>
        <v>学校</v>
      </c>
      <c r="E5072" s="7" t="str">
        <f t="shared" si="1844"/>
        <v>大阪府枚方市大垣内町３丁目</v>
      </c>
      <c r="F5072" s="7"/>
      <c r="G5072" s="7" t="str">
        <f t="shared" si="1828"/>
        <v>事業用資産</v>
      </c>
      <c r="H5072" s="7" t="str">
        <f t="shared" si="1841"/>
        <v>棚卸以外</v>
      </c>
      <c r="I5072" s="7">
        <v>13</v>
      </c>
      <c r="J5072" s="7" t="str">
        <f>"別棟（家庭科実習棟）"</f>
        <v>別棟（家庭科実習棟）</v>
      </c>
      <c r="K5072" s="7" t="str">
        <f t="shared" si="1847"/>
        <v>鉄筋コンクリート造</v>
      </c>
      <c r="L5072" s="7" t="str">
        <f>"S40.02.28"</f>
        <v>S40.02.28</v>
      </c>
      <c r="M5072" s="7">
        <v>262.70999999999998</v>
      </c>
      <c r="N5072" s="7">
        <v>44310685</v>
      </c>
      <c r="O5072" s="7">
        <v>28443509</v>
      </c>
      <c r="P5072" s="7">
        <v>0</v>
      </c>
      <c r="Q5072" s="7" t="str">
        <f t="shared" si="1833"/>
        <v>教育庁</v>
      </c>
      <c r="R5072" s="7" t="str">
        <f t="shared" si="1845"/>
        <v>枚方高等学校</v>
      </c>
    </row>
    <row r="5073" spans="1:18" s="1" customFormat="1" x14ac:dyDescent="0.45">
      <c r="A5073" s="7" t="str">
        <f t="shared" si="1842"/>
        <v>10401000000</v>
      </c>
      <c r="B5073" s="7" t="str">
        <f t="shared" si="1843"/>
        <v>枚方高等学校</v>
      </c>
      <c r="C5073" s="7" t="str">
        <f t="shared" si="1846"/>
        <v>行政財産</v>
      </c>
      <c r="D5073" s="7" t="str">
        <f t="shared" si="1840"/>
        <v>学校</v>
      </c>
      <c r="E5073" s="7" t="str">
        <f t="shared" si="1844"/>
        <v>大阪府枚方市大垣内町３丁目</v>
      </c>
      <c r="F5073" s="7"/>
      <c r="G5073" s="7" t="str">
        <f t="shared" si="1828"/>
        <v>事業用資産</v>
      </c>
      <c r="H5073" s="7" t="str">
        <f t="shared" si="1841"/>
        <v>棚卸以外</v>
      </c>
      <c r="I5073" s="7">
        <v>14</v>
      </c>
      <c r="J5073" s="7" t="str">
        <f>"体育館"</f>
        <v>体育館</v>
      </c>
      <c r="K5073" s="7" t="str">
        <f t="shared" si="1847"/>
        <v>鉄筋コンクリート造</v>
      </c>
      <c r="L5073" s="7" t="str">
        <f>"S41.01.05"</f>
        <v>S41.01.05</v>
      </c>
      <c r="M5073" s="7">
        <v>2201.61</v>
      </c>
      <c r="N5073" s="7">
        <v>192454654</v>
      </c>
      <c r="O5073" s="7">
        <v>118633092</v>
      </c>
      <c r="P5073" s="7">
        <v>0</v>
      </c>
      <c r="Q5073" s="7" t="str">
        <f t="shared" si="1833"/>
        <v>教育庁</v>
      </c>
      <c r="R5073" s="7" t="str">
        <f t="shared" si="1845"/>
        <v>枚方高等学校</v>
      </c>
    </row>
    <row r="5074" spans="1:18" s="1" customFormat="1" x14ac:dyDescent="0.45">
      <c r="A5074" s="7" t="str">
        <f t="shared" si="1842"/>
        <v>10401000000</v>
      </c>
      <c r="B5074" s="7" t="str">
        <f t="shared" si="1843"/>
        <v>枚方高等学校</v>
      </c>
      <c r="C5074" s="7" t="str">
        <f t="shared" si="1846"/>
        <v>行政財産</v>
      </c>
      <c r="D5074" s="7" t="str">
        <f t="shared" si="1840"/>
        <v>学校</v>
      </c>
      <c r="E5074" s="7" t="str">
        <f t="shared" si="1844"/>
        <v>大阪府枚方市大垣内町３丁目</v>
      </c>
      <c r="F5074" s="7"/>
      <c r="G5074" s="7" t="str">
        <f t="shared" si="1828"/>
        <v>事業用資産</v>
      </c>
      <c r="H5074" s="7" t="str">
        <f t="shared" si="1841"/>
        <v>棚卸以外</v>
      </c>
      <c r="I5074" s="7">
        <v>15</v>
      </c>
      <c r="J5074" s="7" t="str">
        <f>"渡り廊下"</f>
        <v>渡り廊下</v>
      </c>
      <c r="K5074" s="7" t="str">
        <f t="shared" si="1847"/>
        <v>鉄筋コンクリート造</v>
      </c>
      <c r="L5074" s="7" t="str">
        <f>"S41.01.05"</f>
        <v>S41.01.05</v>
      </c>
      <c r="M5074" s="7">
        <v>189.61</v>
      </c>
      <c r="N5074" s="7">
        <v>3473000</v>
      </c>
      <c r="O5074" s="7">
        <v>3472999</v>
      </c>
      <c r="P5074" s="7">
        <v>0</v>
      </c>
      <c r="Q5074" s="7" t="str">
        <f t="shared" si="1833"/>
        <v>教育庁</v>
      </c>
      <c r="R5074" s="7" t="str">
        <f t="shared" si="1845"/>
        <v>枚方高等学校</v>
      </c>
    </row>
    <row r="5075" spans="1:18" s="1" customFormat="1" x14ac:dyDescent="0.45">
      <c r="A5075" s="7" t="str">
        <f t="shared" si="1842"/>
        <v>10401000000</v>
      </c>
      <c r="B5075" s="7" t="str">
        <f t="shared" si="1843"/>
        <v>枚方高等学校</v>
      </c>
      <c r="C5075" s="7" t="str">
        <f t="shared" si="1846"/>
        <v>行政財産</v>
      </c>
      <c r="D5075" s="7" t="str">
        <f t="shared" si="1840"/>
        <v>学校</v>
      </c>
      <c r="E5075" s="7" t="str">
        <f t="shared" si="1844"/>
        <v>大阪府枚方市大垣内町３丁目</v>
      </c>
      <c r="F5075" s="7"/>
      <c r="G5075" s="7" t="str">
        <f t="shared" si="1828"/>
        <v>事業用資産</v>
      </c>
      <c r="H5075" s="7" t="str">
        <f t="shared" si="1841"/>
        <v>棚卸以外</v>
      </c>
      <c r="I5075" s="7">
        <v>16</v>
      </c>
      <c r="J5075" s="7" t="str">
        <f>"食堂"</f>
        <v>食堂</v>
      </c>
      <c r="K5075" s="7" t="str">
        <f>"鉄骨造"</f>
        <v>鉄骨造</v>
      </c>
      <c r="L5075" s="7" t="str">
        <f>"S41.11.30"</f>
        <v>S41.11.30</v>
      </c>
      <c r="M5075" s="7">
        <v>322</v>
      </c>
      <c r="N5075" s="7">
        <v>15584548</v>
      </c>
      <c r="O5075" s="7">
        <v>12972082</v>
      </c>
      <c r="P5075" s="7">
        <v>0</v>
      </c>
      <c r="Q5075" s="7" t="str">
        <f t="shared" si="1833"/>
        <v>教育庁</v>
      </c>
      <c r="R5075" s="7" t="str">
        <f t="shared" si="1845"/>
        <v>枚方高等学校</v>
      </c>
    </row>
    <row r="5076" spans="1:18" s="1" customFormat="1" x14ac:dyDescent="0.45">
      <c r="A5076" s="7" t="str">
        <f t="shared" si="1842"/>
        <v>10401000000</v>
      </c>
      <c r="B5076" s="7" t="str">
        <f t="shared" si="1843"/>
        <v>枚方高等学校</v>
      </c>
      <c r="C5076" s="7" t="str">
        <f t="shared" si="1846"/>
        <v>行政財産</v>
      </c>
      <c r="D5076" s="7" t="str">
        <f t="shared" si="1840"/>
        <v>学校</v>
      </c>
      <c r="E5076" s="7" t="str">
        <f t="shared" si="1844"/>
        <v>大阪府枚方市大垣内町３丁目</v>
      </c>
      <c r="F5076" s="7"/>
      <c r="G5076" s="7" t="str">
        <f t="shared" si="1828"/>
        <v>事業用資産</v>
      </c>
      <c r="H5076" s="7" t="str">
        <f t="shared" si="1841"/>
        <v>棚卸以外</v>
      </c>
      <c r="I5076" s="7">
        <v>18</v>
      </c>
      <c r="J5076" s="7" t="str">
        <f>"陶芸室"</f>
        <v>陶芸室</v>
      </c>
      <c r="K5076" s="7" t="str">
        <f>"軽量鉄骨造"</f>
        <v>軽量鉄骨造</v>
      </c>
      <c r="L5076" s="7" t="str">
        <f>"S41.10.15"</f>
        <v>S41.10.15</v>
      </c>
      <c r="M5076" s="7">
        <v>24</v>
      </c>
      <c r="N5076" s="7">
        <v>588303</v>
      </c>
      <c r="O5076" s="7">
        <v>588302</v>
      </c>
      <c r="P5076" s="7">
        <v>0</v>
      </c>
      <c r="Q5076" s="7" t="str">
        <f t="shared" si="1833"/>
        <v>教育庁</v>
      </c>
      <c r="R5076" s="7" t="str">
        <f t="shared" si="1845"/>
        <v>枚方高等学校</v>
      </c>
    </row>
    <row r="5077" spans="1:18" s="1" customFormat="1" x14ac:dyDescent="0.45">
      <c r="A5077" s="7" t="str">
        <f t="shared" si="1842"/>
        <v>10401000000</v>
      </c>
      <c r="B5077" s="7" t="str">
        <f t="shared" si="1843"/>
        <v>枚方高等学校</v>
      </c>
      <c r="C5077" s="7" t="str">
        <f t="shared" si="1846"/>
        <v>行政財産</v>
      </c>
      <c r="D5077" s="7" t="str">
        <f t="shared" si="1840"/>
        <v>学校</v>
      </c>
      <c r="E5077" s="7" t="str">
        <f t="shared" si="1844"/>
        <v>大阪府枚方市大垣内町３丁目</v>
      </c>
      <c r="F5077" s="7"/>
      <c r="G5077" s="7" t="str">
        <f t="shared" si="1828"/>
        <v>事業用資産</v>
      </c>
      <c r="H5077" s="7" t="str">
        <f t="shared" si="1841"/>
        <v>棚卸以外</v>
      </c>
      <c r="I5077" s="7">
        <v>19</v>
      </c>
      <c r="J5077" s="7" t="str">
        <f>"体育倉庫"</f>
        <v>体育倉庫</v>
      </c>
      <c r="K5077" s="7" t="str">
        <f>"鉄骨造"</f>
        <v>鉄骨造</v>
      </c>
      <c r="L5077" s="7" t="str">
        <f>"S39.03.28"</f>
        <v>S39.03.28</v>
      </c>
      <c r="M5077" s="7">
        <v>39.659999999999997</v>
      </c>
      <c r="N5077" s="7">
        <v>260000</v>
      </c>
      <c r="O5077" s="7">
        <v>259999</v>
      </c>
      <c r="P5077" s="7">
        <v>0</v>
      </c>
      <c r="Q5077" s="7" t="str">
        <f t="shared" si="1833"/>
        <v>教育庁</v>
      </c>
      <c r="R5077" s="7" t="str">
        <f t="shared" si="1845"/>
        <v>枚方高等学校</v>
      </c>
    </row>
    <row r="5078" spans="1:18" s="1" customFormat="1" x14ac:dyDescent="0.45">
      <c r="A5078" s="7" t="str">
        <f t="shared" si="1842"/>
        <v>10401000000</v>
      </c>
      <c r="B5078" s="7" t="str">
        <f t="shared" si="1843"/>
        <v>枚方高等学校</v>
      </c>
      <c r="C5078" s="7" t="str">
        <f t="shared" si="1846"/>
        <v>行政財産</v>
      </c>
      <c r="D5078" s="7" t="str">
        <f t="shared" si="1840"/>
        <v>学校</v>
      </c>
      <c r="E5078" s="7" t="str">
        <f t="shared" si="1844"/>
        <v>大阪府枚方市大垣内町３丁目</v>
      </c>
      <c r="F5078" s="7"/>
      <c r="G5078" s="7" t="str">
        <f t="shared" si="1828"/>
        <v>事業用資産</v>
      </c>
      <c r="H5078" s="7" t="str">
        <f t="shared" si="1841"/>
        <v>棚卸以外</v>
      </c>
      <c r="I5078" s="7">
        <v>21</v>
      </c>
      <c r="J5078" s="7" t="str">
        <f>"プール機械室"</f>
        <v>プール機械室</v>
      </c>
      <c r="K5078" s="7" t="str">
        <f>"鉄骨造"</f>
        <v>鉄骨造</v>
      </c>
      <c r="L5078" s="7" t="str">
        <f>"S43.03.28"</f>
        <v>S43.03.28</v>
      </c>
      <c r="M5078" s="7">
        <v>28.32</v>
      </c>
      <c r="N5078" s="7">
        <v>4271000</v>
      </c>
      <c r="O5078" s="7">
        <v>4270999</v>
      </c>
      <c r="P5078" s="7">
        <v>0</v>
      </c>
      <c r="Q5078" s="7" t="str">
        <f t="shared" si="1833"/>
        <v>教育庁</v>
      </c>
      <c r="R5078" s="7" t="str">
        <f t="shared" si="1845"/>
        <v>枚方高等学校</v>
      </c>
    </row>
    <row r="5079" spans="1:18" s="1" customFormat="1" x14ac:dyDescent="0.45">
      <c r="A5079" s="7" t="str">
        <f t="shared" si="1842"/>
        <v>10401000000</v>
      </c>
      <c r="B5079" s="7" t="str">
        <f t="shared" si="1843"/>
        <v>枚方高等学校</v>
      </c>
      <c r="C5079" s="7" t="str">
        <f t="shared" si="1846"/>
        <v>行政財産</v>
      </c>
      <c r="D5079" s="7" t="str">
        <f t="shared" si="1840"/>
        <v>学校</v>
      </c>
      <c r="E5079" s="7" t="str">
        <f t="shared" si="1844"/>
        <v>大阪府枚方市大垣内町３丁目</v>
      </c>
      <c r="F5079" s="7"/>
      <c r="G5079" s="7" t="str">
        <f t="shared" ref="G5079:G5142" si="1848">"事業用資産"</f>
        <v>事業用資産</v>
      </c>
      <c r="H5079" s="7" t="str">
        <f t="shared" si="1841"/>
        <v>棚卸以外</v>
      </c>
      <c r="I5079" s="7">
        <v>22</v>
      </c>
      <c r="J5079" s="7" t="str">
        <f>"プール更衣室"</f>
        <v>プール更衣室</v>
      </c>
      <c r="K5079" s="7" t="str">
        <f>"鉄骨造"</f>
        <v>鉄骨造</v>
      </c>
      <c r="L5079" s="7" t="str">
        <f>"S43.11.27"</f>
        <v>S43.11.27</v>
      </c>
      <c r="M5079" s="7">
        <v>28.32</v>
      </c>
      <c r="N5079" s="7">
        <v>965000</v>
      </c>
      <c r="O5079" s="7">
        <v>964999</v>
      </c>
      <c r="P5079" s="7">
        <v>0</v>
      </c>
      <c r="Q5079" s="7" t="str">
        <f t="shared" si="1833"/>
        <v>教育庁</v>
      </c>
      <c r="R5079" s="7" t="str">
        <f t="shared" si="1845"/>
        <v>枚方高等学校</v>
      </c>
    </row>
    <row r="5080" spans="1:18" s="1" customFormat="1" x14ac:dyDescent="0.45">
      <c r="A5080" s="7" t="str">
        <f t="shared" si="1842"/>
        <v>10401000000</v>
      </c>
      <c r="B5080" s="7" t="str">
        <f t="shared" si="1843"/>
        <v>枚方高等学校</v>
      </c>
      <c r="C5080" s="7" t="str">
        <f t="shared" si="1846"/>
        <v>行政財産</v>
      </c>
      <c r="D5080" s="7" t="str">
        <f t="shared" si="1840"/>
        <v>学校</v>
      </c>
      <c r="E5080" s="7" t="str">
        <f t="shared" si="1844"/>
        <v>大阪府枚方市大垣内町３丁目</v>
      </c>
      <c r="F5080" s="7"/>
      <c r="G5080" s="7" t="str">
        <f t="shared" si="1848"/>
        <v>事業用資産</v>
      </c>
      <c r="H5080" s="7" t="str">
        <f t="shared" si="1841"/>
        <v>棚卸以外</v>
      </c>
      <c r="I5080" s="7">
        <v>24</v>
      </c>
      <c r="J5080" s="7" t="str">
        <f>"石灰倉庫"</f>
        <v>石灰倉庫</v>
      </c>
      <c r="K5080" s="7" t="str">
        <f>"コンクリートブロック造"</f>
        <v>コンクリートブロック造</v>
      </c>
      <c r="L5080" s="7" t="str">
        <f>"S48.08.22"</f>
        <v>S48.08.22</v>
      </c>
      <c r="M5080" s="7">
        <v>6</v>
      </c>
      <c r="N5080" s="7">
        <v>202000</v>
      </c>
      <c r="O5080" s="7">
        <v>201999</v>
      </c>
      <c r="P5080" s="7">
        <v>0</v>
      </c>
      <c r="Q5080" s="7" t="str">
        <f t="shared" si="1833"/>
        <v>教育庁</v>
      </c>
      <c r="R5080" s="7" t="str">
        <f t="shared" si="1845"/>
        <v>枚方高等学校</v>
      </c>
    </row>
    <row r="5081" spans="1:18" s="1" customFormat="1" x14ac:dyDescent="0.45">
      <c r="A5081" s="7" t="str">
        <f t="shared" si="1842"/>
        <v>10401000000</v>
      </c>
      <c r="B5081" s="7" t="str">
        <f t="shared" si="1843"/>
        <v>枚方高等学校</v>
      </c>
      <c r="C5081" s="7" t="str">
        <f t="shared" si="1846"/>
        <v>行政財産</v>
      </c>
      <c r="D5081" s="7" t="str">
        <f t="shared" si="1840"/>
        <v>学校</v>
      </c>
      <c r="E5081" s="7" t="str">
        <f t="shared" si="1844"/>
        <v>大阪府枚方市大垣内町３丁目</v>
      </c>
      <c r="F5081" s="7"/>
      <c r="G5081" s="7" t="str">
        <f t="shared" si="1848"/>
        <v>事業用資産</v>
      </c>
      <c r="H5081" s="7" t="str">
        <f t="shared" si="1841"/>
        <v>棚卸以外</v>
      </c>
      <c r="I5081" s="7">
        <v>25</v>
      </c>
      <c r="J5081" s="7" t="str">
        <f>"薬品倉庫"</f>
        <v>薬品倉庫</v>
      </c>
      <c r="K5081" s="7" t="str">
        <f>"コンクリートブロック造"</f>
        <v>コンクリートブロック造</v>
      </c>
      <c r="L5081" s="7" t="str">
        <f>"S53.12.28"</f>
        <v>S53.12.28</v>
      </c>
      <c r="M5081" s="7">
        <v>9.08</v>
      </c>
      <c r="N5081" s="7">
        <v>495000</v>
      </c>
      <c r="O5081" s="7">
        <v>494999</v>
      </c>
      <c r="P5081" s="7">
        <v>0</v>
      </c>
      <c r="Q5081" s="7" t="str">
        <f t="shared" si="1833"/>
        <v>教育庁</v>
      </c>
      <c r="R5081" s="7" t="str">
        <f t="shared" si="1845"/>
        <v>枚方高等学校</v>
      </c>
    </row>
    <row r="5082" spans="1:18" s="1" customFormat="1" x14ac:dyDescent="0.45">
      <c r="A5082" s="7" t="str">
        <f t="shared" si="1842"/>
        <v>10401000000</v>
      </c>
      <c r="B5082" s="7" t="str">
        <f t="shared" si="1843"/>
        <v>枚方高等学校</v>
      </c>
      <c r="C5082" s="7" t="str">
        <f t="shared" si="1846"/>
        <v>行政財産</v>
      </c>
      <c r="D5082" s="7" t="str">
        <f t="shared" si="1840"/>
        <v>学校</v>
      </c>
      <c r="E5082" s="7" t="str">
        <f t="shared" si="1844"/>
        <v>大阪府枚方市大垣内町３丁目</v>
      </c>
      <c r="F5082" s="7"/>
      <c r="G5082" s="7" t="str">
        <f t="shared" si="1848"/>
        <v>事業用資産</v>
      </c>
      <c r="H5082" s="7" t="str">
        <f t="shared" si="1841"/>
        <v>棚卸以外</v>
      </c>
      <c r="I5082" s="7">
        <v>26</v>
      </c>
      <c r="J5082" s="7" t="str">
        <f>"倉庫"</f>
        <v>倉庫</v>
      </c>
      <c r="K5082" s="7" t="str">
        <f>"コンクリートブロック造"</f>
        <v>コンクリートブロック造</v>
      </c>
      <c r="L5082" s="7" t="str">
        <f>"S55.08.17"</f>
        <v>S55.08.17</v>
      </c>
      <c r="M5082" s="7">
        <v>128.78</v>
      </c>
      <c r="N5082" s="7">
        <v>10200000</v>
      </c>
      <c r="O5082" s="7">
        <v>10199999</v>
      </c>
      <c r="P5082" s="7">
        <v>0</v>
      </c>
      <c r="Q5082" s="7" t="str">
        <f t="shared" si="1833"/>
        <v>教育庁</v>
      </c>
      <c r="R5082" s="7" t="str">
        <f t="shared" si="1845"/>
        <v>枚方高等学校</v>
      </c>
    </row>
    <row r="5083" spans="1:18" s="1" customFormat="1" x14ac:dyDescent="0.45">
      <c r="A5083" s="7" t="str">
        <f t="shared" si="1842"/>
        <v>10401000000</v>
      </c>
      <c r="B5083" s="7" t="str">
        <f t="shared" si="1843"/>
        <v>枚方高等学校</v>
      </c>
      <c r="C5083" s="7" t="str">
        <f t="shared" si="1846"/>
        <v>行政財産</v>
      </c>
      <c r="D5083" s="7" t="str">
        <f t="shared" si="1840"/>
        <v>学校</v>
      </c>
      <c r="E5083" s="7" t="str">
        <f t="shared" si="1844"/>
        <v>大阪府枚方市大垣内町３丁目</v>
      </c>
      <c r="F5083" s="7"/>
      <c r="G5083" s="7" t="str">
        <f t="shared" si="1848"/>
        <v>事業用資産</v>
      </c>
      <c r="H5083" s="7" t="str">
        <f t="shared" si="1841"/>
        <v>棚卸以外</v>
      </c>
      <c r="I5083" s="7">
        <v>27</v>
      </c>
      <c r="J5083" s="7" t="str">
        <f>"ボイラー室"</f>
        <v>ボイラー室</v>
      </c>
      <c r="K5083" s="7" t="str">
        <f>"コンクリートブロック造"</f>
        <v>コンクリートブロック造</v>
      </c>
      <c r="L5083" s="7" t="str">
        <f>"S57.03.31"</f>
        <v>S57.03.31</v>
      </c>
      <c r="M5083" s="7">
        <v>3.25</v>
      </c>
      <c r="N5083" s="7">
        <v>494000</v>
      </c>
      <c r="O5083" s="7">
        <v>493999</v>
      </c>
      <c r="P5083" s="7">
        <v>0</v>
      </c>
      <c r="Q5083" s="7" t="str">
        <f t="shared" ref="Q5083:Q5146" si="1849">"教育庁"</f>
        <v>教育庁</v>
      </c>
      <c r="R5083" s="7" t="str">
        <f t="shared" si="1845"/>
        <v>枚方高等学校</v>
      </c>
    </row>
    <row r="5084" spans="1:18" s="1" customFormat="1" x14ac:dyDescent="0.45">
      <c r="A5084" s="7" t="str">
        <f t="shared" si="1842"/>
        <v>10401000000</v>
      </c>
      <c r="B5084" s="7" t="str">
        <f t="shared" si="1843"/>
        <v>枚方高等学校</v>
      </c>
      <c r="C5084" s="7" t="str">
        <f t="shared" si="1846"/>
        <v>行政財産</v>
      </c>
      <c r="D5084" s="7" t="str">
        <f t="shared" si="1840"/>
        <v>学校</v>
      </c>
      <c r="E5084" s="7" t="str">
        <f t="shared" si="1844"/>
        <v>大阪府枚方市大垣内町３丁目</v>
      </c>
      <c r="F5084" s="7"/>
      <c r="G5084" s="7" t="str">
        <f t="shared" si="1848"/>
        <v>事業用資産</v>
      </c>
      <c r="H5084" s="7" t="str">
        <f t="shared" si="1841"/>
        <v>棚卸以外</v>
      </c>
      <c r="I5084" s="7">
        <v>28</v>
      </c>
      <c r="J5084" s="7" t="str">
        <f>"渡り廊下"</f>
        <v>渡り廊下</v>
      </c>
      <c r="K5084" s="7" t="str">
        <f>"鉄骨造"</f>
        <v>鉄骨造</v>
      </c>
      <c r="L5084" s="7" t="str">
        <f>"S60.03.30"</f>
        <v>S60.03.30</v>
      </c>
      <c r="M5084" s="7">
        <v>5.4</v>
      </c>
      <c r="N5084" s="7">
        <v>304000</v>
      </c>
      <c r="O5084" s="7">
        <v>303999</v>
      </c>
      <c r="P5084" s="7">
        <v>0</v>
      </c>
      <c r="Q5084" s="7" t="str">
        <f t="shared" si="1849"/>
        <v>教育庁</v>
      </c>
      <c r="R5084" s="7" t="str">
        <f t="shared" si="1845"/>
        <v>枚方高等学校</v>
      </c>
    </row>
    <row r="5085" spans="1:18" s="1" customFormat="1" x14ac:dyDescent="0.45">
      <c r="A5085" s="7" t="str">
        <f t="shared" si="1842"/>
        <v>10401000000</v>
      </c>
      <c r="B5085" s="7" t="str">
        <f t="shared" si="1843"/>
        <v>枚方高等学校</v>
      </c>
      <c r="C5085" s="7" t="str">
        <f t="shared" si="1846"/>
        <v>行政財産</v>
      </c>
      <c r="D5085" s="7" t="str">
        <f t="shared" si="1840"/>
        <v>学校</v>
      </c>
      <c r="E5085" s="7" t="str">
        <f t="shared" si="1844"/>
        <v>大阪府枚方市大垣内町３丁目</v>
      </c>
      <c r="F5085" s="7"/>
      <c r="G5085" s="7" t="str">
        <f t="shared" si="1848"/>
        <v>事業用資産</v>
      </c>
      <c r="H5085" s="7" t="str">
        <f t="shared" si="1841"/>
        <v>棚卸以外</v>
      </c>
      <c r="I5085" s="7">
        <v>29</v>
      </c>
      <c r="J5085" s="7" t="str">
        <f>"特別教室棟"</f>
        <v>特別教室棟</v>
      </c>
      <c r="K5085" s="7" t="str">
        <f>"鉄骨造"</f>
        <v>鉄骨造</v>
      </c>
      <c r="L5085" s="7" t="str">
        <f>"S60.03.30"</f>
        <v>S60.03.30</v>
      </c>
      <c r="M5085" s="7">
        <v>81</v>
      </c>
      <c r="N5085" s="7">
        <v>8243310</v>
      </c>
      <c r="O5085" s="7">
        <v>8243308</v>
      </c>
      <c r="P5085" s="7">
        <v>0</v>
      </c>
      <c r="Q5085" s="7" t="str">
        <f t="shared" si="1849"/>
        <v>教育庁</v>
      </c>
      <c r="R5085" s="7" t="str">
        <f t="shared" si="1845"/>
        <v>枚方高等学校</v>
      </c>
    </row>
    <row r="5086" spans="1:18" s="1" customFormat="1" x14ac:dyDescent="0.45">
      <c r="A5086" s="7" t="str">
        <f t="shared" si="1842"/>
        <v>10401000000</v>
      </c>
      <c r="B5086" s="7" t="str">
        <f t="shared" si="1843"/>
        <v>枚方高等学校</v>
      </c>
      <c r="C5086" s="7" t="str">
        <f t="shared" si="1846"/>
        <v>行政財産</v>
      </c>
      <c r="D5086" s="7" t="str">
        <f t="shared" si="1840"/>
        <v>学校</v>
      </c>
      <c r="E5086" s="7" t="str">
        <f t="shared" si="1844"/>
        <v>大阪府枚方市大垣内町３丁目</v>
      </c>
      <c r="F5086" s="7"/>
      <c r="G5086" s="7" t="str">
        <f t="shared" si="1848"/>
        <v>事業用資産</v>
      </c>
      <c r="H5086" s="7" t="str">
        <f t="shared" si="1841"/>
        <v>棚卸以外</v>
      </c>
      <c r="I5086" s="7">
        <v>30</v>
      </c>
      <c r="J5086" s="7" t="str">
        <f>"給品部"</f>
        <v>給品部</v>
      </c>
      <c r="K5086" s="7" t="str">
        <f>"鉄骨造"</f>
        <v>鉄骨造</v>
      </c>
      <c r="L5086" s="7" t="str">
        <f>"S61.08.30"</f>
        <v>S61.08.30</v>
      </c>
      <c r="M5086" s="7">
        <v>19.440000000000001</v>
      </c>
      <c r="N5086" s="7">
        <v>891000</v>
      </c>
      <c r="O5086" s="7">
        <v>857806</v>
      </c>
      <c r="P5086" s="7">
        <v>0</v>
      </c>
      <c r="Q5086" s="7" t="str">
        <f t="shared" si="1849"/>
        <v>教育庁</v>
      </c>
      <c r="R5086" s="7" t="str">
        <f t="shared" si="1845"/>
        <v>枚方高等学校</v>
      </c>
    </row>
    <row r="5087" spans="1:18" s="1" customFormat="1" x14ac:dyDescent="0.45">
      <c r="A5087" s="7" t="str">
        <f t="shared" si="1842"/>
        <v>10401000000</v>
      </c>
      <c r="B5087" s="7" t="str">
        <f t="shared" si="1843"/>
        <v>枚方高等学校</v>
      </c>
      <c r="C5087" s="7" t="str">
        <f t="shared" si="1846"/>
        <v>行政財産</v>
      </c>
      <c r="D5087" s="7" t="str">
        <f t="shared" si="1840"/>
        <v>学校</v>
      </c>
      <c r="E5087" s="7" t="str">
        <f t="shared" si="1844"/>
        <v>大阪府枚方市大垣内町３丁目</v>
      </c>
      <c r="F5087" s="7"/>
      <c r="G5087" s="7" t="str">
        <f t="shared" si="1848"/>
        <v>事業用資産</v>
      </c>
      <c r="H5087" s="7" t="str">
        <f t="shared" si="1841"/>
        <v>棚卸以外</v>
      </c>
      <c r="I5087" s="7">
        <v>31</v>
      </c>
      <c r="J5087" s="7" t="str">
        <f>"倉庫"</f>
        <v>倉庫</v>
      </c>
      <c r="K5087" s="7" t="str">
        <f>"鉄骨造"</f>
        <v>鉄骨造</v>
      </c>
      <c r="L5087" s="7" t="str">
        <f>"H01.03.31"</f>
        <v>H01.03.31</v>
      </c>
      <c r="M5087" s="7">
        <v>121.5</v>
      </c>
      <c r="N5087" s="7">
        <v>5924000</v>
      </c>
      <c r="O5087" s="7">
        <v>5923999</v>
      </c>
      <c r="P5087" s="7">
        <v>0</v>
      </c>
      <c r="Q5087" s="7" t="str">
        <f t="shared" si="1849"/>
        <v>教育庁</v>
      </c>
      <c r="R5087" s="7" t="str">
        <f t="shared" si="1845"/>
        <v>枚方高等学校</v>
      </c>
    </row>
    <row r="5088" spans="1:18" s="1" customFormat="1" x14ac:dyDescent="0.45">
      <c r="A5088" s="7" t="str">
        <f t="shared" si="1842"/>
        <v>10401000000</v>
      </c>
      <c r="B5088" s="7" t="str">
        <f t="shared" si="1843"/>
        <v>枚方高等学校</v>
      </c>
      <c r="C5088" s="7" t="str">
        <f t="shared" si="1846"/>
        <v>行政財産</v>
      </c>
      <c r="D5088" s="7" t="str">
        <f t="shared" si="1840"/>
        <v>学校</v>
      </c>
      <c r="E5088" s="7" t="str">
        <f t="shared" si="1844"/>
        <v>大阪府枚方市大垣内町３丁目</v>
      </c>
      <c r="F5088" s="7"/>
      <c r="G5088" s="7" t="str">
        <f t="shared" si="1848"/>
        <v>事業用資産</v>
      </c>
      <c r="H5088" s="7" t="str">
        <f t="shared" si="1841"/>
        <v>棚卸以外</v>
      </c>
      <c r="I5088" s="7">
        <v>32</v>
      </c>
      <c r="J5088" s="7" t="str">
        <f>"プール更衣室"</f>
        <v>プール更衣室</v>
      </c>
      <c r="K5088" s="7" t="str">
        <f>"鉄骨造"</f>
        <v>鉄骨造</v>
      </c>
      <c r="L5088" s="7" t="str">
        <f>"H02.03.31"</f>
        <v>H02.03.31</v>
      </c>
      <c r="M5088" s="7">
        <v>30</v>
      </c>
      <c r="N5088" s="7">
        <v>5870000</v>
      </c>
      <c r="O5088" s="7">
        <v>5697648</v>
      </c>
      <c r="P5088" s="7">
        <v>0</v>
      </c>
      <c r="Q5088" s="7" t="str">
        <f t="shared" si="1849"/>
        <v>教育庁</v>
      </c>
      <c r="R5088" s="7" t="str">
        <f t="shared" si="1845"/>
        <v>枚方高等学校</v>
      </c>
    </row>
    <row r="5089" spans="1:18" s="1" customFormat="1" x14ac:dyDescent="0.45">
      <c r="A5089" s="7" t="str">
        <f t="shared" ref="A5089:A5101" si="1850">"10402000000"</f>
        <v>10402000000</v>
      </c>
      <c r="B5089" s="7" t="str">
        <f t="shared" ref="B5089:B5101" si="1851">"長尾高等学校"</f>
        <v>長尾高等学校</v>
      </c>
      <c r="C5089" s="7" t="str">
        <f t="shared" si="1846"/>
        <v>行政財産</v>
      </c>
      <c r="D5089" s="7" t="str">
        <f t="shared" si="1840"/>
        <v>学校</v>
      </c>
      <c r="E5089" s="7" t="str">
        <f t="shared" ref="E5089:E5101" si="1852">"大阪府枚方市長尾家具町５丁目"</f>
        <v>大阪府枚方市長尾家具町５丁目</v>
      </c>
      <c r="F5089" s="7"/>
      <c r="G5089" s="7" t="str">
        <f t="shared" si="1848"/>
        <v>事業用資産</v>
      </c>
      <c r="H5089" s="7" t="str">
        <f t="shared" si="1841"/>
        <v>棚卸以外</v>
      </c>
      <c r="I5089" s="7">
        <v>1</v>
      </c>
      <c r="J5089" s="7" t="str">
        <f>"普通教室棟"</f>
        <v>普通教室棟</v>
      </c>
      <c r="K5089" s="7" t="str">
        <f>"鉄筋コンクリート造"</f>
        <v>鉄筋コンクリート造</v>
      </c>
      <c r="L5089" s="7" t="str">
        <f t="shared" ref="L5089:L5094" si="1853">"S48.11.01"</f>
        <v>S48.11.01</v>
      </c>
      <c r="M5089" s="7">
        <v>5580.44</v>
      </c>
      <c r="N5089" s="7">
        <v>570667532</v>
      </c>
      <c r="O5089" s="7">
        <v>468367042</v>
      </c>
      <c r="P5089" s="7">
        <v>0</v>
      </c>
      <c r="Q5089" s="7" t="str">
        <f t="shared" si="1849"/>
        <v>教育庁</v>
      </c>
      <c r="R5089" s="7" t="str">
        <f t="shared" ref="R5089:R5101" si="1854">"長尾高等学校"</f>
        <v>長尾高等学校</v>
      </c>
    </row>
    <row r="5090" spans="1:18" s="1" customFormat="1" x14ac:dyDescent="0.45">
      <c r="A5090" s="7" t="str">
        <f t="shared" si="1850"/>
        <v>10402000000</v>
      </c>
      <c r="B5090" s="7" t="str">
        <f t="shared" si="1851"/>
        <v>長尾高等学校</v>
      </c>
      <c r="C5090" s="7" t="str">
        <f t="shared" si="1846"/>
        <v>行政財産</v>
      </c>
      <c r="D5090" s="7" t="str">
        <f t="shared" si="1840"/>
        <v>学校</v>
      </c>
      <c r="E5090" s="7" t="str">
        <f t="shared" si="1852"/>
        <v>大阪府枚方市長尾家具町５丁目</v>
      </c>
      <c r="F5090" s="7"/>
      <c r="G5090" s="7" t="str">
        <f t="shared" si="1848"/>
        <v>事業用資産</v>
      </c>
      <c r="H5090" s="7" t="str">
        <f t="shared" si="1841"/>
        <v>棚卸以外</v>
      </c>
      <c r="I5090" s="7">
        <v>2</v>
      </c>
      <c r="J5090" s="7" t="str">
        <f>"特別教室棟"</f>
        <v>特別教室棟</v>
      </c>
      <c r="K5090" s="7" t="str">
        <f>"鉄筋コンクリート造"</f>
        <v>鉄筋コンクリート造</v>
      </c>
      <c r="L5090" s="7" t="str">
        <f t="shared" si="1853"/>
        <v>S48.11.01</v>
      </c>
      <c r="M5090" s="7">
        <v>5674.79</v>
      </c>
      <c r="N5090" s="7">
        <v>491302909</v>
      </c>
      <c r="O5090" s="7">
        <v>435729731</v>
      </c>
      <c r="P5090" s="7">
        <v>0</v>
      </c>
      <c r="Q5090" s="7" t="str">
        <f t="shared" si="1849"/>
        <v>教育庁</v>
      </c>
      <c r="R5090" s="7" t="str">
        <f t="shared" si="1854"/>
        <v>長尾高等学校</v>
      </c>
    </row>
    <row r="5091" spans="1:18" s="1" customFormat="1" x14ac:dyDescent="0.45">
      <c r="A5091" s="7" t="str">
        <f t="shared" si="1850"/>
        <v>10402000000</v>
      </c>
      <c r="B5091" s="7" t="str">
        <f t="shared" si="1851"/>
        <v>長尾高等学校</v>
      </c>
      <c r="C5091" s="7" t="str">
        <f t="shared" si="1846"/>
        <v>行政財産</v>
      </c>
      <c r="D5091" s="7" t="str">
        <f t="shared" si="1840"/>
        <v>学校</v>
      </c>
      <c r="E5091" s="7" t="str">
        <f t="shared" si="1852"/>
        <v>大阪府枚方市長尾家具町５丁目</v>
      </c>
      <c r="F5091" s="7"/>
      <c r="G5091" s="7" t="str">
        <f t="shared" si="1848"/>
        <v>事業用資産</v>
      </c>
      <c r="H5091" s="7" t="str">
        <f t="shared" si="1841"/>
        <v>棚卸以外</v>
      </c>
      <c r="I5091" s="7">
        <v>3</v>
      </c>
      <c r="J5091" s="7" t="str">
        <f>"渡り廊下"</f>
        <v>渡り廊下</v>
      </c>
      <c r="K5091" s="7" t="str">
        <f>"鉄筋コンクリート造"</f>
        <v>鉄筋コンクリート造</v>
      </c>
      <c r="L5091" s="7" t="str">
        <f t="shared" si="1853"/>
        <v>S48.11.01</v>
      </c>
      <c r="M5091" s="7">
        <v>358.28</v>
      </c>
      <c r="N5091" s="7">
        <v>21183000</v>
      </c>
      <c r="O5091" s="7">
        <v>21097791</v>
      </c>
      <c r="P5091" s="7">
        <v>0</v>
      </c>
      <c r="Q5091" s="7" t="str">
        <f t="shared" si="1849"/>
        <v>教育庁</v>
      </c>
      <c r="R5091" s="7" t="str">
        <f t="shared" si="1854"/>
        <v>長尾高等学校</v>
      </c>
    </row>
    <row r="5092" spans="1:18" s="1" customFormat="1" x14ac:dyDescent="0.45">
      <c r="A5092" s="7" t="str">
        <f t="shared" si="1850"/>
        <v>10402000000</v>
      </c>
      <c r="B5092" s="7" t="str">
        <f t="shared" si="1851"/>
        <v>長尾高等学校</v>
      </c>
      <c r="C5092" s="7" t="str">
        <f t="shared" si="1846"/>
        <v>行政財産</v>
      </c>
      <c r="D5092" s="7" t="str">
        <f t="shared" si="1840"/>
        <v>学校</v>
      </c>
      <c r="E5092" s="7" t="str">
        <f t="shared" si="1852"/>
        <v>大阪府枚方市長尾家具町５丁目</v>
      </c>
      <c r="F5092" s="7"/>
      <c r="G5092" s="7" t="str">
        <f t="shared" si="1848"/>
        <v>事業用資産</v>
      </c>
      <c r="H5092" s="7" t="str">
        <f t="shared" si="1841"/>
        <v>棚卸以外</v>
      </c>
      <c r="I5092" s="7">
        <v>4</v>
      </c>
      <c r="J5092" s="7" t="str">
        <f>"設備棟"</f>
        <v>設備棟</v>
      </c>
      <c r="K5092" s="7" t="str">
        <f>"鉄筋コンクリート造"</f>
        <v>鉄筋コンクリート造</v>
      </c>
      <c r="L5092" s="7" t="str">
        <f t="shared" si="1853"/>
        <v>S48.11.01</v>
      </c>
      <c r="M5092" s="7">
        <v>117</v>
      </c>
      <c r="N5092" s="7">
        <v>12184000</v>
      </c>
      <c r="O5092" s="7">
        <v>12183999</v>
      </c>
      <c r="P5092" s="7">
        <v>0</v>
      </c>
      <c r="Q5092" s="7" t="str">
        <f t="shared" si="1849"/>
        <v>教育庁</v>
      </c>
      <c r="R5092" s="7" t="str">
        <f t="shared" si="1854"/>
        <v>長尾高等学校</v>
      </c>
    </row>
    <row r="5093" spans="1:18" s="1" customFormat="1" x14ac:dyDescent="0.45">
      <c r="A5093" s="7" t="str">
        <f t="shared" si="1850"/>
        <v>10402000000</v>
      </c>
      <c r="B5093" s="7" t="str">
        <f t="shared" si="1851"/>
        <v>長尾高等学校</v>
      </c>
      <c r="C5093" s="7" t="str">
        <f t="shared" si="1846"/>
        <v>行政財産</v>
      </c>
      <c r="D5093" s="7" t="str">
        <f t="shared" si="1840"/>
        <v>学校</v>
      </c>
      <c r="E5093" s="7" t="str">
        <f t="shared" si="1852"/>
        <v>大阪府枚方市長尾家具町５丁目</v>
      </c>
      <c r="F5093" s="7"/>
      <c r="G5093" s="7" t="str">
        <f t="shared" si="1848"/>
        <v>事業用資産</v>
      </c>
      <c r="H5093" s="7" t="str">
        <f t="shared" si="1841"/>
        <v>棚卸以外</v>
      </c>
      <c r="I5093" s="7">
        <v>5</v>
      </c>
      <c r="J5093" s="7" t="str">
        <f>"倉庫"</f>
        <v>倉庫</v>
      </c>
      <c r="K5093" s="7" t="str">
        <f>"鉄骨造"</f>
        <v>鉄骨造</v>
      </c>
      <c r="L5093" s="7" t="str">
        <f t="shared" si="1853"/>
        <v>S48.11.01</v>
      </c>
      <c r="M5093" s="7">
        <v>50</v>
      </c>
      <c r="N5093" s="7">
        <v>2112000</v>
      </c>
      <c r="O5093" s="7">
        <v>2111999</v>
      </c>
      <c r="P5093" s="7">
        <v>0</v>
      </c>
      <c r="Q5093" s="7" t="str">
        <f t="shared" si="1849"/>
        <v>教育庁</v>
      </c>
      <c r="R5093" s="7" t="str">
        <f t="shared" si="1854"/>
        <v>長尾高等学校</v>
      </c>
    </row>
    <row r="5094" spans="1:18" s="1" customFormat="1" x14ac:dyDescent="0.45">
      <c r="A5094" s="7" t="str">
        <f t="shared" si="1850"/>
        <v>10402000000</v>
      </c>
      <c r="B5094" s="7" t="str">
        <f t="shared" si="1851"/>
        <v>長尾高等学校</v>
      </c>
      <c r="C5094" s="7" t="str">
        <f t="shared" si="1846"/>
        <v>行政財産</v>
      </c>
      <c r="D5094" s="7" t="str">
        <f t="shared" si="1840"/>
        <v>学校</v>
      </c>
      <c r="E5094" s="7" t="str">
        <f t="shared" si="1852"/>
        <v>大阪府枚方市長尾家具町５丁目</v>
      </c>
      <c r="F5094" s="7"/>
      <c r="G5094" s="7" t="str">
        <f t="shared" si="1848"/>
        <v>事業用資産</v>
      </c>
      <c r="H5094" s="7" t="str">
        <f t="shared" si="1841"/>
        <v>棚卸以外</v>
      </c>
      <c r="I5094" s="7">
        <v>6</v>
      </c>
      <c r="J5094" s="7" t="str">
        <f>"自転車置場"</f>
        <v>自転車置場</v>
      </c>
      <c r="K5094" s="7" t="str">
        <f>"鉄骨造"</f>
        <v>鉄骨造</v>
      </c>
      <c r="L5094" s="7" t="str">
        <f t="shared" si="1853"/>
        <v>S48.11.01</v>
      </c>
      <c r="M5094" s="7">
        <v>105</v>
      </c>
      <c r="N5094" s="7">
        <v>1730000</v>
      </c>
      <c r="O5094" s="7">
        <v>1729999</v>
      </c>
      <c r="P5094" s="7">
        <v>0</v>
      </c>
      <c r="Q5094" s="7" t="str">
        <f t="shared" si="1849"/>
        <v>教育庁</v>
      </c>
      <c r="R5094" s="7" t="str">
        <f t="shared" si="1854"/>
        <v>長尾高等学校</v>
      </c>
    </row>
    <row r="5095" spans="1:18" s="1" customFormat="1" x14ac:dyDescent="0.45">
      <c r="A5095" s="7" t="str">
        <f t="shared" si="1850"/>
        <v>10402000000</v>
      </c>
      <c r="B5095" s="7" t="str">
        <f t="shared" si="1851"/>
        <v>長尾高等学校</v>
      </c>
      <c r="C5095" s="7" t="str">
        <f t="shared" si="1846"/>
        <v>行政財産</v>
      </c>
      <c r="D5095" s="7" t="str">
        <f t="shared" si="1840"/>
        <v>学校</v>
      </c>
      <c r="E5095" s="7" t="str">
        <f t="shared" si="1852"/>
        <v>大阪府枚方市長尾家具町５丁目</v>
      </c>
      <c r="F5095" s="7"/>
      <c r="G5095" s="7" t="str">
        <f t="shared" si="1848"/>
        <v>事業用資産</v>
      </c>
      <c r="H5095" s="7" t="str">
        <f t="shared" si="1841"/>
        <v>棚卸以外</v>
      </c>
      <c r="I5095" s="7">
        <v>7</v>
      </c>
      <c r="J5095" s="7" t="str">
        <f>"体育館"</f>
        <v>体育館</v>
      </c>
      <c r="K5095" s="7" t="str">
        <f>"鉄筋コンクリート造"</f>
        <v>鉄筋コンクリート造</v>
      </c>
      <c r="L5095" s="7" t="str">
        <f>"S49.09.26"</f>
        <v>S49.09.26</v>
      </c>
      <c r="M5095" s="7">
        <v>2674.91</v>
      </c>
      <c r="N5095" s="7">
        <v>259296663</v>
      </c>
      <c r="O5095" s="7">
        <v>235355571</v>
      </c>
      <c r="P5095" s="7">
        <v>0</v>
      </c>
      <c r="Q5095" s="7" t="str">
        <f t="shared" si="1849"/>
        <v>教育庁</v>
      </c>
      <c r="R5095" s="7" t="str">
        <f t="shared" si="1854"/>
        <v>長尾高等学校</v>
      </c>
    </row>
    <row r="5096" spans="1:18" s="1" customFormat="1" x14ac:dyDescent="0.45">
      <c r="A5096" s="7" t="str">
        <f t="shared" si="1850"/>
        <v>10402000000</v>
      </c>
      <c r="B5096" s="7" t="str">
        <f t="shared" si="1851"/>
        <v>長尾高等学校</v>
      </c>
      <c r="C5096" s="7" t="str">
        <f t="shared" si="1846"/>
        <v>行政財産</v>
      </c>
      <c r="D5096" s="7" t="str">
        <f t="shared" si="1840"/>
        <v>学校</v>
      </c>
      <c r="E5096" s="7" t="str">
        <f t="shared" si="1852"/>
        <v>大阪府枚方市長尾家具町５丁目</v>
      </c>
      <c r="F5096" s="7"/>
      <c r="G5096" s="7" t="str">
        <f t="shared" si="1848"/>
        <v>事業用資産</v>
      </c>
      <c r="H5096" s="7" t="str">
        <f t="shared" si="1841"/>
        <v>棚卸以外</v>
      </c>
      <c r="I5096" s="7">
        <v>8</v>
      </c>
      <c r="J5096" s="7" t="str">
        <f>"附属棟"</f>
        <v>附属棟</v>
      </c>
      <c r="K5096" s="7" t="str">
        <f>"コンクリートブロック造"</f>
        <v>コンクリートブロック造</v>
      </c>
      <c r="L5096" s="7" t="str">
        <f>"S49.07.30"</f>
        <v>S49.07.30</v>
      </c>
      <c r="M5096" s="7">
        <v>128.4</v>
      </c>
      <c r="N5096" s="7">
        <v>20239000</v>
      </c>
      <c r="O5096" s="7">
        <v>20238999</v>
      </c>
      <c r="P5096" s="7">
        <v>0</v>
      </c>
      <c r="Q5096" s="7" t="str">
        <f t="shared" si="1849"/>
        <v>教育庁</v>
      </c>
      <c r="R5096" s="7" t="str">
        <f t="shared" si="1854"/>
        <v>長尾高等学校</v>
      </c>
    </row>
    <row r="5097" spans="1:18" s="1" customFormat="1" x14ac:dyDescent="0.45">
      <c r="A5097" s="7" t="str">
        <f t="shared" si="1850"/>
        <v>10402000000</v>
      </c>
      <c r="B5097" s="7" t="str">
        <f t="shared" si="1851"/>
        <v>長尾高等学校</v>
      </c>
      <c r="C5097" s="7" t="str">
        <f t="shared" si="1846"/>
        <v>行政財産</v>
      </c>
      <c r="D5097" s="7" t="str">
        <f t="shared" si="1840"/>
        <v>学校</v>
      </c>
      <c r="E5097" s="7" t="str">
        <f t="shared" si="1852"/>
        <v>大阪府枚方市長尾家具町５丁目</v>
      </c>
      <c r="F5097" s="7"/>
      <c r="G5097" s="7" t="str">
        <f t="shared" si="1848"/>
        <v>事業用資産</v>
      </c>
      <c r="H5097" s="7" t="str">
        <f t="shared" si="1841"/>
        <v>棚卸以外</v>
      </c>
      <c r="I5097" s="7">
        <v>9</v>
      </c>
      <c r="J5097" s="7" t="str">
        <f>"下足室"</f>
        <v>下足室</v>
      </c>
      <c r="K5097" s="7" t="str">
        <f>"鉄骨造"</f>
        <v>鉄骨造</v>
      </c>
      <c r="L5097" s="7" t="str">
        <f>"S50.06.28"</f>
        <v>S50.06.28</v>
      </c>
      <c r="M5097" s="7">
        <v>250.8</v>
      </c>
      <c r="N5097" s="7">
        <v>15664000</v>
      </c>
      <c r="O5097" s="7">
        <v>15663998</v>
      </c>
      <c r="P5097" s="7">
        <v>0</v>
      </c>
      <c r="Q5097" s="7" t="str">
        <f t="shared" si="1849"/>
        <v>教育庁</v>
      </c>
      <c r="R5097" s="7" t="str">
        <f t="shared" si="1854"/>
        <v>長尾高等学校</v>
      </c>
    </row>
    <row r="5098" spans="1:18" s="1" customFormat="1" x14ac:dyDescent="0.45">
      <c r="A5098" s="7" t="str">
        <f t="shared" si="1850"/>
        <v>10402000000</v>
      </c>
      <c r="B5098" s="7" t="str">
        <f t="shared" si="1851"/>
        <v>長尾高等学校</v>
      </c>
      <c r="C5098" s="7" t="str">
        <f t="shared" si="1846"/>
        <v>行政財産</v>
      </c>
      <c r="D5098" s="7" t="str">
        <f t="shared" si="1840"/>
        <v>学校</v>
      </c>
      <c r="E5098" s="7" t="str">
        <f t="shared" si="1852"/>
        <v>大阪府枚方市長尾家具町５丁目</v>
      </c>
      <c r="F5098" s="7"/>
      <c r="G5098" s="7" t="str">
        <f t="shared" si="1848"/>
        <v>事業用資産</v>
      </c>
      <c r="H5098" s="7" t="str">
        <f t="shared" si="1841"/>
        <v>棚卸以外</v>
      </c>
      <c r="I5098" s="7">
        <v>10</v>
      </c>
      <c r="J5098" s="7" t="str">
        <f>"更衣室"</f>
        <v>更衣室</v>
      </c>
      <c r="K5098" s="7" t="str">
        <f>"鉄骨造"</f>
        <v>鉄骨造</v>
      </c>
      <c r="L5098" s="7" t="str">
        <f>"S50.06.28"</f>
        <v>S50.06.28</v>
      </c>
      <c r="M5098" s="7">
        <v>60</v>
      </c>
      <c r="N5098" s="7">
        <v>5515000</v>
      </c>
      <c r="O5098" s="7">
        <v>5514999</v>
      </c>
      <c r="P5098" s="7">
        <v>0</v>
      </c>
      <c r="Q5098" s="7" t="str">
        <f t="shared" si="1849"/>
        <v>教育庁</v>
      </c>
      <c r="R5098" s="7" t="str">
        <f t="shared" si="1854"/>
        <v>長尾高等学校</v>
      </c>
    </row>
    <row r="5099" spans="1:18" s="1" customFormat="1" x14ac:dyDescent="0.45">
      <c r="A5099" s="7" t="str">
        <f t="shared" si="1850"/>
        <v>10402000000</v>
      </c>
      <c r="B5099" s="7" t="str">
        <f t="shared" si="1851"/>
        <v>長尾高等学校</v>
      </c>
      <c r="C5099" s="7" t="str">
        <f t="shared" si="1846"/>
        <v>行政財産</v>
      </c>
      <c r="D5099" s="7" t="str">
        <f t="shared" si="1840"/>
        <v>学校</v>
      </c>
      <c r="E5099" s="7" t="str">
        <f t="shared" si="1852"/>
        <v>大阪府枚方市長尾家具町５丁目</v>
      </c>
      <c r="F5099" s="7"/>
      <c r="G5099" s="7" t="str">
        <f t="shared" si="1848"/>
        <v>事業用資産</v>
      </c>
      <c r="H5099" s="7" t="str">
        <f t="shared" si="1841"/>
        <v>棚卸以外</v>
      </c>
      <c r="I5099" s="7">
        <v>12</v>
      </c>
      <c r="J5099" s="7" t="str">
        <f>"自転車置場"</f>
        <v>自転車置場</v>
      </c>
      <c r="K5099" s="7" t="str">
        <f>"鉄骨造"</f>
        <v>鉄骨造</v>
      </c>
      <c r="L5099" s="7" t="str">
        <f>"S50.06.28"</f>
        <v>S50.06.28</v>
      </c>
      <c r="M5099" s="7">
        <v>97</v>
      </c>
      <c r="N5099" s="7">
        <v>2624000</v>
      </c>
      <c r="O5099" s="7">
        <v>2623999</v>
      </c>
      <c r="P5099" s="7">
        <v>0</v>
      </c>
      <c r="Q5099" s="7" t="str">
        <f t="shared" si="1849"/>
        <v>教育庁</v>
      </c>
      <c r="R5099" s="7" t="str">
        <f t="shared" si="1854"/>
        <v>長尾高等学校</v>
      </c>
    </row>
    <row r="5100" spans="1:18" s="1" customFormat="1" x14ac:dyDescent="0.45">
      <c r="A5100" s="7" t="str">
        <f t="shared" si="1850"/>
        <v>10402000000</v>
      </c>
      <c r="B5100" s="7" t="str">
        <f t="shared" si="1851"/>
        <v>長尾高等学校</v>
      </c>
      <c r="C5100" s="7" t="str">
        <f t="shared" si="1846"/>
        <v>行政財産</v>
      </c>
      <c r="D5100" s="7" t="str">
        <f t="shared" si="1840"/>
        <v>学校</v>
      </c>
      <c r="E5100" s="7" t="str">
        <f t="shared" si="1852"/>
        <v>大阪府枚方市長尾家具町５丁目</v>
      </c>
      <c r="F5100" s="7"/>
      <c r="G5100" s="7" t="str">
        <f t="shared" si="1848"/>
        <v>事業用資産</v>
      </c>
      <c r="H5100" s="7" t="str">
        <f t="shared" si="1841"/>
        <v>棚卸以外</v>
      </c>
      <c r="I5100" s="7">
        <v>14</v>
      </c>
      <c r="J5100" s="7" t="str">
        <f>"渡り廊下"</f>
        <v>渡り廊下</v>
      </c>
      <c r="K5100" s="7" t="str">
        <f>"鉄筋コンクリート造"</f>
        <v>鉄筋コンクリート造</v>
      </c>
      <c r="L5100" s="7" t="str">
        <f>"S50.03.20"</f>
        <v>S50.03.20</v>
      </c>
      <c r="M5100" s="7">
        <v>351</v>
      </c>
      <c r="N5100" s="7">
        <v>26984000</v>
      </c>
      <c r="O5100" s="7">
        <v>26499791</v>
      </c>
      <c r="P5100" s="7">
        <v>0</v>
      </c>
      <c r="Q5100" s="7" t="str">
        <f t="shared" si="1849"/>
        <v>教育庁</v>
      </c>
      <c r="R5100" s="7" t="str">
        <f t="shared" si="1854"/>
        <v>長尾高等学校</v>
      </c>
    </row>
    <row r="5101" spans="1:18" s="1" customFormat="1" x14ac:dyDescent="0.45">
      <c r="A5101" s="7" t="str">
        <f t="shared" si="1850"/>
        <v>10402000000</v>
      </c>
      <c r="B5101" s="7" t="str">
        <f t="shared" si="1851"/>
        <v>長尾高等学校</v>
      </c>
      <c r="C5101" s="7" t="str">
        <f t="shared" si="1846"/>
        <v>行政財産</v>
      </c>
      <c r="D5101" s="7" t="str">
        <f t="shared" si="1840"/>
        <v>学校</v>
      </c>
      <c r="E5101" s="7" t="str">
        <f t="shared" si="1852"/>
        <v>大阪府枚方市長尾家具町５丁目</v>
      </c>
      <c r="F5101" s="7"/>
      <c r="G5101" s="7" t="str">
        <f t="shared" si="1848"/>
        <v>事業用資産</v>
      </c>
      <c r="H5101" s="7" t="str">
        <f t="shared" si="1841"/>
        <v>棚卸以外</v>
      </c>
      <c r="I5101" s="7">
        <v>19</v>
      </c>
      <c r="J5101" s="7" t="str">
        <f>"倉庫"</f>
        <v>倉庫</v>
      </c>
      <c r="K5101" s="7" t="str">
        <f>"コンクリートブロック造"</f>
        <v>コンクリートブロック造</v>
      </c>
      <c r="L5101" s="7" t="str">
        <f>"H03.12.20"</f>
        <v>H03.12.20</v>
      </c>
      <c r="M5101" s="7">
        <v>58.44</v>
      </c>
      <c r="N5101" s="7">
        <v>5415000</v>
      </c>
      <c r="O5101" s="7">
        <v>4937556</v>
      </c>
      <c r="P5101" s="7">
        <v>0</v>
      </c>
      <c r="Q5101" s="7" t="str">
        <f t="shared" si="1849"/>
        <v>教育庁</v>
      </c>
      <c r="R5101" s="7" t="str">
        <f t="shared" si="1854"/>
        <v>長尾高等学校</v>
      </c>
    </row>
    <row r="5102" spans="1:18" s="1" customFormat="1" x14ac:dyDescent="0.45">
      <c r="A5102" s="7" t="str">
        <f t="shared" ref="A5102:A5118" si="1855">"10403000000"</f>
        <v>10403000000</v>
      </c>
      <c r="B5102" s="7" t="str">
        <f t="shared" ref="B5102:B5118" si="1856">"牧野高等学校"</f>
        <v>牧野高等学校</v>
      </c>
      <c r="C5102" s="7" t="str">
        <f t="shared" si="1846"/>
        <v>行政財産</v>
      </c>
      <c r="D5102" s="7" t="str">
        <f t="shared" si="1840"/>
        <v>学校</v>
      </c>
      <c r="E5102" s="7" t="str">
        <f t="shared" ref="E5102:E5118" si="1857">"大阪府枚方市南船橋１丁目"</f>
        <v>大阪府枚方市南船橋１丁目</v>
      </c>
      <c r="F5102" s="7"/>
      <c r="G5102" s="7" t="str">
        <f t="shared" si="1848"/>
        <v>事業用資産</v>
      </c>
      <c r="H5102" s="7" t="str">
        <f t="shared" si="1841"/>
        <v>棚卸以外</v>
      </c>
      <c r="I5102" s="7">
        <v>1</v>
      </c>
      <c r="J5102" s="7" t="str">
        <f>"普通教室棟"</f>
        <v>普通教室棟</v>
      </c>
      <c r="K5102" s="7" t="str">
        <f>"鉄筋コンクリート造"</f>
        <v>鉄筋コンクリート造</v>
      </c>
      <c r="L5102" s="7" t="str">
        <f>"S51.03.30"</f>
        <v>S51.03.30</v>
      </c>
      <c r="M5102" s="7">
        <v>6124.35</v>
      </c>
      <c r="N5102" s="7">
        <v>720187477</v>
      </c>
      <c r="O5102" s="7">
        <v>609392874</v>
      </c>
      <c r="P5102" s="7">
        <v>0</v>
      </c>
      <c r="Q5102" s="7" t="str">
        <f t="shared" si="1849"/>
        <v>教育庁</v>
      </c>
      <c r="R5102" s="7" t="str">
        <f t="shared" ref="R5102:R5118" si="1858">"牧野高等学校"</f>
        <v>牧野高等学校</v>
      </c>
    </row>
    <row r="5103" spans="1:18" s="1" customFormat="1" x14ac:dyDescent="0.45">
      <c r="A5103" s="7" t="str">
        <f t="shared" si="1855"/>
        <v>10403000000</v>
      </c>
      <c r="B5103" s="7" t="str">
        <f t="shared" si="1856"/>
        <v>牧野高等学校</v>
      </c>
      <c r="C5103" s="7" t="str">
        <f t="shared" si="1846"/>
        <v>行政財産</v>
      </c>
      <c r="D5103" s="7" t="str">
        <f t="shared" si="1840"/>
        <v>学校</v>
      </c>
      <c r="E5103" s="7" t="str">
        <f t="shared" si="1857"/>
        <v>大阪府枚方市南船橋１丁目</v>
      </c>
      <c r="F5103" s="7"/>
      <c r="G5103" s="7" t="str">
        <f t="shared" si="1848"/>
        <v>事業用資産</v>
      </c>
      <c r="H5103" s="7" t="str">
        <f t="shared" si="1841"/>
        <v>棚卸以外</v>
      </c>
      <c r="I5103" s="7">
        <v>2</v>
      </c>
      <c r="J5103" s="7" t="str">
        <f>"特別教室棟"</f>
        <v>特別教室棟</v>
      </c>
      <c r="K5103" s="7" t="str">
        <f>"鉄筋コンクリート造"</f>
        <v>鉄筋コンクリート造</v>
      </c>
      <c r="L5103" s="7" t="str">
        <f>"S51.03.30"</f>
        <v>S51.03.30</v>
      </c>
      <c r="M5103" s="7">
        <v>5885.92</v>
      </c>
      <c r="N5103" s="7">
        <v>721763648</v>
      </c>
      <c r="O5103" s="7">
        <v>590590135</v>
      </c>
      <c r="P5103" s="7">
        <v>0</v>
      </c>
      <c r="Q5103" s="7" t="str">
        <f t="shared" si="1849"/>
        <v>教育庁</v>
      </c>
      <c r="R5103" s="7" t="str">
        <f t="shared" si="1858"/>
        <v>牧野高等学校</v>
      </c>
    </row>
    <row r="5104" spans="1:18" s="1" customFormat="1" x14ac:dyDescent="0.45">
      <c r="A5104" s="7" t="str">
        <f t="shared" si="1855"/>
        <v>10403000000</v>
      </c>
      <c r="B5104" s="7" t="str">
        <f t="shared" si="1856"/>
        <v>牧野高等学校</v>
      </c>
      <c r="C5104" s="7" t="str">
        <f t="shared" si="1846"/>
        <v>行政財産</v>
      </c>
      <c r="D5104" s="7" t="str">
        <f t="shared" si="1840"/>
        <v>学校</v>
      </c>
      <c r="E5104" s="7" t="str">
        <f t="shared" si="1857"/>
        <v>大阪府枚方市南船橋１丁目</v>
      </c>
      <c r="F5104" s="7"/>
      <c r="G5104" s="7" t="str">
        <f t="shared" si="1848"/>
        <v>事業用資産</v>
      </c>
      <c r="H5104" s="7" t="str">
        <f t="shared" si="1841"/>
        <v>棚卸以外</v>
      </c>
      <c r="I5104" s="7">
        <v>3</v>
      </c>
      <c r="J5104" s="7" t="str">
        <f>"渡り廊下"</f>
        <v>渡り廊下</v>
      </c>
      <c r="K5104" s="7" t="str">
        <f>"鉄筋コンクリート造"</f>
        <v>鉄筋コンクリート造</v>
      </c>
      <c r="L5104" s="7" t="str">
        <f>"S51.03.30"</f>
        <v>S51.03.30</v>
      </c>
      <c r="M5104" s="7">
        <v>250.25</v>
      </c>
      <c r="N5104" s="7">
        <v>26651413</v>
      </c>
      <c r="O5104" s="7">
        <v>24884066</v>
      </c>
      <c r="P5104" s="7">
        <v>0</v>
      </c>
      <c r="Q5104" s="7" t="str">
        <f t="shared" si="1849"/>
        <v>教育庁</v>
      </c>
      <c r="R5104" s="7" t="str">
        <f t="shared" si="1858"/>
        <v>牧野高等学校</v>
      </c>
    </row>
    <row r="5105" spans="1:18" s="1" customFormat="1" x14ac:dyDescent="0.45">
      <c r="A5105" s="7" t="str">
        <f t="shared" si="1855"/>
        <v>10403000000</v>
      </c>
      <c r="B5105" s="7" t="str">
        <f t="shared" si="1856"/>
        <v>牧野高等学校</v>
      </c>
      <c r="C5105" s="7" t="str">
        <f t="shared" si="1846"/>
        <v>行政財産</v>
      </c>
      <c r="D5105" s="7" t="str">
        <f t="shared" si="1840"/>
        <v>学校</v>
      </c>
      <c r="E5105" s="7" t="str">
        <f t="shared" si="1857"/>
        <v>大阪府枚方市南船橋１丁目</v>
      </c>
      <c r="F5105" s="7"/>
      <c r="G5105" s="7" t="str">
        <f t="shared" si="1848"/>
        <v>事業用資産</v>
      </c>
      <c r="H5105" s="7" t="str">
        <f t="shared" si="1841"/>
        <v>棚卸以外</v>
      </c>
      <c r="I5105" s="7">
        <v>4</v>
      </c>
      <c r="J5105" s="7" t="str">
        <f>"設備棟"</f>
        <v>設備棟</v>
      </c>
      <c r="K5105" s="7" t="str">
        <f>"鉄筋コンクリート造"</f>
        <v>鉄筋コンクリート造</v>
      </c>
      <c r="L5105" s="7" t="str">
        <f>"S53.03.28"</f>
        <v>S53.03.28</v>
      </c>
      <c r="M5105" s="7">
        <v>117</v>
      </c>
      <c r="N5105" s="7">
        <v>28823000</v>
      </c>
      <c r="O5105" s="7">
        <v>25034061</v>
      </c>
      <c r="P5105" s="7">
        <v>0</v>
      </c>
      <c r="Q5105" s="7" t="str">
        <f t="shared" si="1849"/>
        <v>教育庁</v>
      </c>
      <c r="R5105" s="7" t="str">
        <f t="shared" si="1858"/>
        <v>牧野高等学校</v>
      </c>
    </row>
    <row r="5106" spans="1:18" s="1" customFormat="1" x14ac:dyDescent="0.45">
      <c r="A5106" s="7" t="str">
        <f t="shared" si="1855"/>
        <v>10403000000</v>
      </c>
      <c r="B5106" s="7" t="str">
        <f t="shared" si="1856"/>
        <v>牧野高等学校</v>
      </c>
      <c r="C5106" s="7" t="str">
        <f t="shared" si="1846"/>
        <v>行政財産</v>
      </c>
      <c r="D5106" s="7" t="str">
        <f t="shared" si="1840"/>
        <v>学校</v>
      </c>
      <c r="E5106" s="7" t="str">
        <f t="shared" si="1857"/>
        <v>大阪府枚方市南船橋１丁目</v>
      </c>
      <c r="F5106" s="7"/>
      <c r="G5106" s="7" t="str">
        <f t="shared" si="1848"/>
        <v>事業用資産</v>
      </c>
      <c r="H5106" s="7" t="str">
        <f t="shared" si="1841"/>
        <v>棚卸以外</v>
      </c>
      <c r="I5106" s="7">
        <v>5</v>
      </c>
      <c r="J5106" s="7" t="str">
        <f>"倉庫"</f>
        <v>倉庫</v>
      </c>
      <c r="K5106" s="7" t="str">
        <f>"鉄骨コンクリート造"</f>
        <v>鉄骨コンクリート造</v>
      </c>
      <c r="L5106" s="7" t="str">
        <f>"S51.03.30"</f>
        <v>S51.03.30</v>
      </c>
      <c r="M5106" s="7">
        <v>50</v>
      </c>
      <c r="N5106" s="7">
        <v>3887000</v>
      </c>
      <c r="O5106" s="7">
        <v>3886999</v>
      </c>
      <c r="P5106" s="7">
        <v>0</v>
      </c>
      <c r="Q5106" s="7" t="str">
        <f t="shared" si="1849"/>
        <v>教育庁</v>
      </c>
      <c r="R5106" s="7" t="str">
        <f t="shared" si="1858"/>
        <v>牧野高等学校</v>
      </c>
    </row>
    <row r="5107" spans="1:18" s="1" customFormat="1" x14ac:dyDescent="0.45">
      <c r="A5107" s="7" t="str">
        <f t="shared" si="1855"/>
        <v>10403000000</v>
      </c>
      <c r="B5107" s="7" t="str">
        <f t="shared" si="1856"/>
        <v>牧野高等学校</v>
      </c>
      <c r="C5107" s="7" t="str">
        <f t="shared" si="1846"/>
        <v>行政財産</v>
      </c>
      <c r="D5107" s="7" t="str">
        <f t="shared" si="1840"/>
        <v>学校</v>
      </c>
      <c r="E5107" s="7" t="str">
        <f t="shared" si="1857"/>
        <v>大阪府枚方市南船橋１丁目</v>
      </c>
      <c r="F5107" s="7"/>
      <c r="G5107" s="7" t="str">
        <f t="shared" si="1848"/>
        <v>事業用資産</v>
      </c>
      <c r="H5107" s="7" t="str">
        <f t="shared" si="1841"/>
        <v>棚卸以外</v>
      </c>
      <c r="I5107" s="7">
        <v>6</v>
      </c>
      <c r="J5107" s="7" t="str">
        <f>"自転車置場"</f>
        <v>自転車置場</v>
      </c>
      <c r="K5107" s="7" t="str">
        <f>"鉄骨造"</f>
        <v>鉄骨造</v>
      </c>
      <c r="L5107" s="7" t="str">
        <f>"S51.03.30"</f>
        <v>S51.03.30</v>
      </c>
      <c r="M5107" s="7">
        <v>210</v>
      </c>
      <c r="N5107" s="7">
        <v>5968000</v>
      </c>
      <c r="O5107" s="7">
        <v>5967999</v>
      </c>
      <c r="P5107" s="7">
        <v>0</v>
      </c>
      <c r="Q5107" s="7" t="str">
        <f t="shared" si="1849"/>
        <v>教育庁</v>
      </c>
      <c r="R5107" s="7" t="str">
        <f t="shared" si="1858"/>
        <v>牧野高等学校</v>
      </c>
    </row>
    <row r="5108" spans="1:18" s="1" customFormat="1" x14ac:dyDescent="0.45">
      <c r="A5108" s="7" t="str">
        <f t="shared" si="1855"/>
        <v>10403000000</v>
      </c>
      <c r="B5108" s="7" t="str">
        <f t="shared" si="1856"/>
        <v>牧野高等学校</v>
      </c>
      <c r="C5108" s="7" t="str">
        <f t="shared" si="1846"/>
        <v>行政財産</v>
      </c>
      <c r="D5108" s="7" t="str">
        <f t="shared" si="1840"/>
        <v>学校</v>
      </c>
      <c r="E5108" s="7" t="str">
        <f t="shared" si="1857"/>
        <v>大阪府枚方市南船橋１丁目</v>
      </c>
      <c r="F5108" s="7"/>
      <c r="G5108" s="7" t="str">
        <f t="shared" si="1848"/>
        <v>事業用資産</v>
      </c>
      <c r="H5108" s="7" t="str">
        <f t="shared" si="1841"/>
        <v>棚卸以外</v>
      </c>
      <c r="I5108" s="7">
        <v>7</v>
      </c>
      <c r="J5108" s="7" t="str">
        <f>"汚水処理機械棟"</f>
        <v>汚水処理機械棟</v>
      </c>
      <c r="K5108" s="7" t="str">
        <f>"鉄筋コンクリート造"</f>
        <v>鉄筋コンクリート造</v>
      </c>
      <c r="L5108" s="7" t="str">
        <f>"S51.03.30"</f>
        <v>S51.03.30</v>
      </c>
      <c r="M5108" s="7">
        <v>69.72</v>
      </c>
      <c r="N5108" s="7">
        <v>18035000</v>
      </c>
      <c r="O5108" s="7">
        <v>18034999</v>
      </c>
      <c r="P5108" s="7">
        <v>0</v>
      </c>
      <c r="Q5108" s="7" t="str">
        <f t="shared" si="1849"/>
        <v>教育庁</v>
      </c>
      <c r="R5108" s="7" t="str">
        <f t="shared" si="1858"/>
        <v>牧野高等学校</v>
      </c>
    </row>
    <row r="5109" spans="1:18" s="1" customFormat="1" x14ac:dyDescent="0.45">
      <c r="A5109" s="7" t="str">
        <f t="shared" si="1855"/>
        <v>10403000000</v>
      </c>
      <c r="B5109" s="7" t="str">
        <f t="shared" si="1856"/>
        <v>牧野高等学校</v>
      </c>
      <c r="C5109" s="7" t="str">
        <f t="shared" si="1846"/>
        <v>行政財産</v>
      </c>
      <c r="D5109" s="7" t="str">
        <f t="shared" si="1840"/>
        <v>学校</v>
      </c>
      <c r="E5109" s="7" t="str">
        <f t="shared" si="1857"/>
        <v>大阪府枚方市南船橋１丁目</v>
      </c>
      <c r="F5109" s="7"/>
      <c r="G5109" s="7" t="str">
        <f t="shared" si="1848"/>
        <v>事業用資産</v>
      </c>
      <c r="H5109" s="7" t="str">
        <f t="shared" si="1841"/>
        <v>棚卸以外</v>
      </c>
      <c r="I5109" s="7">
        <v>9</v>
      </c>
      <c r="J5109" s="7" t="str">
        <f>"設備棟"</f>
        <v>設備棟</v>
      </c>
      <c r="K5109" s="7" t="str">
        <f>"コンクリートブロック造"</f>
        <v>コンクリートブロック造</v>
      </c>
      <c r="L5109" s="7" t="str">
        <f>"S51.03.30"</f>
        <v>S51.03.30</v>
      </c>
      <c r="M5109" s="7">
        <v>10.6</v>
      </c>
      <c r="N5109" s="7">
        <v>698000</v>
      </c>
      <c r="O5109" s="7">
        <v>697999</v>
      </c>
      <c r="P5109" s="7">
        <v>0</v>
      </c>
      <c r="Q5109" s="7" t="str">
        <f t="shared" si="1849"/>
        <v>教育庁</v>
      </c>
      <c r="R5109" s="7" t="str">
        <f t="shared" si="1858"/>
        <v>牧野高等学校</v>
      </c>
    </row>
    <row r="5110" spans="1:18" s="1" customFormat="1" x14ac:dyDescent="0.45">
      <c r="A5110" s="7" t="str">
        <f t="shared" si="1855"/>
        <v>10403000000</v>
      </c>
      <c r="B5110" s="7" t="str">
        <f t="shared" si="1856"/>
        <v>牧野高等学校</v>
      </c>
      <c r="C5110" s="7" t="str">
        <f t="shared" si="1846"/>
        <v>行政財産</v>
      </c>
      <c r="D5110" s="7" t="str">
        <f t="shared" si="1840"/>
        <v>学校</v>
      </c>
      <c r="E5110" s="7" t="str">
        <f t="shared" si="1857"/>
        <v>大阪府枚方市南船橋１丁目</v>
      </c>
      <c r="F5110" s="7"/>
      <c r="G5110" s="7" t="str">
        <f t="shared" si="1848"/>
        <v>事業用資産</v>
      </c>
      <c r="H5110" s="7" t="str">
        <f t="shared" si="1841"/>
        <v>棚卸以外</v>
      </c>
      <c r="I5110" s="7">
        <v>10</v>
      </c>
      <c r="J5110" s="7" t="str">
        <f>"食堂"</f>
        <v>食堂</v>
      </c>
      <c r="K5110" s="7" t="str">
        <f>"鉄骨造"</f>
        <v>鉄骨造</v>
      </c>
      <c r="L5110" s="7" t="str">
        <f>"S52.07.04"</f>
        <v>S52.07.04</v>
      </c>
      <c r="M5110" s="7">
        <v>327.61</v>
      </c>
      <c r="N5110" s="7">
        <v>48647035</v>
      </c>
      <c r="O5110" s="7">
        <v>41464658</v>
      </c>
      <c r="P5110" s="7">
        <v>0</v>
      </c>
      <c r="Q5110" s="7" t="str">
        <f t="shared" si="1849"/>
        <v>教育庁</v>
      </c>
      <c r="R5110" s="7" t="str">
        <f t="shared" si="1858"/>
        <v>牧野高等学校</v>
      </c>
    </row>
    <row r="5111" spans="1:18" s="1" customFormat="1" x14ac:dyDescent="0.45">
      <c r="A5111" s="7" t="str">
        <f t="shared" si="1855"/>
        <v>10403000000</v>
      </c>
      <c r="B5111" s="7" t="str">
        <f t="shared" si="1856"/>
        <v>牧野高等学校</v>
      </c>
      <c r="C5111" s="7" t="str">
        <f t="shared" si="1846"/>
        <v>行政財産</v>
      </c>
      <c r="D5111" s="7" t="str">
        <f t="shared" si="1840"/>
        <v>学校</v>
      </c>
      <c r="E5111" s="7" t="str">
        <f t="shared" si="1857"/>
        <v>大阪府枚方市南船橋１丁目</v>
      </c>
      <c r="F5111" s="7"/>
      <c r="G5111" s="7" t="str">
        <f t="shared" si="1848"/>
        <v>事業用資産</v>
      </c>
      <c r="H5111" s="7" t="str">
        <f t="shared" si="1841"/>
        <v>棚卸以外</v>
      </c>
      <c r="I5111" s="7">
        <v>11</v>
      </c>
      <c r="J5111" s="7" t="str">
        <f>"渡り廊下"</f>
        <v>渡り廊下</v>
      </c>
      <c r="K5111" s="7" t="str">
        <f>"鉄骨造"</f>
        <v>鉄骨造</v>
      </c>
      <c r="L5111" s="7" t="str">
        <f>"S52.07.04"</f>
        <v>S52.07.04</v>
      </c>
      <c r="M5111" s="7">
        <v>12</v>
      </c>
      <c r="N5111" s="7">
        <v>1055000</v>
      </c>
      <c r="O5111" s="7">
        <v>1054999</v>
      </c>
      <c r="P5111" s="7">
        <v>0</v>
      </c>
      <c r="Q5111" s="7" t="str">
        <f t="shared" si="1849"/>
        <v>教育庁</v>
      </c>
      <c r="R5111" s="7" t="str">
        <f t="shared" si="1858"/>
        <v>牧野高等学校</v>
      </c>
    </row>
    <row r="5112" spans="1:18" s="1" customFormat="1" x14ac:dyDescent="0.45">
      <c r="A5112" s="7" t="str">
        <f t="shared" si="1855"/>
        <v>10403000000</v>
      </c>
      <c r="B5112" s="7" t="str">
        <f t="shared" si="1856"/>
        <v>牧野高等学校</v>
      </c>
      <c r="C5112" s="7" t="str">
        <f t="shared" si="1846"/>
        <v>行政財産</v>
      </c>
      <c r="D5112" s="7" t="str">
        <f t="shared" si="1840"/>
        <v>学校</v>
      </c>
      <c r="E5112" s="7" t="str">
        <f t="shared" si="1857"/>
        <v>大阪府枚方市南船橋１丁目</v>
      </c>
      <c r="F5112" s="7"/>
      <c r="G5112" s="7" t="str">
        <f t="shared" si="1848"/>
        <v>事業用資産</v>
      </c>
      <c r="H5112" s="7" t="str">
        <f t="shared" si="1841"/>
        <v>棚卸以外</v>
      </c>
      <c r="I5112" s="7">
        <v>13</v>
      </c>
      <c r="J5112" s="7" t="str">
        <f>"倉庫"</f>
        <v>倉庫</v>
      </c>
      <c r="K5112" s="7" t="str">
        <f>"鉄骨造"</f>
        <v>鉄骨造</v>
      </c>
      <c r="L5112" s="7" t="str">
        <f>"S52.07.04"</f>
        <v>S52.07.04</v>
      </c>
      <c r="M5112" s="7">
        <v>50</v>
      </c>
      <c r="N5112" s="7">
        <v>3404000</v>
      </c>
      <c r="O5112" s="7">
        <v>3403999</v>
      </c>
      <c r="P5112" s="7">
        <v>0</v>
      </c>
      <c r="Q5112" s="7" t="str">
        <f t="shared" si="1849"/>
        <v>教育庁</v>
      </c>
      <c r="R5112" s="7" t="str">
        <f t="shared" si="1858"/>
        <v>牧野高等学校</v>
      </c>
    </row>
    <row r="5113" spans="1:18" s="1" customFormat="1" x14ac:dyDescent="0.45">
      <c r="A5113" s="7" t="str">
        <f t="shared" si="1855"/>
        <v>10403000000</v>
      </c>
      <c r="B5113" s="7" t="str">
        <f t="shared" si="1856"/>
        <v>牧野高等学校</v>
      </c>
      <c r="C5113" s="7" t="str">
        <f t="shared" si="1846"/>
        <v>行政財産</v>
      </c>
      <c r="D5113" s="7" t="str">
        <f t="shared" ref="D5113:D5176" si="1859">"学校"</f>
        <v>学校</v>
      </c>
      <c r="E5113" s="7" t="str">
        <f t="shared" si="1857"/>
        <v>大阪府枚方市南船橋１丁目</v>
      </c>
      <c r="F5113" s="7"/>
      <c r="G5113" s="7" t="str">
        <f t="shared" si="1848"/>
        <v>事業用資産</v>
      </c>
      <c r="H5113" s="7" t="str">
        <f t="shared" si="1841"/>
        <v>棚卸以外</v>
      </c>
      <c r="I5113" s="7">
        <v>14</v>
      </c>
      <c r="J5113" s="7" t="str">
        <f>"プール附属棟"</f>
        <v>プール附属棟</v>
      </c>
      <c r="K5113" s="7" t="str">
        <f>"鉄筋コンクリート造"</f>
        <v>鉄筋コンクリート造</v>
      </c>
      <c r="L5113" s="7" t="str">
        <f>"S52.08.04"</f>
        <v>S52.08.04</v>
      </c>
      <c r="M5113" s="7">
        <v>138</v>
      </c>
      <c r="N5113" s="7">
        <v>26736918</v>
      </c>
      <c r="O5113" s="7">
        <v>25523370</v>
      </c>
      <c r="P5113" s="7">
        <v>0</v>
      </c>
      <c r="Q5113" s="7" t="str">
        <f t="shared" si="1849"/>
        <v>教育庁</v>
      </c>
      <c r="R5113" s="7" t="str">
        <f t="shared" si="1858"/>
        <v>牧野高等学校</v>
      </c>
    </row>
    <row r="5114" spans="1:18" s="1" customFormat="1" x14ac:dyDescent="0.45">
      <c r="A5114" s="7" t="str">
        <f t="shared" si="1855"/>
        <v>10403000000</v>
      </c>
      <c r="B5114" s="7" t="str">
        <f t="shared" si="1856"/>
        <v>牧野高等学校</v>
      </c>
      <c r="C5114" s="7" t="str">
        <f t="shared" si="1846"/>
        <v>行政財産</v>
      </c>
      <c r="D5114" s="7" t="str">
        <f t="shared" si="1859"/>
        <v>学校</v>
      </c>
      <c r="E5114" s="7" t="str">
        <f t="shared" si="1857"/>
        <v>大阪府枚方市南船橋１丁目</v>
      </c>
      <c r="F5114" s="7"/>
      <c r="G5114" s="7" t="str">
        <f t="shared" si="1848"/>
        <v>事業用資産</v>
      </c>
      <c r="H5114" s="7" t="str">
        <f t="shared" si="1841"/>
        <v>棚卸以外</v>
      </c>
      <c r="I5114" s="7">
        <v>16</v>
      </c>
      <c r="J5114" s="7" t="str">
        <f>"体育館"</f>
        <v>体育館</v>
      </c>
      <c r="K5114" s="7" t="str">
        <f>"鉄筋コンクリート造"</f>
        <v>鉄筋コンクリート造</v>
      </c>
      <c r="L5114" s="7" t="str">
        <f>"S52.09.30"</f>
        <v>S52.09.30</v>
      </c>
      <c r="M5114" s="7">
        <v>2962.91</v>
      </c>
      <c r="N5114" s="7">
        <v>303219594</v>
      </c>
      <c r="O5114" s="7">
        <v>262830981</v>
      </c>
      <c r="P5114" s="7">
        <v>0</v>
      </c>
      <c r="Q5114" s="7" t="str">
        <f t="shared" si="1849"/>
        <v>教育庁</v>
      </c>
      <c r="R5114" s="7" t="str">
        <f t="shared" si="1858"/>
        <v>牧野高等学校</v>
      </c>
    </row>
    <row r="5115" spans="1:18" s="1" customFormat="1" x14ac:dyDescent="0.45">
      <c r="A5115" s="7" t="str">
        <f t="shared" si="1855"/>
        <v>10403000000</v>
      </c>
      <c r="B5115" s="7" t="str">
        <f t="shared" si="1856"/>
        <v>牧野高等学校</v>
      </c>
      <c r="C5115" s="7" t="str">
        <f t="shared" si="1846"/>
        <v>行政財産</v>
      </c>
      <c r="D5115" s="7" t="str">
        <f t="shared" si="1859"/>
        <v>学校</v>
      </c>
      <c r="E5115" s="7" t="str">
        <f t="shared" si="1857"/>
        <v>大阪府枚方市南船橋１丁目</v>
      </c>
      <c r="F5115" s="7"/>
      <c r="G5115" s="7" t="str">
        <f t="shared" si="1848"/>
        <v>事業用資産</v>
      </c>
      <c r="H5115" s="7" t="str">
        <f t="shared" si="1841"/>
        <v>棚卸以外</v>
      </c>
      <c r="I5115" s="7">
        <v>17</v>
      </c>
      <c r="J5115" s="7" t="str">
        <f>"渡り廊下"</f>
        <v>渡り廊下</v>
      </c>
      <c r="K5115" s="7" t="str">
        <f>"鉄筋コンクリート造"</f>
        <v>鉄筋コンクリート造</v>
      </c>
      <c r="L5115" s="7" t="str">
        <f>"S53.03.28"</f>
        <v>S53.03.28</v>
      </c>
      <c r="M5115" s="7">
        <v>250.25</v>
      </c>
      <c r="N5115" s="7">
        <v>24361000</v>
      </c>
      <c r="O5115" s="7">
        <v>22855168</v>
      </c>
      <c r="P5115" s="7">
        <v>0</v>
      </c>
      <c r="Q5115" s="7" t="str">
        <f t="shared" si="1849"/>
        <v>教育庁</v>
      </c>
      <c r="R5115" s="7" t="str">
        <f t="shared" si="1858"/>
        <v>牧野高等学校</v>
      </c>
    </row>
    <row r="5116" spans="1:18" s="1" customFormat="1" x14ac:dyDescent="0.45">
      <c r="A5116" s="7" t="str">
        <f t="shared" si="1855"/>
        <v>10403000000</v>
      </c>
      <c r="B5116" s="7" t="str">
        <f t="shared" si="1856"/>
        <v>牧野高等学校</v>
      </c>
      <c r="C5116" s="7" t="str">
        <f t="shared" si="1846"/>
        <v>行政財産</v>
      </c>
      <c r="D5116" s="7" t="str">
        <f t="shared" si="1859"/>
        <v>学校</v>
      </c>
      <c r="E5116" s="7" t="str">
        <f t="shared" si="1857"/>
        <v>大阪府枚方市南船橋１丁目</v>
      </c>
      <c r="F5116" s="7"/>
      <c r="G5116" s="7" t="str">
        <f t="shared" si="1848"/>
        <v>事業用資産</v>
      </c>
      <c r="H5116" s="7" t="str">
        <f t="shared" si="1841"/>
        <v>棚卸以外</v>
      </c>
      <c r="I5116" s="7">
        <v>18</v>
      </c>
      <c r="J5116" s="7" t="str">
        <f>"設備棟"</f>
        <v>設備棟</v>
      </c>
      <c r="K5116" s="7" t="str">
        <f>"コンクリートブロック造"</f>
        <v>コンクリートブロック造</v>
      </c>
      <c r="L5116" s="7" t="str">
        <f>"S53.03.28"</f>
        <v>S53.03.28</v>
      </c>
      <c r="M5116" s="7">
        <v>10.6</v>
      </c>
      <c r="N5116" s="7">
        <v>785000</v>
      </c>
      <c r="O5116" s="7">
        <v>674541</v>
      </c>
      <c r="P5116" s="7">
        <v>0</v>
      </c>
      <c r="Q5116" s="7" t="str">
        <f t="shared" si="1849"/>
        <v>教育庁</v>
      </c>
      <c r="R5116" s="7" t="str">
        <f t="shared" si="1858"/>
        <v>牧野高等学校</v>
      </c>
    </row>
    <row r="5117" spans="1:18" s="1" customFormat="1" x14ac:dyDescent="0.45">
      <c r="A5117" s="7" t="str">
        <f t="shared" si="1855"/>
        <v>10403000000</v>
      </c>
      <c r="B5117" s="7" t="str">
        <f t="shared" si="1856"/>
        <v>牧野高等学校</v>
      </c>
      <c r="C5117" s="7" t="str">
        <f t="shared" si="1846"/>
        <v>行政財産</v>
      </c>
      <c r="D5117" s="7" t="str">
        <f t="shared" si="1859"/>
        <v>学校</v>
      </c>
      <c r="E5117" s="7" t="str">
        <f t="shared" si="1857"/>
        <v>大阪府枚方市南船橋１丁目</v>
      </c>
      <c r="F5117" s="7"/>
      <c r="G5117" s="7" t="str">
        <f t="shared" si="1848"/>
        <v>事業用資産</v>
      </c>
      <c r="H5117" s="7" t="str">
        <f t="shared" si="1841"/>
        <v>棚卸以外</v>
      </c>
      <c r="I5117" s="7">
        <v>19</v>
      </c>
      <c r="J5117" s="7" t="str">
        <f>"体育器具庫"</f>
        <v>体育器具庫</v>
      </c>
      <c r="K5117" s="7" t="str">
        <f>"軽量鉄骨造"</f>
        <v>軽量鉄骨造</v>
      </c>
      <c r="L5117" s="7" t="str">
        <f>"S60.01.26"</f>
        <v>S60.01.26</v>
      </c>
      <c r="M5117" s="7">
        <v>54</v>
      </c>
      <c r="N5117" s="7">
        <v>2774902</v>
      </c>
      <c r="O5117" s="7">
        <v>2595327</v>
      </c>
      <c r="P5117" s="7">
        <v>0</v>
      </c>
      <c r="Q5117" s="7" t="str">
        <f t="shared" si="1849"/>
        <v>教育庁</v>
      </c>
      <c r="R5117" s="7" t="str">
        <f t="shared" si="1858"/>
        <v>牧野高等学校</v>
      </c>
    </row>
    <row r="5118" spans="1:18" s="1" customFormat="1" x14ac:dyDescent="0.45">
      <c r="A5118" s="7" t="str">
        <f t="shared" si="1855"/>
        <v>10403000000</v>
      </c>
      <c r="B5118" s="7" t="str">
        <f t="shared" si="1856"/>
        <v>牧野高等学校</v>
      </c>
      <c r="C5118" s="7" t="str">
        <f t="shared" si="1846"/>
        <v>行政財産</v>
      </c>
      <c r="D5118" s="7" t="str">
        <f t="shared" si="1859"/>
        <v>学校</v>
      </c>
      <c r="E5118" s="7" t="str">
        <f t="shared" si="1857"/>
        <v>大阪府枚方市南船橋１丁目</v>
      </c>
      <c r="F5118" s="7"/>
      <c r="G5118" s="7" t="str">
        <f t="shared" si="1848"/>
        <v>事業用資産</v>
      </c>
      <c r="H5118" s="7" t="str">
        <f t="shared" si="1841"/>
        <v>棚卸以外</v>
      </c>
      <c r="I5118" s="7">
        <v>20</v>
      </c>
      <c r="J5118" s="7" t="str">
        <f>"自転車置場（２階コ―ト）"</f>
        <v>自転車置場（２階コ―ト）</v>
      </c>
      <c r="K5118" s="7" t="str">
        <f>"鉄筋コンクリート造"</f>
        <v>鉄筋コンクリート造</v>
      </c>
      <c r="L5118" s="7" t="str">
        <f>"S62.03.25"</f>
        <v>S62.03.25</v>
      </c>
      <c r="M5118" s="7">
        <v>792</v>
      </c>
      <c r="N5118" s="7">
        <v>48655204</v>
      </c>
      <c r="O5118" s="7">
        <v>44161728</v>
      </c>
      <c r="P5118" s="7">
        <v>0</v>
      </c>
      <c r="Q5118" s="7" t="str">
        <f t="shared" si="1849"/>
        <v>教育庁</v>
      </c>
      <c r="R5118" s="7" t="str">
        <f t="shared" si="1858"/>
        <v>牧野高等学校</v>
      </c>
    </row>
    <row r="5119" spans="1:18" s="1" customFormat="1" x14ac:dyDescent="0.45">
      <c r="A5119" s="7" t="str">
        <f t="shared" ref="A5119:A5125" si="1860">"10405000000"</f>
        <v>10405000000</v>
      </c>
      <c r="B5119" s="7" t="str">
        <f t="shared" ref="B5119:B5125" si="1861">"香里丘高等学校"</f>
        <v>香里丘高等学校</v>
      </c>
      <c r="C5119" s="7" t="str">
        <f t="shared" si="1846"/>
        <v>行政財産</v>
      </c>
      <c r="D5119" s="7" t="str">
        <f t="shared" si="1859"/>
        <v>学校</v>
      </c>
      <c r="E5119" s="7" t="str">
        <f t="shared" ref="E5119:E5125" si="1862">"大阪府枚方市東中振２丁目"</f>
        <v>大阪府枚方市東中振２丁目</v>
      </c>
      <c r="F5119" s="7"/>
      <c r="G5119" s="7" t="str">
        <f t="shared" si="1848"/>
        <v>事業用資産</v>
      </c>
      <c r="H5119" s="7" t="str">
        <f t="shared" si="1841"/>
        <v>棚卸以外</v>
      </c>
      <c r="I5119" s="7">
        <v>1</v>
      </c>
      <c r="J5119" s="7" t="str">
        <f>"本館"</f>
        <v>本館</v>
      </c>
      <c r="K5119" s="7" t="str">
        <f>"鉄筋コンクリート造"</f>
        <v>鉄筋コンクリート造</v>
      </c>
      <c r="L5119" s="7" t="str">
        <f>"S55.04.01"</f>
        <v>S55.04.01</v>
      </c>
      <c r="M5119" s="7">
        <v>10958.75</v>
      </c>
      <c r="N5119" s="7">
        <v>1254344227</v>
      </c>
      <c r="O5119" s="7">
        <v>993394092</v>
      </c>
      <c r="P5119" s="7">
        <v>0</v>
      </c>
      <c r="Q5119" s="7" t="str">
        <f t="shared" si="1849"/>
        <v>教育庁</v>
      </c>
      <c r="R5119" s="7" t="str">
        <f t="shared" ref="R5119:R5125" si="1863">"香里丘高等学校"</f>
        <v>香里丘高等学校</v>
      </c>
    </row>
    <row r="5120" spans="1:18" s="1" customFormat="1" x14ac:dyDescent="0.45">
      <c r="A5120" s="7" t="str">
        <f t="shared" si="1860"/>
        <v>10405000000</v>
      </c>
      <c r="B5120" s="7" t="str">
        <f t="shared" si="1861"/>
        <v>香里丘高等学校</v>
      </c>
      <c r="C5120" s="7" t="str">
        <f t="shared" si="1846"/>
        <v>行政財産</v>
      </c>
      <c r="D5120" s="7" t="str">
        <f t="shared" si="1859"/>
        <v>学校</v>
      </c>
      <c r="E5120" s="7" t="str">
        <f t="shared" si="1862"/>
        <v>大阪府枚方市東中振２丁目</v>
      </c>
      <c r="F5120" s="7"/>
      <c r="G5120" s="7" t="str">
        <f t="shared" si="1848"/>
        <v>事業用資産</v>
      </c>
      <c r="H5120" s="7" t="str">
        <f t="shared" si="1841"/>
        <v>棚卸以外</v>
      </c>
      <c r="I5120" s="7">
        <v>2</v>
      </c>
      <c r="J5120" s="7" t="str">
        <f>"倉庫"</f>
        <v>倉庫</v>
      </c>
      <c r="K5120" s="7" t="str">
        <f>"鉄筋コンクリート造"</f>
        <v>鉄筋コンクリート造</v>
      </c>
      <c r="L5120" s="7" t="str">
        <f>"S55.04.14"</f>
        <v>S55.04.14</v>
      </c>
      <c r="M5120" s="7">
        <v>135.35</v>
      </c>
      <c r="N5120" s="7">
        <v>27232000</v>
      </c>
      <c r="O5120" s="7">
        <v>27231999</v>
      </c>
      <c r="P5120" s="7">
        <v>0</v>
      </c>
      <c r="Q5120" s="7" t="str">
        <f t="shared" si="1849"/>
        <v>教育庁</v>
      </c>
      <c r="R5120" s="7" t="str">
        <f t="shared" si="1863"/>
        <v>香里丘高等学校</v>
      </c>
    </row>
    <row r="5121" spans="1:18" s="1" customFormat="1" x14ac:dyDescent="0.45">
      <c r="A5121" s="7" t="str">
        <f t="shared" si="1860"/>
        <v>10405000000</v>
      </c>
      <c r="B5121" s="7" t="str">
        <f t="shared" si="1861"/>
        <v>香里丘高等学校</v>
      </c>
      <c r="C5121" s="7" t="str">
        <f t="shared" si="1846"/>
        <v>行政財産</v>
      </c>
      <c r="D5121" s="7" t="str">
        <f t="shared" si="1859"/>
        <v>学校</v>
      </c>
      <c r="E5121" s="7" t="str">
        <f t="shared" si="1862"/>
        <v>大阪府枚方市東中振２丁目</v>
      </c>
      <c r="F5121" s="7"/>
      <c r="G5121" s="7" t="str">
        <f t="shared" si="1848"/>
        <v>事業用資産</v>
      </c>
      <c r="H5121" s="7" t="str">
        <f t="shared" si="1841"/>
        <v>棚卸以外</v>
      </c>
      <c r="I5121" s="7">
        <v>3</v>
      </c>
      <c r="J5121" s="7" t="str">
        <f>"体育館"</f>
        <v>体育館</v>
      </c>
      <c r="K5121" s="7" t="str">
        <f>"鉄筋コンクリート造"</f>
        <v>鉄筋コンクリート造</v>
      </c>
      <c r="L5121" s="7" t="str">
        <f>"S56.03.31"</f>
        <v>S56.03.31</v>
      </c>
      <c r="M5121" s="7">
        <v>3031.24</v>
      </c>
      <c r="N5121" s="7">
        <v>391806978</v>
      </c>
      <c r="O5121" s="7">
        <v>307504404</v>
      </c>
      <c r="P5121" s="7">
        <v>0</v>
      </c>
      <c r="Q5121" s="7" t="str">
        <f t="shared" si="1849"/>
        <v>教育庁</v>
      </c>
      <c r="R5121" s="7" t="str">
        <f t="shared" si="1863"/>
        <v>香里丘高等学校</v>
      </c>
    </row>
    <row r="5122" spans="1:18" s="1" customFormat="1" x14ac:dyDescent="0.45">
      <c r="A5122" s="7" t="str">
        <f t="shared" si="1860"/>
        <v>10405000000</v>
      </c>
      <c r="B5122" s="7" t="str">
        <f t="shared" si="1861"/>
        <v>香里丘高等学校</v>
      </c>
      <c r="C5122" s="7" t="str">
        <f t="shared" si="1846"/>
        <v>行政財産</v>
      </c>
      <c r="D5122" s="7" t="str">
        <f t="shared" si="1859"/>
        <v>学校</v>
      </c>
      <c r="E5122" s="7" t="str">
        <f t="shared" si="1862"/>
        <v>大阪府枚方市東中振２丁目</v>
      </c>
      <c r="F5122" s="7"/>
      <c r="G5122" s="7" t="str">
        <f t="shared" si="1848"/>
        <v>事業用資産</v>
      </c>
      <c r="H5122" s="7" t="str">
        <f t="shared" si="1841"/>
        <v>棚卸以外</v>
      </c>
      <c r="I5122" s="7">
        <v>4</v>
      </c>
      <c r="J5122" s="7" t="str">
        <f>"プール附属棟"</f>
        <v>プール附属棟</v>
      </c>
      <c r="K5122" s="7" t="str">
        <f>"鉄筋コンクリート造"</f>
        <v>鉄筋コンクリート造</v>
      </c>
      <c r="L5122" s="7" t="str">
        <f>"S56.03.31"</f>
        <v>S56.03.31</v>
      </c>
      <c r="M5122" s="7">
        <v>138</v>
      </c>
      <c r="N5122" s="7">
        <v>27214500</v>
      </c>
      <c r="O5122" s="7">
        <v>27058547</v>
      </c>
      <c r="P5122" s="7">
        <v>0</v>
      </c>
      <c r="Q5122" s="7" t="str">
        <f t="shared" si="1849"/>
        <v>教育庁</v>
      </c>
      <c r="R5122" s="7" t="str">
        <f t="shared" si="1863"/>
        <v>香里丘高等学校</v>
      </c>
    </row>
    <row r="5123" spans="1:18" s="1" customFormat="1" x14ac:dyDescent="0.45">
      <c r="A5123" s="7" t="str">
        <f t="shared" si="1860"/>
        <v>10405000000</v>
      </c>
      <c r="B5123" s="7" t="str">
        <f t="shared" si="1861"/>
        <v>香里丘高等学校</v>
      </c>
      <c r="C5123" s="7" t="str">
        <f t="shared" si="1846"/>
        <v>行政財産</v>
      </c>
      <c r="D5123" s="7" t="str">
        <f t="shared" si="1859"/>
        <v>学校</v>
      </c>
      <c r="E5123" s="7" t="str">
        <f t="shared" si="1862"/>
        <v>大阪府枚方市東中振２丁目</v>
      </c>
      <c r="F5123" s="7"/>
      <c r="G5123" s="7" t="str">
        <f t="shared" si="1848"/>
        <v>事業用資産</v>
      </c>
      <c r="H5123" s="7" t="str">
        <f t="shared" si="1841"/>
        <v>棚卸以外</v>
      </c>
      <c r="I5123" s="7">
        <v>5</v>
      </c>
      <c r="J5123" s="7" t="str">
        <f>"トレーニング室"</f>
        <v>トレーニング室</v>
      </c>
      <c r="K5123" s="7" t="str">
        <f>"軽量鉄骨造"</f>
        <v>軽量鉄骨造</v>
      </c>
      <c r="L5123" s="7" t="str">
        <f>"S56.03.31"</f>
        <v>S56.03.31</v>
      </c>
      <c r="M5123" s="7">
        <v>128.69999999999999</v>
      </c>
      <c r="N5123" s="7">
        <v>5499000</v>
      </c>
      <c r="O5123" s="7">
        <v>5498999</v>
      </c>
      <c r="P5123" s="7">
        <v>0</v>
      </c>
      <c r="Q5123" s="7" t="str">
        <f t="shared" si="1849"/>
        <v>教育庁</v>
      </c>
      <c r="R5123" s="7" t="str">
        <f t="shared" si="1863"/>
        <v>香里丘高等学校</v>
      </c>
    </row>
    <row r="5124" spans="1:18" s="1" customFormat="1" x14ac:dyDescent="0.45">
      <c r="A5124" s="7" t="str">
        <f t="shared" si="1860"/>
        <v>10405000000</v>
      </c>
      <c r="B5124" s="7" t="str">
        <f t="shared" si="1861"/>
        <v>香里丘高等学校</v>
      </c>
      <c r="C5124" s="7" t="str">
        <f t="shared" si="1846"/>
        <v>行政財産</v>
      </c>
      <c r="D5124" s="7" t="str">
        <f t="shared" si="1859"/>
        <v>学校</v>
      </c>
      <c r="E5124" s="7" t="str">
        <f t="shared" si="1862"/>
        <v>大阪府枚方市東中振２丁目</v>
      </c>
      <c r="F5124" s="7"/>
      <c r="G5124" s="7" t="str">
        <f t="shared" si="1848"/>
        <v>事業用資産</v>
      </c>
      <c r="H5124" s="7" t="str">
        <f t="shared" ref="H5124:H5187" si="1864">"棚卸以外"</f>
        <v>棚卸以外</v>
      </c>
      <c r="I5124" s="7">
        <v>6</v>
      </c>
      <c r="J5124" s="7" t="str">
        <f>"体育倉庫"</f>
        <v>体育倉庫</v>
      </c>
      <c r="K5124" s="7" t="str">
        <f>"鉄骨造"</f>
        <v>鉄骨造</v>
      </c>
      <c r="L5124" s="7" t="str">
        <f>"S57.02.27"</f>
        <v>S57.02.27</v>
      </c>
      <c r="M5124" s="7">
        <v>100</v>
      </c>
      <c r="N5124" s="7">
        <v>6636000</v>
      </c>
      <c r="O5124" s="7">
        <v>6635999</v>
      </c>
      <c r="P5124" s="7">
        <v>0</v>
      </c>
      <c r="Q5124" s="7" t="str">
        <f t="shared" si="1849"/>
        <v>教育庁</v>
      </c>
      <c r="R5124" s="7" t="str">
        <f t="shared" si="1863"/>
        <v>香里丘高等学校</v>
      </c>
    </row>
    <row r="5125" spans="1:18" s="1" customFormat="1" x14ac:dyDescent="0.45">
      <c r="A5125" s="7" t="str">
        <f t="shared" si="1860"/>
        <v>10405000000</v>
      </c>
      <c r="B5125" s="7" t="str">
        <f t="shared" si="1861"/>
        <v>香里丘高等学校</v>
      </c>
      <c r="C5125" s="7" t="str">
        <f t="shared" si="1846"/>
        <v>行政財産</v>
      </c>
      <c r="D5125" s="7" t="str">
        <f t="shared" si="1859"/>
        <v>学校</v>
      </c>
      <c r="E5125" s="7" t="str">
        <f t="shared" si="1862"/>
        <v>大阪府枚方市東中振２丁目</v>
      </c>
      <c r="F5125" s="7"/>
      <c r="G5125" s="7" t="str">
        <f t="shared" si="1848"/>
        <v>事業用資産</v>
      </c>
      <c r="H5125" s="7" t="str">
        <f t="shared" si="1864"/>
        <v>棚卸以外</v>
      </c>
      <c r="I5125" s="7">
        <v>7</v>
      </c>
      <c r="J5125" s="7" t="str">
        <f>"石灰倉庫"</f>
        <v>石灰倉庫</v>
      </c>
      <c r="K5125" s="7" t="str">
        <f>"コンクリートブロック造"</f>
        <v>コンクリートブロック造</v>
      </c>
      <c r="L5125" s="7" t="str">
        <f>"S58.03.25"</f>
        <v>S58.03.25</v>
      </c>
      <c r="M5125" s="7">
        <v>4.84</v>
      </c>
      <c r="N5125" s="7">
        <v>571000</v>
      </c>
      <c r="O5125" s="7">
        <v>570999</v>
      </c>
      <c r="P5125" s="7">
        <v>0</v>
      </c>
      <c r="Q5125" s="7" t="str">
        <f t="shared" si="1849"/>
        <v>教育庁</v>
      </c>
      <c r="R5125" s="7" t="str">
        <f t="shared" si="1863"/>
        <v>香里丘高等学校</v>
      </c>
    </row>
    <row r="5126" spans="1:18" s="1" customFormat="1" x14ac:dyDescent="0.45">
      <c r="A5126" s="7" t="str">
        <f t="shared" ref="A5126:A5132" si="1865">"10407000000"</f>
        <v>10407000000</v>
      </c>
      <c r="B5126" s="7" t="str">
        <f t="shared" ref="B5126:B5132" si="1866">"枚方津田高等学校"</f>
        <v>枚方津田高等学校</v>
      </c>
      <c r="C5126" s="7" t="str">
        <f t="shared" si="1846"/>
        <v>行政財産</v>
      </c>
      <c r="D5126" s="7" t="str">
        <f t="shared" si="1859"/>
        <v>学校</v>
      </c>
      <c r="E5126" s="7" t="str">
        <f t="shared" ref="E5126:E5132" si="1867">"大阪府枚方市津田北町２丁目"</f>
        <v>大阪府枚方市津田北町２丁目</v>
      </c>
      <c r="F5126" s="7"/>
      <c r="G5126" s="7" t="str">
        <f t="shared" si="1848"/>
        <v>事業用資産</v>
      </c>
      <c r="H5126" s="7" t="str">
        <f t="shared" si="1864"/>
        <v>棚卸以外</v>
      </c>
      <c r="I5126" s="7">
        <v>1</v>
      </c>
      <c r="J5126" s="7" t="str">
        <f>"汚水処理場"</f>
        <v>汚水処理場</v>
      </c>
      <c r="K5126" s="7" t="str">
        <f>"鉄筋コンクリート造"</f>
        <v>鉄筋コンクリート造</v>
      </c>
      <c r="L5126" s="7" t="str">
        <f>"S61.03.31"</f>
        <v>S61.03.31</v>
      </c>
      <c r="M5126" s="7">
        <v>113.55</v>
      </c>
      <c r="N5126" s="7">
        <v>77543000</v>
      </c>
      <c r="O5126" s="7">
        <v>75502644</v>
      </c>
      <c r="P5126" s="7">
        <v>0</v>
      </c>
      <c r="Q5126" s="7" t="str">
        <f t="shared" si="1849"/>
        <v>教育庁</v>
      </c>
      <c r="R5126" s="7" t="str">
        <f t="shared" ref="R5126:R5132" si="1868">"枚方津田高等学校"</f>
        <v>枚方津田高等学校</v>
      </c>
    </row>
    <row r="5127" spans="1:18" s="1" customFormat="1" x14ac:dyDescent="0.45">
      <c r="A5127" s="7" t="str">
        <f t="shared" si="1865"/>
        <v>10407000000</v>
      </c>
      <c r="B5127" s="7" t="str">
        <f t="shared" si="1866"/>
        <v>枚方津田高等学校</v>
      </c>
      <c r="C5127" s="7" t="str">
        <f t="shared" si="1846"/>
        <v>行政財産</v>
      </c>
      <c r="D5127" s="7" t="str">
        <f t="shared" si="1859"/>
        <v>学校</v>
      </c>
      <c r="E5127" s="7" t="str">
        <f t="shared" si="1867"/>
        <v>大阪府枚方市津田北町２丁目</v>
      </c>
      <c r="F5127" s="7"/>
      <c r="G5127" s="7" t="str">
        <f t="shared" si="1848"/>
        <v>事業用資産</v>
      </c>
      <c r="H5127" s="7" t="str">
        <f t="shared" si="1864"/>
        <v>棚卸以外</v>
      </c>
      <c r="I5127" s="7">
        <v>2</v>
      </c>
      <c r="J5127" s="7" t="str">
        <f>"校舎棟"</f>
        <v>校舎棟</v>
      </c>
      <c r="K5127" s="7" t="str">
        <f>"鉄筋コンクリート造"</f>
        <v>鉄筋コンクリート造</v>
      </c>
      <c r="L5127" s="7" t="str">
        <f>"S61.05.26"</f>
        <v>S61.05.26</v>
      </c>
      <c r="M5127" s="7">
        <v>5436.4</v>
      </c>
      <c r="N5127" s="7">
        <v>784026515</v>
      </c>
      <c r="O5127" s="7">
        <v>578401805</v>
      </c>
      <c r="P5127" s="7">
        <v>0</v>
      </c>
      <c r="Q5127" s="7" t="str">
        <f t="shared" si="1849"/>
        <v>教育庁</v>
      </c>
      <c r="R5127" s="7" t="str">
        <f t="shared" si="1868"/>
        <v>枚方津田高等学校</v>
      </c>
    </row>
    <row r="5128" spans="1:18" s="1" customFormat="1" x14ac:dyDescent="0.45">
      <c r="A5128" s="7" t="str">
        <f t="shared" si="1865"/>
        <v>10407000000</v>
      </c>
      <c r="B5128" s="7" t="str">
        <f t="shared" si="1866"/>
        <v>枚方津田高等学校</v>
      </c>
      <c r="C5128" s="7" t="str">
        <f t="shared" si="1846"/>
        <v>行政財産</v>
      </c>
      <c r="D5128" s="7" t="str">
        <f t="shared" si="1859"/>
        <v>学校</v>
      </c>
      <c r="E5128" s="7" t="str">
        <f t="shared" si="1867"/>
        <v>大阪府枚方市津田北町２丁目</v>
      </c>
      <c r="F5128" s="7"/>
      <c r="G5128" s="7" t="str">
        <f t="shared" si="1848"/>
        <v>事業用資産</v>
      </c>
      <c r="H5128" s="7" t="str">
        <f t="shared" si="1864"/>
        <v>棚卸以外</v>
      </c>
      <c r="I5128" s="7">
        <v>3</v>
      </c>
      <c r="J5128" s="7" t="str">
        <f>"プール附属室"</f>
        <v>プール附属室</v>
      </c>
      <c r="K5128" s="7" t="str">
        <f>"鉄筋コンクリート造"</f>
        <v>鉄筋コンクリート造</v>
      </c>
      <c r="L5128" s="7" t="str">
        <f>"S61.07.31"</f>
        <v>S61.07.31</v>
      </c>
      <c r="M5128" s="7">
        <v>138.91999999999999</v>
      </c>
      <c r="N5128" s="7">
        <v>43800868</v>
      </c>
      <c r="O5128" s="7">
        <v>33987360</v>
      </c>
      <c r="P5128" s="7">
        <v>0</v>
      </c>
      <c r="Q5128" s="7" t="str">
        <f t="shared" si="1849"/>
        <v>教育庁</v>
      </c>
      <c r="R5128" s="7" t="str">
        <f t="shared" si="1868"/>
        <v>枚方津田高等学校</v>
      </c>
    </row>
    <row r="5129" spans="1:18" s="1" customFormat="1" x14ac:dyDescent="0.45">
      <c r="A5129" s="7" t="str">
        <f t="shared" si="1865"/>
        <v>10407000000</v>
      </c>
      <c r="B5129" s="7" t="str">
        <f t="shared" si="1866"/>
        <v>枚方津田高等学校</v>
      </c>
      <c r="C5129" s="7" t="str">
        <f t="shared" si="1846"/>
        <v>行政財産</v>
      </c>
      <c r="D5129" s="7" t="str">
        <f t="shared" si="1859"/>
        <v>学校</v>
      </c>
      <c r="E5129" s="7" t="str">
        <f t="shared" si="1867"/>
        <v>大阪府枚方市津田北町２丁目</v>
      </c>
      <c r="F5129" s="7"/>
      <c r="G5129" s="7" t="str">
        <f t="shared" si="1848"/>
        <v>事業用資産</v>
      </c>
      <c r="H5129" s="7" t="str">
        <f t="shared" si="1864"/>
        <v>棚卸以外</v>
      </c>
      <c r="I5129" s="7">
        <v>4</v>
      </c>
      <c r="J5129" s="7" t="str">
        <f>"体育館"</f>
        <v>体育館</v>
      </c>
      <c r="K5129" s="7" t="str">
        <f>"鉄筋コンクリート造"</f>
        <v>鉄筋コンクリート造</v>
      </c>
      <c r="L5129" s="7" t="str">
        <f>"S61.11.28"</f>
        <v>S61.11.28</v>
      </c>
      <c r="M5129" s="7">
        <v>3254</v>
      </c>
      <c r="N5129" s="7">
        <v>410302829</v>
      </c>
      <c r="O5129" s="7">
        <v>307010489</v>
      </c>
      <c r="P5129" s="7">
        <v>0</v>
      </c>
      <c r="Q5129" s="7" t="str">
        <f t="shared" si="1849"/>
        <v>教育庁</v>
      </c>
      <c r="R5129" s="7" t="str">
        <f t="shared" si="1868"/>
        <v>枚方津田高等学校</v>
      </c>
    </row>
    <row r="5130" spans="1:18" s="1" customFormat="1" x14ac:dyDescent="0.45">
      <c r="A5130" s="7" t="str">
        <f t="shared" si="1865"/>
        <v>10407000000</v>
      </c>
      <c r="B5130" s="7" t="str">
        <f t="shared" si="1866"/>
        <v>枚方津田高等学校</v>
      </c>
      <c r="C5130" s="7" t="str">
        <f t="shared" si="1846"/>
        <v>行政財産</v>
      </c>
      <c r="D5130" s="7" t="str">
        <f t="shared" si="1859"/>
        <v>学校</v>
      </c>
      <c r="E5130" s="7" t="str">
        <f t="shared" si="1867"/>
        <v>大阪府枚方市津田北町２丁目</v>
      </c>
      <c r="F5130" s="7"/>
      <c r="G5130" s="7" t="str">
        <f t="shared" si="1848"/>
        <v>事業用資産</v>
      </c>
      <c r="H5130" s="7" t="str">
        <f t="shared" si="1864"/>
        <v>棚卸以外</v>
      </c>
      <c r="I5130" s="7">
        <v>5</v>
      </c>
      <c r="J5130" s="7" t="str">
        <f>"校舎棟"</f>
        <v>校舎棟</v>
      </c>
      <c r="K5130" s="7" t="str">
        <f>"鉄筋コンクリート造"</f>
        <v>鉄筋コンクリート造</v>
      </c>
      <c r="L5130" s="7" t="str">
        <f>"S62.02.27"</f>
        <v>S62.02.27</v>
      </c>
      <c r="M5130" s="7">
        <v>6204.08</v>
      </c>
      <c r="N5130" s="7">
        <v>743702888</v>
      </c>
      <c r="O5130" s="7">
        <v>570343285</v>
      </c>
      <c r="P5130" s="7">
        <v>0</v>
      </c>
      <c r="Q5130" s="7" t="str">
        <f t="shared" si="1849"/>
        <v>教育庁</v>
      </c>
      <c r="R5130" s="7" t="str">
        <f t="shared" si="1868"/>
        <v>枚方津田高等学校</v>
      </c>
    </row>
    <row r="5131" spans="1:18" s="1" customFormat="1" x14ac:dyDescent="0.45">
      <c r="A5131" s="7" t="str">
        <f t="shared" si="1865"/>
        <v>10407000000</v>
      </c>
      <c r="B5131" s="7" t="str">
        <f t="shared" si="1866"/>
        <v>枚方津田高等学校</v>
      </c>
      <c r="C5131" s="7" t="str">
        <f t="shared" si="1846"/>
        <v>行政財産</v>
      </c>
      <c r="D5131" s="7" t="str">
        <f t="shared" si="1859"/>
        <v>学校</v>
      </c>
      <c r="E5131" s="7" t="str">
        <f t="shared" si="1867"/>
        <v>大阪府枚方市津田北町２丁目</v>
      </c>
      <c r="F5131" s="7"/>
      <c r="G5131" s="7" t="str">
        <f t="shared" si="1848"/>
        <v>事業用資産</v>
      </c>
      <c r="H5131" s="7" t="str">
        <f t="shared" si="1864"/>
        <v>棚卸以外</v>
      </c>
      <c r="I5131" s="7">
        <v>6</v>
      </c>
      <c r="J5131" s="7" t="str">
        <f>"倉庫棟"</f>
        <v>倉庫棟</v>
      </c>
      <c r="K5131" s="7" t="str">
        <f>"鉄骨造"</f>
        <v>鉄骨造</v>
      </c>
      <c r="L5131" s="7" t="str">
        <f>"S62.03.25"</f>
        <v>S62.03.25</v>
      </c>
      <c r="M5131" s="7">
        <v>100</v>
      </c>
      <c r="N5131" s="7">
        <v>11339000</v>
      </c>
      <c r="O5131" s="7">
        <v>11338999</v>
      </c>
      <c r="P5131" s="7">
        <v>0</v>
      </c>
      <c r="Q5131" s="7" t="str">
        <f t="shared" si="1849"/>
        <v>教育庁</v>
      </c>
      <c r="R5131" s="7" t="str">
        <f t="shared" si="1868"/>
        <v>枚方津田高等学校</v>
      </c>
    </row>
    <row r="5132" spans="1:18" s="1" customFormat="1" x14ac:dyDescent="0.45">
      <c r="A5132" s="7" t="str">
        <f t="shared" si="1865"/>
        <v>10407000000</v>
      </c>
      <c r="B5132" s="7" t="str">
        <f t="shared" si="1866"/>
        <v>枚方津田高等学校</v>
      </c>
      <c r="C5132" s="7" t="str">
        <f t="shared" si="1846"/>
        <v>行政財産</v>
      </c>
      <c r="D5132" s="7" t="str">
        <f t="shared" si="1859"/>
        <v>学校</v>
      </c>
      <c r="E5132" s="7" t="str">
        <f t="shared" si="1867"/>
        <v>大阪府枚方市津田北町２丁目</v>
      </c>
      <c r="F5132" s="7"/>
      <c r="G5132" s="7" t="str">
        <f t="shared" si="1848"/>
        <v>事業用資産</v>
      </c>
      <c r="H5132" s="7" t="str">
        <f t="shared" si="1864"/>
        <v>棚卸以外</v>
      </c>
      <c r="I5132" s="7">
        <v>7</v>
      </c>
      <c r="J5132" s="7" t="str">
        <f>"石灰倉庫"</f>
        <v>石灰倉庫</v>
      </c>
      <c r="K5132" s="7" t="str">
        <f>"コンクリートブロック造"</f>
        <v>コンクリートブロック造</v>
      </c>
      <c r="L5132" s="7" t="str">
        <f>"S62.10.26"</f>
        <v>S62.10.26</v>
      </c>
      <c r="M5132" s="7">
        <v>4.84</v>
      </c>
      <c r="N5132" s="7">
        <v>574000</v>
      </c>
      <c r="O5132" s="7">
        <v>573999</v>
      </c>
      <c r="P5132" s="7">
        <v>0</v>
      </c>
      <c r="Q5132" s="7" t="str">
        <f t="shared" si="1849"/>
        <v>教育庁</v>
      </c>
      <c r="R5132" s="7" t="str">
        <f t="shared" si="1868"/>
        <v>枚方津田高等学校</v>
      </c>
    </row>
    <row r="5133" spans="1:18" s="1" customFormat="1" x14ac:dyDescent="0.45">
      <c r="A5133" s="7" t="str">
        <f t="shared" ref="A5133:A5138" si="1869">"10410000000"</f>
        <v>10410000000</v>
      </c>
      <c r="B5133" s="7" t="str">
        <f t="shared" ref="B5133:B5138" si="1870">"大阪府立守口東高等学校"</f>
        <v>大阪府立守口東高等学校</v>
      </c>
      <c r="C5133" s="7" t="str">
        <f t="shared" ref="C5133:C5196" si="1871">"行政財産"</f>
        <v>行政財産</v>
      </c>
      <c r="D5133" s="7" t="str">
        <f t="shared" si="1859"/>
        <v>学校</v>
      </c>
      <c r="E5133" s="7" t="str">
        <f t="shared" ref="E5133:E5138" si="1872">"大阪府守口市八雲中町２丁目"</f>
        <v>大阪府守口市八雲中町２丁目</v>
      </c>
      <c r="F5133" s="7"/>
      <c r="G5133" s="7" t="str">
        <f t="shared" si="1848"/>
        <v>事業用資産</v>
      </c>
      <c r="H5133" s="7" t="str">
        <f t="shared" si="1864"/>
        <v>棚卸以外</v>
      </c>
      <c r="I5133" s="7">
        <v>1</v>
      </c>
      <c r="J5133" s="7" t="str">
        <f>"校舎棟"</f>
        <v>校舎棟</v>
      </c>
      <c r="K5133" s="7" t="str">
        <f>"鉄筋コンクリート造"</f>
        <v>鉄筋コンクリート造</v>
      </c>
      <c r="L5133" s="7" t="str">
        <f>"S58.03.25"</f>
        <v>S58.03.25</v>
      </c>
      <c r="M5133" s="7">
        <v>10833.22</v>
      </c>
      <c r="N5133" s="7">
        <v>1499984880</v>
      </c>
      <c r="O5133" s="7">
        <v>1129456774</v>
      </c>
      <c r="P5133" s="7">
        <v>0</v>
      </c>
      <c r="Q5133" s="7" t="str">
        <f t="shared" si="1849"/>
        <v>教育庁</v>
      </c>
      <c r="R5133" s="7" t="str">
        <f t="shared" ref="R5133:R5138" si="1873">"守口東高等学校"</f>
        <v>守口東高等学校</v>
      </c>
    </row>
    <row r="5134" spans="1:18" s="1" customFormat="1" x14ac:dyDescent="0.45">
      <c r="A5134" s="7" t="str">
        <f t="shared" si="1869"/>
        <v>10410000000</v>
      </c>
      <c r="B5134" s="7" t="str">
        <f t="shared" si="1870"/>
        <v>大阪府立守口東高等学校</v>
      </c>
      <c r="C5134" s="7" t="str">
        <f t="shared" si="1871"/>
        <v>行政財産</v>
      </c>
      <c r="D5134" s="7" t="str">
        <f t="shared" si="1859"/>
        <v>学校</v>
      </c>
      <c r="E5134" s="7" t="str">
        <f t="shared" si="1872"/>
        <v>大阪府守口市八雲中町２丁目</v>
      </c>
      <c r="F5134" s="7"/>
      <c r="G5134" s="7" t="str">
        <f t="shared" si="1848"/>
        <v>事業用資産</v>
      </c>
      <c r="H5134" s="7" t="str">
        <f t="shared" si="1864"/>
        <v>棚卸以外</v>
      </c>
      <c r="I5134" s="7">
        <v>2</v>
      </c>
      <c r="J5134" s="7" t="str">
        <f>"倉庫"</f>
        <v>倉庫</v>
      </c>
      <c r="K5134" s="7" t="str">
        <f>"鉄骨造"</f>
        <v>鉄骨造</v>
      </c>
      <c r="L5134" s="7" t="str">
        <f>"S58.03.31"</f>
        <v>S58.03.31</v>
      </c>
      <c r="M5134" s="7">
        <v>100</v>
      </c>
      <c r="N5134" s="7">
        <v>9399000</v>
      </c>
      <c r="O5134" s="7">
        <v>9398999</v>
      </c>
      <c r="P5134" s="7">
        <v>0</v>
      </c>
      <c r="Q5134" s="7" t="str">
        <f t="shared" si="1849"/>
        <v>教育庁</v>
      </c>
      <c r="R5134" s="7" t="str">
        <f t="shared" si="1873"/>
        <v>守口東高等学校</v>
      </c>
    </row>
    <row r="5135" spans="1:18" s="1" customFormat="1" x14ac:dyDescent="0.45">
      <c r="A5135" s="7" t="str">
        <f t="shared" si="1869"/>
        <v>10410000000</v>
      </c>
      <c r="B5135" s="7" t="str">
        <f t="shared" si="1870"/>
        <v>大阪府立守口東高等学校</v>
      </c>
      <c r="C5135" s="7" t="str">
        <f t="shared" si="1871"/>
        <v>行政財産</v>
      </c>
      <c r="D5135" s="7" t="str">
        <f t="shared" si="1859"/>
        <v>学校</v>
      </c>
      <c r="E5135" s="7" t="str">
        <f t="shared" si="1872"/>
        <v>大阪府守口市八雲中町２丁目</v>
      </c>
      <c r="F5135" s="7"/>
      <c r="G5135" s="7" t="str">
        <f t="shared" si="1848"/>
        <v>事業用資産</v>
      </c>
      <c r="H5135" s="7" t="str">
        <f t="shared" si="1864"/>
        <v>棚卸以外</v>
      </c>
      <c r="I5135" s="7">
        <v>3</v>
      </c>
      <c r="J5135" s="7" t="str">
        <f>"ごみ置場"</f>
        <v>ごみ置場</v>
      </c>
      <c r="K5135" s="7" t="str">
        <f>"鉄筋コンクリート造"</f>
        <v>鉄筋コンクリート造</v>
      </c>
      <c r="L5135" s="7" t="str">
        <f>"S58.03.31"</f>
        <v>S58.03.31</v>
      </c>
      <c r="M5135" s="7">
        <v>8.7200000000000006</v>
      </c>
      <c r="N5135" s="7">
        <v>943000</v>
      </c>
      <c r="O5135" s="7">
        <v>942999</v>
      </c>
      <c r="P5135" s="7">
        <v>0</v>
      </c>
      <c r="Q5135" s="7" t="str">
        <f t="shared" si="1849"/>
        <v>教育庁</v>
      </c>
      <c r="R5135" s="7" t="str">
        <f t="shared" si="1873"/>
        <v>守口東高等学校</v>
      </c>
    </row>
    <row r="5136" spans="1:18" s="1" customFormat="1" x14ac:dyDescent="0.45">
      <c r="A5136" s="7" t="str">
        <f t="shared" si="1869"/>
        <v>10410000000</v>
      </c>
      <c r="B5136" s="7" t="str">
        <f t="shared" si="1870"/>
        <v>大阪府立守口東高等学校</v>
      </c>
      <c r="C5136" s="7" t="str">
        <f t="shared" si="1871"/>
        <v>行政財産</v>
      </c>
      <c r="D5136" s="7" t="str">
        <f t="shared" si="1859"/>
        <v>学校</v>
      </c>
      <c r="E5136" s="7" t="str">
        <f t="shared" si="1872"/>
        <v>大阪府守口市八雲中町２丁目</v>
      </c>
      <c r="F5136" s="7"/>
      <c r="G5136" s="7" t="str">
        <f t="shared" si="1848"/>
        <v>事業用資産</v>
      </c>
      <c r="H5136" s="7" t="str">
        <f t="shared" si="1864"/>
        <v>棚卸以外</v>
      </c>
      <c r="I5136" s="7">
        <v>4</v>
      </c>
      <c r="J5136" s="7" t="str">
        <f>"体育館"</f>
        <v>体育館</v>
      </c>
      <c r="K5136" s="7" t="str">
        <f>"鉄筋コンクリート造"</f>
        <v>鉄筋コンクリート造</v>
      </c>
      <c r="L5136" s="7" t="str">
        <f>"S59.01.10"</f>
        <v>S59.01.10</v>
      </c>
      <c r="M5136" s="7">
        <v>3031.67</v>
      </c>
      <c r="N5136" s="7">
        <v>497326065</v>
      </c>
      <c r="O5136" s="7">
        <v>354454512</v>
      </c>
      <c r="P5136" s="7">
        <v>0</v>
      </c>
      <c r="Q5136" s="7" t="str">
        <f t="shared" si="1849"/>
        <v>教育庁</v>
      </c>
      <c r="R5136" s="7" t="str">
        <f t="shared" si="1873"/>
        <v>守口東高等学校</v>
      </c>
    </row>
    <row r="5137" spans="1:18" s="1" customFormat="1" x14ac:dyDescent="0.45">
      <c r="A5137" s="7" t="str">
        <f t="shared" si="1869"/>
        <v>10410000000</v>
      </c>
      <c r="B5137" s="7" t="str">
        <f t="shared" si="1870"/>
        <v>大阪府立守口東高等学校</v>
      </c>
      <c r="C5137" s="7" t="str">
        <f t="shared" si="1871"/>
        <v>行政財産</v>
      </c>
      <c r="D5137" s="7" t="str">
        <f t="shared" si="1859"/>
        <v>学校</v>
      </c>
      <c r="E5137" s="7" t="str">
        <f t="shared" si="1872"/>
        <v>大阪府守口市八雲中町２丁目</v>
      </c>
      <c r="F5137" s="7"/>
      <c r="G5137" s="7" t="str">
        <f t="shared" si="1848"/>
        <v>事業用資産</v>
      </c>
      <c r="H5137" s="7" t="str">
        <f t="shared" si="1864"/>
        <v>棚卸以外</v>
      </c>
      <c r="I5137" s="7">
        <v>5</v>
      </c>
      <c r="J5137" s="7" t="str">
        <f>"プ－ル附属棟"</f>
        <v>プ－ル附属棟</v>
      </c>
      <c r="K5137" s="7" t="str">
        <f>"鉄筋コンクリート造"</f>
        <v>鉄筋コンクリート造</v>
      </c>
      <c r="L5137" s="7" t="str">
        <f>"S59.03.31"</f>
        <v>S59.03.31</v>
      </c>
      <c r="M5137" s="7">
        <v>138</v>
      </c>
      <c r="N5137" s="7">
        <v>35089207</v>
      </c>
      <c r="O5137" s="7">
        <v>29029227</v>
      </c>
      <c r="P5137" s="7">
        <v>0</v>
      </c>
      <c r="Q5137" s="7" t="str">
        <f t="shared" si="1849"/>
        <v>教育庁</v>
      </c>
      <c r="R5137" s="7" t="str">
        <f t="shared" si="1873"/>
        <v>守口東高等学校</v>
      </c>
    </row>
    <row r="5138" spans="1:18" s="1" customFormat="1" x14ac:dyDescent="0.45">
      <c r="A5138" s="7" t="str">
        <f t="shared" si="1869"/>
        <v>10410000000</v>
      </c>
      <c r="B5138" s="7" t="str">
        <f t="shared" si="1870"/>
        <v>大阪府立守口東高等学校</v>
      </c>
      <c r="C5138" s="7" t="str">
        <f t="shared" si="1871"/>
        <v>行政財産</v>
      </c>
      <c r="D5138" s="7" t="str">
        <f t="shared" si="1859"/>
        <v>学校</v>
      </c>
      <c r="E5138" s="7" t="str">
        <f t="shared" si="1872"/>
        <v>大阪府守口市八雲中町２丁目</v>
      </c>
      <c r="F5138" s="7"/>
      <c r="G5138" s="7" t="str">
        <f t="shared" si="1848"/>
        <v>事業用資産</v>
      </c>
      <c r="H5138" s="7" t="str">
        <f t="shared" si="1864"/>
        <v>棚卸以外</v>
      </c>
      <c r="I5138" s="7">
        <v>6</v>
      </c>
      <c r="J5138" s="7" t="str">
        <f>"倉庫"</f>
        <v>倉庫</v>
      </c>
      <c r="K5138" s="7" t="str">
        <f>"鉄骨造"</f>
        <v>鉄骨造</v>
      </c>
      <c r="L5138" s="7" t="str">
        <f>"S59.03.31"</f>
        <v>S59.03.31</v>
      </c>
      <c r="M5138" s="7">
        <v>100</v>
      </c>
      <c r="N5138" s="7">
        <v>7677000</v>
      </c>
      <c r="O5138" s="7">
        <v>7676999</v>
      </c>
      <c r="P5138" s="7">
        <v>0</v>
      </c>
      <c r="Q5138" s="7" t="str">
        <f t="shared" si="1849"/>
        <v>教育庁</v>
      </c>
      <c r="R5138" s="7" t="str">
        <f t="shared" si="1873"/>
        <v>守口東高等学校</v>
      </c>
    </row>
    <row r="5139" spans="1:18" s="1" customFormat="1" x14ac:dyDescent="0.45">
      <c r="A5139" s="7" t="str">
        <f t="shared" ref="A5139:A5145" si="1874">"10411000100"</f>
        <v>10411000100</v>
      </c>
      <c r="B5139" s="7" t="str">
        <f t="shared" ref="B5139:B5145" si="1875">"門真西高等学校"</f>
        <v>門真西高等学校</v>
      </c>
      <c r="C5139" s="7" t="str">
        <f t="shared" si="1871"/>
        <v>行政財産</v>
      </c>
      <c r="D5139" s="7" t="str">
        <f t="shared" si="1859"/>
        <v>学校</v>
      </c>
      <c r="E5139" s="7" t="str">
        <f t="shared" ref="E5139:E5145" si="1876">"大阪府門真市柳田町"</f>
        <v>大阪府門真市柳田町</v>
      </c>
      <c r="F5139" s="7"/>
      <c r="G5139" s="7" t="str">
        <f t="shared" si="1848"/>
        <v>事業用資産</v>
      </c>
      <c r="H5139" s="7" t="str">
        <f t="shared" si="1864"/>
        <v>棚卸以外</v>
      </c>
      <c r="I5139" s="7">
        <v>1</v>
      </c>
      <c r="J5139" s="7" t="str">
        <f>"校舎棟"</f>
        <v>校舎棟</v>
      </c>
      <c r="K5139" s="7" t="str">
        <f>"鉄筋コンクリート造"</f>
        <v>鉄筋コンクリート造</v>
      </c>
      <c r="L5139" s="7" t="str">
        <f>"S52.05.31"</f>
        <v>S52.05.31</v>
      </c>
      <c r="M5139" s="7">
        <v>10959.97</v>
      </c>
      <c r="N5139" s="7">
        <v>1385056955</v>
      </c>
      <c r="O5139" s="7">
        <v>1154863365</v>
      </c>
      <c r="P5139" s="7">
        <v>0</v>
      </c>
      <c r="Q5139" s="7" t="str">
        <f t="shared" si="1849"/>
        <v>教育庁</v>
      </c>
      <c r="R5139" s="7" t="str">
        <f t="shared" ref="R5139:R5145" si="1877">"門真西高等学校"</f>
        <v>門真西高等学校</v>
      </c>
    </row>
    <row r="5140" spans="1:18" s="1" customFormat="1" x14ac:dyDescent="0.45">
      <c r="A5140" s="7" t="str">
        <f t="shared" si="1874"/>
        <v>10411000100</v>
      </c>
      <c r="B5140" s="7" t="str">
        <f t="shared" si="1875"/>
        <v>門真西高等学校</v>
      </c>
      <c r="C5140" s="7" t="str">
        <f t="shared" si="1871"/>
        <v>行政財産</v>
      </c>
      <c r="D5140" s="7" t="str">
        <f t="shared" si="1859"/>
        <v>学校</v>
      </c>
      <c r="E5140" s="7" t="str">
        <f t="shared" si="1876"/>
        <v>大阪府門真市柳田町</v>
      </c>
      <c r="F5140" s="7"/>
      <c r="G5140" s="7" t="str">
        <f t="shared" si="1848"/>
        <v>事業用資産</v>
      </c>
      <c r="H5140" s="7" t="str">
        <f t="shared" si="1864"/>
        <v>棚卸以外</v>
      </c>
      <c r="I5140" s="7">
        <v>2</v>
      </c>
      <c r="J5140" s="7" t="str">
        <f>"倉庫"</f>
        <v>倉庫</v>
      </c>
      <c r="K5140" s="7" t="str">
        <f>"鉄骨造"</f>
        <v>鉄骨造</v>
      </c>
      <c r="L5140" s="7" t="str">
        <f>"S52.05.31"</f>
        <v>S52.05.31</v>
      </c>
      <c r="M5140" s="7">
        <v>100</v>
      </c>
      <c r="N5140" s="7">
        <v>6285000</v>
      </c>
      <c r="O5140" s="7">
        <v>6284999</v>
      </c>
      <c r="P5140" s="7">
        <v>0</v>
      </c>
      <c r="Q5140" s="7" t="str">
        <f t="shared" si="1849"/>
        <v>教育庁</v>
      </c>
      <c r="R5140" s="7" t="str">
        <f t="shared" si="1877"/>
        <v>門真西高等学校</v>
      </c>
    </row>
    <row r="5141" spans="1:18" s="1" customFormat="1" x14ac:dyDescent="0.45">
      <c r="A5141" s="7" t="str">
        <f t="shared" si="1874"/>
        <v>10411000100</v>
      </c>
      <c r="B5141" s="7" t="str">
        <f t="shared" si="1875"/>
        <v>門真西高等学校</v>
      </c>
      <c r="C5141" s="7" t="str">
        <f t="shared" si="1871"/>
        <v>行政財産</v>
      </c>
      <c r="D5141" s="7" t="str">
        <f t="shared" si="1859"/>
        <v>学校</v>
      </c>
      <c r="E5141" s="7" t="str">
        <f t="shared" si="1876"/>
        <v>大阪府門真市柳田町</v>
      </c>
      <c r="F5141" s="7"/>
      <c r="G5141" s="7" t="str">
        <f t="shared" si="1848"/>
        <v>事業用資産</v>
      </c>
      <c r="H5141" s="7" t="str">
        <f t="shared" si="1864"/>
        <v>棚卸以外</v>
      </c>
      <c r="I5141" s="7">
        <v>4</v>
      </c>
      <c r="J5141" s="7" t="str">
        <f>"附属棟"</f>
        <v>附属棟</v>
      </c>
      <c r="K5141" s="7" t="str">
        <f>"鉄筋コンクリート造"</f>
        <v>鉄筋コンクリート造</v>
      </c>
      <c r="L5141" s="7" t="str">
        <f>"S53.06.30"</f>
        <v>S53.06.30</v>
      </c>
      <c r="M5141" s="7">
        <v>138</v>
      </c>
      <c r="N5141" s="7">
        <v>32796306</v>
      </c>
      <c r="O5141" s="7">
        <v>30627204</v>
      </c>
      <c r="P5141" s="7">
        <v>0</v>
      </c>
      <c r="Q5141" s="7" t="str">
        <f t="shared" si="1849"/>
        <v>教育庁</v>
      </c>
      <c r="R5141" s="7" t="str">
        <f t="shared" si="1877"/>
        <v>門真西高等学校</v>
      </c>
    </row>
    <row r="5142" spans="1:18" s="1" customFormat="1" x14ac:dyDescent="0.45">
      <c r="A5142" s="7" t="str">
        <f t="shared" si="1874"/>
        <v>10411000100</v>
      </c>
      <c r="B5142" s="7" t="str">
        <f t="shared" si="1875"/>
        <v>門真西高等学校</v>
      </c>
      <c r="C5142" s="7" t="str">
        <f t="shared" si="1871"/>
        <v>行政財産</v>
      </c>
      <c r="D5142" s="7" t="str">
        <f t="shared" si="1859"/>
        <v>学校</v>
      </c>
      <c r="E5142" s="7" t="str">
        <f t="shared" si="1876"/>
        <v>大阪府門真市柳田町</v>
      </c>
      <c r="F5142" s="7"/>
      <c r="G5142" s="7" t="str">
        <f t="shared" si="1848"/>
        <v>事業用資産</v>
      </c>
      <c r="H5142" s="7" t="str">
        <f t="shared" si="1864"/>
        <v>棚卸以外</v>
      </c>
      <c r="I5142" s="7">
        <v>5</v>
      </c>
      <c r="J5142" s="7" t="str">
        <f>"体育館"</f>
        <v>体育館</v>
      </c>
      <c r="K5142" s="7" t="str">
        <f>"鉄筋コンクリート造"</f>
        <v>鉄筋コンクリート造</v>
      </c>
      <c r="L5142" s="7" t="str">
        <f>"S53.08.31"</f>
        <v>S53.08.31</v>
      </c>
      <c r="M5142" s="7">
        <v>3031.24</v>
      </c>
      <c r="N5142" s="7">
        <v>423061180</v>
      </c>
      <c r="O5142" s="7">
        <v>337199457</v>
      </c>
      <c r="P5142" s="7">
        <v>0</v>
      </c>
      <c r="Q5142" s="7" t="str">
        <f t="shared" si="1849"/>
        <v>教育庁</v>
      </c>
      <c r="R5142" s="7" t="str">
        <f t="shared" si="1877"/>
        <v>門真西高等学校</v>
      </c>
    </row>
    <row r="5143" spans="1:18" s="1" customFormat="1" x14ac:dyDescent="0.45">
      <c r="A5143" s="7" t="str">
        <f t="shared" si="1874"/>
        <v>10411000100</v>
      </c>
      <c r="B5143" s="7" t="str">
        <f t="shared" si="1875"/>
        <v>門真西高等学校</v>
      </c>
      <c r="C5143" s="7" t="str">
        <f t="shared" si="1871"/>
        <v>行政財産</v>
      </c>
      <c r="D5143" s="7" t="str">
        <f t="shared" si="1859"/>
        <v>学校</v>
      </c>
      <c r="E5143" s="7" t="str">
        <f t="shared" si="1876"/>
        <v>大阪府門真市柳田町</v>
      </c>
      <c r="F5143" s="7"/>
      <c r="G5143" s="7" t="str">
        <f t="shared" ref="G5143:G5206" si="1878">"事業用資産"</f>
        <v>事業用資産</v>
      </c>
      <c r="H5143" s="7" t="str">
        <f t="shared" si="1864"/>
        <v>棚卸以外</v>
      </c>
      <c r="I5143" s="7">
        <v>6</v>
      </c>
      <c r="J5143" s="7" t="str">
        <f>"渡り廊下"</f>
        <v>渡り廊下</v>
      </c>
      <c r="K5143" s="7" t="str">
        <f>"鉄骨造"</f>
        <v>鉄骨造</v>
      </c>
      <c r="L5143" s="7" t="str">
        <f>"S53.08.31"</f>
        <v>S53.08.31</v>
      </c>
      <c r="M5143" s="7">
        <v>201.68</v>
      </c>
      <c r="N5143" s="7">
        <v>21134089</v>
      </c>
      <c r="O5143" s="7">
        <v>21134087</v>
      </c>
      <c r="P5143" s="7">
        <v>0</v>
      </c>
      <c r="Q5143" s="7" t="str">
        <f t="shared" si="1849"/>
        <v>教育庁</v>
      </c>
      <c r="R5143" s="7" t="str">
        <f t="shared" si="1877"/>
        <v>門真西高等学校</v>
      </c>
    </row>
    <row r="5144" spans="1:18" s="1" customFormat="1" x14ac:dyDescent="0.45">
      <c r="A5144" s="7" t="str">
        <f t="shared" si="1874"/>
        <v>10411000100</v>
      </c>
      <c r="B5144" s="7" t="str">
        <f t="shared" si="1875"/>
        <v>門真西高等学校</v>
      </c>
      <c r="C5144" s="7" t="str">
        <f t="shared" si="1871"/>
        <v>行政財産</v>
      </c>
      <c r="D5144" s="7" t="str">
        <f t="shared" si="1859"/>
        <v>学校</v>
      </c>
      <c r="E5144" s="7" t="str">
        <f t="shared" si="1876"/>
        <v>大阪府門真市柳田町</v>
      </c>
      <c r="F5144" s="7"/>
      <c r="G5144" s="7" t="str">
        <f t="shared" si="1878"/>
        <v>事業用資産</v>
      </c>
      <c r="H5144" s="7" t="str">
        <f t="shared" si="1864"/>
        <v>棚卸以外</v>
      </c>
      <c r="I5144" s="7">
        <v>7</v>
      </c>
      <c r="J5144" s="7" t="str">
        <f>"倉庫"</f>
        <v>倉庫</v>
      </c>
      <c r="K5144" s="7" t="str">
        <f>"鉄骨造"</f>
        <v>鉄骨造</v>
      </c>
      <c r="L5144" s="7" t="str">
        <f>"S54.03.31"</f>
        <v>S54.03.31</v>
      </c>
      <c r="M5144" s="7">
        <v>100</v>
      </c>
      <c r="N5144" s="7">
        <v>7331000</v>
      </c>
      <c r="O5144" s="7">
        <v>7330999</v>
      </c>
      <c r="P5144" s="7">
        <v>0</v>
      </c>
      <c r="Q5144" s="7" t="str">
        <f t="shared" si="1849"/>
        <v>教育庁</v>
      </c>
      <c r="R5144" s="7" t="str">
        <f t="shared" si="1877"/>
        <v>門真西高等学校</v>
      </c>
    </row>
    <row r="5145" spans="1:18" s="1" customFormat="1" x14ac:dyDescent="0.45">
      <c r="A5145" s="7" t="str">
        <f t="shared" si="1874"/>
        <v>10411000100</v>
      </c>
      <c r="B5145" s="7" t="str">
        <f t="shared" si="1875"/>
        <v>門真西高等学校</v>
      </c>
      <c r="C5145" s="7" t="str">
        <f t="shared" si="1871"/>
        <v>行政財産</v>
      </c>
      <c r="D5145" s="7" t="str">
        <f t="shared" si="1859"/>
        <v>学校</v>
      </c>
      <c r="E5145" s="7" t="str">
        <f t="shared" si="1876"/>
        <v>大阪府門真市柳田町</v>
      </c>
      <c r="F5145" s="7"/>
      <c r="G5145" s="7" t="str">
        <f t="shared" si="1878"/>
        <v>事業用資産</v>
      </c>
      <c r="H5145" s="7" t="str">
        <f t="shared" si="1864"/>
        <v>棚卸以外</v>
      </c>
      <c r="I5145" s="7">
        <v>13</v>
      </c>
      <c r="J5145" s="7" t="str">
        <f>"ボンベハウス"</f>
        <v>ボンベハウス</v>
      </c>
      <c r="K5145" s="7" t="str">
        <f>"軽量鉄骨造"</f>
        <v>軽量鉄骨造</v>
      </c>
      <c r="L5145" s="7" t="str">
        <f>"S52.04.30"</f>
        <v>S52.04.30</v>
      </c>
      <c r="M5145" s="7">
        <v>16.2</v>
      </c>
      <c r="N5145" s="7">
        <v>720000</v>
      </c>
      <c r="O5145" s="7">
        <v>719999</v>
      </c>
      <c r="P5145" s="7">
        <v>0</v>
      </c>
      <c r="Q5145" s="7" t="str">
        <f t="shared" si="1849"/>
        <v>教育庁</v>
      </c>
      <c r="R5145" s="7" t="str">
        <f t="shared" si="1877"/>
        <v>門真西高等学校</v>
      </c>
    </row>
    <row r="5146" spans="1:18" s="1" customFormat="1" x14ac:dyDescent="0.45">
      <c r="A5146" s="7" t="str">
        <f t="shared" ref="A5146:A5155" si="1879">"10413000000"</f>
        <v>10413000000</v>
      </c>
      <c r="B5146" s="7" t="str">
        <f t="shared" ref="B5146:B5155" si="1880">"野崎高等学校"</f>
        <v>野崎高等学校</v>
      </c>
      <c r="C5146" s="7" t="str">
        <f t="shared" si="1871"/>
        <v>行政財産</v>
      </c>
      <c r="D5146" s="7" t="str">
        <f t="shared" si="1859"/>
        <v>学校</v>
      </c>
      <c r="E5146" s="7" t="str">
        <f t="shared" ref="E5146:E5155" si="1881">"大阪府大東市寺川１丁目"</f>
        <v>大阪府大東市寺川１丁目</v>
      </c>
      <c r="F5146" s="7"/>
      <c r="G5146" s="7" t="str">
        <f t="shared" si="1878"/>
        <v>事業用資産</v>
      </c>
      <c r="H5146" s="7" t="str">
        <f t="shared" si="1864"/>
        <v>棚卸以外</v>
      </c>
      <c r="I5146" s="7">
        <v>1</v>
      </c>
      <c r="J5146" s="7" t="str">
        <f>"普通教室棟"</f>
        <v>普通教室棟</v>
      </c>
      <c r="K5146" s="7" t="str">
        <f>"鉄筋コンクリート造"</f>
        <v>鉄筋コンクリート造</v>
      </c>
      <c r="L5146" s="7" t="str">
        <f>"S51.02.28"</f>
        <v>S51.02.28</v>
      </c>
      <c r="M5146" s="7">
        <v>5925.2</v>
      </c>
      <c r="N5146" s="7">
        <v>849858043</v>
      </c>
      <c r="O5146" s="7">
        <v>667462206</v>
      </c>
      <c r="P5146" s="7">
        <v>0</v>
      </c>
      <c r="Q5146" s="7" t="str">
        <f t="shared" si="1849"/>
        <v>教育庁</v>
      </c>
      <c r="R5146" s="7" t="str">
        <f t="shared" ref="R5146:R5155" si="1882">"野崎高等学校"</f>
        <v>野崎高等学校</v>
      </c>
    </row>
    <row r="5147" spans="1:18" s="1" customFormat="1" x14ac:dyDescent="0.45">
      <c r="A5147" s="7" t="str">
        <f t="shared" si="1879"/>
        <v>10413000000</v>
      </c>
      <c r="B5147" s="7" t="str">
        <f t="shared" si="1880"/>
        <v>野崎高等学校</v>
      </c>
      <c r="C5147" s="7" t="str">
        <f t="shared" si="1871"/>
        <v>行政財産</v>
      </c>
      <c r="D5147" s="7" t="str">
        <f t="shared" si="1859"/>
        <v>学校</v>
      </c>
      <c r="E5147" s="7" t="str">
        <f t="shared" si="1881"/>
        <v>大阪府大東市寺川１丁目</v>
      </c>
      <c r="F5147" s="7"/>
      <c r="G5147" s="7" t="str">
        <f t="shared" si="1878"/>
        <v>事業用資産</v>
      </c>
      <c r="H5147" s="7" t="str">
        <f t="shared" si="1864"/>
        <v>棚卸以外</v>
      </c>
      <c r="I5147" s="7">
        <v>2</v>
      </c>
      <c r="J5147" s="7" t="str">
        <f>"特別教室棟"</f>
        <v>特別教室棟</v>
      </c>
      <c r="K5147" s="7" t="str">
        <f>"鉄筋コンクリート造"</f>
        <v>鉄筋コンクリート造</v>
      </c>
      <c r="L5147" s="7" t="str">
        <f>"S51.02.28"</f>
        <v>S51.02.28</v>
      </c>
      <c r="M5147" s="7">
        <v>5476.07</v>
      </c>
      <c r="N5147" s="7">
        <v>717574748</v>
      </c>
      <c r="O5147" s="7">
        <v>624333342</v>
      </c>
      <c r="P5147" s="7">
        <v>0</v>
      </c>
      <c r="Q5147" s="7" t="str">
        <f t="shared" ref="Q5147:Q5210" si="1883">"教育庁"</f>
        <v>教育庁</v>
      </c>
      <c r="R5147" s="7" t="str">
        <f t="shared" si="1882"/>
        <v>野崎高等学校</v>
      </c>
    </row>
    <row r="5148" spans="1:18" s="1" customFormat="1" x14ac:dyDescent="0.45">
      <c r="A5148" s="7" t="str">
        <f t="shared" si="1879"/>
        <v>10413000000</v>
      </c>
      <c r="B5148" s="7" t="str">
        <f t="shared" si="1880"/>
        <v>野崎高等学校</v>
      </c>
      <c r="C5148" s="7" t="str">
        <f t="shared" si="1871"/>
        <v>行政財産</v>
      </c>
      <c r="D5148" s="7" t="str">
        <f t="shared" si="1859"/>
        <v>学校</v>
      </c>
      <c r="E5148" s="7" t="str">
        <f t="shared" si="1881"/>
        <v>大阪府大東市寺川１丁目</v>
      </c>
      <c r="F5148" s="7"/>
      <c r="G5148" s="7" t="str">
        <f t="shared" si="1878"/>
        <v>事業用資産</v>
      </c>
      <c r="H5148" s="7" t="str">
        <f t="shared" si="1864"/>
        <v>棚卸以外</v>
      </c>
      <c r="I5148" s="7">
        <v>3</v>
      </c>
      <c r="J5148" s="7" t="str">
        <f>"渡り廊下"</f>
        <v>渡り廊下</v>
      </c>
      <c r="K5148" s="7" t="str">
        <f>"鉄筋コンクリート造"</f>
        <v>鉄筋コンクリート造</v>
      </c>
      <c r="L5148" s="7" t="str">
        <f>"S51.02.28"</f>
        <v>S51.02.28</v>
      </c>
      <c r="M5148" s="7">
        <v>316.25</v>
      </c>
      <c r="N5148" s="7">
        <v>44632930</v>
      </c>
      <c r="O5148" s="7">
        <v>36711382</v>
      </c>
      <c r="P5148" s="7">
        <v>0</v>
      </c>
      <c r="Q5148" s="7" t="str">
        <f t="shared" si="1883"/>
        <v>教育庁</v>
      </c>
      <c r="R5148" s="7" t="str">
        <f t="shared" si="1882"/>
        <v>野崎高等学校</v>
      </c>
    </row>
    <row r="5149" spans="1:18" s="1" customFormat="1" x14ac:dyDescent="0.45">
      <c r="A5149" s="7" t="str">
        <f t="shared" si="1879"/>
        <v>10413000000</v>
      </c>
      <c r="B5149" s="7" t="str">
        <f t="shared" si="1880"/>
        <v>野崎高等学校</v>
      </c>
      <c r="C5149" s="7" t="str">
        <f t="shared" si="1871"/>
        <v>行政財産</v>
      </c>
      <c r="D5149" s="7" t="str">
        <f t="shared" si="1859"/>
        <v>学校</v>
      </c>
      <c r="E5149" s="7" t="str">
        <f t="shared" si="1881"/>
        <v>大阪府大東市寺川１丁目</v>
      </c>
      <c r="F5149" s="7"/>
      <c r="G5149" s="7" t="str">
        <f t="shared" si="1878"/>
        <v>事業用資産</v>
      </c>
      <c r="H5149" s="7" t="str">
        <f t="shared" si="1864"/>
        <v>棚卸以外</v>
      </c>
      <c r="I5149" s="7">
        <v>4</v>
      </c>
      <c r="J5149" s="7" t="str">
        <f>"設備棟"</f>
        <v>設備棟</v>
      </c>
      <c r="K5149" s="7" t="str">
        <f>"鉄筋コンクリート造"</f>
        <v>鉄筋コンクリート造</v>
      </c>
      <c r="L5149" s="7" t="str">
        <f>"S51.02.28"</f>
        <v>S51.02.28</v>
      </c>
      <c r="M5149" s="7">
        <v>117</v>
      </c>
      <c r="N5149" s="7">
        <v>23927000</v>
      </c>
      <c r="O5149" s="7">
        <v>23926999</v>
      </c>
      <c r="P5149" s="7">
        <v>0</v>
      </c>
      <c r="Q5149" s="7" t="str">
        <f t="shared" si="1883"/>
        <v>教育庁</v>
      </c>
      <c r="R5149" s="7" t="str">
        <f t="shared" si="1882"/>
        <v>野崎高等学校</v>
      </c>
    </row>
    <row r="5150" spans="1:18" s="1" customFormat="1" x14ac:dyDescent="0.45">
      <c r="A5150" s="7" t="str">
        <f t="shared" si="1879"/>
        <v>10413000000</v>
      </c>
      <c r="B5150" s="7" t="str">
        <f t="shared" si="1880"/>
        <v>野崎高等学校</v>
      </c>
      <c r="C5150" s="7" t="str">
        <f t="shared" si="1871"/>
        <v>行政財産</v>
      </c>
      <c r="D5150" s="7" t="str">
        <f t="shared" si="1859"/>
        <v>学校</v>
      </c>
      <c r="E5150" s="7" t="str">
        <f t="shared" si="1881"/>
        <v>大阪府大東市寺川１丁目</v>
      </c>
      <c r="F5150" s="7"/>
      <c r="G5150" s="7" t="str">
        <f t="shared" si="1878"/>
        <v>事業用資産</v>
      </c>
      <c r="H5150" s="7" t="str">
        <f t="shared" si="1864"/>
        <v>棚卸以外</v>
      </c>
      <c r="I5150" s="7">
        <v>5</v>
      </c>
      <c r="J5150" s="7" t="str">
        <f>"倉庫１"</f>
        <v>倉庫１</v>
      </c>
      <c r="K5150" s="7" t="str">
        <f>"鉄骨造"</f>
        <v>鉄骨造</v>
      </c>
      <c r="L5150" s="7" t="str">
        <f>"S51.02.28"</f>
        <v>S51.02.28</v>
      </c>
      <c r="M5150" s="7">
        <v>50</v>
      </c>
      <c r="N5150" s="7">
        <v>3250000</v>
      </c>
      <c r="O5150" s="7">
        <v>3249999</v>
      </c>
      <c r="P5150" s="7">
        <v>0</v>
      </c>
      <c r="Q5150" s="7" t="str">
        <f t="shared" si="1883"/>
        <v>教育庁</v>
      </c>
      <c r="R5150" s="7" t="str">
        <f t="shared" si="1882"/>
        <v>野崎高等学校</v>
      </c>
    </row>
    <row r="5151" spans="1:18" s="1" customFormat="1" x14ac:dyDescent="0.45">
      <c r="A5151" s="7" t="str">
        <f t="shared" si="1879"/>
        <v>10413000000</v>
      </c>
      <c r="B5151" s="7" t="str">
        <f t="shared" si="1880"/>
        <v>野崎高等学校</v>
      </c>
      <c r="C5151" s="7" t="str">
        <f t="shared" si="1871"/>
        <v>行政財産</v>
      </c>
      <c r="D5151" s="7" t="str">
        <f t="shared" si="1859"/>
        <v>学校</v>
      </c>
      <c r="E5151" s="7" t="str">
        <f t="shared" si="1881"/>
        <v>大阪府大東市寺川１丁目</v>
      </c>
      <c r="F5151" s="7"/>
      <c r="G5151" s="7" t="str">
        <f t="shared" si="1878"/>
        <v>事業用資産</v>
      </c>
      <c r="H5151" s="7" t="str">
        <f t="shared" si="1864"/>
        <v>棚卸以外</v>
      </c>
      <c r="I5151" s="7">
        <v>7</v>
      </c>
      <c r="J5151" s="7" t="str">
        <f>"倉庫２"</f>
        <v>倉庫２</v>
      </c>
      <c r="K5151" s="7" t="str">
        <f>"鉄骨造"</f>
        <v>鉄骨造</v>
      </c>
      <c r="L5151" s="7" t="str">
        <f>"S52.02.28"</f>
        <v>S52.02.28</v>
      </c>
      <c r="M5151" s="7">
        <v>50</v>
      </c>
      <c r="N5151" s="7">
        <v>4227000</v>
      </c>
      <c r="O5151" s="7">
        <v>4226999</v>
      </c>
      <c r="P5151" s="7">
        <v>0</v>
      </c>
      <c r="Q5151" s="7" t="str">
        <f t="shared" si="1883"/>
        <v>教育庁</v>
      </c>
      <c r="R5151" s="7" t="str">
        <f t="shared" si="1882"/>
        <v>野崎高等学校</v>
      </c>
    </row>
    <row r="5152" spans="1:18" s="1" customFormat="1" x14ac:dyDescent="0.45">
      <c r="A5152" s="7" t="str">
        <f t="shared" si="1879"/>
        <v>10413000000</v>
      </c>
      <c r="B5152" s="7" t="str">
        <f t="shared" si="1880"/>
        <v>野崎高等学校</v>
      </c>
      <c r="C5152" s="7" t="str">
        <f t="shared" si="1871"/>
        <v>行政財産</v>
      </c>
      <c r="D5152" s="7" t="str">
        <f t="shared" si="1859"/>
        <v>学校</v>
      </c>
      <c r="E5152" s="7" t="str">
        <f t="shared" si="1881"/>
        <v>大阪府大東市寺川１丁目</v>
      </c>
      <c r="F5152" s="7"/>
      <c r="G5152" s="7" t="str">
        <f t="shared" si="1878"/>
        <v>事業用資産</v>
      </c>
      <c r="H5152" s="7" t="str">
        <f t="shared" si="1864"/>
        <v>棚卸以外</v>
      </c>
      <c r="I5152" s="7">
        <v>9</v>
      </c>
      <c r="J5152" s="7" t="str">
        <f>"食堂棟"</f>
        <v>食堂棟</v>
      </c>
      <c r="K5152" s="7" t="str">
        <f>"鉄骨造"</f>
        <v>鉄骨造</v>
      </c>
      <c r="L5152" s="7" t="str">
        <f>"S52.06.30"</f>
        <v>S52.06.30</v>
      </c>
      <c r="M5152" s="7">
        <v>325</v>
      </c>
      <c r="N5152" s="7">
        <v>33211121</v>
      </c>
      <c r="O5152" s="7">
        <v>32975707</v>
      </c>
      <c r="P5152" s="7">
        <v>0</v>
      </c>
      <c r="Q5152" s="7" t="str">
        <f t="shared" si="1883"/>
        <v>教育庁</v>
      </c>
      <c r="R5152" s="7" t="str">
        <f t="shared" si="1882"/>
        <v>野崎高等学校</v>
      </c>
    </row>
    <row r="5153" spans="1:18" s="1" customFormat="1" x14ac:dyDescent="0.45">
      <c r="A5153" s="7" t="str">
        <f t="shared" si="1879"/>
        <v>10413000000</v>
      </c>
      <c r="B5153" s="7" t="str">
        <f t="shared" si="1880"/>
        <v>野崎高等学校</v>
      </c>
      <c r="C5153" s="7" t="str">
        <f t="shared" si="1871"/>
        <v>行政財産</v>
      </c>
      <c r="D5153" s="7" t="str">
        <f t="shared" si="1859"/>
        <v>学校</v>
      </c>
      <c r="E5153" s="7" t="str">
        <f t="shared" si="1881"/>
        <v>大阪府大東市寺川１丁目</v>
      </c>
      <c r="F5153" s="7"/>
      <c r="G5153" s="7" t="str">
        <f t="shared" si="1878"/>
        <v>事業用資産</v>
      </c>
      <c r="H5153" s="7" t="str">
        <f t="shared" si="1864"/>
        <v>棚卸以外</v>
      </c>
      <c r="I5153" s="7">
        <v>12</v>
      </c>
      <c r="J5153" s="7" t="str">
        <f>"プール附属棟"</f>
        <v>プール附属棟</v>
      </c>
      <c r="K5153" s="7" t="str">
        <f t="shared" ref="K5153:K5159" si="1884">"鉄筋コンクリート造"</f>
        <v>鉄筋コンクリート造</v>
      </c>
      <c r="L5153" s="7" t="str">
        <f>"S52.06.30"</f>
        <v>S52.06.30</v>
      </c>
      <c r="M5153" s="7">
        <v>138</v>
      </c>
      <c r="N5153" s="7">
        <v>28805786</v>
      </c>
      <c r="O5153" s="7">
        <v>27256723</v>
      </c>
      <c r="P5153" s="7">
        <v>0</v>
      </c>
      <c r="Q5153" s="7" t="str">
        <f t="shared" si="1883"/>
        <v>教育庁</v>
      </c>
      <c r="R5153" s="7" t="str">
        <f t="shared" si="1882"/>
        <v>野崎高等学校</v>
      </c>
    </row>
    <row r="5154" spans="1:18" s="1" customFormat="1" x14ac:dyDescent="0.45">
      <c r="A5154" s="7" t="str">
        <f t="shared" si="1879"/>
        <v>10413000000</v>
      </c>
      <c r="B5154" s="7" t="str">
        <f t="shared" si="1880"/>
        <v>野崎高等学校</v>
      </c>
      <c r="C5154" s="7" t="str">
        <f t="shared" si="1871"/>
        <v>行政財産</v>
      </c>
      <c r="D5154" s="7" t="str">
        <f t="shared" si="1859"/>
        <v>学校</v>
      </c>
      <c r="E5154" s="7" t="str">
        <f t="shared" si="1881"/>
        <v>大阪府大東市寺川１丁目</v>
      </c>
      <c r="F5154" s="7"/>
      <c r="G5154" s="7" t="str">
        <f t="shared" si="1878"/>
        <v>事業用資産</v>
      </c>
      <c r="H5154" s="7" t="str">
        <f t="shared" si="1864"/>
        <v>棚卸以外</v>
      </c>
      <c r="I5154" s="7">
        <v>13</v>
      </c>
      <c r="J5154" s="7" t="str">
        <f>"体育館"</f>
        <v>体育館</v>
      </c>
      <c r="K5154" s="7" t="str">
        <f t="shared" si="1884"/>
        <v>鉄筋コンクリート造</v>
      </c>
      <c r="L5154" s="7" t="str">
        <f>"S52.08.31"</f>
        <v>S52.08.31</v>
      </c>
      <c r="M5154" s="7">
        <v>3003.84</v>
      </c>
      <c r="N5154" s="7">
        <v>343558954</v>
      </c>
      <c r="O5154" s="7">
        <v>289436129</v>
      </c>
      <c r="P5154" s="7">
        <v>0</v>
      </c>
      <c r="Q5154" s="7" t="str">
        <f t="shared" si="1883"/>
        <v>教育庁</v>
      </c>
      <c r="R5154" s="7" t="str">
        <f t="shared" si="1882"/>
        <v>野崎高等学校</v>
      </c>
    </row>
    <row r="5155" spans="1:18" s="1" customFormat="1" x14ac:dyDescent="0.45">
      <c r="A5155" s="7" t="str">
        <f t="shared" si="1879"/>
        <v>10413000000</v>
      </c>
      <c r="B5155" s="7" t="str">
        <f t="shared" si="1880"/>
        <v>野崎高等学校</v>
      </c>
      <c r="C5155" s="7" t="str">
        <f t="shared" si="1871"/>
        <v>行政財産</v>
      </c>
      <c r="D5155" s="7" t="str">
        <f t="shared" si="1859"/>
        <v>学校</v>
      </c>
      <c r="E5155" s="7" t="str">
        <f t="shared" si="1881"/>
        <v>大阪府大東市寺川１丁目</v>
      </c>
      <c r="F5155" s="7"/>
      <c r="G5155" s="7" t="str">
        <f t="shared" si="1878"/>
        <v>事業用資産</v>
      </c>
      <c r="H5155" s="7" t="str">
        <f t="shared" si="1864"/>
        <v>棚卸以外</v>
      </c>
      <c r="I5155" s="7">
        <v>14</v>
      </c>
      <c r="J5155" s="7" t="str">
        <f>"渡り廊下３"</f>
        <v>渡り廊下３</v>
      </c>
      <c r="K5155" s="7" t="str">
        <f t="shared" si="1884"/>
        <v>鉄筋コンクリート造</v>
      </c>
      <c r="L5155" s="7" t="str">
        <f>"S53.02.28"</f>
        <v>S53.02.28</v>
      </c>
      <c r="M5155" s="7">
        <v>316.25</v>
      </c>
      <c r="N5155" s="7">
        <v>47397418</v>
      </c>
      <c r="O5155" s="7">
        <v>39801212</v>
      </c>
      <c r="P5155" s="7">
        <v>0</v>
      </c>
      <c r="Q5155" s="7" t="str">
        <f t="shared" si="1883"/>
        <v>教育庁</v>
      </c>
      <c r="R5155" s="7" t="str">
        <f t="shared" si="1882"/>
        <v>野崎高等学校</v>
      </c>
    </row>
    <row r="5156" spans="1:18" s="1" customFormat="1" x14ac:dyDescent="0.45">
      <c r="A5156" s="7" t="str">
        <f t="shared" ref="A5156:A5170" si="1885">"10414000000"</f>
        <v>10414000000</v>
      </c>
      <c r="B5156" s="7" t="str">
        <f t="shared" ref="B5156:B5170" si="1886">"交野高等学校"</f>
        <v>交野高等学校</v>
      </c>
      <c r="C5156" s="7" t="str">
        <f t="shared" si="1871"/>
        <v>行政財産</v>
      </c>
      <c r="D5156" s="7" t="str">
        <f t="shared" si="1859"/>
        <v>学校</v>
      </c>
      <c r="E5156" s="7" t="str">
        <f t="shared" ref="E5156:E5170" si="1887">"大阪府交野市寺南野"</f>
        <v>大阪府交野市寺南野</v>
      </c>
      <c r="F5156" s="7"/>
      <c r="G5156" s="7" t="str">
        <f t="shared" si="1878"/>
        <v>事業用資産</v>
      </c>
      <c r="H5156" s="7" t="str">
        <f t="shared" si="1864"/>
        <v>棚卸以外</v>
      </c>
      <c r="I5156" s="7">
        <v>1</v>
      </c>
      <c r="J5156" s="7" t="str">
        <f>"本館１号館"</f>
        <v>本館１号館</v>
      </c>
      <c r="K5156" s="7" t="str">
        <f t="shared" si="1884"/>
        <v>鉄筋コンクリート造</v>
      </c>
      <c r="L5156" s="7" t="str">
        <f>"S49.04.01"</f>
        <v>S49.04.01</v>
      </c>
      <c r="M5156" s="7">
        <v>5355.41</v>
      </c>
      <c r="N5156" s="7">
        <v>373090997</v>
      </c>
      <c r="O5156" s="7">
        <v>211486708</v>
      </c>
      <c r="P5156" s="7">
        <v>0</v>
      </c>
      <c r="Q5156" s="7" t="str">
        <f t="shared" si="1883"/>
        <v>教育庁</v>
      </c>
      <c r="R5156" s="7" t="str">
        <f t="shared" ref="R5156:R5170" si="1888">"交野高等学校"</f>
        <v>交野高等学校</v>
      </c>
    </row>
    <row r="5157" spans="1:18" s="1" customFormat="1" x14ac:dyDescent="0.45">
      <c r="A5157" s="7" t="str">
        <f t="shared" si="1885"/>
        <v>10414000000</v>
      </c>
      <c r="B5157" s="7" t="str">
        <f t="shared" si="1886"/>
        <v>交野高等学校</v>
      </c>
      <c r="C5157" s="7" t="str">
        <f t="shared" si="1871"/>
        <v>行政財産</v>
      </c>
      <c r="D5157" s="7" t="str">
        <f t="shared" si="1859"/>
        <v>学校</v>
      </c>
      <c r="E5157" s="7" t="str">
        <f t="shared" si="1887"/>
        <v>大阪府交野市寺南野</v>
      </c>
      <c r="F5157" s="7"/>
      <c r="G5157" s="7" t="str">
        <f t="shared" si="1878"/>
        <v>事業用資産</v>
      </c>
      <c r="H5157" s="7" t="str">
        <f t="shared" si="1864"/>
        <v>棚卸以外</v>
      </c>
      <c r="I5157" s="7">
        <v>2</v>
      </c>
      <c r="J5157" s="7" t="str">
        <f>"本館２号館"</f>
        <v>本館２号館</v>
      </c>
      <c r="K5157" s="7" t="str">
        <f t="shared" si="1884"/>
        <v>鉄筋コンクリート造</v>
      </c>
      <c r="L5157" s="7" t="str">
        <f t="shared" ref="L5157:L5162" si="1889">"S50.03.31"</f>
        <v>S50.03.31</v>
      </c>
      <c r="M5157" s="7">
        <v>5804.58</v>
      </c>
      <c r="N5157" s="7">
        <v>573140239</v>
      </c>
      <c r="O5157" s="7">
        <v>520107836</v>
      </c>
      <c r="P5157" s="7">
        <v>0</v>
      </c>
      <c r="Q5157" s="7" t="str">
        <f t="shared" si="1883"/>
        <v>教育庁</v>
      </c>
      <c r="R5157" s="7" t="str">
        <f t="shared" si="1888"/>
        <v>交野高等学校</v>
      </c>
    </row>
    <row r="5158" spans="1:18" s="1" customFormat="1" x14ac:dyDescent="0.45">
      <c r="A5158" s="7" t="str">
        <f t="shared" si="1885"/>
        <v>10414000000</v>
      </c>
      <c r="B5158" s="7" t="str">
        <f t="shared" si="1886"/>
        <v>交野高等学校</v>
      </c>
      <c r="C5158" s="7" t="str">
        <f t="shared" si="1871"/>
        <v>行政財産</v>
      </c>
      <c r="D5158" s="7" t="str">
        <f t="shared" si="1859"/>
        <v>学校</v>
      </c>
      <c r="E5158" s="7" t="str">
        <f t="shared" si="1887"/>
        <v>大阪府交野市寺南野</v>
      </c>
      <c r="F5158" s="7"/>
      <c r="G5158" s="7" t="str">
        <f t="shared" si="1878"/>
        <v>事業用資産</v>
      </c>
      <c r="H5158" s="7" t="str">
        <f t="shared" si="1864"/>
        <v>棚卸以外</v>
      </c>
      <c r="I5158" s="7">
        <v>3</v>
      </c>
      <c r="J5158" s="7" t="str">
        <f>"本館東渡り廊下"</f>
        <v>本館東渡り廊下</v>
      </c>
      <c r="K5158" s="7" t="str">
        <f t="shared" si="1884"/>
        <v>鉄筋コンクリート造</v>
      </c>
      <c r="L5158" s="7" t="str">
        <f t="shared" si="1889"/>
        <v>S50.03.31</v>
      </c>
      <c r="M5158" s="7">
        <v>360.75</v>
      </c>
      <c r="N5158" s="7">
        <v>24497000</v>
      </c>
      <c r="O5158" s="7">
        <v>23429955</v>
      </c>
      <c r="P5158" s="7">
        <v>0</v>
      </c>
      <c r="Q5158" s="7" t="str">
        <f t="shared" si="1883"/>
        <v>教育庁</v>
      </c>
      <c r="R5158" s="7" t="str">
        <f t="shared" si="1888"/>
        <v>交野高等学校</v>
      </c>
    </row>
    <row r="5159" spans="1:18" s="1" customFormat="1" x14ac:dyDescent="0.45">
      <c r="A5159" s="7" t="str">
        <f t="shared" si="1885"/>
        <v>10414000000</v>
      </c>
      <c r="B5159" s="7" t="str">
        <f t="shared" si="1886"/>
        <v>交野高等学校</v>
      </c>
      <c r="C5159" s="7" t="str">
        <f t="shared" si="1871"/>
        <v>行政財産</v>
      </c>
      <c r="D5159" s="7" t="str">
        <f t="shared" si="1859"/>
        <v>学校</v>
      </c>
      <c r="E5159" s="7" t="str">
        <f t="shared" si="1887"/>
        <v>大阪府交野市寺南野</v>
      </c>
      <c r="F5159" s="7"/>
      <c r="G5159" s="7" t="str">
        <f t="shared" si="1878"/>
        <v>事業用資産</v>
      </c>
      <c r="H5159" s="7" t="str">
        <f t="shared" si="1864"/>
        <v>棚卸以外</v>
      </c>
      <c r="I5159" s="7">
        <v>4</v>
      </c>
      <c r="J5159" s="7" t="str">
        <f>"設備棟"</f>
        <v>設備棟</v>
      </c>
      <c r="K5159" s="7" t="str">
        <f t="shared" si="1884"/>
        <v>鉄筋コンクリート造</v>
      </c>
      <c r="L5159" s="7" t="str">
        <f t="shared" si="1889"/>
        <v>S50.03.31</v>
      </c>
      <c r="M5159" s="7">
        <v>117</v>
      </c>
      <c r="N5159" s="7">
        <v>37372104</v>
      </c>
      <c r="O5159" s="7">
        <v>35559194</v>
      </c>
      <c r="P5159" s="7">
        <v>0</v>
      </c>
      <c r="Q5159" s="7" t="str">
        <f t="shared" si="1883"/>
        <v>教育庁</v>
      </c>
      <c r="R5159" s="7" t="str">
        <f t="shared" si="1888"/>
        <v>交野高等学校</v>
      </c>
    </row>
    <row r="5160" spans="1:18" s="1" customFormat="1" x14ac:dyDescent="0.45">
      <c r="A5160" s="7" t="str">
        <f t="shared" si="1885"/>
        <v>10414000000</v>
      </c>
      <c r="B5160" s="7" t="str">
        <f t="shared" si="1886"/>
        <v>交野高等学校</v>
      </c>
      <c r="C5160" s="7" t="str">
        <f t="shared" si="1871"/>
        <v>行政財産</v>
      </c>
      <c r="D5160" s="7" t="str">
        <f t="shared" si="1859"/>
        <v>学校</v>
      </c>
      <c r="E5160" s="7" t="str">
        <f t="shared" si="1887"/>
        <v>大阪府交野市寺南野</v>
      </c>
      <c r="F5160" s="7"/>
      <c r="G5160" s="7" t="str">
        <f t="shared" si="1878"/>
        <v>事業用資産</v>
      </c>
      <c r="H5160" s="7" t="str">
        <f t="shared" si="1864"/>
        <v>棚卸以外</v>
      </c>
      <c r="I5160" s="7">
        <v>5</v>
      </c>
      <c r="J5160" s="7" t="str">
        <f>"倉庫"</f>
        <v>倉庫</v>
      </c>
      <c r="K5160" s="7" t="str">
        <f>"鉄骨造"</f>
        <v>鉄骨造</v>
      </c>
      <c r="L5160" s="7" t="str">
        <f t="shared" si="1889"/>
        <v>S50.03.31</v>
      </c>
      <c r="M5160" s="7">
        <v>50</v>
      </c>
      <c r="N5160" s="7">
        <v>2601000</v>
      </c>
      <c r="O5160" s="7">
        <v>2600999</v>
      </c>
      <c r="P5160" s="7">
        <v>0</v>
      </c>
      <c r="Q5160" s="7" t="str">
        <f t="shared" si="1883"/>
        <v>教育庁</v>
      </c>
      <c r="R5160" s="7" t="str">
        <f t="shared" si="1888"/>
        <v>交野高等学校</v>
      </c>
    </row>
    <row r="5161" spans="1:18" s="1" customFormat="1" x14ac:dyDescent="0.45">
      <c r="A5161" s="7" t="str">
        <f t="shared" si="1885"/>
        <v>10414000000</v>
      </c>
      <c r="B5161" s="7" t="str">
        <f t="shared" si="1886"/>
        <v>交野高等学校</v>
      </c>
      <c r="C5161" s="7" t="str">
        <f t="shared" si="1871"/>
        <v>行政財産</v>
      </c>
      <c r="D5161" s="7" t="str">
        <f t="shared" si="1859"/>
        <v>学校</v>
      </c>
      <c r="E5161" s="7" t="str">
        <f t="shared" si="1887"/>
        <v>大阪府交野市寺南野</v>
      </c>
      <c r="F5161" s="7"/>
      <c r="G5161" s="7" t="str">
        <f t="shared" si="1878"/>
        <v>事業用資産</v>
      </c>
      <c r="H5161" s="7" t="str">
        <f t="shared" si="1864"/>
        <v>棚卸以外</v>
      </c>
      <c r="I5161" s="7">
        <v>6</v>
      </c>
      <c r="J5161" s="7" t="str">
        <f>"自転車置場"</f>
        <v>自転車置場</v>
      </c>
      <c r="K5161" s="7" t="str">
        <f>"鉄骨造"</f>
        <v>鉄骨造</v>
      </c>
      <c r="L5161" s="7" t="str">
        <f t="shared" si="1889"/>
        <v>S50.03.31</v>
      </c>
      <c r="M5161" s="7">
        <v>105</v>
      </c>
      <c r="N5161" s="7">
        <v>2280000</v>
      </c>
      <c r="O5161" s="7">
        <v>2279999</v>
      </c>
      <c r="P5161" s="7">
        <v>0</v>
      </c>
      <c r="Q5161" s="7" t="str">
        <f t="shared" si="1883"/>
        <v>教育庁</v>
      </c>
      <c r="R5161" s="7" t="str">
        <f t="shared" si="1888"/>
        <v>交野高等学校</v>
      </c>
    </row>
    <row r="5162" spans="1:18" s="1" customFormat="1" x14ac:dyDescent="0.45">
      <c r="A5162" s="7" t="str">
        <f t="shared" si="1885"/>
        <v>10414000000</v>
      </c>
      <c r="B5162" s="7" t="str">
        <f t="shared" si="1886"/>
        <v>交野高等学校</v>
      </c>
      <c r="C5162" s="7" t="str">
        <f t="shared" si="1871"/>
        <v>行政財産</v>
      </c>
      <c r="D5162" s="7" t="str">
        <f t="shared" si="1859"/>
        <v>学校</v>
      </c>
      <c r="E5162" s="7" t="str">
        <f t="shared" si="1887"/>
        <v>大阪府交野市寺南野</v>
      </c>
      <c r="F5162" s="7"/>
      <c r="G5162" s="7" t="str">
        <f t="shared" si="1878"/>
        <v>事業用資産</v>
      </c>
      <c r="H5162" s="7" t="str">
        <f t="shared" si="1864"/>
        <v>棚卸以外</v>
      </c>
      <c r="I5162" s="7">
        <v>7</v>
      </c>
      <c r="J5162" s="7" t="str">
        <f>"体育館"</f>
        <v>体育館</v>
      </c>
      <c r="K5162" s="7" t="str">
        <f>"鉄筋コンクリート造"</f>
        <v>鉄筋コンクリート造</v>
      </c>
      <c r="L5162" s="7" t="str">
        <f t="shared" si="1889"/>
        <v>S50.03.31</v>
      </c>
      <c r="M5162" s="7">
        <v>3128.71</v>
      </c>
      <c r="N5162" s="7">
        <v>316623381</v>
      </c>
      <c r="O5162" s="7">
        <v>275994749</v>
      </c>
      <c r="P5162" s="7">
        <v>0</v>
      </c>
      <c r="Q5162" s="7" t="str">
        <f t="shared" si="1883"/>
        <v>教育庁</v>
      </c>
      <c r="R5162" s="7" t="str">
        <f t="shared" si="1888"/>
        <v>交野高等学校</v>
      </c>
    </row>
    <row r="5163" spans="1:18" s="1" customFormat="1" x14ac:dyDescent="0.45">
      <c r="A5163" s="7" t="str">
        <f t="shared" si="1885"/>
        <v>10414000000</v>
      </c>
      <c r="B5163" s="7" t="str">
        <f t="shared" si="1886"/>
        <v>交野高等学校</v>
      </c>
      <c r="C5163" s="7" t="str">
        <f t="shared" si="1871"/>
        <v>行政財産</v>
      </c>
      <c r="D5163" s="7" t="str">
        <f t="shared" si="1859"/>
        <v>学校</v>
      </c>
      <c r="E5163" s="7" t="str">
        <f t="shared" si="1887"/>
        <v>大阪府交野市寺南野</v>
      </c>
      <c r="F5163" s="7"/>
      <c r="G5163" s="7" t="str">
        <f t="shared" si="1878"/>
        <v>事業用資産</v>
      </c>
      <c r="H5163" s="7" t="str">
        <f t="shared" si="1864"/>
        <v>棚卸以外</v>
      </c>
      <c r="I5163" s="7">
        <v>8</v>
      </c>
      <c r="J5163" s="7" t="str">
        <f>"体育館渡り廊下"</f>
        <v>体育館渡り廊下</v>
      </c>
      <c r="K5163" s="7" t="str">
        <f>"鉄骨造"</f>
        <v>鉄骨造</v>
      </c>
      <c r="L5163" s="7" t="str">
        <f>"S50.06.28"</f>
        <v>S50.06.28</v>
      </c>
      <c r="M5163" s="7">
        <v>213.78</v>
      </c>
      <c r="N5163" s="7">
        <v>7868000</v>
      </c>
      <c r="O5163" s="7">
        <v>7867999</v>
      </c>
      <c r="P5163" s="7">
        <v>0</v>
      </c>
      <c r="Q5163" s="7" t="str">
        <f t="shared" si="1883"/>
        <v>教育庁</v>
      </c>
      <c r="R5163" s="7" t="str">
        <f t="shared" si="1888"/>
        <v>交野高等学校</v>
      </c>
    </row>
    <row r="5164" spans="1:18" s="1" customFormat="1" x14ac:dyDescent="0.45">
      <c r="A5164" s="7" t="str">
        <f t="shared" si="1885"/>
        <v>10414000000</v>
      </c>
      <c r="B5164" s="7" t="str">
        <f t="shared" si="1886"/>
        <v>交野高等学校</v>
      </c>
      <c r="C5164" s="7" t="str">
        <f t="shared" si="1871"/>
        <v>行政財産</v>
      </c>
      <c r="D5164" s="7" t="str">
        <f t="shared" si="1859"/>
        <v>学校</v>
      </c>
      <c r="E5164" s="7" t="str">
        <f t="shared" si="1887"/>
        <v>大阪府交野市寺南野</v>
      </c>
      <c r="F5164" s="7"/>
      <c r="G5164" s="7" t="str">
        <f t="shared" si="1878"/>
        <v>事業用資産</v>
      </c>
      <c r="H5164" s="7" t="str">
        <f t="shared" si="1864"/>
        <v>棚卸以外</v>
      </c>
      <c r="I5164" s="7">
        <v>10</v>
      </c>
      <c r="J5164" s="7" t="str">
        <f>"プール附属棟"</f>
        <v>プール附属棟</v>
      </c>
      <c r="K5164" s="7" t="str">
        <f>"鉄筋コンクリート造"</f>
        <v>鉄筋コンクリート造</v>
      </c>
      <c r="L5164" s="7" t="str">
        <f>"S50.07.15"</f>
        <v>S50.07.15</v>
      </c>
      <c r="M5164" s="7">
        <v>138</v>
      </c>
      <c r="N5164" s="7">
        <v>17116177</v>
      </c>
      <c r="O5164" s="7">
        <v>17003875</v>
      </c>
      <c r="P5164" s="7">
        <v>0</v>
      </c>
      <c r="Q5164" s="7" t="str">
        <f t="shared" si="1883"/>
        <v>教育庁</v>
      </c>
      <c r="R5164" s="7" t="str">
        <f t="shared" si="1888"/>
        <v>交野高等学校</v>
      </c>
    </row>
    <row r="5165" spans="1:18" s="1" customFormat="1" x14ac:dyDescent="0.45">
      <c r="A5165" s="7" t="str">
        <f t="shared" si="1885"/>
        <v>10414000000</v>
      </c>
      <c r="B5165" s="7" t="str">
        <f t="shared" si="1886"/>
        <v>交野高等学校</v>
      </c>
      <c r="C5165" s="7" t="str">
        <f t="shared" si="1871"/>
        <v>行政財産</v>
      </c>
      <c r="D5165" s="7" t="str">
        <f t="shared" si="1859"/>
        <v>学校</v>
      </c>
      <c r="E5165" s="7" t="str">
        <f t="shared" si="1887"/>
        <v>大阪府交野市寺南野</v>
      </c>
      <c r="F5165" s="7"/>
      <c r="G5165" s="7" t="str">
        <f t="shared" si="1878"/>
        <v>事業用資産</v>
      </c>
      <c r="H5165" s="7" t="str">
        <f t="shared" si="1864"/>
        <v>棚卸以外</v>
      </c>
      <c r="I5165" s="7">
        <v>12</v>
      </c>
      <c r="J5165" s="7" t="str">
        <f>"下足室"</f>
        <v>下足室</v>
      </c>
      <c r="K5165" s="7" t="str">
        <f>"鉄骨造"</f>
        <v>鉄骨造</v>
      </c>
      <c r="L5165" s="7" t="str">
        <f>"S51.02.28"</f>
        <v>S51.02.28</v>
      </c>
      <c r="M5165" s="7">
        <v>240.72</v>
      </c>
      <c r="N5165" s="7">
        <v>17310000</v>
      </c>
      <c r="O5165" s="7">
        <v>17309999</v>
      </c>
      <c r="P5165" s="7">
        <v>0</v>
      </c>
      <c r="Q5165" s="7" t="str">
        <f t="shared" si="1883"/>
        <v>教育庁</v>
      </c>
      <c r="R5165" s="7" t="str">
        <f t="shared" si="1888"/>
        <v>交野高等学校</v>
      </c>
    </row>
    <row r="5166" spans="1:18" s="1" customFormat="1" x14ac:dyDescent="0.45">
      <c r="A5166" s="7" t="str">
        <f t="shared" si="1885"/>
        <v>10414000000</v>
      </c>
      <c r="B5166" s="7" t="str">
        <f t="shared" si="1886"/>
        <v>交野高等学校</v>
      </c>
      <c r="C5166" s="7" t="str">
        <f t="shared" si="1871"/>
        <v>行政財産</v>
      </c>
      <c r="D5166" s="7" t="str">
        <f t="shared" si="1859"/>
        <v>学校</v>
      </c>
      <c r="E5166" s="7" t="str">
        <f t="shared" si="1887"/>
        <v>大阪府交野市寺南野</v>
      </c>
      <c r="F5166" s="7"/>
      <c r="G5166" s="7" t="str">
        <f t="shared" si="1878"/>
        <v>事業用資産</v>
      </c>
      <c r="H5166" s="7" t="str">
        <f t="shared" si="1864"/>
        <v>棚卸以外</v>
      </c>
      <c r="I5166" s="7">
        <v>13</v>
      </c>
      <c r="J5166" s="7" t="str">
        <f>"西渡り廊下"</f>
        <v>西渡り廊下</v>
      </c>
      <c r="K5166" s="7" t="str">
        <f>"鉄筋コンクリート造"</f>
        <v>鉄筋コンクリート造</v>
      </c>
      <c r="L5166" s="7" t="str">
        <f>"S50.06.28"</f>
        <v>S50.06.28</v>
      </c>
      <c r="M5166" s="7">
        <v>316.25</v>
      </c>
      <c r="N5166" s="7">
        <v>26498000</v>
      </c>
      <c r="O5166" s="7">
        <v>26054775</v>
      </c>
      <c r="P5166" s="7">
        <v>0</v>
      </c>
      <c r="Q5166" s="7" t="str">
        <f t="shared" si="1883"/>
        <v>教育庁</v>
      </c>
      <c r="R5166" s="7" t="str">
        <f t="shared" si="1888"/>
        <v>交野高等学校</v>
      </c>
    </row>
    <row r="5167" spans="1:18" s="1" customFormat="1" x14ac:dyDescent="0.45">
      <c r="A5167" s="7" t="str">
        <f t="shared" si="1885"/>
        <v>10414000000</v>
      </c>
      <c r="B5167" s="7" t="str">
        <f t="shared" si="1886"/>
        <v>交野高等学校</v>
      </c>
      <c r="C5167" s="7" t="str">
        <f t="shared" si="1871"/>
        <v>行政財産</v>
      </c>
      <c r="D5167" s="7" t="str">
        <f t="shared" si="1859"/>
        <v>学校</v>
      </c>
      <c r="E5167" s="7" t="str">
        <f t="shared" si="1887"/>
        <v>大阪府交野市寺南野</v>
      </c>
      <c r="F5167" s="7"/>
      <c r="G5167" s="7" t="str">
        <f t="shared" si="1878"/>
        <v>事業用資産</v>
      </c>
      <c r="H5167" s="7" t="str">
        <f t="shared" si="1864"/>
        <v>棚卸以外</v>
      </c>
      <c r="I5167" s="7">
        <v>14</v>
      </c>
      <c r="J5167" s="7" t="str">
        <f>"第１体育倉庫"</f>
        <v>第１体育倉庫</v>
      </c>
      <c r="K5167" s="7" t="str">
        <f>"鉄骨造"</f>
        <v>鉄骨造</v>
      </c>
      <c r="L5167" s="7" t="str">
        <f>"S52.03.01"</f>
        <v>S52.03.01</v>
      </c>
      <c r="M5167" s="7">
        <v>50</v>
      </c>
      <c r="N5167" s="7">
        <v>3597000</v>
      </c>
      <c r="O5167" s="7">
        <v>3596999</v>
      </c>
      <c r="P5167" s="7">
        <v>0</v>
      </c>
      <c r="Q5167" s="7" t="str">
        <f t="shared" si="1883"/>
        <v>教育庁</v>
      </c>
      <c r="R5167" s="7" t="str">
        <f t="shared" si="1888"/>
        <v>交野高等学校</v>
      </c>
    </row>
    <row r="5168" spans="1:18" s="1" customFormat="1" x14ac:dyDescent="0.45">
      <c r="A5168" s="7" t="str">
        <f t="shared" si="1885"/>
        <v>10414000000</v>
      </c>
      <c r="B5168" s="7" t="str">
        <f t="shared" si="1886"/>
        <v>交野高等学校</v>
      </c>
      <c r="C5168" s="7" t="str">
        <f t="shared" si="1871"/>
        <v>行政財産</v>
      </c>
      <c r="D5168" s="7" t="str">
        <f t="shared" si="1859"/>
        <v>学校</v>
      </c>
      <c r="E5168" s="7" t="str">
        <f t="shared" si="1887"/>
        <v>大阪府交野市寺南野</v>
      </c>
      <c r="F5168" s="7"/>
      <c r="G5168" s="7" t="str">
        <f t="shared" si="1878"/>
        <v>事業用資産</v>
      </c>
      <c r="H5168" s="7" t="str">
        <f t="shared" si="1864"/>
        <v>棚卸以外</v>
      </c>
      <c r="I5168" s="7">
        <v>15</v>
      </c>
      <c r="J5168" s="7" t="str">
        <f>"第２体育倉庫"</f>
        <v>第２体育倉庫</v>
      </c>
      <c r="K5168" s="7" t="str">
        <f>"コンクリートブロック造"</f>
        <v>コンクリートブロック造</v>
      </c>
      <c r="L5168" s="7" t="str">
        <f>"S54.10.22"</f>
        <v>S54.10.22</v>
      </c>
      <c r="M5168" s="7">
        <v>65.05</v>
      </c>
      <c r="N5168" s="7">
        <v>5253000</v>
      </c>
      <c r="O5168" s="7">
        <v>5252999</v>
      </c>
      <c r="P5168" s="7">
        <v>0</v>
      </c>
      <c r="Q5168" s="7" t="str">
        <f t="shared" si="1883"/>
        <v>教育庁</v>
      </c>
      <c r="R5168" s="7" t="str">
        <f t="shared" si="1888"/>
        <v>交野高等学校</v>
      </c>
    </row>
    <row r="5169" spans="1:18" s="1" customFormat="1" x14ac:dyDescent="0.45">
      <c r="A5169" s="7" t="str">
        <f t="shared" si="1885"/>
        <v>10414000000</v>
      </c>
      <c r="B5169" s="7" t="str">
        <f t="shared" si="1886"/>
        <v>交野高等学校</v>
      </c>
      <c r="C5169" s="7" t="str">
        <f t="shared" si="1871"/>
        <v>行政財産</v>
      </c>
      <c r="D5169" s="7" t="str">
        <f t="shared" si="1859"/>
        <v>学校</v>
      </c>
      <c r="E5169" s="7" t="str">
        <f t="shared" si="1887"/>
        <v>大阪府交野市寺南野</v>
      </c>
      <c r="F5169" s="7"/>
      <c r="G5169" s="7" t="str">
        <f t="shared" si="1878"/>
        <v>事業用資産</v>
      </c>
      <c r="H5169" s="7" t="str">
        <f t="shared" si="1864"/>
        <v>棚卸以外</v>
      </c>
      <c r="I5169" s="7">
        <v>16</v>
      </c>
      <c r="J5169" s="7" t="str">
        <f>"ゴミ置き場"</f>
        <v>ゴミ置き場</v>
      </c>
      <c r="K5169" s="7" t="str">
        <f>"土蔵造(簡易建物)"</f>
        <v>土蔵造(簡易建物)</v>
      </c>
      <c r="L5169" s="7" t="str">
        <f>"H10.03.20"</f>
        <v>H10.03.20</v>
      </c>
      <c r="M5169" s="7">
        <v>6.92</v>
      </c>
      <c r="N5169" s="7">
        <v>216000</v>
      </c>
      <c r="O5169" s="7">
        <v>215999</v>
      </c>
      <c r="P5169" s="7">
        <v>0</v>
      </c>
      <c r="Q5169" s="7" t="str">
        <f t="shared" si="1883"/>
        <v>教育庁</v>
      </c>
      <c r="R5169" s="7" t="str">
        <f t="shared" si="1888"/>
        <v>交野高等学校</v>
      </c>
    </row>
    <row r="5170" spans="1:18" s="1" customFormat="1" x14ac:dyDescent="0.45">
      <c r="A5170" s="7" t="str">
        <f t="shared" si="1885"/>
        <v>10414000000</v>
      </c>
      <c r="B5170" s="7" t="str">
        <f t="shared" si="1886"/>
        <v>交野高等学校</v>
      </c>
      <c r="C5170" s="7" t="str">
        <f t="shared" si="1871"/>
        <v>行政財産</v>
      </c>
      <c r="D5170" s="7" t="str">
        <f t="shared" si="1859"/>
        <v>学校</v>
      </c>
      <c r="E5170" s="7" t="str">
        <f t="shared" si="1887"/>
        <v>大阪府交野市寺南野</v>
      </c>
      <c r="F5170" s="7"/>
      <c r="G5170" s="7" t="str">
        <f t="shared" si="1878"/>
        <v>事業用資産</v>
      </c>
      <c r="H5170" s="7" t="str">
        <f t="shared" si="1864"/>
        <v>棚卸以外</v>
      </c>
      <c r="I5170" s="7">
        <v>17</v>
      </c>
      <c r="J5170" s="7" t="str">
        <f>"エレベーター棟"</f>
        <v>エレベーター棟</v>
      </c>
      <c r="K5170" s="7" t="str">
        <f>"鉄骨造"</f>
        <v>鉄骨造</v>
      </c>
      <c r="L5170" s="7" t="str">
        <f>"H19.02.28"</f>
        <v>H19.02.28</v>
      </c>
      <c r="M5170" s="7">
        <v>30.32</v>
      </c>
      <c r="N5170" s="7">
        <v>20240000</v>
      </c>
      <c r="O5170" s="7">
        <v>9574344</v>
      </c>
      <c r="P5170" s="7">
        <v>0</v>
      </c>
      <c r="Q5170" s="7" t="str">
        <f t="shared" si="1883"/>
        <v>教育庁</v>
      </c>
      <c r="R5170" s="7" t="str">
        <f t="shared" si="1888"/>
        <v>交野高等学校</v>
      </c>
    </row>
    <row r="5171" spans="1:18" s="1" customFormat="1" x14ac:dyDescent="0.45">
      <c r="A5171" s="7" t="str">
        <f t="shared" ref="A5171:A5195" si="1890">"10415000000"</f>
        <v>10415000000</v>
      </c>
      <c r="B5171" s="7" t="str">
        <f t="shared" ref="B5171:B5195" si="1891">"布施高等学校"</f>
        <v>布施高等学校</v>
      </c>
      <c r="C5171" s="7" t="str">
        <f t="shared" si="1871"/>
        <v>行政財産</v>
      </c>
      <c r="D5171" s="7" t="str">
        <f t="shared" si="1859"/>
        <v>学校</v>
      </c>
      <c r="E5171" s="7" t="str">
        <f t="shared" ref="E5171:E5195" si="1892">"大阪府東大阪市下小阪３丁目"</f>
        <v>大阪府東大阪市下小阪３丁目</v>
      </c>
      <c r="F5171" s="7" t="str">
        <f t="shared" ref="F5171:F5195" si="1893">"１４－２１"</f>
        <v>１４－２１</v>
      </c>
      <c r="G5171" s="7" t="str">
        <f t="shared" si="1878"/>
        <v>事業用資産</v>
      </c>
      <c r="H5171" s="7" t="str">
        <f t="shared" si="1864"/>
        <v>棚卸以外</v>
      </c>
      <c r="I5171" s="7">
        <v>24</v>
      </c>
      <c r="J5171" s="7" t="str">
        <f>"ロッカー室"</f>
        <v>ロッカー室</v>
      </c>
      <c r="K5171" s="7" t="str">
        <f>"木造"</f>
        <v>木造</v>
      </c>
      <c r="L5171" s="7" t="str">
        <f>"S35.06.10"</f>
        <v>S35.06.10</v>
      </c>
      <c r="M5171" s="7">
        <v>34.24</v>
      </c>
      <c r="N5171" s="7">
        <v>2546213</v>
      </c>
      <c r="O5171" s="7">
        <v>2167883</v>
      </c>
      <c r="P5171" s="7">
        <v>0</v>
      </c>
      <c r="Q5171" s="7" t="str">
        <f t="shared" si="1883"/>
        <v>教育庁</v>
      </c>
      <c r="R5171" s="7" t="str">
        <f t="shared" ref="R5171:R5195" si="1894">"布施高等学校"</f>
        <v>布施高等学校</v>
      </c>
    </row>
    <row r="5172" spans="1:18" s="1" customFormat="1" x14ac:dyDescent="0.45">
      <c r="A5172" s="7" t="str">
        <f t="shared" si="1890"/>
        <v>10415000000</v>
      </c>
      <c r="B5172" s="7" t="str">
        <f t="shared" si="1891"/>
        <v>布施高等学校</v>
      </c>
      <c r="C5172" s="7" t="str">
        <f t="shared" si="1871"/>
        <v>行政財産</v>
      </c>
      <c r="D5172" s="7" t="str">
        <f t="shared" si="1859"/>
        <v>学校</v>
      </c>
      <c r="E5172" s="7" t="str">
        <f t="shared" si="1892"/>
        <v>大阪府東大阪市下小阪３丁目</v>
      </c>
      <c r="F5172" s="7" t="str">
        <f t="shared" si="1893"/>
        <v>１４－２１</v>
      </c>
      <c r="G5172" s="7" t="str">
        <f t="shared" si="1878"/>
        <v>事業用資産</v>
      </c>
      <c r="H5172" s="7" t="str">
        <f t="shared" si="1864"/>
        <v>棚卸以外</v>
      </c>
      <c r="I5172" s="7">
        <v>26</v>
      </c>
      <c r="J5172" s="7" t="str">
        <f>"倉庫"</f>
        <v>倉庫</v>
      </c>
      <c r="K5172" s="7" t="str">
        <f>"鉄骨造"</f>
        <v>鉄骨造</v>
      </c>
      <c r="L5172" s="7" t="str">
        <f>"S37.08.15"</f>
        <v>S37.08.15</v>
      </c>
      <c r="M5172" s="7">
        <v>60.66</v>
      </c>
      <c r="N5172" s="7">
        <v>1154730</v>
      </c>
      <c r="O5172" s="7">
        <v>1154729</v>
      </c>
      <c r="P5172" s="7">
        <v>0</v>
      </c>
      <c r="Q5172" s="7" t="str">
        <f t="shared" si="1883"/>
        <v>教育庁</v>
      </c>
      <c r="R5172" s="7" t="str">
        <f t="shared" si="1894"/>
        <v>布施高等学校</v>
      </c>
    </row>
    <row r="5173" spans="1:18" s="1" customFormat="1" ht="26.4" x14ac:dyDescent="0.45">
      <c r="A5173" s="7" t="str">
        <f t="shared" si="1890"/>
        <v>10415000000</v>
      </c>
      <c r="B5173" s="7" t="str">
        <f t="shared" si="1891"/>
        <v>布施高等学校</v>
      </c>
      <c r="C5173" s="7" t="str">
        <f t="shared" si="1871"/>
        <v>行政財産</v>
      </c>
      <c r="D5173" s="7" t="str">
        <f t="shared" si="1859"/>
        <v>学校</v>
      </c>
      <c r="E5173" s="7" t="str">
        <f t="shared" si="1892"/>
        <v>大阪府東大阪市下小阪３丁目</v>
      </c>
      <c r="F5173" s="7" t="str">
        <f t="shared" si="1893"/>
        <v>１４－２１</v>
      </c>
      <c r="G5173" s="7" t="str">
        <f t="shared" si="1878"/>
        <v>事業用資産</v>
      </c>
      <c r="H5173" s="7" t="str">
        <f t="shared" si="1864"/>
        <v>棚卸以外</v>
      </c>
      <c r="I5173" s="7">
        <v>27</v>
      </c>
      <c r="J5173" s="7" t="str">
        <f>"校舎"</f>
        <v>校舎</v>
      </c>
      <c r="K5173" s="7" t="str">
        <f>"鉄骨鉄筋コンクリート造"</f>
        <v>鉄骨鉄筋コンクリート造</v>
      </c>
      <c r="L5173" s="7" t="str">
        <f>"S37.08.15"</f>
        <v>S37.08.15</v>
      </c>
      <c r="M5173" s="7">
        <v>1037.45</v>
      </c>
      <c r="N5173" s="7">
        <v>104693490</v>
      </c>
      <c r="O5173" s="7">
        <v>67955905</v>
      </c>
      <c r="P5173" s="7">
        <v>0</v>
      </c>
      <c r="Q5173" s="7" t="str">
        <f t="shared" si="1883"/>
        <v>教育庁</v>
      </c>
      <c r="R5173" s="7" t="str">
        <f t="shared" si="1894"/>
        <v>布施高等学校</v>
      </c>
    </row>
    <row r="5174" spans="1:18" s="1" customFormat="1" x14ac:dyDescent="0.45">
      <c r="A5174" s="7" t="str">
        <f t="shared" si="1890"/>
        <v>10415000000</v>
      </c>
      <c r="B5174" s="7" t="str">
        <f t="shared" si="1891"/>
        <v>布施高等学校</v>
      </c>
      <c r="C5174" s="7" t="str">
        <f t="shared" si="1871"/>
        <v>行政財産</v>
      </c>
      <c r="D5174" s="7" t="str">
        <f t="shared" si="1859"/>
        <v>学校</v>
      </c>
      <c r="E5174" s="7" t="str">
        <f t="shared" si="1892"/>
        <v>大阪府東大阪市下小阪３丁目</v>
      </c>
      <c r="F5174" s="7" t="str">
        <f t="shared" si="1893"/>
        <v>１４－２１</v>
      </c>
      <c r="G5174" s="7" t="str">
        <f t="shared" si="1878"/>
        <v>事業用資産</v>
      </c>
      <c r="H5174" s="7" t="str">
        <f t="shared" si="1864"/>
        <v>棚卸以外</v>
      </c>
      <c r="I5174" s="7">
        <v>28</v>
      </c>
      <c r="J5174" s="7" t="str">
        <f>"倉庫"</f>
        <v>倉庫</v>
      </c>
      <c r="K5174" s="7" t="str">
        <f>"鉄骨造"</f>
        <v>鉄骨造</v>
      </c>
      <c r="L5174" s="7" t="str">
        <f>"S37.08.15"</f>
        <v>S37.08.15</v>
      </c>
      <c r="M5174" s="7">
        <v>18.87</v>
      </c>
      <c r="N5174" s="7">
        <v>330000</v>
      </c>
      <c r="O5174" s="7">
        <v>329999</v>
      </c>
      <c r="P5174" s="7">
        <v>0</v>
      </c>
      <c r="Q5174" s="7" t="str">
        <f t="shared" si="1883"/>
        <v>教育庁</v>
      </c>
      <c r="R5174" s="7" t="str">
        <f t="shared" si="1894"/>
        <v>布施高等学校</v>
      </c>
    </row>
    <row r="5175" spans="1:18" s="1" customFormat="1" x14ac:dyDescent="0.45">
      <c r="A5175" s="7" t="str">
        <f t="shared" si="1890"/>
        <v>10415000000</v>
      </c>
      <c r="B5175" s="7" t="str">
        <f t="shared" si="1891"/>
        <v>布施高等学校</v>
      </c>
      <c r="C5175" s="7" t="str">
        <f t="shared" si="1871"/>
        <v>行政財産</v>
      </c>
      <c r="D5175" s="7" t="str">
        <f t="shared" si="1859"/>
        <v>学校</v>
      </c>
      <c r="E5175" s="7" t="str">
        <f t="shared" si="1892"/>
        <v>大阪府東大阪市下小阪３丁目</v>
      </c>
      <c r="F5175" s="7" t="str">
        <f t="shared" si="1893"/>
        <v>１４－２１</v>
      </c>
      <c r="G5175" s="7" t="str">
        <f t="shared" si="1878"/>
        <v>事業用資産</v>
      </c>
      <c r="H5175" s="7" t="str">
        <f t="shared" si="1864"/>
        <v>棚卸以外</v>
      </c>
      <c r="I5175" s="7">
        <v>36</v>
      </c>
      <c r="J5175" s="7" t="str">
        <f>"校舎"</f>
        <v>校舎</v>
      </c>
      <c r="K5175" s="7" t="str">
        <f t="shared" ref="K5175:K5181" si="1895">"鉄筋コンクリート造"</f>
        <v>鉄筋コンクリート造</v>
      </c>
      <c r="L5175" s="7" t="str">
        <f>"S40.04.23"</f>
        <v>S40.04.23</v>
      </c>
      <c r="M5175" s="7">
        <v>1366.28</v>
      </c>
      <c r="N5175" s="7">
        <v>154795235</v>
      </c>
      <c r="O5175" s="7">
        <v>74704086</v>
      </c>
      <c r="P5175" s="7">
        <v>0</v>
      </c>
      <c r="Q5175" s="7" t="str">
        <f t="shared" si="1883"/>
        <v>教育庁</v>
      </c>
      <c r="R5175" s="7" t="str">
        <f t="shared" si="1894"/>
        <v>布施高等学校</v>
      </c>
    </row>
    <row r="5176" spans="1:18" s="1" customFormat="1" x14ac:dyDescent="0.45">
      <c r="A5176" s="7" t="str">
        <f t="shared" si="1890"/>
        <v>10415000000</v>
      </c>
      <c r="B5176" s="7" t="str">
        <f t="shared" si="1891"/>
        <v>布施高等学校</v>
      </c>
      <c r="C5176" s="7" t="str">
        <f t="shared" si="1871"/>
        <v>行政財産</v>
      </c>
      <c r="D5176" s="7" t="str">
        <f t="shared" si="1859"/>
        <v>学校</v>
      </c>
      <c r="E5176" s="7" t="str">
        <f t="shared" si="1892"/>
        <v>大阪府東大阪市下小阪３丁目</v>
      </c>
      <c r="F5176" s="7" t="str">
        <f t="shared" si="1893"/>
        <v>１４－２１</v>
      </c>
      <c r="G5176" s="7" t="str">
        <f t="shared" si="1878"/>
        <v>事業用資産</v>
      </c>
      <c r="H5176" s="7" t="str">
        <f t="shared" si="1864"/>
        <v>棚卸以外</v>
      </c>
      <c r="I5176" s="7">
        <v>38</v>
      </c>
      <c r="J5176" s="7" t="str">
        <f>"校舎"</f>
        <v>校舎</v>
      </c>
      <c r="K5176" s="7" t="str">
        <f t="shared" si="1895"/>
        <v>鉄筋コンクリート造</v>
      </c>
      <c r="L5176" s="7" t="str">
        <f>"S41.03.10"</f>
        <v>S41.03.10</v>
      </c>
      <c r="M5176" s="7">
        <v>1526.41</v>
      </c>
      <c r="N5176" s="7">
        <v>116513492</v>
      </c>
      <c r="O5176" s="7">
        <v>67499334</v>
      </c>
      <c r="P5176" s="7">
        <v>0</v>
      </c>
      <c r="Q5176" s="7" t="str">
        <f t="shared" si="1883"/>
        <v>教育庁</v>
      </c>
      <c r="R5176" s="7" t="str">
        <f t="shared" si="1894"/>
        <v>布施高等学校</v>
      </c>
    </row>
    <row r="5177" spans="1:18" s="1" customFormat="1" x14ac:dyDescent="0.45">
      <c r="A5177" s="7" t="str">
        <f t="shared" si="1890"/>
        <v>10415000000</v>
      </c>
      <c r="B5177" s="7" t="str">
        <f t="shared" si="1891"/>
        <v>布施高等学校</v>
      </c>
      <c r="C5177" s="7" t="str">
        <f t="shared" si="1871"/>
        <v>行政財産</v>
      </c>
      <c r="D5177" s="7" t="str">
        <f t="shared" ref="D5177:D5240" si="1896">"学校"</f>
        <v>学校</v>
      </c>
      <c r="E5177" s="7" t="str">
        <f t="shared" si="1892"/>
        <v>大阪府東大阪市下小阪３丁目</v>
      </c>
      <c r="F5177" s="7" t="str">
        <f t="shared" si="1893"/>
        <v>１４－２１</v>
      </c>
      <c r="G5177" s="7" t="str">
        <f t="shared" si="1878"/>
        <v>事業用資産</v>
      </c>
      <c r="H5177" s="7" t="str">
        <f t="shared" si="1864"/>
        <v>棚卸以外</v>
      </c>
      <c r="I5177" s="7">
        <v>40</v>
      </c>
      <c r="J5177" s="7" t="str">
        <f>"校舎"</f>
        <v>校舎</v>
      </c>
      <c r="K5177" s="7" t="str">
        <f t="shared" si="1895"/>
        <v>鉄筋コンクリート造</v>
      </c>
      <c r="L5177" s="7" t="str">
        <f>"S42.02.28"</f>
        <v>S42.02.28</v>
      </c>
      <c r="M5177" s="7">
        <v>860.05</v>
      </c>
      <c r="N5177" s="7">
        <v>67014864</v>
      </c>
      <c r="O5177" s="7">
        <v>39594592</v>
      </c>
      <c r="P5177" s="7">
        <v>0</v>
      </c>
      <c r="Q5177" s="7" t="str">
        <f t="shared" si="1883"/>
        <v>教育庁</v>
      </c>
      <c r="R5177" s="7" t="str">
        <f t="shared" si="1894"/>
        <v>布施高等学校</v>
      </c>
    </row>
    <row r="5178" spans="1:18" s="1" customFormat="1" x14ac:dyDescent="0.45">
      <c r="A5178" s="7" t="str">
        <f t="shared" si="1890"/>
        <v>10415000000</v>
      </c>
      <c r="B5178" s="7" t="str">
        <f t="shared" si="1891"/>
        <v>布施高等学校</v>
      </c>
      <c r="C5178" s="7" t="str">
        <f t="shared" si="1871"/>
        <v>行政財産</v>
      </c>
      <c r="D5178" s="7" t="str">
        <f t="shared" si="1896"/>
        <v>学校</v>
      </c>
      <c r="E5178" s="7" t="str">
        <f t="shared" si="1892"/>
        <v>大阪府東大阪市下小阪３丁目</v>
      </c>
      <c r="F5178" s="7" t="str">
        <f t="shared" si="1893"/>
        <v>１４－２１</v>
      </c>
      <c r="G5178" s="7" t="str">
        <f t="shared" si="1878"/>
        <v>事業用資産</v>
      </c>
      <c r="H5178" s="7" t="str">
        <f t="shared" si="1864"/>
        <v>棚卸以外</v>
      </c>
      <c r="I5178" s="7">
        <v>42</v>
      </c>
      <c r="J5178" s="7" t="str">
        <f>"校舎"</f>
        <v>校舎</v>
      </c>
      <c r="K5178" s="7" t="str">
        <f t="shared" si="1895"/>
        <v>鉄筋コンクリート造</v>
      </c>
      <c r="L5178" s="7" t="str">
        <f>"S43.03.28"</f>
        <v>S43.03.28</v>
      </c>
      <c r="M5178" s="7">
        <v>2259.7800000000002</v>
      </c>
      <c r="N5178" s="7">
        <v>197687589</v>
      </c>
      <c r="O5178" s="7">
        <v>125109060</v>
      </c>
      <c r="P5178" s="7">
        <v>0</v>
      </c>
      <c r="Q5178" s="7" t="str">
        <f t="shared" si="1883"/>
        <v>教育庁</v>
      </c>
      <c r="R5178" s="7" t="str">
        <f t="shared" si="1894"/>
        <v>布施高等学校</v>
      </c>
    </row>
    <row r="5179" spans="1:18" s="1" customFormat="1" x14ac:dyDescent="0.45">
      <c r="A5179" s="7" t="str">
        <f t="shared" si="1890"/>
        <v>10415000000</v>
      </c>
      <c r="B5179" s="7" t="str">
        <f t="shared" si="1891"/>
        <v>布施高等学校</v>
      </c>
      <c r="C5179" s="7" t="str">
        <f t="shared" si="1871"/>
        <v>行政財産</v>
      </c>
      <c r="D5179" s="7" t="str">
        <f t="shared" si="1896"/>
        <v>学校</v>
      </c>
      <c r="E5179" s="7" t="str">
        <f t="shared" si="1892"/>
        <v>大阪府東大阪市下小阪３丁目</v>
      </c>
      <c r="F5179" s="7" t="str">
        <f t="shared" si="1893"/>
        <v>１４－２１</v>
      </c>
      <c r="G5179" s="7" t="str">
        <f t="shared" si="1878"/>
        <v>事業用資産</v>
      </c>
      <c r="H5179" s="7" t="str">
        <f t="shared" si="1864"/>
        <v>棚卸以外</v>
      </c>
      <c r="I5179" s="7">
        <v>43</v>
      </c>
      <c r="J5179" s="7" t="str">
        <f>"渡り廊下"</f>
        <v>渡り廊下</v>
      </c>
      <c r="K5179" s="7" t="str">
        <f t="shared" si="1895"/>
        <v>鉄筋コンクリート造</v>
      </c>
      <c r="L5179" s="7" t="str">
        <f>"S43.03.28"</f>
        <v>S43.03.28</v>
      </c>
      <c r="M5179" s="7">
        <v>233.9</v>
      </c>
      <c r="N5179" s="7">
        <v>5150667</v>
      </c>
      <c r="O5179" s="7">
        <v>5070874</v>
      </c>
      <c r="P5179" s="7">
        <v>0</v>
      </c>
      <c r="Q5179" s="7" t="str">
        <f t="shared" si="1883"/>
        <v>教育庁</v>
      </c>
      <c r="R5179" s="7" t="str">
        <f t="shared" si="1894"/>
        <v>布施高等学校</v>
      </c>
    </row>
    <row r="5180" spans="1:18" s="1" customFormat="1" x14ac:dyDescent="0.45">
      <c r="A5180" s="7" t="str">
        <f t="shared" si="1890"/>
        <v>10415000000</v>
      </c>
      <c r="B5180" s="7" t="str">
        <f t="shared" si="1891"/>
        <v>布施高等学校</v>
      </c>
      <c r="C5180" s="7" t="str">
        <f t="shared" si="1871"/>
        <v>行政財産</v>
      </c>
      <c r="D5180" s="7" t="str">
        <f t="shared" si="1896"/>
        <v>学校</v>
      </c>
      <c r="E5180" s="7" t="str">
        <f t="shared" si="1892"/>
        <v>大阪府東大阪市下小阪３丁目</v>
      </c>
      <c r="F5180" s="7" t="str">
        <f t="shared" si="1893"/>
        <v>１４－２１</v>
      </c>
      <c r="G5180" s="7" t="str">
        <f t="shared" si="1878"/>
        <v>事業用資産</v>
      </c>
      <c r="H5180" s="7" t="str">
        <f t="shared" si="1864"/>
        <v>棚卸以外</v>
      </c>
      <c r="I5180" s="7">
        <v>44</v>
      </c>
      <c r="J5180" s="7" t="str">
        <f>"校舎"</f>
        <v>校舎</v>
      </c>
      <c r="K5180" s="7" t="str">
        <f t="shared" si="1895"/>
        <v>鉄筋コンクリート造</v>
      </c>
      <c r="L5180" s="7" t="str">
        <f>"S44.03.25"</f>
        <v>S44.03.25</v>
      </c>
      <c r="M5180" s="7">
        <v>1535.36</v>
      </c>
      <c r="N5180" s="7">
        <v>134639903</v>
      </c>
      <c r="O5180" s="7">
        <v>76932973</v>
      </c>
      <c r="P5180" s="7">
        <v>0</v>
      </c>
      <c r="Q5180" s="7" t="str">
        <f t="shared" si="1883"/>
        <v>教育庁</v>
      </c>
      <c r="R5180" s="7" t="str">
        <f t="shared" si="1894"/>
        <v>布施高等学校</v>
      </c>
    </row>
    <row r="5181" spans="1:18" s="1" customFormat="1" x14ac:dyDescent="0.45">
      <c r="A5181" s="7" t="str">
        <f t="shared" si="1890"/>
        <v>10415000000</v>
      </c>
      <c r="B5181" s="7" t="str">
        <f t="shared" si="1891"/>
        <v>布施高等学校</v>
      </c>
      <c r="C5181" s="7" t="str">
        <f t="shared" si="1871"/>
        <v>行政財産</v>
      </c>
      <c r="D5181" s="7" t="str">
        <f t="shared" si="1896"/>
        <v>学校</v>
      </c>
      <c r="E5181" s="7" t="str">
        <f t="shared" si="1892"/>
        <v>大阪府東大阪市下小阪３丁目</v>
      </c>
      <c r="F5181" s="7" t="str">
        <f t="shared" si="1893"/>
        <v>１４－２１</v>
      </c>
      <c r="G5181" s="7" t="str">
        <f t="shared" si="1878"/>
        <v>事業用資産</v>
      </c>
      <c r="H5181" s="7" t="str">
        <f t="shared" si="1864"/>
        <v>棚卸以外</v>
      </c>
      <c r="I5181" s="7">
        <v>45</v>
      </c>
      <c r="J5181" s="7" t="str">
        <f>"渡り廊下"</f>
        <v>渡り廊下</v>
      </c>
      <c r="K5181" s="7" t="str">
        <f t="shared" si="1895"/>
        <v>鉄筋コンクリート造</v>
      </c>
      <c r="L5181" s="7" t="str">
        <f>"S44.03.25"</f>
        <v>S44.03.25</v>
      </c>
      <c r="M5181" s="7">
        <v>315.89999999999998</v>
      </c>
      <c r="N5181" s="7">
        <v>11182000</v>
      </c>
      <c r="O5181" s="7">
        <v>10997859</v>
      </c>
      <c r="P5181" s="7">
        <v>0</v>
      </c>
      <c r="Q5181" s="7" t="str">
        <f t="shared" si="1883"/>
        <v>教育庁</v>
      </c>
      <c r="R5181" s="7" t="str">
        <f t="shared" si="1894"/>
        <v>布施高等学校</v>
      </c>
    </row>
    <row r="5182" spans="1:18" s="1" customFormat="1" x14ac:dyDescent="0.45">
      <c r="A5182" s="7" t="str">
        <f t="shared" si="1890"/>
        <v>10415000000</v>
      </c>
      <c r="B5182" s="7" t="str">
        <f t="shared" si="1891"/>
        <v>布施高等学校</v>
      </c>
      <c r="C5182" s="7" t="str">
        <f t="shared" si="1871"/>
        <v>行政財産</v>
      </c>
      <c r="D5182" s="7" t="str">
        <f t="shared" si="1896"/>
        <v>学校</v>
      </c>
      <c r="E5182" s="7" t="str">
        <f t="shared" si="1892"/>
        <v>大阪府東大阪市下小阪３丁目</v>
      </c>
      <c r="F5182" s="7" t="str">
        <f t="shared" si="1893"/>
        <v>１４－２１</v>
      </c>
      <c r="G5182" s="7" t="str">
        <f t="shared" si="1878"/>
        <v>事業用資産</v>
      </c>
      <c r="H5182" s="7" t="str">
        <f t="shared" si="1864"/>
        <v>棚卸以外</v>
      </c>
      <c r="I5182" s="7">
        <v>47</v>
      </c>
      <c r="J5182" s="7" t="str">
        <f>"機械室"</f>
        <v>機械室</v>
      </c>
      <c r="K5182" s="7" t="str">
        <f>"鉄骨造"</f>
        <v>鉄骨造</v>
      </c>
      <c r="L5182" s="7" t="str">
        <f>"S43.03.28"</f>
        <v>S43.03.28</v>
      </c>
      <c r="M5182" s="7">
        <v>15.75</v>
      </c>
      <c r="N5182" s="7">
        <v>285100</v>
      </c>
      <c r="O5182" s="7">
        <v>285099</v>
      </c>
      <c r="P5182" s="7">
        <v>0</v>
      </c>
      <c r="Q5182" s="7" t="str">
        <f t="shared" si="1883"/>
        <v>教育庁</v>
      </c>
      <c r="R5182" s="7" t="str">
        <f t="shared" si="1894"/>
        <v>布施高等学校</v>
      </c>
    </row>
    <row r="5183" spans="1:18" s="1" customFormat="1" x14ac:dyDescent="0.45">
      <c r="A5183" s="7" t="str">
        <f t="shared" si="1890"/>
        <v>10415000000</v>
      </c>
      <c r="B5183" s="7" t="str">
        <f t="shared" si="1891"/>
        <v>布施高等学校</v>
      </c>
      <c r="C5183" s="7" t="str">
        <f t="shared" si="1871"/>
        <v>行政財産</v>
      </c>
      <c r="D5183" s="7" t="str">
        <f t="shared" si="1896"/>
        <v>学校</v>
      </c>
      <c r="E5183" s="7" t="str">
        <f t="shared" si="1892"/>
        <v>大阪府東大阪市下小阪３丁目</v>
      </c>
      <c r="F5183" s="7" t="str">
        <f t="shared" si="1893"/>
        <v>１４－２１</v>
      </c>
      <c r="G5183" s="7" t="str">
        <f t="shared" si="1878"/>
        <v>事業用資産</v>
      </c>
      <c r="H5183" s="7" t="str">
        <f t="shared" si="1864"/>
        <v>棚卸以外</v>
      </c>
      <c r="I5183" s="7">
        <v>48</v>
      </c>
      <c r="J5183" s="7" t="str">
        <f>"食堂"</f>
        <v>食堂</v>
      </c>
      <c r="K5183" s="7" t="str">
        <f>"鉄骨造"</f>
        <v>鉄骨造</v>
      </c>
      <c r="L5183" s="7" t="str">
        <f>"S45.11.30"</f>
        <v>S45.11.30</v>
      </c>
      <c r="M5183" s="7">
        <v>545.04</v>
      </c>
      <c r="N5183" s="7">
        <v>55972448</v>
      </c>
      <c r="O5183" s="7">
        <v>55058932</v>
      </c>
      <c r="P5183" s="7">
        <v>0</v>
      </c>
      <c r="Q5183" s="7" t="str">
        <f t="shared" si="1883"/>
        <v>教育庁</v>
      </c>
      <c r="R5183" s="7" t="str">
        <f t="shared" si="1894"/>
        <v>布施高等学校</v>
      </c>
    </row>
    <row r="5184" spans="1:18" s="1" customFormat="1" x14ac:dyDescent="0.45">
      <c r="A5184" s="7" t="str">
        <f t="shared" si="1890"/>
        <v>10415000000</v>
      </c>
      <c r="B5184" s="7" t="str">
        <f t="shared" si="1891"/>
        <v>布施高等学校</v>
      </c>
      <c r="C5184" s="7" t="str">
        <f t="shared" si="1871"/>
        <v>行政財産</v>
      </c>
      <c r="D5184" s="7" t="str">
        <f t="shared" si="1896"/>
        <v>学校</v>
      </c>
      <c r="E5184" s="7" t="str">
        <f t="shared" si="1892"/>
        <v>大阪府東大阪市下小阪３丁目</v>
      </c>
      <c r="F5184" s="7" t="str">
        <f t="shared" si="1893"/>
        <v>１４－２１</v>
      </c>
      <c r="G5184" s="7" t="str">
        <f t="shared" si="1878"/>
        <v>事業用資産</v>
      </c>
      <c r="H5184" s="7" t="str">
        <f t="shared" si="1864"/>
        <v>棚卸以外</v>
      </c>
      <c r="I5184" s="7">
        <v>50</v>
      </c>
      <c r="J5184" s="7" t="str">
        <f>"体育館"</f>
        <v>体育館</v>
      </c>
      <c r="K5184" s="7" t="str">
        <f>"鉄筋コンクリート造"</f>
        <v>鉄筋コンクリート造</v>
      </c>
      <c r="L5184" s="7" t="str">
        <f>"S46.02.22"</f>
        <v>S46.02.22</v>
      </c>
      <c r="M5184" s="7">
        <v>2113.58</v>
      </c>
      <c r="N5184" s="7">
        <v>191565862</v>
      </c>
      <c r="O5184" s="7">
        <v>118905285</v>
      </c>
      <c r="P5184" s="7">
        <v>0</v>
      </c>
      <c r="Q5184" s="7" t="str">
        <f t="shared" si="1883"/>
        <v>教育庁</v>
      </c>
      <c r="R5184" s="7" t="str">
        <f t="shared" si="1894"/>
        <v>布施高等学校</v>
      </c>
    </row>
    <row r="5185" spans="1:18" s="1" customFormat="1" x14ac:dyDescent="0.45">
      <c r="A5185" s="7" t="str">
        <f t="shared" si="1890"/>
        <v>10415000000</v>
      </c>
      <c r="B5185" s="7" t="str">
        <f t="shared" si="1891"/>
        <v>布施高等学校</v>
      </c>
      <c r="C5185" s="7" t="str">
        <f t="shared" si="1871"/>
        <v>行政財産</v>
      </c>
      <c r="D5185" s="7" t="str">
        <f t="shared" si="1896"/>
        <v>学校</v>
      </c>
      <c r="E5185" s="7" t="str">
        <f t="shared" si="1892"/>
        <v>大阪府東大阪市下小阪３丁目</v>
      </c>
      <c r="F5185" s="7" t="str">
        <f t="shared" si="1893"/>
        <v>１４－２１</v>
      </c>
      <c r="G5185" s="7" t="str">
        <f t="shared" si="1878"/>
        <v>事業用資産</v>
      </c>
      <c r="H5185" s="7" t="str">
        <f t="shared" si="1864"/>
        <v>棚卸以外</v>
      </c>
      <c r="I5185" s="7">
        <v>52</v>
      </c>
      <c r="J5185" s="7" t="str">
        <f>"文化会館"</f>
        <v>文化会館</v>
      </c>
      <c r="K5185" s="7" t="str">
        <f>"鉄筋コンクリート造"</f>
        <v>鉄筋コンクリート造</v>
      </c>
      <c r="L5185" s="7" t="str">
        <f>"S47.03.28"</f>
        <v>S47.03.28</v>
      </c>
      <c r="M5185" s="7">
        <v>320.36</v>
      </c>
      <c r="N5185" s="7">
        <v>68944100</v>
      </c>
      <c r="O5185" s="7">
        <v>68105243</v>
      </c>
      <c r="P5185" s="7">
        <v>0</v>
      </c>
      <c r="Q5185" s="7" t="str">
        <f t="shared" si="1883"/>
        <v>教育庁</v>
      </c>
      <c r="R5185" s="7" t="str">
        <f t="shared" si="1894"/>
        <v>布施高等学校</v>
      </c>
    </row>
    <row r="5186" spans="1:18" s="1" customFormat="1" x14ac:dyDescent="0.45">
      <c r="A5186" s="7" t="str">
        <f t="shared" si="1890"/>
        <v>10415000000</v>
      </c>
      <c r="B5186" s="7" t="str">
        <f t="shared" si="1891"/>
        <v>布施高等学校</v>
      </c>
      <c r="C5186" s="7" t="str">
        <f t="shared" si="1871"/>
        <v>行政財産</v>
      </c>
      <c r="D5186" s="7" t="str">
        <f t="shared" si="1896"/>
        <v>学校</v>
      </c>
      <c r="E5186" s="7" t="str">
        <f t="shared" si="1892"/>
        <v>大阪府東大阪市下小阪３丁目</v>
      </c>
      <c r="F5186" s="7" t="str">
        <f t="shared" si="1893"/>
        <v>１４－２１</v>
      </c>
      <c r="G5186" s="7" t="str">
        <f t="shared" si="1878"/>
        <v>事業用資産</v>
      </c>
      <c r="H5186" s="7" t="str">
        <f t="shared" si="1864"/>
        <v>棚卸以外</v>
      </c>
      <c r="I5186" s="7">
        <v>53</v>
      </c>
      <c r="J5186" s="7" t="str">
        <f>"クラブ室"</f>
        <v>クラブ室</v>
      </c>
      <c r="K5186" s="7" t="str">
        <f>"コンクリートブロック造"</f>
        <v>コンクリートブロック造</v>
      </c>
      <c r="L5186" s="7" t="str">
        <f>"S47.03.28"</f>
        <v>S47.03.28</v>
      </c>
      <c r="M5186" s="7">
        <v>72</v>
      </c>
      <c r="N5186" s="7">
        <v>2853052</v>
      </c>
      <c r="O5186" s="7">
        <v>1971699</v>
      </c>
      <c r="P5186" s="7">
        <v>0</v>
      </c>
      <c r="Q5186" s="7" t="str">
        <f t="shared" si="1883"/>
        <v>教育庁</v>
      </c>
      <c r="R5186" s="7" t="str">
        <f t="shared" si="1894"/>
        <v>布施高等学校</v>
      </c>
    </row>
    <row r="5187" spans="1:18" s="1" customFormat="1" x14ac:dyDescent="0.45">
      <c r="A5187" s="7" t="str">
        <f t="shared" si="1890"/>
        <v>10415000000</v>
      </c>
      <c r="B5187" s="7" t="str">
        <f t="shared" si="1891"/>
        <v>布施高等学校</v>
      </c>
      <c r="C5187" s="7" t="str">
        <f t="shared" si="1871"/>
        <v>行政財産</v>
      </c>
      <c r="D5187" s="7" t="str">
        <f t="shared" si="1896"/>
        <v>学校</v>
      </c>
      <c r="E5187" s="7" t="str">
        <f t="shared" si="1892"/>
        <v>大阪府東大阪市下小阪３丁目</v>
      </c>
      <c r="F5187" s="7" t="str">
        <f t="shared" si="1893"/>
        <v>１４－２１</v>
      </c>
      <c r="G5187" s="7" t="str">
        <f t="shared" si="1878"/>
        <v>事業用資産</v>
      </c>
      <c r="H5187" s="7" t="str">
        <f t="shared" si="1864"/>
        <v>棚卸以外</v>
      </c>
      <c r="I5187" s="7">
        <v>54</v>
      </c>
      <c r="J5187" s="7" t="str">
        <f>"クラブ室"</f>
        <v>クラブ室</v>
      </c>
      <c r="K5187" s="7" t="str">
        <f>"コンクリートブロック造"</f>
        <v>コンクリートブロック造</v>
      </c>
      <c r="L5187" s="7" t="str">
        <f>"S47.03.28"</f>
        <v>S47.03.28</v>
      </c>
      <c r="M5187" s="7">
        <v>72</v>
      </c>
      <c r="N5187" s="7">
        <v>2853052</v>
      </c>
      <c r="O5187" s="7">
        <v>1971699</v>
      </c>
      <c r="P5187" s="7">
        <v>0</v>
      </c>
      <c r="Q5187" s="7" t="str">
        <f t="shared" si="1883"/>
        <v>教育庁</v>
      </c>
      <c r="R5187" s="7" t="str">
        <f t="shared" si="1894"/>
        <v>布施高等学校</v>
      </c>
    </row>
    <row r="5188" spans="1:18" s="1" customFormat="1" x14ac:dyDescent="0.45">
      <c r="A5188" s="7" t="str">
        <f t="shared" si="1890"/>
        <v>10415000000</v>
      </c>
      <c r="B5188" s="7" t="str">
        <f t="shared" si="1891"/>
        <v>布施高等学校</v>
      </c>
      <c r="C5188" s="7" t="str">
        <f t="shared" si="1871"/>
        <v>行政財産</v>
      </c>
      <c r="D5188" s="7" t="str">
        <f t="shared" si="1896"/>
        <v>学校</v>
      </c>
      <c r="E5188" s="7" t="str">
        <f t="shared" si="1892"/>
        <v>大阪府東大阪市下小阪３丁目</v>
      </c>
      <c r="F5188" s="7" t="str">
        <f t="shared" si="1893"/>
        <v>１４－２１</v>
      </c>
      <c r="G5188" s="7" t="str">
        <f t="shared" si="1878"/>
        <v>事業用資産</v>
      </c>
      <c r="H5188" s="7" t="str">
        <f t="shared" ref="H5188:H5251" si="1897">"棚卸以外"</f>
        <v>棚卸以外</v>
      </c>
      <c r="I5188" s="7">
        <v>55</v>
      </c>
      <c r="J5188" s="7" t="str">
        <f>"体育器具倉庫"</f>
        <v>体育器具倉庫</v>
      </c>
      <c r="K5188" s="7" t="str">
        <f>"コンクリートブロック造"</f>
        <v>コンクリートブロック造</v>
      </c>
      <c r="L5188" s="7" t="str">
        <f>"S47.03.31"</f>
        <v>S47.03.31</v>
      </c>
      <c r="M5188" s="7">
        <v>20.59</v>
      </c>
      <c r="N5188" s="7">
        <v>400000</v>
      </c>
      <c r="O5188" s="7">
        <v>399999</v>
      </c>
      <c r="P5188" s="7">
        <v>0</v>
      </c>
      <c r="Q5188" s="7" t="str">
        <f t="shared" si="1883"/>
        <v>教育庁</v>
      </c>
      <c r="R5188" s="7" t="str">
        <f t="shared" si="1894"/>
        <v>布施高等学校</v>
      </c>
    </row>
    <row r="5189" spans="1:18" s="1" customFormat="1" x14ac:dyDescent="0.45">
      <c r="A5189" s="7" t="str">
        <f t="shared" si="1890"/>
        <v>10415000000</v>
      </c>
      <c r="B5189" s="7" t="str">
        <f t="shared" si="1891"/>
        <v>布施高等学校</v>
      </c>
      <c r="C5189" s="7" t="str">
        <f t="shared" si="1871"/>
        <v>行政財産</v>
      </c>
      <c r="D5189" s="7" t="str">
        <f t="shared" si="1896"/>
        <v>学校</v>
      </c>
      <c r="E5189" s="7" t="str">
        <f t="shared" si="1892"/>
        <v>大阪府東大阪市下小阪３丁目</v>
      </c>
      <c r="F5189" s="7" t="str">
        <f t="shared" si="1893"/>
        <v>１４－２１</v>
      </c>
      <c r="G5189" s="7" t="str">
        <f t="shared" si="1878"/>
        <v>事業用資産</v>
      </c>
      <c r="H5189" s="7" t="str">
        <f t="shared" si="1897"/>
        <v>棚卸以外</v>
      </c>
      <c r="I5189" s="7">
        <v>57</v>
      </c>
      <c r="J5189" s="7" t="str">
        <f>"プール附属棟"</f>
        <v>プール附属棟</v>
      </c>
      <c r="K5189" s="7" t="str">
        <f>"鉄筋コンクリート造"</f>
        <v>鉄筋コンクリート造</v>
      </c>
      <c r="L5189" s="7" t="str">
        <f>"S48.03.31"</f>
        <v>S48.03.31</v>
      </c>
      <c r="M5189" s="7">
        <v>188</v>
      </c>
      <c r="N5189" s="7">
        <v>11261754</v>
      </c>
      <c r="O5189" s="7">
        <v>11173576</v>
      </c>
      <c r="P5189" s="7">
        <v>0</v>
      </c>
      <c r="Q5189" s="7" t="str">
        <f t="shared" si="1883"/>
        <v>教育庁</v>
      </c>
      <c r="R5189" s="7" t="str">
        <f t="shared" si="1894"/>
        <v>布施高等学校</v>
      </c>
    </row>
    <row r="5190" spans="1:18" s="1" customFormat="1" x14ac:dyDescent="0.45">
      <c r="A5190" s="7" t="str">
        <f t="shared" si="1890"/>
        <v>10415000000</v>
      </c>
      <c r="B5190" s="7" t="str">
        <f t="shared" si="1891"/>
        <v>布施高等学校</v>
      </c>
      <c r="C5190" s="7" t="str">
        <f t="shared" si="1871"/>
        <v>行政財産</v>
      </c>
      <c r="D5190" s="7" t="str">
        <f t="shared" si="1896"/>
        <v>学校</v>
      </c>
      <c r="E5190" s="7" t="str">
        <f t="shared" si="1892"/>
        <v>大阪府東大阪市下小阪３丁目</v>
      </c>
      <c r="F5190" s="7" t="str">
        <f t="shared" si="1893"/>
        <v>１４－２１</v>
      </c>
      <c r="G5190" s="7" t="str">
        <f t="shared" si="1878"/>
        <v>事業用資産</v>
      </c>
      <c r="H5190" s="7" t="str">
        <f t="shared" si="1897"/>
        <v>棚卸以外</v>
      </c>
      <c r="I5190" s="7">
        <v>59</v>
      </c>
      <c r="J5190" s="7" t="str">
        <f>"自転車置場"</f>
        <v>自転車置場</v>
      </c>
      <c r="K5190" s="7" t="str">
        <f>"鉄骨造"</f>
        <v>鉄骨造</v>
      </c>
      <c r="L5190" s="7" t="str">
        <f>"S49.10.15"</f>
        <v>S49.10.15</v>
      </c>
      <c r="M5190" s="7">
        <v>40</v>
      </c>
      <c r="N5190" s="7">
        <v>677000</v>
      </c>
      <c r="O5190" s="7">
        <v>676999</v>
      </c>
      <c r="P5190" s="7">
        <v>0</v>
      </c>
      <c r="Q5190" s="7" t="str">
        <f t="shared" si="1883"/>
        <v>教育庁</v>
      </c>
      <c r="R5190" s="7" t="str">
        <f t="shared" si="1894"/>
        <v>布施高等学校</v>
      </c>
    </row>
    <row r="5191" spans="1:18" s="1" customFormat="1" x14ac:dyDescent="0.45">
      <c r="A5191" s="7" t="str">
        <f t="shared" si="1890"/>
        <v>10415000000</v>
      </c>
      <c r="B5191" s="7" t="str">
        <f t="shared" si="1891"/>
        <v>布施高等学校</v>
      </c>
      <c r="C5191" s="7" t="str">
        <f t="shared" si="1871"/>
        <v>行政財産</v>
      </c>
      <c r="D5191" s="7" t="str">
        <f t="shared" si="1896"/>
        <v>学校</v>
      </c>
      <c r="E5191" s="7" t="str">
        <f t="shared" si="1892"/>
        <v>大阪府東大阪市下小阪３丁目</v>
      </c>
      <c r="F5191" s="7" t="str">
        <f t="shared" si="1893"/>
        <v>１４－２１</v>
      </c>
      <c r="G5191" s="7" t="str">
        <f t="shared" si="1878"/>
        <v>事業用資産</v>
      </c>
      <c r="H5191" s="7" t="str">
        <f t="shared" si="1897"/>
        <v>棚卸以外</v>
      </c>
      <c r="I5191" s="7">
        <v>60</v>
      </c>
      <c r="J5191" s="7" t="str">
        <f>"校舎"</f>
        <v>校舎</v>
      </c>
      <c r="K5191" s="7" t="str">
        <f>"鉄筋コンクリート造"</f>
        <v>鉄筋コンクリート造</v>
      </c>
      <c r="L5191" s="7" t="str">
        <f>"S57.11.12"</f>
        <v>S57.11.12</v>
      </c>
      <c r="M5191" s="7">
        <v>1489.34</v>
      </c>
      <c r="N5191" s="7">
        <v>231433459</v>
      </c>
      <c r="O5191" s="7">
        <v>191468335</v>
      </c>
      <c r="P5191" s="7">
        <v>0</v>
      </c>
      <c r="Q5191" s="7" t="str">
        <f t="shared" si="1883"/>
        <v>教育庁</v>
      </c>
      <c r="R5191" s="7" t="str">
        <f t="shared" si="1894"/>
        <v>布施高等学校</v>
      </c>
    </row>
    <row r="5192" spans="1:18" s="1" customFormat="1" x14ac:dyDescent="0.45">
      <c r="A5192" s="7" t="str">
        <f t="shared" si="1890"/>
        <v>10415000000</v>
      </c>
      <c r="B5192" s="7" t="str">
        <f t="shared" si="1891"/>
        <v>布施高等学校</v>
      </c>
      <c r="C5192" s="7" t="str">
        <f t="shared" si="1871"/>
        <v>行政財産</v>
      </c>
      <c r="D5192" s="7" t="str">
        <f t="shared" si="1896"/>
        <v>学校</v>
      </c>
      <c r="E5192" s="7" t="str">
        <f t="shared" si="1892"/>
        <v>大阪府東大阪市下小阪３丁目</v>
      </c>
      <c r="F5192" s="7" t="str">
        <f t="shared" si="1893"/>
        <v>１４－２１</v>
      </c>
      <c r="G5192" s="7" t="str">
        <f t="shared" si="1878"/>
        <v>事業用資産</v>
      </c>
      <c r="H5192" s="7" t="str">
        <f t="shared" si="1897"/>
        <v>棚卸以外</v>
      </c>
      <c r="I5192" s="7">
        <v>61</v>
      </c>
      <c r="J5192" s="7" t="str">
        <f>"渡り廊下"</f>
        <v>渡り廊下</v>
      </c>
      <c r="K5192" s="7" t="str">
        <f>"鉄筋コンクリート造"</f>
        <v>鉄筋コンクリート造</v>
      </c>
      <c r="L5192" s="7" t="str">
        <f>"S57.11.12"</f>
        <v>S57.11.12</v>
      </c>
      <c r="M5192" s="7">
        <v>52.17</v>
      </c>
      <c r="N5192" s="7">
        <v>16394495</v>
      </c>
      <c r="O5192" s="7">
        <v>16052420</v>
      </c>
      <c r="P5192" s="7">
        <v>0</v>
      </c>
      <c r="Q5192" s="7" t="str">
        <f t="shared" si="1883"/>
        <v>教育庁</v>
      </c>
      <c r="R5192" s="7" t="str">
        <f t="shared" si="1894"/>
        <v>布施高等学校</v>
      </c>
    </row>
    <row r="5193" spans="1:18" s="1" customFormat="1" x14ac:dyDescent="0.45">
      <c r="A5193" s="7" t="str">
        <f t="shared" si="1890"/>
        <v>10415000000</v>
      </c>
      <c r="B5193" s="7" t="str">
        <f t="shared" si="1891"/>
        <v>布施高等学校</v>
      </c>
      <c r="C5193" s="7" t="str">
        <f t="shared" si="1871"/>
        <v>行政財産</v>
      </c>
      <c r="D5193" s="7" t="str">
        <f t="shared" si="1896"/>
        <v>学校</v>
      </c>
      <c r="E5193" s="7" t="str">
        <f t="shared" si="1892"/>
        <v>大阪府東大阪市下小阪３丁目</v>
      </c>
      <c r="F5193" s="7" t="str">
        <f t="shared" si="1893"/>
        <v>１４－２１</v>
      </c>
      <c r="G5193" s="7" t="str">
        <f t="shared" si="1878"/>
        <v>事業用資産</v>
      </c>
      <c r="H5193" s="7" t="str">
        <f t="shared" si="1897"/>
        <v>棚卸以外</v>
      </c>
      <c r="I5193" s="7">
        <v>62</v>
      </c>
      <c r="J5193" s="7" t="str">
        <f>"事務倉庫"</f>
        <v>事務倉庫</v>
      </c>
      <c r="K5193" s="7" t="str">
        <f>"鉄骨造"</f>
        <v>鉄骨造</v>
      </c>
      <c r="L5193" s="7" t="str">
        <f>"S57.11.12"</f>
        <v>S57.11.12</v>
      </c>
      <c r="M5193" s="7">
        <v>102.01</v>
      </c>
      <c r="N5193" s="7">
        <v>9062000</v>
      </c>
      <c r="O5193" s="7">
        <v>9061999</v>
      </c>
      <c r="P5193" s="7">
        <v>0</v>
      </c>
      <c r="Q5193" s="7" t="str">
        <f t="shared" si="1883"/>
        <v>教育庁</v>
      </c>
      <c r="R5193" s="7" t="str">
        <f t="shared" si="1894"/>
        <v>布施高等学校</v>
      </c>
    </row>
    <row r="5194" spans="1:18" s="1" customFormat="1" x14ac:dyDescent="0.45">
      <c r="A5194" s="7" t="str">
        <f t="shared" si="1890"/>
        <v>10415000000</v>
      </c>
      <c r="B5194" s="7" t="str">
        <f t="shared" si="1891"/>
        <v>布施高等学校</v>
      </c>
      <c r="C5194" s="7" t="str">
        <f t="shared" si="1871"/>
        <v>行政財産</v>
      </c>
      <c r="D5194" s="7" t="str">
        <f t="shared" si="1896"/>
        <v>学校</v>
      </c>
      <c r="E5194" s="7" t="str">
        <f t="shared" si="1892"/>
        <v>大阪府東大阪市下小阪３丁目</v>
      </c>
      <c r="F5194" s="7" t="str">
        <f t="shared" si="1893"/>
        <v>１４－２１</v>
      </c>
      <c r="G5194" s="7" t="str">
        <f t="shared" si="1878"/>
        <v>事業用資産</v>
      </c>
      <c r="H5194" s="7" t="str">
        <f t="shared" si="1897"/>
        <v>棚卸以外</v>
      </c>
      <c r="I5194" s="7">
        <v>63</v>
      </c>
      <c r="J5194" s="7" t="str">
        <f>"美術倉庫"</f>
        <v>美術倉庫</v>
      </c>
      <c r="K5194" s="7" t="str">
        <f>"鉄骨造"</f>
        <v>鉄骨造</v>
      </c>
      <c r="L5194" s="7" t="str">
        <f>"S57.11.12"</f>
        <v>S57.11.12</v>
      </c>
      <c r="M5194" s="7">
        <v>60.65</v>
      </c>
      <c r="N5194" s="7">
        <v>6907000</v>
      </c>
      <c r="O5194" s="7">
        <v>6906999</v>
      </c>
      <c r="P5194" s="7">
        <v>0</v>
      </c>
      <c r="Q5194" s="7" t="str">
        <f t="shared" si="1883"/>
        <v>教育庁</v>
      </c>
      <c r="R5194" s="7" t="str">
        <f t="shared" si="1894"/>
        <v>布施高等学校</v>
      </c>
    </row>
    <row r="5195" spans="1:18" s="1" customFormat="1" x14ac:dyDescent="0.45">
      <c r="A5195" s="7" t="str">
        <f t="shared" si="1890"/>
        <v>10415000000</v>
      </c>
      <c r="B5195" s="7" t="str">
        <f t="shared" si="1891"/>
        <v>布施高等学校</v>
      </c>
      <c r="C5195" s="7" t="str">
        <f t="shared" si="1871"/>
        <v>行政財産</v>
      </c>
      <c r="D5195" s="7" t="str">
        <f t="shared" si="1896"/>
        <v>学校</v>
      </c>
      <c r="E5195" s="7" t="str">
        <f t="shared" si="1892"/>
        <v>大阪府東大阪市下小阪３丁目</v>
      </c>
      <c r="F5195" s="7" t="str">
        <f t="shared" si="1893"/>
        <v>１４－２１</v>
      </c>
      <c r="G5195" s="7" t="str">
        <f t="shared" si="1878"/>
        <v>事業用資産</v>
      </c>
      <c r="H5195" s="7" t="str">
        <f t="shared" si="1897"/>
        <v>棚卸以外</v>
      </c>
      <c r="I5195" s="7">
        <v>64</v>
      </c>
      <c r="J5195" s="7" t="str">
        <f>"倉庫"</f>
        <v>倉庫</v>
      </c>
      <c r="K5195" s="7" t="str">
        <f>"軽量鉄骨造"</f>
        <v>軽量鉄骨造</v>
      </c>
      <c r="L5195" s="7" t="str">
        <f>"H03.03.30"</f>
        <v>H03.03.30</v>
      </c>
      <c r="M5195" s="7">
        <v>178.52</v>
      </c>
      <c r="N5195" s="7">
        <v>19879000</v>
      </c>
      <c r="O5195" s="7">
        <v>19878999</v>
      </c>
      <c r="P5195" s="7">
        <v>0</v>
      </c>
      <c r="Q5195" s="7" t="str">
        <f t="shared" si="1883"/>
        <v>教育庁</v>
      </c>
      <c r="R5195" s="7" t="str">
        <f t="shared" si="1894"/>
        <v>布施高等学校</v>
      </c>
    </row>
    <row r="5196" spans="1:18" s="1" customFormat="1" x14ac:dyDescent="0.45">
      <c r="A5196" s="7" t="str">
        <f t="shared" ref="A5196:A5213" si="1898">"10416000000"</f>
        <v>10416000000</v>
      </c>
      <c r="B5196" s="7" t="str">
        <f t="shared" ref="B5196:B5213" si="1899">"花園高等学校"</f>
        <v>花園高等学校</v>
      </c>
      <c r="C5196" s="7" t="str">
        <f t="shared" si="1871"/>
        <v>行政財産</v>
      </c>
      <c r="D5196" s="7" t="str">
        <f t="shared" si="1896"/>
        <v>学校</v>
      </c>
      <c r="E5196" s="7" t="str">
        <f t="shared" ref="E5196:E5213" si="1900">"大阪府東大阪市花園東町３丁目"</f>
        <v>大阪府東大阪市花園東町３丁目</v>
      </c>
      <c r="F5196" s="7"/>
      <c r="G5196" s="7" t="str">
        <f t="shared" si="1878"/>
        <v>事業用資産</v>
      </c>
      <c r="H5196" s="7" t="str">
        <f t="shared" si="1897"/>
        <v>棚卸以外</v>
      </c>
      <c r="I5196" s="7">
        <v>1</v>
      </c>
      <c r="J5196" s="7" t="str">
        <f>"校舎（教室棟）"</f>
        <v>校舎（教室棟）</v>
      </c>
      <c r="K5196" s="7" t="str">
        <f t="shared" ref="K5196:K5203" si="1901">"鉄筋コンクリート造"</f>
        <v>鉄筋コンクリート造</v>
      </c>
      <c r="L5196" s="7" t="str">
        <f>"S38.02.15"</f>
        <v>S38.02.15</v>
      </c>
      <c r="M5196" s="7">
        <v>2628.53</v>
      </c>
      <c r="N5196" s="7">
        <v>301535452</v>
      </c>
      <c r="O5196" s="7">
        <v>201171736</v>
      </c>
      <c r="P5196" s="7">
        <v>0</v>
      </c>
      <c r="Q5196" s="7" t="str">
        <f t="shared" si="1883"/>
        <v>教育庁</v>
      </c>
      <c r="R5196" s="7" t="str">
        <f t="shared" ref="R5196:R5213" si="1902">"花園高等学校"</f>
        <v>花園高等学校</v>
      </c>
    </row>
    <row r="5197" spans="1:18" s="1" customFormat="1" x14ac:dyDescent="0.45">
      <c r="A5197" s="7" t="str">
        <f t="shared" si="1898"/>
        <v>10416000000</v>
      </c>
      <c r="B5197" s="7" t="str">
        <f t="shared" si="1899"/>
        <v>花園高等学校</v>
      </c>
      <c r="C5197" s="7" t="str">
        <f t="shared" ref="C5197:C5260" si="1903">"行政財産"</f>
        <v>行政財産</v>
      </c>
      <c r="D5197" s="7" t="str">
        <f t="shared" si="1896"/>
        <v>学校</v>
      </c>
      <c r="E5197" s="7" t="str">
        <f t="shared" si="1900"/>
        <v>大阪府東大阪市花園東町３丁目</v>
      </c>
      <c r="F5197" s="7"/>
      <c r="G5197" s="7" t="str">
        <f t="shared" si="1878"/>
        <v>事業用資産</v>
      </c>
      <c r="H5197" s="7" t="str">
        <f t="shared" si="1897"/>
        <v>棚卸以外</v>
      </c>
      <c r="I5197" s="7">
        <v>3</v>
      </c>
      <c r="J5197" s="7" t="str">
        <f>"電気室"</f>
        <v>電気室</v>
      </c>
      <c r="K5197" s="7" t="str">
        <f t="shared" si="1901"/>
        <v>鉄筋コンクリート造</v>
      </c>
      <c r="L5197" s="7" t="str">
        <f>"S38.02.15"</f>
        <v>S38.02.15</v>
      </c>
      <c r="M5197" s="7">
        <v>35</v>
      </c>
      <c r="N5197" s="7">
        <v>32430000</v>
      </c>
      <c r="O5197" s="7">
        <v>32429998</v>
      </c>
      <c r="P5197" s="7">
        <v>0</v>
      </c>
      <c r="Q5197" s="7" t="str">
        <f t="shared" si="1883"/>
        <v>教育庁</v>
      </c>
      <c r="R5197" s="7" t="str">
        <f t="shared" si="1902"/>
        <v>花園高等学校</v>
      </c>
    </row>
    <row r="5198" spans="1:18" s="1" customFormat="1" x14ac:dyDescent="0.45">
      <c r="A5198" s="7" t="str">
        <f t="shared" si="1898"/>
        <v>10416000000</v>
      </c>
      <c r="B5198" s="7" t="str">
        <f t="shared" si="1899"/>
        <v>花園高等学校</v>
      </c>
      <c r="C5198" s="7" t="str">
        <f t="shared" si="1903"/>
        <v>行政財産</v>
      </c>
      <c r="D5198" s="7" t="str">
        <f t="shared" si="1896"/>
        <v>学校</v>
      </c>
      <c r="E5198" s="7" t="str">
        <f t="shared" si="1900"/>
        <v>大阪府東大阪市花園東町３丁目</v>
      </c>
      <c r="F5198" s="7"/>
      <c r="G5198" s="7" t="str">
        <f t="shared" si="1878"/>
        <v>事業用資産</v>
      </c>
      <c r="H5198" s="7" t="str">
        <f t="shared" si="1897"/>
        <v>棚卸以外</v>
      </c>
      <c r="I5198" s="7">
        <v>6</v>
      </c>
      <c r="J5198" s="7" t="str">
        <f>"校舎（実験棟）"</f>
        <v>校舎（実験棟）</v>
      </c>
      <c r="K5198" s="7" t="str">
        <f t="shared" si="1901"/>
        <v>鉄筋コンクリート造</v>
      </c>
      <c r="L5198" s="7" t="str">
        <f>"S39.02.29"</f>
        <v>S39.02.29</v>
      </c>
      <c r="M5198" s="7">
        <v>3103.03</v>
      </c>
      <c r="N5198" s="7">
        <v>229994022</v>
      </c>
      <c r="O5198" s="7">
        <v>191563230</v>
      </c>
      <c r="P5198" s="7">
        <v>0</v>
      </c>
      <c r="Q5198" s="7" t="str">
        <f t="shared" si="1883"/>
        <v>教育庁</v>
      </c>
      <c r="R5198" s="7" t="str">
        <f t="shared" si="1902"/>
        <v>花園高等学校</v>
      </c>
    </row>
    <row r="5199" spans="1:18" s="1" customFormat="1" x14ac:dyDescent="0.45">
      <c r="A5199" s="7" t="str">
        <f t="shared" si="1898"/>
        <v>10416000000</v>
      </c>
      <c r="B5199" s="7" t="str">
        <f t="shared" si="1899"/>
        <v>花園高等学校</v>
      </c>
      <c r="C5199" s="7" t="str">
        <f t="shared" si="1903"/>
        <v>行政財産</v>
      </c>
      <c r="D5199" s="7" t="str">
        <f t="shared" si="1896"/>
        <v>学校</v>
      </c>
      <c r="E5199" s="7" t="str">
        <f t="shared" si="1900"/>
        <v>大阪府東大阪市花園東町３丁目</v>
      </c>
      <c r="F5199" s="7"/>
      <c r="G5199" s="7" t="str">
        <f t="shared" si="1878"/>
        <v>事業用資産</v>
      </c>
      <c r="H5199" s="7" t="str">
        <f t="shared" si="1897"/>
        <v>棚卸以外</v>
      </c>
      <c r="I5199" s="7">
        <v>7</v>
      </c>
      <c r="J5199" s="7" t="str">
        <f>"渡り廊下"</f>
        <v>渡り廊下</v>
      </c>
      <c r="K5199" s="7" t="str">
        <f t="shared" si="1901"/>
        <v>鉄筋コンクリート造</v>
      </c>
      <c r="L5199" s="7" t="str">
        <f>"S39.02.29"</f>
        <v>S39.02.29</v>
      </c>
      <c r="M5199" s="7">
        <v>334</v>
      </c>
      <c r="N5199" s="7">
        <v>41431000</v>
      </c>
      <c r="O5199" s="7">
        <v>34940887</v>
      </c>
      <c r="P5199" s="7">
        <v>0</v>
      </c>
      <c r="Q5199" s="7" t="str">
        <f t="shared" si="1883"/>
        <v>教育庁</v>
      </c>
      <c r="R5199" s="7" t="str">
        <f t="shared" si="1902"/>
        <v>花園高等学校</v>
      </c>
    </row>
    <row r="5200" spans="1:18" s="1" customFormat="1" x14ac:dyDescent="0.45">
      <c r="A5200" s="7" t="str">
        <f t="shared" si="1898"/>
        <v>10416000000</v>
      </c>
      <c r="B5200" s="7" t="str">
        <f t="shared" si="1899"/>
        <v>花園高等学校</v>
      </c>
      <c r="C5200" s="7" t="str">
        <f t="shared" si="1903"/>
        <v>行政財産</v>
      </c>
      <c r="D5200" s="7" t="str">
        <f t="shared" si="1896"/>
        <v>学校</v>
      </c>
      <c r="E5200" s="7" t="str">
        <f t="shared" si="1900"/>
        <v>大阪府東大阪市花園東町３丁目</v>
      </c>
      <c r="F5200" s="7"/>
      <c r="G5200" s="7" t="str">
        <f t="shared" si="1878"/>
        <v>事業用資産</v>
      </c>
      <c r="H5200" s="7" t="str">
        <f t="shared" si="1897"/>
        <v>棚卸以外</v>
      </c>
      <c r="I5200" s="7">
        <v>9</v>
      </c>
      <c r="J5200" s="7" t="str">
        <f>"校舎本館"</f>
        <v>校舎本館</v>
      </c>
      <c r="K5200" s="7" t="str">
        <f t="shared" si="1901"/>
        <v>鉄筋コンクリート造</v>
      </c>
      <c r="L5200" s="7" t="str">
        <f>"S40.02.28"</f>
        <v>S40.02.28</v>
      </c>
      <c r="M5200" s="7">
        <v>2625.83</v>
      </c>
      <c r="N5200" s="7">
        <v>358321624</v>
      </c>
      <c r="O5200" s="7">
        <v>195293711</v>
      </c>
      <c r="P5200" s="7">
        <v>0</v>
      </c>
      <c r="Q5200" s="7" t="str">
        <f t="shared" si="1883"/>
        <v>教育庁</v>
      </c>
      <c r="R5200" s="7" t="str">
        <f t="shared" si="1902"/>
        <v>花園高等学校</v>
      </c>
    </row>
    <row r="5201" spans="1:18" s="1" customFormat="1" x14ac:dyDescent="0.45">
      <c r="A5201" s="7" t="str">
        <f t="shared" si="1898"/>
        <v>10416000000</v>
      </c>
      <c r="B5201" s="7" t="str">
        <f t="shared" si="1899"/>
        <v>花園高等学校</v>
      </c>
      <c r="C5201" s="7" t="str">
        <f t="shared" si="1903"/>
        <v>行政財産</v>
      </c>
      <c r="D5201" s="7" t="str">
        <f t="shared" si="1896"/>
        <v>学校</v>
      </c>
      <c r="E5201" s="7" t="str">
        <f t="shared" si="1900"/>
        <v>大阪府東大阪市花園東町３丁目</v>
      </c>
      <c r="F5201" s="7"/>
      <c r="G5201" s="7" t="str">
        <f t="shared" si="1878"/>
        <v>事業用資産</v>
      </c>
      <c r="H5201" s="7" t="str">
        <f t="shared" si="1897"/>
        <v>棚卸以外</v>
      </c>
      <c r="I5201" s="7">
        <v>10</v>
      </c>
      <c r="J5201" s="7" t="str">
        <f>"渡り廊下"</f>
        <v>渡り廊下</v>
      </c>
      <c r="K5201" s="7" t="str">
        <f t="shared" si="1901"/>
        <v>鉄筋コンクリート造</v>
      </c>
      <c r="L5201" s="7" t="str">
        <f>"S40.02.28"</f>
        <v>S40.02.28</v>
      </c>
      <c r="M5201" s="7">
        <v>166.6</v>
      </c>
      <c r="N5201" s="7">
        <v>32756000</v>
      </c>
      <c r="O5201" s="7">
        <v>28028101</v>
      </c>
      <c r="P5201" s="7">
        <v>0</v>
      </c>
      <c r="Q5201" s="7" t="str">
        <f t="shared" si="1883"/>
        <v>教育庁</v>
      </c>
      <c r="R5201" s="7" t="str">
        <f t="shared" si="1902"/>
        <v>花園高等学校</v>
      </c>
    </row>
    <row r="5202" spans="1:18" s="1" customFormat="1" x14ac:dyDescent="0.45">
      <c r="A5202" s="7" t="str">
        <f t="shared" si="1898"/>
        <v>10416000000</v>
      </c>
      <c r="B5202" s="7" t="str">
        <f t="shared" si="1899"/>
        <v>花園高等学校</v>
      </c>
      <c r="C5202" s="7" t="str">
        <f t="shared" si="1903"/>
        <v>行政財産</v>
      </c>
      <c r="D5202" s="7" t="str">
        <f t="shared" si="1896"/>
        <v>学校</v>
      </c>
      <c r="E5202" s="7" t="str">
        <f t="shared" si="1900"/>
        <v>大阪府東大阪市花園東町３丁目</v>
      </c>
      <c r="F5202" s="7"/>
      <c r="G5202" s="7" t="str">
        <f t="shared" si="1878"/>
        <v>事業用資産</v>
      </c>
      <c r="H5202" s="7" t="str">
        <f t="shared" si="1897"/>
        <v>棚卸以外</v>
      </c>
      <c r="I5202" s="7">
        <v>11</v>
      </c>
      <c r="J5202" s="7" t="str">
        <f>"渡り廊下"</f>
        <v>渡り廊下</v>
      </c>
      <c r="K5202" s="7" t="str">
        <f t="shared" si="1901"/>
        <v>鉄筋コンクリート造</v>
      </c>
      <c r="L5202" s="7" t="str">
        <f>"S40.02.28"</f>
        <v>S40.02.28</v>
      </c>
      <c r="M5202" s="7">
        <v>166.6</v>
      </c>
      <c r="N5202" s="7">
        <v>31316000</v>
      </c>
      <c r="O5202" s="7">
        <v>26573355</v>
      </c>
      <c r="P5202" s="7">
        <v>0</v>
      </c>
      <c r="Q5202" s="7" t="str">
        <f t="shared" si="1883"/>
        <v>教育庁</v>
      </c>
      <c r="R5202" s="7" t="str">
        <f t="shared" si="1902"/>
        <v>花園高等学校</v>
      </c>
    </row>
    <row r="5203" spans="1:18" s="1" customFormat="1" x14ac:dyDescent="0.45">
      <c r="A5203" s="7" t="str">
        <f t="shared" si="1898"/>
        <v>10416000000</v>
      </c>
      <c r="B5203" s="7" t="str">
        <f t="shared" si="1899"/>
        <v>花園高等学校</v>
      </c>
      <c r="C5203" s="7" t="str">
        <f t="shared" si="1903"/>
        <v>行政財産</v>
      </c>
      <c r="D5203" s="7" t="str">
        <f t="shared" si="1896"/>
        <v>学校</v>
      </c>
      <c r="E5203" s="7" t="str">
        <f t="shared" si="1900"/>
        <v>大阪府東大阪市花園東町３丁目</v>
      </c>
      <c r="F5203" s="7"/>
      <c r="G5203" s="7" t="str">
        <f t="shared" si="1878"/>
        <v>事業用資産</v>
      </c>
      <c r="H5203" s="7" t="str">
        <f t="shared" si="1897"/>
        <v>棚卸以外</v>
      </c>
      <c r="I5203" s="7">
        <v>12</v>
      </c>
      <c r="J5203" s="7" t="str">
        <f>"体育館"</f>
        <v>体育館</v>
      </c>
      <c r="K5203" s="7" t="str">
        <f t="shared" si="1901"/>
        <v>鉄筋コンクリート造</v>
      </c>
      <c r="L5203" s="7" t="str">
        <f>"S41.01.05"</f>
        <v>S41.01.05</v>
      </c>
      <c r="M5203" s="7">
        <v>2213.6</v>
      </c>
      <c r="N5203" s="7">
        <v>190875185</v>
      </c>
      <c r="O5203" s="7">
        <v>162887960</v>
      </c>
      <c r="P5203" s="7">
        <v>0</v>
      </c>
      <c r="Q5203" s="7" t="str">
        <f t="shared" si="1883"/>
        <v>教育庁</v>
      </c>
      <c r="R5203" s="7" t="str">
        <f t="shared" si="1902"/>
        <v>花園高等学校</v>
      </c>
    </row>
    <row r="5204" spans="1:18" s="1" customFormat="1" x14ac:dyDescent="0.45">
      <c r="A5204" s="7" t="str">
        <f t="shared" si="1898"/>
        <v>10416000000</v>
      </c>
      <c r="B5204" s="7" t="str">
        <f t="shared" si="1899"/>
        <v>花園高等学校</v>
      </c>
      <c r="C5204" s="7" t="str">
        <f t="shared" si="1903"/>
        <v>行政財産</v>
      </c>
      <c r="D5204" s="7" t="str">
        <f t="shared" si="1896"/>
        <v>学校</v>
      </c>
      <c r="E5204" s="7" t="str">
        <f t="shared" si="1900"/>
        <v>大阪府東大阪市花園東町３丁目</v>
      </c>
      <c r="F5204" s="7"/>
      <c r="G5204" s="7" t="str">
        <f t="shared" si="1878"/>
        <v>事業用資産</v>
      </c>
      <c r="H5204" s="7" t="str">
        <f t="shared" si="1897"/>
        <v>棚卸以外</v>
      </c>
      <c r="I5204" s="7">
        <v>14</v>
      </c>
      <c r="J5204" s="7" t="str">
        <f>"食堂"</f>
        <v>食堂</v>
      </c>
      <c r="K5204" s="7" t="str">
        <f>"鉄骨造"</f>
        <v>鉄骨造</v>
      </c>
      <c r="L5204" s="7" t="str">
        <f>"S41.11.15"</f>
        <v>S41.11.15</v>
      </c>
      <c r="M5204" s="7">
        <v>255</v>
      </c>
      <c r="N5204" s="7">
        <v>8015372</v>
      </c>
      <c r="O5204" s="7">
        <v>7990591</v>
      </c>
      <c r="P5204" s="7">
        <v>0</v>
      </c>
      <c r="Q5204" s="7" t="str">
        <f t="shared" si="1883"/>
        <v>教育庁</v>
      </c>
      <c r="R5204" s="7" t="str">
        <f t="shared" si="1902"/>
        <v>花園高等学校</v>
      </c>
    </row>
    <row r="5205" spans="1:18" s="1" customFormat="1" x14ac:dyDescent="0.45">
      <c r="A5205" s="7" t="str">
        <f t="shared" si="1898"/>
        <v>10416000000</v>
      </c>
      <c r="B5205" s="7" t="str">
        <f t="shared" si="1899"/>
        <v>花園高等学校</v>
      </c>
      <c r="C5205" s="7" t="str">
        <f t="shared" si="1903"/>
        <v>行政財産</v>
      </c>
      <c r="D5205" s="7" t="str">
        <f t="shared" si="1896"/>
        <v>学校</v>
      </c>
      <c r="E5205" s="7" t="str">
        <f t="shared" si="1900"/>
        <v>大阪府東大阪市花園東町３丁目</v>
      </c>
      <c r="F5205" s="7"/>
      <c r="G5205" s="7" t="str">
        <f t="shared" si="1878"/>
        <v>事業用資産</v>
      </c>
      <c r="H5205" s="7" t="str">
        <f t="shared" si="1897"/>
        <v>棚卸以外</v>
      </c>
      <c r="I5205" s="7">
        <v>20</v>
      </c>
      <c r="J5205" s="7" t="str">
        <f>"食堂倉庫"</f>
        <v>食堂倉庫</v>
      </c>
      <c r="K5205" s="7" t="str">
        <f>"コンクリートブロック造"</f>
        <v>コンクリートブロック造</v>
      </c>
      <c r="L5205" s="7" t="str">
        <f>"S43.03.30"</f>
        <v>S43.03.30</v>
      </c>
      <c r="M5205" s="7">
        <v>6.2</v>
      </c>
      <c r="N5205" s="7">
        <v>52000</v>
      </c>
      <c r="O5205" s="7">
        <v>51999</v>
      </c>
      <c r="P5205" s="7">
        <v>0</v>
      </c>
      <c r="Q5205" s="7" t="str">
        <f t="shared" si="1883"/>
        <v>教育庁</v>
      </c>
      <c r="R5205" s="7" t="str">
        <f t="shared" si="1902"/>
        <v>花園高等学校</v>
      </c>
    </row>
    <row r="5206" spans="1:18" s="1" customFormat="1" x14ac:dyDescent="0.45">
      <c r="A5206" s="7" t="str">
        <f t="shared" si="1898"/>
        <v>10416000000</v>
      </c>
      <c r="B5206" s="7" t="str">
        <f t="shared" si="1899"/>
        <v>花園高等学校</v>
      </c>
      <c r="C5206" s="7" t="str">
        <f t="shared" si="1903"/>
        <v>行政財産</v>
      </c>
      <c r="D5206" s="7" t="str">
        <f t="shared" si="1896"/>
        <v>学校</v>
      </c>
      <c r="E5206" s="7" t="str">
        <f t="shared" si="1900"/>
        <v>大阪府東大阪市花園東町３丁目</v>
      </c>
      <c r="F5206" s="7"/>
      <c r="G5206" s="7" t="str">
        <f t="shared" si="1878"/>
        <v>事業用資産</v>
      </c>
      <c r="H5206" s="7" t="str">
        <f t="shared" si="1897"/>
        <v>棚卸以外</v>
      </c>
      <c r="I5206" s="7">
        <v>21</v>
      </c>
      <c r="J5206" s="7" t="str">
        <f>"プール附属建物"</f>
        <v>プール附属建物</v>
      </c>
      <c r="K5206" s="7" t="str">
        <f>"コンクリートブロック造"</f>
        <v>コンクリートブロック造</v>
      </c>
      <c r="L5206" s="7" t="str">
        <f>"S43.07.15"</f>
        <v>S43.07.15</v>
      </c>
      <c r="M5206" s="7">
        <v>115.72</v>
      </c>
      <c r="N5206" s="7">
        <v>7902411</v>
      </c>
      <c r="O5206" s="7">
        <v>7844265</v>
      </c>
      <c r="P5206" s="7">
        <v>0</v>
      </c>
      <c r="Q5206" s="7" t="str">
        <f t="shared" si="1883"/>
        <v>教育庁</v>
      </c>
      <c r="R5206" s="7" t="str">
        <f t="shared" si="1902"/>
        <v>花園高等学校</v>
      </c>
    </row>
    <row r="5207" spans="1:18" s="1" customFormat="1" x14ac:dyDescent="0.45">
      <c r="A5207" s="7" t="str">
        <f t="shared" si="1898"/>
        <v>10416000000</v>
      </c>
      <c r="B5207" s="7" t="str">
        <f t="shared" si="1899"/>
        <v>花園高等学校</v>
      </c>
      <c r="C5207" s="7" t="str">
        <f t="shared" si="1903"/>
        <v>行政財産</v>
      </c>
      <c r="D5207" s="7" t="str">
        <f t="shared" si="1896"/>
        <v>学校</v>
      </c>
      <c r="E5207" s="7" t="str">
        <f t="shared" si="1900"/>
        <v>大阪府東大阪市花園東町３丁目</v>
      </c>
      <c r="F5207" s="7"/>
      <c r="G5207" s="7" t="str">
        <f t="shared" ref="G5207:G5270" si="1904">"事業用資産"</f>
        <v>事業用資産</v>
      </c>
      <c r="H5207" s="7" t="str">
        <f t="shared" si="1897"/>
        <v>棚卸以外</v>
      </c>
      <c r="I5207" s="7">
        <v>22</v>
      </c>
      <c r="J5207" s="7" t="str">
        <f>"運動クラブ室"</f>
        <v>運動クラブ室</v>
      </c>
      <c r="K5207" s="7" t="str">
        <f>"コンクリートブロック造"</f>
        <v>コンクリートブロック造</v>
      </c>
      <c r="L5207" s="7" t="str">
        <f>"S44.05.20"</f>
        <v>S44.05.20</v>
      </c>
      <c r="M5207" s="7">
        <v>165.64</v>
      </c>
      <c r="N5207" s="7">
        <v>2179000</v>
      </c>
      <c r="O5207" s="7">
        <v>2178999</v>
      </c>
      <c r="P5207" s="7">
        <v>0</v>
      </c>
      <c r="Q5207" s="7" t="str">
        <f t="shared" si="1883"/>
        <v>教育庁</v>
      </c>
      <c r="R5207" s="7" t="str">
        <f t="shared" si="1902"/>
        <v>花園高等学校</v>
      </c>
    </row>
    <row r="5208" spans="1:18" s="1" customFormat="1" x14ac:dyDescent="0.45">
      <c r="A5208" s="7" t="str">
        <f t="shared" si="1898"/>
        <v>10416000000</v>
      </c>
      <c r="B5208" s="7" t="str">
        <f t="shared" si="1899"/>
        <v>花園高等学校</v>
      </c>
      <c r="C5208" s="7" t="str">
        <f t="shared" si="1903"/>
        <v>行政財産</v>
      </c>
      <c r="D5208" s="7" t="str">
        <f t="shared" si="1896"/>
        <v>学校</v>
      </c>
      <c r="E5208" s="7" t="str">
        <f t="shared" si="1900"/>
        <v>大阪府東大阪市花園東町３丁目</v>
      </c>
      <c r="F5208" s="7"/>
      <c r="G5208" s="7" t="str">
        <f t="shared" si="1904"/>
        <v>事業用資産</v>
      </c>
      <c r="H5208" s="7" t="str">
        <f t="shared" si="1897"/>
        <v>棚卸以外</v>
      </c>
      <c r="I5208" s="7">
        <v>23</v>
      </c>
      <c r="J5208" s="7" t="str">
        <f>"倉庫"</f>
        <v>倉庫</v>
      </c>
      <c r="K5208" s="7" t="str">
        <f>"コンクリートブロック造"</f>
        <v>コンクリートブロック造</v>
      </c>
      <c r="L5208" s="7" t="str">
        <f>"S47.08.11"</f>
        <v>S47.08.11</v>
      </c>
      <c r="M5208" s="7">
        <v>38.89</v>
      </c>
      <c r="N5208" s="7">
        <v>1457000</v>
      </c>
      <c r="O5208" s="7">
        <v>1456999</v>
      </c>
      <c r="P5208" s="7">
        <v>0</v>
      </c>
      <c r="Q5208" s="7" t="str">
        <f t="shared" si="1883"/>
        <v>教育庁</v>
      </c>
      <c r="R5208" s="7" t="str">
        <f t="shared" si="1902"/>
        <v>花園高等学校</v>
      </c>
    </row>
    <row r="5209" spans="1:18" s="1" customFormat="1" x14ac:dyDescent="0.45">
      <c r="A5209" s="7" t="str">
        <f t="shared" si="1898"/>
        <v>10416000000</v>
      </c>
      <c r="B5209" s="7" t="str">
        <f t="shared" si="1899"/>
        <v>花園高等学校</v>
      </c>
      <c r="C5209" s="7" t="str">
        <f t="shared" si="1903"/>
        <v>行政財産</v>
      </c>
      <c r="D5209" s="7" t="str">
        <f t="shared" si="1896"/>
        <v>学校</v>
      </c>
      <c r="E5209" s="7" t="str">
        <f t="shared" si="1900"/>
        <v>大阪府東大阪市花園東町３丁目</v>
      </c>
      <c r="F5209" s="7"/>
      <c r="G5209" s="7" t="str">
        <f t="shared" si="1904"/>
        <v>事業用資産</v>
      </c>
      <c r="H5209" s="7" t="str">
        <f t="shared" si="1897"/>
        <v>棚卸以外</v>
      </c>
      <c r="I5209" s="7">
        <v>24</v>
      </c>
      <c r="J5209" s="7" t="str">
        <f>"ポンプ室"</f>
        <v>ポンプ室</v>
      </c>
      <c r="K5209" s="7" t="str">
        <f>"コンクリートブロック造"</f>
        <v>コンクリートブロック造</v>
      </c>
      <c r="L5209" s="7" t="str">
        <f>"S52.08.26"</f>
        <v>S52.08.26</v>
      </c>
      <c r="M5209" s="7">
        <v>4.13</v>
      </c>
      <c r="N5209" s="7">
        <v>806000</v>
      </c>
      <c r="O5209" s="7">
        <v>805999</v>
      </c>
      <c r="P5209" s="7">
        <v>0</v>
      </c>
      <c r="Q5209" s="7" t="str">
        <f t="shared" si="1883"/>
        <v>教育庁</v>
      </c>
      <c r="R5209" s="7" t="str">
        <f t="shared" si="1902"/>
        <v>花園高等学校</v>
      </c>
    </row>
    <row r="5210" spans="1:18" s="1" customFormat="1" x14ac:dyDescent="0.45">
      <c r="A5210" s="7" t="str">
        <f t="shared" si="1898"/>
        <v>10416000000</v>
      </c>
      <c r="B5210" s="7" t="str">
        <f t="shared" si="1899"/>
        <v>花園高等学校</v>
      </c>
      <c r="C5210" s="7" t="str">
        <f t="shared" si="1903"/>
        <v>行政財産</v>
      </c>
      <c r="D5210" s="7" t="str">
        <f t="shared" si="1896"/>
        <v>学校</v>
      </c>
      <c r="E5210" s="7" t="str">
        <f t="shared" si="1900"/>
        <v>大阪府東大阪市花園東町３丁目</v>
      </c>
      <c r="F5210" s="7"/>
      <c r="G5210" s="7" t="str">
        <f t="shared" si="1904"/>
        <v>事業用資産</v>
      </c>
      <c r="H5210" s="7" t="str">
        <f t="shared" si="1897"/>
        <v>棚卸以外</v>
      </c>
      <c r="I5210" s="7">
        <v>25</v>
      </c>
      <c r="J5210" s="7" t="str">
        <f>"控室"</f>
        <v>控室</v>
      </c>
      <c r="K5210" s="7" t="str">
        <f>"土蔵造(簡易建物)"</f>
        <v>土蔵造(簡易建物)</v>
      </c>
      <c r="L5210" s="7" t="str">
        <f>"S53.03.31"</f>
        <v>S53.03.31</v>
      </c>
      <c r="M5210" s="7">
        <v>6.48</v>
      </c>
      <c r="N5210" s="7">
        <v>67000</v>
      </c>
      <c r="O5210" s="7">
        <v>66999</v>
      </c>
      <c r="P5210" s="7">
        <v>0</v>
      </c>
      <c r="Q5210" s="7" t="str">
        <f t="shared" si="1883"/>
        <v>教育庁</v>
      </c>
      <c r="R5210" s="7" t="str">
        <f t="shared" si="1902"/>
        <v>花園高等学校</v>
      </c>
    </row>
    <row r="5211" spans="1:18" s="1" customFormat="1" x14ac:dyDescent="0.45">
      <c r="A5211" s="7" t="str">
        <f t="shared" si="1898"/>
        <v>10416000000</v>
      </c>
      <c r="B5211" s="7" t="str">
        <f t="shared" si="1899"/>
        <v>花園高等学校</v>
      </c>
      <c r="C5211" s="7" t="str">
        <f t="shared" si="1903"/>
        <v>行政財産</v>
      </c>
      <c r="D5211" s="7" t="str">
        <f t="shared" si="1896"/>
        <v>学校</v>
      </c>
      <c r="E5211" s="7" t="str">
        <f t="shared" si="1900"/>
        <v>大阪府東大阪市花園東町３丁目</v>
      </c>
      <c r="F5211" s="7"/>
      <c r="G5211" s="7" t="str">
        <f t="shared" si="1904"/>
        <v>事業用資産</v>
      </c>
      <c r="H5211" s="7" t="str">
        <f t="shared" si="1897"/>
        <v>棚卸以外</v>
      </c>
      <c r="I5211" s="7">
        <v>26</v>
      </c>
      <c r="J5211" s="7" t="str">
        <f>"倉庫"</f>
        <v>倉庫</v>
      </c>
      <c r="K5211" s="7" t="str">
        <f>"コンクリートブロック造"</f>
        <v>コンクリートブロック造</v>
      </c>
      <c r="L5211" s="7" t="str">
        <f>"S53.09.05"</f>
        <v>S53.09.05</v>
      </c>
      <c r="M5211" s="7">
        <v>121.25</v>
      </c>
      <c r="N5211" s="7">
        <v>4614000</v>
      </c>
      <c r="O5211" s="7">
        <v>4613999</v>
      </c>
      <c r="P5211" s="7">
        <v>0</v>
      </c>
      <c r="Q5211" s="7" t="str">
        <f t="shared" ref="Q5211:Q5274" si="1905">"教育庁"</f>
        <v>教育庁</v>
      </c>
      <c r="R5211" s="7" t="str">
        <f t="shared" si="1902"/>
        <v>花園高等学校</v>
      </c>
    </row>
    <row r="5212" spans="1:18" s="1" customFormat="1" x14ac:dyDescent="0.45">
      <c r="A5212" s="7" t="str">
        <f t="shared" si="1898"/>
        <v>10416000000</v>
      </c>
      <c r="B5212" s="7" t="str">
        <f t="shared" si="1899"/>
        <v>花園高等学校</v>
      </c>
      <c r="C5212" s="7" t="str">
        <f t="shared" si="1903"/>
        <v>行政財産</v>
      </c>
      <c r="D5212" s="7" t="str">
        <f t="shared" si="1896"/>
        <v>学校</v>
      </c>
      <c r="E5212" s="7" t="str">
        <f t="shared" si="1900"/>
        <v>大阪府東大阪市花園東町３丁目</v>
      </c>
      <c r="F5212" s="7"/>
      <c r="G5212" s="7" t="str">
        <f t="shared" si="1904"/>
        <v>事業用資産</v>
      </c>
      <c r="H5212" s="7" t="str">
        <f t="shared" si="1897"/>
        <v>棚卸以外</v>
      </c>
      <c r="I5212" s="7">
        <v>27</v>
      </c>
      <c r="J5212" s="7" t="str">
        <f>"校舎棟"</f>
        <v>校舎棟</v>
      </c>
      <c r="K5212" s="7" t="str">
        <f t="shared" ref="K5212:K5219" si="1906">"鉄筋コンクリート造"</f>
        <v>鉄筋コンクリート造</v>
      </c>
      <c r="L5212" s="7" t="str">
        <f>"S54.03.31"</f>
        <v>S54.03.31</v>
      </c>
      <c r="M5212" s="7">
        <v>816.44</v>
      </c>
      <c r="N5212" s="7">
        <v>84694154</v>
      </c>
      <c r="O5212" s="7">
        <v>74696371</v>
      </c>
      <c r="P5212" s="7">
        <v>0</v>
      </c>
      <c r="Q5212" s="7" t="str">
        <f t="shared" si="1905"/>
        <v>教育庁</v>
      </c>
      <c r="R5212" s="7" t="str">
        <f t="shared" si="1902"/>
        <v>花園高等学校</v>
      </c>
    </row>
    <row r="5213" spans="1:18" s="1" customFormat="1" x14ac:dyDescent="0.45">
      <c r="A5213" s="7" t="str">
        <f t="shared" si="1898"/>
        <v>10416000000</v>
      </c>
      <c r="B5213" s="7" t="str">
        <f t="shared" si="1899"/>
        <v>花園高等学校</v>
      </c>
      <c r="C5213" s="7" t="str">
        <f t="shared" si="1903"/>
        <v>行政財産</v>
      </c>
      <c r="D5213" s="7" t="str">
        <f t="shared" si="1896"/>
        <v>学校</v>
      </c>
      <c r="E5213" s="7" t="str">
        <f t="shared" si="1900"/>
        <v>大阪府東大阪市花園東町３丁目</v>
      </c>
      <c r="F5213" s="7"/>
      <c r="G5213" s="7" t="str">
        <f t="shared" si="1904"/>
        <v>事業用資産</v>
      </c>
      <c r="H5213" s="7" t="str">
        <f t="shared" si="1897"/>
        <v>棚卸以外</v>
      </c>
      <c r="I5213" s="7">
        <v>28</v>
      </c>
      <c r="J5213" s="7" t="str">
        <f>"東倉庫"</f>
        <v>東倉庫</v>
      </c>
      <c r="K5213" s="7" t="str">
        <f t="shared" si="1906"/>
        <v>鉄筋コンクリート造</v>
      </c>
      <c r="L5213" s="7" t="str">
        <f>"S55.02.23"</f>
        <v>S55.02.23</v>
      </c>
      <c r="M5213" s="7">
        <v>35.65</v>
      </c>
      <c r="N5213" s="7">
        <v>27941000</v>
      </c>
      <c r="O5213" s="7">
        <v>27940999</v>
      </c>
      <c r="P5213" s="7">
        <v>0</v>
      </c>
      <c r="Q5213" s="7" t="str">
        <f t="shared" si="1905"/>
        <v>教育庁</v>
      </c>
      <c r="R5213" s="7" t="str">
        <f t="shared" si="1902"/>
        <v>花園高等学校</v>
      </c>
    </row>
    <row r="5214" spans="1:18" s="1" customFormat="1" x14ac:dyDescent="0.45">
      <c r="A5214" s="7" t="str">
        <f t="shared" ref="A5214:A5221" si="1907">"10419000000"</f>
        <v>10419000000</v>
      </c>
      <c r="B5214" s="7" t="str">
        <f t="shared" ref="B5214:B5221" si="1908">"布施北高等学校"</f>
        <v>布施北高等学校</v>
      </c>
      <c r="C5214" s="7" t="str">
        <f t="shared" si="1903"/>
        <v>行政財産</v>
      </c>
      <c r="D5214" s="7" t="str">
        <f t="shared" si="1896"/>
        <v>学校</v>
      </c>
      <c r="E5214" s="7" t="str">
        <f t="shared" ref="E5214:E5221" si="1909">"大阪府東大阪市荒本西１丁目"</f>
        <v>大阪府東大阪市荒本西１丁目</v>
      </c>
      <c r="F5214" s="7"/>
      <c r="G5214" s="7" t="str">
        <f t="shared" si="1904"/>
        <v>事業用資産</v>
      </c>
      <c r="H5214" s="7" t="str">
        <f t="shared" si="1897"/>
        <v>棚卸以外</v>
      </c>
      <c r="I5214" s="7">
        <v>1</v>
      </c>
      <c r="J5214" s="7" t="str">
        <f>"第１棟"</f>
        <v>第１棟</v>
      </c>
      <c r="K5214" s="7" t="str">
        <f t="shared" si="1906"/>
        <v>鉄筋コンクリート造</v>
      </c>
      <c r="L5214" s="7" t="str">
        <f>"S53.04.07"</f>
        <v>S53.04.07</v>
      </c>
      <c r="M5214" s="7">
        <v>8046.9</v>
      </c>
      <c r="N5214" s="7">
        <v>1057577107</v>
      </c>
      <c r="O5214" s="7">
        <v>855047167</v>
      </c>
      <c r="P5214" s="7">
        <v>0</v>
      </c>
      <c r="Q5214" s="7" t="str">
        <f t="shared" si="1905"/>
        <v>教育庁</v>
      </c>
      <c r="R5214" s="7" t="str">
        <f t="shared" ref="R5214:R5221" si="1910">"布施北高等学校"</f>
        <v>布施北高等学校</v>
      </c>
    </row>
    <row r="5215" spans="1:18" s="1" customFormat="1" x14ac:dyDescent="0.45">
      <c r="A5215" s="7" t="str">
        <f t="shared" si="1907"/>
        <v>10419000000</v>
      </c>
      <c r="B5215" s="7" t="str">
        <f t="shared" si="1908"/>
        <v>布施北高等学校</v>
      </c>
      <c r="C5215" s="7" t="str">
        <f t="shared" si="1903"/>
        <v>行政財産</v>
      </c>
      <c r="D5215" s="7" t="str">
        <f t="shared" si="1896"/>
        <v>学校</v>
      </c>
      <c r="E5215" s="7" t="str">
        <f t="shared" si="1909"/>
        <v>大阪府東大阪市荒本西１丁目</v>
      </c>
      <c r="F5215" s="7"/>
      <c r="G5215" s="7" t="str">
        <f t="shared" si="1904"/>
        <v>事業用資産</v>
      </c>
      <c r="H5215" s="7" t="str">
        <f t="shared" si="1897"/>
        <v>棚卸以外</v>
      </c>
      <c r="I5215" s="7">
        <v>2</v>
      </c>
      <c r="J5215" s="7" t="str">
        <f>"体育館"</f>
        <v>体育館</v>
      </c>
      <c r="K5215" s="7" t="str">
        <f t="shared" si="1906"/>
        <v>鉄筋コンクリート造</v>
      </c>
      <c r="L5215" s="7" t="str">
        <f>"S54.09.14"</f>
        <v>S54.09.14</v>
      </c>
      <c r="M5215" s="7">
        <v>3053.89</v>
      </c>
      <c r="N5215" s="7">
        <v>439348004</v>
      </c>
      <c r="O5215" s="7">
        <v>354572823</v>
      </c>
      <c r="P5215" s="7">
        <v>0</v>
      </c>
      <c r="Q5215" s="7" t="str">
        <f t="shared" si="1905"/>
        <v>教育庁</v>
      </c>
      <c r="R5215" s="7" t="str">
        <f t="shared" si="1910"/>
        <v>布施北高等学校</v>
      </c>
    </row>
    <row r="5216" spans="1:18" s="1" customFormat="1" x14ac:dyDescent="0.45">
      <c r="A5216" s="7" t="str">
        <f t="shared" si="1907"/>
        <v>10419000000</v>
      </c>
      <c r="B5216" s="7" t="str">
        <f t="shared" si="1908"/>
        <v>布施北高等学校</v>
      </c>
      <c r="C5216" s="7" t="str">
        <f t="shared" si="1903"/>
        <v>行政財産</v>
      </c>
      <c r="D5216" s="7" t="str">
        <f t="shared" si="1896"/>
        <v>学校</v>
      </c>
      <c r="E5216" s="7" t="str">
        <f t="shared" si="1909"/>
        <v>大阪府東大阪市荒本西１丁目</v>
      </c>
      <c r="F5216" s="7"/>
      <c r="G5216" s="7" t="str">
        <f t="shared" si="1904"/>
        <v>事業用資産</v>
      </c>
      <c r="H5216" s="7" t="str">
        <f t="shared" si="1897"/>
        <v>棚卸以外</v>
      </c>
      <c r="I5216" s="7">
        <v>3</v>
      </c>
      <c r="J5216" s="7" t="str">
        <f>"プール附属棟"</f>
        <v>プール附属棟</v>
      </c>
      <c r="K5216" s="7" t="str">
        <f t="shared" si="1906"/>
        <v>鉄筋コンクリート造</v>
      </c>
      <c r="L5216" s="7" t="str">
        <f>"S54.07.11"</f>
        <v>S54.07.11</v>
      </c>
      <c r="M5216" s="7">
        <v>138</v>
      </c>
      <c r="N5216" s="7">
        <v>35503736</v>
      </c>
      <c r="O5216" s="7">
        <v>32937654</v>
      </c>
      <c r="P5216" s="7">
        <v>0</v>
      </c>
      <c r="Q5216" s="7" t="str">
        <f t="shared" si="1905"/>
        <v>教育庁</v>
      </c>
      <c r="R5216" s="7" t="str">
        <f t="shared" si="1910"/>
        <v>布施北高等学校</v>
      </c>
    </row>
    <row r="5217" spans="1:18" s="1" customFormat="1" x14ac:dyDescent="0.45">
      <c r="A5217" s="7" t="str">
        <f t="shared" si="1907"/>
        <v>10419000000</v>
      </c>
      <c r="B5217" s="7" t="str">
        <f t="shared" si="1908"/>
        <v>布施北高等学校</v>
      </c>
      <c r="C5217" s="7" t="str">
        <f t="shared" si="1903"/>
        <v>行政財産</v>
      </c>
      <c r="D5217" s="7" t="str">
        <f t="shared" si="1896"/>
        <v>学校</v>
      </c>
      <c r="E5217" s="7" t="str">
        <f t="shared" si="1909"/>
        <v>大阪府東大阪市荒本西１丁目</v>
      </c>
      <c r="F5217" s="7"/>
      <c r="G5217" s="7" t="str">
        <f t="shared" si="1904"/>
        <v>事業用資産</v>
      </c>
      <c r="H5217" s="7" t="str">
        <f t="shared" si="1897"/>
        <v>棚卸以外</v>
      </c>
      <c r="I5217" s="7">
        <v>4</v>
      </c>
      <c r="J5217" s="7" t="str">
        <f>"体育倉庫"</f>
        <v>体育倉庫</v>
      </c>
      <c r="K5217" s="7" t="str">
        <f t="shared" si="1906"/>
        <v>鉄筋コンクリート造</v>
      </c>
      <c r="L5217" s="7" t="str">
        <f>"S54.07.16"</f>
        <v>S54.07.16</v>
      </c>
      <c r="M5217" s="7">
        <v>115</v>
      </c>
      <c r="N5217" s="7">
        <v>6707000</v>
      </c>
      <c r="O5217" s="7">
        <v>6706999</v>
      </c>
      <c r="P5217" s="7">
        <v>0</v>
      </c>
      <c r="Q5217" s="7" t="str">
        <f t="shared" si="1905"/>
        <v>教育庁</v>
      </c>
      <c r="R5217" s="7" t="str">
        <f t="shared" si="1910"/>
        <v>布施北高等学校</v>
      </c>
    </row>
    <row r="5218" spans="1:18" s="1" customFormat="1" x14ac:dyDescent="0.45">
      <c r="A5218" s="7" t="str">
        <f t="shared" si="1907"/>
        <v>10419000000</v>
      </c>
      <c r="B5218" s="7" t="str">
        <f t="shared" si="1908"/>
        <v>布施北高等学校</v>
      </c>
      <c r="C5218" s="7" t="str">
        <f t="shared" si="1903"/>
        <v>行政財産</v>
      </c>
      <c r="D5218" s="7" t="str">
        <f t="shared" si="1896"/>
        <v>学校</v>
      </c>
      <c r="E5218" s="7" t="str">
        <f t="shared" si="1909"/>
        <v>大阪府東大阪市荒本西１丁目</v>
      </c>
      <c r="F5218" s="7"/>
      <c r="G5218" s="7" t="str">
        <f t="shared" si="1904"/>
        <v>事業用資産</v>
      </c>
      <c r="H5218" s="7" t="str">
        <f t="shared" si="1897"/>
        <v>棚卸以外</v>
      </c>
      <c r="I5218" s="7">
        <v>5</v>
      </c>
      <c r="J5218" s="7" t="str">
        <f>"第２棟"</f>
        <v>第２棟</v>
      </c>
      <c r="K5218" s="7" t="str">
        <f t="shared" si="1906"/>
        <v>鉄筋コンクリート造</v>
      </c>
      <c r="L5218" s="7" t="str">
        <f>"S55.03.25"</f>
        <v>S55.03.25</v>
      </c>
      <c r="M5218" s="7">
        <v>3290</v>
      </c>
      <c r="N5218" s="7">
        <v>411641450</v>
      </c>
      <c r="O5218" s="7">
        <v>332016020</v>
      </c>
      <c r="P5218" s="7">
        <v>0</v>
      </c>
      <c r="Q5218" s="7" t="str">
        <f t="shared" si="1905"/>
        <v>教育庁</v>
      </c>
      <c r="R5218" s="7" t="str">
        <f t="shared" si="1910"/>
        <v>布施北高等学校</v>
      </c>
    </row>
    <row r="5219" spans="1:18" s="1" customFormat="1" x14ac:dyDescent="0.45">
      <c r="A5219" s="7" t="str">
        <f t="shared" si="1907"/>
        <v>10419000000</v>
      </c>
      <c r="B5219" s="7" t="str">
        <f t="shared" si="1908"/>
        <v>布施北高等学校</v>
      </c>
      <c r="C5219" s="7" t="str">
        <f t="shared" si="1903"/>
        <v>行政財産</v>
      </c>
      <c r="D5219" s="7" t="str">
        <f t="shared" si="1896"/>
        <v>学校</v>
      </c>
      <c r="E5219" s="7" t="str">
        <f t="shared" si="1909"/>
        <v>大阪府東大阪市荒本西１丁目</v>
      </c>
      <c r="F5219" s="7"/>
      <c r="G5219" s="7" t="str">
        <f t="shared" si="1904"/>
        <v>事業用資産</v>
      </c>
      <c r="H5219" s="7" t="str">
        <f t="shared" si="1897"/>
        <v>棚卸以外</v>
      </c>
      <c r="I5219" s="7">
        <v>6</v>
      </c>
      <c r="J5219" s="7" t="str">
        <f>"渡り廊下"</f>
        <v>渡り廊下</v>
      </c>
      <c r="K5219" s="7" t="str">
        <f t="shared" si="1906"/>
        <v>鉄筋コンクリート造</v>
      </c>
      <c r="L5219" s="7" t="str">
        <f>"S55.03.25"</f>
        <v>S55.03.25</v>
      </c>
      <c r="M5219" s="7">
        <v>337.92</v>
      </c>
      <c r="N5219" s="7">
        <v>49755138</v>
      </c>
      <c r="O5219" s="7">
        <v>43867037</v>
      </c>
      <c r="P5219" s="7">
        <v>0</v>
      </c>
      <c r="Q5219" s="7" t="str">
        <f t="shared" si="1905"/>
        <v>教育庁</v>
      </c>
      <c r="R5219" s="7" t="str">
        <f t="shared" si="1910"/>
        <v>布施北高等学校</v>
      </c>
    </row>
    <row r="5220" spans="1:18" s="1" customFormat="1" x14ac:dyDescent="0.45">
      <c r="A5220" s="7" t="str">
        <f t="shared" si="1907"/>
        <v>10419000000</v>
      </c>
      <c r="B5220" s="7" t="str">
        <f t="shared" si="1908"/>
        <v>布施北高等学校</v>
      </c>
      <c r="C5220" s="7" t="str">
        <f t="shared" si="1903"/>
        <v>行政財産</v>
      </c>
      <c r="D5220" s="7" t="str">
        <f t="shared" si="1896"/>
        <v>学校</v>
      </c>
      <c r="E5220" s="7" t="str">
        <f t="shared" si="1909"/>
        <v>大阪府東大阪市荒本西１丁目</v>
      </c>
      <c r="F5220" s="7"/>
      <c r="G5220" s="7" t="str">
        <f t="shared" si="1904"/>
        <v>事業用資産</v>
      </c>
      <c r="H5220" s="7" t="str">
        <f t="shared" si="1897"/>
        <v>棚卸以外</v>
      </c>
      <c r="I5220" s="7">
        <v>7</v>
      </c>
      <c r="J5220" s="7" t="str">
        <f>"南倉庫棟"</f>
        <v>南倉庫棟</v>
      </c>
      <c r="K5220" s="7" t="str">
        <f>"鉄骨造"</f>
        <v>鉄骨造</v>
      </c>
      <c r="L5220" s="7" t="str">
        <f>"S55.03.25"</f>
        <v>S55.03.25</v>
      </c>
      <c r="M5220" s="7">
        <v>50</v>
      </c>
      <c r="N5220" s="7">
        <v>3733000</v>
      </c>
      <c r="O5220" s="7">
        <v>3732999</v>
      </c>
      <c r="P5220" s="7">
        <v>0</v>
      </c>
      <c r="Q5220" s="7" t="str">
        <f t="shared" si="1905"/>
        <v>教育庁</v>
      </c>
      <c r="R5220" s="7" t="str">
        <f t="shared" si="1910"/>
        <v>布施北高等学校</v>
      </c>
    </row>
    <row r="5221" spans="1:18" s="1" customFormat="1" x14ac:dyDescent="0.45">
      <c r="A5221" s="7" t="str">
        <f t="shared" si="1907"/>
        <v>10419000000</v>
      </c>
      <c r="B5221" s="7" t="str">
        <f t="shared" si="1908"/>
        <v>布施北高等学校</v>
      </c>
      <c r="C5221" s="7" t="str">
        <f t="shared" si="1903"/>
        <v>行政財産</v>
      </c>
      <c r="D5221" s="7" t="str">
        <f t="shared" si="1896"/>
        <v>学校</v>
      </c>
      <c r="E5221" s="7" t="str">
        <f t="shared" si="1909"/>
        <v>大阪府東大阪市荒本西１丁目</v>
      </c>
      <c r="F5221" s="7"/>
      <c r="G5221" s="7" t="str">
        <f t="shared" si="1904"/>
        <v>事業用資産</v>
      </c>
      <c r="H5221" s="7" t="str">
        <f t="shared" si="1897"/>
        <v>棚卸以外</v>
      </c>
      <c r="I5221" s="7">
        <v>8</v>
      </c>
      <c r="J5221" s="7" t="str">
        <f>"北倉庫棟"</f>
        <v>北倉庫棟</v>
      </c>
      <c r="K5221" s="7" t="str">
        <f>"鉄骨造"</f>
        <v>鉄骨造</v>
      </c>
      <c r="L5221" s="7" t="str">
        <f>"S55.03.25"</f>
        <v>S55.03.25</v>
      </c>
      <c r="M5221" s="7">
        <v>50</v>
      </c>
      <c r="N5221" s="7">
        <v>4183000</v>
      </c>
      <c r="O5221" s="7">
        <v>4182999</v>
      </c>
      <c r="P5221" s="7">
        <v>0</v>
      </c>
      <c r="Q5221" s="7" t="str">
        <f t="shared" si="1905"/>
        <v>教育庁</v>
      </c>
      <c r="R5221" s="7" t="str">
        <f t="shared" si="1910"/>
        <v>布施北高等学校</v>
      </c>
    </row>
    <row r="5222" spans="1:18" s="1" customFormat="1" x14ac:dyDescent="0.45">
      <c r="A5222" s="7" t="str">
        <f t="shared" ref="A5222:A5232" si="1911">"10421000000"</f>
        <v>10421000000</v>
      </c>
      <c r="B5222" s="7" t="str">
        <f t="shared" ref="B5222:B5232" si="1912">"山本高等学校"</f>
        <v>山本高等学校</v>
      </c>
      <c r="C5222" s="7" t="str">
        <f t="shared" si="1903"/>
        <v>行政財産</v>
      </c>
      <c r="D5222" s="7" t="str">
        <f t="shared" si="1896"/>
        <v>学校</v>
      </c>
      <c r="E5222" s="7" t="str">
        <f t="shared" ref="E5222:E5232" si="1913">"大阪府八尾市山本町北１丁目"</f>
        <v>大阪府八尾市山本町北１丁目</v>
      </c>
      <c r="F5222" s="7"/>
      <c r="G5222" s="7" t="str">
        <f t="shared" si="1904"/>
        <v>事業用資産</v>
      </c>
      <c r="H5222" s="7" t="str">
        <f t="shared" si="1897"/>
        <v>棚卸以外</v>
      </c>
      <c r="I5222" s="7">
        <v>1</v>
      </c>
      <c r="J5222" s="7" t="str">
        <f>"本館"</f>
        <v>本館</v>
      </c>
      <c r="K5222" s="7" t="str">
        <f t="shared" ref="K5222:K5227" si="1914">"鉄筋コンクリート造"</f>
        <v>鉄筋コンクリート造</v>
      </c>
      <c r="L5222" s="7" t="str">
        <f>"S39.04.01"</f>
        <v>S39.04.01</v>
      </c>
      <c r="M5222" s="7">
        <v>6490.28</v>
      </c>
      <c r="N5222" s="7">
        <v>1477003779</v>
      </c>
      <c r="O5222" s="7">
        <v>824617436</v>
      </c>
      <c r="P5222" s="7">
        <v>0</v>
      </c>
      <c r="Q5222" s="7" t="str">
        <f t="shared" si="1905"/>
        <v>教育庁</v>
      </c>
      <c r="R5222" s="7" t="str">
        <f t="shared" ref="R5222:R5232" si="1915">"山本高等学校"</f>
        <v>山本高等学校</v>
      </c>
    </row>
    <row r="5223" spans="1:18" s="1" customFormat="1" x14ac:dyDescent="0.45">
      <c r="A5223" s="7" t="str">
        <f t="shared" si="1911"/>
        <v>10421000000</v>
      </c>
      <c r="B5223" s="7" t="str">
        <f t="shared" si="1912"/>
        <v>山本高等学校</v>
      </c>
      <c r="C5223" s="7" t="str">
        <f t="shared" si="1903"/>
        <v>行政財産</v>
      </c>
      <c r="D5223" s="7" t="str">
        <f t="shared" si="1896"/>
        <v>学校</v>
      </c>
      <c r="E5223" s="7" t="str">
        <f t="shared" si="1913"/>
        <v>大阪府八尾市山本町北１丁目</v>
      </c>
      <c r="F5223" s="7"/>
      <c r="G5223" s="7" t="str">
        <f t="shared" si="1904"/>
        <v>事業用資産</v>
      </c>
      <c r="H5223" s="7" t="str">
        <f t="shared" si="1897"/>
        <v>棚卸以外</v>
      </c>
      <c r="I5223" s="7">
        <v>16</v>
      </c>
      <c r="J5223" s="7" t="str">
        <f>"校舎"</f>
        <v>校舎</v>
      </c>
      <c r="K5223" s="7" t="str">
        <f t="shared" si="1914"/>
        <v>鉄筋コンクリート造</v>
      </c>
      <c r="L5223" s="7" t="str">
        <f>"S39.04.01"</f>
        <v>S39.04.01</v>
      </c>
      <c r="M5223" s="7">
        <v>1185.6300000000001</v>
      </c>
      <c r="N5223" s="7">
        <v>120409073</v>
      </c>
      <c r="O5223" s="7">
        <v>48822227</v>
      </c>
      <c r="P5223" s="7">
        <v>0</v>
      </c>
      <c r="Q5223" s="7" t="str">
        <f t="shared" si="1905"/>
        <v>教育庁</v>
      </c>
      <c r="R5223" s="7" t="str">
        <f t="shared" si="1915"/>
        <v>山本高等学校</v>
      </c>
    </row>
    <row r="5224" spans="1:18" s="1" customFormat="1" x14ac:dyDescent="0.45">
      <c r="A5224" s="7" t="str">
        <f t="shared" si="1911"/>
        <v>10421000000</v>
      </c>
      <c r="B5224" s="7" t="str">
        <f t="shared" si="1912"/>
        <v>山本高等学校</v>
      </c>
      <c r="C5224" s="7" t="str">
        <f t="shared" si="1903"/>
        <v>行政財産</v>
      </c>
      <c r="D5224" s="7" t="str">
        <f t="shared" si="1896"/>
        <v>学校</v>
      </c>
      <c r="E5224" s="7" t="str">
        <f t="shared" si="1913"/>
        <v>大阪府八尾市山本町北１丁目</v>
      </c>
      <c r="F5224" s="7"/>
      <c r="G5224" s="7" t="str">
        <f t="shared" si="1904"/>
        <v>事業用資産</v>
      </c>
      <c r="H5224" s="7" t="str">
        <f t="shared" si="1897"/>
        <v>棚卸以外</v>
      </c>
      <c r="I5224" s="7">
        <v>18</v>
      </c>
      <c r="J5224" s="7" t="str">
        <f>"便所"</f>
        <v>便所</v>
      </c>
      <c r="K5224" s="7" t="str">
        <f t="shared" si="1914"/>
        <v>鉄筋コンクリート造</v>
      </c>
      <c r="L5224" s="7" t="str">
        <f>"S39.04.01"</f>
        <v>S39.04.01</v>
      </c>
      <c r="M5224" s="7">
        <v>106.92</v>
      </c>
      <c r="N5224" s="7">
        <v>10494680</v>
      </c>
      <c r="O5224" s="7">
        <v>8064779</v>
      </c>
      <c r="P5224" s="7">
        <v>0</v>
      </c>
      <c r="Q5224" s="7" t="str">
        <f t="shared" si="1905"/>
        <v>教育庁</v>
      </c>
      <c r="R5224" s="7" t="str">
        <f t="shared" si="1915"/>
        <v>山本高等学校</v>
      </c>
    </row>
    <row r="5225" spans="1:18" s="1" customFormat="1" x14ac:dyDescent="0.45">
      <c r="A5225" s="7" t="str">
        <f t="shared" si="1911"/>
        <v>10421000000</v>
      </c>
      <c r="B5225" s="7" t="str">
        <f t="shared" si="1912"/>
        <v>山本高等学校</v>
      </c>
      <c r="C5225" s="7" t="str">
        <f t="shared" si="1903"/>
        <v>行政財産</v>
      </c>
      <c r="D5225" s="7" t="str">
        <f t="shared" si="1896"/>
        <v>学校</v>
      </c>
      <c r="E5225" s="7" t="str">
        <f t="shared" si="1913"/>
        <v>大阪府八尾市山本町北１丁目</v>
      </c>
      <c r="F5225" s="7"/>
      <c r="G5225" s="7" t="str">
        <f t="shared" si="1904"/>
        <v>事業用資産</v>
      </c>
      <c r="H5225" s="7" t="str">
        <f t="shared" si="1897"/>
        <v>棚卸以外</v>
      </c>
      <c r="I5225" s="7">
        <v>21</v>
      </c>
      <c r="J5225" s="7" t="str">
        <f>"食堂兼同窓会館"</f>
        <v>食堂兼同窓会館</v>
      </c>
      <c r="K5225" s="7" t="str">
        <f t="shared" si="1914"/>
        <v>鉄筋コンクリート造</v>
      </c>
      <c r="L5225" s="7" t="str">
        <f>"S42.06.30"</f>
        <v>S42.06.30</v>
      </c>
      <c r="M5225" s="7">
        <v>421.18</v>
      </c>
      <c r="N5225" s="7">
        <v>20581981</v>
      </c>
      <c r="O5225" s="7">
        <v>7024657</v>
      </c>
      <c r="P5225" s="7">
        <v>0</v>
      </c>
      <c r="Q5225" s="7" t="str">
        <f t="shared" si="1905"/>
        <v>教育庁</v>
      </c>
      <c r="R5225" s="7" t="str">
        <f t="shared" si="1915"/>
        <v>山本高等学校</v>
      </c>
    </row>
    <row r="5226" spans="1:18" s="1" customFormat="1" x14ac:dyDescent="0.45">
      <c r="A5226" s="7" t="str">
        <f t="shared" si="1911"/>
        <v>10421000000</v>
      </c>
      <c r="B5226" s="7" t="str">
        <f t="shared" si="1912"/>
        <v>山本高等学校</v>
      </c>
      <c r="C5226" s="7" t="str">
        <f t="shared" si="1903"/>
        <v>行政財産</v>
      </c>
      <c r="D5226" s="7" t="str">
        <f t="shared" si="1896"/>
        <v>学校</v>
      </c>
      <c r="E5226" s="7" t="str">
        <f t="shared" si="1913"/>
        <v>大阪府八尾市山本町北１丁目</v>
      </c>
      <c r="F5226" s="7"/>
      <c r="G5226" s="7" t="str">
        <f t="shared" si="1904"/>
        <v>事業用資産</v>
      </c>
      <c r="H5226" s="7" t="str">
        <f t="shared" si="1897"/>
        <v>棚卸以外</v>
      </c>
      <c r="I5226" s="7">
        <v>24</v>
      </c>
      <c r="J5226" s="7" t="str">
        <f>"増築校舎"</f>
        <v>増築校舎</v>
      </c>
      <c r="K5226" s="7" t="str">
        <f t="shared" si="1914"/>
        <v>鉄筋コンクリート造</v>
      </c>
      <c r="L5226" s="7" t="str">
        <f>"S43.03.28"</f>
        <v>S43.03.28</v>
      </c>
      <c r="M5226" s="7">
        <v>1284.18</v>
      </c>
      <c r="N5226" s="7">
        <v>148093879</v>
      </c>
      <c r="O5226" s="7">
        <v>63033948</v>
      </c>
      <c r="P5226" s="7">
        <v>0</v>
      </c>
      <c r="Q5226" s="7" t="str">
        <f t="shared" si="1905"/>
        <v>教育庁</v>
      </c>
      <c r="R5226" s="7" t="str">
        <f t="shared" si="1915"/>
        <v>山本高等学校</v>
      </c>
    </row>
    <row r="5227" spans="1:18" s="1" customFormat="1" x14ac:dyDescent="0.45">
      <c r="A5227" s="7" t="str">
        <f t="shared" si="1911"/>
        <v>10421000000</v>
      </c>
      <c r="B5227" s="7" t="str">
        <f t="shared" si="1912"/>
        <v>山本高等学校</v>
      </c>
      <c r="C5227" s="7" t="str">
        <f t="shared" si="1903"/>
        <v>行政財産</v>
      </c>
      <c r="D5227" s="7" t="str">
        <f t="shared" si="1896"/>
        <v>学校</v>
      </c>
      <c r="E5227" s="7" t="str">
        <f t="shared" si="1913"/>
        <v>大阪府八尾市山本町北１丁目</v>
      </c>
      <c r="F5227" s="7"/>
      <c r="G5227" s="7" t="str">
        <f t="shared" si="1904"/>
        <v>事業用資産</v>
      </c>
      <c r="H5227" s="7" t="str">
        <f t="shared" si="1897"/>
        <v>棚卸以外</v>
      </c>
      <c r="I5227" s="7">
        <v>27</v>
      </c>
      <c r="J5227" s="7" t="str">
        <f>"体育館"</f>
        <v>体育館</v>
      </c>
      <c r="K5227" s="7" t="str">
        <f t="shared" si="1914"/>
        <v>鉄筋コンクリート造</v>
      </c>
      <c r="L5227" s="7" t="str">
        <f>"S45.02.15"</f>
        <v>S45.02.15</v>
      </c>
      <c r="M5227" s="7">
        <v>2092.23</v>
      </c>
      <c r="N5227" s="7">
        <v>200177013</v>
      </c>
      <c r="O5227" s="7">
        <v>108441309</v>
      </c>
      <c r="P5227" s="7">
        <v>0</v>
      </c>
      <c r="Q5227" s="7" t="str">
        <f t="shared" si="1905"/>
        <v>教育庁</v>
      </c>
      <c r="R5227" s="7" t="str">
        <f t="shared" si="1915"/>
        <v>山本高等学校</v>
      </c>
    </row>
    <row r="5228" spans="1:18" s="1" customFormat="1" ht="26.4" x14ac:dyDescent="0.45">
      <c r="A5228" s="7" t="str">
        <f t="shared" si="1911"/>
        <v>10421000000</v>
      </c>
      <c r="B5228" s="7" t="str">
        <f t="shared" si="1912"/>
        <v>山本高等学校</v>
      </c>
      <c r="C5228" s="7" t="str">
        <f t="shared" si="1903"/>
        <v>行政財産</v>
      </c>
      <c r="D5228" s="7" t="str">
        <f t="shared" si="1896"/>
        <v>学校</v>
      </c>
      <c r="E5228" s="7" t="str">
        <f t="shared" si="1913"/>
        <v>大阪府八尾市山本町北１丁目</v>
      </c>
      <c r="F5228" s="7"/>
      <c r="G5228" s="7" t="str">
        <f t="shared" si="1904"/>
        <v>事業用資産</v>
      </c>
      <c r="H5228" s="7" t="str">
        <f t="shared" si="1897"/>
        <v>棚卸以外</v>
      </c>
      <c r="I5228" s="7">
        <v>37</v>
      </c>
      <c r="J5228" s="7" t="str">
        <f>"渡り廊下"</f>
        <v>渡り廊下</v>
      </c>
      <c r="K5228" s="7" t="str">
        <f>"鉄骨鉄筋コンクリート造"</f>
        <v>鉄骨鉄筋コンクリート造</v>
      </c>
      <c r="L5228" s="7" t="str">
        <f>"H10.03.30"</f>
        <v>H10.03.30</v>
      </c>
      <c r="M5228" s="7">
        <v>170.6</v>
      </c>
      <c r="N5228" s="7">
        <v>56802916</v>
      </c>
      <c r="O5228" s="7">
        <v>34601616</v>
      </c>
      <c r="P5228" s="7">
        <v>0</v>
      </c>
      <c r="Q5228" s="7" t="str">
        <f t="shared" si="1905"/>
        <v>教育庁</v>
      </c>
      <c r="R5228" s="7" t="str">
        <f t="shared" si="1915"/>
        <v>山本高等学校</v>
      </c>
    </row>
    <row r="5229" spans="1:18" s="1" customFormat="1" x14ac:dyDescent="0.45">
      <c r="A5229" s="7" t="str">
        <f t="shared" si="1911"/>
        <v>10421000000</v>
      </c>
      <c r="B5229" s="7" t="str">
        <f t="shared" si="1912"/>
        <v>山本高等学校</v>
      </c>
      <c r="C5229" s="7" t="str">
        <f t="shared" si="1903"/>
        <v>行政財産</v>
      </c>
      <c r="D5229" s="7" t="str">
        <f t="shared" si="1896"/>
        <v>学校</v>
      </c>
      <c r="E5229" s="7" t="str">
        <f t="shared" si="1913"/>
        <v>大阪府八尾市山本町北１丁目</v>
      </c>
      <c r="F5229" s="7"/>
      <c r="G5229" s="7" t="str">
        <f t="shared" si="1904"/>
        <v>事業用資産</v>
      </c>
      <c r="H5229" s="7" t="str">
        <f t="shared" si="1897"/>
        <v>棚卸以外</v>
      </c>
      <c r="I5229" s="7">
        <v>38</v>
      </c>
      <c r="J5229" s="7" t="str">
        <f>"記念会館"</f>
        <v>記念会館</v>
      </c>
      <c r="K5229" s="7" t="str">
        <f>"鉄骨造"</f>
        <v>鉄骨造</v>
      </c>
      <c r="L5229" s="7" t="str">
        <f>"H10.10.03"</f>
        <v>H10.10.03</v>
      </c>
      <c r="M5229" s="7">
        <v>287.27</v>
      </c>
      <c r="N5229" s="7">
        <v>39260000</v>
      </c>
      <c r="O5229" s="7">
        <v>25226421</v>
      </c>
      <c r="P5229" s="7">
        <v>0</v>
      </c>
      <c r="Q5229" s="7" t="str">
        <f t="shared" si="1905"/>
        <v>教育庁</v>
      </c>
      <c r="R5229" s="7" t="str">
        <f t="shared" si="1915"/>
        <v>山本高等学校</v>
      </c>
    </row>
    <row r="5230" spans="1:18" s="1" customFormat="1" x14ac:dyDescent="0.45">
      <c r="A5230" s="7" t="str">
        <f t="shared" si="1911"/>
        <v>10421000000</v>
      </c>
      <c r="B5230" s="7" t="str">
        <f t="shared" si="1912"/>
        <v>山本高等学校</v>
      </c>
      <c r="C5230" s="7" t="str">
        <f t="shared" si="1903"/>
        <v>行政財産</v>
      </c>
      <c r="D5230" s="7" t="str">
        <f t="shared" si="1896"/>
        <v>学校</v>
      </c>
      <c r="E5230" s="7" t="str">
        <f t="shared" si="1913"/>
        <v>大阪府八尾市山本町北１丁目</v>
      </c>
      <c r="F5230" s="7"/>
      <c r="G5230" s="7" t="str">
        <f t="shared" si="1904"/>
        <v>事業用資産</v>
      </c>
      <c r="H5230" s="7" t="str">
        <f t="shared" si="1897"/>
        <v>棚卸以外</v>
      </c>
      <c r="I5230" s="7">
        <v>39</v>
      </c>
      <c r="J5230" s="7" t="str">
        <f>"プール付属棟"</f>
        <v>プール付属棟</v>
      </c>
      <c r="K5230" s="7" t="str">
        <f>"鉄筋コンクリート造"</f>
        <v>鉄筋コンクリート造</v>
      </c>
      <c r="L5230" s="7" t="str">
        <f>"H14.03.14"</f>
        <v>H14.03.14</v>
      </c>
      <c r="M5230" s="7">
        <v>158.62</v>
      </c>
      <c r="N5230" s="7">
        <v>62097000</v>
      </c>
      <c r="O5230" s="7">
        <v>34316856</v>
      </c>
      <c r="P5230" s="7">
        <v>0</v>
      </c>
      <c r="Q5230" s="7" t="str">
        <f t="shared" si="1905"/>
        <v>教育庁</v>
      </c>
      <c r="R5230" s="7" t="str">
        <f t="shared" si="1915"/>
        <v>山本高等学校</v>
      </c>
    </row>
    <row r="5231" spans="1:18" s="1" customFormat="1" x14ac:dyDescent="0.45">
      <c r="A5231" s="7" t="str">
        <f t="shared" si="1911"/>
        <v>10421000000</v>
      </c>
      <c r="B5231" s="7" t="str">
        <f t="shared" si="1912"/>
        <v>山本高等学校</v>
      </c>
      <c r="C5231" s="7" t="str">
        <f t="shared" si="1903"/>
        <v>行政財産</v>
      </c>
      <c r="D5231" s="7" t="str">
        <f t="shared" si="1896"/>
        <v>学校</v>
      </c>
      <c r="E5231" s="7" t="str">
        <f t="shared" si="1913"/>
        <v>大阪府八尾市山本町北１丁目</v>
      </c>
      <c r="F5231" s="7"/>
      <c r="G5231" s="7" t="str">
        <f t="shared" si="1904"/>
        <v>事業用資産</v>
      </c>
      <c r="H5231" s="7" t="str">
        <f t="shared" si="1897"/>
        <v>棚卸以外</v>
      </c>
      <c r="I5231" s="7">
        <v>40</v>
      </c>
      <c r="J5231" s="7" t="str">
        <f>"倉庫"</f>
        <v>倉庫</v>
      </c>
      <c r="K5231" s="7" t="str">
        <f>"鉄骨造"</f>
        <v>鉄骨造</v>
      </c>
      <c r="L5231" s="7" t="str">
        <f>"H14.03.14"</f>
        <v>H14.03.14</v>
      </c>
      <c r="M5231" s="7">
        <v>97.2</v>
      </c>
      <c r="N5231" s="7">
        <v>10433000</v>
      </c>
      <c r="O5231" s="7">
        <v>7067592</v>
      </c>
      <c r="P5231" s="7">
        <v>0</v>
      </c>
      <c r="Q5231" s="7" t="str">
        <f t="shared" si="1905"/>
        <v>教育庁</v>
      </c>
      <c r="R5231" s="7" t="str">
        <f t="shared" si="1915"/>
        <v>山本高等学校</v>
      </c>
    </row>
    <row r="5232" spans="1:18" s="1" customFormat="1" x14ac:dyDescent="0.45">
      <c r="A5232" s="7" t="str">
        <f t="shared" si="1911"/>
        <v>10421000000</v>
      </c>
      <c r="B5232" s="7" t="str">
        <f t="shared" si="1912"/>
        <v>山本高等学校</v>
      </c>
      <c r="C5232" s="7" t="str">
        <f t="shared" si="1903"/>
        <v>行政財産</v>
      </c>
      <c r="D5232" s="7" t="str">
        <f t="shared" si="1896"/>
        <v>学校</v>
      </c>
      <c r="E5232" s="7" t="str">
        <f t="shared" si="1913"/>
        <v>大阪府八尾市山本町北１丁目</v>
      </c>
      <c r="F5232" s="7"/>
      <c r="G5232" s="7" t="str">
        <f t="shared" si="1904"/>
        <v>事業用資産</v>
      </c>
      <c r="H5232" s="7" t="str">
        <f t="shared" si="1897"/>
        <v>棚卸以外</v>
      </c>
      <c r="I5232" s="7">
        <v>41</v>
      </c>
      <c r="J5232" s="7" t="str">
        <f>"ゴミ置場"</f>
        <v>ゴミ置場</v>
      </c>
      <c r="K5232" s="7" t="str">
        <f>"鉄骨造"</f>
        <v>鉄骨造</v>
      </c>
      <c r="L5232" s="7" t="str">
        <f>"H14.03.14"</f>
        <v>H14.03.14</v>
      </c>
      <c r="M5232" s="7">
        <v>18</v>
      </c>
      <c r="N5232" s="7">
        <v>3060000</v>
      </c>
      <c r="O5232" s="7">
        <v>2072952</v>
      </c>
      <c r="P5232" s="7">
        <v>0</v>
      </c>
      <c r="Q5232" s="7" t="str">
        <f t="shared" si="1905"/>
        <v>教育庁</v>
      </c>
      <c r="R5232" s="7" t="str">
        <f t="shared" si="1915"/>
        <v>山本高等学校</v>
      </c>
    </row>
    <row r="5233" spans="1:18" s="1" customFormat="1" x14ac:dyDescent="0.45">
      <c r="A5233" s="7" t="str">
        <f t="shared" ref="A5233:A5241" si="1916">"10422000000"</f>
        <v>10422000000</v>
      </c>
      <c r="B5233" s="7" t="str">
        <f t="shared" ref="B5233:B5241" si="1917">"八尾高等学校"</f>
        <v>八尾高等学校</v>
      </c>
      <c r="C5233" s="7" t="str">
        <f t="shared" si="1903"/>
        <v>行政財産</v>
      </c>
      <c r="D5233" s="7" t="str">
        <f t="shared" si="1896"/>
        <v>学校</v>
      </c>
      <c r="E5233" s="7" t="str">
        <f t="shared" ref="E5233:E5241" si="1918">"大阪府八尾市高町"</f>
        <v>大阪府八尾市高町</v>
      </c>
      <c r="F5233" s="7"/>
      <c r="G5233" s="7" t="str">
        <f t="shared" si="1904"/>
        <v>事業用資産</v>
      </c>
      <c r="H5233" s="7" t="str">
        <f t="shared" si="1897"/>
        <v>棚卸以外</v>
      </c>
      <c r="I5233" s="7">
        <v>29</v>
      </c>
      <c r="J5233" s="7" t="str">
        <f>"記念会館"</f>
        <v>記念会館</v>
      </c>
      <c r="K5233" s="7" t="str">
        <f t="shared" ref="K5233:K5238" si="1919">"鉄筋コンクリート造"</f>
        <v>鉄筋コンクリート造</v>
      </c>
      <c r="L5233" s="7" t="str">
        <f>"S40.10.01"</f>
        <v>S40.10.01</v>
      </c>
      <c r="M5233" s="7">
        <v>591.14</v>
      </c>
      <c r="N5233" s="7">
        <v>109665306</v>
      </c>
      <c r="O5233" s="7">
        <v>73936319</v>
      </c>
      <c r="P5233" s="7">
        <v>0</v>
      </c>
      <c r="Q5233" s="7" t="str">
        <f t="shared" si="1905"/>
        <v>教育庁</v>
      </c>
      <c r="R5233" s="7" t="str">
        <f t="shared" ref="R5233:R5241" si="1920">"八尾高等学校"</f>
        <v>八尾高等学校</v>
      </c>
    </row>
    <row r="5234" spans="1:18" s="1" customFormat="1" x14ac:dyDescent="0.45">
      <c r="A5234" s="7" t="str">
        <f t="shared" si="1916"/>
        <v>10422000000</v>
      </c>
      <c r="B5234" s="7" t="str">
        <f t="shared" si="1917"/>
        <v>八尾高等学校</v>
      </c>
      <c r="C5234" s="7" t="str">
        <f t="shared" si="1903"/>
        <v>行政財産</v>
      </c>
      <c r="D5234" s="7" t="str">
        <f t="shared" si="1896"/>
        <v>学校</v>
      </c>
      <c r="E5234" s="7" t="str">
        <f t="shared" si="1918"/>
        <v>大阪府八尾市高町</v>
      </c>
      <c r="F5234" s="7"/>
      <c r="G5234" s="7" t="str">
        <f t="shared" si="1904"/>
        <v>事業用資産</v>
      </c>
      <c r="H5234" s="7" t="str">
        <f t="shared" si="1897"/>
        <v>棚卸以外</v>
      </c>
      <c r="I5234" s="7">
        <v>52</v>
      </c>
      <c r="J5234" s="7" t="str">
        <f>"図書分室・生活指導室及び同窓会"</f>
        <v>図書分室・生活指導室及び同窓会</v>
      </c>
      <c r="K5234" s="7" t="str">
        <f t="shared" si="1919"/>
        <v>鉄筋コンクリート造</v>
      </c>
      <c r="L5234" s="7" t="str">
        <f>"S60.10.31"</f>
        <v>S60.10.31</v>
      </c>
      <c r="M5234" s="7">
        <v>176.93</v>
      </c>
      <c r="N5234" s="7">
        <v>32482000</v>
      </c>
      <c r="O5234" s="7">
        <v>24307513</v>
      </c>
      <c r="P5234" s="7">
        <v>0</v>
      </c>
      <c r="Q5234" s="7" t="str">
        <f t="shared" si="1905"/>
        <v>教育庁</v>
      </c>
      <c r="R5234" s="7" t="str">
        <f t="shared" si="1920"/>
        <v>八尾高等学校</v>
      </c>
    </row>
    <row r="5235" spans="1:18" s="1" customFormat="1" x14ac:dyDescent="0.45">
      <c r="A5235" s="7" t="str">
        <f t="shared" si="1916"/>
        <v>10422000000</v>
      </c>
      <c r="B5235" s="7" t="str">
        <f t="shared" si="1917"/>
        <v>八尾高等学校</v>
      </c>
      <c r="C5235" s="7" t="str">
        <f t="shared" si="1903"/>
        <v>行政財産</v>
      </c>
      <c r="D5235" s="7" t="str">
        <f t="shared" si="1896"/>
        <v>学校</v>
      </c>
      <c r="E5235" s="7" t="str">
        <f t="shared" si="1918"/>
        <v>大阪府八尾市高町</v>
      </c>
      <c r="F5235" s="7"/>
      <c r="G5235" s="7" t="str">
        <f t="shared" si="1904"/>
        <v>事業用資産</v>
      </c>
      <c r="H5235" s="7" t="str">
        <f t="shared" si="1897"/>
        <v>棚卸以外</v>
      </c>
      <c r="I5235" s="7">
        <v>57</v>
      </c>
      <c r="J5235" s="7" t="str">
        <f>"プール棟"</f>
        <v>プール棟</v>
      </c>
      <c r="K5235" s="7" t="str">
        <f t="shared" si="1919"/>
        <v>鉄筋コンクリート造</v>
      </c>
      <c r="L5235" s="7" t="str">
        <f>"H06.03.31"</f>
        <v>H06.03.31</v>
      </c>
      <c r="M5235" s="7">
        <v>1141.49</v>
      </c>
      <c r="N5235" s="7">
        <v>259373027</v>
      </c>
      <c r="O5235" s="7">
        <v>158957079</v>
      </c>
      <c r="P5235" s="7">
        <v>0</v>
      </c>
      <c r="Q5235" s="7" t="str">
        <f t="shared" si="1905"/>
        <v>教育庁</v>
      </c>
      <c r="R5235" s="7" t="str">
        <f t="shared" si="1920"/>
        <v>八尾高等学校</v>
      </c>
    </row>
    <row r="5236" spans="1:18" s="1" customFormat="1" x14ac:dyDescent="0.45">
      <c r="A5236" s="7" t="str">
        <f t="shared" si="1916"/>
        <v>10422000000</v>
      </c>
      <c r="B5236" s="7" t="str">
        <f t="shared" si="1917"/>
        <v>八尾高等学校</v>
      </c>
      <c r="C5236" s="7" t="str">
        <f t="shared" si="1903"/>
        <v>行政財産</v>
      </c>
      <c r="D5236" s="7" t="str">
        <f t="shared" si="1896"/>
        <v>学校</v>
      </c>
      <c r="E5236" s="7" t="str">
        <f t="shared" si="1918"/>
        <v>大阪府八尾市高町</v>
      </c>
      <c r="F5236" s="7"/>
      <c r="G5236" s="7" t="str">
        <f t="shared" si="1904"/>
        <v>事業用資産</v>
      </c>
      <c r="H5236" s="7" t="str">
        <f t="shared" si="1897"/>
        <v>棚卸以外</v>
      </c>
      <c r="I5236" s="7">
        <v>58</v>
      </c>
      <c r="J5236" s="7" t="str">
        <f>"管理・普通教室"</f>
        <v>管理・普通教室</v>
      </c>
      <c r="K5236" s="7" t="str">
        <f t="shared" si="1919"/>
        <v>鉄筋コンクリート造</v>
      </c>
      <c r="L5236" s="7" t="str">
        <f>"H06.12.20"</f>
        <v>H06.12.20</v>
      </c>
      <c r="M5236" s="7">
        <v>5241.67</v>
      </c>
      <c r="N5236" s="7">
        <v>1222734821</v>
      </c>
      <c r="O5236" s="7">
        <v>701568318</v>
      </c>
      <c r="P5236" s="7">
        <v>0</v>
      </c>
      <c r="Q5236" s="7" t="str">
        <f t="shared" si="1905"/>
        <v>教育庁</v>
      </c>
      <c r="R5236" s="7" t="str">
        <f t="shared" si="1920"/>
        <v>八尾高等学校</v>
      </c>
    </row>
    <row r="5237" spans="1:18" s="1" customFormat="1" x14ac:dyDescent="0.45">
      <c r="A5237" s="7" t="str">
        <f t="shared" si="1916"/>
        <v>10422000000</v>
      </c>
      <c r="B5237" s="7" t="str">
        <f t="shared" si="1917"/>
        <v>八尾高等学校</v>
      </c>
      <c r="C5237" s="7" t="str">
        <f t="shared" si="1903"/>
        <v>行政財産</v>
      </c>
      <c r="D5237" s="7" t="str">
        <f t="shared" si="1896"/>
        <v>学校</v>
      </c>
      <c r="E5237" s="7" t="str">
        <f t="shared" si="1918"/>
        <v>大阪府八尾市高町</v>
      </c>
      <c r="F5237" s="7"/>
      <c r="G5237" s="7" t="str">
        <f t="shared" si="1904"/>
        <v>事業用資産</v>
      </c>
      <c r="H5237" s="7" t="str">
        <f t="shared" si="1897"/>
        <v>棚卸以外</v>
      </c>
      <c r="I5237" s="7">
        <v>59</v>
      </c>
      <c r="J5237" s="7" t="str">
        <f>"特別教室棟"</f>
        <v>特別教室棟</v>
      </c>
      <c r="K5237" s="7" t="str">
        <f t="shared" si="1919"/>
        <v>鉄筋コンクリート造</v>
      </c>
      <c r="L5237" s="7" t="str">
        <f>"H06.12.20"</f>
        <v>H06.12.20</v>
      </c>
      <c r="M5237" s="7">
        <v>4136.17</v>
      </c>
      <c r="N5237" s="7">
        <v>871790976</v>
      </c>
      <c r="O5237" s="7">
        <v>515019396</v>
      </c>
      <c r="P5237" s="7">
        <v>0</v>
      </c>
      <c r="Q5237" s="7" t="str">
        <f t="shared" si="1905"/>
        <v>教育庁</v>
      </c>
      <c r="R5237" s="7" t="str">
        <f t="shared" si="1920"/>
        <v>八尾高等学校</v>
      </c>
    </row>
    <row r="5238" spans="1:18" s="1" customFormat="1" x14ac:dyDescent="0.45">
      <c r="A5238" s="7" t="str">
        <f t="shared" si="1916"/>
        <v>10422000000</v>
      </c>
      <c r="B5238" s="7" t="str">
        <f t="shared" si="1917"/>
        <v>八尾高等学校</v>
      </c>
      <c r="C5238" s="7" t="str">
        <f t="shared" si="1903"/>
        <v>行政財産</v>
      </c>
      <c r="D5238" s="7" t="str">
        <f t="shared" si="1896"/>
        <v>学校</v>
      </c>
      <c r="E5238" s="7" t="str">
        <f t="shared" si="1918"/>
        <v>大阪府八尾市高町</v>
      </c>
      <c r="F5238" s="7"/>
      <c r="G5238" s="7" t="str">
        <f t="shared" si="1904"/>
        <v>事業用資産</v>
      </c>
      <c r="H5238" s="7" t="str">
        <f t="shared" si="1897"/>
        <v>棚卸以外</v>
      </c>
      <c r="I5238" s="7">
        <v>60</v>
      </c>
      <c r="J5238" s="7" t="str">
        <f>"体育館"</f>
        <v>体育館</v>
      </c>
      <c r="K5238" s="7" t="str">
        <f t="shared" si="1919"/>
        <v>鉄筋コンクリート造</v>
      </c>
      <c r="L5238" s="7" t="str">
        <f>"H06.12.20"</f>
        <v>H06.12.20</v>
      </c>
      <c r="M5238" s="7">
        <v>2945.01</v>
      </c>
      <c r="N5238" s="7">
        <v>770491969</v>
      </c>
      <c r="O5238" s="7">
        <v>427227545</v>
      </c>
      <c r="P5238" s="7">
        <v>0</v>
      </c>
      <c r="Q5238" s="7" t="str">
        <f t="shared" si="1905"/>
        <v>教育庁</v>
      </c>
      <c r="R5238" s="7" t="str">
        <f t="shared" si="1920"/>
        <v>八尾高等学校</v>
      </c>
    </row>
    <row r="5239" spans="1:18" s="1" customFormat="1" x14ac:dyDescent="0.45">
      <c r="A5239" s="7" t="str">
        <f t="shared" si="1916"/>
        <v>10422000000</v>
      </c>
      <c r="B5239" s="7" t="str">
        <f t="shared" si="1917"/>
        <v>八尾高等学校</v>
      </c>
      <c r="C5239" s="7" t="str">
        <f t="shared" si="1903"/>
        <v>行政財産</v>
      </c>
      <c r="D5239" s="7" t="str">
        <f t="shared" si="1896"/>
        <v>学校</v>
      </c>
      <c r="E5239" s="7" t="str">
        <f t="shared" si="1918"/>
        <v>大阪府八尾市高町</v>
      </c>
      <c r="F5239" s="7"/>
      <c r="G5239" s="7" t="str">
        <f t="shared" si="1904"/>
        <v>事業用資産</v>
      </c>
      <c r="H5239" s="7" t="str">
        <f t="shared" si="1897"/>
        <v>棚卸以外</v>
      </c>
      <c r="I5239" s="7">
        <v>61</v>
      </c>
      <c r="J5239" s="7" t="str">
        <f>"倉庫棟"</f>
        <v>倉庫棟</v>
      </c>
      <c r="K5239" s="7" t="str">
        <f>"鉄骨造"</f>
        <v>鉄骨造</v>
      </c>
      <c r="L5239" s="7" t="str">
        <f>"H07.09.14"</f>
        <v>H07.09.14</v>
      </c>
      <c r="M5239" s="7">
        <v>225.02</v>
      </c>
      <c r="N5239" s="7">
        <v>35454000</v>
      </c>
      <c r="O5239" s="7">
        <v>31451310</v>
      </c>
      <c r="P5239" s="7">
        <v>0</v>
      </c>
      <c r="Q5239" s="7" t="str">
        <f t="shared" si="1905"/>
        <v>教育庁</v>
      </c>
      <c r="R5239" s="7" t="str">
        <f t="shared" si="1920"/>
        <v>八尾高等学校</v>
      </c>
    </row>
    <row r="5240" spans="1:18" s="1" customFormat="1" x14ac:dyDescent="0.45">
      <c r="A5240" s="7" t="str">
        <f t="shared" si="1916"/>
        <v>10422000000</v>
      </c>
      <c r="B5240" s="7" t="str">
        <f t="shared" si="1917"/>
        <v>八尾高等学校</v>
      </c>
      <c r="C5240" s="7" t="str">
        <f t="shared" si="1903"/>
        <v>行政財産</v>
      </c>
      <c r="D5240" s="7" t="str">
        <f t="shared" si="1896"/>
        <v>学校</v>
      </c>
      <c r="E5240" s="7" t="str">
        <f t="shared" si="1918"/>
        <v>大阪府八尾市高町</v>
      </c>
      <c r="F5240" s="7"/>
      <c r="G5240" s="7" t="str">
        <f t="shared" si="1904"/>
        <v>事業用資産</v>
      </c>
      <c r="H5240" s="7" t="str">
        <f t="shared" si="1897"/>
        <v>棚卸以外</v>
      </c>
      <c r="I5240" s="7">
        <v>62</v>
      </c>
      <c r="J5240" s="7" t="str">
        <f>"セミナーハウス"</f>
        <v>セミナーハウス</v>
      </c>
      <c r="K5240" s="7" t="str">
        <f>"鉄骨造"</f>
        <v>鉄骨造</v>
      </c>
      <c r="L5240" s="7" t="str">
        <f>"H08.03.21"</f>
        <v>H08.03.21</v>
      </c>
      <c r="M5240" s="7">
        <v>500.69</v>
      </c>
      <c r="N5240" s="7">
        <v>144800950</v>
      </c>
      <c r="O5240" s="7">
        <v>102832386</v>
      </c>
      <c r="P5240" s="7">
        <v>0</v>
      </c>
      <c r="Q5240" s="7" t="str">
        <f t="shared" si="1905"/>
        <v>教育庁</v>
      </c>
      <c r="R5240" s="7" t="str">
        <f t="shared" si="1920"/>
        <v>八尾高等学校</v>
      </c>
    </row>
    <row r="5241" spans="1:18" s="1" customFormat="1" x14ac:dyDescent="0.45">
      <c r="A5241" s="7" t="str">
        <f t="shared" si="1916"/>
        <v>10422000000</v>
      </c>
      <c r="B5241" s="7" t="str">
        <f t="shared" si="1917"/>
        <v>八尾高等学校</v>
      </c>
      <c r="C5241" s="7" t="str">
        <f t="shared" si="1903"/>
        <v>行政財産</v>
      </c>
      <c r="D5241" s="7" t="str">
        <f t="shared" ref="D5241:D5304" si="1921">"学校"</f>
        <v>学校</v>
      </c>
      <c r="E5241" s="7" t="str">
        <f t="shared" si="1918"/>
        <v>大阪府八尾市高町</v>
      </c>
      <c r="F5241" s="7"/>
      <c r="G5241" s="7" t="str">
        <f t="shared" si="1904"/>
        <v>事業用資産</v>
      </c>
      <c r="H5241" s="7" t="str">
        <f t="shared" si="1897"/>
        <v>棚卸以外</v>
      </c>
      <c r="I5241" s="7">
        <v>63</v>
      </c>
      <c r="J5241" s="7" t="str">
        <f>"ゴミ置場"</f>
        <v>ゴミ置場</v>
      </c>
      <c r="K5241" s="7" t="str">
        <f>"コンクリートブロック造"</f>
        <v>コンクリートブロック造</v>
      </c>
      <c r="L5241" s="7" t="str">
        <f>"H08.03.29"</f>
        <v>H08.03.29</v>
      </c>
      <c r="M5241" s="7">
        <v>15.9</v>
      </c>
      <c r="N5241" s="7">
        <v>2640000</v>
      </c>
      <c r="O5241" s="7">
        <v>2096604</v>
      </c>
      <c r="P5241" s="7">
        <v>0</v>
      </c>
      <c r="Q5241" s="7" t="str">
        <f t="shared" si="1905"/>
        <v>教育庁</v>
      </c>
      <c r="R5241" s="7" t="str">
        <f t="shared" si="1920"/>
        <v>八尾高等学校</v>
      </c>
    </row>
    <row r="5242" spans="1:18" s="1" customFormat="1" x14ac:dyDescent="0.45">
      <c r="A5242" s="7" t="str">
        <f t="shared" ref="A5242:A5252" si="1922">"10426000500"</f>
        <v>10426000500</v>
      </c>
      <c r="B5242" s="7" t="str">
        <f t="shared" ref="B5242:B5252" si="1923">"八尾北高校"</f>
        <v>八尾北高校</v>
      </c>
      <c r="C5242" s="7" t="str">
        <f t="shared" si="1903"/>
        <v>行政財産</v>
      </c>
      <c r="D5242" s="7" t="str">
        <f t="shared" si="1921"/>
        <v>学校</v>
      </c>
      <c r="E5242" s="7" t="str">
        <f t="shared" ref="E5242:E5252" si="1924">"大阪府八尾市萱振町７丁目"</f>
        <v>大阪府八尾市萱振町７丁目</v>
      </c>
      <c r="F5242" s="7"/>
      <c r="G5242" s="7" t="str">
        <f t="shared" si="1904"/>
        <v>事業用資産</v>
      </c>
      <c r="H5242" s="7" t="str">
        <f t="shared" si="1897"/>
        <v>棚卸以外</v>
      </c>
      <c r="I5242" s="7">
        <v>1</v>
      </c>
      <c r="J5242" s="7" t="str">
        <f>"校舎棟Ⅰ"</f>
        <v>校舎棟Ⅰ</v>
      </c>
      <c r="K5242" s="7" t="str">
        <f>"鉄筋コンクリート造"</f>
        <v>鉄筋コンクリート造</v>
      </c>
      <c r="L5242" s="7" t="str">
        <f>"S59.08.02"</f>
        <v>S59.08.02</v>
      </c>
      <c r="M5242" s="7">
        <v>7777.78</v>
      </c>
      <c r="N5242" s="7">
        <v>1172994827</v>
      </c>
      <c r="O5242" s="7">
        <v>768451501</v>
      </c>
      <c r="P5242" s="7">
        <v>0</v>
      </c>
      <c r="Q5242" s="7" t="str">
        <f t="shared" si="1905"/>
        <v>教育庁</v>
      </c>
      <c r="R5242" s="7" t="str">
        <f t="shared" ref="R5242:R5252" si="1925">"八尾北高等学校"</f>
        <v>八尾北高等学校</v>
      </c>
    </row>
    <row r="5243" spans="1:18" s="1" customFormat="1" x14ac:dyDescent="0.45">
      <c r="A5243" s="7" t="str">
        <f t="shared" si="1922"/>
        <v>10426000500</v>
      </c>
      <c r="B5243" s="7" t="str">
        <f t="shared" si="1923"/>
        <v>八尾北高校</v>
      </c>
      <c r="C5243" s="7" t="str">
        <f t="shared" si="1903"/>
        <v>行政財産</v>
      </c>
      <c r="D5243" s="7" t="str">
        <f t="shared" si="1921"/>
        <v>学校</v>
      </c>
      <c r="E5243" s="7" t="str">
        <f t="shared" si="1924"/>
        <v>大阪府八尾市萱振町７丁目</v>
      </c>
      <c r="F5243" s="7"/>
      <c r="G5243" s="7" t="str">
        <f t="shared" si="1904"/>
        <v>事業用資産</v>
      </c>
      <c r="H5243" s="7" t="str">
        <f t="shared" si="1897"/>
        <v>棚卸以外</v>
      </c>
      <c r="I5243" s="7">
        <v>2</v>
      </c>
      <c r="J5243" s="7" t="str">
        <f>"ゴミ置場"</f>
        <v>ゴミ置場</v>
      </c>
      <c r="K5243" s="7" t="str">
        <f>"鉄筋コンクリート造"</f>
        <v>鉄筋コンクリート造</v>
      </c>
      <c r="L5243" s="7" t="str">
        <f>"S59.09.26"</f>
        <v>S59.09.26</v>
      </c>
      <c r="M5243" s="7">
        <v>8.7200000000000006</v>
      </c>
      <c r="N5243" s="7">
        <v>1170000</v>
      </c>
      <c r="O5243" s="7">
        <v>985344</v>
      </c>
      <c r="P5243" s="7">
        <v>0</v>
      </c>
      <c r="Q5243" s="7" t="str">
        <f t="shared" si="1905"/>
        <v>教育庁</v>
      </c>
      <c r="R5243" s="7" t="str">
        <f t="shared" si="1925"/>
        <v>八尾北高等学校</v>
      </c>
    </row>
    <row r="5244" spans="1:18" s="1" customFormat="1" x14ac:dyDescent="0.45">
      <c r="A5244" s="7" t="str">
        <f t="shared" si="1922"/>
        <v>10426000500</v>
      </c>
      <c r="B5244" s="7" t="str">
        <f t="shared" si="1923"/>
        <v>八尾北高校</v>
      </c>
      <c r="C5244" s="7" t="str">
        <f t="shared" si="1903"/>
        <v>行政財産</v>
      </c>
      <c r="D5244" s="7" t="str">
        <f t="shared" si="1921"/>
        <v>学校</v>
      </c>
      <c r="E5244" s="7" t="str">
        <f t="shared" si="1924"/>
        <v>大阪府八尾市萱振町７丁目</v>
      </c>
      <c r="F5244" s="7"/>
      <c r="G5244" s="7" t="str">
        <f t="shared" si="1904"/>
        <v>事業用資産</v>
      </c>
      <c r="H5244" s="7" t="str">
        <f t="shared" si="1897"/>
        <v>棚卸以外</v>
      </c>
      <c r="I5244" s="7">
        <v>3</v>
      </c>
      <c r="J5244" s="7" t="str">
        <f>"体育館"</f>
        <v>体育館</v>
      </c>
      <c r="K5244" s="7" t="str">
        <f>"鉄筋コンクリート造"</f>
        <v>鉄筋コンクリート造</v>
      </c>
      <c r="L5244" s="7" t="str">
        <f>"S60.03.01"</f>
        <v>S60.03.01</v>
      </c>
      <c r="M5244" s="7">
        <v>3031.67</v>
      </c>
      <c r="N5244" s="7">
        <v>553423900</v>
      </c>
      <c r="O5244" s="7">
        <v>331753788</v>
      </c>
      <c r="P5244" s="7">
        <v>0</v>
      </c>
      <c r="Q5244" s="7" t="str">
        <f t="shared" si="1905"/>
        <v>教育庁</v>
      </c>
      <c r="R5244" s="7" t="str">
        <f t="shared" si="1925"/>
        <v>八尾北高等学校</v>
      </c>
    </row>
    <row r="5245" spans="1:18" s="1" customFormat="1" x14ac:dyDescent="0.45">
      <c r="A5245" s="7" t="str">
        <f t="shared" si="1922"/>
        <v>10426000500</v>
      </c>
      <c r="B5245" s="7" t="str">
        <f t="shared" si="1923"/>
        <v>八尾北高校</v>
      </c>
      <c r="C5245" s="7" t="str">
        <f t="shared" si="1903"/>
        <v>行政財産</v>
      </c>
      <c r="D5245" s="7" t="str">
        <f t="shared" si="1921"/>
        <v>学校</v>
      </c>
      <c r="E5245" s="7" t="str">
        <f t="shared" si="1924"/>
        <v>大阪府八尾市萱振町７丁目</v>
      </c>
      <c r="F5245" s="7"/>
      <c r="G5245" s="7" t="str">
        <f t="shared" si="1904"/>
        <v>事業用資産</v>
      </c>
      <c r="H5245" s="7" t="str">
        <f t="shared" si="1897"/>
        <v>棚卸以外</v>
      </c>
      <c r="I5245" s="7">
        <v>4</v>
      </c>
      <c r="J5245" s="7" t="str">
        <f>"校舎棟Ⅱ"</f>
        <v>校舎棟Ⅱ</v>
      </c>
      <c r="K5245" s="7" t="str">
        <f>"鉄筋コンクリート造"</f>
        <v>鉄筋コンクリート造</v>
      </c>
      <c r="L5245" s="7" t="str">
        <f>"S60.07.01"</f>
        <v>S60.07.01</v>
      </c>
      <c r="M5245" s="7">
        <v>3999.71</v>
      </c>
      <c r="N5245" s="7">
        <v>666232694</v>
      </c>
      <c r="O5245" s="7">
        <v>435133010</v>
      </c>
      <c r="P5245" s="7">
        <v>0</v>
      </c>
      <c r="Q5245" s="7" t="str">
        <f t="shared" si="1905"/>
        <v>教育庁</v>
      </c>
      <c r="R5245" s="7" t="str">
        <f t="shared" si="1925"/>
        <v>八尾北高等学校</v>
      </c>
    </row>
    <row r="5246" spans="1:18" s="1" customFormat="1" x14ac:dyDescent="0.45">
      <c r="A5246" s="7" t="str">
        <f t="shared" si="1922"/>
        <v>10426000500</v>
      </c>
      <c r="B5246" s="7" t="str">
        <f t="shared" si="1923"/>
        <v>八尾北高校</v>
      </c>
      <c r="C5246" s="7" t="str">
        <f t="shared" si="1903"/>
        <v>行政財産</v>
      </c>
      <c r="D5246" s="7" t="str">
        <f t="shared" si="1921"/>
        <v>学校</v>
      </c>
      <c r="E5246" s="7" t="str">
        <f t="shared" si="1924"/>
        <v>大阪府八尾市萱振町７丁目</v>
      </c>
      <c r="F5246" s="7"/>
      <c r="G5246" s="7" t="str">
        <f t="shared" si="1904"/>
        <v>事業用資産</v>
      </c>
      <c r="H5246" s="7" t="str">
        <f t="shared" si="1897"/>
        <v>棚卸以外</v>
      </c>
      <c r="I5246" s="7">
        <v>5</v>
      </c>
      <c r="J5246" s="7" t="str">
        <f>"渡り廊下"</f>
        <v>渡り廊下</v>
      </c>
      <c r="K5246" s="7" t="str">
        <f>"鉄筋コンクリート造"</f>
        <v>鉄筋コンクリート造</v>
      </c>
      <c r="L5246" s="7" t="str">
        <f>"S60.07.01"</f>
        <v>S60.07.01</v>
      </c>
      <c r="M5246" s="7">
        <v>75.22</v>
      </c>
      <c r="N5246" s="7">
        <v>16593321</v>
      </c>
      <c r="O5246" s="7">
        <v>12924228</v>
      </c>
      <c r="P5246" s="7">
        <v>0</v>
      </c>
      <c r="Q5246" s="7" t="str">
        <f t="shared" si="1905"/>
        <v>教育庁</v>
      </c>
      <c r="R5246" s="7" t="str">
        <f t="shared" si="1925"/>
        <v>八尾北高等学校</v>
      </c>
    </row>
    <row r="5247" spans="1:18" s="1" customFormat="1" x14ac:dyDescent="0.45">
      <c r="A5247" s="7" t="str">
        <f t="shared" si="1922"/>
        <v>10426000500</v>
      </c>
      <c r="B5247" s="7" t="str">
        <f t="shared" si="1923"/>
        <v>八尾北高校</v>
      </c>
      <c r="C5247" s="7" t="str">
        <f t="shared" si="1903"/>
        <v>行政財産</v>
      </c>
      <c r="D5247" s="7" t="str">
        <f t="shared" si="1921"/>
        <v>学校</v>
      </c>
      <c r="E5247" s="7" t="str">
        <f t="shared" si="1924"/>
        <v>大阪府八尾市萱振町７丁目</v>
      </c>
      <c r="F5247" s="7"/>
      <c r="G5247" s="7" t="str">
        <f t="shared" si="1904"/>
        <v>事業用資産</v>
      </c>
      <c r="H5247" s="7" t="str">
        <f t="shared" si="1897"/>
        <v>棚卸以外</v>
      </c>
      <c r="I5247" s="7">
        <v>6</v>
      </c>
      <c r="J5247" s="7" t="str">
        <f>"倉庫"</f>
        <v>倉庫</v>
      </c>
      <c r="K5247" s="7" t="str">
        <f>"土蔵造(簡易建物)"</f>
        <v>土蔵造(簡易建物)</v>
      </c>
      <c r="L5247" s="7" t="str">
        <f>"S61.03.31"</f>
        <v>S61.03.31</v>
      </c>
      <c r="M5247" s="7">
        <v>486</v>
      </c>
      <c r="N5247" s="7">
        <v>29721112</v>
      </c>
      <c r="O5247" s="7">
        <v>29721111</v>
      </c>
      <c r="P5247" s="7">
        <v>0</v>
      </c>
      <c r="Q5247" s="7" t="str">
        <f t="shared" si="1905"/>
        <v>教育庁</v>
      </c>
      <c r="R5247" s="7" t="str">
        <f t="shared" si="1925"/>
        <v>八尾北高等学校</v>
      </c>
    </row>
    <row r="5248" spans="1:18" s="1" customFormat="1" x14ac:dyDescent="0.45">
      <c r="A5248" s="7" t="str">
        <f t="shared" si="1922"/>
        <v>10426000500</v>
      </c>
      <c r="B5248" s="7" t="str">
        <f t="shared" si="1923"/>
        <v>八尾北高校</v>
      </c>
      <c r="C5248" s="7" t="str">
        <f t="shared" si="1903"/>
        <v>行政財産</v>
      </c>
      <c r="D5248" s="7" t="str">
        <f t="shared" si="1921"/>
        <v>学校</v>
      </c>
      <c r="E5248" s="7" t="str">
        <f t="shared" si="1924"/>
        <v>大阪府八尾市萱振町７丁目</v>
      </c>
      <c r="F5248" s="7"/>
      <c r="G5248" s="7" t="str">
        <f t="shared" si="1904"/>
        <v>事業用資産</v>
      </c>
      <c r="H5248" s="7" t="str">
        <f t="shared" si="1897"/>
        <v>棚卸以外</v>
      </c>
      <c r="I5248" s="7">
        <v>7</v>
      </c>
      <c r="J5248" s="7" t="str">
        <f>"石灰庫"</f>
        <v>石灰庫</v>
      </c>
      <c r="K5248" s="7" t="str">
        <f>"コンクリートブロック造"</f>
        <v>コンクリートブロック造</v>
      </c>
      <c r="L5248" s="7" t="str">
        <f>"S61.05.30"</f>
        <v>S61.05.30</v>
      </c>
      <c r="M5248" s="7">
        <v>8.8000000000000007</v>
      </c>
      <c r="N5248" s="7">
        <v>863000</v>
      </c>
      <c r="O5248" s="7">
        <v>482448</v>
      </c>
      <c r="P5248" s="7">
        <v>0</v>
      </c>
      <c r="Q5248" s="7" t="str">
        <f t="shared" si="1905"/>
        <v>教育庁</v>
      </c>
      <c r="R5248" s="7" t="str">
        <f t="shared" si="1925"/>
        <v>八尾北高等学校</v>
      </c>
    </row>
    <row r="5249" spans="1:18" s="1" customFormat="1" x14ac:dyDescent="0.45">
      <c r="A5249" s="7" t="str">
        <f t="shared" si="1922"/>
        <v>10426000500</v>
      </c>
      <c r="B5249" s="7" t="str">
        <f t="shared" si="1923"/>
        <v>八尾北高校</v>
      </c>
      <c r="C5249" s="7" t="str">
        <f t="shared" si="1903"/>
        <v>行政財産</v>
      </c>
      <c r="D5249" s="7" t="str">
        <f t="shared" si="1921"/>
        <v>学校</v>
      </c>
      <c r="E5249" s="7" t="str">
        <f t="shared" si="1924"/>
        <v>大阪府八尾市萱振町７丁目</v>
      </c>
      <c r="F5249" s="7"/>
      <c r="G5249" s="7" t="str">
        <f t="shared" si="1904"/>
        <v>事業用資産</v>
      </c>
      <c r="H5249" s="7" t="str">
        <f t="shared" si="1897"/>
        <v>棚卸以外</v>
      </c>
      <c r="I5249" s="7">
        <v>8</v>
      </c>
      <c r="J5249" s="7" t="str">
        <f>"福祉実習棟"</f>
        <v>福祉実習棟</v>
      </c>
      <c r="K5249" s="7" t="str">
        <f>"鉄骨造"</f>
        <v>鉄骨造</v>
      </c>
      <c r="L5249" s="7" t="str">
        <f>"H17.03.28"</f>
        <v>H17.03.28</v>
      </c>
      <c r="M5249" s="7">
        <v>547.97</v>
      </c>
      <c r="N5249" s="7">
        <v>115951000</v>
      </c>
      <c r="O5249" s="7">
        <v>61378756</v>
      </c>
      <c r="P5249" s="7">
        <v>0</v>
      </c>
      <c r="Q5249" s="7" t="str">
        <f t="shared" si="1905"/>
        <v>教育庁</v>
      </c>
      <c r="R5249" s="7" t="str">
        <f t="shared" si="1925"/>
        <v>八尾北高等学校</v>
      </c>
    </row>
    <row r="5250" spans="1:18" s="1" customFormat="1" x14ac:dyDescent="0.45">
      <c r="A5250" s="7" t="str">
        <f t="shared" si="1922"/>
        <v>10426000500</v>
      </c>
      <c r="B5250" s="7" t="str">
        <f t="shared" si="1923"/>
        <v>八尾北高校</v>
      </c>
      <c r="C5250" s="7" t="str">
        <f t="shared" si="1903"/>
        <v>行政財産</v>
      </c>
      <c r="D5250" s="7" t="str">
        <f t="shared" si="1921"/>
        <v>学校</v>
      </c>
      <c r="E5250" s="7" t="str">
        <f t="shared" si="1924"/>
        <v>大阪府八尾市萱振町７丁目</v>
      </c>
      <c r="F5250" s="7"/>
      <c r="G5250" s="7" t="str">
        <f t="shared" si="1904"/>
        <v>事業用資産</v>
      </c>
      <c r="H5250" s="7" t="str">
        <f t="shared" si="1897"/>
        <v>棚卸以外</v>
      </c>
      <c r="I5250" s="7">
        <v>9</v>
      </c>
      <c r="J5250" s="7" t="str">
        <f>"ログハウス"</f>
        <v>ログハウス</v>
      </c>
      <c r="K5250" s="7" t="str">
        <f>"木造"</f>
        <v>木造</v>
      </c>
      <c r="L5250" s="7" t="str">
        <f>"H21.03.31"</f>
        <v>H21.03.31</v>
      </c>
      <c r="M5250" s="7">
        <v>17.399999999999999</v>
      </c>
      <c r="N5250" s="7">
        <v>1704700</v>
      </c>
      <c r="O5250" s="7">
        <v>1571178</v>
      </c>
      <c r="P5250" s="7">
        <v>0</v>
      </c>
      <c r="Q5250" s="7" t="str">
        <f t="shared" si="1905"/>
        <v>教育庁</v>
      </c>
      <c r="R5250" s="7" t="str">
        <f t="shared" si="1925"/>
        <v>八尾北高等学校</v>
      </c>
    </row>
    <row r="5251" spans="1:18" s="1" customFormat="1" x14ac:dyDescent="0.45">
      <c r="A5251" s="7" t="str">
        <f t="shared" si="1922"/>
        <v>10426000500</v>
      </c>
      <c r="B5251" s="7" t="str">
        <f t="shared" si="1923"/>
        <v>八尾北高校</v>
      </c>
      <c r="C5251" s="7" t="str">
        <f t="shared" si="1903"/>
        <v>行政財産</v>
      </c>
      <c r="D5251" s="7" t="str">
        <f t="shared" si="1921"/>
        <v>学校</v>
      </c>
      <c r="E5251" s="7" t="str">
        <f t="shared" si="1924"/>
        <v>大阪府八尾市萱振町７丁目</v>
      </c>
      <c r="F5251" s="7"/>
      <c r="G5251" s="7" t="str">
        <f t="shared" si="1904"/>
        <v>事業用資産</v>
      </c>
      <c r="H5251" s="7" t="str">
        <f t="shared" si="1897"/>
        <v>棚卸以外</v>
      </c>
      <c r="I5251" s="7">
        <v>10</v>
      </c>
      <c r="J5251" s="7" t="str">
        <f>"物置（テニスコート）"</f>
        <v>物置（テニスコート）</v>
      </c>
      <c r="K5251" s="7" t="str">
        <f>"軽量鉄骨造"</f>
        <v>軽量鉄骨造</v>
      </c>
      <c r="L5251" s="7" t="str">
        <f>"H31.03.29"</f>
        <v>H31.03.29</v>
      </c>
      <c r="M5251" s="7">
        <v>3.32</v>
      </c>
      <c r="N5251" s="7">
        <v>723600</v>
      </c>
      <c r="O5251" s="7">
        <v>120624</v>
      </c>
      <c r="P5251" s="7">
        <v>0</v>
      </c>
      <c r="Q5251" s="7" t="str">
        <f t="shared" si="1905"/>
        <v>教育庁</v>
      </c>
      <c r="R5251" s="7" t="str">
        <f t="shared" si="1925"/>
        <v>八尾北高等学校</v>
      </c>
    </row>
    <row r="5252" spans="1:18" s="1" customFormat="1" x14ac:dyDescent="0.45">
      <c r="A5252" s="7" t="str">
        <f t="shared" si="1922"/>
        <v>10426000500</v>
      </c>
      <c r="B5252" s="7" t="str">
        <f t="shared" si="1923"/>
        <v>八尾北高校</v>
      </c>
      <c r="C5252" s="7" t="str">
        <f t="shared" si="1903"/>
        <v>行政財産</v>
      </c>
      <c r="D5252" s="7" t="str">
        <f t="shared" si="1921"/>
        <v>学校</v>
      </c>
      <c r="E5252" s="7" t="str">
        <f t="shared" si="1924"/>
        <v>大阪府八尾市萱振町７丁目</v>
      </c>
      <c r="F5252" s="7"/>
      <c r="G5252" s="7" t="str">
        <f t="shared" si="1904"/>
        <v>事業用資産</v>
      </c>
      <c r="H5252" s="7" t="str">
        <f t="shared" ref="H5252:H5315" si="1926">"棚卸以外"</f>
        <v>棚卸以外</v>
      </c>
      <c r="I5252" s="7">
        <v>11</v>
      </c>
      <c r="J5252" s="7" t="str">
        <f>"物置（グランド南西）"</f>
        <v>物置（グランド南西）</v>
      </c>
      <c r="K5252" s="7" t="str">
        <f>"軽量鉄骨造"</f>
        <v>軽量鉄骨造</v>
      </c>
      <c r="L5252" s="7" t="str">
        <f>"H31.03.29"</f>
        <v>H31.03.29</v>
      </c>
      <c r="M5252" s="7">
        <v>9.77</v>
      </c>
      <c r="N5252" s="7">
        <v>1285200</v>
      </c>
      <c r="O5252" s="7">
        <v>214224</v>
      </c>
      <c r="P5252" s="7">
        <v>0</v>
      </c>
      <c r="Q5252" s="7" t="str">
        <f t="shared" si="1905"/>
        <v>教育庁</v>
      </c>
      <c r="R5252" s="7" t="str">
        <f t="shared" si="1925"/>
        <v>八尾北高等学校</v>
      </c>
    </row>
    <row r="5253" spans="1:18" s="1" customFormat="1" x14ac:dyDescent="0.45">
      <c r="A5253" s="7" t="str">
        <f t="shared" ref="A5253:A5270" si="1927">"10427000000"</f>
        <v>10427000000</v>
      </c>
      <c r="B5253" s="7" t="str">
        <f t="shared" ref="B5253:B5270" si="1928">"生野高等学校"</f>
        <v>生野高等学校</v>
      </c>
      <c r="C5253" s="7" t="str">
        <f t="shared" si="1903"/>
        <v>行政財産</v>
      </c>
      <c r="D5253" s="7" t="str">
        <f t="shared" si="1921"/>
        <v>学校</v>
      </c>
      <c r="E5253" s="7" t="str">
        <f t="shared" ref="E5253:E5270" si="1929">"大阪府松原市新堂１丁目"</f>
        <v>大阪府松原市新堂１丁目</v>
      </c>
      <c r="F5253" s="7"/>
      <c r="G5253" s="7" t="str">
        <f t="shared" si="1904"/>
        <v>事業用資産</v>
      </c>
      <c r="H5253" s="7" t="str">
        <f t="shared" si="1926"/>
        <v>棚卸以外</v>
      </c>
      <c r="I5253" s="7">
        <v>1</v>
      </c>
      <c r="J5253" s="7" t="str">
        <f>"南棟"</f>
        <v>南棟</v>
      </c>
      <c r="K5253" s="7" t="str">
        <f>"鉄筋コンクリート造"</f>
        <v>鉄筋コンクリート造</v>
      </c>
      <c r="L5253" s="7" t="str">
        <f t="shared" ref="L5253:L5260" si="1930">"S44.03.15"</f>
        <v>S44.03.15</v>
      </c>
      <c r="M5253" s="7">
        <v>4067.46</v>
      </c>
      <c r="N5253" s="7">
        <v>483407619</v>
      </c>
      <c r="O5253" s="7">
        <v>279928164</v>
      </c>
      <c r="P5253" s="7">
        <v>0</v>
      </c>
      <c r="Q5253" s="7" t="str">
        <f t="shared" si="1905"/>
        <v>教育庁</v>
      </c>
      <c r="R5253" s="7" t="str">
        <f t="shared" ref="R5253:R5270" si="1931">"生野高等学校"</f>
        <v>生野高等学校</v>
      </c>
    </row>
    <row r="5254" spans="1:18" s="1" customFormat="1" x14ac:dyDescent="0.45">
      <c r="A5254" s="7" t="str">
        <f t="shared" si="1927"/>
        <v>10427000000</v>
      </c>
      <c r="B5254" s="7" t="str">
        <f t="shared" si="1928"/>
        <v>生野高等学校</v>
      </c>
      <c r="C5254" s="7" t="str">
        <f t="shared" si="1903"/>
        <v>行政財産</v>
      </c>
      <c r="D5254" s="7" t="str">
        <f t="shared" si="1921"/>
        <v>学校</v>
      </c>
      <c r="E5254" s="7" t="str">
        <f t="shared" si="1929"/>
        <v>大阪府松原市新堂１丁目</v>
      </c>
      <c r="F5254" s="7"/>
      <c r="G5254" s="7" t="str">
        <f t="shared" si="1904"/>
        <v>事業用資産</v>
      </c>
      <c r="H5254" s="7" t="str">
        <f t="shared" si="1926"/>
        <v>棚卸以外</v>
      </c>
      <c r="I5254" s="7">
        <v>2</v>
      </c>
      <c r="J5254" s="7" t="str">
        <f>"北棟"</f>
        <v>北棟</v>
      </c>
      <c r="K5254" s="7" t="str">
        <f>"鉄筋コンクリート造"</f>
        <v>鉄筋コンクリート造</v>
      </c>
      <c r="L5254" s="7" t="str">
        <f t="shared" si="1930"/>
        <v>S44.03.15</v>
      </c>
      <c r="M5254" s="7">
        <v>5004.3</v>
      </c>
      <c r="N5254" s="7">
        <v>538884203</v>
      </c>
      <c r="O5254" s="7">
        <v>314397730</v>
      </c>
      <c r="P5254" s="7">
        <v>0</v>
      </c>
      <c r="Q5254" s="7" t="str">
        <f t="shared" si="1905"/>
        <v>教育庁</v>
      </c>
      <c r="R5254" s="7" t="str">
        <f t="shared" si="1931"/>
        <v>生野高等学校</v>
      </c>
    </row>
    <row r="5255" spans="1:18" s="1" customFormat="1" x14ac:dyDescent="0.45">
      <c r="A5255" s="7" t="str">
        <f t="shared" si="1927"/>
        <v>10427000000</v>
      </c>
      <c r="B5255" s="7" t="str">
        <f t="shared" si="1928"/>
        <v>生野高等学校</v>
      </c>
      <c r="C5255" s="7" t="str">
        <f t="shared" si="1903"/>
        <v>行政財産</v>
      </c>
      <c r="D5255" s="7" t="str">
        <f t="shared" si="1921"/>
        <v>学校</v>
      </c>
      <c r="E5255" s="7" t="str">
        <f t="shared" si="1929"/>
        <v>大阪府松原市新堂１丁目</v>
      </c>
      <c r="F5255" s="7"/>
      <c r="G5255" s="7" t="str">
        <f t="shared" si="1904"/>
        <v>事業用資産</v>
      </c>
      <c r="H5255" s="7" t="str">
        <f t="shared" si="1926"/>
        <v>棚卸以外</v>
      </c>
      <c r="I5255" s="7">
        <v>3</v>
      </c>
      <c r="J5255" s="7" t="str">
        <f>"渡り廊下（Ａ"</f>
        <v>渡り廊下（Ａ</v>
      </c>
      <c r="K5255" s="7" t="str">
        <f>"鉄筋コンクリート造"</f>
        <v>鉄筋コンクリート造</v>
      </c>
      <c r="L5255" s="7" t="str">
        <f t="shared" si="1930"/>
        <v>S44.03.15</v>
      </c>
      <c r="M5255" s="7">
        <v>307.2</v>
      </c>
      <c r="N5255" s="7">
        <v>24150592</v>
      </c>
      <c r="O5255" s="7">
        <v>15586568</v>
      </c>
      <c r="P5255" s="7">
        <v>0</v>
      </c>
      <c r="Q5255" s="7" t="str">
        <f t="shared" si="1905"/>
        <v>教育庁</v>
      </c>
      <c r="R5255" s="7" t="str">
        <f t="shared" si="1931"/>
        <v>生野高等学校</v>
      </c>
    </row>
    <row r="5256" spans="1:18" s="1" customFormat="1" x14ac:dyDescent="0.45">
      <c r="A5256" s="7" t="str">
        <f t="shared" si="1927"/>
        <v>10427000000</v>
      </c>
      <c r="B5256" s="7" t="str">
        <f t="shared" si="1928"/>
        <v>生野高等学校</v>
      </c>
      <c r="C5256" s="7" t="str">
        <f t="shared" si="1903"/>
        <v>行政財産</v>
      </c>
      <c r="D5256" s="7" t="str">
        <f t="shared" si="1921"/>
        <v>学校</v>
      </c>
      <c r="E5256" s="7" t="str">
        <f t="shared" si="1929"/>
        <v>大阪府松原市新堂１丁目</v>
      </c>
      <c r="F5256" s="7"/>
      <c r="G5256" s="7" t="str">
        <f t="shared" si="1904"/>
        <v>事業用資産</v>
      </c>
      <c r="H5256" s="7" t="str">
        <f t="shared" si="1926"/>
        <v>棚卸以外</v>
      </c>
      <c r="I5256" s="7">
        <v>4</v>
      </c>
      <c r="J5256" s="7" t="str">
        <f>"渡り廊下Ｂ"</f>
        <v>渡り廊下Ｂ</v>
      </c>
      <c r="K5256" s="7" t="str">
        <f>"鉄筋コンクリート造"</f>
        <v>鉄筋コンクリート造</v>
      </c>
      <c r="L5256" s="7" t="str">
        <f t="shared" si="1930"/>
        <v>S44.03.15</v>
      </c>
      <c r="M5256" s="7">
        <v>98</v>
      </c>
      <c r="N5256" s="7">
        <v>14423073</v>
      </c>
      <c r="O5256" s="7">
        <v>9135675</v>
      </c>
      <c r="P5256" s="7">
        <v>0</v>
      </c>
      <c r="Q5256" s="7" t="str">
        <f t="shared" si="1905"/>
        <v>教育庁</v>
      </c>
      <c r="R5256" s="7" t="str">
        <f t="shared" si="1931"/>
        <v>生野高等学校</v>
      </c>
    </row>
    <row r="5257" spans="1:18" s="1" customFormat="1" x14ac:dyDescent="0.45">
      <c r="A5257" s="7" t="str">
        <f t="shared" si="1927"/>
        <v>10427000000</v>
      </c>
      <c r="B5257" s="7" t="str">
        <f t="shared" si="1928"/>
        <v>生野高等学校</v>
      </c>
      <c r="C5257" s="7" t="str">
        <f t="shared" si="1903"/>
        <v>行政財産</v>
      </c>
      <c r="D5257" s="7" t="str">
        <f t="shared" si="1921"/>
        <v>学校</v>
      </c>
      <c r="E5257" s="7" t="str">
        <f t="shared" si="1929"/>
        <v>大阪府松原市新堂１丁目</v>
      </c>
      <c r="F5257" s="7"/>
      <c r="G5257" s="7" t="str">
        <f t="shared" si="1904"/>
        <v>事業用資産</v>
      </c>
      <c r="H5257" s="7" t="str">
        <f t="shared" si="1926"/>
        <v>棚卸以外</v>
      </c>
      <c r="I5257" s="7">
        <v>5</v>
      </c>
      <c r="J5257" s="7" t="str">
        <f>"工芸棟"</f>
        <v>工芸棟</v>
      </c>
      <c r="K5257" s="7" t="str">
        <f>"鉄骨造"</f>
        <v>鉄骨造</v>
      </c>
      <c r="L5257" s="7" t="str">
        <f t="shared" si="1930"/>
        <v>S44.03.15</v>
      </c>
      <c r="M5257" s="7">
        <v>202.5</v>
      </c>
      <c r="N5257" s="7">
        <v>12352325</v>
      </c>
      <c r="O5257" s="7">
        <v>11000536</v>
      </c>
      <c r="P5257" s="7">
        <v>0</v>
      </c>
      <c r="Q5257" s="7" t="str">
        <f t="shared" si="1905"/>
        <v>教育庁</v>
      </c>
      <c r="R5257" s="7" t="str">
        <f t="shared" si="1931"/>
        <v>生野高等学校</v>
      </c>
    </row>
    <row r="5258" spans="1:18" s="1" customFormat="1" x14ac:dyDescent="0.45">
      <c r="A5258" s="7" t="str">
        <f t="shared" si="1927"/>
        <v>10427000000</v>
      </c>
      <c r="B5258" s="7" t="str">
        <f t="shared" si="1928"/>
        <v>生野高等学校</v>
      </c>
      <c r="C5258" s="7" t="str">
        <f t="shared" si="1903"/>
        <v>行政財産</v>
      </c>
      <c r="D5258" s="7" t="str">
        <f t="shared" si="1921"/>
        <v>学校</v>
      </c>
      <c r="E5258" s="7" t="str">
        <f t="shared" si="1929"/>
        <v>大阪府松原市新堂１丁目</v>
      </c>
      <c r="F5258" s="7"/>
      <c r="G5258" s="7" t="str">
        <f t="shared" si="1904"/>
        <v>事業用資産</v>
      </c>
      <c r="H5258" s="7" t="str">
        <f t="shared" si="1926"/>
        <v>棚卸以外</v>
      </c>
      <c r="I5258" s="7">
        <v>6</v>
      </c>
      <c r="J5258" s="7" t="str">
        <f>"渡り廊下Ｃ"</f>
        <v>渡り廊下Ｃ</v>
      </c>
      <c r="K5258" s="7" t="str">
        <f>"軽量鉄骨造"</f>
        <v>軽量鉄骨造</v>
      </c>
      <c r="L5258" s="7" t="str">
        <f t="shared" si="1930"/>
        <v>S44.03.15</v>
      </c>
      <c r="M5258" s="7">
        <v>30</v>
      </c>
      <c r="N5258" s="7">
        <v>623211</v>
      </c>
      <c r="O5258" s="7">
        <v>623210</v>
      </c>
      <c r="P5258" s="7">
        <v>0</v>
      </c>
      <c r="Q5258" s="7" t="str">
        <f t="shared" si="1905"/>
        <v>教育庁</v>
      </c>
      <c r="R5258" s="7" t="str">
        <f t="shared" si="1931"/>
        <v>生野高等学校</v>
      </c>
    </row>
    <row r="5259" spans="1:18" s="1" customFormat="1" x14ac:dyDescent="0.45">
      <c r="A5259" s="7" t="str">
        <f t="shared" si="1927"/>
        <v>10427000000</v>
      </c>
      <c r="B5259" s="7" t="str">
        <f t="shared" si="1928"/>
        <v>生野高等学校</v>
      </c>
      <c r="C5259" s="7" t="str">
        <f t="shared" si="1903"/>
        <v>行政財産</v>
      </c>
      <c r="D5259" s="7" t="str">
        <f t="shared" si="1921"/>
        <v>学校</v>
      </c>
      <c r="E5259" s="7" t="str">
        <f t="shared" si="1929"/>
        <v>大阪府松原市新堂１丁目</v>
      </c>
      <c r="F5259" s="7"/>
      <c r="G5259" s="7" t="str">
        <f t="shared" si="1904"/>
        <v>事業用資産</v>
      </c>
      <c r="H5259" s="7" t="str">
        <f t="shared" si="1926"/>
        <v>棚卸以外</v>
      </c>
      <c r="I5259" s="7">
        <v>7</v>
      </c>
      <c r="J5259" s="7" t="str">
        <f>"設備棟"</f>
        <v>設備棟</v>
      </c>
      <c r="K5259" s="7" t="str">
        <f>"鉄筋コンクリート造"</f>
        <v>鉄筋コンクリート造</v>
      </c>
      <c r="L5259" s="7" t="str">
        <f t="shared" si="1930"/>
        <v>S44.03.15</v>
      </c>
      <c r="M5259" s="7">
        <v>80</v>
      </c>
      <c r="N5259" s="7">
        <v>10629942</v>
      </c>
      <c r="O5259" s="7">
        <v>10417436</v>
      </c>
      <c r="P5259" s="7">
        <v>0</v>
      </c>
      <c r="Q5259" s="7" t="str">
        <f t="shared" si="1905"/>
        <v>教育庁</v>
      </c>
      <c r="R5259" s="7" t="str">
        <f t="shared" si="1931"/>
        <v>生野高等学校</v>
      </c>
    </row>
    <row r="5260" spans="1:18" s="1" customFormat="1" x14ac:dyDescent="0.45">
      <c r="A5260" s="7" t="str">
        <f t="shared" si="1927"/>
        <v>10427000000</v>
      </c>
      <c r="B5260" s="7" t="str">
        <f t="shared" si="1928"/>
        <v>生野高等学校</v>
      </c>
      <c r="C5260" s="7" t="str">
        <f t="shared" si="1903"/>
        <v>行政財産</v>
      </c>
      <c r="D5260" s="7" t="str">
        <f t="shared" si="1921"/>
        <v>学校</v>
      </c>
      <c r="E5260" s="7" t="str">
        <f t="shared" si="1929"/>
        <v>大阪府松原市新堂１丁目</v>
      </c>
      <c r="F5260" s="7"/>
      <c r="G5260" s="7" t="str">
        <f t="shared" si="1904"/>
        <v>事業用資産</v>
      </c>
      <c r="H5260" s="7" t="str">
        <f t="shared" si="1926"/>
        <v>棚卸以外</v>
      </c>
      <c r="I5260" s="7">
        <v>10</v>
      </c>
      <c r="J5260" s="7" t="str">
        <f>"渡り廊下Ｄ"</f>
        <v>渡り廊下Ｄ</v>
      </c>
      <c r="K5260" s="7" t="str">
        <f>"軽量鉄骨造"</f>
        <v>軽量鉄骨造</v>
      </c>
      <c r="L5260" s="7" t="str">
        <f t="shared" si="1930"/>
        <v>S44.03.15</v>
      </c>
      <c r="M5260" s="7">
        <v>39.75</v>
      </c>
      <c r="N5260" s="7">
        <v>287030</v>
      </c>
      <c r="O5260" s="7">
        <v>287029</v>
      </c>
      <c r="P5260" s="7">
        <v>0</v>
      </c>
      <c r="Q5260" s="7" t="str">
        <f t="shared" si="1905"/>
        <v>教育庁</v>
      </c>
      <c r="R5260" s="7" t="str">
        <f t="shared" si="1931"/>
        <v>生野高等学校</v>
      </c>
    </row>
    <row r="5261" spans="1:18" s="1" customFormat="1" x14ac:dyDescent="0.45">
      <c r="A5261" s="7" t="str">
        <f t="shared" si="1927"/>
        <v>10427000000</v>
      </c>
      <c r="B5261" s="7" t="str">
        <f t="shared" si="1928"/>
        <v>生野高等学校</v>
      </c>
      <c r="C5261" s="7" t="str">
        <f t="shared" ref="C5261:C5324" si="1932">"行政財産"</f>
        <v>行政財産</v>
      </c>
      <c r="D5261" s="7" t="str">
        <f t="shared" si="1921"/>
        <v>学校</v>
      </c>
      <c r="E5261" s="7" t="str">
        <f t="shared" si="1929"/>
        <v>大阪府松原市新堂１丁目</v>
      </c>
      <c r="F5261" s="7"/>
      <c r="G5261" s="7" t="str">
        <f t="shared" si="1904"/>
        <v>事業用資産</v>
      </c>
      <c r="H5261" s="7" t="str">
        <f t="shared" si="1926"/>
        <v>棚卸以外</v>
      </c>
      <c r="I5261" s="7">
        <v>14</v>
      </c>
      <c r="J5261" s="7" t="str">
        <f>"体育館"</f>
        <v>体育館</v>
      </c>
      <c r="K5261" s="7" t="str">
        <f>"鉄筋コンクリート造"</f>
        <v>鉄筋コンクリート造</v>
      </c>
      <c r="L5261" s="7" t="str">
        <f>"S45.02.15"</f>
        <v>S45.02.15</v>
      </c>
      <c r="M5261" s="7">
        <v>2122.4</v>
      </c>
      <c r="N5261" s="7">
        <v>248172747</v>
      </c>
      <c r="O5261" s="7">
        <v>133949570</v>
      </c>
      <c r="P5261" s="7">
        <v>0</v>
      </c>
      <c r="Q5261" s="7" t="str">
        <f t="shared" si="1905"/>
        <v>教育庁</v>
      </c>
      <c r="R5261" s="7" t="str">
        <f t="shared" si="1931"/>
        <v>生野高等学校</v>
      </c>
    </row>
    <row r="5262" spans="1:18" s="1" customFormat="1" x14ac:dyDescent="0.45">
      <c r="A5262" s="7" t="str">
        <f t="shared" si="1927"/>
        <v>10427000000</v>
      </c>
      <c r="B5262" s="7" t="str">
        <f t="shared" si="1928"/>
        <v>生野高等学校</v>
      </c>
      <c r="C5262" s="7" t="str">
        <f t="shared" si="1932"/>
        <v>行政財産</v>
      </c>
      <c r="D5262" s="7" t="str">
        <f t="shared" si="1921"/>
        <v>学校</v>
      </c>
      <c r="E5262" s="7" t="str">
        <f t="shared" si="1929"/>
        <v>大阪府松原市新堂１丁目</v>
      </c>
      <c r="F5262" s="7"/>
      <c r="G5262" s="7" t="str">
        <f t="shared" si="1904"/>
        <v>事業用資産</v>
      </c>
      <c r="H5262" s="7" t="str">
        <f t="shared" si="1926"/>
        <v>棚卸以外</v>
      </c>
      <c r="I5262" s="7">
        <v>15</v>
      </c>
      <c r="J5262" s="7" t="str">
        <f>"食堂"</f>
        <v>食堂</v>
      </c>
      <c r="K5262" s="7" t="str">
        <f>"鉄骨造"</f>
        <v>鉄骨造</v>
      </c>
      <c r="L5262" s="7" t="str">
        <f>"S45.02.15"</f>
        <v>S45.02.15</v>
      </c>
      <c r="M5262" s="7">
        <v>348</v>
      </c>
      <c r="N5262" s="7">
        <v>13966120</v>
      </c>
      <c r="O5262" s="7">
        <v>13025635</v>
      </c>
      <c r="P5262" s="7">
        <v>0</v>
      </c>
      <c r="Q5262" s="7" t="str">
        <f t="shared" si="1905"/>
        <v>教育庁</v>
      </c>
      <c r="R5262" s="7" t="str">
        <f t="shared" si="1931"/>
        <v>生野高等学校</v>
      </c>
    </row>
    <row r="5263" spans="1:18" s="1" customFormat="1" x14ac:dyDescent="0.45">
      <c r="A5263" s="7" t="str">
        <f t="shared" si="1927"/>
        <v>10427000000</v>
      </c>
      <c r="B5263" s="7" t="str">
        <f t="shared" si="1928"/>
        <v>生野高等学校</v>
      </c>
      <c r="C5263" s="7" t="str">
        <f t="shared" si="1932"/>
        <v>行政財産</v>
      </c>
      <c r="D5263" s="7" t="str">
        <f t="shared" si="1921"/>
        <v>学校</v>
      </c>
      <c r="E5263" s="7" t="str">
        <f t="shared" si="1929"/>
        <v>大阪府松原市新堂１丁目</v>
      </c>
      <c r="F5263" s="7"/>
      <c r="G5263" s="7" t="str">
        <f t="shared" si="1904"/>
        <v>事業用資産</v>
      </c>
      <c r="H5263" s="7" t="str">
        <f t="shared" si="1926"/>
        <v>棚卸以外</v>
      </c>
      <c r="I5263" s="7">
        <v>17</v>
      </c>
      <c r="J5263" s="7" t="str">
        <f>"渡り廊下Ｅ"</f>
        <v>渡り廊下Ｅ</v>
      </c>
      <c r="K5263" s="7" t="str">
        <f>"鉄骨造"</f>
        <v>鉄骨造</v>
      </c>
      <c r="L5263" s="7" t="str">
        <f>"S45.02.15"</f>
        <v>S45.02.15</v>
      </c>
      <c r="M5263" s="7">
        <v>57.2</v>
      </c>
      <c r="N5263" s="7">
        <v>978000</v>
      </c>
      <c r="O5263" s="7">
        <v>977999</v>
      </c>
      <c r="P5263" s="7">
        <v>0</v>
      </c>
      <c r="Q5263" s="7" t="str">
        <f t="shared" si="1905"/>
        <v>教育庁</v>
      </c>
      <c r="R5263" s="7" t="str">
        <f t="shared" si="1931"/>
        <v>生野高等学校</v>
      </c>
    </row>
    <row r="5264" spans="1:18" s="1" customFormat="1" x14ac:dyDescent="0.45">
      <c r="A5264" s="7" t="str">
        <f t="shared" si="1927"/>
        <v>10427000000</v>
      </c>
      <c r="B5264" s="7" t="str">
        <f t="shared" si="1928"/>
        <v>生野高等学校</v>
      </c>
      <c r="C5264" s="7" t="str">
        <f t="shared" si="1932"/>
        <v>行政財産</v>
      </c>
      <c r="D5264" s="7" t="str">
        <f t="shared" si="1921"/>
        <v>学校</v>
      </c>
      <c r="E5264" s="7" t="str">
        <f t="shared" si="1929"/>
        <v>大阪府松原市新堂１丁目</v>
      </c>
      <c r="F5264" s="7"/>
      <c r="G5264" s="7" t="str">
        <f t="shared" si="1904"/>
        <v>事業用資産</v>
      </c>
      <c r="H5264" s="7" t="str">
        <f t="shared" si="1926"/>
        <v>棚卸以外</v>
      </c>
      <c r="I5264" s="7">
        <v>18</v>
      </c>
      <c r="J5264" s="7" t="str">
        <f>"プール附属棟"</f>
        <v>プール附属棟</v>
      </c>
      <c r="K5264" s="7" t="str">
        <f>"コンクリートブロック造"</f>
        <v>コンクリートブロック造</v>
      </c>
      <c r="L5264" s="7" t="str">
        <f>"S45.08.15"</f>
        <v>S45.08.15</v>
      </c>
      <c r="M5264" s="7">
        <v>128.4</v>
      </c>
      <c r="N5264" s="7">
        <v>6031211</v>
      </c>
      <c r="O5264" s="7">
        <v>6031210</v>
      </c>
      <c r="P5264" s="7">
        <v>0</v>
      </c>
      <c r="Q5264" s="7" t="str">
        <f t="shared" si="1905"/>
        <v>教育庁</v>
      </c>
      <c r="R5264" s="7" t="str">
        <f t="shared" si="1931"/>
        <v>生野高等学校</v>
      </c>
    </row>
    <row r="5265" spans="1:18" s="1" customFormat="1" x14ac:dyDescent="0.45">
      <c r="A5265" s="7" t="str">
        <f t="shared" si="1927"/>
        <v>10427000000</v>
      </c>
      <c r="B5265" s="7" t="str">
        <f t="shared" si="1928"/>
        <v>生野高等学校</v>
      </c>
      <c r="C5265" s="7" t="str">
        <f t="shared" si="1932"/>
        <v>行政財産</v>
      </c>
      <c r="D5265" s="7" t="str">
        <f t="shared" si="1921"/>
        <v>学校</v>
      </c>
      <c r="E5265" s="7" t="str">
        <f t="shared" si="1929"/>
        <v>大阪府松原市新堂１丁目</v>
      </c>
      <c r="F5265" s="7"/>
      <c r="G5265" s="7" t="str">
        <f t="shared" si="1904"/>
        <v>事業用資産</v>
      </c>
      <c r="H5265" s="7" t="str">
        <f t="shared" si="1926"/>
        <v>棚卸以外</v>
      </c>
      <c r="I5265" s="7">
        <v>19</v>
      </c>
      <c r="J5265" s="7" t="str">
        <f>"生徒会室"</f>
        <v>生徒会室</v>
      </c>
      <c r="K5265" s="7" t="str">
        <f>"鉄骨造"</f>
        <v>鉄骨造</v>
      </c>
      <c r="L5265" s="7" t="str">
        <f>"S48.12.04"</f>
        <v>S48.12.04</v>
      </c>
      <c r="M5265" s="7">
        <v>66.819999999999993</v>
      </c>
      <c r="N5265" s="7">
        <v>4823197</v>
      </c>
      <c r="O5265" s="7">
        <v>4807719</v>
      </c>
      <c r="P5265" s="7">
        <v>0</v>
      </c>
      <c r="Q5265" s="7" t="str">
        <f t="shared" si="1905"/>
        <v>教育庁</v>
      </c>
      <c r="R5265" s="7" t="str">
        <f t="shared" si="1931"/>
        <v>生野高等学校</v>
      </c>
    </row>
    <row r="5266" spans="1:18" s="1" customFormat="1" x14ac:dyDescent="0.45">
      <c r="A5266" s="7" t="str">
        <f t="shared" si="1927"/>
        <v>10427000000</v>
      </c>
      <c r="B5266" s="7" t="str">
        <f t="shared" si="1928"/>
        <v>生野高等学校</v>
      </c>
      <c r="C5266" s="7" t="str">
        <f t="shared" si="1932"/>
        <v>行政財産</v>
      </c>
      <c r="D5266" s="7" t="str">
        <f t="shared" si="1921"/>
        <v>学校</v>
      </c>
      <c r="E5266" s="7" t="str">
        <f t="shared" si="1929"/>
        <v>大阪府松原市新堂１丁目</v>
      </c>
      <c r="F5266" s="7"/>
      <c r="G5266" s="7" t="str">
        <f t="shared" si="1904"/>
        <v>事業用資産</v>
      </c>
      <c r="H5266" s="7" t="str">
        <f t="shared" si="1926"/>
        <v>棚卸以外</v>
      </c>
      <c r="I5266" s="7">
        <v>21</v>
      </c>
      <c r="J5266" s="7" t="str">
        <f>"倉庫"</f>
        <v>倉庫</v>
      </c>
      <c r="K5266" s="7" t="str">
        <f>"鉄筋コンクリート造"</f>
        <v>鉄筋コンクリート造</v>
      </c>
      <c r="L5266" s="7" t="str">
        <f>"S54.07.10"</f>
        <v>S54.07.10</v>
      </c>
      <c r="M5266" s="7">
        <v>35.65</v>
      </c>
      <c r="N5266" s="7">
        <v>20232609</v>
      </c>
      <c r="O5266" s="7">
        <v>20232608</v>
      </c>
      <c r="P5266" s="7">
        <v>0</v>
      </c>
      <c r="Q5266" s="7" t="str">
        <f t="shared" si="1905"/>
        <v>教育庁</v>
      </c>
      <c r="R5266" s="7" t="str">
        <f t="shared" si="1931"/>
        <v>生野高等学校</v>
      </c>
    </row>
    <row r="5267" spans="1:18" s="1" customFormat="1" x14ac:dyDescent="0.45">
      <c r="A5267" s="7" t="str">
        <f t="shared" si="1927"/>
        <v>10427000000</v>
      </c>
      <c r="B5267" s="7" t="str">
        <f t="shared" si="1928"/>
        <v>生野高等学校</v>
      </c>
      <c r="C5267" s="7" t="str">
        <f t="shared" si="1932"/>
        <v>行政財産</v>
      </c>
      <c r="D5267" s="7" t="str">
        <f t="shared" si="1921"/>
        <v>学校</v>
      </c>
      <c r="E5267" s="7" t="str">
        <f t="shared" si="1929"/>
        <v>大阪府松原市新堂１丁目</v>
      </c>
      <c r="F5267" s="7"/>
      <c r="G5267" s="7" t="str">
        <f t="shared" si="1904"/>
        <v>事業用資産</v>
      </c>
      <c r="H5267" s="7" t="str">
        <f t="shared" si="1926"/>
        <v>棚卸以外</v>
      </c>
      <c r="I5267" s="7">
        <v>22</v>
      </c>
      <c r="J5267" s="7" t="str">
        <f>"第２北棟"</f>
        <v>第２北棟</v>
      </c>
      <c r="K5267" s="7" t="str">
        <f>"鉄筋コンクリート造"</f>
        <v>鉄筋コンクリート造</v>
      </c>
      <c r="L5267" s="7" t="str">
        <f>"S54.08.31"</f>
        <v>S54.08.31</v>
      </c>
      <c r="M5267" s="7">
        <v>385.05</v>
      </c>
      <c r="N5267" s="7">
        <v>61742123</v>
      </c>
      <c r="O5267" s="7">
        <v>42015960</v>
      </c>
      <c r="P5267" s="7">
        <v>0</v>
      </c>
      <c r="Q5267" s="7" t="str">
        <f t="shared" si="1905"/>
        <v>教育庁</v>
      </c>
      <c r="R5267" s="7" t="str">
        <f t="shared" si="1931"/>
        <v>生野高等学校</v>
      </c>
    </row>
    <row r="5268" spans="1:18" s="1" customFormat="1" x14ac:dyDescent="0.45">
      <c r="A5268" s="7" t="str">
        <f t="shared" si="1927"/>
        <v>10427000000</v>
      </c>
      <c r="B5268" s="7" t="str">
        <f t="shared" si="1928"/>
        <v>生野高等学校</v>
      </c>
      <c r="C5268" s="7" t="str">
        <f t="shared" si="1932"/>
        <v>行政財産</v>
      </c>
      <c r="D5268" s="7" t="str">
        <f t="shared" si="1921"/>
        <v>学校</v>
      </c>
      <c r="E5268" s="7" t="str">
        <f t="shared" si="1929"/>
        <v>大阪府松原市新堂１丁目</v>
      </c>
      <c r="F5268" s="7"/>
      <c r="G5268" s="7" t="str">
        <f t="shared" si="1904"/>
        <v>事業用資産</v>
      </c>
      <c r="H5268" s="7" t="str">
        <f t="shared" si="1926"/>
        <v>棚卸以外</v>
      </c>
      <c r="I5268" s="7">
        <v>23</v>
      </c>
      <c r="J5268" s="7" t="str">
        <f>"記念館"</f>
        <v>記念館</v>
      </c>
      <c r="K5268" s="7" t="str">
        <f>"鉄骨造"</f>
        <v>鉄骨造</v>
      </c>
      <c r="L5268" s="7" t="str">
        <f>"S55.11.05"</f>
        <v>S55.11.05</v>
      </c>
      <c r="M5268" s="7">
        <v>460</v>
      </c>
      <c r="N5268" s="7">
        <v>41572659</v>
      </c>
      <c r="O5268" s="7">
        <v>38994073</v>
      </c>
      <c r="P5268" s="7">
        <v>0</v>
      </c>
      <c r="Q5268" s="7" t="str">
        <f t="shared" si="1905"/>
        <v>教育庁</v>
      </c>
      <c r="R5268" s="7" t="str">
        <f t="shared" si="1931"/>
        <v>生野高等学校</v>
      </c>
    </row>
    <row r="5269" spans="1:18" s="1" customFormat="1" x14ac:dyDescent="0.45">
      <c r="A5269" s="7" t="str">
        <f t="shared" si="1927"/>
        <v>10427000000</v>
      </c>
      <c r="B5269" s="7" t="str">
        <f t="shared" si="1928"/>
        <v>生野高等学校</v>
      </c>
      <c r="C5269" s="7" t="str">
        <f t="shared" si="1932"/>
        <v>行政財産</v>
      </c>
      <c r="D5269" s="7" t="str">
        <f t="shared" si="1921"/>
        <v>学校</v>
      </c>
      <c r="E5269" s="7" t="str">
        <f t="shared" si="1929"/>
        <v>大阪府松原市新堂１丁目</v>
      </c>
      <c r="F5269" s="7"/>
      <c r="G5269" s="7" t="str">
        <f t="shared" si="1904"/>
        <v>事業用資産</v>
      </c>
      <c r="H5269" s="7" t="str">
        <f t="shared" si="1926"/>
        <v>棚卸以外</v>
      </c>
      <c r="I5269" s="7">
        <v>24</v>
      </c>
      <c r="J5269" s="7" t="str">
        <f>"倉庫"</f>
        <v>倉庫</v>
      </c>
      <c r="K5269" s="7" t="str">
        <f>"鉄骨造"</f>
        <v>鉄骨造</v>
      </c>
      <c r="L5269" s="7" t="str">
        <f>"S56.02.28"</f>
        <v>S56.02.28</v>
      </c>
      <c r="M5269" s="7">
        <v>163.80000000000001</v>
      </c>
      <c r="N5269" s="7">
        <v>7962000</v>
      </c>
      <c r="O5269" s="7">
        <v>7961999</v>
      </c>
      <c r="P5269" s="7">
        <v>0</v>
      </c>
      <c r="Q5269" s="7" t="str">
        <f t="shared" si="1905"/>
        <v>教育庁</v>
      </c>
      <c r="R5269" s="7" t="str">
        <f t="shared" si="1931"/>
        <v>生野高等学校</v>
      </c>
    </row>
    <row r="5270" spans="1:18" s="1" customFormat="1" x14ac:dyDescent="0.45">
      <c r="A5270" s="7" t="str">
        <f t="shared" si="1927"/>
        <v>10427000000</v>
      </c>
      <c r="B5270" s="7" t="str">
        <f t="shared" si="1928"/>
        <v>生野高等学校</v>
      </c>
      <c r="C5270" s="7" t="str">
        <f t="shared" si="1932"/>
        <v>行政財産</v>
      </c>
      <c r="D5270" s="7" t="str">
        <f t="shared" si="1921"/>
        <v>学校</v>
      </c>
      <c r="E5270" s="7" t="str">
        <f t="shared" si="1929"/>
        <v>大阪府松原市新堂１丁目</v>
      </c>
      <c r="F5270" s="7"/>
      <c r="G5270" s="7" t="str">
        <f t="shared" si="1904"/>
        <v>事業用資産</v>
      </c>
      <c r="H5270" s="7" t="str">
        <f t="shared" si="1926"/>
        <v>棚卸以外</v>
      </c>
      <c r="I5270" s="7">
        <v>25</v>
      </c>
      <c r="J5270" s="7" t="str">
        <f>"同窓会館"</f>
        <v>同窓会館</v>
      </c>
      <c r="K5270" s="7" t="str">
        <f>"鉄骨造"</f>
        <v>鉄骨造</v>
      </c>
      <c r="L5270" s="7" t="str">
        <f>"H12.12.08"</f>
        <v>H12.12.08</v>
      </c>
      <c r="M5270" s="7">
        <v>420.05</v>
      </c>
      <c r="N5270" s="7">
        <v>49306060</v>
      </c>
      <c r="O5270" s="7">
        <v>28640719</v>
      </c>
      <c r="P5270" s="7">
        <v>0</v>
      </c>
      <c r="Q5270" s="7" t="str">
        <f t="shared" si="1905"/>
        <v>教育庁</v>
      </c>
      <c r="R5270" s="7" t="str">
        <f t="shared" si="1931"/>
        <v>生野高等学校</v>
      </c>
    </row>
    <row r="5271" spans="1:18" s="1" customFormat="1" ht="26.4" x14ac:dyDescent="0.45">
      <c r="A5271" s="7" t="str">
        <f t="shared" ref="A5271:A5289" si="1933">"10428000000"</f>
        <v>10428000000</v>
      </c>
      <c r="B5271" s="7" t="str">
        <f t="shared" ref="B5271:B5289" si="1934">"松原高等学校"</f>
        <v>松原高等学校</v>
      </c>
      <c r="C5271" s="7" t="str">
        <f t="shared" si="1932"/>
        <v>行政財産</v>
      </c>
      <c r="D5271" s="7" t="str">
        <f t="shared" si="1921"/>
        <v>学校</v>
      </c>
      <c r="E5271" s="7" t="str">
        <f t="shared" ref="E5271:E5289" si="1935">"大阪府松原市三宅　東３丁目"</f>
        <v>大阪府松原市三宅　東３丁目</v>
      </c>
      <c r="F5271" s="7"/>
      <c r="G5271" s="7" t="str">
        <f t="shared" ref="G5271:G5334" si="1936">"事業用資産"</f>
        <v>事業用資産</v>
      </c>
      <c r="H5271" s="7" t="str">
        <f t="shared" si="1926"/>
        <v>棚卸以外</v>
      </c>
      <c r="I5271" s="7">
        <v>1</v>
      </c>
      <c r="J5271" s="7" t="str">
        <f>"普通教室棟（南棟）"</f>
        <v>普通教室棟（南棟）</v>
      </c>
      <c r="K5271" s="7" t="str">
        <f>"鉄骨鉄筋コンクリート造"</f>
        <v>鉄骨鉄筋コンクリート造</v>
      </c>
      <c r="L5271" s="7" t="str">
        <f t="shared" ref="L5271:L5276" si="1937">"S49.06.06"</f>
        <v>S49.06.06</v>
      </c>
      <c r="M5271" s="7">
        <v>5573.43</v>
      </c>
      <c r="N5271" s="7">
        <v>729191691</v>
      </c>
      <c r="O5271" s="7">
        <v>654221351</v>
      </c>
      <c r="P5271" s="7">
        <v>0</v>
      </c>
      <c r="Q5271" s="7" t="str">
        <f t="shared" si="1905"/>
        <v>教育庁</v>
      </c>
      <c r="R5271" s="7" t="str">
        <f t="shared" ref="R5271:R5289" si="1938">"松原高等学校"</f>
        <v>松原高等学校</v>
      </c>
    </row>
    <row r="5272" spans="1:18" s="1" customFormat="1" ht="26.4" x14ac:dyDescent="0.45">
      <c r="A5272" s="7" t="str">
        <f t="shared" si="1933"/>
        <v>10428000000</v>
      </c>
      <c r="B5272" s="7" t="str">
        <f t="shared" si="1934"/>
        <v>松原高等学校</v>
      </c>
      <c r="C5272" s="7" t="str">
        <f t="shared" si="1932"/>
        <v>行政財産</v>
      </c>
      <c r="D5272" s="7" t="str">
        <f t="shared" si="1921"/>
        <v>学校</v>
      </c>
      <c r="E5272" s="7" t="str">
        <f t="shared" si="1935"/>
        <v>大阪府松原市三宅　東３丁目</v>
      </c>
      <c r="F5272" s="7"/>
      <c r="G5272" s="7" t="str">
        <f t="shared" si="1936"/>
        <v>事業用資産</v>
      </c>
      <c r="H5272" s="7" t="str">
        <f t="shared" si="1926"/>
        <v>棚卸以外</v>
      </c>
      <c r="I5272" s="7">
        <v>2</v>
      </c>
      <c r="J5272" s="7" t="str">
        <f>"特別教室棟（北棟）"</f>
        <v>特別教室棟（北棟）</v>
      </c>
      <c r="K5272" s="7" t="str">
        <f>"鉄骨鉄筋コンクリート造"</f>
        <v>鉄骨鉄筋コンクリート造</v>
      </c>
      <c r="L5272" s="7" t="str">
        <f t="shared" si="1937"/>
        <v>S49.06.06</v>
      </c>
      <c r="M5272" s="7">
        <v>5992.43</v>
      </c>
      <c r="N5272" s="7">
        <v>690637356</v>
      </c>
      <c r="O5272" s="7">
        <v>654355100</v>
      </c>
      <c r="P5272" s="7">
        <v>0</v>
      </c>
      <c r="Q5272" s="7" t="str">
        <f t="shared" si="1905"/>
        <v>教育庁</v>
      </c>
      <c r="R5272" s="7" t="str">
        <f t="shared" si="1938"/>
        <v>松原高等学校</v>
      </c>
    </row>
    <row r="5273" spans="1:18" s="1" customFormat="1" ht="26.4" x14ac:dyDescent="0.45">
      <c r="A5273" s="7" t="str">
        <f t="shared" si="1933"/>
        <v>10428000000</v>
      </c>
      <c r="B5273" s="7" t="str">
        <f t="shared" si="1934"/>
        <v>松原高等学校</v>
      </c>
      <c r="C5273" s="7" t="str">
        <f t="shared" si="1932"/>
        <v>行政財産</v>
      </c>
      <c r="D5273" s="7" t="str">
        <f t="shared" si="1921"/>
        <v>学校</v>
      </c>
      <c r="E5273" s="7" t="str">
        <f t="shared" si="1935"/>
        <v>大阪府松原市三宅　東３丁目</v>
      </c>
      <c r="F5273" s="7"/>
      <c r="G5273" s="7" t="str">
        <f t="shared" si="1936"/>
        <v>事業用資産</v>
      </c>
      <c r="H5273" s="7" t="str">
        <f t="shared" si="1926"/>
        <v>棚卸以外</v>
      </c>
      <c r="I5273" s="7">
        <v>3</v>
      </c>
      <c r="J5273" s="7" t="str">
        <f>"渡り廊下第１期棟"</f>
        <v>渡り廊下第１期棟</v>
      </c>
      <c r="K5273" s="7" t="str">
        <f>"鉄骨鉄筋コンクリート造"</f>
        <v>鉄骨鉄筋コンクリート造</v>
      </c>
      <c r="L5273" s="7" t="str">
        <f t="shared" si="1937"/>
        <v>S49.06.06</v>
      </c>
      <c r="M5273" s="7">
        <v>389.7</v>
      </c>
      <c r="N5273" s="7">
        <v>44688000</v>
      </c>
      <c r="O5273" s="7">
        <v>43859855</v>
      </c>
      <c r="P5273" s="7">
        <v>0</v>
      </c>
      <c r="Q5273" s="7" t="str">
        <f t="shared" si="1905"/>
        <v>教育庁</v>
      </c>
      <c r="R5273" s="7" t="str">
        <f t="shared" si="1938"/>
        <v>松原高等学校</v>
      </c>
    </row>
    <row r="5274" spans="1:18" s="1" customFormat="1" x14ac:dyDescent="0.45">
      <c r="A5274" s="7" t="str">
        <f t="shared" si="1933"/>
        <v>10428000000</v>
      </c>
      <c r="B5274" s="7" t="str">
        <f t="shared" si="1934"/>
        <v>松原高等学校</v>
      </c>
      <c r="C5274" s="7" t="str">
        <f t="shared" si="1932"/>
        <v>行政財産</v>
      </c>
      <c r="D5274" s="7" t="str">
        <f t="shared" si="1921"/>
        <v>学校</v>
      </c>
      <c r="E5274" s="7" t="str">
        <f t="shared" si="1935"/>
        <v>大阪府松原市三宅　東３丁目</v>
      </c>
      <c r="F5274" s="7"/>
      <c r="G5274" s="7" t="str">
        <f t="shared" si="1936"/>
        <v>事業用資産</v>
      </c>
      <c r="H5274" s="7" t="str">
        <f t="shared" si="1926"/>
        <v>棚卸以外</v>
      </c>
      <c r="I5274" s="7">
        <v>4</v>
      </c>
      <c r="J5274" s="7" t="str">
        <f>"設備棟"</f>
        <v>設備棟</v>
      </c>
      <c r="K5274" s="7" t="str">
        <f>"鉄筋コンクリート造"</f>
        <v>鉄筋コンクリート造</v>
      </c>
      <c r="L5274" s="7" t="str">
        <f t="shared" si="1937"/>
        <v>S49.06.06</v>
      </c>
      <c r="M5274" s="7">
        <v>94.5</v>
      </c>
      <c r="N5274" s="7">
        <v>56794271</v>
      </c>
      <c r="O5274" s="7">
        <v>26029943</v>
      </c>
      <c r="P5274" s="7">
        <v>0</v>
      </c>
      <c r="Q5274" s="7" t="str">
        <f t="shared" si="1905"/>
        <v>教育庁</v>
      </c>
      <c r="R5274" s="7" t="str">
        <f t="shared" si="1938"/>
        <v>松原高等学校</v>
      </c>
    </row>
    <row r="5275" spans="1:18" s="1" customFormat="1" x14ac:dyDescent="0.45">
      <c r="A5275" s="7" t="str">
        <f t="shared" si="1933"/>
        <v>10428000000</v>
      </c>
      <c r="B5275" s="7" t="str">
        <f t="shared" si="1934"/>
        <v>松原高等学校</v>
      </c>
      <c r="C5275" s="7" t="str">
        <f t="shared" si="1932"/>
        <v>行政財産</v>
      </c>
      <c r="D5275" s="7" t="str">
        <f t="shared" si="1921"/>
        <v>学校</v>
      </c>
      <c r="E5275" s="7" t="str">
        <f t="shared" si="1935"/>
        <v>大阪府松原市三宅　東３丁目</v>
      </c>
      <c r="F5275" s="7"/>
      <c r="G5275" s="7" t="str">
        <f t="shared" si="1936"/>
        <v>事業用資産</v>
      </c>
      <c r="H5275" s="7" t="str">
        <f t="shared" si="1926"/>
        <v>棚卸以外</v>
      </c>
      <c r="I5275" s="7">
        <v>5</v>
      </c>
      <c r="J5275" s="7" t="str">
        <f>"倉庫"</f>
        <v>倉庫</v>
      </c>
      <c r="K5275" s="7" t="str">
        <f>"鉄骨造"</f>
        <v>鉄骨造</v>
      </c>
      <c r="L5275" s="7" t="str">
        <f t="shared" si="1937"/>
        <v>S49.06.06</v>
      </c>
      <c r="M5275" s="7">
        <v>50</v>
      </c>
      <c r="N5275" s="7">
        <v>4520000</v>
      </c>
      <c r="O5275" s="7">
        <v>4373951</v>
      </c>
      <c r="P5275" s="7">
        <v>0</v>
      </c>
      <c r="Q5275" s="7" t="str">
        <f t="shared" ref="Q5275:Q5338" si="1939">"教育庁"</f>
        <v>教育庁</v>
      </c>
      <c r="R5275" s="7" t="str">
        <f t="shared" si="1938"/>
        <v>松原高等学校</v>
      </c>
    </row>
    <row r="5276" spans="1:18" s="1" customFormat="1" x14ac:dyDescent="0.45">
      <c r="A5276" s="7" t="str">
        <f t="shared" si="1933"/>
        <v>10428000000</v>
      </c>
      <c r="B5276" s="7" t="str">
        <f t="shared" si="1934"/>
        <v>松原高等学校</v>
      </c>
      <c r="C5276" s="7" t="str">
        <f t="shared" si="1932"/>
        <v>行政財産</v>
      </c>
      <c r="D5276" s="7" t="str">
        <f t="shared" si="1921"/>
        <v>学校</v>
      </c>
      <c r="E5276" s="7" t="str">
        <f t="shared" si="1935"/>
        <v>大阪府松原市三宅　東３丁目</v>
      </c>
      <c r="F5276" s="7"/>
      <c r="G5276" s="7" t="str">
        <f t="shared" si="1936"/>
        <v>事業用資産</v>
      </c>
      <c r="H5276" s="7" t="str">
        <f t="shared" si="1926"/>
        <v>棚卸以外</v>
      </c>
      <c r="I5276" s="7">
        <v>6</v>
      </c>
      <c r="J5276" s="7" t="str">
        <f>"自転車置場"</f>
        <v>自転車置場</v>
      </c>
      <c r="K5276" s="7" t="str">
        <f>"鉄骨造"</f>
        <v>鉄骨造</v>
      </c>
      <c r="L5276" s="7" t="str">
        <f t="shared" si="1937"/>
        <v>S49.06.06</v>
      </c>
      <c r="M5276" s="7">
        <v>105</v>
      </c>
      <c r="N5276" s="7">
        <v>2782000</v>
      </c>
      <c r="O5276" s="7">
        <v>2781999</v>
      </c>
      <c r="P5276" s="7">
        <v>0</v>
      </c>
      <c r="Q5276" s="7" t="str">
        <f t="shared" si="1939"/>
        <v>教育庁</v>
      </c>
      <c r="R5276" s="7" t="str">
        <f t="shared" si="1938"/>
        <v>松原高等学校</v>
      </c>
    </row>
    <row r="5277" spans="1:18" s="1" customFormat="1" x14ac:dyDescent="0.45">
      <c r="A5277" s="7" t="str">
        <f t="shared" si="1933"/>
        <v>10428000000</v>
      </c>
      <c r="B5277" s="7" t="str">
        <f t="shared" si="1934"/>
        <v>松原高等学校</v>
      </c>
      <c r="C5277" s="7" t="str">
        <f t="shared" si="1932"/>
        <v>行政財産</v>
      </c>
      <c r="D5277" s="7" t="str">
        <f t="shared" si="1921"/>
        <v>学校</v>
      </c>
      <c r="E5277" s="7" t="str">
        <f t="shared" si="1935"/>
        <v>大阪府松原市三宅　東３丁目</v>
      </c>
      <c r="F5277" s="7"/>
      <c r="G5277" s="7" t="str">
        <f t="shared" si="1936"/>
        <v>事業用資産</v>
      </c>
      <c r="H5277" s="7" t="str">
        <f t="shared" si="1926"/>
        <v>棚卸以外</v>
      </c>
      <c r="I5277" s="7">
        <v>12</v>
      </c>
      <c r="J5277" s="7" t="str">
        <f>"自転車置場"</f>
        <v>自転車置場</v>
      </c>
      <c r="K5277" s="7" t="str">
        <f>"鉄骨造"</f>
        <v>鉄骨造</v>
      </c>
      <c r="L5277" s="7" t="str">
        <f>"S50.03.06"</f>
        <v>S50.03.06</v>
      </c>
      <c r="M5277" s="7">
        <v>105</v>
      </c>
      <c r="N5277" s="7">
        <v>2672000</v>
      </c>
      <c r="O5277" s="7">
        <v>2671999</v>
      </c>
      <c r="P5277" s="7">
        <v>0</v>
      </c>
      <c r="Q5277" s="7" t="str">
        <f t="shared" si="1939"/>
        <v>教育庁</v>
      </c>
      <c r="R5277" s="7" t="str">
        <f t="shared" si="1938"/>
        <v>松原高等学校</v>
      </c>
    </row>
    <row r="5278" spans="1:18" s="1" customFormat="1" x14ac:dyDescent="0.45">
      <c r="A5278" s="7" t="str">
        <f t="shared" si="1933"/>
        <v>10428000000</v>
      </c>
      <c r="B5278" s="7" t="str">
        <f t="shared" si="1934"/>
        <v>松原高等学校</v>
      </c>
      <c r="C5278" s="7" t="str">
        <f t="shared" si="1932"/>
        <v>行政財産</v>
      </c>
      <c r="D5278" s="7" t="str">
        <f t="shared" si="1921"/>
        <v>学校</v>
      </c>
      <c r="E5278" s="7" t="str">
        <f t="shared" si="1935"/>
        <v>大阪府松原市三宅　東３丁目</v>
      </c>
      <c r="F5278" s="7"/>
      <c r="G5278" s="7" t="str">
        <f t="shared" si="1936"/>
        <v>事業用資産</v>
      </c>
      <c r="H5278" s="7" t="str">
        <f t="shared" si="1926"/>
        <v>棚卸以外</v>
      </c>
      <c r="I5278" s="7">
        <v>13</v>
      </c>
      <c r="J5278" s="7" t="str">
        <f>"プール附属棟"</f>
        <v>プール附属棟</v>
      </c>
      <c r="K5278" s="7" t="str">
        <f>"鉄筋コンクリート造"</f>
        <v>鉄筋コンクリート造</v>
      </c>
      <c r="L5278" s="7" t="str">
        <f>"S50.07.15"</f>
        <v>S50.07.15</v>
      </c>
      <c r="M5278" s="7">
        <v>138</v>
      </c>
      <c r="N5278" s="7">
        <v>33229000</v>
      </c>
      <c r="O5278" s="7">
        <v>33228999</v>
      </c>
      <c r="P5278" s="7">
        <v>0</v>
      </c>
      <c r="Q5278" s="7" t="str">
        <f t="shared" si="1939"/>
        <v>教育庁</v>
      </c>
      <c r="R5278" s="7" t="str">
        <f t="shared" si="1938"/>
        <v>松原高等学校</v>
      </c>
    </row>
    <row r="5279" spans="1:18" s="1" customFormat="1" x14ac:dyDescent="0.45">
      <c r="A5279" s="7" t="str">
        <f t="shared" si="1933"/>
        <v>10428000000</v>
      </c>
      <c r="B5279" s="7" t="str">
        <f t="shared" si="1934"/>
        <v>松原高等学校</v>
      </c>
      <c r="C5279" s="7" t="str">
        <f t="shared" si="1932"/>
        <v>行政財産</v>
      </c>
      <c r="D5279" s="7" t="str">
        <f t="shared" si="1921"/>
        <v>学校</v>
      </c>
      <c r="E5279" s="7" t="str">
        <f t="shared" si="1935"/>
        <v>大阪府松原市三宅　東３丁目</v>
      </c>
      <c r="F5279" s="7"/>
      <c r="G5279" s="7" t="str">
        <f t="shared" si="1936"/>
        <v>事業用資産</v>
      </c>
      <c r="H5279" s="7" t="str">
        <f t="shared" si="1926"/>
        <v>棚卸以外</v>
      </c>
      <c r="I5279" s="7">
        <v>14</v>
      </c>
      <c r="J5279" s="7" t="str">
        <f>"体育館"</f>
        <v>体育館</v>
      </c>
      <c r="K5279" s="7" t="str">
        <f>"鉄筋コンクリート造"</f>
        <v>鉄筋コンクリート造</v>
      </c>
      <c r="L5279" s="7" t="str">
        <f>"S49.10.31"</f>
        <v>S49.10.31</v>
      </c>
      <c r="M5279" s="7">
        <v>2924.09</v>
      </c>
      <c r="N5279" s="7">
        <v>297529752</v>
      </c>
      <c r="O5279" s="7">
        <v>249204040</v>
      </c>
      <c r="P5279" s="7">
        <v>0</v>
      </c>
      <c r="Q5279" s="7" t="str">
        <f t="shared" si="1939"/>
        <v>教育庁</v>
      </c>
      <c r="R5279" s="7" t="str">
        <f t="shared" si="1938"/>
        <v>松原高等学校</v>
      </c>
    </row>
    <row r="5280" spans="1:18" s="1" customFormat="1" x14ac:dyDescent="0.45">
      <c r="A5280" s="7" t="str">
        <f t="shared" si="1933"/>
        <v>10428000000</v>
      </c>
      <c r="B5280" s="7" t="str">
        <f t="shared" si="1934"/>
        <v>松原高等学校</v>
      </c>
      <c r="C5280" s="7" t="str">
        <f t="shared" si="1932"/>
        <v>行政財産</v>
      </c>
      <c r="D5280" s="7" t="str">
        <f t="shared" si="1921"/>
        <v>学校</v>
      </c>
      <c r="E5280" s="7" t="str">
        <f t="shared" si="1935"/>
        <v>大阪府松原市三宅　東３丁目</v>
      </c>
      <c r="F5280" s="7"/>
      <c r="G5280" s="7" t="str">
        <f t="shared" si="1936"/>
        <v>事業用資産</v>
      </c>
      <c r="H5280" s="7" t="str">
        <f t="shared" si="1926"/>
        <v>棚卸以外</v>
      </c>
      <c r="I5280" s="7">
        <v>16</v>
      </c>
      <c r="J5280" s="7" t="str">
        <f>"食堂"</f>
        <v>食堂</v>
      </c>
      <c r="K5280" s="7" t="str">
        <f>"鉄筋コンクリート造"</f>
        <v>鉄筋コンクリート造</v>
      </c>
      <c r="L5280" s="7" t="str">
        <f>"S50.09.13"</f>
        <v>S50.09.13</v>
      </c>
      <c r="M5280" s="7">
        <v>394.75</v>
      </c>
      <c r="N5280" s="7">
        <v>39085000</v>
      </c>
      <c r="O5280" s="7">
        <v>37668295</v>
      </c>
      <c r="P5280" s="7">
        <v>0</v>
      </c>
      <c r="Q5280" s="7" t="str">
        <f t="shared" si="1939"/>
        <v>教育庁</v>
      </c>
      <c r="R5280" s="7" t="str">
        <f t="shared" si="1938"/>
        <v>松原高等学校</v>
      </c>
    </row>
    <row r="5281" spans="1:18" s="1" customFormat="1" ht="26.4" x14ac:dyDescent="0.45">
      <c r="A5281" s="7" t="str">
        <f t="shared" si="1933"/>
        <v>10428000000</v>
      </c>
      <c r="B5281" s="7" t="str">
        <f t="shared" si="1934"/>
        <v>松原高等学校</v>
      </c>
      <c r="C5281" s="7" t="str">
        <f t="shared" si="1932"/>
        <v>行政財産</v>
      </c>
      <c r="D5281" s="7" t="str">
        <f t="shared" si="1921"/>
        <v>学校</v>
      </c>
      <c r="E5281" s="7" t="str">
        <f t="shared" si="1935"/>
        <v>大阪府松原市三宅　東３丁目</v>
      </c>
      <c r="F5281" s="7"/>
      <c r="G5281" s="7" t="str">
        <f t="shared" si="1936"/>
        <v>事業用資産</v>
      </c>
      <c r="H5281" s="7" t="str">
        <f t="shared" si="1926"/>
        <v>棚卸以外</v>
      </c>
      <c r="I5281" s="7">
        <v>18</v>
      </c>
      <c r="J5281" s="7" t="str">
        <f>"渡り廊下第３期"</f>
        <v>渡り廊下第３期</v>
      </c>
      <c r="K5281" s="7" t="str">
        <f>"鉄骨鉄筋コンクリート造"</f>
        <v>鉄骨鉄筋コンクリート造</v>
      </c>
      <c r="L5281" s="7" t="str">
        <f>"S51.03.03"</f>
        <v>S51.03.03</v>
      </c>
      <c r="M5281" s="7">
        <v>387.38</v>
      </c>
      <c r="N5281" s="7">
        <v>42572000</v>
      </c>
      <c r="O5281" s="7">
        <v>42571999</v>
      </c>
      <c r="P5281" s="7">
        <v>0</v>
      </c>
      <c r="Q5281" s="7" t="str">
        <f t="shared" si="1939"/>
        <v>教育庁</v>
      </c>
      <c r="R5281" s="7" t="str">
        <f t="shared" si="1938"/>
        <v>松原高等学校</v>
      </c>
    </row>
    <row r="5282" spans="1:18" s="1" customFormat="1" x14ac:dyDescent="0.45">
      <c r="A5282" s="7" t="str">
        <f t="shared" si="1933"/>
        <v>10428000000</v>
      </c>
      <c r="B5282" s="7" t="str">
        <f t="shared" si="1934"/>
        <v>松原高等学校</v>
      </c>
      <c r="C5282" s="7" t="str">
        <f t="shared" si="1932"/>
        <v>行政財産</v>
      </c>
      <c r="D5282" s="7" t="str">
        <f t="shared" si="1921"/>
        <v>学校</v>
      </c>
      <c r="E5282" s="7" t="str">
        <f t="shared" si="1935"/>
        <v>大阪府松原市三宅　東３丁目</v>
      </c>
      <c r="F5282" s="7"/>
      <c r="G5282" s="7" t="str">
        <f t="shared" si="1936"/>
        <v>事業用資産</v>
      </c>
      <c r="H5282" s="7" t="str">
        <f t="shared" si="1926"/>
        <v>棚卸以外</v>
      </c>
      <c r="I5282" s="7">
        <v>20</v>
      </c>
      <c r="J5282" s="7" t="str">
        <f>"自転車置場"</f>
        <v>自転車置場</v>
      </c>
      <c r="K5282" s="7" t="str">
        <f>"鉄骨造"</f>
        <v>鉄骨造</v>
      </c>
      <c r="L5282" s="7" t="str">
        <f>"S51.06.14"</f>
        <v>S51.06.14</v>
      </c>
      <c r="M5282" s="7">
        <v>90</v>
      </c>
      <c r="N5282" s="7">
        <v>3430000</v>
      </c>
      <c r="O5282" s="7">
        <v>3429999</v>
      </c>
      <c r="P5282" s="7">
        <v>0</v>
      </c>
      <c r="Q5282" s="7" t="str">
        <f t="shared" si="1939"/>
        <v>教育庁</v>
      </c>
      <c r="R5282" s="7" t="str">
        <f t="shared" si="1938"/>
        <v>松原高等学校</v>
      </c>
    </row>
    <row r="5283" spans="1:18" s="1" customFormat="1" x14ac:dyDescent="0.45">
      <c r="A5283" s="7" t="str">
        <f t="shared" si="1933"/>
        <v>10428000000</v>
      </c>
      <c r="B5283" s="7" t="str">
        <f t="shared" si="1934"/>
        <v>松原高等学校</v>
      </c>
      <c r="C5283" s="7" t="str">
        <f t="shared" si="1932"/>
        <v>行政財産</v>
      </c>
      <c r="D5283" s="7" t="str">
        <f t="shared" si="1921"/>
        <v>学校</v>
      </c>
      <c r="E5283" s="7" t="str">
        <f t="shared" si="1935"/>
        <v>大阪府松原市三宅　東３丁目</v>
      </c>
      <c r="F5283" s="7"/>
      <c r="G5283" s="7" t="str">
        <f t="shared" si="1936"/>
        <v>事業用資産</v>
      </c>
      <c r="H5283" s="7" t="str">
        <f t="shared" si="1926"/>
        <v>棚卸以外</v>
      </c>
      <c r="I5283" s="7">
        <v>21</v>
      </c>
      <c r="J5283" s="7" t="str">
        <f>"自転車置場"</f>
        <v>自転車置場</v>
      </c>
      <c r="K5283" s="7" t="str">
        <f>"鉄骨造"</f>
        <v>鉄骨造</v>
      </c>
      <c r="L5283" s="7" t="str">
        <f>"S51.06.14"</f>
        <v>S51.06.14</v>
      </c>
      <c r="M5283" s="7">
        <v>67.5</v>
      </c>
      <c r="N5283" s="7">
        <v>2557000</v>
      </c>
      <c r="O5283" s="7">
        <v>2556999</v>
      </c>
      <c r="P5283" s="7">
        <v>0</v>
      </c>
      <c r="Q5283" s="7" t="str">
        <f t="shared" si="1939"/>
        <v>教育庁</v>
      </c>
      <c r="R5283" s="7" t="str">
        <f t="shared" si="1938"/>
        <v>松原高等学校</v>
      </c>
    </row>
    <row r="5284" spans="1:18" s="1" customFormat="1" x14ac:dyDescent="0.45">
      <c r="A5284" s="7" t="str">
        <f t="shared" si="1933"/>
        <v>10428000000</v>
      </c>
      <c r="B5284" s="7" t="str">
        <f t="shared" si="1934"/>
        <v>松原高等学校</v>
      </c>
      <c r="C5284" s="7" t="str">
        <f t="shared" si="1932"/>
        <v>行政財産</v>
      </c>
      <c r="D5284" s="7" t="str">
        <f t="shared" si="1921"/>
        <v>学校</v>
      </c>
      <c r="E5284" s="7" t="str">
        <f t="shared" si="1935"/>
        <v>大阪府松原市三宅　東３丁目</v>
      </c>
      <c r="F5284" s="7"/>
      <c r="G5284" s="7" t="str">
        <f t="shared" si="1936"/>
        <v>事業用資産</v>
      </c>
      <c r="H5284" s="7" t="str">
        <f t="shared" si="1926"/>
        <v>棚卸以外</v>
      </c>
      <c r="I5284" s="7">
        <v>22</v>
      </c>
      <c r="J5284" s="7" t="str">
        <f>"自転車置場"</f>
        <v>自転車置場</v>
      </c>
      <c r="K5284" s="7" t="str">
        <f>"鉄骨造"</f>
        <v>鉄骨造</v>
      </c>
      <c r="L5284" s="7" t="str">
        <f>"S51.06.14"</f>
        <v>S51.06.14</v>
      </c>
      <c r="M5284" s="7">
        <v>52.5</v>
      </c>
      <c r="N5284" s="7">
        <v>1986000</v>
      </c>
      <c r="O5284" s="7">
        <v>1985999</v>
      </c>
      <c r="P5284" s="7">
        <v>0</v>
      </c>
      <c r="Q5284" s="7" t="str">
        <f t="shared" si="1939"/>
        <v>教育庁</v>
      </c>
      <c r="R5284" s="7" t="str">
        <f t="shared" si="1938"/>
        <v>松原高等学校</v>
      </c>
    </row>
    <row r="5285" spans="1:18" s="1" customFormat="1" x14ac:dyDescent="0.45">
      <c r="A5285" s="7" t="str">
        <f t="shared" si="1933"/>
        <v>10428000000</v>
      </c>
      <c r="B5285" s="7" t="str">
        <f t="shared" si="1934"/>
        <v>松原高等学校</v>
      </c>
      <c r="C5285" s="7" t="str">
        <f t="shared" si="1932"/>
        <v>行政財産</v>
      </c>
      <c r="D5285" s="7" t="str">
        <f t="shared" si="1921"/>
        <v>学校</v>
      </c>
      <c r="E5285" s="7" t="str">
        <f t="shared" si="1935"/>
        <v>大阪府松原市三宅　東３丁目</v>
      </c>
      <c r="F5285" s="7"/>
      <c r="G5285" s="7" t="str">
        <f t="shared" si="1936"/>
        <v>事業用資産</v>
      </c>
      <c r="H5285" s="7" t="str">
        <f t="shared" si="1926"/>
        <v>棚卸以外</v>
      </c>
      <c r="I5285" s="7">
        <v>23</v>
      </c>
      <c r="J5285" s="7" t="str">
        <f>"自転車置場"</f>
        <v>自転車置場</v>
      </c>
      <c r="K5285" s="7" t="str">
        <f>"鉄骨造"</f>
        <v>鉄骨造</v>
      </c>
      <c r="L5285" s="7" t="str">
        <f>"S51.12.27"</f>
        <v>S51.12.27</v>
      </c>
      <c r="M5285" s="7">
        <v>135</v>
      </c>
      <c r="N5285" s="7">
        <v>3890000</v>
      </c>
      <c r="O5285" s="7">
        <v>3889999</v>
      </c>
      <c r="P5285" s="7">
        <v>0</v>
      </c>
      <c r="Q5285" s="7" t="str">
        <f t="shared" si="1939"/>
        <v>教育庁</v>
      </c>
      <c r="R5285" s="7" t="str">
        <f t="shared" si="1938"/>
        <v>松原高等学校</v>
      </c>
    </row>
    <row r="5286" spans="1:18" s="1" customFormat="1" x14ac:dyDescent="0.45">
      <c r="A5286" s="7" t="str">
        <f t="shared" si="1933"/>
        <v>10428000000</v>
      </c>
      <c r="B5286" s="7" t="str">
        <f t="shared" si="1934"/>
        <v>松原高等学校</v>
      </c>
      <c r="C5286" s="7" t="str">
        <f t="shared" si="1932"/>
        <v>行政財産</v>
      </c>
      <c r="D5286" s="7" t="str">
        <f t="shared" si="1921"/>
        <v>学校</v>
      </c>
      <c r="E5286" s="7" t="str">
        <f t="shared" si="1935"/>
        <v>大阪府松原市三宅　東３丁目</v>
      </c>
      <c r="F5286" s="7"/>
      <c r="G5286" s="7" t="str">
        <f t="shared" si="1936"/>
        <v>事業用資産</v>
      </c>
      <c r="H5286" s="7" t="str">
        <f t="shared" si="1926"/>
        <v>棚卸以外</v>
      </c>
      <c r="I5286" s="7">
        <v>24</v>
      </c>
      <c r="J5286" s="7" t="str">
        <f>"自転車置場"</f>
        <v>自転車置場</v>
      </c>
      <c r="K5286" s="7" t="str">
        <f>"鉄骨造"</f>
        <v>鉄骨造</v>
      </c>
      <c r="L5286" s="7" t="str">
        <f>"S51.12.27"</f>
        <v>S51.12.27</v>
      </c>
      <c r="M5286" s="7">
        <v>150</v>
      </c>
      <c r="N5286" s="7">
        <v>4351000</v>
      </c>
      <c r="O5286" s="7">
        <v>4350999</v>
      </c>
      <c r="P5286" s="7">
        <v>0</v>
      </c>
      <c r="Q5286" s="7" t="str">
        <f t="shared" si="1939"/>
        <v>教育庁</v>
      </c>
      <c r="R5286" s="7" t="str">
        <f t="shared" si="1938"/>
        <v>松原高等学校</v>
      </c>
    </row>
    <row r="5287" spans="1:18" s="1" customFormat="1" x14ac:dyDescent="0.45">
      <c r="A5287" s="7" t="str">
        <f t="shared" si="1933"/>
        <v>10428000000</v>
      </c>
      <c r="B5287" s="7" t="str">
        <f t="shared" si="1934"/>
        <v>松原高等学校</v>
      </c>
      <c r="C5287" s="7" t="str">
        <f t="shared" si="1932"/>
        <v>行政財産</v>
      </c>
      <c r="D5287" s="7" t="str">
        <f t="shared" si="1921"/>
        <v>学校</v>
      </c>
      <c r="E5287" s="7" t="str">
        <f t="shared" si="1935"/>
        <v>大阪府松原市三宅　東３丁目</v>
      </c>
      <c r="F5287" s="7"/>
      <c r="G5287" s="7" t="str">
        <f t="shared" si="1936"/>
        <v>事業用資産</v>
      </c>
      <c r="H5287" s="7" t="str">
        <f t="shared" si="1926"/>
        <v>棚卸以外</v>
      </c>
      <c r="I5287" s="7">
        <v>28</v>
      </c>
      <c r="J5287" s="7" t="str">
        <f>"門衛室"</f>
        <v>門衛室</v>
      </c>
      <c r="K5287" s="7" t="str">
        <f>"レンガ、石積造"</f>
        <v>レンガ、石積造</v>
      </c>
      <c r="L5287" s="7" t="str">
        <f>"S54.03.24"</f>
        <v>S54.03.24</v>
      </c>
      <c r="M5287" s="7">
        <v>3</v>
      </c>
      <c r="N5287" s="7">
        <v>643000</v>
      </c>
      <c r="O5287" s="7">
        <v>642999</v>
      </c>
      <c r="P5287" s="7">
        <v>0</v>
      </c>
      <c r="Q5287" s="7" t="str">
        <f t="shared" si="1939"/>
        <v>教育庁</v>
      </c>
      <c r="R5287" s="7" t="str">
        <f t="shared" si="1938"/>
        <v>松原高等学校</v>
      </c>
    </row>
    <row r="5288" spans="1:18" s="1" customFormat="1" x14ac:dyDescent="0.45">
      <c r="A5288" s="7" t="str">
        <f t="shared" si="1933"/>
        <v>10428000000</v>
      </c>
      <c r="B5288" s="7" t="str">
        <f t="shared" si="1934"/>
        <v>松原高等学校</v>
      </c>
      <c r="C5288" s="7" t="str">
        <f t="shared" si="1932"/>
        <v>行政財産</v>
      </c>
      <c r="D5288" s="7" t="str">
        <f t="shared" si="1921"/>
        <v>学校</v>
      </c>
      <c r="E5288" s="7" t="str">
        <f t="shared" si="1935"/>
        <v>大阪府松原市三宅　東３丁目</v>
      </c>
      <c r="F5288" s="7"/>
      <c r="G5288" s="7" t="str">
        <f t="shared" si="1936"/>
        <v>事業用資産</v>
      </c>
      <c r="H5288" s="7" t="str">
        <f t="shared" si="1926"/>
        <v>棚卸以外</v>
      </c>
      <c r="I5288" s="7">
        <v>29</v>
      </c>
      <c r="J5288" s="7" t="str">
        <f>"倉庫"</f>
        <v>倉庫</v>
      </c>
      <c r="K5288" s="7" t="str">
        <f>"鉄骨造"</f>
        <v>鉄骨造</v>
      </c>
      <c r="L5288" s="7" t="str">
        <f>"S54.12.15"</f>
        <v>S54.12.15</v>
      </c>
      <c r="M5288" s="7">
        <v>300.10000000000002</v>
      </c>
      <c r="N5288" s="7">
        <v>24500000</v>
      </c>
      <c r="O5288" s="7">
        <v>24499999</v>
      </c>
      <c r="P5288" s="7">
        <v>0</v>
      </c>
      <c r="Q5288" s="7" t="str">
        <f t="shared" si="1939"/>
        <v>教育庁</v>
      </c>
      <c r="R5288" s="7" t="str">
        <f t="shared" si="1938"/>
        <v>松原高等学校</v>
      </c>
    </row>
    <row r="5289" spans="1:18" s="1" customFormat="1" ht="26.4" x14ac:dyDescent="0.45">
      <c r="A5289" s="7" t="str">
        <f t="shared" si="1933"/>
        <v>10428000000</v>
      </c>
      <c r="B5289" s="7" t="str">
        <f t="shared" si="1934"/>
        <v>松原高等学校</v>
      </c>
      <c r="C5289" s="7" t="str">
        <f t="shared" si="1932"/>
        <v>行政財産</v>
      </c>
      <c r="D5289" s="7" t="str">
        <f t="shared" si="1921"/>
        <v>学校</v>
      </c>
      <c r="E5289" s="7" t="str">
        <f t="shared" si="1935"/>
        <v>大阪府松原市三宅　東３丁目</v>
      </c>
      <c r="F5289" s="7"/>
      <c r="G5289" s="7" t="str">
        <f t="shared" si="1936"/>
        <v>事業用資産</v>
      </c>
      <c r="H5289" s="7" t="str">
        <f t="shared" si="1926"/>
        <v>棚卸以外</v>
      </c>
      <c r="I5289" s="7">
        <v>31</v>
      </c>
      <c r="J5289" s="7" t="str">
        <f>"福祉棟"</f>
        <v>福祉棟</v>
      </c>
      <c r="K5289" s="7" t="str">
        <f>"鉄骨鉄筋コンクリート造"</f>
        <v>鉄骨鉄筋コンクリート造</v>
      </c>
      <c r="L5289" s="7" t="str">
        <f>"H10.03.10"</f>
        <v>H10.03.10</v>
      </c>
      <c r="M5289" s="7">
        <v>508.1</v>
      </c>
      <c r="N5289" s="7">
        <v>137652000</v>
      </c>
      <c r="O5289" s="7">
        <v>72638892</v>
      </c>
      <c r="P5289" s="7">
        <v>0</v>
      </c>
      <c r="Q5289" s="7" t="str">
        <f t="shared" si="1939"/>
        <v>教育庁</v>
      </c>
      <c r="R5289" s="7" t="str">
        <f t="shared" si="1938"/>
        <v>松原高等学校</v>
      </c>
    </row>
    <row r="5290" spans="1:18" s="1" customFormat="1" x14ac:dyDescent="0.45">
      <c r="A5290" s="7" t="str">
        <f t="shared" ref="A5290:A5297" si="1940">"10429000500"</f>
        <v>10429000500</v>
      </c>
      <c r="B5290" s="7" t="str">
        <f t="shared" ref="B5290:B5297" si="1941">"大塚高校"</f>
        <v>大塚高校</v>
      </c>
      <c r="C5290" s="7" t="str">
        <f t="shared" si="1932"/>
        <v>行政財産</v>
      </c>
      <c r="D5290" s="7" t="str">
        <f t="shared" si="1921"/>
        <v>学校</v>
      </c>
      <c r="E5290" s="7" t="str">
        <f t="shared" ref="E5290:E5297" si="1942">"大阪府松原市西大塚２丁目"</f>
        <v>大阪府松原市西大塚２丁目</v>
      </c>
      <c r="F5290" s="7"/>
      <c r="G5290" s="7" t="str">
        <f t="shared" si="1936"/>
        <v>事業用資産</v>
      </c>
      <c r="H5290" s="7" t="str">
        <f t="shared" si="1926"/>
        <v>棚卸以外</v>
      </c>
      <c r="I5290" s="7">
        <v>1</v>
      </c>
      <c r="J5290" s="7" t="str">
        <f>"管理．教室棟"</f>
        <v>管理．教室棟</v>
      </c>
      <c r="K5290" s="7" t="str">
        <f>"鉄筋コンクリート造"</f>
        <v>鉄筋コンクリート造</v>
      </c>
      <c r="L5290" s="7" t="str">
        <f>"S59.03.31"</f>
        <v>S59.03.31</v>
      </c>
      <c r="M5290" s="7">
        <v>10866.21</v>
      </c>
      <c r="N5290" s="7">
        <v>334984838</v>
      </c>
      <c r="O5290" s="7">
        <v>179307451</v>
      </c>
      <c r="P5290" s="7">
        <v>0</v>
      </c>
      <c r="Q5290" s="7" t="str">
        <f t="shared" si="1939"/>
        <v>教育庁</v>
      </c>
      <c r="R5290" s="7" t="str">
        <f t="shared" ref="R5290:R5299" si="1943">"大塚高等学校"</f>
        <v>大塚高等学校</v>
      </c>
    </row>
    <row r="5291" spans="1:18" s="1" customFormat="1" x14ac:dyDescent="0.45">
      <c r="A5291" s="7" t="str">
        <f t="shared" si="1940"/>
        <v>10429000500</v>
      </c>
      <c r="B5291" s="7" t="str">
        <f t="shared" si="1941"/>
        <v>大塚高校</v>
      </c>
      <c r="C5291" s="7" t="str">
        <f t="shared" si="1932"/>
        <v>行政財産</v>
      </c>
      <c r="D5291" s="7" t="str">
        <f t="shared" si="1921"/>
        <v>学校</v>
      </c>
      <c r="E5291" s="7" t="str">
        <f t="shared" si="1942"/>
        <v>大阪府松原市西大塚２丁目</v>
      </c>
      <c r="F5291" s="7"/>
      <c r="G5291" s="7" t="str">
        <f t="shared" si="1936"/>
        <v>事業用資産</v>
      </c>
      <c r="H5291" s="7" t="str">
        <f t="shared" si="1926"/>
        <v>棚卸以外</v>
      </c>
      <c r="I5291" s="7">
        <v>3</v>
      </c>
      <c r="J5291" s="7" t="str">
        <f>"ポンプ室"</f>
        <v>ポンプ室</v>
      </c>
      <c r="K5291" s="7" t="str">
        <f>"軽量鉄骨造"</f>
        <v>軽量鉄骨造</v>
      </c>
      <c r="L5291" s="7" t="str">
        <f>"S59.07.06"</f>
        <v>S59.07.06</v>
      </c>
      <c r="M5291" s="7">
        <v>7.84</v>
      </c>
      <c r="N5291" s="7">
        <v>2918000</v>
      </c>
      <c r="O5291" s="7">
        <v>2917999</v>
      </c>
      <c r="P5291" s="7">
        <v>0</v>
      </c>
      <c r="Q5291" s="7" t="str">
        <f t="shared" si="1939"/>
        <v>教育庁</v>
      </c>
      <c r="R5291" s="7" t="str">
        <f t="shared" si="1943"/>
        <v>大塚高等学校</v>
      </c>
    </row>
    <row r="5292" spans="1:18" s="1" customFormat="1" x14ac:dyDescent="0.45">
      <c r="A5292" s="7" t="str">
        <f t="shared" si="1940"/>
        <v>10429000500</v>
      </c>
      <c r="B5292" s="7" t="str">
        <f t="shared" si="1941"/>
        <v>大塚高校</v>
      </c>
      <c r="C5292" s="7" t="str">
        <f t="shared" si="1932"/>
        <v>行政財産</v>
      </c>
      <c r="D5292" s="7" t="str">
        <f t="shared" si="1921"/>
        <v>学校</v>
      </c>
      <c r="E5292" s="7" t="str">
        <f t="shared" si="1942"/>
        <v>大阪府松原市西大塚２丁目</v>
      </c>
      <c r="F5292" s="7"/>
      <c r="G5292" s="7" t="str">
        <f t="shared" si="1936"/>
        <v>事業用資産</v>
      </c>
      <c r="H5292" s="7" t="str">
        <f t="shared" si="1926"/>
        <v>棚卸以外</v>
      </c>
      <c r="I5292" s="7">
        <v>4</v>
      </c>
      <c r="J5292" s="7" t="str">
        <f>"プール・食堂棟"</f>
        <v>プール・食堂棟</v>
      </c>
      <c r="K5292" s="7" t="str">
        <f>"鉄筋コンクリート造"</f>
        <v>鉄筋コンクリート造</v>
      </c>
      <c r="L5292" s="7" t="str">
        <f>"S59.12.25"</f>
        <v>S59.12.25</v>
      </c>
      <c r="M5292" s="7">
        <v>881.3</v>
      </c>
      <c r="N5292" s="7">
        <v>185272784</v>
      </c>
      <c r="O5292" s="7">
        <v>143905666</v>
      </c>
      <c r="P5292" s="7">
        <v>0</v>
      </c>
      <c r="Q5292" s="7" t="str">
        <f t="shared" si="1939"/>
        <v>教育庁</v>
      </c>
      <c r="R5292" s="7" t="str">
        <f t="shared" si="1943"/>
        <v>大塚高等学校</v>
      </c>
    </row>
    <row r="5293" spans="1:18" s="1" customFormat="1" x14ac:dyDescent="0.45">
      <c r="A5293" s="7" t="str">
        <f t="shared" si="1940"/>
        <v>10429000500</v>
      </c>
      <c r="B5293" s="7" t="str">
        <f t="shared" si="1941"/>
        <v>大塚高校</v>
      </c>
      <c r="C5293" s="7" t="str">
        <f t="shared" si="1932"/>
        <v>行政財産</v>
      </c>
      <c r="D5293" s="7" t="str">
        <f t="shared" si="1921"/>
        <v>学校</v>
      </c>
      <c r="E5293" s="7" t="str">
        <f t="shared" si="1942"/>
        <v>大阪府松原市西大塚２丁目</v>
      </c>
      <c r="F5293" s="7"/>
      <c r="G5293" s="7" t="str">
        <f t="shared" si="1936"/>
        <v>事業用資産</v>
      </c>
      <c r="H5293" s="7" t="str">
        <f t="shared" si="1926"/>
        <v>棚卸以外</v>
      </c>
      <c r="I5293" s="7">
        <v>5</v>
      </c>
      <c r="J5293" s="7" t="str">
        <f>"体育館"</f>
        <v>体育館</v>
      </c>
      <c r="K5293" s="7" t="str">
        <f>"鉄筋コンクリート造"</f>
        <v>鉄筋コンクリート造</v>
      </c>
      <c r="L5293" s="7" t="str">
        <f>"S60.03.11"</f>
        <v>S60.03.11</v>
      </c>
      <c r="M5293" s="7">
        <v>3031.67</v>
      </c>
      <c r="N5293" s="7">
        <v>520414919</v>
      </c>
      <c r="O5293" s="7">
        <v>364925207</v>
      </c>
      <c r="P5293" s="7">
        <v>0</v>
      </c>
      <c r="Q5293" s="7" t="str">
        <f t="shared" si="1939"/>
        <v>教育庁</v>
      </c>
      <c r="R5293" s="7" t="str">
        <f t="shared" si="1943"/>
        <v>大塚高等学校</v>
      </c>
    </row>
    <row r="5294" spans="1:18" s="1" customFormat="1" x14ac:dyDescent="0.45">
      <c r="A5294" s="7" t="str">
        <f t="shared" si="1940"/>
        <v>10429000500</v>
      </c>
      <c r="B5294" s="7" t="str">
        <f t="shared" si="1941"/>
        <v>大塚高校</v>
      </c>
      <c r="C5294" s="7" t="str">
        <f t="shared" si="1932"/>
        <v>行政財産</v>
      </c>
      <c r="D5294" s="7" t="str">
        <f t="shared" si="1921"/>
        <v>学校</v>
      </c>
      <c r="E5294" s="7" t="str">
        <f t="shared" si="1942"/>
        <v>大阪府松原市西大塚２丁目</v>
      </c>
      <c r="F5294" s="7"/>
      <c r="G5294" s="7" t="str">
        <f t="shared" si="1936"/>
        <v>事業用資産</v>
      </c>
      <c r="H5294" s="7" t="str">
        <f t="shared" si="1926"/>
        <v>棚卸以外</v>
      </c>
      <c r="I5294" s="7">
        <v>6</v>
      </c>
      <c r="J5294" s="7" t="str">
        <f>"倉庫"</f>
        <v>倉庫</v>
      </c>
      <c r="K5294" s="7" t="str">
        <f>"土蔵造(簡易建物)"</f>
        <v>土蔵造(簡易建物)</v>
      </c>
      <c r="L5294" s="7" t="str">
        <f>"S60.11.11"</f>
        <v>S60.11.11</v>
      </c>
      <c r="M5294" s="7">
        <v>67.3</v>
      </c>
      <c r="N5294" s="7">
        <v>3658000</v>
      </c>
      <c r="O5294" s="7">
        <v>3657999</v>
      </c>
      <c r="P5294" s="7">
        <v>0</v>
      </c>
      <c r="Q5294" s="7" t="str">
        <f t="shared" si="1939"/>
        <v>教育庁</v>
      </c>
      <c r="R5294" s="7" t="str">
        <f t="shared" si="1943"/>
        <v>大塚高等学校</v>
      </c>
    </row>
    <row r="5295" spans="1:18" s="1" customFormat="1" x14ac:dyDescent="0.45">
      <c r="A5295" s="7" t="str">
        <f t="shared" si="1940"/>
        <v>10429000500</v>
      </c>
      <c r="B5295" s="7" t="str">
        <f t="shared" si="1941"/>
        <v>大塚高校</v>
      </c>
      <c r="C5295" s="7" t="str">
        <f t="shared" si="1932"/>
        <v>行政財産</v>
      </c>
      <c r="D5295" s="7" t="str">
        <f t="shared" si="1921"/>
        <v>学校</v>
      </c>
      <c r="E5295" s="7" t="str">
        <f t="shared" si="1942"/>
        <v>大阪府松原市西大塚２丁目</v>
      </c>
      <c r="F5295" s="7"/>
      <c r="G5295" s="7" t="str">
        <f t="shared" si="1936"/>
        <v>事業用資産</v>
      </c>
      <c r="H5295" s="7" t="str">
        <f t="shared" si="1926"/>
        <v>棚卸以外</v>
      </c>
      <c r="I5295" s="7">
        <v>7</v>
      </c>
      <c r="J5295" s="7" t="str">
        <f>"仮設体育館"</f>
        <v>仮設体育館</v>
      </c>
      <c r="K5295" s="7" t="str">
        <f>"軽量鉄骨造"</f>
        <v>軽量鉄骨造</v>
      </c>
      <c r="L5295" s="7" t="str">
        <f>"S61.02.01"</f>
        <v>S61.02.01</v>
      </c>
      <c r="M5295" s="7">
        <v>404.5</v>
      </c>
      <c r="N5295" s="7">
        <v>15269000</v>
      </c>
      <c r="O5295" s="7">
        <v>15268999</v>
      </c>
      <c r="P5295" s="7">
        <v>0</v>
      </c>
      <c r="Q5295" s="7" t="str">
        <f t="shared" si="1939"/>
        <v>教育庁</v>
      </c>
      <c r="R5295" s="7" t="str">
        <f t="shared" si="1943"/>
        <v>大塚高等学校</v>
      </c>
    </row>
    <row r="5296" spans="1:18" s="1" customFormat="1" x14ac:dyDescent="0.45">
      <c r="A5296" s="7" t="str">
        <f t="shared" si="1940"/>
        <v>10429000500</v>
      </c>
      <c r="B5296" s="7" t="str">
        <f t="shared" si="1941"/>
        <v>大塚高校</v>
      </c>
      <c r="C5296" s="7" t="str">
        <f t="shared" si="1932"/>
        <v>行政財産</v>
      </c>
      <c r="D5296" s="7" t="str">
        <f t="shared" si="1921"/>
        <v>学校</v>
      </c>
      <c r="E5296" s="7" t="str">
        <f t="shared" si="1942"/>
        <v>大阪府松原市西大塚２丁目</v>
      </c>
      <c r="F5296" s="7"/>
      <c r="G5296" s="7" t="str">
        <f t="shared" si="1936"/>
        <v>事業用資産</v>
      </c>
      <c r="H5296" s="7" t="str">
        <f t="shared" si="1926"/>
        <v>棚卸以外</v>
      </c>
      <c r="I5296" s="7">
        <v>8</v>
      </c>
      <c r="J5296" s="7" t="str">
        <f>"トラクター収納室"</f>
        <v>トラクター収納室</v>
      </c>
      <c r="K5296" s="7" t="str">
        <f>"土蔵造(簡易建物)"</f>
        <v>土蔵造(簡易建物)</v>
      </c>
      <c r="L5296" s="7" t="str">
        <f>"H06.02.22"</f>
        <v>H06.02.22</v>
      </c>
      <c r="M5296" s="7">
        <v>24.73</v>
      </c>
      <c r="N5296" s="7">
        <v>997000</v>
      </c>
      <c r="O5296" s="7">
        <v>996999</v>
      </c>
      <c r="P5296" s="7">
        <v>0</v>
      </c>
      <c r="Q5296" s="7" t="str">
        <f t="shared" si="1939"/>
        <v>教育庁</v>
      </c>
      <c r="R5296" s="7" t="str">
        <f t="shared" si="1943"/>
        <v>大塚高等学校</v>
      </c>
    </row>
    <row r="5297" spans="1:18" s="1" customFormat="1" x14ac:dyDescent="0.45">
      <c r="A5297" s="7" t="str">
        <f t="shared" si="1940"/>
        <v>10429000500</v>
      </c>
      <c r="B5297" s="7" t="str">
        <f t="shared" si="1941"/>
        <v>大塚高校</v>
      </c>
      <c r="C5297" s="7" t="str">
        <f t="shared" si="1932"/>
        <v>行政財産</v>
      </c>
      <c r="D5297" s="7" t="str">
        <f t="shared" si="1921"/>
        <v>学校</v>
      </c>
      <c r="E5297" s="7" t="str">
        <f t="shared" si="1942"/>
        <v>大阪府松原市西大塚２丁目</v>
      </c>
      <c r="F5297" s="7"/>
      <c r="G5297" s="7" t="str">
        <f t="shared" si="1936"/>
        <v>事業用資産</v>
      </c>
      <c r="H5297" s="7" t="str">
        <f t="shared" si="1926"/>
        <v>棚卸以外</v>
      </c>
      <c r="I5297" s="7">
        <v>9</v>
      </c>
      <c r="J5297" s="7" t="str">
        <f>"第２体育館"</f>
        <v>第２体育館</v>
      </c>
      <c r="K5297" s="7" t="str">
        <f>"鉄筋コンクリート造"</f>
        <v>鉄筋コンクリート造</v>
      </c>
      <c r="L5297" s="7" t="str">
        <f>"H15.08.11"</f>
        <v>H15.08.11</v>
      </c>
      <c r="M5297" s="7">
        <v>1201.5</v>
      </c>
      <c r="N5297" s="7">
        <v>272503560</v>
      </c>
      <c r="O5297" s="7">
        <v>113086858</v>
      </c>
      <c r="P5297" s="7">
        <v>0</v>
      </c>
      <c r="Q5297" s="7" t="str">
        <f t="shared" si="1939"/>
        <v>教育庁</v>
      </c>
      <c r="R5297" s="7" t="str">
        <f t="shared" si="1943"/>
        <v>大塚高等学校</v>
      </c>
    </row>
    <row r="5298" spans="1:18" s="1" customFormat="1" x14ac:dyDescent="0.45">
      <c r="A5298" s="7" t="str">
        <f>"10429000600"</f>
        <v>10429000600</v>
      </c>
      <c r="B5298" s="7" t="str">
        <f>"大塚高校第２運動場"</f>
        <v>大塚高校第２運動場</v>
      </c>
      <c r="C5298" s="7" t="str">
        <f t="shared" si="1932"/>
        <v>行政財産</v>
      </c>
      <c r="D5298" s="7" t="str">
        <f t="shared" si="1921"/>
        <v>学校</v>
      </c>
      <c r="E5298" s="7" t="str">
        <f>"大阪府松原市西野々１丁目"</f>
        <v>大阪府松原市西野々１丁目</v>
      </c>
      <c r="F5298" s="7"/>
      <c r="G5298" s="7" t="str">
        <f t="shared" si="1936"/>
        <v>事業用資産</v>
      </c>
      <c r="H5298" s="7" t="str">
        <f t="shared" si="1926"/>
        <v>棚卸以外</v>
      </c>
      <c r="I5298" s="7">
        <v>9</v>
      </c>
      <c r="J5298" s="7" t="str">
        <f>"第２運動場倉庫"</f>
        <v>第２運動場倉庫</v>
      </c>
      <c r="K5298" s="7" t="str">
        <f>"土蔵造(簡易建物)"</f>
        <v>土蔵造(簡易建物)</v>
      </c>
      <c r="L5298" s="7" t="str">
        <f>"H10.06.10"</f>
        <v>H10.06.10</v>
      </c>
      <c r="M5298" s="7">
        <v>25.66</v>
      </c>
      <c r="N5298" s="7">
        <v>996000</v>
      </c>
      <c r="O5298" s="7">
        <v>995999</v>
      </c>
      <c r="P5298" s="7">
        <v>0</v>
      </c>
      <c r="Q5298" s="7" t="str">
        <f t="shared" si="1939"/>
        <v>教育庁</v>
      </c>
      <c r="R5298" s="7" t="str">
        <f t="shared" si="1943"/>
        <v>大塚高等学校</v>
      </c>
    </row>
    <row r="5299" spans="1:18" s="1" customFormat="1" x14ac:dyDescent="0.45">
      <c r="A5299" s="7" t="str">
        <f>"10429000600"</f>
        <v>10429000600</v>
      </c>
      <c r="B5299" s="7" t="str">
        <f>"大塚高校第２運動場"</f>
        <v>大塚高校第２運動場</v>
      </c>
      <c r="C5299" s="7" t="str">
        <f t="shared" si="1932"/>
        <v>行政財産</v>
      </c>
      <c r="D5299" s="7" t="str">
        <f t="shared" si="1921"/>
        <v>学校</v>
      </c>
      <c r="E5299" s="7" t="str">
        <f>"大阪府松原市西野々１丁目"</f>
        <v>大阪府松原市西野々１丁目</v>
      </c>
      <c r="F5299" s="7"/>
      <c r="G5299" s="7" t="str">
        <f t="shared" si="1936"/>
        <v>事業用資産</v>
      </c>
      <c r="H5299" s="7" t="str">
        <f t="shared" si="1926"/>
        <v>棚卸以外</v>
      </c>
      <c r="I5299" s="7">
        <v>10</v>
      </c>
      <c r="J5299" s="7" t="str">
        <f>"物置"</f>
        <v>物置</v>
      </c>
      <c r="K5299" s="7" t="str">
        <f>"土蔵造(簡易建物)"</f>
        <v>土蔵造(簡易建物)</v>
      </c>
      <c r="L5299" s="7" t="str">
        <f>"H26.03.17"</f>
        <v>H26.03.17</v>
      </c>
      <c r="M5299" s="7">
        <v>6.29</v>
      </c>
      <c r="N5299" s="7">
        <v>298725</v>
      </c>
      <c r="O5299" s="7">
        <v>112104</v>
      </c>
      <c r="P5299" s="7">
        <v>0</v>
      </c>
      <c r="Q5299" s="7" t="str">
        <f t="shared" si="1939"/>
        <v>教育庁</v>
      </c>
      <c r="R5299" s="7" t="str">
        <f t="shared" si="1943"/>
        <v>大塚高等学校</v>
      </c>
    </row>
    <row r="5300" spans="1:18" s="1" customFormat="1" x14ac:dyDescent="0.45">
      <c r="A5300" s="7" t="str">
        <f t="shared" ref="A5300:A5325" si="1944">"10431000000"</f>
        <v>10431000000</v>
      </c>
      <c r="B5300" s="7" t="str">
        <f t="shared" ref="B5300:B5325" si="1945">"河南高等学校"</f>
        <v>河南高等学校</v>
      </c>
      <c r="C5300" s="7" t="str">
        <f t="shared" si="1932"/>
        <v>行政財産</v>
      </c>
      <c r="D5300" s="7" t="str">
        <f t="shared" si="1921"/>
        <v>学校</v>
      </c>
      <c r="E5300" s="7" t="str">
        <f t="shared" ref="E5300:E5325" si="1946">"大阪府富田林市錦ケ丘町"</f>
        <v>大阪府富田林市錦ケ丘町</v>
      </c>
      <c r="F5300" s="7"/>
      <c r="G5300" s="7" t="str">
        <f t="shared" si="1936"/>
        <v>事業用資産</v>
      </c>
      <c r="H5300" s="7" t="str">
        <f t="shared" si="1926"/>
        <v>棚卸以外</v>
      </c>
      <c r="I5300" s="7">
        <v>21</v>
      </c>
      <c r="J5300" s="7" t="str">
        <f>"同窓会館"</f>
        <v>同窓会館</v>
      </c>
      <c r="K5300" s="7" t="str">
        <f>"鉄筋コンクリート造"</f>
        <v>鉄筋コンクリート造</v>
      </c>
      <c r="L5300" s="7" t="str">
        <f>"S30.10.28"</f>
        <v>S30.10.28</v>
      </c>
      <c r="M5300" s="7">
        <v>46.28</v>
      </c>
      <c r="N5300" s="7">
        <v>1185176</v>
      </c>
      <c r="O5300" s="7">
        <v>954240</v>
      </c>
      <c r="P5300" s="7">
        <v>0</v>
      </c>
      <c r="Q5300" s="7" t="str">
        <f t="shared" si="1939"/>
        <v>教育庁</v>
      </c>
      <c r="R5300" s="7" t="str">
        <f t="shared" ref="R5300:R5325" si="1947">"河南高等学校"</f>
        <v>河南高等学校</v>
      </c>
    </row>
    <row r="5301" spans="1:18" s="1" customFormat="1" x14ac:dyDescent="0.45">
      <c r="A5301" s="7" t="str">
        <f t="shared" si="1944"/>
        <v>10431000000</v>
      </c>
      <c r="B5301" s="7" t="str">
        <f t="shared" si="1945"/>
        <v>河南高等学校</v>
      </c>
      <c r="C5301" s="7" t="str">
        <f t="shared" si="1932"/>
        <v>行政財産</v>
      </c>
      <c r="D5301" s="7" t="str">
        <f t="shared" si="1921"/>
        <v>学校</v>
      </c>
      <c r="E5301" s="7" t="str">
        <f t="shared" si="1946"/>
        <v>大阪府富田林市錦ケ丘町</v>
      </c>
      <c r="F5301" s="7"/>
      <c r="G5301" s="7" t="str">
        <f t="shared" si="1936"/>
        <v>事業用資産</v>
      </c>
      <c r="H5301" s="7" t="str">
        <f t="shared" si="1926"/>
        <v>棚卸以外</v>
      </c>
      <c r="I5301" s="7">
        <v>30</v>
      </c>
      <c r="J5301" s="7" t="str">
        <f>"音楽教室"</f>
        <v>音楽教室</v>
      </c>
      <c r="K5301" s="7" t="str">
        <f>"鉄筋コンクリート造"</f>
        <v>鉄筋コンクリート造</v>
      </c>
      <c r="L5301" s="7" t="str">
        <f>"S38.02.28"</f>
        <v>S38.02.28</v>
      </c>
      <c r="M5301" s="7">
        <v>152.99</v>
      </c>
      <c r="N5301" s="7">
        <v>9666022</v>
      </c>
      <c r="O5301" s="7">
        <v>9362445</v>
      </c>
      <c r="P5301" s="7">
        <v>0</v>
      </c>
      <c r="Q5301" s="7" t="str">
        <f t="shared" si="1939"/>
        <v>教育庁</v>
      </c>
      <c r="R5301" s="7" t="str">
        <f t="shared" si="1947"/>
        <v>河南高等学校</v>
      </c>
    </row>
    <row r="5302" spans="1:18" s="1" customFormat="1" x14ac:dyDescent="0.45">
      <c r="A5302" s="7" t="str">
        <f t="shared" si="1944"/>
        <v>10431000000</v>
      </c>
      <c r="B5302" s="7" t="str">
        <f t="shared" si="1945"/>
        <v>河南高等学校</v>
      </c>
      <c r="C5302" s="7" t="str">
        <f t="shared" si="1932"/>
        <v>行政財産</v>
      </c>
      <c r="D5302" s="7" t="str">
        <f t="shared" si="1921"/>
        <v>学校</v>
      </c>
      <c r="E5302" s="7" t="str">
        <f t="shared" si="1946"/>
        <v>大阪府富田林市錦ケ丘町</v>
      </c>
      <c r="F5302" s="7"/>
      <c r="G5302" s="7" t="str">
        <f t="shared" si="1936"/>
        <v>事業用資産</v>
      </c>
      <c r="H5302" s="7" t="str">
        <f t="shared" si="1926"/>
        <v>棚卸以外</v>
      </c>
      <c r="I5302" s="7">
        <v>31</v>
      </c>
      <c r="J5302" s="7" t="str">
        <f>"校舎"</f>
        <v>校舎</v>
      </c>
      <c r="K5302" s="7" t="str">
        <f>"鉄筋コンクリート造"</f>
        <v>鉄筋コンクリート造</v>
      </c>
      <c r="L5302" s="7" t="str">
        <f>"S38.02.28"</f>
        <v>S38.02.28</v>
      </c>
      <c r="M5302" s="7">
        <v>641.48</v>
      </c>
      <c r="N5302" s="7">
        <v>39741363</v>
      </c>
      <c r="O5302" s="7">
        <v>23972205</v>
      </c>
      <c r="P5302" s="7">
        <v>0</v>
      </c>
      <c r="Q5302" s="7" t="str">
        <f t="shared" si="1939"/>
        <v>教育庁</v>
      </c>
      <c r="R5302" s="7" t="str">
        <f t="shared" si="1947"/>
        <v>河南高等学校</v>
      </c>
    </row>
    <row r="5303" spans="1:18" s="1" customFormat="1" x14ac:dyDescent="0.45">
      <c r="A5303" s="7" t="str">
        <f t="shared" si="1944"/>
        <v>10431000000</v>
      </c>
      <c r="B5303" s="7" t="str">
        <f t="shared" si="1945"/>
        <v>河南高等学校</v>
      </c>
      <c r="C5303" s="7" t="str">
        <f t="shared" si="1932"/>
        <v>行政財産</v>
      </c>
      <c r="D5303" s="7" t="str">
        <f t="shared" si="1921"/>
        <v>学校</v>
      </c>
      <c r="E5303" s="7" t="str">
        <f t="shared" si="1946"/>
        <v>大阪府富田林市錦ケ丘町</v>
      </c>
      <c r="F5303" s="7"/>
      <c r="G5303" s="7" t="str">
        <f t="shared" si="1936"/>
        <v>事業用資産</v>
      </c>
      <c r="H5303" s="7" t="str">
        <f t="shared" si="1926"/>
        <v>棚卸以外</v>
      </c>
      <c r="I5303" s="7">
        <v>38</v>
      </c>
      <c r="J5303" s="7" t="str">
        <f>"校舎"</f>
        <v>校舎</v>
      </c>
      <c r="K5303" s="7" t="str">
        <f>"鉄筋コンクリート造"</f>
        <v>鉄筋コンクリート造</v>
      </c>
      <c r="L5303" s="7" t="str">
        <f>"S40.03.31"</f>
        <v>S40.03.31</v>
      </c>
      <c r="M5303" s="7">
        <v>1412.85</v>
      </c>
      <c r="N5303" s="7">
        <v>101016063</v>
      </c>
      <c r="O5303" s="7">
        <v>74670865</v>
      </c>
      <c r="P5303" s="7">
        <v>0</v>
      </c>
      <c r="Q5303" s="7" t="str">
        <f t="shared" si="1939"/>
        <v>教育庁</v>
      </c>
      <c r="R5303" s="7" t="str">
        <f t="shared" si="1947"/>
        <v>河南高等学校</v>
      </c>
    </row>
    <row r="5304" spans="1:18" s="1" customFormat="1" x14ac:dyDescent="0.45">
      <c r="A5304" s="7" t="str">
        <f t="shared" si="1944"/>
        <v>10431000000</v>
      </c>
      <c r="B5304" s="7" t="str">
        <f t="shared" si="1945"/>
        <v>河南高等学校</v>
      </c>
      <c r="C5304" s="7" t="str">
        <f t="shared" si="1932"/>
        <v>行政財産</v>
      </c>
      <c r="D5304" s="7" t="str">
        <f t="shared" si="1921"/>
        <v>学校</v>
      </c>
      <c r="E5304" s="7" t="str">
        <f t="shared" si="1946"/>
        <v>大阪府富田林市錦ケ丘町</v>
      </c>
      <c r="F5304" s="7"/>
      <c r="G5304" s="7" t="str">
        <f t="shared" si="1936"/>
        <v>事業用資産</v>
      </c>
      <c r="H5304" s="7" t="str">
        <f t="shared" si="1926"/>
        <v>棚卸以外</v>
      </c>
      <c r="I5304" s="7">
        <v>39</v>
      </c>
      <c r="J5304" s="7" t="str">
        <f>"変電室"</f>
        <v>変電室</v>
      </c>
      <c r="K5304" s="7" t="str">
        <f>"鉄筋コンクリート造"</f>
        <v>鉄筋コンクリート造</v>
      </c>
      <c r="L5304" s="7" t="str">
        <f>"S40.03.31"</f>
        <v>S40.03.31</v>
      </c>
      <c r="M5304" s="7">
        <v>34.01</v>
      </c>
      <c r="N5304" s="7">
        <v>4625110</v>
      </c>
      <c r="O5304" s="7">
        <v>3625619</v>
      </c>
      <c r="P5304" s="7">
        <v>0</v>
      </c>
      <c r="Q5304" s="7" t="str">
        <f t="shared" si="1939"/>
        <v>教育庁</v>
      </c>
      <c r="R5304" s="7" t="str">
        <f t="shared" si="1947"/>
        <v>河南高等学校</v>
      </c>
    </row>
    <row r="5305" spans="1:18" s="1" customFormat="1" x14ac:dyDescent="0.45">
      <c r="A5305" s="7" t="str">
        <f t="shared" si="1944"/>
        <v>10431000000</v>
      </c>
      <c r="B5305" s="7" t="str">
        <f t="shared" si="1945"/>
        <v>河南高等学校</v>
      </c>
      <c r="C5305" s="7" t="str">
        <f t="shared" si="1932"/>
        <v>行政財産</v>
      </c>
      <c r="D5305" s="7" t="str">
        <f t="shared" ref="D5305:D5368" si="1948">"学校"</f>
        <v>学校</v>
      </c>
      <c r="E5305" s="7" t="str">
        <f t="shared" si="1946"/>
        <v>大阪府富田林市錦ケ丘町</v>
      </c>
      <c r="F5305" s="7"/>
      <c r="G5305" s="7" t="str">
        <f t="shared" si="1936"/>
        <v>事業用資産</v>
      </c>
      <c r="H5305" s="7" t="str">
        <f t="shared" si="1926"/>
        <v>棚卸以外</v>
      </c>
      <c r="I5305" s="7">
        <v>41</v>
      </c>
      <c r="J5305" s="7" t="str">
        <f>"同窓会館"</f>
        <v>同窓会館</v>
      </c>
      <c r="K5305" s="7" t="str">
        <f>"木造"</f>
        <v>木造</v>
      </c>
      <c r="L5305" s="7" t="str">
        <f>"S30.10.28"</f>
        <v>S30.10.28</v>
      </c>
      <c r="M5305" s="7">
        <v>212.66</v>
      </c>
      <c r="N5305" s="7">
        <v>35280929</v>
      </c>
      <c r="O5305" s="7">
        <v>30852256</v>
      </c>
      <c r="P5305" s="7">
        <v>0</v>
      </c>
      <c r="Q5305" s="7" t="str">
        <f t="shared" si="1939"/>
        <v>教育庁</v>
      </c>
      <c r="R5305" s="7" t="str">
        <f t="shared" si="1947"/>
        <v>河南高等学校</v>
      </c>
    </row>
    <row r="5306" spans="1:18" s="1" customFormat="1" x14ac:dyDescent="0.45">
      <c r="A5306" s="7" t="str">
        <f t="shared" si="1944"/>
        <v>10431000000</v>
      </c>
      <c r="B5306" s="7" t="str">
        <f t="shared" si="1945"/>
        <v>河南高等学校</v>
      </c>
      <c r="C5306" s="7" t="str">
        <f t="shared" si="1932"/>
        <v>行政財産</v>
      </c>
      <c r="D5306" s="7" t="str">
        <f t="shared" si="1948"/>
        <v>学校</v>
      </c>
      <c r="E5306" s="7" t="str">
        <f t="shared" si="1946"/>
        <v>大阪府富田林市錦ケ丘町</v>
      </c>
      <c r="F5306" s="7"/>
      <c r="G5306" s="7" t="str">
        <f t="shared" si="1936"/>
        <v>事業用資産</v>
      </c>
      <c r="H5306" s="7" t="str">
        <f t="shared" si="1926"/>
        <v>棚卸以外</v>
      </c>
      <c r="I5306" s="7">
        <v>42</v>
      </c>
      <c r="J5306" s="7" t="str">
        <f>"校舎"</f>
        <v>校舎</v>
      </c>
      <c r="K5306" s="7" t="str">
        <f>"鉄筋コンクリート造"</f>
        <v>鉄筋コンクリート造</v>
      </c>
      <c r="L5306" s="7" t="str">
        <f>"S41.03.19"</f>
        <v>S41.03.19</v>
      </c>
      <c r="M5306" s="7">
        <v>1432.82</v>
      </c>
      <c r="N5306" s="7">
        <v>98704659</v>
      </c>
      <c r="O5306" s="7">
        <v>66664782</v>
      </c>
      <c r="P5306" s="7">
        <v>0</v>
      </c>
      <c r="Q5306" s="7" t="str">
        <f t="shared" si="1939"/>
        <v>教育庁</v>
      </c>
      <c r="R5306" s="7" t="str">
        <f t="shared" si="1947"/>
        <v>河南高等学校</v>
      </c>
    </row>
    <row r="5307" spans="1:18" s="1" customFormat="1" x14ac:dyDescent="0.45">
      <c r="A5307" s="7" t="str">
        <f t="shared" si="1944"/>
        <v>10431000000</v>
      </c>
      <c r="B5307" s="7" t="str">
        <f t="shared" si="1945"/>
        <v>河南高等学校</v>
      </c>
      <c r="C5307" s="7" t="str">
        <f t="shared" si="1932"/>
        <v>行政財産</v>
      </c>
      <c r="D5307" s="7" t="str">
        <f t="shared" si="1948"/>
        <v>学校</v>
      </c>
      <c r="E5307" s="7" t="str">
        <f t="shared" si="1946"/>
        <v>大阪府富田林市錦ケ丘町</v>
      </c>
      <c r="F5307" s="7"/>
      <c r="G5307" s="7" t="str">
        <f t="shared" si="1936"/>
        <v>事業用資産</v>
      </c>
      <c r="H5307" s="7" t="str">
        <f t="shared" si="1926"/>
        <v>棚卸以外</v>
      </c>
      <c r="I5307" s="7">
        <v>43</v>
      </c>
      <c r="J5307" s="7" t="str">
        <f>"校舎"</f>
        <v>校舎</v>
      </c>
      <c r="K5307" s="7" t="str">
        <f>"鉄筋コンクリート造"</f>
        <v>鉄筋コンクリート造</v>
      </c>
      <c r="L5307" s="7" t="str">
        <f>"S42.03.20"</f>
        <v>S42.03.20</v>
      </c>
      <c r="M5307" s="7">
        <v>1008</v>
      </c>
      <c r="N5307" s="7">
        <v>127263977</v>
      </c>
      <c r="O5307" s="7">
        <v>76763969</v>
      </c>
      <c r="P5307" s="7">
        <v>0</v>
      </c>
      <c r="Q5307" s="7" t="str">
        <f t="shared" si="1939"/>
        <v>教育庁</v>
      </c>
      <c r="R5307" s="7" t="str">
        <f t="shared" si="1947"/>
        <v>河南高等学校</v>
      </c>
    </row>
    <row r="5308" spans="1:18" s="1" customFormat="1" x14ac:dyDescent="0.45">
      <c r="A5308" s="7" t="str">
        <f t="shared" si="1944"/>
        <v>10431000000</v>
      </c>
      <c r="B5308" s="7" t="str">
        <f t="shared" si="1945"/>
        <v>河南高等学校</v>
      </c>
      <c r="C5308" s="7" t="str">
        <f t="shared" si="1932"/>
        <v>行政財産</v>
      </c>
      <c r="D5308" s="7" t="str">
        <f t="shared" si="1948"/>
        <v>学校</v>
      </c>
      <c r="E5308" s="7" t="str">
        <f t="shared" si="1946"/>
        <v>大阪府富田林市錦ケ丘町</v>
      </c>
      <c r="F5308" s="7"/>
      <c r="G5308" s="7" t="str">
        <f t="shared" si="1936"/>
        <v>事業用資産</v>
      </c>
      <c r="H5308" s="7" t="str">
        <f t="shared" si="1926"/>
        <v>棚卸以外</v>
      </c>
      <c r="I5308" s="7">
        <v>45</v>
      </c>
      <c r="J5308" s="7" t="str">
        <f>"校舎"</f>
        <v>校舎</v>
      </c>
      <c r="K5308" s="7" t="str">
        <f>"鉄筋コンクリート造"</f>
        <v>鉄筋コンクリート造</v>
      </c>
      <c r="L5308" s="7" t="str">
        <f>"S43.02.29"</f>
        <v>S43.02.29</v>
      </c>
      <c r="M5308" s="7">
        <v>841.32</v>
      </c>
      <c r="N5308" s="7">
        <v>60656735</v>
      </c>
      <c r="O5308" s="7">
        <v>41928793</v>
      </c>
      <c r="P5308" s="7">
        <v>0</v>
      </c>
      <c r="Q5308" s="7" t="str">
        <f t="shared" si="1939"/>
        <v>教育庁</v>
      </c>
      <c r="R5308" s="7" t="str">
        <f t="shared" si="1947"/>
        <v>河南高等学校</v>
      </c>
    </row>
    <row r="5309" spans="1:18" s="1" customFormat="1" x14ac:dyDescent="0.45">
      <c r="A5309" s="7" t="str">
        <f t="shared" si="1944"/>
        <v>10431000000</v>
      </c>
      <c r="B5309" s="7" t="str">
        <f t="shared" si="1945"/>
        <v>河南高等学校</v>
      </c>
      <c r="C5309" s="7" t="str">
        <f t="shared" si="1932"/>
        <v>行政財産</v>
      </c>
      <c r="D5309" s="7" t="str">
        <f t="shared" si="1948"/>
        <v>学校</v>
      </c>
      <c r="E5309" s="7" t="str">
        <f t="shared" si="1946"/>
        <v>大阪府富田林市錦ケ丘町</v>
      </c>
      <c r="F5309" s="7"/>
      <c r="G5309" s="7" t="str">
        <f t="shared" si="1936"/>
        <v>事業用資産</v>
      </c>
      <c r="H5309" s="7" t="str">
        <f t="shared" si="1926"/>
        <v>棚卸以外</v>
      </c>
      <c r="I5309" s="7">
        <v>46</v>
      </c>
      <c r="J5309" s="7" t="str">
        <f>"渡り廊下"</f>
        <v>渡り廊下</v>
      </c>
      <c r="K5309" s="7" t="str">
        <f>"鉄骨造"</f>
        <v>鉄骨造</v>
      </c>
      <c r="L5309" s="7" t="str">
        <f>"S43.02.29"</f>
        <v>S43.02.29</v>
      </c>
      <c r="M5309" s="7">
        <v>27.13</v>
      </c>
      <c r="N5309" s="7">
        <v>617000</v>
      </c>
      <c r="O5309" s="7">
        <v>525947</v>
      </c>
      <c r="P5309" s="7">
        <v>0</v>
      </c>
      <c r="Q5309" s="7" t="str">
        <f t="shared" si="1939"/>
        <v>教育庁</v>
      </c>
      <c r="R5309" s="7" t="str">
        <f t="shared" si="1947"/>
        <v>河南高等学校</v>
      </c>
    </row>
    <row r="5310" spans="1:18" s="1" customFormat="1" x14ac:dyDescent="0.45">
      <c r="A5310" s="7" t="str">
        <f t="shared" si="1944"/>
        <v>10431000000</v>
      </c>
      <c r="B5310" s="7" t="str">
        <f t="shared" si="1945"/>
        <v>河南高等学校</v>
      </c>
      <c r="C5310" s="7" t="str">
        <f t="shared" si="1932"/>
        <v>行政財産</v>
      </c>
      <c r="D5310" s="7" t="str">
        <f t="shared" si="1948"/>
        <v>学校</v>
      </c>
      <c r="E5310" s="7" t="str">
        <f t="shared" si="1946"/>
        <v>大阪府富田林市錦ケ丘町</v>
      </c>
      <c r="F5310" s="7"/>
      <c r="G5310" s="7" t="str">
        <f t="shared" si="1936"/>
        <v>事業用資産</v>
      </c>
      <c r="H5310" s="7" t="str">
        <f t="shared" si="1926"/>
        <v>棚卸以外</v>
      </c>
      <c r="I5310" s="7">
        <v>47</v>
      </c>
      <c r="J5310" s="7" t="str">
        <f>"理科棟校舎"</f>
        <v>理科棟校舎</v>
      </c>
      <c r="K5310" s="7" t="str">
        <f>"鉄筋コンクリート造"</f>
        <v>鉄筋コンクリート造</v>
      </c>
      <c r="L5310" s="7" t="str">
        <f>"S44.03.15"</f>
        <v>S44.03.15</v>
      </c>
      <c r="M5310" s="7">
        <v>1877.15</v>
      </c>
      <c r="N5310" s="7">
        <v>115018292</v>
      </c>
      <c r="O5310" s="7">
        <v>86327227</v>
      </c>
      <c r="P5310" s="7">
        <v>0</v>
      </c>
      <c r="Q5310" s="7" t="str">
        <f t="shared" si="1939"/>
        <v>教育庁</v>
      </c>
      <c r="R5310" s="7" t="str">
        <f t="shared" si="1947"/>
        <v>河南高等学校</v>
      </c>
    </row>
    <row r="5311" spans="1:18" s="1" customFormat="1" x14ac:dyDescent="0.45">
      <c r="A5311" s="7" t="str">
        <f t="shared" si="1944"/>
        <v>10431000000</v>
      </c>
      <c r="B5311" s="7" t="str">
        <f t="shared" si="1945"/>
        <v>河南高等学校</v>
      </c>
      <c r="C5311" s="7" t="str">
        <f t="shared" si="1932"/>
        <v>行政財産</v>
      </c>
      <c r="D5311" s="7" t="str">
        <f t="shared" si="1948"/>
        <v>学校</v>
      </c>
      <c r="E5311" s="7" t="str">
        <f t="shared" si="1946"/>
        <v>大阪府富田林市錦ケ丘町</v>
      </c>
      <c r="F5311" s="7"/>
      <c r="G5311" s="7" t="str">
        <f t="shared" si="1936"/>
        <v>事業用資産</v>
      </c>
      <c r="H5311" s="7" t="str">
        <f t="shared" si="1926"/>
        <v>棚卸以外</v>
      </c>
      <c r="I5311" s="7">
        <v>50</v>
      </c>
      <c r="J5311" s="7" t="str">
        <f>"家庭科棟"</f>
        <v>家庭科棟</v>
      </c>
      <c r="K5311" s="7" t="str">
        <f>"鉄筋コンクリート造"</f>
        <v>鉄筋コンクリート造</v>
      </c>
      <c r="L5311" s="7" t="str">
        <f>"S46.03.28"</f>
        <v>S46.03.28</v>
      </c>
      <c r="M5311" s="7">
        <v>2022.72</v>
      </c>
      <c r="N5311" s="7">
        <v>118364611</v>
      </c>
      <c r="O5311" s="7">
        <v>99638237</v>
      </c>
      <c r="P5311" s="7">
        <v>0</v>
      </c>
      <c r="Q5311" s="7" t="str">
        <f t="shared" si="1939"/>
        <v>教育庁</v>
      </c>
      <c r="R5311" s="7" t="str">
        <f t="shared" si="1947"/>
        <v>河南高等学校</v>
      </c>
    </row>
    <row r="5312" spans="1:18" s="1" customFormat="1" x14ac:dyDescent="0.45">
      <c r="A5312" s="7" t="str">
        <f t="shared" si="1944"/>
        <v>10431000000</v>
      </c>
      <c r="B5312" s="7" t="str">
        <f t="shared" si="1945"/>
        <v>河南高等学校</v>
      </c>
      <c r="C5312" s="7" t="str">
        <f t="shared" si="1932"/>
        <v>行政財産</v>
      </c>
      <c r="D5312" s="7" t="str">
        <f t="shared" si="1948"/>
        <v>学校</v>
      </c>
      <c r="E5312" s="7" t="str">
        <f t="shared" si="1946"/>
        <v>大阪府富田林市錦ケ丘町</v>
      </c>
      <c r="F5312" s="7"/>
      <c r="G5312" s="7" t="str">
        <f t="shared" si="1936"/>
        <v>事業用資産</v>
      </c>
      <c r="H5312" s="7" t="str">
        <f t="shared" si="1926"/>
        <v>棚卸以外</v>
      </c>
      <c r="I5312" s="7">
        <v>51</v>
      </c>
      <c r="J5312" s="7" t="str">
        <f>"渡り廊下棟"</f>
        <v>渡り廊下棟</v>
      </c>
      <c r="K5312" s="7" t="str">
        <f>"鉄筋コンクリート造"</f>
        <v>鉄筋コンクリート造</v>
      </c>
      <c r="L5312" s="7" t="str">
        <f>"S46.03.28"</f>
        <v>S46.03.28</v>
      </c>
      <c r="M5312" s="7">
        <v>264.8</v>
      </c>
      <c r="N5312" s="7">
        <v>11549328</v>
      </c>
      <c r="O5312" s="7">
        <v>11152155</v>
      </c>
      <c r="P5312" s="7">
        <v>0</v>
      </c>
      <c r="Q5312" s="7" t="str">
        <f t="shared" si="1939"/>
        <v>教育庁</v>
      </c>
      <c r="R5312" s="7" t="str">
        <f t="shared" si="1947"/>
        <v>河南高等学校</v>
      </c>
    </row>
    <row r="5313" spans="1:18" s="1" customFormat="1" x14ac:dyDescent="0.45">
      <c r="A5313" s="7" t="str">
        <f t="shared" si="1944"/>
        <v>10431000000</v>
      </c>
      <c r="B5313" s="7" t="str">
        <f t="shared" si="1945"/>
        <v>河南高等学校</v>
      </c>
      <c r="C5313" s="7" t="str">
        <f t="shared" si="1932"/>
        <v>行政財産</v>
      </c>
      <c r="D5313" s="7" t="str">
        <f t="shared" si="1948"/>
        <v>学校</v>
      </c>
      <c r="E5313" s="7" t="str">
        <f t="shared" si="1946"/>
        <v>大阪府富田林市錦ケ丘町</v>
      </c>
      <c r="F5313" s="7"/>
      <c r="G5313" s="7" t="str">
        <f t="shared" si="1936"/>
        <v>事業用資産</v>
      </c>
      <c r="H5313" s="7" t="str">
        <f t="shared" si="1926"/>
        <v>棚卸以外</v>
      </c>
      <c r="I5313" s="7">
        <v>52</v>
      </c>
      <c r="J5313" s="7" t="str">
        <f>"食堂"</f>
        <v>食堂</v>
      </c>
      <c r="K5313" s="7" t="str">
        <f>"鉄骨造"</f>
        <v>鉄骨造</v>
      </c>
      <c r="L5313" s="7" t="str">
        <f>"S46.03.28"</f>
        <v>S46.03.28</v>
      </c>
      <c r="M5313" s="7">
        <v>334.8</v>
      </c>
      <c r="N5313" s="7">
        <v>15733232</v>
      </c>
      <c r="O5313" s="7">
        <v>14553110</v>
      </c>
      <c r="P5313" s="7">
        <v>0</v>
      </c>
      <c r="Q5313" s="7" t="str">
        <f t="shared" si="1939"/>
        <v>教育庁</v>
      </c>
      <c r="R5313" s="7" t="str">
        <f t="shared" si="1947"/>
        <v>河南高等学校</v>
      </c>
    </row>
    <row r="5314" spans="1:18" s="1" customFormat="1" x14ac:dyDescent="0.45">
      <c r="A5314" s="7" t="str">
        <f t="shared" si="1944"/>
        <v>10431000000</v>
      </c>
      <c r="B5314" s="7" t="str">
        <f t="shared" si="1945"/>
        <v>河南高等学校</v>
      </c>
      <c r="C5314" s="7" t="str">
        <f t="shared" si="1932"/>
        <v>行政財産</v>
      </c>
      <c r="D5314" s="7" t="str">
        <f t="shared" si="1948"/>
        <v>学校</v>
      </c>
      <c r="E5314" s="7" t="str">
        <f t="shared" si="1946"/>
        <v>大阪府富田林市錦ケ丘町</v>
      </c>
      <c r="F5314" s="7"/>
      <c r="G5314" s="7" t="str">
        <f t="shared" si="1936"/>
        <v>事業用資産</v>
      </c>
      <c r="H5314" s="7" t="str">
        <f t="shared" si="1926"/>
        <v>棚卸以外</v>
      </c>
      <c r="I5314" s="7">
        <v>56</v>
      </c>
      <c r="J5314" s="7" t="str">
        <f>"自転車置場"</f>
        <v>自転車置場</v>
      </c>
      <c r="K5314" s="7" t="str">
        <f>"軽量鉄骨造"</f>
        <v>軽量鉄骨造</v>
      </c>
      <c r="L5314" s="7" t="str">
        <f>"S46.12.09"</f>
        <v>S46.12.09</v>
      </c>
      <c r="M5314" s="7">
        <v>30</v>
      </c>
      <c r="N5314" s="7">
        <v>214500</v>
      </c>
      <c r="O5314" s="7">
        <v>214499</v>
      </c>
      <c r="P5314" s="7">
        <v>0</v>
      </c>
      <c r="Q5314" s="7" t="str">
        <f t="shared" si="1939"/>
        <v>教育庁</v>
      </c>
      <c r="R5314" s="7" t="str">
        <f t="shared" si="1947"/>
        <v>河南高等学校</v>
      </c>
    </row>
    <row r="5315" spans="1:18" s="1" customFormat="1" x14ac:dyDescent="0.45">
      <c r="A5315" s="7" t="str">
        <f t="shared" si="1944"/>
        <v>10431000000</v>
      </c>
      <c r="B5315" s="7" t="str">
        <f t="shared" si="1945"/>
        <v>河南高等学校</v>
      </c>
      <c r="C5315" s="7" t="str">
        <f t="shared" si="1932"/>
        <v>行政財産</v>
      </c>
      <c r="D5315" s="7" t="str">
        <f t="shared" si="1948"/>
        <v>学校</v>
      </c>
      <c r="E5315" s="7" t="str">
        <f t="shared" si="1946"/>
        <v>大阪府富田林市錦ケ丘町</v>
      </c>
      <c r="F5315" s="7"/>
      <c r="G5315" s="7" t="str">
        <f t="shared" si="1936"/>
        <v>事業用資産</v>
      </c>
      <c r="H5315" s="7" t="str">
        <f t="shared" si="1926"/>
        <v>棚卸以外</v>
      </c>
      <c r="I5315" s="7">
        <v>57</v>
      </c>
      <c r="J5315" s="7" t="str">
        <f>"自転車置場"</f>
        <v>自転車置場</v>
      </c>
      <c r="K5315" s="7" t="str">
        <f>"軽量鉄骨造"</f>
        <v>軽量鉄骨造</v>
      </c>
      <c r="L5315" s="7" t="str">
        <f>"S46.12.09"</f>
        <v>S46.12.09</v>
      </c>
      <c r="M5315" s="7">
        <v>30</v>
      </c>
      <c r="N5315" s="7">
        <v>214500</v>
      </c>
      <c r="O5315" s="7">
        <v>214499</v>
      </c>
      <c r="P5315" s="7">
        <v>0</v>
      </c>
      <c r="Q5315" s="7" t="str">
        <f t="shared" si="1939"/>
        <v>教育庁</v>
      </c>
      <c r="R5315" s="7" t="str">
        <f t="shared" si="1947"/>
        <v>河南高等学校</v>
      </c>
    </row>
    <row r="5316" spans="1:18" s="1" customFormat="1" x14ac:dyDescent="0.45">
      <c r="A5316" s="7" t="str">
        <f t="shared" si="1944"/>
        <v>10431000000</v>
      </c>
      <c r="B5316" s="7" t="str">
        <f t="shared" si="1945"/>
        <v>河南高等学校</v>
      </c>
      <c r="C5316" s="7" t="str">
        <f t="shared" si="1932"/>
        <v>行政財産</v>
      </c>
      <c r="D5316" s="7" t="str">
        <f t="shared" si="1948"/>
        <v>学校</v>
      </c>
      <c r="E5316" s="7" t="str">
        <f t="shared" si="1946"/>
        <v>大阪府富田林市錦ケ丘町</v>
      </c>
      <c r="F5316" s="7"/>
      <c r="G5316" s="7" t="str">
        <f t="shared" si="1936"/>
        <v>事業用資産</v>
      </c>
      <c r="H5316" s="7" t="str">
        <f t="shared" ref="H5316:H5379" si="1949">"棚卸以外"</f>
        <v>棚卸以外</v>
      </c>
      <c r="I5316" s="7">
        <v>60</v>
      </c>
      <c r="J5316" s="7" t="str">
        <f>"倉庫"</f>
        <v>倉庫</v>
      </c>
      <c r="K5316" s="7" t="str">
        <f>"コンクリートブロック造"</f>
        <v>コンクリートブロック造</v>
      </c>
      <c r="L5316" s="7" t="str">
        <f>"S50.03.29"</f>
        <v>S50.03.29</v>
      </c>
      <c r="M5316" s="7">
        <v>48</v>
      </c>
      <c r="N5316" s="7">
        <v>3783000</v>
      </c>
      <c r="O5316" s="7">
        <v>3782999</v>
      </c>
      <c r="P5316" s="7">
        <v>0</v>
      </c>
      <c r="Q5316" s="7" t="str">
        <f t="shared" si="1939"/>
        <v>教育庁</v>
      </c>
      <c r="R5316" s="7" t="str">
        <f t="shared" si="1947"/>
        <v>河南高等学校</v>
      </c>
    </row>
    <row r="5317" spans="1:18" s="1" customFormat="1" x14ac:dyDescent="0.45">
      <c r="A5317" s="7" t="str">
        <f t="shared" si="1944"/>
        <v>10431000000</v>
      </c>
      <c r="B5317" s="7" t="str">
        <f t="shared" si="1945"/>
        <v>河南高等学校</v>
      </c>
      <c r="C5317" s="7" t="str">
        <f t="shared" si="1932"/>
        <v>行政財産</v>
      </c>
      <c r="D5317" s="7" t="str">
        <f t="shared" si="1948"/>
        <v>学校</v>
      </c>
      <c r="E5317" s="7" t="str">
        <f t="shared" si="1946"/>
        <v>大阪府富田林市錦ケ丘町</v>
      </c>
      <c r="F5317" s="7"/>
      <c r="G5317" s="7" t="str">
        <f t="shared" si="1936"/>
        <v>事業用資産</v>
      </c>
      <c r="H5317" s="7" t="str">
        <f t="shared" si="1949"/>
        <v>棚卸以外</v>
      </c>
      <c r="I5317" s="7">
        <v>61</v>
      </c>
      <c r="J5317" s="7" t="str">
        <f>"倉庫"</f>
        <v>倉庫</v>
      </c>
      <c r="K5317" s="7" t="str">
        <f>"土蔵造(簡易建物)"</f>
        <v>土蔵造(簡易建物)</v>
      </c>
      <c r="L5317" s="7" t="str">
        <f>"S52.03.31"</f>
        <v>S52.03.31</v>
      </c>
      <c r="M5317" s="7">
        <v>24.3</v>
      </c>
      <c r="N5317" s="7">
        <v>610000</v>
      </c>
      <c r="O5317" s="7">
        <v>609999</v>
      </c>
      <c r="P5317" s="7">
        <v>0</v>
      </c>
      <c r="Q5317" s="7" t="str">
        <f t="shared" si="1939"/>
        <v>教育庁</v>
      </c>
      <c r="R5317" s="7" t="str">
        <f t="shared" si="1947"/>
        <v>河南高等学校</v>
      </c>
    </row>
    <row r="5318" spans="1:18" s="1" customFormat="1" x14ac:dyDescent="0.45">
      <c r="A5318" s="7" t="str">
        <f t="shared" si="1944"/>
        <v>10431000000</v>
      </c>
      <c r="B5318" s="7" t="str">
        <f t="shared" si="1945"/>
        <v>河南高等学校</v>
      </c>
      <c r="C5318" s="7" t="str">
        <f t="shared" si="1932"/>
        <v>行政財産</v>
      </c>
      <c r="D5318" s="7" t="str">
        <f t="shared" si="1948"/>
        <v>学校</v>
      </c>
      <c r="E5318" s="7" t="str">
        <f t="shared" si="1946"/>
        <v>大阪府富田林市錦ケ丘町</v>
      </c>
      <c r="F5318" s="7"/>
      <c r="G5318" s="7" t="str">
        <f t="shared" si="1936"/>
        <v>事業用資産</v>
      </c>
      <c r="H5318" s="7" t="str">
        <f t="shared" si="1949"/>
        <v>棚卸以外</v>
      </c>
      <c r="I5318" s="7">
        <v>64</v>
      </c>
      <c r="J5318" s="7" t="str">
        <f>"倉庫棟"</f>
        <v>倉庫棟</v>
      </c>
      <c r="K5318" s="7" t="str">
        <f>"鉄筋コンクリート造"</f>
        <v>鉄筋コンクリート造</v>
      </c>
      <c r="L5318" s="7" t="str">
        <f>"S54.03.01"</f>
        <v>S54.03.01</v>
      </c>
      <c r="M5318" s="7">
        <v>250</v>
      </c>
      <c r="N5318" s="7">
        <v>15120588</v>
      </c>
      <c r="O5318" s="7">
        <v>14751204</v>
      </c>
      <c r="P5318" s="7">
        <v>0</v>
      </c>
      <c r="Q5318" s="7" t="str">
        <f t="shared" si="1939"/>
        <v>教育庁</v>
      </c>
      <c r="R5318" s="7" t="str">
        <f t="shared" si="1947"/>
        <v>河南高等学校</v>
      </c>
    </row>
    <row r="5319" spans="1:18" s="1" customFormat="1" x14ac:dyDescent="0.45">
      <c r="A5319" s="7" t="str">
        <f t="shared" si="1944"/>
        <v>10431000000</v>
      </c>
      <c r="B5319" s="7" t="str">
        <f t="shared" si="1945"/>
        <v>河南高等学校</v>
      </c>
      <c r="C5319" s="7" t="str">
        <f t="shared" si="1932"/>
        <v>行政財産</v>
      </c>
      <c r="D5319" s="7" t="str">
        <f t="shared" si="1948"/>
        <v>学校</v>
      </c>
      <c r="E5319" s="7" t="str">
        <f t="shared" si="1946"/>
        <v>大阪府富田林市錦ケ丘町</v>
      </c>
      <c r="F5319" s="7"/>
      <c r="G5319" s="7" t="str">
        <f t="shared" si="1936"/>
        <v>事業用資産</v>
      </c>
      <c r="H5319" s="7" t="str">
        <f t="shared" si="1949"/>
        <v>棚卸以外</v>
      </c>
      <c r="I5319" s="7">
        <v>65</v>
      </c>
      <c r="J5319" s="7" t="str">
        <f>"校舎"</f>
        <v>校舎</v>
      </c>
      <c r="K5319" s="7" t="str">
        <f>"鉄筋コンクリート造"</f>
        <v>鉄筋コンクリート造</v>
      </c>
      <c r="L5319" s="7" t="str">
        <f>"S54.05.02"</f>
        <v>S54.05.02</v>
      </c>
      <c r="M5319" s="7">
        <v>665.73</v>
      </c>
      <c r="N5319" s="7">
        <v>78481971</v>
      </c>
      <c r="O5319" s="7">
        <v>69206021</v>
      </c>
      <c r="P5319" s="7">
        <v>0</v>
      </c>
      <c r="Q5319" s="7" t="str">
        <f t="shared" si="1939"/>
        <v>教育庁</v>
      </c>
      <c r="R5319" s="7" t="str">
        <f t="shared" si="1947"/>
        <v>河南高等学校</v>
      </c>
    </row>
    <row r="5320" spans="1:18" s="1" customFormat="1" x14ac:dyDescent="0.45">
      <c r="A5320" s="7" t="str">
        <f t="shared" si="1944"/>
        <v>10431000000</v>
      </c>
      <c r="B5320" s="7" t="str">
        <f t="shared" si="1945"/>
        <v>河南高等学校</v>
      </c>
      <c r="C5320" s="7" t="str">
        <f t="shared" si="1932"/>
        <v>行政財産</v>
      </c>
      <c r="D5320" s="7" t="str">
        <f t="shared" si="1948"/>
        <v>学校</v>
      </c>
      <c r="E5320" s="7" t="str">
        <f t="shared" si="1946"/>
        <v>大阪府富田林市錦ケ丘町</v>
      </c>
      <c r="F5320" s="7"/>
      <c r="G5320" s="7" t="str">
        <f t="shared" si="1936"/>
        <v>事業用資産</v>
      </c>
      <c r="H5320" s="7" t="str">
        <f t="shared" si="1949"/>
        <v>棚卸以外</v>
      </c>
      <c r="I5320" s="7">
        <v>66</v>
      </c>
      <c r="J5320" s="7" t="str">
        <f>"渡り廊下"</f>
        <v>渡り廊下</v>
      </c>
      <c r="K5320" s="7" t="str">
        <f>"鉄筋コンクリート造"</f>
        <v>鉄筋コンクリート造</v>
      </c>
      <c r="L5320" s="7" t="str">
        <f>"S54.05.02"</f>
        <v>S54.05.02</v>
      </c>
      <c r="M5320" s="7">
        <v>78</v>
      </c>
      <c r="N5320" s="7">
        <v>10459000</v>
      </c>
      <c r="O5320" s="7">
        <v>10371157</v>
      </c>
      <c r="P5320" s="7">
        <v>0</v>
      </c>
      <c r="Q5320" s="7" t="str">
        <f t="shared" si="1939"/>
        <v>教育庁</v>
      </c>
      <c r="R5320" s="7" t="str">
        <f t="shared" si="1947"/>
        <v>河南高等学校</v>
      </c>
    </row>
    <row r="5321" spans="1:18" s="1" customFormat="1" x14ac:dyDescent="0.45">
      <c r="A5321" s="7" t="str">
        <f t="shared" si="1944"/>
        <v>10431000000</v>
      </c>
      <c r="B5321" s="7" t="str">
        <f t="shared" si="1945"/>
        <v>河南高等学校</v>
      </c>
      <c r="C5321" s="7" t="str">
        <f t="shared" si="1932"/>
        <v>行政財産</v>
      </c>
      <c r="D5321" s="7" t="str">
        <f t="shared" si="1948"/>
        <v>学校</v>
      </c>
      <c r="E5321" s="7" t="str">
        <f t="shared" si="1946"/>
        <v>大阪府富田林市錦ケ丘町</v>
      </c>
      <c r="F5321" s="7"/>
      <c r="G5321" s="7" t="str">
        <f t="shared" si="1936"/>
        <v>事業用資産</v>
      </c>
      <c r="H5321" s="7" t="str">
        <f t="shared" si="1949"/>
        <v>棚卸以外</v>
      </c>
      <c r="I5321" s="7">
        <v>68</v>
      </c>
      <c r="J5321" s="7" t="str">
        <f>"体育館"</f>
        <v>体育館</v>
      </c>
      <c r="K5321" s="7" t="str">
        <f>"鉄筋コンクリート造"</f>
        <v>鉄筋コンクリート造</v>
      </c>
      <c r="L5321" s="7" t="str">
        <f>"S56.02.06"</f>
        <v>S56.02.06</v>
      </c>
      <c r="M5321" s="7">
        <v>3031.24</v>
      </c>
      <c r="N5321" s="7">
        <v>468650540</v>
      </c>
      <c r="O5321" s="7">
        <v>360975440</v>
      </c>
      <c r="P5321" s="7">
        <v>0</v>
      </c>
      <c r="Q5321" s="7" t="str">
        <f t="shared" si="1939"/>
        <v>教育庁</v>
      </c>
      <c r="R5321" s="7" t="str">
        <f t="shared" si="1947"/>
        <v>河南高等学校</v>
      </c>
    </row>
    <row r="5322" spans="1:18" s="1" customFormat="1" x14ac:dyDescent="0.45">
      <c r="A5322" s="7" t="str">
        <f t="shared" si="1944"/>
        <v>10431000000</v>
      </c>
      <c r="B5322" s="7" t="str">
        <f t="shared" si="1945"/>
        <v>河南高等学校</v>
      </c>
      <c r="C5322" s="7" t="str">
        <f t="shared" si="1932"/>
        <v>行政財産</v>
      </c>
      <c r="D5322" s="7" t="str">
        <f t="shared" si="1948"/>
        <v>学校</v>
      </c>
      <c r="E5322" s="7" t="str">
        <f t="shared" si="1946"/>
        <v>大阪府富田林市錦ケ丘町</v>
      </c>
      <c r="F5322" s="7"/>
      <c r="G5322" s="7" t="str">
        <f t="shared" si="1936"/>
        <v>事業用資産</v>
      </c>
      <c r="H5322" s="7" t="str">
        <f t="shared" si="1949"/>
        <v>棚卸以外</v>
      </c>
      <c r="I5322" s="7">
        <v>69</v>
      </c>
      <c r="J5322" s="7" t="str">
        <f>"渡り廊下"</f>
        <v>渡り廊下</v>
      </c>
      <c r="K5322" s="7" t="str">
        <f>"鉄筋コンクリート造"</f>
        <v>鉄筋コンクリート造</v>
      </c>
      <c r="L5322" s="7" t="str">
        <f>"S56.02.06"</f>
        <v>S56.02.06</v>
      </c>
      <c r="M5322" s="7">
        <v>163.80000000000001</v>
      </c>
      <c r="N5322" s="7">
        <v>12908000</v>
      </c>
      <c r="O5322" s="7">
        <v>12717773</v>
      </c>
      <c r="P5322" s="7">
        <v>0</v>
      </c>
      <c r="Q5322" s="7" t="str">
        <f t="shared" si="1939"/>
        <v>教育庁</v>
      </c>
      <c r="R5322" s="7" t="str">
        <f t="shared" si="1947"/>
        <v>河南高等学校</v>
      </c>
    </row>
    <row r="5323" spans="1:18" s="1" customFormat="1" x14ac:dyDescent="0.45">
      <c r="A5323" s="7" t="str">
        <f t="shared" si="1944"/>
        <v>10431000000</v>
      </c>
      <c r="B5323" s="7" t="str">
        <f t="shared" si="1945"/>
        <v>河南高等学校</v>
      </c>
      <c r="C5323" s="7" t="str">
        <f t="shared" si="1932"/>
        <v>行政財産</v>
      </c>
      <c r="D5323" s="7" t="str">
        <f t="shared" si="1948"/>
        <v>学校</v>
      </c>
      <c r="E5323" s="7" t="str">
        <f t="shared" si="1946"/>
        <v>大阪府富田林市錦ケ丘町</v>
      </c>
      <c r="F5323" s="7"/>
      <c r="G5323" s="7" t="str">
        <f t="shared" si="1936"/>
        <v>事業用資産</v>
      </c>
      <c r="H5323" s="7" t="str">
        <f t="shared" si="1949"/>
        <v>棚卸以外</v>
      </c>
      <c r="I5323" s="7">
        <v>70</v>
      </c>
      <c r="J5323" s="7" t="str">
        <f>"倉　庫"</f>
        <v>倉　庫</v>
      </c>
      <c r="K5323" s="7" t="str">
        <f>"鉄骨造"</f>
        <v>鉄骨造</v>
      </c>
      <c r="L5323" s="7" t="str">
        <f>"S63.03.31"</f>
        <v>S63.03.31</v>
      </c>
      <c r="M5323" s="7">
        <v>40.5</v>
      </c>
      <c r="N5323" s="7">
        <v>3153000</v>
      </c>
      <c r="O5323" s="7">
        <v>3152999</v>
      </c>
      <c r="P5323" s="7">
        <v>0</v>
      </c>
      <c r="Q5323" s="7" t="str">
        <f t="shared" si="1939"/>
        <v>教育庁</v>
      </c>
      <c r="R5323" s="7" t="str">
        <f t="shared" si="1947"/>
        <v>河南高等学校</v>
      </c>
    </row>
    <row r="5324" spans="1:18" s="1" customFormat="1" x14ac:dyDescent="0.45">
      <c r="A5324" s="7" t="str">
        <f t="shared" si="1944"/>
        <v>10431000000</v>
      </c>
      <c r="B5324" s="7" t="str">
        <f t="shared" si="1945"/>
        <v>河南高等学校</v>
      </c>
      <c r="C5324" s="7" t="str">
        <f t="shared" si="1932"/>
        <v>行政財産</v>
      </c>
      <c r="D5324" s="7" t="str">
        <f t="shared" si="1948"/>
        <v>学校</v>
      </c>
      <c r="E5324" s="7" t="str">
        <f t="shared" si="1946"/>
        <v>大阪府富田林市錦ケ丘町</v>
      </c>
      <c r="F5324" s="7"/>
      <c r="G5324" s="7" t="str">
        <f t="shared" si="1936"/>
        <v>事業用資産</v>
      </c>
      <c r="H5324" s="7" t="str">
        <f t="shared" si="1949"/>
        <v>棚卸以外</v>
      </c>
      <c r="I5324" s="7">
        <v>71</v>
      </c>
      <c r="J5324" s="7" t="str">
        <f>"プール附属棟"</f>
        <v>プール附属棟</v>
      </c>
      <c r="K5324" s="7" t="str">
        <f>"鉄筋コンクリート造"</f>
        <v>鉄筋コンクリート造</v>
      </c>
      <c r="L5324" s="7" t="str">
        <f>"H04.03.27"</f>
        <v>H04.03.27</v>
      </c>
      <c r="M5324" s="7">
        <v>138</v>
      </c>
      <c r="N5324" s="7">
        <v>48174470</v>
      </c>
      <c r="O5324" s="7">
        <v>31634271</v>
      </c>
      <c r="P5324" s="7">
        <v>0</v>
      </c>
      <c r="Q5324" s="7" t="str">
        <f t="shared" si="1939"/>
        <v>教育庁</v>
      </c>
      <c r="R5324" s="7" t="str">
        <f t="shared" si="1947"/>
        <v>河南高等学校</v>
      </c>
    </row>
    <row r="5325" spans="1:18" s="1" customFormat="1" x14ac:dyDescent="0.45">
      <c r="A5325" s="7" t="str">
        <f t="shared" si="1944"/>
        <v>10431000000</v>
      </c>
      <c r="B5325" s="7" t="str">
        <f t="shared" si="1945"/>
        <v>河南高等学校</v>
      </c>
      <c r="C5325" s="7" t="str">
        <f t="shared" ref="C5325:C5388" si="1950">"行政財産"</f>
        <v>行政財産</v>
      </c>
      <c r="D5325" s="7" t="str">
        <f t="shared" si="1948"/>
        <v>学校</v>
      </c>
      <c r="E5325" s="7" t="str">
        <f t="shared" si="1946"/>
        <v>大阪府富田林市錦ケ丘町</v>
      </c>
      <c r="F5325" s="7"/>
      <c r="G5325" s="7" t="str">
        <f t="shared" si="1936"/>
        <v>事業用資産</v>
      </c>
      <c r="H5325" s="7" t="str">
        <f t="shared" si="1949"/>
        <v>棚卸以外</v>
      </c>
      <c r="I5325" s="7">
        <v>72</v>
      </c>
      <c r="J5325" s="7" t="str">
        <f>"プール倉庫"</f>
        <v>プール倉庫</v>
      </c>
      <c r="K5325" s="7" t="str">
        <f>"鉄筋コンクリート造"</f>
        <v>鉄筋コンクリート造</v>
      </c>
      <c r="L5325" s="7" t="str">
        <f>"H04.03.27"</f>
        <v>H04.03.27</v>
      </c>
      <c r="M5325" s="7">
        <v>81.599999999999994</v>
      </c>
      <c r="N5325" s="7">
        <v>5511620</v>
      </c>
      <c r="O5325" s="7">
        <v>4391175</v>
      </c>
      <c r="P5325" s="7">
        <v>0</v>
      </c>
      <c r="Q5325" s="7" t="str">
        <f t="shared" si="1939"/>
        <v>教育庁</v>
      </c>
      <c r="R5325" s="7" t="str">
        <f t="shared" si="1947"/>
        <v>河南高等学校</v>
      </c>
    </row>
    <row r="5326" spans="1:18" s="1" customFormat="1" x14ac:dyDescent="0.45">
      <c r="A5326" s="7" t="str">
        <f t="shared" ref="A5326:A5340" si="1951">"10432000000"</f>
        <v>10432000000</v>
      </c>
      <c r="B5326" s="7" t="str">
        <f t="shared" ref="B5326:B5340" si="1952">"富田林高等学校"</f>
        <v>富田林高等学校</v>
      </c>
      <c r="C5326" s="7" t="str">
        <f t="shared" si="1950"/>
        <v>行政財産</v>
      </c>
      <c r="D5326" s="7" t="str">
        <f t="shared" si="1948"/>
        <v>学校</v>
      </c>
      <c r="E5326" s="7" t="str">
        <f t="shared" ref="E5326:E5340" si="1953">"大阪府富田林市谷川町"</f>
        <v>大阪府富田林市谷川町</v>
      </c>
      <c r="F5326" s="7"/>
      <c r="G5326" s="7" t="str">
        <f t="shared" si="1936"/>
        <v>事業用資産</v>
      </c>
      <c r="H5326" s="7" t="str">
        <f t="shared" si="1949"/>
        <v>棚卸以外</v>
      </c>
      <c r="I5326" s="7">
        <v>10</v>
      </c>
      <c r="J5326" s="7" t="str">
        <f>"クラブ部室"</f>
        <v>クラブ部室</v>
      </c>
      <c r="K5326" s="7" t="str">
        <f>"コンクリートブロック造"</f>
        <v>コンクリートブロック造</v>
      </c>
      <c r="L5326" s="7" t="str">
        <f>"S37.03.20"</f>
        <v>S37.03.20</v>
      </c>
      <c r="M5326" s="7">
        <v>84.72</v>
      </c>
      <c r="N5326" s="7">
        <v>807000</v>
      </c>
      <c r="O5326" s="7">
        <v>806999</v>
      </c>
      <c r="P5326" s="7">
        <v>0</v>
      </c>
      <c r="Q5326" s="7" t="str">
        <f t="shared" si="1939"/>
        <v>教育庁</v>
      </c>
      <c r="R5326" s="7" t="str">
        <f t="shared" ref="R5326:R5340" si="1954">"富田林高等学校"</f>
        <v>富田林高等学校</v>
      </c>
    </row>
    <row r="5327" spans="1:18" s="1" customFormat="1" x14ac:dyDescent="0.45">
      <c r="A5327" s="7" t="str">
        <f t="shared" si="1951"/>
        <v>10432000000</v>
      </c>
      <c r="B5327" s="7" t="str">
        <f t="shared" si="1952"/>
        <v>富田林高等学校</v>
      </c>
      <c r="C5327" s="7" t="str">
        <f t="shared" si="1950"/>
        <v>行政財産</v>
      </c>
      <c r="D5327" s="7" t="str">
        <f t="shared" si="1948"/>
        <v>学校</v>
      </c>
      <c r="E5327" s="7" t="str">
        <f t="shared" si="1953"/>
        <v>大阪府富田林市谷川町</v>
      </c>
      <c r="F5327" s="7"/>
      <c r="G5327" s="7" t="str">
        <f t="shared" si="1936"/>
        <v>事業用資産</v>
      </c>
      <c r="H5327" s="7" t="str">
        <f t="shared" si="1949"/>
        <v>棚卸以外</v>
      </c>
      <c r="I5327" s="7">
        <v>44</v>
      </c>
      <c r="J5327" s="7" t="str">
        <f>"プール附属室"</f>
        <v>プール附属室</v>
      </c>
      <c r="K5327" s="7" t="str">
        <f>"鉄筋コンクリート造"</f>
        <v>鉄筋コンクリート造</v>
      </c>
      <c r="L5327" s="7" t="str">
        <f>"S47.03.28"</f>
        <v>S47.03.28</v>
      </c>
      <c r="M5327" s="7">
        <v>140</v>
      </c>
      <c r="N5327" s="7">
        <v>7859507</v>
      </c>
      <c r="O5327" s="7">
        <v>7807191</v>
      </c>
      <c r="P5327" s="7">
        <v>0</v>
      </c>
      <c r="Q5327" s="7" t="str">
        <f t="shared" si="1939"/>
        <v>教育庁</v>
      </c>
      <c r="R5327" s="7" t="str">
        <f t="shared" si="1954"/>
        <v>富田林高等学校</v>
      </c>
    </row>
    <row r="5328" spans="1:18" s="1" customFormat="1" ht="26.4" x14ac:dyDescent="0.45">
      <c r="A5328" s="7" t="str">
        <f t="shared" si="1951"/>
        <v>10432000000</v>
      </c>
      <c r="B5328" s="7" t="str">
        <f t="shared" si="1952"/>
        <v>富田林高等学校</v>
      </c>
      <c r="C5328" s="7" t="str">
        <f t="shared" si="1950"/>
        <v>行政財産</v>
      </c>
      <c r="D5328" s="7" t="str">
        <f t="shared" si="1948"/>
        <v>学校</v>
      </c>
      <c r="E5328" s="7" t="str">
        <f t="shared" si="1953"/>
        <v>大阪府富田林市谷川町</v>
      </c>
      <c r="F5328" s="7"/>
      <c r="G5328" s="7" t="str">
        <f t="shared" si="1936"/>
        <v>事業用資産</v>
      </c>
      <c r="H5328" s="7" t="str">
        <f t="shared" si="1949"/>
        <v>棚卸以外</v>
      </c>
      <c r="I5328" s="7">
        <v>61</v>
      </c>
      <c r="J5328" s="7" t="str">
        <f>"２号館（西館）"</f>
        <v>２号館（西館）</v>
      </c>
      <c r="K5328" s="7" t="str">
        <f>"鉄骨鉄筋コンクリート造"</f>
        <v>鉄骨鉄筋コンクリート造</v>
      </c>
      <c r="L5328" s="7" t="str">
        <f>"S58.02.28"</f>
        <v>S58.02.28</v>
      </c>
      <c r="M5328" s="7">
        <v>2256.8200000000002</v>
      </c>
      <c r="N5328" s="7">
        <v>420085932</v>
      </c>
      <c r="O5328" s="7">
        <v>309906667</v>
      </c>
      <c r="P5328" s="7">
        <v>0</v>
      </c>
      <c r="Q5328" s="7" t="str">
        <f t="shared" si="1939"/>
        <v>教育庁</v>
      </c>
      <c r="R5328" s="7" t="str">
        <f t="shared" si="1954"/>
        <v>富田林高等学校</v>
      </c>
    </row>
    <row r="5329" spans="1:18" s="1" customFormat="1" ht="26.4" x14ac:dyDescent="0.45">
      <c r="A5329" s="7" t="str">
        <f t="shared" si="1951"/>
        <v>10432000000</v>
      </c>
      <c r="B5329" s="7" t="str">
        <f t="shared" si="1952"/>
        <v>富田林高等学校</v>
      </c>
      <c r="C5329" s="7" t="str">
        <f t="shared" si="1950"/>
        <v>行政財産</v>
      </c>
      <c r="D5329" s="7" t="str">
        <f t="shared" si="1948"/>
        <v>学校</v>
      </c>
      <c r="E5329" s="7" t="str">
        <f t="shared" si="1953"/>
        <v>大阪府富田林市谷川町</v>
      </c>
      <c r="F5329" s="7"/>
      <c r="G5329" s="7" t="str">
        <f t="shared" si="1936"/>
        <v>事業用資産</v>
      </c>
      <c r="H5329" s="7" t="str">
        <f t="shared" si="1949"/>
        <v>棚卸以外</v>
      </c>
      <c r="I5329" s="7">
        <v>62</v>
      </c>
      <c r="J5329" s="7" t="str">
        <f>"倉庫(浄化槽を撤去後転用）"</f>
        <v>倉庫(浄化槽を撤去後転用）</v>
      </c>
      <c r="K5329" s="7" t="str">
        <f>"鉄骨鉄筋コンクリート造"</f>
        <v>鉄骨鉄筋コンクリート造</v>
      </c>
      <c r="L5329" s="7" t="str">
        <f>"S58.02.28"</f>
        <v>S58.02.28</v>
      </c>
      <c r="M5329" s="7">
        <v>35.28</v>
      </c>
      <c r="N5329" s="7">
        <v>20159325</v>
      </c>
      <c r="O5329" s="7">
        <v>20159324</v>
      </c>
      <c r="P5329" s="7">
        <v>0</v>
      </c>
      <c r="Q5329" s="7" t="str">
        <f t="shared" si="1939"/>
        <v>教育庁</v>
      </c>
      <c r="R5329" s="7" t="str">
        <f t="shared" si="1954"/>
        <v>富田林高等学校</v>
      </c>
    </row>
    <row r="5330" spans="1:18" s="1" customFormat="1" x14ac:dyDescent="0.45">
      <c r="A5330" s="7" t="str">
        <f t="shared" si="1951"/>
        <v>10432000000</v>
      </c>
      <c r="B5330" s="7" t="str">
        <f t="shared" si="1952"/>
        <v>富田林高等学校</v>
      </c>
      <c r="C5330" s="7" t="str">
        <f t="shared" si="1950"/>
        <v>行政財産</v>
      </c>
      <c r="D5330" s="7" t="str">
        <f t="shared" si="1948"/>
        <v>学校</v>
      </c>
      <c r="E5330" s="7" t="str">
        <f t="shared" si="1953"/>
        <v>大阪府富田林市谷川町</v>
      </c>
      <c r="F5330" s="7"/>
      <c r="G5330" s="7" t="str">
        <f t="shared" si="1936"/>
        <v>事業用資産</v>
      </c>
      <c r="H5330" s="7" t="str">
        <f t="shared" si="1949"/>
        <v>棚卸以外</v>
      </c>
      <c r="I5330" s="7">
        <v>66</v>
      </c>
      <c r="J5330" s="7" t="str">
        <f>"特別教室棟"</f>
        <v>特別教室棟</v>
      </c>
      <c r="K5330" s="7" t="str">
        <f t="shared" ref="K5330:K5335" si="1955">"鉄筋コンクリート造"</f>
        <v>鉄筋コンクリート造</v>
      </c>
      <c r="L5330" s="7" t="str">
        <f>"H08.07.10"</f>
        <v>H08.07.10</v>
      </c>
      <c r="M5330" s="7">
        <v>3431.16</v>
      </c>
      <c r="N5330" s="7">
        <v>693835377</v>
      </c>
      <c r="O5330" s="7">
        <v>393110334</v>
      </c>
      <c r="P5330" s="7">
        <v>0</v>
      </c>
      <c r="Q5330" s="7" t="str">
        <f t="shared" si="1939"/>
        <v>教育庁</v>
      </c>
      <c r="R5330" s="7" t="str">
        <f t="shared" si="1954"/>
        <v>富田林高等学校</v>
      </c>
    </row>
    <row r="5331" spans="1:18" s="1" customFormat="1" x14ac:dyDescent="0.45">
      <c r="A5331" s="7" t="str">
        <f t="shared" si="1951"/>
        <v>10432000000</v>
      </c>
      <c r="B5331" s="7" t="str">
        <f t="shared" si="1952"/>
        <v>富田林高等学校</v>
      </c>
      <c r="C5331" s="7" t="str">
        <f t="shared" si="1950"/>
        <v>行政財産</v>
      </c>
      <c r="D5331" s="7" t="str">
        <f t="shared" si="1948"/>
        <v>学校</v>
      </c>
      <c r="E5331" s="7" t="str">
        <f t="shared" si="1953"/>
        <v>大阪府富田林市谷川町</v>
      </c>
      <c r="F5331" s="7"/>
      <c r="G5331" s="7" t="str">
        <f t="shared" si="1936"/>
        <v>事業用資産</v>
      </c>
      <c r="H5331" s="7" t="str">
        <f t="shared" si="1949"/>
        <v>棚卸以外</v>
      </c>
      <c r="I5331" s="7">
        <v>67</v>
      </c>
      <c r="J5331" s="7" t="str">
        <f>"体育館棟"</f>
        <v>体育館棟</v>
      </c>
      <c r="K5331" s="7" t="str">
        <f t="shared" si="1955"/>
        <v>鉄筋コンクリート造</v>
      </c>
      <c r="L5331" s="7" t="str">
        <f>"H08.07.10"</f>
        <v>H08.07.10</v>
      </c>
      <c r="M5331" s="7">
        <v>3082</v>
      </c>
      <c r="N5331" s="7">
        <v>661524102</v>
      </c>
      <c r="O5331" s="7">
        <v>354858353</v>
      </c>
      <c r="P5331" s="7">
        <v>0</v>
      </c>
      <c r="Q5331" s="7" t="str">
        <f t="shared" si="1939"/>
        <v>教育庁</v>
      </c>
      <c r="R5331" s="7" t="str">
        <f t="shared" si="1954"/>
        <v>富田林高等学校</v>
      </c>
    </row>
    <row r="5332" spans="1:18" s="1" customFormat="1" x14ac:dyDescent="0.45">
      <c r="A5332" s="7" t="str">
        <f t="shared" si="1951"/>
        <v>10432000000</v>
      </c>
      <c r="B5332" s="7" t="str">
        <f t="shared" si="1952"/>
        <v>富田林高等学校</v>
      </c>
      <c r="C5332" s="7" t="str">
        <f t="shared" si="1950"/>
        <v>行政財産</v>
      </c>
      <c r="D5332" s="7" t="str">
        <f t="shared" si="1948"/>
        <v>学校</v>
      </c>
      <c r="E5332" s="7" t="str">
        <f t="shared" si="1953"/>
        <v>大阪府富田林市谷川町</v>
      </c>
      <c r="F5332" s="7"/>
      <c r="G5332" s="7" t="str">
        <f t="shared" si="1936"/>
        <v>事業用資産</v>
      </c>
      <c r="H5332" s="7" t="str">
        <f t="shared" si="1949"/>
        <v>棚卸以外</v>
      </c>
      <c r="I5332" s="7">
        <v>68</v>
      </c>
      <c r="J5332" s="7" t="str">
        <f>"普通教育棟（南館）"</f>
        <v>普通教育棟（南館）</v>
      </c>
      <c r="K5332" s="7" t="str">
        <f t="shared" si="1955"/>
        <v>鉄筋コンクリート造</v>
      </c>
      <c r="L5332" s="7" t="str">
        <f>"H11.07.16"</f>
        <v>H11.07.16</v>
      </c>
      <c r="M5332" s="7">
        <v>3995.66</v>
      </c>
      <c r="N5332" s="7">
        <v>802161565</v>
      </c>
      <c r="O5332" s="7">
        <v>382230058</v>
      </c>
      <c r="P5332" s="7">
        <v>0</v>
      </c>
      <c r="Q5332" s="7" t="str">
        <f t="shared" si="1939"/>
        <v>教育庁</v>
      </c>
      <c r="R5332" s="7" t="str">
        <f t="shared" si="1954"/>
        <v>富田林高等学校</v>
      </c>
    </row>
    <row r="5333" spans="1:18" s="1" customFormat="1" x14ac:dyDescent="0.45">
      <c r="A5333" s="7" t="str">
        <f t="shared" si="1951"/>
        <v>10432000000</v>
      </c>
      <c r="B5333" s="7" t="str">
        <f t="shared" si="1952"/>
        <v>富田林高等学校</v>
      </c>
      <c r="C5333" s="7" t="str">
        <f t="shared" si="1950"/>
        <v>行政財産</v>
      </c>
      <c r="D5333" s="7" t="str">
        <f t="shared" si="1948"/>
        <v>学校</v>
      </c>
      <c r="E5333" s="7" t="str">
        <f t="shared" si="1953"/>
        <v>大阪府富田林市谷川町</v>
      </c>
      <c r="F5333" s="7"/>
      <c r="G5333" s="7" t="str">
        <f t="shared" si="1936"/>
        <v>事業用資産</v>
      </c>
      <c r="H5333" s="7" t="str">
        <f t="shared" si="1949"/>
        <v>棚卸以外</v>
      </c>
      <c r="I5333" s="7">
        <v>69</v>
      </c>
      <c r="J5333" s="7" t="str">
        <f>"連絡棟"</f>
        <v>連絡棟</v>
      </c>
      <c r="K5333" s="7" t="str">
        <f t="shared" si="1955"/>
        <v>鉄筋コンクリート造</v>
      </c>
      <c r="L5333" s="7" t="str">
        <f>"H11.07.16"</f>
        <v>H11.07.16</v>
      </c>
      <c r="M5333" s="7">
        <v>302.81</v>
      </c>
      <c r="N5333" s="7">
        <v>76552000</v>
      </c>
      <c r="O5333" s="7">
        <v>44188696</v>
      </c>
      <c r="P5333" s="7">
        <v>0</v>
      </c>
      <c r="Q5333" s="7" t="str">
        <f t="shared" si="1939"/>
        <v>教育庁</v>
      </c>
      <c r="R5333" s="7" t="str">
        <f t="shared" si="1954"/>
        <v>富田林高等学校</v>
      </c>
    </row>
    <row r="5334" spans="1:18" s="1" customFormat="1" x14ac:dyDescent="0.45">
      <c r="A5334" s="7" t="str">
        <f t="shared" si="1951"/>
        <v>10432000000</v>
      </c>
      <c r="B5334" s="7" t="str">
        <f t="shared" si="1952"/>
        <v>富田林高等学校</v>
      </c>
      <c r="C5334" s="7" t="str">
        <f t="shared" si="1950"/>
        <v>行政財産</v>
      </c>
      <c r="D5334" s="7" t="str">
        <f t="shared" si="1948"/>
        <v>学校</v>
      </c>
      <c r="E5334" s="7" t="str">
        <f t="shared" si="1953"/>
        <v>大阪府富田林市谷川町</v>
      </c>
      <c r="F5334" s="7"/>
      <c r="G5334" s="7" t="str">
        <f t="shared" si="1936"/>
        <v>事業用資産</v>
      </c>
      <c r="H5334" s="7" t="str">
        <f t="shared" si="1949"/>
        <v>棚卸以外</v>
      </c>
      <c r="I5334" s="7">
        <v>70</v>
      </c>
      <c r="J5334" s="7" t="str">
        <f>"多目的ホール"</f>
        <v>多目的ホール</v>
      </c>
      <c r="K5334" s="7" t="str">
        <f t="shared" si="1955"/>
        <v>鉄筋コンクリート造</v>
      </c>
      <c r="L5334" s="7" t="str">
        <f>"H11.07.16"</f>
        <v>H11.07.16</v>
      </c>
      <c r="M5334" s="7">
        <v>331</v>
      </c>
      <c r="N5334" s="7">
        <v>91136739</v>
      </c>
      <c r="O5334" s="7">
        <v>42722186</v>
      </c>
      <c r="P5334" s="7">
        <v>0</v>
      </c>
      <c r="Q5334" s="7" t="str">
        <f t="shared" si="1939"/>
        <v>教育庁</v>
      </c>
      <c r="R5334" s="7" t="str">
        <f t="shared" si="1954"/>
        <v>富田林高等学校</v>
      </c>
    </row>
    <row r="5335" spans="1:18" s="1" customFormat="1" x14ac:dyDescent="0.45">
      <c r="A5335" s="7" t="str">
        <f t="shared" si="1951"/>
        <v>10432000000</v>
      </c>
      <c r="B5335" s="7" t="str">
        <f t="shared" si="1952"/>
        <v>富田林高等学校</v>
      </c>
      <c r="C5335" s="7" t="str">
        <f t="shared" si="1950"/>
        <v>行政財産</v>
      </c>
      <c r="D5335" s="7" t="str">
        <f t="shared" si="1948"/>
        <v>学校</v>
      </c>
      <c r="E5335" s="7" t="str">
        <f t="shared" si="1953"/>
        <v>大阪府富田林市谷川町</v>
      </c>
      <c r="F5335" s="7"/>
      <c r="G5335" s="7" t="str">
        <f t="shared" ref="G5335:G5398" si="1956">"事業用資産"</f>
        <v>事業用資産</v>
      </c>
      <c r="H5335" s="7" t="str">
        <f t="shared" si="1949"/>
        <v>棚卸以外</v>
      </c>
      <c r="I5335" s="7">
        <v>71</v>
      </c>
      <c r="J5335" s="7" t="str">
        <f>"倉庫"</f>
        <v>倉庫</v>
      </c>
      <c r="K5335" s="7" t="str">
        <f t="shared" si="1955"/>
        <v>鉄筋コンクリート造</v>
      </c>
      <c r="L5335" s="7" t="str">
        <f>"H11.07.16"</f>
        <v>H11.07.16</v>
      </c>
      <c r="M5335" s="7">
        <v>201.6</v>
      </c>
      <c r="N5335" s="7">
        <v>23300000</v>
      </c>
      <c r="O5335" s="7">
        <v>14511548</v>
      </c>
      <c r="P5335" s="7">
        <v>0</v>
      </c>
      <c r="Q5335" s="7" t="str">
        <f t="shared" si="1939"/>
        <v>教育庁</v>
      </c>
      <c r="R5335" s="7" t="str">
        <f t="shared" si="1954"/>
        <v>富田林高等学校</v>
      </c>
    </row>
    <row r="5336" spans="1:18" s="1" customFormat="1" x14ac:dyDescent="0.45">
      <c r="A5336" s="7" t="str">
        <f t="shared" si="1951"/>
        <v>10432000000</v>
      </c>
      <c r="B5336" s="7" t="str">
        <f t="shared" si="1952"/>
        <v>富田林高等学校</v>
      </c>
      <c r="C5336" s="7" t="str">
        <f t="shared" si="1950"/>
        <v>行政財産</v>
      </c>
      <c r="D5336" s="7" t="str">
        <f t="shared" si="1948"/>
        <v>学校</v>
      </c>
      <c r="E5336" s="7" t="str">
        <f t="shared" si="1953"/>
        <v>大阪府富田林市谷川町</v>
      </c>
      <c r="F5336" s="7"/>
      <c r="G5336" s="7" t="str">
        <f t="shared" si="1956"/>
        <v>事業用資産</v>
      </c>
      <c r="H5336" s="7" t="str">
        <f t="shared" si="1949"/>
        <v>棚卸以外</v>
      </c>
      <c r="I5336" s="7">
        <v>73</v>
      </c>
      <c r="J5336" s="7" t="str">
        <f>"同窓会館"</f>
        <v>同窓会館</v>
      </c>
      <c r="K5336" s="7" t="str">
        <f>"木造"</f>
        <v>木造</v>
      </c>
      <c r="L5336" s="7" t="str">
        <f>"H23.06.30"</f>
        <v>H23.06.30</v>
      </c>
      <c r="M5336" s="7">
        <v>201.41</v>
      </c>
      <c r="N5336" s="7">
        <v>58938927</v>
      </c>
      <c r="O5336" s="7">
        <v>31971750</v>
      </c>
      <c r="P5336" s="7">
        <v>0</v>
      </c>
      <c r="Q5336" s="7" t="str">
        <f t="shared" si="1939"/>
        <v>教育庁</v>
      </c>
      <c r="R5336" s="7" t="str">
        <f t="shared" si="1954"/>
        <v>富田林高等学校</v>
      </c>
    </row>
    <row r="5337" spans="1:18" s="1" customFormat="1" x14ac:dyDescent="0.45">
      <c r="A5337" s="7" t="str">
        <f t="shared" si="1951"/>
        <v>10432000000</v>
      </c>
      <c r="B5337" s="7" t="str">
        <f t="shared" si="1952"/>
        <v>富田林高等学校</v>
      </c>
      <c r="C5337" s="7" t="str">
        <f t="shared" si="1950"/>
        <v>行政財産</v>
      </c>
      <c r="D5337" s="7" t="str">
        <f t="shared" si="1948"/>
        <v>学校</v>
      </c>
      <c r="E5337" s="7" t="str">
        <f t="shared" si="1953"/>
        <v>大阪府富田林市谷川町</v>
      </c>
      <c r="F5337" s="7"/>
      <c r="G5337" s="7" t="str">
        <f t="shared" si="1956"/>
        <v>事業用資産</v>
      </c>
      <c r="H5337" s="7" t="str">
        <f t="shared" si="1949"/>
        <v>棚卸以外</v>
      </c>
      <c r="I5337" s="7">
        <v>74</v>
      </c>
      <c r="J5337" s="7" t="str">
        <f>"中高一貫校記念館"</f>
        <v>中高一貫校記念館</v>
      </c>
      <c r="K5337" s="7" t="str">
        <f>"鉄骨造"</f>
        <v>鉄骨造</v>
      </c>
      <c r="L5337" s="7" t="str">
        <f>"H30.10.01"</f>
        <v>H30.10.01</v>
      </c>
      <c r="M5337" s="7">
        <v>927.58</v>
      </c>
      <c r="N5337" s="7">
        <v>467048732</v>
      </c>
      <c r="O5337" s="7">
        <v>86138250</v>
      </c>
      <c r="P5337" s="7">
        <v>0</v>
      </c>
      <c r="Q5337" s="7" t="str">
        <f t="shared" si="1939"/>
        <v>教育庁</v>
      </c>
      <c r="R5337" s="7" t="str">
        <f t="shared" si="1954"/>
        <v>富田林高等学校</v>
      </c>
    </row>
    <row r="5338" spans="1:18" s="1" customFormat="1" x14ac:dyDescent="0.45">
      <c r="A5338" s="7" t="str">
        <f t="shared" si="1951"/>
        <v>10432000000</v>
      </c>
      <c r="B5338" s="7" t="str">
        <f t="shared" si="1952"/>
        <v>富田林高等学校</v>
      </c>
      <c r="C5338" s="7" t="str">
        <f t="shared" si="1950"/>
        <v>行政財産</v>
      </c>
      <c r="D5338" s="7" t="str">
        <f t="shared" si="1948"/>
        <v>学校</v>
      </c>
      <c r="E5338" s="7" t="str">
        <f t="shared" si="1953"/>
        <v>大阪府富田林市谷川町</v>
      </c>
      <c r="F5338" s="7"/>
      <c r="G5338" s="7" t="str">
        <f t="shared" si="1956"/>
        <v>事業用資産</v>
      </c>
      <c r="H5338" s="7" t="str">
        <f t="shared" si="1949"/>
        <v>棚卸以外</v>
      </c>
      <c r="I5338" s="7">
        <v>77</v>
      </c>
      <c r="J5338" s="7" t="str">
        <f>"物置（３）"</f>
        <v>物置（３）</v>
      </c>
      <c r="K5338" s="7" t="str">
        <f>"土蔵造(簡易建物)"</f>
        <v>土蔵造(簡易建物)</v>
      </c>
      <c r="L5338" s="7" t="str">
        <f>"H30.10.01"</f>
        <v>H30.10.01</v>
      </c>
      <c r="M5338" s="7">
        <v>4.51</v>
      </c>
      <c r="N5338" s="7">
        <v>400909</v>
      </c>
      <c r="O5338" s="7">
        <v>126511</v>
      </c>
      <c r="P5338" s="7">
        <v>0</v>
      </c>
      <c r="Q5338" s="7" t="str">
        <f t="shared" si="1939"/>
        <v>教育庁</v>
      </c>
      <c r="R5338" s="7" t="str">
        <f t="shared" si="1954"/>
        <v>富田林高等学校</v>
      </c>
    </row>
    <row r="5339" spans="1:18" s="1" customFormat="1" x14ac:dyDescent="0.45">
      <c r="A5339" s="7" t="str">
        <f t="shared" si="1951"/>
        <v>10432000000</v>
      </c>
      <c r="B5339" s="7" t="str">
        <f t="shared" si="1952"/>
        <v>富田林高等学校</v>
      </c>
      <c r="C5339" s="7" t="str">
        <f t="shared" si="1950"/>
        <v>行政財産</v>
      </c>
      <c r="D5339" s="7" t="str">
        <f t="shared" si="1948"/>
        <v>学校</v>
      </c>
      <c r="E5339" s="7" t="str">
        <f t="shared" si="1953"/>
        <v>大阪府富田林市谷川町</v>
      </c>
      <c r="F5339" s="7"/>
      <c r="G5339" s="7" t="str">
        <f t="shared" si="1956"/>
        <v>事業用資産</v>
      </c>
      <c r="H5339" s="7" t="str">
        <f t="shared" si="1949"/>
        <v>棚卸以外</v>
      </c>
      <c r="I5339" s="7">
        <v>78</v>
      </c>
      <c r="J5339" s="7" t="str">
        <f>"物置（１）"</f>
        <v>物置（１）</v>
      </c>
      <c r="K5339" s="7" t="str">
        <f>"土蔵造(簡易建物)"</f>
        <v>土蔵造(簡易建物)</v>
      </c>
      <c r="L5339" s="7" t="str">
        <f>"H30.10.01"</f>
        <v>H30.10.01</v>
      </c>
      <c r="M5339" s="7">
        <v>11.62</v>
      </c>
      <c r="N5339" s="7">
        <v>309448</v>
      </c>
      <c r="O5339" s="7">
        <v>97626</v>
      </c>
      <c r="P5339" s="7">
        <v>0</v>
      </c>
      <c r="Q5339" s="7" t="str">
        <f t="shared" ref="Q5339:Q5402" si="1957">"教育庁"</f>
        <v>教育庁</v>
      </c>
      <c r="R5339" s="7" t="str">
        <f t="shared" si="1954"/>
        <v>富田林高等学校</v>
      </c>
    </row>
    <row r="5340" spans="1:18" s="1" customFormat="1" x14ac:dyDescent="0.45">
      <c r="A5340" s="7" t="str">
        <f t="shared" si="1951"/>
        <v>10432000000</v>
      </c>
      <c r="B5340" s="7" t="str">
        <f t="shared" si="1952"/>
        <v>富田林高等学校</v>
      </c>
      <c r="C5340" s="7" t="str">
        <f t="shared" si="1950"/>
        <v>行政財産</v>
      </c>
      <c r="D5340" s="7" t="str">
        <f t="shared" si="1948"/>
        <v>学校</v>
      </c>
      <c r="E5340" s="7" t="str">
        <f t="shared" si="1953"/>
        <v>大阪府富田林市谷川町</v>
      </c>
      <c r="F5340" s="7"/>
      <c r="G5340" s="7" t="str">
        <f t="shared" si="1956"/>
        <v>事業用資産</v>
      </c>
      <c r="H5340" s="7" t="str">
        <f t="shared" si="1949"/>
        <v>棚卸以外</v>
      </c>
      <c r="I5340" s="7">
        <v>79</v>
      </c>
      <c r="J5340" s="7" t="str">
        <f>"物置（２）"</f>
        <v>物置（２）</v>
      </c>
      <c r="K5340" s="7" t="str">
        <f>"土蔵造(簡易建物)"</f>
        <v>土蔵造(簡易建物)</v>
      </c>
      <c r="L5340" s="7" t="str">
        <f>"H30.10.01"</f>
        <v>H30.10.01</v>
      </c>
      <c r="M5340" s="7">
        <v>18.25</v>
      </c>
      <c r="N5340" s="7">
        <v>800546</v>
      </c>
      <c r="O5340" s="7">
        <v>310686</v>
      </c>
      <c r="P5340" s="7">
        <v>0</v>
      </c>
      <c r="Q5340" s="7" t="str">
        <f t="shared" si="1957"/>
        <v>教育庁</v>
      </c>
      <c r="R5340" s="7" t="str">
        <f t="shared" si="1954"/>
        <v>富田林高等学校</v>
      </c>
    </row>
    <row r="5341" spans="1:18" s="1" customFormat="1" x14ac:dyDescent="0.45">
      <c r="A5341" s="7" t="str">
        <f t="shared" ref="A5341:A5347" si="1958">"10433000000"</f>
        <v>10433000000</v>
      </c>
      <c r="B5341" s="7" t="str">
        <f t="shared" ref="B5341:B5347" si="1959">"金剛高等学校"</f>
        <v>金剛高等学校</v>
      </c>
      <c r="C5341" s="7" t="str">
        <f t="shared" si="1950"/>
        <v>行政財産</v>
      </c>
      <c r="D5341" s="7" t="str">
        <f t="shared" si="1948"/>
        <v>学校</v>
      </c>
      <c r="E5341" s="7" t="str">
        <f t="shared" ref="E5341:E5347" si="1960">"大阪府富田林市藤沢台２丁目"</f>
        <v>大阪府富田林市藤沢台２丁目</v>
      </c>
      <c r="F5341" s="7"/>
      <c r="G5341" s="7" t="str">
        <f t="shared" si="1956"/>
        <v>事業用資産</v>
      </c>
      <c r="H5341" s="7" t="str">
        <f t="shared" si="1949"/>
        <v>棚卸以外</v>
      </c>
      <c r="I5341" s="7">
        <v>1</v>
      </c>
      <c r="J5341" s="7" t="str">
        <f>"本館"</f>
        <v>本館</v>
      </c>
      <c r="K5341" s="7" t="str">
        <f>"鉄筋コンクリート造"</f>
        <v>鉄筋コンクリート造</v>
      </c>
      <c r="L5341" s="7" t="str">
        <f>"S55.04.01"</f>
        <v>S55.04.01</v>
      </c>
      <c r="M5341" s="7">
        <v>10958.77</v>
      </c>
      <c r="N5341" s="7">
        <v>1661642570</v>
      </c>
      <c r="O5341" s="7">
        <v>1338752199</v>
      </c>
      <c r="P5341" s="7">
        <v>0</v>
      </c>
      <c r="Q5341" s="7" t="str">
        <f t="shared" si="1957"/>
        <v>教育庁</v>
      </c>
      <c r="R5341" s="7" t="str">
        <f t="shared" ref="R5341:R5347" si="1961">"金剛高等学校"</f>
        <v>金剛高等学校</v>
      </c>
    </row>
    <row r="5342" spans="1:18" s="1" customFormat="1" x14ac:dyDescent="0.45">
      <c r="A5342" s="7" t="str">
        <f t="shared" si="1958"/>
        <v>10433000000</v>
      </c>
      <c r="B5342" s="7" t="str">
        <f t="shared" si="1959"/>
        <v>金剛高等学校</v>
      </c>
      <c r="C5342" s="7" t="str">
        <f t="shared" si="1950"/>
        <v>行政財産</v>
      </c>
      <c r="D5342" s="7" t="str">
        <f t="shared" si="1948"/>
        <v>学校</v>
      </c>
      <c r="E5342" s="7" t="str">
        <f t="shared" si="1960"/>
        <v>大阪府富田林市藤沢台２丁目</v>
      </c>
      <c r="F5342" s="7"/>
      <c r="G5342" s="7" t="str">
        <f t="shared" si="1956"/>
        <v>事業用資産</v>
      </c>
      <c r="H5342" s="7" t="str">
        <f t="shared" si="1949"/>
        <v>棚卸以外</v>
      </c>
      <c r="I5342" s="7">
        <v>2</v>
      </c>
      <c r="J5342" s="7" t="str">
        <f>"倉庫Ａ棟"</f>
        <v>倉庫Ａ棟</v>
      </c>
      <c r="K5342" s="7" t="str">
        <f>"鉄骨造"</f>
        <v>鉄骨造</v>
      </c>
      <c r="L5342" s="7" t="str">
        <f>"S55.04.01"</f>
        <v>S55.04.01</v>
      </c>
      <c r="M5342" s="7">
        <v>50</v>
      </c>
      <c r="N5342" s="7">
        <v>3532000</v>
      </c>
      <c r="O5342" s="7">
        <v>3531999</v>
      </c>
      <c r="P5342" s="7">
        <v>0</v>
      </c>
      <c r="Q5342" s="7" t="str">
        <f t="shared" si="1957"/>
        <v>教育庁</v>
      </c>
      <c r="R5342" s="7" t="str">
        <f t="shared" si="1961"/>
        <v>金剛高等学校</v>
      </c>
    </row>
    <row r="5343" spans="1:18" s="1" customFormat="1" x14ac:dyDescent="0.45">
      <c r="A5343" s="7" t="str">
        <f t="shared" si="1958"/>
        <v>10433000000</v>
      </c>
      <c r="B5343" s="7" t="str">
        <f t="shared" si="1959"/>
        <v>金剛高等学校</v>
      </c>
      <c r="C5343" s="7" t="str">
        <f t="shared" si="1950"/>
        <v>行政財産</v>
      </c>
      <c r="D5343" s="7" t="str">
        <f t="shared" si="1948"/>
        <v>学校</v>
      </c>
      <c r="E5343" s="7" t="str">
        <f t="shared" si="1960"/>
        <v>大阪府富田林市藤沢台２丁目</v>
      </c>
      <c r="F5343" s="7"/>
      <c r="G5343" s="7" t="str">
        <f t="shared" si="1956"/>
        <v>事業用資産</v>
      </c>
      <c r="H5343" s="7" t="str">
        <f t="shared" si="1949"/>
        <v>棚卸以外</v>
      </c>
      <c r="I5343" s="7">
        <v>3</v>
      </c>
      <c r="J5343" s="7" t="str">
        <f>"倉庫Ｂ棟"</f>
        <v>倉庫Ｂ棟</v>
      </c>
      <c r="K5343" s="7" t="str">
        <f>"鉄骨造"</f>
        <v>鉄骨造</v>
      </c>
      <c r="L5343" s="7" t="str">
        <f>"S55.04.01"</f>
        <v>S55.04.01</v>
      </c>
      <c r="M5343" s="7">
        <v>50</v>
      </c>
      <c r="N5343" s="7">
        <v>3867000</v>
      </c>
      <c r="O5343" s="7">
        <v>3866999</v>
      </c>
      <c r="P5343" s="7">
        <v>0</v>
      </c>
      <c r="Q5343" s="7" t="str">
        <f t="shared" si="1957"/>
        <v>教育庁</v>
      </c>
      <c r="R5343" s="7" t="str">
        <f t="shared" si="1961"/>
        <v>金剛高等学校</v>
      </c>
    </row>
    <row r="5344" spans="1:18" s="1" customFormat="1" x14ac:dyDescent="0.45">
      <c r="A5344" s="7" t="str">
        <f t="shared" si="1958"/>
        <v>10433000000</v>
      </c>
      <c r="B5344" s="7" t="str">
        <f t="shared" si="1959"/>
        <v>金剛高等学校</v>
      </c>
      <c r="C5344" s="7" t="str">
        <f t="shared" si="1950"/>
        <v>行政財産</v>
      </c>
      <c r="D5344" s="7" t="str">
        <f t="shared" si="1948"/>
        <v>学校</v>
      </c>
      <c r="E5344" s="7" t="str">
        <f t="shared" si="1960"/>
        <v>大阪府富田林市藤沢台２丁目</v>
      </c>
      <c r="F5344" s="7"/>
      <c r="G5344" s="7" t="str">
        <f t="shared" si="1956"/>
        <v>事業用資産</v>
      </c>
      <c r="H5344" s="7" t="str">
        <f t="shared" si="1949"/>
        <v>棚卸以外</v>
      </c>
      <c r="I5344" s="7">
        <v>8</v>
      </c>
      <c r="J5344" s="7" t="str">
        <f>"プール附属棟"</f>
        <v>プール附属棟</v>
      </c>
      <c r="K5344" s="7" t="str">
        <f>"鉄筋コンクリート造"</f>
        <v>鉄筋コンクリート造</v>
      </c>
      <c r="L5344" s="7" t="str">
        <f>"S56.03.20"</f>
        <v>S56.03.20</v>
      </c>
      <c r="M5344" s="7">
        <v>138</v>
      </c>
      <c r="N5344" s="7">
        <v>31620000</v>
      </c>
      <c r="O5344" s="7">
        <v>31616349</v>
      </c>
      <c r="P5344" s="7">
        <v>0</v>
      </c>
      <c r="Q5344" s="7" t="str">
        <f t="shared" si="1957"/>
        <v>教育庁</v>
      </c>
      <c r="R5344" s="7" t="str">
        <f t="shared" si="1961"/>
        <v>金剛高等学校</v>
      </c>
    </row>
    <row r="5345" spans="1:18" s="1" customFormat="1" x14ac:dyDescent="0.45">
      <c r="A5345" s="7" t="str">
        <f t="shared" si="1958"/>
        <v>10433000000</v>
      </c>
      <c r="B5345" s="7" t="str">
        <f t="shared" si="1959"/>
        <v>金剛高等学校</v>
      </c>
      <c r="C5345" s="7" t="str">
        <f t="shared" si="1950"/>
        <v>行政財産</v>
      </c>
      <c r="D5345" s="7" t="str">
        <f t="shared" si="1948"/>
        <v>学校</v>
      </c>
      <c r="E5345" s="7" t="str">
        <f t="shared" si="1960"/>
        <v>大阪府富田林市藤沢台２丁目</v>
      </c>
      <c r="F5345" s="7"/>
      <c r="G5345" s="7" t="str">
        <f t="shared" si="1956"/>
        <v>事業用資産</v>
      </c>
      <c r="H5345" s="7" t="str">
        <f t="shared" si="1949"/>
        <v>棚卸以外</v>
      </c>
      <c r="I5345" s="7">
        <v>9</v>
      </c>
      <c r="J5345" s="7" t="str">
        <f>"体育館"</f>
        <v>体育館</v>
      </c>
      <c r="K5345" s="7" t="str">
        <f>"鉄筋コンクリート造"</f>
        <v>鉄筋コンクリート造</v>
      </c>
      <c r="L5345" s="7" t="str">
        <f>"S56.03.30"</f>
        <v>S56.03.30</v>
      </c>
      <c r="M5345" s="7">
        <v>3053.89</v>
      </c>
      <c r="N5345" s="7">
        <v>531353578</v>
      </c>
      <c r="O5345" s="7">
        <v>419714910</v>
      </c>
      <c r="P5345" s="7">
        <v>0</v>
      </c>
      <c r="Q5345" s="7" t="str">
        <f t="shared" si="1957"/>
        <v>教育庁</v>
      </c>
      <c r="R5345" s="7" t="str">
        <f t="shared" si="1961"/>
        <v>金剛高等学校</v>
      </c>
    </row>
    <row r="5346" spans="1:18" s="1" customFormat="1" x14ac:dyDescent="0.45">
      <c r="A5346" s="7" t="str">
        <f t="shared" si="1958"/>
        <v>10433000000</v>
      </c>
      <c r="B5346" s="7" t="str">
        <f t="shared" si="1959"/>
        <v>金剛高等学校</v>
      </c>
      <c r="C5346" s="7" t="str">
        <f t="shared" si="1950"/>
        <v>行政財産</v>
      </c>
      <c r="D5346" s="7" t="str">
        <f t="shared" si="1948"/>
        <v>学校</v>
      </c>
      <c r="E5346" s="7" t="str">
        <f t="shared" si="1960"/>
        <v>大阪府富田林市藤沢台２丁目</v>
      </c>
      <c r="F5346" s="7"/>
      <c r="G5346" s="7" t="str">
        <f t="shared" si="1956"/>
        <v>事業用資産</v>
      </c>
      <c r="H5346" s="7" t="str">
        <f t="shared" si="1949"/>
        <v>棚卸以外</v>
      </c>
      <c r="I5346" s="7">
        <v>10</v>
      </c>
      <c r="J5346" s="7" t="str">
        <f>"体育倉庫棟"</f>
        <v>体育倉庫棟</v>
      </c>
      <c r="K5346" s="7" t="str">
        <f>"軽量鉄骨造"</f>
        <v>軽量鉄骨造</v>
      </c>
      <c r="L5346" s="7" t="str">
        <f>"S55.09.30"</f>
        <v>S55.09.30</v>
      </c>
      <c r="M5346" s="7">
        <v>128.69999999999999</v>
      </c>
      <c r="N5346" s="7">
        <v>8807000</v>
      </c>
      <c r="O5346" s="7">
        <v>8806999</v>
      </c>
      <c r="P5346" s="7">
        <v>0</v>
      </c>
      <c r="Q5346" s="7" t="str">
        <f t="shared" si="1957"/>
        <v>教育庁</v>
      </c>
      <c r="R5346" s="7" t="str">
        <f t="shared" si="1961"/>
        <v>金剛高等学校</v>
      </c>
    </row>
    <row r="5347" spans="1:18" s="1" customFormat="1" x14ac:dyDescent="0.45">
      <c r="A5347" s="7" t="str">
        <f t="shared" si="1958"/>
        <v>10433000000</v>
      </c>
      <c r="B5347" s="7" t="str">
        <f t="shared" si="1959"/>
        <v>金剛高等学校</v>
      </c>
      <c r="C5347" s="7" t="str">
        <f t="shared" si="1950"/>
        <v>行政財産</v>
      </c>
      <c r="D5347" s="7" t="str">
        <f t="shared" si="1948"/>
        <v>学校</v>
      </c>
      <c r="E5347" s="7" t="str">
        <f t="shared" si="1960"/>
        <v>大阪府富田林市藤沢台２丁目</v>
      </c>
      <c r="F5347" s="7"/>
      <c r="G5347" s="7" t="str">
        <f t="shared" si="1956"/>
        <v>事業用資産</v>
      </c>
      <c r="H5347" s="7" t="str">
        <f t="shared" si="1949"/>
        <v>棚卸以外</v>
      </c>
      <c r="I5347" s="7">
        <v>11</v>
      </c>
      <c r="J5347" s="7" t="str">
        <f>"エレベーター棟"</f>
        <v>エレベーター棟</v>
      </c>
      <c r="K5347" s="7" t="str">
        <f>"鉄筋コンクリート造"</f>
        <v>鉄筋コンクリート造</v>
      </c>
      <c r="L5347" s="7" t="str">
        <f>"H18.03.31"</f>
        <v>H18.03.31</v>
      </c>
      <c r="M5347" s="7">
        <v>26.27</v>
      </c>
      <c r="N5347" s="7">
        <v>21263000</v>
      </c>
      <c r="O5347" s="7">
        <v>7691004</v>
      </c>
      <c r="P5347" s="7">
        <v>0</v>
      </c>
      <c r="Q5347" s="7" t="str">
        <f t="shared" si="1957"/>
        <v>教育庁</v>
      </c>
      <c r="R5347" s="7" t="str">
        <f t="shared" si="1961"/>
        <v>金剛高等学校</v>
      </c>
    </row>
    <row r="5348" spans="1:18" s="1" customFormat="1" x14ac:dyDescent="0.45">
      <c r="A5348" s="7" t="str">
        <f t="shared" ref="A5348:A5361" si="1962">"10436000000"</f>
        <v>10436000000</v>
      </c>
      <c r="B5348" s="7" t="str">
        <f t="shared" ref="B5348:B5361" si="1963">"長野高等学校"</f>
        <v>長野高等学校</v>
      </c>
      <c r="C5348" s="7" t="str">
        <f t="shared" si="1950"/>
        <v>行政財産</v>
      </c>
      <c r="D5348" s="7" t="str">
        <f t="shared" si="1948"/>
        <v>学校</v>
      </c>
      <c r="E5348" s="7" t="str">
        <f t="shared" ref="E5348:E5361" si="1964">"大阪府河内長野市原町２丁目"</f>
        <v>大阪府河内長野市原町２丁目</v>
      </c>
      <c r="F5348" s="7"/>
      <c r="G5348" s="7" t="str">
        <f t="shared" si="1956"/>
        <v>事業用資産</v>
      </c>
      <c r="H5348" s="7" t="str">
        <f t="shared" si="1949"/>
        <v>棚卸以外</v>
      </c>
      <c r="I5348" s="7">
        <v>1</v>
      </c>
      <c r="J5348" s="7" t="str">
        <f>"普通教室棟"</f>
        <v>普通教室棟</v>
      </c>
      <c r="K5348" s="7" t="str">
        <f>"鉄筋コンクリート造"</f>
        <v>鉄筋コンクリート造</v>
      </c>
      <c r="L5348" s="7" t="str">
        <f>"S48.03.15"</f>
        <v>S48.03.15</v>
      </c>
      <c r="M5348" s="7">
        <v>5395.16</v>
      </c>
      <c r="N5348" s="7">
        <v>500938554</v>
      </c>
      <c r="O5348" s="7">
        <v>415165082</v>
      </c>
      <c r="P5348" s="7">
        <v>0</v>
      </c>
      <c r="Q5348" s="7" t="str">
        <f t="shared" si="1957"/>
        <v>教育庁</v>
      </c>
      <c r="R5348" s="7" t="str">
        <f t="shared" ref="R5348:R5361" si="1965">"長野高等学校"</f>
        <v>長野高等学校</v>
      </c>
    </row>
    <row r="5349" spans="1:18" s="1" customFormat="1" x14ac:dyDescent="0.45">
      <c r="A5349" s="7" t="str">
        <f t="shared" si="1962"/>
        <v>10436000000</v>
      </c>
      <c r="B5349" s="7" t="str">
        <f t="shared" si="1963"/>
        <v>長野高等学校</v>
      </c>
      <c r="C5349" s="7" t="str">
        <f t="shared" si="1950"/>
        <v>行政財産</v>
      </c>
      <c r="D5349" s="7" t="str">
        <f t="shared" si="1948"/>
        <v>学校</v>
      </c>
      <c r="E5349" s="7" t="str">
        <f t="shared" si="1964"/>
        <v>大阪府河内長野市原町２丁目</v>
      </c>
      <c r="F5349" s="7"/>
      <c r="G5349" s="7" t="str">
        <f t="shared" si="1956"/>
        <v>事業用資産</v>
      </c>
      <c r="H5349" s="7" t="str">
        <f t="shared" si="1949"/>
        <v>棚卸以外</v>
      </c>
      <c r="I5349" s="7">
        <v>2</v>
      </c>
      <c r="J5349" s="7" t="str">
        <f>"特別教室棟"</f>
        <v>特別教室棟</v>
      </c>
      <c r="K5349" s="7" t="str">
        <f>"鉄筋コンクリート造"</f>
        <v>鉄筋コンクリート造</v>
      </c>
      <c r="L5349" s="7" t="str">
        <f>"S48.03.15"</f>
        <v>S48.03.15</v>
      </c>
      <c r="M5349" s="7">
        <v>5789.84</v>
      </c>
      <c r="N5349" s="7">
        <v>503886941</v>
      </c>
      <c r="O5349" s="7">
        <v>421900006</v>
      </c>
      <c r="P5349" s="7">
        <v>0</v>
      </c>
      <c r="Q5349" s="7" t="str">
        <f t="shared" si="1957"/>
        <v>教育庁</v>
      </c>
      <c r="R5349" s="7" t="str">
        <f t="shared" si="1965"/>
        <v>長野高等学校</v>
      </c>
    </row>
    <row r="5350" spans="1:18" s="1" customFormat="1" x14ac:dyDescent="0.45">
      <c r="A5350" s="7" t="str">
        <f t="shared" si="1962"/>
        <v>10436000000</v>
      </c>
      <c r="B5350" s="7" t="str">
        <f t="shared" si="1963"/>
        <v>長野高等学校</v>
      </c>
      <c r="C5350" s="7" t="str">
        <f t="shared" si="1950"/>
        <v>行政財産</v>
      </c>
      <c r="D5350" s="7" t="str">
        <f t="shared" si="1948"/>
        <v>学校</v>
      </c>
      <c r="E5350" s="7" t="str">
        <f t="shared" si="1964"/>
        <v>大阪府河内長野市原町２丁目</v>
      </c>
      <c r="F5350" s="7"/>
      <c r="G5350" s="7" t="str">
        <f t="shared" si="1956"/>
        <v>事業用資産</v>
      </c>
      <c r="H5350" s="7" t="str">
        <f t="shared" si="1949"/>
        <v>棚卸以外</v>
      </c>
      <c r="I5350" s="7">
        <v>3</v>
      </c>
      <c r="J5350" s="7" t="str">
        <f>"校舎渡り廊下"</f>
        <v>校舎渡り廊下</v>
      </c>
      <c r="K5350" s="7" t="str">
        <f>"鉄筋コンクリート造"</f>
        <v>鉄筋コンクリート造</v>
      </c>
      <c r="L5350" s="7" t="str">
        <f>"S48.03.28"</f>
        <v>S48.03.28</v>
      </c>
      <c r="M5350" s="7">
        <v>375.15</v>
      </c>
      <c r="N5350" s="7">
        <v>22711994</v>
      </c>
      <c r="O5350" s="7">
        <v>20438001</v>
      </c>
      <c r="P5350" s="7">
        <v>0</v>
      </c>
      <c r="Q5350" s="7" t="str">
        <f t="shared" si="1957"/>
        <v>教育庁</v>
      </c>
      <c r="R5350" s="7" t="str">
        <f t="shared" si="1965"/>
        <v>長野高等学校</v>
      </c>
    </row>
    <row r="5351" spans="1:18" s="1" customFormat="1" x14ac:dyDescent="0.45">
      <c r="A5351" s="7" t="str">
        <f t="shared" si="1962"/>
        <v>10436000000</v>
      </c>
      <c r="B5351" s="7" t="str">
        <f t="shared" si="1963"/>
        <v>長野高等学校</v>
      </c>
      <c r="C5351" s="7" t="str">
        <f t="shared" si="1950"/>
        <v>行政財産</v>
      </c>
      <c r="D5351" s="7" t="str">
        <f t="shared" si="1948"/>
        <v>学校</v>
      </c>
      <c r="E5351" s="7" t="str">
        <f t="shared" si="1964"/>
        <v>大阪府河内長野市原町２丁目</v>
      </c>
      <c r="F5351" s="7"/>
      <c r="G5351" s="7" t="str">
        <f t="shared" si="1956"/>
        <v>事業用資産</v>
      </c>
      <c r="H5351" s="7" t="str">
        <f t="shared" si="1949"/>
        <v>棚卸以外</v>
      </c>
      <c r="I5351" s="7">
        <v>4</v>
      </c>
      <c r="J5351" s="7" t="str">
        <f>"倉庫"</f>
        <v>倉庫</v>
      </c>
      <c r="K5351" s="7" t="str">
        <f>"鉄骨造"</f>
        <v>鉄骨造</v>
      </c>
      <c r="L5351" s="7" t="str">
        <f>"S48.03.15"</f>
        <v>S48.03.15</v>
      </c>
      <c r="M5351" s="7">
        <v>50</v>
      </c>
      <c r="N5351" s="7">
        <v>1773000</v>
      </c>
      <c r="O5351" s="7">
        <v>1772999</v>
      </c>
      <c r="P5351" s="7">
        <v>0</v>
      </c>
      <c r="Q5351" s="7" t="str">
        <f t="shared" si="1957"/>
        <v>教育庁</v>
      </c>
      <c r="R5351" s="7" t="str">
        <f t="shared" si="1965"/>
        <v>長野高等学校</v>
      </c>
    </row>
    <row r="5352" spans="1:18" s="1" customFormat="1" x14ac:dyDescent="0.45">
      <c r="A5352" s="7" t="str">
        <f t="shared" si="1962"/>
        <v>10436000000</v>
      </c>
      <c r="B5352" s="7" t="str">
        <f t="shared" si="1963"/>
        <v>長野高等学校</v>
      </c>
      <c r="C5352" s="7" t="str">
        <f t="shared" si="1950"/>
        <v>行政財産</v>
      </c>
      <c r="D5352" s="7" t="str">
        <f t="shared" si="1948"/>
        <v>学校</v>
      </c>
      <c r="E5352" s="7" t="str">
        <f t="shared" si="1964"/>
        <v>大阪府河内長野市原町２丁目</v>
      </c>
      <c r="F5352" s="7"/>
      <c r="G5352" s="7" t="str">
        <f t="shared" si="1956"/>
        <v>事業用資産</v>
      </c>
      <c r="H5352" s="7" t="str">
        <f t="shared" si="1949"/>
        <v>棚卸以外</v>
      </c>
      <c r="I5352" s="7">
        <v>5</v>
      </c>
      <c r="J5352" s="7" t="str">
        <f>"設備棟"</f>
        <v>設備棟</v>
      </c>
      <c r="K5352" s="7" t="str">
        <f>"鉄筋コンクリート造"</f>
        <v>鉄筋コンクリート造</v>
      </c>
      <c r="L5352" s="7" t="str">
        <f>"S48.03.15"</f>
        <v>S48.03.15</v>
      </c>
      <c r="M5352" s="7">
        <v>117</v>
      </c>
      <c r="N5352" s="7">
        <v>17100000</v>
      </c>
      <c r="O5352" s="7">
        <v>17099998</v>
      </c>
      <c r="P5352" s="7">
        <v>0</v>
      </c>
      <c r="Q5352" s="7" t="str">
        <f t="shared" si="1957"/>
        <v>教育庁</v>
      </c>
      <c r="R5352" s="7" t="str">
        <f t="shared" si="1965"/>
        <v>長野高等学校</v>
      </c>
    </row>
    <row r="5353" spans="1:18" s="1" customFormat="1" x14ac:dyDescent="0.45">
      <c r="A5353" s="7" t="str">
        <f t="shared" si="1962"/>
        <v>10436000000</v>
      </c>
      <c r="B5353" s="7" t="str">
        <f t="shared" si="1963"/>
        <v>長野高等学校</v>
      </c>
      <c r="C5353" s="7" t="str">
        <f t="shared" si="1950"/>
        <v>行政財産</v>
      </c>
      <c r="D5353" s="7" t="str">
        <f t="shared" si="1948"/>
        <v>学校</v>
      </c>
      <c r="E5353" s="7" t="str">
        <f t="shared" si="1964"/>
        <v>大阪府河内長野市原町２丁目</v>
      </c>
      <c r="F5353" s="7"/>
      <c r="G5353" s="7" t="str">
        <f t="shared" si="1956"/>
        <v>事業用資産</v>
      </c>
      <c r="H5353" s="7" t="str">
        <f t="shared" si="1949"/>
        <v>棚卸以外</v>
      </c>
      <c r="I5353" s="7">
        <v>7</v>
      </c>
      <c r="J5353" s="7" t="str">
        <f>"自転車置場"</f>
        <v>自転車置場</v>
      </c>
      <c r="K5353" s="7" t="str">
        <f>"鉄骨造"</f>
        <v>鉄骨造</v>
      </c>
      <c r="L5353" s="7" t="str">
        <f>"S48.03.15"</f>
        <v>S48.03.15</v>
      </c>
      <c r="M5353" s="7">
        <v>105</v>
      </c>
      <c r="N5353" s="7">
        <v>1484000</v>
      </c>
      <c r="O5353" s="7">
        <v>1483999</v>
      </c>
      <c r="P5353" s="7">
        <v>0</v>
      </c>
      <c r="Q5353" s="7" t="str">
        <f t="shared" si="1957"/>
        <v>教育庁</v>
      </c>
      <c r="R5353" s="7" t="str">
        <f t="shared" si="1965"/>
        <v>長野高等学校</v>
      </c>
    </row>
    <row r="5354" spans="1:18" s="1" customFormat="1" x14ac:dyDescent="0.45">
      <c r="A5354" s="7" t="str">
        <f t="shared" si="1962"/>
        <v>10436000000</v>
      </c>
      <c r="B5354" s="7" t="str">
        <f t="shared" si="1963"/>
        <v>長野高等学校</v>
      </c>
      <c r="C5354" s="7" t="str">
        <f t="shared" si="1950"/>
        <v>行政財産</v>
      </c>
      <c r="D5354" s="7" t="str">
        <f t="shared" si="1948"/>
        <v>学校</v>
      </c>
      <c r="E5354" s="7" t="str">
        <f t="shared" si="1964"/>
        <v>大阪府河内長野市原町２丁目</v>
      </c>
      <c r="F5354" s="7"/>
      <c r="G5354" s="7" t="str">
        <f t="shared" si="1956"/>
        <v>事業用資産</v>
      </c>
      <c r="H5354" s="7" t="str">
        <f t="shared" si="1949"/>
        <v>棚卸以外</v>
      </c>
      <c r="I5354" s="7">
        <v>10</v>
      </c>
      <c r="J5354" s="7" t="str">
        <f>"下足室"</f>
        <v>下足室</v>
      </c>
      <c r="K5354" s="7" t="str">
        <f>"鉄骨造"</f>
        <v>鉄骨造</v>
      </c>
      <c r="L5354" s="7" t="str">
        <f>"S49.03.30"</f>
        <v>S49.03.30</v>
      </c>
      <c r="M5354" s="7">
        <v>241.22</v>
      </c>
      <c r="N5354" s="7">
        <v>13114000</v>
      </c>
      <c r="O5354" s="7">
        <v>13113999</v>
      </c>
      <c r="P5354" s="7">
        <v>0</v>
      </c>
      <c r="Q5354" s="7" t="str">
        <f t="shared" si="1957"/>
        <v>教育庁</v>
      </c>
      <c r="R5354" s="7" t="str">
        <f t="shared" si="1965"/>
        <v>長野高等学校</v>
      </c>
    </row>
    <row r="5355" spans="1:18" s="1" customFormat="1" x14ac:dyDescent="0.45">
      <c r="A5355" s="7" t="str">
        <f t="shared" si="1962"/>
        <v>10436000000</v>
      </c>
      <c r="B5355" s="7" t="str">
        <f t="shared" si="1963"/>
        <v>長野高等学校</v>
      </c>
      <c r="C5355" s="7" t="str">
        <f t="shared" si="1950"/>
        <v>行政財産</v>
      </c>
      <c r="D5355" s="7" t="str">
        <f t="shared" si="1948"/>
        <v>学校</v>
      </c>
      <c r="E5355" s="7" t="str">
        <f t="shared" si="1964"/>
        <v>大阪府河内長野市原町２丁目</v>
      </c>
      <c r="F5355" s="7"/>
      <c r="G5355" s="7" t="str">
        <f t="shared" si="1956"/>
        <v>事業用資産</v>
      </c>
      <c r="H5355" s="7" t="str">
        <f t="shared" si="1949"/>
        <v>棚卸以外</v>
      </c>
      <c r="I5355" s="7">
        <v>11</v>
      </c>
      <c r="J5355" s="7" t="str">
        <f>"プール附属棟"</f>
        <v>プール附属棟</v>
      </c>
      <c r="K5355" s="7" t="str">
        <f>"コンクリートブロック造"</f>
        <v>コンクリートブロック造</v>
      </c>
      <c r="L5355" s="7" t="str">
        <f>"S49.07.31"</f>
        <v>S49.07.31</v>
      </c>
      <c r="M5355" s="7">
        <v>126.99</v>
      </c>
      <c r="N5355" s="7">
        <v>13222000</v>
      </c>
      <c r="O5355" s="7">
        <v>13221999</v>
      </c>
      <c r="P5355" s="7">
        <v>0</v>
      </c>
      <c r="Q5355" s="7" t="str">
        <f t="shared" si="1957"/>
        <v>教育庁</v>
      </c>
      <c r="R5355" s="7" t="str">
        <f t="shared" si="1965"/>
        <v>長野高等学校</v>
      </c>
    </row>
    <row r="5356" spans="1:18" s="1" customFormat="1" x14ac:dyDescent="0.45">
      <c r="A5356" s="7" t="str">
        <f t="shared" si="1962"/>
        <v>10436000000</v>
      </c>
      <c r="B5356" s="7" t="str">
        <f t="shared" si="1963"/>
        <v>長野高等学校</v>
      </c>
      <c r="C5356" s="7" t="str">
        <f t="shared" si="1950"/>
        <v>行政財産</v>
      </c>
      <c r="D5356" s="7" t="str">
        <f t="shared" si="1948"/>
        <v>学校</v>
      </c>
      <c r="E5356" s="7" t="str">
        <f t="shared" si="1964"/>
        <v>大阪府河内長野市原町２丁目</v>
      </c>
      <c r="F5356" s="7"/>
      <c r="G5356" s="7" t="str">
        <f t="shared" si="1956"/>
        <v>事業用資産</v>
      </c>
      <c r="H5356" s="7" t="str">
        <f t="shared" si="1949"/>
        <v>棚卸以外</v>
      </c>
      <c r="I5356" s="7">
        <v>12</v>
      </c>
      <c r="J5356" s="7" t="str">
        <f>"体育館"</f>
        <v>体育館</v>
      </c>
      <c r="K5356" s="7" t="str">
        <f>"鉄筋コンクリート造"</f>
        <v>鉄筋コンクリート造</v>
      </c>
      <c r="L5356" s="7" t="str">
        <f>"S49.08.15"</f>
        <v>S49.08.15</v>
      </c>
      <c r="M5356" s="7">
        <v>2691.39</v>
      </c>
      <c r="N5356" s="7">
        <v>251918168</v>
      </c>
      <c r="O5356" s="7">
        <v>231113810</v>
      </c>
      <c r="P5356" s="7">
        <v>0</v>
      </c>
      <c r="Q5356" s="7" t="str">
        <f t="shared" si="1957"/>
        <v>教育庁</v>
      </c>
      <c r="R5356" s="7" t="str">
        <f t="shared" si="1965"/>
        <v>長野高等学校</v>
      </c>
    </row>
    <row r="5357" spans="1:18" s="1" customFormat="1" x14ac:dyDescent="0.45">
      <c r="A5357" s="7" t="str">
        <f t="shared" si="1962"/>
        <v>10436000000</v>
      </c>
      <c r="B5357" s="7" t="str">
        <f t="shared" si="1963"/>
        <v>長野高等学校</v>
      </c>
      <c r="C5357" s="7" t="str">
        <f t="shared" si="1950"/>
        <v>行政財産</v>
      </c>
      <c r="D5357" s="7" t="str">
        <f t="shared" si="1948"/>
        <v>学校</v>
      </c>
      <c r="E5357" s="7" t="str">
        <f t="shared" si="1964"/>
        <v>大阪府河内長野市原町２丁目</v>
      </c>
      <c r="F5357" s="7"/>
      <c r="G5357" s="7" t="str">
        <f t="shared" si="1956"/>
        <v>事業用資産</v>
      </c>
      <c r="H5357" s="7" t="str">
        <f t="shared" si="1949"/>
        <v>棚卸以外</v>
      </c>
      <c r="I5357" s="7">
        <v>13</v>
      </c>
      <c r="J5357" s="7" t="str">
        <f>"校舎南渡り廊下"</f>
        <v>校舎南渡り廊下</v>
      </c>
      <c r="K5357" s="7" t="str">
        <f>"鉄筋コンクリート造"</f>
        <v>鉄筋コンクリート造</v>
      </c>
      <c r="L5357" s="7" t="str">
        <f>"S50.03.31"</f>
        <v>S50.03.31</v>
      </c>
      <c r="M5357" s="7">
        <v>351</v>
      </c>
      <c r="N5357" s="7">
        <v>30473279</v>
      </c>
      <c r="O5357" s="7">
        <v>28554694</v>
      </c>
      <c r="P5357" s="7">
        <v>0</v>
      </c>
      <c r="Q5357" s="7" t="str">
        <f t="shared" si="1957"/>
        <v>教育庁</v>
      </c>
      <c r="R5357" s="7" t="str">
        <f t="shared" si="1965"/>
        <v>長野高等学校</v>
      </c>
    </row>
    <row r="5358" spans="1:18" s="1" customFormat="1" x14ac:dyDescent="0.45">
      <c r="A5358" s="7" t="str">
        <f t="shared" si="1962"/>
        <v>10436000000</v>
      </c>
      <c r="B5358" s="7" t="str">
        <f t="shared" si="1963"/>
        <v>長野高等学校</v>
      </c>
      <c r="C5358" s="7" t="str">
        <f t="shared" si="1950"/>
        <v>行政財産</v>
      </c>
      <c r="D5358" s="7" t="str">
        <f t="shared" si="1948"/>
        <v>学校</v>
      </c>
      <c r="E5358" s="7" t="str">
        <f t="shared" si="1964"/>
        <v>大阪府河内長野市原町２丁目</v>
      </c>
      <c r="F5358" s="7"/>
      <c r="G5358" s="7" t="str">
        <f t="shared" si="1956"/>
        <v>事業用資産</v>
      </c>
      <c r="H5358" s="7" t="str">
        <f t="shared" si="1949"/>
        <v>棚卸以外</v>
      </c>
      <c r="I5358" s="7">
        <v>14</v>
      </c>
      <c r="J5358" s="7" t="str">
        <f>"体育館渡り廊下"</f>
        <v>体育館渡り廊下</v>
      </c>
      <c r="K5358" s="7" t="str">
        <f>"鉄筋コンクリート造"</f>
        <v>鉄筋コンクリート造</v>
      </c>
      <c r="L5358" s="7" t="str">
        <f>"S50.03.31"</f>
        <v>S50.03.31</v>
      </c>
      <c r="M5358" s="7">
        <v>128</v>
      </c>
      <c r="N5358" s="7">
        <v>9470000</v>
      </c>
      <c r="O5358" s="7">
        <v>8596139</v>
      </c>
      <c r="P5358" s="7">
        <v>0</v>
      </c>
      <c r="Q5358" s="7" t="str">
        <f t="shared" si="1957"/>
        <v>教育庁</v>
      </c>
      <c r="R5358" s="7" t="str">
        <f t="shared" si="1965"/>
        <v>長野高等学校</v>
      </c>
    </row>
    <row r="5359" spans="1:18" s="1" customFormat="1" x14ac:dyDescent="0.45">
      <c r="A5359" s="7" t="str">
        <f t="shared" si="1962"/>
        <v>10436000000</v>
      </c>
      <c r="B5359" s="7" t="str">
        <f t="shared" si="1963"/>
        <v>長野高等学校</v>
      </c>
      <c r="C5359" s="7" t="str">
        <f t="shared" si="1950"/>
        <v>行政財産</v>
      </c>
      <c r="D5359" s="7" t="str">
        <f t="shared" si="1948"/>
        <v>学校</v>
      </c>
      <c r="E5359" s="7" t="str">
        <f t="shared" si="1964"/>
        <v>大阪府河内長野市原町２丁目</v>
      </c>
      <c r="F5359" s="7"/>
      <c r="G5359" s="7" t="str">
        <f t="shared" si="1956"/>
        <v>事業用資産</v>
      </c>
      <c r="H5359" s="7" t="str">
        <f t="shared" si="1949"/>
        <v>棚卸以外</v>
      </c>
      <c r="I5359" s="7">
        <v>16</v>
      </c>
      <c r="J5359" s="7" t="str">
        <f>"北自転車置場・部室倉庫"</f>
        <v>北自転車置場・部室倉庫</v>
      </c>
      <c r="K5359" s="7" t="str">
        <f>"無筋コンクリート造"</f>
        <v>無筋コンクリート造</v>
      </c>
      <c r="L5359" s="7" t="str">
        <f>"S50.03.31"</f>
        <v>S50.03.31</v>
      </c>
      <c r="M5359" s="7">
        <v>105</v>
      </c>
      <c r="N5359" s="7">
        <v>5292000</v>
      </c>
      <c r="O5359" s="7">
        <v>5291999</v>
      </c>
      <c r="P5359" s="7">
        <v>0</v>
      </c>
      <c r="Q5359" s="7" t="str">
        <f t="shared" si="1957"/>
        <v>教育庁</v>
      </c>
      <c r="R5359" s="7" t="str">
        <f t="shared" si="1965"/>
        <v>長野高等学校</v>
      </c>
    </row>
    <row r="5360" spans="1:18" s="1" customFormat="1" x14ac:dyDescent="0.45">
      <c r="A5360" s="7" t="str">
        <f t="shared" si="1962"/>
        <v>10436000000</v>
      </c>
      <c r="B5360" s="7" t="str">
        <f t="shared" si="1963"/>
        <v>長野高等学校</v>
      </c>
      <c r="C5360" s="7" t="str">
        <f t="shared" si="1950"/>
        <v>行政財産</v>
      </c>
      <c r="D5360" s="7" t="str">
        <f t="shared" si="1948"/>
        <v>学校</v>
      </c>
      <c r="E5360" s="7" t="str">
        <f t="shared" si="1964"/>
        <v>大阪府河内長野市原町２丁目</v>
      </c>
      <c r="F5360" s="7"/>
      <c r="G5360" s="7" t="str">
        <f t="shared" si="1956"/>
        <v>事業用資産</v>
      </c>
      <c r="H5360" s="7" t="str">
        <f t="shared" si="1949"/>
        <v>棚卸以外</v>
      </c>
      <c r="I5360" s="7">
        <v>17</v>
      </c>
      <c r="J5360" s="7" t="str">
        <f>"体育倉庫"</f>
        <v>体育倉庫</v>
      </c>
      <c r="K5360" s="7" t="str">
        <f>"コンクリートブロック造"</f>
        <v>コンクリートブロック造</v>
      </c>
      <c r="L5360" s="7" t="str">
        <f>"S55.03.31"</f>
        <v>S55.03.31</v>
      </c>
      <c r="M5360" s="7">
        <v>48.76</v>
      </c>
      <c r="N5360" s="7">
        <v>6382000</v>
      </c>
      <c r="O5360" s="7">
        <v>6381999</v>
      </c>
      <c r="P5360" s="7">
        <v>0</v>
      </c>
      <c r="Q5360" s="7" t="str">
        <f t="shared" si="1957"/>
        <v>教育庁</v>
      </c>
      <c r="R5360" s="7" t="str">
        <f t="shared" si="1965"/>
        <v>長野高等学校</v>
      </c>
    </row>
    <row r="5361" spans="1:18" s="1" customFormat="1" x14ac:dyDescent="0.45">
      <c r="A5361" s="7" t="str">
        <f t="shared" si="1962"/>
        <v>10436000000</v>
      </c>
      <c r="B5361" s="7" t="str">
        <f t="shared" si="1963"/>
        <v>長野高等学校</v>
      </c>
      <c r="C5361" s="7" t="str">
        <f t="shared" si="1950"/>
        <v>行政財産</v>
      </c>
      <c r="D5361" s="7" t="str">
        <f t="shared" si="1948"/>
        <v>学校</v>
      </c>
      <c r="E5361" s="7" t="str">
        <f t="shared" si="1964"/>
        <v>大阪府河内長野市原町２丁目</v>
      </c>
      <c r="F5361" s="7"/>
      <c r="G5361" s="7" t="str">
        <f t="shared" si="1956"/>
        <v>事業用資産</v>
      </c>
      <c r="H5361" s="7" t="str">
        <f t="shared" si="1949"/>
        <v>棚卸以外</v>
      </c>
      <c r="I5361" s="7">
        <v>18</v>
      </c>
      <c r="J5361" s="7" t="str">
        <f>"倉庫"</f>
        <v>倉庫</v>
      </c>
      <c r="K5361" s="7" t="str">
        <f>"鉄骨造"</f>
        <v>鉄骨造</v>
      </c>
      <c r="L5361" s="7" t="str">
        <f>"S63.03.31"</f>
        <v>S63.03.31</v>
      </c>
      <c r="M5361" s="7">
        <v>141.75</v>
      </c>
      <c r="N5361" s="7">
        <v>8142000</v>
      </c>
      <c r="O5361" s="7">
        <v>8141999</v>
      </c>
      <c r="P5361" s="7">
        <v>0</v>
      </c>
      <c r="Q5361" s="7" t="str">
        <f t="shared" si="1957"/>
        <v>教育庁</v>
      </c>
      <c r="R5361" s="7" t="str">
        <f t="shared" si="1965"/>
        <v>長野高等学校</v>
      </c>
    </row>
    <row r="5362" spans="1:18" s="1" customFormat="1" x14ac:dyDescent="0.45">
      <c r="A5362" s="7" t="str">
        <f t="shared" ref="A5362:A5383" si="1966">"10438000000"</f>
        <v>10438000000</v>
      </c>
      <c r="B5362" s="7" t="str">
        <f t="shared" ref="B5362:B5383" si="1967">"藤井寺高等学校"</f>
        <v>藤井寺高等学校</v>
      </c>
      <c r="C5362" s="7" t="str">
        <f t="shared" si="1950"/>
        <v>行政財産</v>
      </c>
      <c r="D5362" s="7" t="str">
        <f t="shared" si="1948"/>
        <v>学校</v>
      </c>
      <c r="E5362" s="7" t="str">
        <f t="shared" ref="E5362:E5383" si="1968">"大阪府藤井寺市津堂３丁目"</f>
        <v>大阪府藤井寺市津堂３丁目</v>
      </c>
      <c r="F5362" s="7"/>
      <c r="G5362" s="7" t="str">
        <f t="shared" si="1956"/>
        <v>事業用資産</v>
      </c>
      <c r="H5362" s="7" t="str">
        <f t="shared" si="1949"/>
        <v>棚卸以外</v>
      </c>
      <c r="I5362" s="7">
        <v>1</v>
      </c>
      <c r="J5362" s="7" t="str">
        <f>"普通教室第１期棟"</f>
        <v>普通教室第１期棟</v>
      </c>
      <c r="K5362" s="7" t="str">
        <f>"鉄骨造"</f>
        <v>鉄骨造</v>
      </c>
      <c r="L5362" s="7" t="str">
        <f t="shared" ref="L5362:L5381" si="1969">"S51.03.31"</f>
        <v>S51.03.31</v>
      </c>
      <c r="M5362" s="7">
        <v>2121.8200000000002</v>
      </c>
      <c r="N5362" s="7">
        <v>200046717</v>
      </c>
      <c r="O5362" s="7">
        <v>196160051</v>
      </c>
      <c r="P5362" s="7">
        <v>0</v>
      </c>
      <c r="Q5362" s="7" t="str">
        <f t="shared" si="1957"/>
        <v>教育庁</v>
      </c>
      <c r="R5362" s="7" t="str">
        <f t="shared" ref="R5362:R5383" si="1970">"藤井寺高等学校"</f>
        <v>藤井寺高等学校</v>
      </c>
    </row>
    <row r="5363" spans="1:18" s="1" customFormat="1" x14ac:dyDescent="0.45">
      <c r="A5363" s="7" t="str">
        <f t="shared" si="1966"/>
        <v>10438000000</v>
      </c>
      <c r="B5363" s="7" t="str">
        <f t="shared" si="1967"/>
        <v>藤井寺高等学校</v>
      </c>
      <c r="C5363" s="7" t="str">
        <f t="shared" si="1950"/>
        <v>行政財産</v>
      </c>
      <c r="D5363" s="7" t="str">
        <f t="shared" si="1948"/>
        <v>学校</v>
      </c>
      <c r="E5363" s="7" t="str">
        <f t="shared" si="1968"/>
        <v>大阪府藤井寺市津堂３丁目</v>
      </c>
      <c r="F5363" s="7"/>
      <c r="G5363" s="7" t="str">
        <f t="shared" si="1956"/>
        <v>事業用資産</v>
      </c>
      <c r="H5363" s="7" t="str">
        <f t="shared" si="1949"/>
        <v>棚卸以外</v>
      </c>
      <c r="I5363" s="7">
        <v>2</v>
      </c>
      <c r="J5363" s="7" t="str">
        <f>"特別教室第１期棟"</f>
        <v>特別教室第１期棟</v>
      </c>
      <c r="K5363" s="7" t="str">
        <f>"鉄骨造"</f>
        <v>鉄骨造</v>
      </c>
      <c r="L5363" s="7" t="str">
        <f t="shared" si="1969"/>
        <v>S51.03.31</v>
      </c>
      <c r="M5363" s="7">
        <v>2113.98</v>
      </c>
      <c r="N5363" s="7">
        <v>225762222</v>
      </c>
      <c r="O5363" s="7">
        <v>214577868</v>
      </c>
      <c r="P5363" s="7">
        <v>0</v>
      </c>
      <c r="Q5363" s="7" t="str">
        <f t="shared" si="1957"/>
        <v>教育庁</v>
      </c>
      <c r="R5363" s="7" t="str">
        <f t="shared" si="1970"/>
        <v>藤井寺高等学校</v>
      </c>
    </row>
    <row r="5364" spans="1:18" s="1" customFormat="1" x14ac:dyDescent="0.45">
      <c r="A5364" s="7" t="str">
        <f t="shared" si="1966"/>
        <v>10438000000</v>
      </c>
      <c r="B5364" s="7" t="str">
        <f t="shared" si="1967"/>
        <v>藤井寺高等学校</v>
      </c>
      <c r="C5364" s="7" t="str">
        <f t="shared" si="1950"/>
        <v>行政財産</v>
      </c>
      <c r="D5364" s="7" t="str">
        <f t="shared" si="1948"/>
        <v>学校</v>
      </c>
      <c r="E5364" s="7" t="str">
        <f t="shared" si="1968"/>
        <v>大阪府藤井寺市津堂３丁目</v>
      </c>
      <c r="F5364" s="7"/>
      <c r="G5364" s="7" t="str">
        <f t="shared" si="1956"/>
        <v>事業用資産</v>
      </c>
      <c r="H5364" s="7" t="str">
        <f t="shared" si="1949"/>
        <v>棚卸以外</v>
      </c>
      <c r="I5364" s="7">
        <v>3</v>
      </c>
      <c r="J5364" s="7" t="str">
        <f>"渡り廊下第１期棟"</f>
        <v>渡り廊下第１期棟</v>
      </c>
      <c r="K5364" s="7" t="str">
        <f>"鉄骨造"</f>
        <v>鉄骨造</v>
      </c>
      <c r="L5364" s="7" t="str">
        <f t="shared" si="1969"/>
        <v>S51.03.31</v>
      </c>
      <c r="M5364" s="7">
        <v>376.74</v>
      </c>
      <c r="N5364" s="7">
        <v>39253711</v>
      </c>
      <c r="O5364" s="7">
        <v>37562809</v>
      </c>
      <c r="P5364" s="7">
        <v>0</v>
      </c>
      <c r="Q5364" s="7" t="str">
        <f t="shared" si="1957"/>
        <v>教育庁</v>
      </c>
      <c r="R5364" s="7" t="str">
        <f t="shared" si="1970"/>
        <v>藤井寺高等学校</v>
      </c>
    </row>
    <row r="5365" spans="1:18" s="1" customFormat="1" x14ac:dyDescent="0.45">
      <c r="A5365" s="7" t="str">
        <f t="shared" si="1966"/>
        <v>10438000000</v>
      </c>
      <c r="B5365" s="7" t="str">
        <f t="shared" si="1967"/>
        <v>藤井寺高等学校</v>
      </c>
      <c r="C5365" s="7" t="str">
        <f t="shared" si="1950"/>
        <v>行政財産</v>
      </c>
      <c r="D5365" s="7" t="str">
        <f t="shared" si="1948"/>
        <v>学校</v>
      </c>
      <c r="E5365" s="7" t="str">
        <f t="shared" si="1968"/>
        <v>大阪府藤井寺市津堂３丁目</v>
      </c>
      <c r="F5365" s="7"/>
      <c r="G5365" s="7" t="str">
        <f t="shared" si="1956"/>
        <v>事業用資産</v>
      </c>
      <c r="H5365" s="7" t="str">
        <f t="shared" si="1949"/>
        <v>棚卸以外</v>
      </c>
      <c r="I5365" s="7">
        <v>4</v>
      </c>
      <c r="J5365" s="7" t="str">
        <f>"設備棟"</f>
        <v>設備棟</v>
      </c>
      <c r="K5365" s="7" t="str">
        <f>"鉄筋コンクリート造"</f>
        <v>鉄筋コンクリート造</v>
      </c>
      <c r="L5365" s="7" t="str">
        <f t="shared" si="1969"/>
        <v>S51.03.31</v>
      </c>
      <c r="M5365" s="7">
        <v>91.26</v>
      </c>
      <c r="N5365" s="7">
        <v>19836698</v>
      </c>
      <c r="O5365" s="7">
        <v>17599661</v>
      </c>
      <c r="P5365" s="7">
        <v>0</v>
      </c>
      <c r="Q5365" s="7" t="str">
        <f t="shared" si="1957"/>
        <v>教育庁</v>
      </c>
      <c r="R5365" s="7" t="str">
        <f t="shared" si="1970"/>
        <v>藤井寺高等学校</v>
      </c>
    </row>
    <row r="5366" spans="1:18" s="1" customFormat="1" x14ac:dyDescent="0.45">
      <c r="A5366" s="7" t="str">
        <f t="shared" si="1966"/>
        <v>10438000000</v>
      </c>
      <c r="B5366" s="7" t="str">
        <f t="shared" si="1967"/>
        <v>藤井寺高等学校</v>
      </c>
      <c r="C5366" s="7" t="str">
        <f t="shared" si="1950"/>
        <v>行政財産</v>
      </c>
      <c r="D5366" s="7" t="str">
        <f t="shared" si="1948"/>
        <v>学校</v>
      </c>
      <c r="E5366" s="7" t="str">
        <f t="shared" si="1968"/>
        <v>大阪府藤井寺市津堂３丁目</v>
      </c>
      <c r="F5366" s="7"/>
      <c r="G5366" s="7" t="str">
        <f t="shared" si="1956"/>
        <v>事業用資産</v>
      </c>
      <c r="H5366" s="7" t="str">
        <f t="shared" si="1949"/>
        <v>棚卸以外</v>
      </c>
      <c r="I5366" s="7">
        <v>5</v>
      </c>
      <c r="J5366" s="7" t="str">
        <f>"倉庫"</f>
        <v>倉庫</v>
      </c>
      <c r="K5366" s="7" t="str">
        <f>"鉄骨造"</f>
        <v>鉄骨造</v>
      </c>
      <c r="L5366" s="7" t="str">
        <f t="shared" si="1969"/>
        <v>S51.03.31</v>
      </c>
      <c r="M5366" s="7">
        <v>50</v>
      </c>
      <c r="N5366" s="7">
        <v>3312000</v>
      </c>
      <c r="O5366" s="7">
        <v>3311999</v>
      </c>
      <c r="P5366" s="7">
        <v>0</v>
      </c>
      <c r="Q5366" s="7" t="str">
        <f t="shared" si="1957"/>
        <v>教育庁</v>
      </c>
      <c r="R5366" s="7" t="str">
        <f t="shared" si="1970"/>
        <v>藤井寺高等学校</v>
      </c>
    </row>
    <row r="5367" spans="1:18" s="1" customFormat="1" x14ac:dyDescent="0.45">
      <c r="A5367" s="7" t="str">
        <f t="shared" si="1966"/>
        <v>10438000000</v>
      </c>
      <c r="B5367" s="7" t="str">
        <f t="shared" si="1967"/>
        <v>藤井寺高等学校</v>
      </c>
      <c r="C5367" s="7" t="str">
        <f t="shared" si="1950"/>
        <v>行政財産</v>
      </c>
      <c r="D5367" s="7" t="str">
        <f t="shared" si="1948"/>
        <v>学校</v>
      </c>
      <c r="E5367" s="7" t="str">
        <f t="shared" si="1968"/>
        <v>大阪府藤井寺市津堂３丁目</v>
      </c>
      <c r="F5367" s="7"/>
      <c r="G5367" s="7" t="str">
        <f t="shared" si="1956"/>
        <v>事業用資産</v>
      </c>
      <c r="H5367" s="7" t="str">
        <f t="shared" si="1949"/>
        <v>棚卸以外</v>
      </c>
      <c r="I5367" s="7">
        <v>6</v>
      </c>
      <c r="J5367" s="7" t="str">
        <f>"自転車置場"</f>
        <v>自転車置場</v>
      </c>
      <c r="K5367" s="7" t="str">
        <f>"鉄骨造"</f>
        <v>鉄骨造</v>
      </c>
      <c r="L5367" s="7" t="str">
        <f t="shared" si="1969"/>
        <v>S51.03.31</v>
      </c>
      <c r="M5367" s="7">
        <v>105</v>
      </c>
      <c r="N5367" s="7">
        <v>2470000</v>
      </c>
      <c r="O5367" s="7">
        <v>2469999</v>
      </c>
      <c r="P5367" s="7">
        <v>0</v>
      </c>
      <c r="Q5367" s="7" t="str">
        <f t="shared" si="1957"/>
        <v>教育庁</v>
      </c>
      <c r="R5367" s="7" t="str">
        <f t="shared" si="1970"/>
        <v>藤井寺高等学校</v>
      </c>
    </row>
    <row r="5368" spans="1:18" s="1" customFormat="1" x14ac:dyDescent="0.45">
      <c r="A5368" s="7" t="str">
        <f t="shared" si="1966"/>
        <v>10438000000</v>
      </c>
      <c r="B5368" s="7" t="str">
        <f t="shared" si="1967"/>
        <v>藤井寺高等学校</v>
      </c>
      <c r="C5368" s="7" t="str">
        <f t="shared" si="1950"/>
        <v>行政財産</v>
      </c>
      <c r="D5368" s="7" t="str">
        <f t="shared" si="1948"/>
        <v>学校</v>
      </c>
      <c r="E5368" s="7" t="str">
        <f t="shared" si="1968"/>
        <v>大阪府藤井寺市津堂３丁目</v>
      </c>
      <c r="F5368" s="7"/>
      <c r="G5368" s="7" t="str">
        <f t="shared" si="1956"/>
        <v>事業用資産</v>
      </c>
      <c r="H5368" s="7" t="str">
        <f t="shared" si="1949"/>
        <v>棚卸以外</v>
      </c>
      <c r="I5368" s="7">
        <v>7</v>
      </c>
      <c r="J5368" s="7" t="str">
        <f>"汚水処理場"</f>
        <v>汚水処理場</v>
      </c>
      <c r="K5368" s="7" t="str">
        <f>"鉄筋コンクリート造"</f>
        <v>鉄筋コンクリート造</v>
      </c>
      <c r="L5368" s="7" t="str">
        <f t="shared" si="1969"/>
        <v>S51.03.31</v>
      </c>
      <c r="M5368" s="7">
        <v>158.76</v>
      </c>
      <c r="N5368" s="7">
        <v>37132000</v>
      </c>
      <c r="O5368" s="7">
        <v>36536281</v>
      </c>
      <c r="P5368" s="7">
        <v>0</v>
      </c>
      <c r="Q5368" s="7" t="str">
        <f t="shared" si="1957"/>
        <v>教育庁</v>
      </c>
      <c r="R5368" s="7" t="str">
        <f t="shared" si="1970"/>
        <v>藤井寺高等学校</v>
      </c>
    </row>
    <row r="5369" spans="1:18" s="1" customFormat="1" x14ac:dyDescent="0.45">
      <c r="A5369" s="7" t="str">
        <f t="shared" si="1966"/>
        <v>10438000000</v>
      </c>
      <c r="B5369" s="7" t="str">
        <f t="shared" si="1967"/>
        <v>藤井寺高等学校</v>
      </c>
      <c r="C5369" s="7" t="str">
        <f t="shared" si="1950"/>
        <v>行政財産</v>
      </c>
      <c r="D5369" s="7" t="str">
        <f t="shared" ref="D5369:D5432" si="1971">"学校"</f>
        <v>学校</v>
      </c>
      <c r="E5369" s="7" t="str">
        <f t="shared" si="1968"/>
        <v>大阪府藤井寺市津堂３丁目</v>
      </c>
      <c r="F5369" s="7"/>
      <c r="G5369" s="7" t="str">
        <f t="shared" si="1956"/>
        <v>事業用資産</v>
      </c>
      <c r="H5369" s="7" t="str">
        <f t="shared" si="1949"/>
        <v>棚卸以外</v>
      </c>
      <c r="I5369" s="7">
        <v>8</v>
      </c>
      <c r="J5369" s="7" t="str">
        <f>"普通教室第２期棟"</f>
        <v>普通教室第２期棟</v>
      </c>
      <c r="K5369" s="7" t="str">
        <f>"鉄骨造"</f>
        <v>鉄骨造</v>
      </c>
      <c r="L5369" s="7" t="str">
        <f t="shared" si="1969"/>
        <v>S51.03.31</v>
      </c>
      <c r="M5369" s="7">
        <v>2112.58</v>
      </c>
      <c r="N5369" s="7">
        <v>322780057</v>
      </c>
      <c r="O5369" s="7">
        <v>254739704</v>
      </c>
      <c r="P5369" s="7">
        <v>0</v>
      </c>
      <c r="Q5369" s="7" t="str">
        <f t="shared" si="1957"/>
        <v>教育庁</v>
      </c>
      <c r="R5369" s="7" t="str">
        <f t="shared" si="1970"/>
        <v>藤井寺高等学校</v>
      </c>
    </row>
    <row r="5370" spans="1:18" s="1" customFormat="1" x14ac:dyDescent="0.45">
      <c r="A5370" s="7" t="str">
        <f t="shared" si="1966"/>
        <v>10438000000</v>
      </c>
      <c r="B5370" s="7" t="str">
        <f t="shared" si="1967"/>
        <v>藤井寺高等学校</v>
      </c>
      <c r="C5370" s="7" t="str">
        <f t="shared" si="1950"/>
        <v>行政財産</v>
      </c>
      <c r="D5370" s="7" t="str">
        <f t="shared" si="1971"/>
        <v>学校</v>
      </c>
      <c r="E5370" s="7" t="str">
        <f t="shared" si="1968"/>
        <v>大阪府藤井寺市津堂３丁目</v>
      </c>
      <c r="F5370" s="7"/>
      <c r="G5370" s="7" t="str">
        <f t="shared" si="1956"/>
        <v>事業用資産</v>
      </c>
      <c r="H5370" s="7" t="str">
        <f t="shared" si="1949"/>
        <v>棚卸以外</v>
      </c>
      <c r="I5370" s="7">
        <v>9</v>
      </c>
      <c r="J5370" s="7" t="str">
        <f>"理科教室棟"</f>
        <v>理科教室棟</v>
      </c>
      <c r="K5370" s="7" t="str">
        <f>"鉄骨造"</f>
        <v>鉄骨造</v>
      </c>
      <c r="L5370" s="7" t="str">
        <f t="shared" si="1969"/>
        <v>S51.03.31</v>
      </c>
      <c r="M5370" s="7">
        <v>2322.16</v>
      </c>
      <c r="N5370" s="7">
        <v>304431726</v>
      </c>
      <c r="O5370" s="7">
        <v>303185976</v>
      </c>
      <c r="P5370" s="7">
        <v>0</v>
      </c>
      <c r="Q5370" s="7" t="str">
        <f t="shared" si="1957"/>
        <v>教育庁</v>
      </c>
      <c r="R5370" s="7" t="str">
        <f t="shared" si="1970"/>
        <v>藤井寺高等学校</v>
      </c>
    </row>
    <row r="5371" spans="1:18" s="1" customFormat="1" x14ac:dyDescent="0.45">
      <c r="A5371" s="7" t="str">
        <f t="shared" si="1966"/>
        <v>10438000000</v>
      </c>
      <c r="B5371" s="7" t="str">
        <f t="shared" si="1967"/>
        <v>藤井寺高等学校</v>
      </c>
      <c r="C5371" s="7" t="str">
        <f t="shared" si="1950"/>
        <v>行政財産</v>
      </c>
      <c r="D5371" s="7" t="str">
        <f t="shared" si="1971"/>
        <v>学校</v>
      </c>
      <c r="E5371" s="7" t="str">
        <f t="shared" si="1968"/>
        <v>大阪府藤井寺市津堂３丁目</v>
      </c>
      <c r="F5371" s="7"/>
      <c r="G5371" s="7" t="str">
        <f t="shared" si="1956"/>
        <v>事業用資産</v>
      </c>
      <c r="H5371" s="7" t="str">
        <f t="shared" si="1949"/>
        <v>棚卸以外</v>
      </c>
      <c r="I5371" s="7">
        <v>10</v>
      </c>
      <c r="J5371" s="7" t="str">
        <f>"渡り廊下第２期棟"</f>
        <v>渡り廊下第２期棟</v>
      </c>
      <c r="K5371" s="7" t="str">
        <f>"鉄骨造"</f>
        <v>鉄骨造</v>
      </c>
      <c r="L5371" s="7" t="str">
        <f t="shared" si="1969"/>
        <v>S51.03.31</v>
      </c>
      <c r="M5371" s="7">
        <v>353.88</v>
      </c>
      <c r="N5371" s="7">
        <v>45144281</v>
      </c>
      <c r="O5371" s="7">
        <v>43605878</v>
      </c>
      <c r="P5371" s="7">
        <v>0</v>
      </c>
      <c r="Q5371" s="7" t="str">
        <f t="shared" si="1957"/>
        <v>教育庁</v>
      </c>
      <c r="R5371" s="7" t="str">
        <f t="shared" si="1970"/>
        <v>藤井寺高等学校</v>
      </c>
    </row>
    <row r="5372" spans="1:18" s="1" customFormat="1" x14ac:dyDescent="0.45">
      <c r="A5372" s="7" t="str">
        <f t="shared" si="1966"/>
        <v>10438000000</v>
      </c>
      <c r="B5372" s="7" t="str">
        <f t="shared" si="1967"/>
        <v>藤井寺高等学校</v>
      </c>
      <c r="C5372" s="7" t="str">
        <f t="shared" si="1950"/>
        <v>行政財産</v>
      </c>
      <c r="D5372" s="7" t="str">
        <f t="shared" si="1971"/>
        <v>学校</v>
      </c>
      <c r="E5372" s="7" t="str">
        <f t="shared" si="1968"/>
        <v>大阪府藤井寺市津堂３丁目</v>
      </c>
      <c r="F5372" s="7"/>
      <c r="G5372" s="7" t="str">
        <f t="shared" si="1956"/>
        <v>事業用資産</v>
      </c>
      <c r="H5372" s="7" t="str">
        <f t="shared" si="1949"/>
        <v>棚卸以外</v>
      </c>
      <c r="I5372" s="7">
        <v>11</v>
      </c>
      <c r="J5372" s="7" t="str">
        <f>"自転車置場第２期"</f>
        <v>自転車置場第２期</v>
      </c>
      <c r="K5372" s="7" t="str">
        <f>"鉄骨造"</f>
        <v>鉄骨造</v>
      </c>
      <c r="L5372" s="7" t="str">
        <f t="shared" si="1969"/>
        <v>S51.03.31</v>
      </c>
      <c r="M5372" s="7">
        <v>135</v>
      </c>
      <c r="N5372" s="7">
        <v>3780000</v>
      </c>
      <c r="O5372" s="7">
        <v>3779999</v>
      </c>
      <c r="P5372" s="7">
        <v>0</v>
      </c>
      <c r="Q5372" s="7" t="str">
        <f t="shared" si="1957"/>
        <v>教育庁</v>
      </c>
      <c r="R5372" s="7" t="str">
        <f t="shared" si="1970"/>
        <v>藤井寺高等学校</v>
      </c>
    </row>
    <row r="5373" spans="1:18" s="1" customFormat="1" x14ac:dyDescent="0.45">
      <c r="A5373" s="7" t="str">
        <f t="shared" si="1966"/>
        <v>10438000000</v>
      </c>
      <c r="B5373" s="7" t="str">
        <f t="shared" si="1967"/>
        <v>藤井寺高等学校</v>
      </c>
      <c r="C5373" s="7" t="str">
        <f t="shared" si="1950"/>
        <v>行政財産</v>
      </c>
      <c r="D5373" s="7" t="str">
        <f t="shared" si="1971"/>
        <v>学校</v>
      </c>
      <c r="E5373" s="7" t="str">
        <f t="shared" si="1968"/>
        <v>大阪府藤井寺市津堂３丁目</v>
      </c>
      <c r="F5373" s="7"/>
      <c r="G5373" s="7" t="str">
        <f t="shared" si="1956"/>
        <v>事業用資産</v>
      </c>
      <c r="H5373" s="7" t="str">
        <f t="shared" si="1949"/>
        <v>棚卸以外</v>
      </c>
      <c r="I5373" s="7">
        <v>12</v>
      </c>
      <c r="J5373" s="7" t="str">
        <f>"体育館"</f>
        <v>体育館</v>
      </c>
      <c r="K5373" s="7" t="str">
        <f>"鉄筋コンクリート造"</f>
        <v>鉄筋コンクリート造</v>
      </c>
      <c r="L5373" s="7" t="str">
        <f t="shared" si="1969"/>
        <v>S51.03.31</v>
      </c>
      <c r="M5373" s="7">
        <v>2997.66</v>
      </c>
      <c r="N5373" s="7">
        <v>331900954</v>
      </c>
      <c r="O5373" s="7">
        <v>265530961</v>
      </c>
      <c r="P5373" s="7">
        <v>0</v>
      </c>
      <c r="Q5373" s="7" t="str">
        <f t="shared" si="1957"/>
        <v>教育庁</v>
      </c>
      <c r="R5373" s="7" t="str">
        <f t="shared" si="1970"/>
        <v>藤井寺高等学校</v>
      </c>
    </row>
    <row r="5374" spans="1:18" s="1" customFormat="1" x14ac:dyDescent="0.45">
      <c r="A5374" s="7" t="str">
        <f t="shared" si="1966"/>
        <v>10438000000</v>
      </c>
      <c r="B5374" s="7" t="str">
        <f t="shared" si="1967"/>
        <v>藤井寺高等学校</v>
      </c>
      <c r="C5374" s="7" t="str">
        <f t="shared" si="1950"/>
        <v>行政財産</v>
      </c>
      <c r="D5374" s="7" t="str">
        <f t="shared" si="1971"/>
        <v>学校</v>
      </c>
      <c r="E5374" s="7" t="str">
        <f t="shared" si="1968"/>
        <v>大阪府藤井寺市津堂３丁目</v>
      </c>
      <c r="F5374" s="7"/>
      <c r="G5374" s="7" t="str">
        <f t="shared" si="1956"/>
        <v>事業用資産</v>
      </c>
      <c r="H5374" s="7" t="str">
        <f t="shared" si="1949"/>
        <v>棚卸以外</v>
      </c>
      <c r="I5374" s="7">
        <v>13</v>
      </c>
      <c r="J5374" s="7" t="str">
        <f>"渡り廊下棟"</f>
        <v>渡り廊下棟</v>
      </c>
      <c r="K5374" s="7" t="str">
        <f>"鉄骨造"</f>
        <v>鉄骨造</v>
      </c>
      <c r="L5374" s="7" t="str">
        <f t="shared" si="1969"/>
        <v>S51.03.31</v>
      </c>
      <c r="M5374" s="7">
        <v>90.5</v>
      </c>
      <c r="N5374" s="7">
        <v>4472699</v>
      </c>
      <c r="O5374" s="7">
        <v>4157603</v>
      </c>
      <c r="P5374" s="7">
        <v>0</v>
      </c>
      <c r="Q5374" s="7" t="str">
        <f t="shared" si="1957"/>
        <v>教育庁</v>
      </c>
      <c r="R5374" s="7" t="str">
        <f t="shared" si="1970"/>
        <v>藤井寺高等学校</v>
      </c>
    </row>
    <row r="5375" spans="1:18" s="1" customFormat="1" x14ac:dyDescent="0.45">
      <c r="A5375" s="7" t="str">
        <f t="shared" si="1966"/>
        <v>10438000000</v>
      </c>
      <c r="B5375" s="7" t="str">
        <f t="shared" si="1967"/>
        <v>藤井寺高等学校</v>
      </c>
      <c r="C5375" s="7" t="str">
        <f t="shared" si="1950"/>
        <v>行政財産</v>
      </c>
      <c r="D5375" s="7" t="str">
        <f t="shared" si="1971"/>
        <v>学校</v>
      </c>
      <c r="E5375" s="7" t="str">
        <f t="shared" si="1968"/>
        <v>大阪府藤井寺市津堂３丁目</v>
      </c>
      <c r="F5375" s="7"/>
      <c r="G5375" s="7" t="str">
        <f t="shared" si="1956"/>
        <v>事業用資産</v>
      </c>
      <c r="H5375" s="7" t="str">
        <f t="shared" si="1949"/>
        <v>棚卸以外</v>
      </c>
      <c r="I5375" s="7">
        <v>14</v>
      </c>
      <c r="J5375" s="7" t="str">
        <f>"プール附属棟"</f>
        <v>プール附属棟</v>
      </c>
      <c r="K5375" s="7" t="str">
        <f>"コンクリートブロック造"</f>
        <v>コンクリートブロック造</v>
      </c>
      <c r="L5375" s="7" t="str">
        <f t="shared" si="1969"/>
        <v>S51.03.31</v>
      </c>
      <c r="M5375" s="7">
        <v>138</v>
      </c>
      <c r="N5375" s="7">
        <v>26404000</v>
      </c>
      <c r="O5375" s="7">
        <v>26403999</v>
      </c>
      <c r="P5375" s="7">
        <v>0</v>
      </c>
      <c r="Q5375" s="7" t="str">
        <f t="shared" si="1957"/>
        <v>教育庁</v>
      </c>
      <c r="R5375" s="7" t="str">
        <f t="shared" si="1970"/>
        <v>藤井寺高等学校</v>
      </c>
    </row>
    <row r="5376" spans="1:18" s="1" customFormat="1" x14ac:dyDescent="0.45">
      <c r="A5376" s="7" t="str">
        <f t="shared" si="1966"/>
        <v>10438000000</v>
      </c>
      <c r="B5376" s="7" t="str">
        <f t="shared" si="1967"/>
        <v>藤井寺高等学校</v>
      </c>
      <c r="C5376" s="7" t="str">
        <f t="shared" si="1950"/>
        <v>行政財産</v>
      </c>
      <c r="D5376" s="7" t="str">
        <f t="shared" si="1971"/>
        <v>学校</v>
      </c>
      <c r="E5376" s="7" t="str">
        <f t="shared" si="1968"/>
        <v>大阪府藤井寺市津堂３丁目</v>
      </c>
      <c r="F5376" s="7"/>
      <c r="G5376" s="7" t="str">
        <f t="shared" si="1956"/>
        <v>事業用資産</v>
      </c>
      <c r="H5376" s="7" t="str">
        <f t="shared" si="1949"/>
        <v>棚卸以外</v>
      </c>
      <c r="I5376" s="7">
        <v>15</v>
      </c>
      <c r="J5376" s="7" t="str">
        <f>"自転車置場（壁有）"</f>
        <v>自転車置場（壁有）</v>
      </c>
      <c r="K5376" s="7" t="str">
        <f t="shared" ref="K5376:K5383" si="1972">"鉄骨造"</f>
        <v>鉄骨造</v>
      </c>
      <c r="L5376" s="7" t="str">
        <f t="shared" si="1969"/>
        <v>S51.03.31</v>
      </c>
      <c r="M5376" s="7">
        <v>105</v>
      </c>
      <c r="N5376" s="7">
        <v>2705000</v>
      </c>
      <c r="O5376" s="7">
        <v>2704999</v>
      </c>
      <c r="P5376" s="7">
        <v>0</v>
      </c>
      <c r="Q5376" s="7" t="str">
        <f t="shared" si="1957"/>
        <v>教育庁</v>
      </c>
      <c r="R5376" s="7" t="str">
        <f t="shared" si="1970"/>
        <v>藤井寺高等学校</v>
      </c>
    </row>
    <row r="5377" spans="1:18" s="1" customFormat="1" x14ac:dyDescent="0.45">
      <c r="A5377" s="7" t="str">
        <f t="shared" si="1966"/>
        <v>10438000000</v>
      </c>
      <c r="B5377" s="7" t="str">
        <f t="shared" si="1967"/>
        <v>藤井寺高等学校</v>
      </c>
      <c r="C5377" s="7" t="str">
        <f t="shared" si="1950"/>
        <v>行政財産</v>
      </c>
      <c r="D5377" s="7" t="str">
        <f t="shared" si="1971"/>
        <v>学校</v>
      </c>
      <c r="E5377" s="7" t="str">
        <f t="shared" si="1968"/>
        <v>大阪府藤井寺市津堂３丁目</v>
      </c>
      <c r="F5377" s="7"/>
      <c r="G5377" s="7" t="str">
        <f t="shared" si="1956"/>
        <v>事業用資産</v>
      </c>
      <c r="H5377" s="7" t="str">
        <f t="shared" si="1949"/>
        <v>棚卸以外</v>
      </c>
      <c r="I5377" s="7">
        <v>17</v>
      </c>
      <c r="J5377" s="7" t="str">
        <f>"特別教室第３期棟"</f>
        <v>特別教室第３期棟</v>
      </c>
      <c r="K5377" s="7" t="str">
        <f t="shared" si="1972"/>
        <v>鉄骨造</v>
      </c>
      <c r="L5377" s="7" t="str">
        <f t="shared" si="1969"/>
        <v>S51.03.31</v>
      </c>
      <c r="M5377" s="7">
        <v>1682.44</v>
      </c>
      <c r="N5377" s="7">
        <v>204710665</v>
      </c>
      <c r="O5377" s="7">
        <v>194849933</v>
      </c>
      <c r="P5377" s="7">
        <v>0</v>
      </c>
      <c r="Q5377" s="7" t="str">
        <f t="shared" si="1957"/>
        <v>教育庁</v>
      </c>
      <c r="R5377" s="7" t="str">
        <f t="shared" si="1970"/>
        <v>藤井寺高等学校</v>
      </c>
    </row>
    <row r="5378" spans="1:18" s="1" customFormat="1" x14ac:dyDescent="0.45">
      <c r="A5378" s="7" t="str">
        <f t="shared" si="1966"/>
        <v>10438000000</v>
      </c>
      <c r="B5378" s="7" t="str">
        <f t="shared" si="1967"/>
        <v>藤井寺高等学校</v>
      </c>
      <c r="C5378" s="7" t="str">
        <f t="shared" si="1950"/>
        <v>行政財産</v>
      </c>
      <c r="D5378" s="7" t="str">
        <f t="shared" si="1971"/>
        <v>学校</v>
      </c>
      <c r="E5378" s="7" t="str">
        <f t="shared" si="1968"/>
        <v>大阪府藤井寺市津堂３丁目</v>
      </c>
      <c r="F5378" s="7"/>
      <c r="G5378" s="7" t="str">
        <f t="shared" si="1956"/>
        <v>事業用資産</v>
      </c>
      <c r="H5378" s="7" t="str">
        <f t="shared" si="1949"/>
        <v>棚卸以外</v>
      </c>
      <c r="I5378" s="7">
        <v>18</v>
      </c>
      <c r="J5378" s="7" t="str">
        <f>"管理棟"</f>
        <v>管理棟</v>
      </c>
      <c r="K5378" s="7" t="str">
        <f t="shared" si="1972"/>
        <v>鉄骨造</v>
      </c>
      <c r="L5378" s="7" t="str">
        <f t="shared" si="1969"/>
        <v>S51.03.31</v>
      </c>
      <c r="M5378" s="7">
        <v>1381.28</v>
      </c>
      <c r="N5378" s="7">
        <v>163012896</v>
      </c>
      <c r="O5378" s="7">
        <v>159513145</v>
      </c>
      <c r="P5378" s="7">
        <v>0</v>
      </c>
      <c r="Q5378" s="7" t="str">
        <f t="shared" si="1957"/>
        <v>教育庁</v>
      </c>
      <c r="R5378" s="7" t="str">
        <f t="shared" si="1970"/>
        <v>藤井寺高等学校</v>
      </c>
    </row>
    <row r="5379" spans="1:18" s="1" customFormat="1" x14ac:dyDescent="0.45">
      <c r="A5379" s="7" t="str">
        <f t="shared" si="1966"/>
        <v>10438000000</v>
      </c>
      <c r="B5379" s="7" t="str">
        <f t="shared" si="1967"/>
        <v>藤井寺高等学校</v>
      </c>
      <c r="C5379" s="7" t="str">
        <f t="shared" si="1950"/>
        <v>行政財産</v>
      </c>
      <c r="D5379" s="7" t="str">
        <f t="shared" si="1971"/>
        <v>学校</v>
      </c>
      <c r="E5379" s="7" t="str">
        <f t="shared" si="1968"/>
        <v>大阪府藤井寺市津堂３丁目</v>
      </c>
      <c r="F5379" s="7"/>
      <c r="G5379" s="7" t="str">
        <f t="shared" si="1956"/>
        <v>事業用資産</v>
      </c>
      <c r="H5379" s="7" t="str">
        <f t="shared" si="1949"/>
        <v>棚卸以外</v>
      </c>
      <c r="I5379" s="7">
        <v>19</v>
      </c>
      <c r="J5379" s="7" t="str">
        <f>"下足棟（Ａ）"</f>
        <v>下足棟（Ａ）</v>
      </c>
      <c r="K5379" s="7" t="str">
        <f t="shared" si="1972"/>
        <v>鉄骨造</v>
      </c>
      <c r="L5379" s="7" t="str">
        <f t="shared" si="1969"/>
        <v>S51.03.31</v>
      </c>
      <c r="M5379" s="7">
        <v>162.5</v>
      </c>
      <c r="N5379" s="7">
        <v>17708000</v>
      </c>
      <c r="O5379" s="7">
        <v>17707999</v>
      </c>
      <c r="P5379" s="7">
        <v>0</v>
      </c>
      <c r="Q5379" s="7" t="str">
        <f t="shared" si="1957"/>
        <v>教育庁</v>
      </c>
      <c r="R5379" s="7" t="str">
        <f t="shared" si="1970"/>
        <v>藤井寺高等学校</v>
      </c>
    </row>
    <row r="5380" spans="1:18" s="1" customFormat="1" x14ac:dyDescent="0.45">
      <c r="A5380" s="7" t="str">
        <f t="shared" si="1966"/>
        <v>10438000000</v>
      </c>
      <c r="B5380" s="7" t="str">
        <f t="shared" si="1967"/>
        <v>藤井寺高等学校</v>
      </c>
      <c r="C5380" s="7" t="str">
        <f t="shared" si="1950"/>
        <v>行政財産</v>
      </c>
      <c r="D5380" s="7" t="str">
        <f t="shared" si="1971"/>
        <v>学校</v>
      </c>
      <c r="E5380" s="7" t="str">
        <f t="shared" si="1968"/>
        <v>大阪府藤井寺市津堂３丁目</v>
      </c>
      <c r="F5380" s="7"/>
      <c r="G5380" s="7" t="str">
        <f t="shared" si="1956"/>
        <v>事業用資産</v>
      </c>
      <c r="H5380" s="7" t="str">
        <f t="shared" ref="H5380:H5443" si="1973">"棚卸以外"</f>
        <v>棚卸以外</v>
      </c>
      <c r="I5380" s="7">
        <v>20</v>
      </c>
      <c r="J5380" s="7" t="str">
        <f>"下足棟（Ｂ）"</f>
        <v>下足棟（Ｂ）</v>
      </c>
      <c r="K5380" s="7" t="str">
        <f t="shared" si="1972"/>
        <v>鉄骨造</v>
      </c>
      <c r="L5380" s="7" t="str">
        <f t="shared" si="1969"/>
        <v>S51.03.31</v>
      </c>
      <c r="M5380" s="7">
        <v>105.5</v>
      </c>
      <c r="N5380" s="7">
        <v>11157000</v>
      </c>
      <c r="O5380" s="7">
        <v>11156999</v>
      </c>
      <c r="P5380" s="7">
        <v>0</v>
      </c>
      <c r="Q5380" s="7" t="str">
        <f t="shared" si="1957"/>
        <v>教育庁</v>
      </c>
      <c r="R5380" s="7" t="str">
        <f t="shared" si="1970"/>
        <v>藤井寺高等学校</v>
      </c>
    </row>
    <row r="5381" spans="1:18" s="1" customFormat="1" x14ac:dyDescent="0.45">
      <c r="A5381" s="7" t="str">
        <f t="shared" si="1966"/>
        <v>10438000000</v>
      </c>
      <c r="B5381" s="7" t="str">
        <f t="shared" si="1967"/>
        <v>藤井寺高等学校</v>
      </c>
      <c r="C5381" s="7" t="str">
        <f t="shared" si="1950"/>
        <v>行政財産</v>
      </c>
      <c r="D5381" s="7" t="str">
        <f t="shared" si="1971"/>
        <v>学校</v>
      </c>
      <c r="E5381" s="7" t="str">
        <f t="shared" si="1968"/>
        <v>大阪府藤井寺市津堂３丁目</v>
      </c>
      <c r="F5381" s="7"/>
      <c r="G5381" s="7" t="str">
        <f t="shared" si="1956"/>
        <v>事業用資産</v>
      </c>
      <c r="H5381" s="7" t="str">
        <f t="shared" si="1973"/>
        <v>棚卸以外</v>
      </c>
      <c r="I5381" s="7">
        <v>21</v>
      </c>
      <c r="J5381" s="7" t="str">
        <f>"自転車置場第３期"</f>
        <v>自転車置場第３期</v>
      </c>
      <c r="K5381" s="7" t="str">
        <f t="shared" si="1972"/>
        <v>鉄骨造</v>
      </c>
      <c r="L5381" s="7" t="str">
        <f t="shared" si="1969"/>
        <v>S51.03.31</v>
      </c>
      <c r="M5381" s="7">
        <v>70.819999999999993</v>
      </c>
      <c r="N5381" s="7">
        <v>2243000</v>
      </c>
      <c r="O5381" s="7">
        <v>2045623</v>
      </c>
      <c r="P5381" s="7">
        <v>0</v>
      </c>
      <c r="Q5381" s="7" t="str">
        <f t="shared" si="1957"/>
        <v>教育庁</v>
      </c>
      <c r="R5381" s="7" t="str">
        <f t="shared" si="1970"/>
        <v>藤井寺高等学校</v>
      </c>
    </row>
    <row r="5382" spans="1:18" s="1" customFormat="1" x14ac:dyDescent="0.45">
      <c r="A5382" s="7" t="str">
        <f t="shared" si="1966"/>
        <v>10438000000</v>
      </c>
      <c r="B5382" s="7" t="str">
        <f t="shared" si="1967"/>
        <v>藤井寺高等学校</v>
      </c>
      <c r="C5382" s="7" t="str">
        <f t="shared" si="1950"/>
        <v>行政財産</v>
      </c>
      <c r="D5382" s="7" t="str">
        <f t="shared" si="1971"/>
        <v>学校</v>
      </c>
      <c r="E5382" s="7" t="str">
        <f t="shared" si="1968"/>
        <v>大阪府藤井寺市津堂３丁目</v>
      </c>
      <c r="F5382" s="7"/>
      <c r="G5382" s="7" t="str">
        <f t="shared" si="1956"/>
        <v>事業用資産</v>
      </c>
      <c r="H5382" s="7" t="str">
        <f t="shared" si="1973"/>
        <v>棚卸以外</v>
      </c>
      <c r="I5382" s="7">
        <v>22</v>
      </c>
      <c r="J5382" s="7" t="str">
        <f>"倉庫（北）"</f>
        <v>倉庫（北）</v>
      </c>
      <c r="K5382" s="7" t="str">
        <f t="shared" si="1972"/>
        <v>鉄骨造</v>
      </c>
      <c r="L5382" s="7" t="str">
        <f>"S52.02.03"</f>
        <v>S52.02.03</v>
      </c>
      <c r="M5382" s="7">
        <v>53.84</v>
      </c>
      <c r="N5382" s="7">
        <v>3591000</v>
      </c>
      <c r="O5382" s="7">
        <v>3590999</v>
      </c>
      <c r="P5382" s="7">
        <v>0</v>
      </c>
      <c r="Q5382" s="7" t="str">
        <f t="shared" si="1957"/>
        <v>教育庁</v>
      </c>
      <c r="R5382" s="7" t="str">
        <f t="shared" si="1970"/>
        <v>藤井寺高等学校</v>
      </c>
    </row>
    <row r="5383" spans="1:18" s="1" customFormat="1" x14ac:dyDescent="0.45">
      <c r="A5383" s="7" t="str">
        <f t="shared" si="1966"/>
        <v>10438000000</v>
      </c>
      <c r="B5383" s="7" t="str">
        <f t="shared" si="1967"/>
        <v>藤井寺高等学校</v>
      </c>
      <c r="C5383" s="7" t="str">
        <f t="shared" si="1950"/>
        <v>行政財産</v>
      </c>
      <c r="D5383" s="7" t="str">
        <f t="shared" si="1971"/>
        <v>学校</v>
      </c>
      <c r="E5383" s="7" t="str">
        <f t="shared" si="1968"/>
        <v>大阪府藤井寺市津堂３丁目</v>
      </c>
      <c r="F5383" s="7"/>
      <c r="G5383" s="7" t="str">
        <f t="shared" si="1956"/>
        <v>事業用資産</v>
      </c>
      <c r="H5383" s="7" t="str">
        <f t="shared" si="1973"/>
        <v>棚卸以外</v>
      </c>
      <c r="I5383" s="7">
        <v>23</v>
      </c>
      <c r="J5383" s="7" t="str">
        <f>"倉庫（南）"</f>
        <v>倉庫（南）</v>
      </c>
      <c r="K5383" s="7" t="str">
        <f t="shared" si="1972"/>
        <v>鉄骨造</v>
      </c>
      <c r="L5383" s="7" t="str">
        <f>"S52.02.03"</f>
        <v>S52.02.03</v>
      </c>
      <c r="M5383" s="7">
        <v>53.84</v>
      </c>
      <c r="N5383" s="7">
        <v>3591000</v>
      </c>
      <c r="O5383" s="7">
        <v>3590999</v>
      </c>
      <c r="P5383" s="7">
        <v>0</v>
      </c>
      <c r="Q5383" s="7" t="str">
        <f t="shared" si="1957"/>
        <v>教育庁</v>
      </c>
      <c r="R5383" s="7" t="str">
        <f t="shared" si="1970"/>
        <v>藤井寺高等学校</v>
      </c>
    </row>
    <row r="5384" spans="1:18" s="1" customFormat="1" x14ac:dyDescent="0.45">
      <c r="A5384" s="7" t="str">
        <f t="shared" ref="A5384:A5390" si="1974">"10439000000"</f>
        <v>10439000000</v>
      </c>
      <c r="B5384" s="7" t="str">
        <f t="shared" ref="B5384:B5390" si="1975">"美原高等学校"</f>
        <v>美原高等学校</v>
      </c>
      <c r="C5384" s="7" t="str">
        <f t="shared" si="1950"/>
        <v>行政財産</v>
      </c>
      <c r="D5384" s="7" t="str">
        <f t="shared" si="1971"/>
        <v>学校</v>
      </c>
      <c r="E5384" s="7" t="str">
        <f t="shared" ref="E5384:E5390" si="1976">"大阪府堺市　美原区平尾"</f>
        <v>大阪府堺市　美原区平尾</v>
      </c>
      <c r="F5384" s="7"/>
      <c r="G5384" s="7" t="str">
        <f t="shared" si="1956"/>
        <v>事業用資産</v>
      </c>
      <c r="H5384" s="7" t="str">
        <f t="shared" si="1973"/>
        <v>棚卸以外</v>
      </c>
      <c r="I5384" s="7">
        <v>1</v>
      </c>
      <c r="J5384" s="7" t="str">
        <f>"普通棟"</f>
        <v>普通棟</v>
      </c>
      <c r="K5384" s="7" t="str">
        <f>"鉄筋コンクリート造"</f>
        <v>鉄筋コンクリート造</v>
      </c>
      <c r="L5384" s="7" t="str">
        <f>"S51.03.31"</f>
        <v>S51.03.31</v>
      </c>
      <c r="M5384" s="7">
        <v>6075.32</v>
      </c>
      <c r="N5384" s="7">
        <v>715449746</v>
      </c>
      <c r="O5384" s="7">
        <v>568009392</v>
      </c>
      <c r="P5384" s="7">
        <v>0</v>
      </c>
      <c r="Q5384" s="7" t="str">
        <f t="shared" si="1957"/>
        <v>教育庁</v>
      </c>
      <c r="R5384" s="7" t="str">
        <f t="shared" ref="R5384:R5390" si="1977">"美原高等学校"</f>
        <v>美原高等学校</v>
      </c>
    </row>
    <row r="5385" spans="1:18" s="1" customFormat="1" x14ac:dyDescent="0.45">
      <c r="A5385" s="7" t="str">
        <f t="shared" si="1974"/>
        <v>10439000000</v>
      </c>
      <c r="B5385" s="7" t="str">
        <f t="shared" si="1975"/>
        <v>美原高等学校</v>
      </c>
      <c r="C5385" s="7" t="str">
        <f t="shared" si="1950"/>
        <v>行政財産</v>
      </c>
      <c r="D5385" s="7" t="str">
        <f t="shared" si="1971"/>
        <v>学校</v>
      </c>
      <c r="E5385" s="7" t="str">
        <f t="shared" si="1976"/>
        <v>大阪府堺市　美原区平尾</v>
      </c>
      <c r="F5385" s="7"/>
      <c r="G5385" s="7" t="str">
        <f t="shared" si="1956"/>
        <v>事業用資産</v>
      </c>
      <c r="H5385" s="7" t="str">
        <f t="shared" si="1973"/>
        <v>棚卸以外</v>
      </c>
      <c r="I5385" s="7">
        <v>2</v>
      </c>
      <c r="J5385" s="7" t="str">
        <f>"特別棟"</f>
        <v>特別棟</v>
      </c>
      <c r="K5385" s="7" t="str">
        <f>"鉄筋コンクリート造"</f>
        <v>鉄筋コンクリート造</v>
      </c>
      <c r="L5385" s="7" t="str">
        <f>"S51.03.31"</f>
        <v>S51.03.31</v>
      </c>
      <c r="M5385" s="7">
        <v>5398.28</v>
      </c>
      <c r="N5385" s="7">
        <v>535088276</v>
      </c>
      <c r="O5385" s="7">
        <v>479687423</v>
      </c>
      <c r="P5385" s="7">
        <v>0</v>
      </c>
      <c r="Q5385" s="7" t="str">
        <f t="shared" si="1957"/>
        <v>教育庁</v>
      </c>
      <c r="R5385" s="7" t="str">
        <f t="shared" si="1977"/>
        <v>美原高等学校</v>
      </c>
    </row>
    <row r="5386" spans="1:18" s="1" customFormat="1" x14ac:dyDescent="0.45">
      <c r="A5386" s="7" t="str">
        <f t="shared" si="1974"/>
        <v>10439000000</v>
      </c>
      <c r="B5386" s="7" t="str">
        <f t="shared" si="1975"/>
        <v>美原高等学校</v>
      </c>
      <c r="C5386" s="7" t="str">
        <f t="shared" si="1950"/>
        <v>行政財産</v>
      </c>
      <c r="D5386" s="7" t="str">
        <f t="shared" si="1971"/>
        <v>学校</v>
      </c>
      <c r="E5386" s="7" t="str">
        <f t="shared" si="1976"/>
        <v>大阪府堺市　美原区平尾</v>
      </c>
      <c r="F5386" s="7"/>
      <c r="G5386" s="7" t="str">
        <f t="shared" si="1956"/>
        <v>事業用資産</v>
      </c>
      <c r="H5386" s="7" t="str">
        <f t="shared" si="1973"/>
        <v>棚卸以外</v>
      </c>
      <c r="I5386" s="7">
        <v>3</v>
      </c>
      <c r="J5386" s="7" t="str">
        <f>"設備棟"</f>
        <v>設備棟</v>
      </c>
      <c r="K5386" s="7" t="str">
        <f>"鉄筋コンクリート造"</f>
        <v>鉄筋コンクリート造</v>
      </c>
      <c r="L5386" s="7" t="str">
        <f>"S51.03.31"</f>
        <v>S51.03.31</v>
      </c>
      <c r="M5386" s="7">
        <v>117</v>
      </c>
      <c r="N5386" s="7">
        <v>64771456</v>
      </c>
      <c r="O5386" s="7">
        <v>22959081</v>
      </c>
      <c r="P5386" s="7">
        <v>0</v>
      </c>
      <c r="Q5386" s="7" t="str">
        <f t="shared" si="1957"/>
        <v>教育庁</v>
      </c>
      <c r="R5386" s="7" t="str">
        <f t="shared" si="1977"/>
        <v>美原高等学校</v>
      </c>
    </row>
    <row r="5387" spans="1:18" s="1" customFormat="1" x14ac:dyDescent="0.45">
      <c r="A5387" s="7" t="str">
        <f t="shared" si="1974"/>
        <v>10439000000</v>
      </c>
      <c r="B5387" s="7" t="str">
        <f t="shared" si="1975"/>
        <v>美原高等学校</v>
      </c>
      <c r="C5387" s="7" t="str">
        <f t="shared" si="1950"/>
        <v>行政財産</v>
      </c>
      <c r="D5387" s="7" t="str">
        <f t="shared" si="1971"/>
        <v>学校</v>
      </c>
      <c r="E5387" s="7" t="str">
        <f t="shared" si="1976"/>
        <v>大阪府堺市　美原区平尾</v>
      </c>
      <c r="F5387" s="7"/>
      <c r="G5387" s="7" t="str">
        <f t="shared" si="1956"/>
        <v>事業用資産</v>
      </c>
      <c r="H5387" s="7" t="str">
        <f t="shared" si="1973"/>
        <v>棚卸以外</v>
      </c>
      <c r="I5387" s="7">
        <v>6</v>
      </c>
      <c r="J5387" s="7" t="str">
        <f>"倉庫"</f>
        <v>倉庫</v>
      </c>
      <c r="K5387" s="7" t="str">
        <f>"鉄骨造"</f>
        <v>鉄骨造</v>
      </c>
      <c r="L5387" s="7" t="str">
        <f>"S52.03.31"</f>
        <v>S52.03.31</v>
      </c>
      <c r="M5387" s="7">
        <v>50</v>
      </c>
      <c r="N5387" s="7">
        <v>3824000</v>
      </c>
      <c r="O5387" s="7">
        <v>3823999</v>
      </c>
      <c r="P5387" s="7">
        <v>0</v>
      </c>
      <c r="Q5387" s="7" t="str">
        <f t="shared" si="1957"/>
        <v>教育庁</v>
      </c>
      <c r="R5387" s="7" t="str">
        <f t="shared" si="1977"/>
        <v>美原高等学校</v>
      </c>
    </row>
    <row r="5388" spans="1:18" s="1" customFormat="1" x14ac:dyDescent="0.45">
      <c r="A5388" s="7" t="str">
        <f t="shared" si="1974"/>
        <v>10439000000</v>
      </c>
      <c r="B5388" s="7" t="str">
        <f t="shared" si="1975"/>
        <v>美原高等学校</v>
      </c>
      <c r="C5388" s="7" t="str">
        <f t="shared" si="1950"/>
        <v>行政財産</v>
      </c>
      <c r="D5388" s="7" t="str">
        <f t="shared" si="1971"/>
        <v>学校</v>
      </c>
      <c r="E5388" s="7" t="str">
        <f t="shared" si="1976"/>
        <v>大阪府堺市　美原区平尾</v>
      </c>
      <c r="F5388" s="7"/>
      <c r="G5388" s="7" t="str">
        <f t="shared" si="1956"/>
        <v>事業用資産</v>
      </c>
      <c r="H5388" s="7" t="str">
        <f t="shared" si="1973"/>
        <v>棚卸以外</v>
      </c>
      <c r="I5388" s="7">
        <v>8</v>
      </c>
      <c r="J5388" s="7" t="str">
        <f>"プール棟"</f>
        <v>プール棟</v>
      </c>
      <c r="K5388" s="7" t="str">
        <f>"鉄筋コンクリート造"</f>
        <v>鉄筋コンクリート造</v>
      </c>
      <c r="L5388" s="7" t="str">
        <f>"S52.07.25"</f>
        <v>S52.07.25</v>
      </c>
      <c r="M5388" s="7">
        <v>151.16999999999999</v>
      </c>
      <c r="N5388" s="7">
        <v>26479250</v>
      </c>
      <c r="O5388" s="7">
        <v>26337309</v>
      </c>
      <c r="P5388" s="7">
        <v>0</v>
      </c>
      <c r="Q5388" s="7" t="str">
        <f t="shared" si="1957"/>
        <v>教育庁</v>
      </c>
      <c r="R5388" s="7" t="str">
        <f t="shared" si="1977"/>
        <v>美原高等学校</v>
      </c>
    </row>
    <row r="5389" spans="1:18" s="1" customFormat="1" x14ac:dyDescent="0.45">
      <c r="A5389" s="7" t="str">
        <f t="shared" si="1974"/>
        <v>10439000000</v>
      </c>
      <c r="B5389" s="7" t="str">
        <f t="shared" si="1975"/>
        <v>美原高等学校</v>
      </c>
      <c r="C5389" s="7" t="str">
        <f t="shared" ref="C5389:C5452" si="1978">"行政財産"</f>
        <v>行政財産</v>
      </c>
      <c r="D5389" s="7" t="str">
        <f t="shared" si="1971"/>
        <v>学校</v>
      </c>
      <c r="E5389" s="7" t="str">
        <f t="shared" si="1976"/>
        <v>大阪府堺市　美原区平尾</v>
      </c>
      <c r="F5389" s="7"/>
      <c r="G5389" s="7" t="str">
        <f t="shared" si="1956"/>
        <v>事業用資産</v>
      </c>
      <c r="H5389" s="7" t="str">
        <f t="shared" si="1973"/>
        <v>棚卸以外</v>
      </c>
      <c r="I5389" s="7">
        <v>9</v>
      </c>
      <c r="J5389" s="7" t="str">
        <f>"体育館"</f>
        <v>体育館</v>
      </c>
      <c r="K5389" s="7" t="str">
        <f>"鉄筋コンクリート造"</f>
        <v>鉄筋コンクリート造</v>
      </c>
      <c r="L5389" s="7" t="str">
        <f>"S52.09.27"</f>
        <v>S52.09.27</v>
      </c>
      <c r="M5389" s="7">
        <v>3006.7</v>
      </c>
      <c r="N5389" s="7">
        <v>320017142</v>
      </c>
      <c r="O5389" s="7">
        <v>285238258</v>
      </c>
      <c r="P5389" s="7">
        <v>0</v>
      </c>
      <c r="Q5389" s="7" t="str">
        <f t="shared" si="1957"/>
        <v>教育庁</v>
      </c>
      <c r="R5389" s="7" t="str">
        <f t="shared" si="1977"/>
        <v>美原高等学校</v>
      </c>
    </row>
    <row r="5390" spans="1:18" s="1" customFormat="1" x14ac:dyDescent="0.45">
      <c r="A5390" s="7" t="str">
        <f t="shared" si="1974"/>
        <v>10439000000</v>
      </c>
      <c r="B5390" s="7" t="str">
        <f t="shared" si="1975"/>
        <v>美原高等学校</v>
      </c>
      <c r="C5390" s="7" t="str">
        <f t="shared" si="1978"/>
        <v>行政財産</v>
      </c>
      <c r="D5390" s="7" t="str">
        <f t="shared" si="1971"/>
        <v>学校</v>
      </c>
      <c r="E5390" s="7" t="str">
        <f t="shared" si="1976"/>
        <v>大阪府堺市　美原区平尾</v>
      </c>
      <c r="F5390" s="7"/>
      <c r="G5390" s="7" t="str">
        <f t="shared" si="1956"/>
        <v>事業用資産</v>
      </c>
      <c r="H5390" s="7" t="str">
        <f t="shared" si="1973"/>
        <v>棚卸以外</v>
      </c>
      <c r="I5390" s="7">
        <v>10</v>
      </c>
      <c r="J5390" s="7" t="str">
        <f>"倉庫"</f>
        <v>倉庫</v>
      </c>
      <c r="K5390" s="7" t="str">
        <f>"コンクリートブロック造"</f>
        <v>コンクリートブロック造</v>
      </c>
      <c r="L5390" s="7" t="str">
        <f>"S52.09.27"</f>
        <v>S52.09.27</v>
      </c>
      <c r="M5390" s="7">
        <v>102.47</v>
      </c>
      <c r="N5390" s="7">
        <v>4851000</v>
      </c>
      <c r="O5390" s="7">
        <v>4850999</v>
      </c>
      <c r="P5390" s="7">
        <v>0</v>
      </c>
      <c r="Q5390" s="7" t="str">
        <f t="shared" si="1957"/>
        <v>教育庁</v>
      </c>
      <c r="R5390" s="7" t="str">
        <f t="shared" si="1977"/>
        <v>美原高等学校</v>
      </c>
    </row>
    <row r="5391" spans="1:18" s="1" customFormat="1" x14ac:dyDescent="0.45">
      <c r="A5391" s="7" t="str">
        <f>"10440000000"</f>
        <v>10440000000</v>
      </c>
      <c r="B5391" s="7" t="str">
        <f>"狭山高等学校"</f>
        <v>狭山高等学校</v>
      </c>
      <c r="C5391" s="7" t="str">
        <f t="shared" si="1978"/>
        <v>行政財産</v>
      </c>
      <c r="D5391" s="7" t="str">
        <f t="shared" si="1971"/>
        <v>学校</v>
      </c>
      <c r="E5391" s="7" t="str">
        <f>"大阪府大阪狭山市半田４丁目"</f>
        <v>大阪府大阪狭山市半田４丁目</v>
      </c>
      <c r="F5391" s="7"/>
      <c r="G5391" s="7" t="str">
        <f t="shared" si="1956"/>
        <v>事業用資産</v>
      </c>
      <c r="H5391" s="7" t="str">
        <f t="shared" si="1973"/>
        <v>棚卸以外</v>
      </c>
      <c r="I5391" s="7">
        <v>1</v>
      </c>
      <c r="J5391" s="7" t="str">
        <f>"校舎棟"</f>
        <v>校舎棟</v>
      </c>
      <c r="K5391" s="7" t="str">
        <f>"鉄筋コンクリート造"</f>
        <v>鉄筋コンクリート造</v>
      </c>
      <c r="L5391" s="7" t="str">
        <f>"S55.08.25"</f>
        <v>S55.08.25</v>
      </c>
      <c r="M5391" s="7">
        <v>10958.77</v>
      </c>
      <c r="N5391" s="7">
        <v>1467705313</v>
      </c>
      <c r="O5391" s="7">
        <v>1195614519</v>
      </c>
      <c r="P5391" s="7">
        <v>0</v>
      </c>
      <c r="Q5391" s="7" t="str">
        <f t="shared" si="1957"/>
        <v>教育庁</v>
      </c>
      <c r="R5391" s="7" t="str">
        <f>"狭山高等学校"</f>
        <v>狭山高等学校</v>
      </c>
    </row>
    <row r="5392" spans="1:18" s="1" customFormat="1" x14ac:dyDescent="0.45">
      <c r="A5392" s="7" t="str">
        <f>"10440000000"</f>
        <v>10440000000</v>
      </c>
      <c r="B5392" s="7" t="str">
        <f>"狭山高等学校"</f>
        <v>狭山高等学校</v>
      </c>
      <c r="C5392" s="7" t="str">
        <f t="shared" si="1978"/>
        <v>行政財産</v>
      </c>
      <c r="D5392" s="7" t="str">
        <f t="shared" si="1971"/>
        <v>学校</v>
      </c>
      <c r="E5392" s="7" t="str">
        <f>"大阪府大阪狭山市半田４丁目"</f>
        <v>大阪府大阪狭山市半田４丁目</v>
      </c>
      <c r="F5392" s="7"/>
      <c r="G5392" s="7" t="str">
        <f t="shared" si="1956"/>
        <v>事業用資産</v>
      </c>
      <c r="H5392" s="7" t="str">
        <f t="shared" si="1973"/>
        <v>棚卸以外</v>
      </c>
      <c r="I5392" s="7">
        <v>2</v>
      </c>
      <c r="J5392" s="7" t="str">
        <f>"汚水処理場"</f>
        <v>汚水処理場</v>
      </c>
      <c r="K5392" s="7" t="str">
        <f>"鉄筋コンクリート造"</f>
        <v>鉄筋コンクリート造</v>
      </c>
      <c r="L5392" s="7" t="str">
        <f>"S55.08.30"</f>
        <v>S55.08.30</v>
      </c>
      <c r="M5392" s="7">
        <v>66.53</v>
      </c>
      <c r="N5392" s="7">
        <v>58104000</v>
      </c>
      <c r="O5392" s="7">
        <v>58103999</v>
      </c>
      <c r="P5392" s="7">
        <v>0</v>
      </c>
      <c r="Q5392" s="7" t="str">
        <f t="shared" si="1957"/>
        <v>教育庁</v>
      </c>
      <c r="R5392" s="7" t="str">
        <f>"狭山高等学校"</f>
        <v>狭山高等学校</v>
      </c>
    </row>
    <row r="5393" spans="1:18" s="1" customFormat="1" x14ac:dyDescent="0.45">
      <c r="A5393" s="7" t="str">
        <f>"10440000000"</f>
        <v>10440000000</v>
      </c>
      <c r="B5393" s="7" t="str">
        <f>"狭山高等学校"</f>
        <v>狭山高等学校</v>
      </c>
      <c r="C5393" s="7" t="str">
        <f t="shared" si="1978"/>
        <v>行政財産</v>
      </c>
      <c r="D5393" s="7" t="str">
        <f t="shared" si="1971"/>
        <v>学校</v>
      </c>
      <c r="E5393" s="7" t="str">
        <f>"大阪府大阪狭山市半田４丁目"</f>
        <v>大阪府大阪狭山市半田４丁目</v>
      </c>
      <c r="F5393" s="7"/>
      <c r="G5393" s="7" t="str">
        <f t="shared" si="1956"/>
        <v>事業用資産</v>
      </c>
      <c r="H5393" s="7" t="str">
        <f t="shared" si="1973"/>
        <v>棚卸以外</v>
      </c>
      <c r="I5393" s="7">
        <v>3</v>
      </c>
      <c r="J5393" s="7" t="str">
        <f>"体育館"</f>
        <v>体育館</v>
      </c>
      <c r="K5393" s="7" t="str">
        <f>"鉄筋コンクリート造"</f>
        <v>鉄筋コンクリート造</v>
      </c>
      <c r="L5393" s="7" t="str">
        <f>"S56.07.16"</f>
        <v>S56.07.16</v>
      </c>
      <c r="M5393" s="7">
        <v>3137.89</v>
      </c>
      <c r="N5393" s="7">
        <v>503764316</v>
      </c>
      <c r="O5393" s="7">
        <v>380240789</v>
      </c>
      <c r="P5393" s="7">
        <v>0</v>
      </c>
      <c r="Q5393" s="7" t="str">
        <f t="shared" si="1957"/>
        <v>教育庁</v>
      </c>
      <c r="R5393" s="7" t="str">
        <f>"狭山高等学校"</f>
        <v>狭山高等学校</v>
      </c>
    </row>
    <row r="5394" spans="1:18" s="1" customFormat="1" x14ac:dyDescent="0.45">
      <c r="A5394" s="7" t="str">
        <f>"10440000000"</f>
        <v>10440000000</v>
      </c>
      <c r="B5394" s="7" t="str">
        <f>"狭山高等学校"</f>
        <v>狭山高等学校</v>
      </c>
      <c r="C5394" s="7" t="str">
        <f t="shared" si="1978"/>
        <v>行政財産</v>
      </c>
      <c r="D5394" s="7" t="str">
        <f t="shared" si="1971"/>
        <v>学校</v>
      </c>
      <c r="E5394" s="7" t="str">
        <f>"大阪府大阪狭山市半田４丁目"</f>
        <v>大阪府大阪狭山市半田４丁目</v>
      </c>
      <c r="F5394" s="7"/>
      <c r="G5394" s="7" t="str">
        <f t="shared" si="1956"/>
        <v>事業用資産</v>
      </c>
      <c r="H5394" s="7" t="str">
        <f t="shared" si="1973"/>
        <v>棚卸以外</v>
      </c>
      <c r="I5394" s="7">
        <v>4</v>
      </c>
      <c r="J5394" s="7" t="str">
        <f>"附属棟"</f>
        <v>附属棟</v>
      </c>
      <c r="K5394" s="7" t="str">
        <f>"鉄筋コンクリート造"</f>
        <v>鉄筋コンクリート造</v>
      </c>
      <c r="L5394" s="7" t="str">
        <f>"S56.03.31"</f>
        <v>S56.03.31</v>
      </c>
      <c r="M5394" s="7">
        <v>138</v>
      </c>
      <c r="N5394" s="7">
        <v>33251659</v>
      </c>
      <c r="O5394" s="7">
        <v>29597362</v>
      </c>
      <c r="P5394" s="7">
        <v>0</v>
      </c>
      <c r="Q5394" s="7" t="str">
        <f t="shared" si="1957"/>
        <v>教育庁</v>
      </c>
      <c r="R5394" s="7" t="str">
        <f>"狭山高等学校"</f>
        <v>狭山高等学校</v>
      </c>
    </row>
    <row r="5395" spans="1:18" s="1" customFormat="1" x14ac:dyDescent="0.45">
      <c r="A5395" s="7" t="str">
        <f>"10440000000"</f>
        <v>10440000000</v>
      </c>
      <c r="B5395" s="7" t="str">
        <f>"狭山高等学校"</f>
        <v>狭山高等学校</v>
      </c>
      <c r="C5395" s="7" t="str">
        <f t="shared" si="1978"/>
        <v>行政財産</v>
      </c>
      <c r="D5395" s="7" t="str">
        <f t="shared" si="1971"/>
        <v>学校</v>
      </c>
      <c r="E5395" s="7" t="str">
        <f>"大阪府大阪狭山市半田４丁目"</f>
        <v>大阪府大阪狭山市半田４丁目</v>
      </c>
      <c r="F5395" s="7"/>
      <c r="G5395" s="7" t="str">
        <f t="shared" si="1956"/>
        <v>事業用資産</v>
      </c>
      <c r="H5395" s="7" t="str">
        <f t="shared" si="1973"/>
        <v>棚卸以外</v>
      </c>
      <c r="I5395" s="7">
        <v>5</v>
      </c>
      <c r="J5395" s="7" t="str">
        <f>"倉庫"</f>
        <v>倉庫</v>
      </c>
      <c r="K5395" s="7" t="str">
        <f>"鉄骨造"</f>
        <v>鉄骨造</v>
      </c>
      <c r="L5395" s="7" t="str">
        <f>"S56.07.10"</f>
        <v>S56.07.10</v>
      </c>
      <c r="M5395" s="7">
        <v>200</v>
      </c>
      <c r="N5395" s="7">
        <v>20159000</v>
      </c>
      <c r="O5395" s="7">
        <v>20158999</v>
      </c>
      <c r="P5395" s="7">
        <v>0</v>
      </c>
      <c r="Q5395" s="7" t="str">
        <f t="shared" si="1957"/>
        <v>教育庁</v>
      </c>
      <c r="R5395" s="7" t="str">
        <f>"狭山高等学校"</f>
        <v>狭山高等学校</v>
      </c>
    </row>
    <row r="5396" spans="1:18" s="1" customFormat="1" x14ac:dyDescent="0.45">
      <c r="A5396" s="7" t="str">
        <f t="shared" ref="A5396:A5415" si="1979">"10441000000"</f>
        <v>10441000000</v>
      </c>
      <c r="B5396" s="7" t="str">
        <f t="shared" ref="B5396:B5415" si="1980">"登美丘高等学校"</f>
        <v>登美丘高等学校</v>
      </c>
      <c r="C5396" s="7" t="str">
        <f t="shared" si="1978"/>
        <v>行政財産</v>
      </c>
      <c r="D5396" s="7" t="str">
        <f t="shared" si="1971"/>
        <v>学校</v>
      </c>
      <c r="E5396" s="7" t="str">
        <f t="shared" ref="E5396:E5415" si="1981">"大阪府堺市　東区西野"</f>
        <v>大阪府堺市　東区西野</v>
      </c>
      <c r="F5396" s="7"/>
      <c r="G5396" s="7" t="str">
        <f t="shared" si="1956"/>
        <v>事業用資産</v>
      </c>
      <c r="H5396" s="7" t="str">
        <f t="shared" si="1973"/>
        <v>棚卸以外</v>
      </c>
      <c r="I5396" s="7">
        <v>24</v>
      </c>
      <c r="J5396" s="7" t="str">
        <f>"校舎（５号館）"</f>
        <v>校舎（５号館）</v>
      </c>
      <c r="K5396" s="7" t="str">
        <f>"鉄筋コンクリート造"</f>
        <v>鉄筋コンクリート造</v>
      </c>
      <c r="L5396" s="7" t="str">
        <f>"S38.03.20"</f>
        <v>S38.03.20</v>
      </c>
      <c r="M5396" s="7">
        <v>535.39</v>
      </c>
      <c r="N5396" s="7">
        <v>25153491</v>
      </c>
      <c r="O5396" s="7">
        <v>18368973</v>
      </c>
      <c r="P5396" s="7">
        <v>0</v>
      </c>
      <c r="Q5396" s="7" t="str">
        <f t="shared" si="1957"/>
        <v>教育庁</v>
      </c>
      <c r="R5396" s="7" t="str">
        <f t="shared" ref="R5396:R5415" si="1982">"登美丘高等学校"</f>
        <v>登美丘高等学校</v>
      </c>
    </row>
    <row r="5397" spans="1:18" s="1" customFormat="1" x14ac:dyDescent="0.45">
      <c r="A5397" s="7" t="str">
        <f t="shared" si="1979"/>
        <v>10441000000</v>
      </c>
      <c r="B5397" s="7" t="str">
        <f t="shared" si="1980"/>
        <v>登美丘高等学校</v>
      </c>
      <c r="C5397" s="7" t="str">
        <f t="shared" si="1978"/>
        <v>行政財産</v>
      </c>
      <c r="D5397" s="7" t="str">
        <f t="shared" si="1971"/>
        <v>学校</v>
      </c>
      <c r="E5397" s="7" t="str">
        <f t="shared" si="1981"/>
        <v>大阪府堺市　東区西野</v>
      </c>
      <c r="F5397" s="7"/>
      <c r="G5397" s="7" t="str">
        <f t="shared" si="1956"/>
        <v>事業用資産</v>
      </c>
      <c r="H5397" s="7" t="str">
        <f t="shared" si="1973"/>
        <v>棚卸以外</v>
      </c>
      <c r="I5397" s="7">
        <v>28</v>
      </c>
      <c r="J5397" s="7" t="str">
        <f>"同窓会館"</f>
        <v>同窓会館</v>
      </c>
      <c r="K5397" s="7" t="str">
        <f>"鉄筋コンクリート造"</f>
        <v>鉄筋コンクリート造</v>
      </c>
      <c r="L5397" s="7" t="str">
        <f>"S38.02.22"</f>
        <v>S38.02.22</v>
      </c>
      <c r="M5397" s="7">
        <v>169.9</v>
      </c>
      <c r="N5397" s="7">
        <v>13778000</v>
      </c>
      <c r="O5397" s="7">
        <v>13777999</v>
      </c>
      <c r="P5397" s="7">
        <v>0</v>
      </c>
      <c r="Q5397" s="7" t="str">
        <f t="shared" si="1957"/>
        <v>教育庁</v>
      </c>
      <c r="R5397" s="7" t="str">
        <f t="shared" si="1982"/>
        <v>登美丘高等学校</v>
      </c>
    </row>
    <row r="5398" spans="1:18" s="1" customFormat="1" x14ac:dyDescent="0.45">
      <c r="A5398" s="7" t="str">
        <f t="shared" si="1979"/>
        <v>10441000000</v>
      </c>
      <c r="B5398" s="7" t="str">
        <f t="shared" si="1980"/>
        <v>登美丘高等学校</v>
      </c>
      <c r="C5398" s="7" t="str">
        <f t="shared" si="1978"/>
        <v>行政財産</v>
      </c>
      <c r="D5398" s="7" t="str">
        <f t="shared" si="1971"/>
        <v>学校</v>
      </c>
      <c r="E5398" s="7" t="str">
        <f t="shared" si="1981"/>
        <v>大阪府堺市　東区西野</v>
      </c>
      <c r="F5398" s="7"/>
      <c r="G5398" s="7" t="str">
        <f t="shared" si="1956"/>
        <v>事業用資産</v>
      </c>
      <c r="H5398" s="7" t="str">
        <f t="shared" si="1973"/>
        <v>棚卸以外</v>
      </c>
      <c r="I5398" s="7">
        <v>34</v>
      </c>
      <c r="J5398" s="7" t="str">
        <f>"プール機械室"</f>
        <v>プール機械室</v>
      </c>
      <c r="K5398" s="7" t="str">
        <f>"コンクリートブロック造"</f>
        <v>コンクリートブロック造</v>
      </c>
      <c r="L5398" s="7" t="str">
        <f>"S43.03.28"</f>
        <v>S43.03.28</v>
      </c>
      <c r="M5398" s="7">
        <v>28.32</v>
      </c>
      <c r="N5398" s="7">
        <v>809000</v>
      </c>
      <c r="O5398" s="7">
        <v>808999</v>
      </c>
      <c r="P5398" s="7">
        <v>0</v>
      </c>
      <c r="Q5398" s="7" t="str">
        <f t="shared" si="1957"/>
        <v>教育庁</v>
      </c>
      <c r="R5398" s="7" t="str">
        <f t="shared" si="1982"/>
        <v>登美丘高等学校</v>
      </c>
    </row>
    <row r="5399" spans="1:18" s="1" customFormat="1" x14ac:dyDescent="0.45">
      <c r="A5399" s="7" t="str">
        <f t="shared" si="1979"/>
        <v>10441000000</v>
      </c>
      <c r="B5399" s="7" t="str">
        <f t="shared" si="1980"/>
        <v>登美丘高等学校</v>
      </c>
      <c r="C5399" s="7" t="str">
        <f t="shared" si="1978"/>
        <v>行政財産</v>
      </c>
      <c r="D5399" s="7" t="str">
        <f t="shared" si="1971"/>
        <v>学校</v>
      </c>
      <c r="E5399" s="7" t="str">
        <f t="shared" si="1981"/>
        <v>大阪府堺市　東区西野</v>
      </c>
      <c r="F5399" s="7"/>
      <c r="G5399" s="7" t="str">
        <f t="shared" ref="G5399:G5462" si="1983">"事業用資産"</f>
        <v>事業用資産</v>
      </c>
      <c r="H5399" s="7" t="str">
        <f t="shared" si="1973"/>
        <v>棚卸以外</v>
      </c>
      <c r="I5399" s="7">
        <v>36</v>
      </c>
      <c r="J5399" s="7" t="str">
        <f>"プール更衣室及び便所"</f>
        <v>プール更衣室及び便所</v>
      </c>
      <c r="K5399" s="7" t="str">
        <f>"コンクリートブロック造"</f>
        <v>コンクリートブロック造</v>
      </c>
      <c r="L5399" s="7" t="str">
        <f>"S43.07.15"</f>
        <v>S43.07.15</v>
      </c>
      <c r="M5399" s="7">
        <v>85.55</v>
      </c>
      <c r="N5399" s="7">
        <v>6036268</v>
      </c>
      <c r="O5399" s="7">
        <v>5964239</v>
      </c>
      <c r="P5399" s="7">
        <v>0</v>
      </c>
      <c r="Q5399" s="7" t="str">
        <f t="shared" si="1957"/>
        <v>教育庁</v>
      </c>
      <c r="R5399" s="7" t="str">
        <f t="shared" si="1982"/>
        <v>登美丘高等学校</v>
      </c>
    </row>
    <row r="5400" spans="1:18" s="1" customFormat="1" x14ac:dyDescent="0.45">
      <c r="A5400" s="7" t="str">
        <f t="shared" si="1979"/>
        <v>10441000000</v>
      </c>
      <c r="B5400" s="7" t="str">
        <f t="shared" si="1980"/>
        <v>登美丘高等学校</v>
      </c>
      <c r="C5400" s="7" t="str">
        <f t="shared" si="1978"/>
        <v>行政財産</v>
      </c>
      <c r="D5400" s="7" t="str">
        <f t="shared" si="1971"/>
        <v>学校</v>
      </c>
      <c r="E5400" s="7" t="str">
        <f t="shared" si="1981"/>
        <v>大阪府堺市　東区西野</v>
      </c>
      <c r="F5400" s="7"/>
      <c r="G5400" s="7" t="str">
        <f t="shared" si="1983"/>
        <v>事業用資産</v>
      </c>
      <c r="H5400" s="7" t="str">
        <f t="shared" si="1973"/>
        <v>棚卸以外</v>
      </c>
      <c r="I5400" s="7">
        <v>37</v>
      </c>
      <c r="J5400" s="7" t="str">
        <f>"校舎（１号館西）"</f>
        <v>校舎（１号館西）</v>
      </c>
      <c r="K5400" s="7" t="str">
        <f t="shared" ref="K5400:K5412" si="1984">"鉄筋コンクリート造"</f>
        <v>鉄筋コンクリート造</v>
      </c>
      <c r="L5400" s="7" t="str">
        <f>"S44.02.10"</f>
        <v>S44.02.10</v>
      </c>
      <c r="M5400" s="7">
        <v>1596</v>
      </c>
      <c r="N5400" s="7">
        <v>131836931</v>
      </c>
      <c r="O5400" s="7">
        <v>80806702</v>
      </c>
      <c r="P5400" s="7">
        <v>0</v>
      </c>
      <c r="Q5400" s="7" t="str">
        <f t="shared" si="1957"/>
        <v>教育庁</v>
      </c>
      <c r="R5400" s="7" t="str">
        <f t="shared" si="1982"/>
        <v>登美丘高等学校</v>
      </c>
    </row>
    <row r="5401" spans="1:18" s="1" customFormat="1" x14ac:dyDescent="0.45">
      <c r="A5401" s="7" t="str">
        <f t="shared" si="1979"/>
        <v>10441000000</v>
      </c>
      <c r="B5401" s="7" t="str">
        <f t="shared" si="1980"/>
        <v>登美丘高等学校</v>
      </c>
      <c r="C5401" s="7" t="str">
        <f t="shared" si="1978"/>
        <v>行政財産</v>
      </c>
      <c r="D5401" s="7" t="str">
        <f t="shared" si="1971"/>
        <v>学校</v>
      </c>
      <c r="E5401" s="7" t="str">
        <f t="shared" si="1981"/>
        <v>大阪府堺市　東区西野</v>
      </c>
      <c r="F5401" s="7"/>
      <c r="G5401" s="7" t="str">
        <f t="shared" si="1983"/>
        <v>事業用資産</v>
      </c>
      <c r="H5401" s="7" t="str">
        <f t="shared" si="1973"/>
        <v>棚卸以外</v>
      </c>
      <c r="I5401" s="7">
        <v>38</v>
      </c>
      <c r="J5401" s="7" t="str">
        <f>"ポンプ室及び受水槽"</f>
        <v>ポンプ室及び受水槽</v>
      </c>
      <c r="K5401" s="7" t="str">
        <f t="shared" si="1984"/>
        <v>鉄筋コンクリート造</v>
      </c>
      <c r="L5401" s="7" t="str">
        <f>"S44.02.10"</f>
        <v>S44.02.10</v>
      </c>
      <c r="M5401" s="7">
        <v>22.5</v>
      </c>
      <c r="N5401" s="7">
        <v>1408000</v>
      </c>
      <c r="O5401" s="7">
        <v>1407999</v>
      </c>
      <c r="P5401" s="7">
        <v>0</v>
      </c>
      <c r="Q5401" s="7" t="str">
        <f t="shared" si="1957"/>
        <v>教育庁</v>
      </c>
      <c r="R5401" s="7" t="str">
        <f t="shared" si="1982"/>
        <v>登美丘高等学校</v>
      </c>
    </row>
    <row r="5402" spans="1:18" s="1" customFormat="1" x14ac:dyDescent="0.45">
      <c r="A5402" s="7" t="str">
        <f t="shared" si="1979"/>
        <v>10441000000</v>
      </c>
      <c r="B5402" s="7" t="str">
        <f t="shared" si="1980"/>
        <v>登美丘高等学校</v>
      </c>
      <c r="C5402" s="7" t="str">
        <f t="shared" si="1978"/>
        <v>行政財産</v>
      </c>
      <c r="D5402" s="7" t="str">
        <f t="shared" si="1971"/>
        <v>学校</v>
      </c>
      <c r="E5402" s="7" t="str">
        <f t="shared" si="1981"/>
        <v>大阪府堺市　東区西野</v>
      </c>
      <c r="F5402" s="7"/>
      <c r="G5402" s="7" t="str">
        <f t="shared" si="1983"/>
        <v>事業用資産</v>
      </c>
      <c r="H5402" s="7" t="str">
        <f t="shared" si="1973"/>
        <v>棚卸以外</v>
      </c>
      <c r="I5402" s="7">
        <v>41</v>
      </c>
      <c r="J5402" s="7" t="str">
        <f>"校舎（２号館西）"</f>
        <v>校舎（２号館西）</v>
      </c>
      <c r="K5402" s="7" t="str">
        <f t="shared" si="1984"/>
        <v>鉄筋コンクリート造</v>
      </c>
      <c r="L5402" s="7" t="str">
        <f>"S45.03.15"</f>
        <v>S45.03.15</v>
      </c>
      <c r="M5402" s="7">
        <v>1657.71</v>
      </c>
      <c r="N5402" s="7">
        <v>182761676</v>
      </c>
      <c r="O5402" s="7">
        <v>103999357</v>
      </c>
      <c r="P5402" s="7">
        <v>0</v>
      </c>
      <c r="Q5402" s="7" t="str">
        <f t="shared" si="1957"/>
        <v>教育庁</v>
      </c>
      <c r="R5402" s="7" t="str">
        <f t="shared" si="1982"/>
        <v>登美丘高等学校</v>
      </c>
    </row>
    <row r="5403" spans="1:18" s="1" customFormat="1" x14ac:dyDescent="0.45">
      <c r="A5403" s="7" t="str">
        <f t="shared" si="1979"/>
        <v>10441000000</v>
      </c>
      <c r="B5403" s="7" t="str">
        <f t="shared" si="1980"/>
        <v>登美丘高等学校</v>
      </c>
      <c r="C5403" s="7" t="str">
        <f t="shared" si="1978"/>
        <v>行政財産</v>
      </c>
      <c r="D5403" s="7" t="str">
        <f t="shared" si="1971"/>
        <v>学校</v>
      </c>
      <c r="E5403" s="7" t="str">
        <f t="shared" si="1981"/>
        <v>大阪府堺市　東区西野</v>
      </c>
      <c r="F5403" s="7"/>
      <c r="G5403" s="7" t="str">
        <f t="shared" si="1983"/>
        <v>事業用資産</v>
      </c>
      <c r="H5403" s="7" t="str">
        <f t="shared" si="1973"/>
        <v>棚卸以外</v>
      </c>
      <c r="I5403" s="7">
        <v>42</v>
      </c>
      <c r="J5403" s="7" t="str">
        <f>"渡り廊下（１～２号館）"</f>
        <v>渡り廊下（１～２号館）</v>
      </c>
      <c r="K5403" s="7" t="str">
        <f t="shared" si="1984"/>
        <v>鉄筋コンクリート造</v>
      </c>
      <c r="L5403" s="7" t="str">
        <f>"S45.03.15"</f>
        <v>S45.03.15</v>
      </c>
      <c r="M5403" s="7">
        <v>159.44999999999999</v>
      </c>
      <c r="N5403" s="7">
        <v>10110248</v>
      </c>
      <c r="O5403" s="7">
        <v>7319967</v>
      </c>
      <c r="P5403" s="7">
        <v>0</v>
      </c>
      <c r="Q5403" s="7" t="str">
        <f t="shared" ref="Q5403:Q5466" si="1985">"教育庁"</f>
        <v>教育庁</v>
      </c>
      <c r="R5403" s="7" t="str">
        <f t="shared" si="1982"/>
        <v>登美丘高等学校</v>
      </c>
    </row>
    <row r="5404" spans="1:18" s="1" customFormat="1" x14ac:dyDescent="0.45">
      <c r="A5404" s="7" t="str">
        <f t="shared" si="1979"/>
        <v>10441000000</v>
      </c>
      <c r="B5404" s="7" t="str">
        <f t="shared" si="1980"/>
        <v>登美丘高等学校</v>
      </c>
      <c r="C5404" s="7" t="str">
        <f t="shared" si="1978"/>
        <v>行政財産</v>
      </c>
      <c r="D5404" s="7" t="str">
        <f t="shared" si="1971"/>
        <v>学校</v>
      </c>
      <c r="E5404" s="7" t="str">
        <f t="shared" si="1981"/>
        <v>大阪府堺市　東区西野</v>
      </c>
      <c r="F5404" s="7"/>
      <c r="G5404" s="7" t="str">
        <f t="shared" si="1983"/>
        <v>事業用資産</v>
      </c>
      <c r="H5404" s="7" t="str">
        <f t="shared" si="1973"/>
        <v>棚卸以外</v>
      </c>
      <c r="I5404" s="7">
        <v>43</v>
      </c>
      <c r="J5404" s="7" t="str">
        <f>"電気室"</f>
        <v>電気室</v>
      </c>
      <c r="K5404" s="7" t="str">
        <f t="shared" si="1984"/>
        <v>鉄筋コンクリート造</v>
      </c>
      <c r="L5404" s="7" t="str">
        <f>"S45.03.15"</f>
        <v>S45.03.15</v>
      </c>
      <c r="M5404" s="7">
        <v>48.55</v>
      </c>
      <c r="N5404" s="7">
        <v>5317000</v>
      </c>
      <c r="O5404" s="7">
        <v>5316999</v>
      </c>
      <c r="P5404" s="7">
        <v>0</v>
      </c>
      <c r="Q5404" s="7" t="str">
        <f t="shared" si="1985"/>
        <v>教育庁</v>
      </c>
      <c r="R5404" s="7" t="str">
        <f t="shared" si="1982"/>
        <v>登美丘高等学校</v>
      </c>
    </row>
    <row r="5405" spans="1:18" s="1" customFormat="1" x14ac:dyDescent="0.45">
      <c r="A5405" s="7" t="str">
        <f t="shared" si="1979"/>
        <v>10441000000</v>
      </c>
      <c r="B5405" s="7" t="str">
        <f t="shared" si="1980"/>
        <v>登美丘高等学校</v>
      </c>
      <c r="C5405" s="7" t="str">
        <f t="shared" si="1978"/>
        <v>行政財産</v>
      </c>
      <c r="D5405" s="7" t="str">
        <f t="shared" si="1971"/>
        <v>学校</v>
      </c>
      <c r="E5405" s="7" t="str">
        <f t="shared" si="1981"/>
        <v>大阪府堺市　東区西野</v>
      </c>
      <c r="F5405" s="7"/>
      <c r="G5405" s="7" t="str">
        <f t="shared" si="1983"/>
        <v>事業用資産</v>
      </c>
      <c r="H5405" s="7" t="str">
        <f t="shared" si="1973"/>
        <v>棚卸以外</v>
      </c>
      <c r="I5405" s="7">
        <v>44</v>
      </c>
      <c r="J5405" s="7" t="str">
        <f>"校舎３号館"</f>
        <v>校舎３号館</v>
      </c>
      <c r="K5405" s="7" t="str">
        <f t="shared" si="1984"/>
        <v>鉄筋コンクリート造</v>
      </c>
      <c r="L5405" s="7" t="str">
        <f>"S46.03.28"</f>
        <v>S46.03.28</v>
      </c>
      <c r="M5405" s="7">
        <v>1848</v>
      </c>
      <c r="N5405" s="7">
        <v>168047457</v>
      </c>
      <c r="O5405" s="7">
        <v>93713269</v>
      </c>
      <c r="P5405" s="7">
        <v>0</v>
      </c>
      <c r="Q5405" s="7" t="str">
        <f t="shared" si="1985"/>
        <v>教育庁</v>
      </c>
      <c r="R5405" s="7" t="str">
        <f t="shared" si="1982"/>
        <v>登美丘高等学校</v>
      </c>
    </row>
    <row r="5406" spans="1:18" s="1" customFormat="1" x14ac:dyDescent="0.45">
      <c r="A5406" s="7" t="str">
        <f t="shared" si="1979"/>
        <v>10441000000</v>
      </c>
      <c r="B5406" s="7" t="str">
        <f t="shared" si="1980"/>
        <v>登美丘高等学校</v>
      </c>
      <c r="C5406" s="7" t="str">
        <f t="shared" si="1978"/>
        <v>行政財産</v>
      </c>
      <c r="D5406" s="7" t="str">
        <f t="shared" si="1971"/>
        <v>学校</v>
      </c>
      <c r="E5406" s="7" t="str">
        <f t="shared" si="1981"/>
        <v>大阪府堺市　東区西野</v>
      </c>
      <c r="F5406" s="7"/>
      <c r="G5406" s="7" t="str">
        <f t="shared" si="1983"/>
        <v>事業用資産</v>
      </c>
      <c r="H5406" s="7" t="str">
        <f t="shared" si="1973"/>
        <v>棚卸以外</v>
      </c>
      <c r="I5406" s="7">
        <v>45</v>
      </c>
      <c r="J5406" s="7" t="str">
        <f>"渡り廊下（２～３号館）"</f>
        <v>渡り廊下（２～３号館）</v>
      </c>
      <c r="K5406" s="7" t="str">
        <f t="shared" si="1984"/>
        <v>鉄筋コンクリート造</v>
      </c>
      <c r="L5406" s="7" t="str">
        <f>"S46.03.28"</f>
        <v>S46.03.28</v>
      </c>
      <c r="M5406" s="7">
        <v>283.2</v>
      </c>
      <c r="N5406" s="7">
        <v>12187102</v>
      </c>
      <c r="O5406" s="7">
        <v>10102459</v>
      </c>
      <c r="P5406" s="7">
        <v>0</v>
      </c>
      <c r="Q5406" s="7" t="str">
        <f t="shared" si="1985"/>
        <v>教育庁</v>
      </c>
      <c r="R5406" s="7" t="str">
        <f t="shared" si="1982"/>
        <v>登美丘高等学校</v>
      </c>
    </row>
    <row r="5407" spans="1:18" s="1" customFormat="1" x14ac:dyDescent="0.45">
      <c r="A5407" s="7" t="str">
        <f t="shared" si="1979"/>
        <v>10441000000</v>
      </c>
      <c r="B5407" s="7" t="str">
        <f t="shared" si="1980"/>
        <v>登美丘高等学校</v>
      </c>
      <c r="C5407" s="7" t="str">
        <f t="shared" si="1978"/>
        <v>行政財産</v>
      </c>
      <c r="D5407" s="7" t="str">
        <f t="shared" si="1971"/>
        <v>学校</v>
      </c>
      <c r="E5407" s="7" t="str">
        <f t="shared" si="1981"/>
        <v>大阪府堺市　東区西野</v>
      </c>
      <c r="F5407" s="7"/>
      <c r="G5407" s="7" t="str">
        <f t="shared" si="1983"/>
        <v>事業用資産</v>
      </c>
      <c r="H5407" s="7" t="str">
        <f t="shared" si="1973"/>
        <v>棚卸以外</v>
      </c>
      <c r="I5407" s="7">
        <v>46</v>
      </c>
      <c r="J5407" s="7" t="str">
        <f>"校舎（１号館東）"</f>
        <v>校舎（１号館東）</v>
      </c>
      <c r="K5407" s="7" t="str">
        <f t="shared" si="1984"/>
        <v>鉄筋コンクリート造</v>
      </c>
      <c r="L5407" s="7" t="str">
        <f t="shared" ref="L5407:L5412" si="1986">"S47.09.30"</f>
        <v>S47.09.30</v>
      </c>
      <c r="M5407" s="7">
        <v>1628.25</v>
      </c>
      <c r="N5407" s="7">
        <v>131929993</v>
      </c>
      <c r="O5407" s="7">
        <v>100974055</v>
      </c>
      <c r="P5407" s="7">
        <v>0</v>
      </c>
      <c r="Q5407" s="7" t="str">
        <f t="shared" si="1985"/>
        <v>教育庁</v>
      </c>
      <c r="R5407" s="7" t="str">
        <f t="shared" si="1982"/>
        <v>登美丘高等学校</v>
      </c>
    </row>
    <row r="5408" spans="1:18" s="1" customFormat="1" x14ac:dyDescent="0.45">
      <c r="A5408" s="7" t="str">
        <f t="shared" si="1979"/>
        <v>10441000000</v>
      </c>
      <c r="B5408" s="7" t="str">
        <f t="shared" si="1980"/>
        <v>登美丘高等学校</v>
      </c>
      <c r="C5408" s="7" t="str">
        <f t="shared" si="1978"/>
        <v>行政財産</v>
      </c>
      <c r="D5408" s="7" t="str">
        <f t="shared" si="1971"/>
        <v>学校</v>
      </c>
      <c r="E5408" s="7" t="str">
        <f t="shared" si="1981"/>
        <v>大阪府堺市　東区西野</v>
      </c>
      <c r="F5408" s="7"/>
      <c r="G5408" s="7" t="str">
        <f t="shared" si="1983"/>
        <v>事業用資産</v>
      </c>
      <c r="H5408" s="7" t="str">
        <f t="shared" si="1973"/>
        <v>棚卸以外</v>
      </c>
      <c r="I5408" s="7">
        <v>47</v>
      </c>
      <c r="J5408" s="7" t="str">
        <f>"校舎（２号館東）"</f>
        <v>校舎（２号館東）</v>
      </c>
      <c r="K5408" s="7" t="str">
        <f t="shared" si="1984"/>
        <v>鉄筋コンクリート造</v>
      </c>
      <c r="L5408" s="7" t="str">
        <f t="shared" si="1986"/>
        <v>S47.09.30</v>
      </c>
      <c r="M5408" s="7">
        <v>1839.6</v>
      </c>
      <c r="N5408" s="7">
        <v>124184331</v>
      </c>
      <c r="O5408" s="7">
        <v>95757024</v>
      </c>
      <c r="P5408" s="7">
        <v>0</v>
      </c>
      <c r="Q5408" s="7" t="str">
        <f t="shared" si="1985"/>
        <v>教育庁</v>
      </c>
      <c r="R5408" s="7" t="str">
        <f t="shared" si="1982"/>
        <v>登美丘高等学校</v>
      </c>
    </row>
    <row r="5409" spans="1:18" s="1" customFormat="1" x14ac:dyDescent="0.45">
      <c r="A5409" s="7" t="str">
        <f t="shared" si="1979"/>
        <v>10441000000</v>
      </c>
      <c r="B5409" s="7" t="str">
        <f t="shared" si="1980"/>
        <v>登美丘高等学校</v>
      </c>
      <c r="C5409" s="7" t="str">
        <f t="shared" si="1978"/>
        <v>行政財産</v>
      </c>
      <c r="D5409" s="7" t="str">
        <f t="shared" si="1971"/>
        <v>学校</v>
      </c>
      <c r="E5409" s="7" t="str">
        <f t="shared" si="1981"/>
        <v>大阪府堺市　東区西野</v>
      </c>
      <c r="F5409" s="7"/>
      <c r="G5409" s="7" t="str">
        <f t="shared" si="1983"/>
        <v>事業用資産</v>
      </c>
      <c r="H5409" s="7" t="str">
        <f t="shared" si="1973"/>
        <v>棚卸以外</v>
      </c>
      <c r="I5409" s="7">
        <v>48</v>
      </c>
      <c r="J5409" s="7" t="str">
        <f>"校舎（４号館）"</f>
        <v>校舎（４号館）</v>
      </c>
      <c r="K5409" s="7" t="str">
        <f t="shared" si="1984"/>
        <v>鉄筋コンクリート造</v>
      </c>
      <c r="L5409" s="7" t="str">
        <f t="shared" si="1986"/>
        <v>S47.09.30</v>
      </c>
      <c r="M5409" s="7">
        <v>788.4</v>
      </c>
      <c r="N5409" s="7">
        <v>50774372</v>
      </c>
      <c r="O5409" s="7">
        <v>45231469</v>
      </c>
      <c r="P5409" s="7">
        <v>0</v>
      </c>
      <c r="Q5409" s="7" t="str">
        <f t="shared" si="1985"/>
        <v>教育庁</v>
      </c>
      <c r="R5409" s="7" t="str">
        <f t="shared" si="1982"/>
        <v>登美丘高等学校</v>
      </c>
    </row>
    <row r="5410" spans="1:18" s="1" customFormat="1" x14ac:dyDescent="0.45">
      <c r="A5410" s="7" t="str">
        <f t="shared" si="1979"/>
        <v>10441000000</v>
      </c>
      <c r="B5410" s="7" t="str">
        <f t="shared" si="1980"/>
        <v>登美丘高等学校</v>
      </c>
      <c r="C5410" s="7" t="str">
        <f t="shared" si="1978"/>
        <v>行政財産</v>
      </c>
      <c r="D5410" s="7" t="str">
        <f t="shared" si="1971"/>
        <v>学校</v>
      </c>
      <c r="E5410" s="7" t="str">
        <f t="shared" si="1981"/>
        <v>大阪府堺市　東区西野</v>
      </c>
      <c r="F5410" s="7"/>
      <c r="G5410" s="7" t="str">
        <f t="shared" si="1983"/>
        <v>事業用資産</v>
      </c>
      <c r="H5410" s="7" t="str">
        <f t="shared" si="1973"/>
        <v>棚卸以外</v>
      </c>
      <c r="I5410" s="7">
        <v>49</v>
      </c>
      <c r="J5410" s="7" t="str">
        <f>"食堂"</f>
        <v>食堂</v>
      </c>
      <c r="K5410" s="7" t="str">
        <f t="shared" si="1984"/>
        <v>鉄筋コンクリート造</v>
      </c>
      <c r="L5410" s="7" t="str">
        <f t="shared" si="1986"/>
        <v>S47.09.30</v>
      </c>
      <c r="M5410" s="7">
        <v>427.67</v>
      </c>
      <c r="N5410" s="7">
        <v>31649484</v>
      </c>
      <c r="O5410" s="7">
        <v>31649483</v>
      </c>
      <c r="P5410" s="7">
        <v>0</v>
      </c>
      <c r="Q5410" s="7" t="str">
        <f t="shared" si="1985"/>
        <v>教育庁</v>
      </c>
      <c r="R5410" s="7" t="str">
        <f t="shared" si="1982"/>
        <v>登美丘高等学校</v>
      </c>
    </row>
    <row r="5411" spans="1:18" s="1" customFormat="1" x14ac:dyDescent="0.45">
      <c r="A5411" s="7" t="str">
        <f t="shared" si="1979"/>
        <v>10441000000</v>
      </c>
      <c r="B5411" s="7" t="str">
        <f t="shared" si="1980"/>
        <v>登美丘高等学校</v>
      </c>
      <c r="C5411" s="7" t="str">
        <f t="shared" si="1978"/>
        <v>行政財産</v>
      </c>
      <c r="D5411" s="7" t="str">
        <f t="shared" si="1971"/>
        <v>学校</v>
      </c>
      <c r="E5411" s="7" t="str">
        <f t="shared" si="1981"/>
        <v>大阪府堺市　東区西野</v>
      </c>
      <c r="F5411" s="7"/>
      <c r="G5411" s="7" t="str">
        <f t="shared" si="1983"/>
        <v>事業用資産</v>
      </c>
      <c r="H5411" s="7" t="str">
        <f t="shared" si="1973"/>
        <v>棚卸以外</v>
      </c>
      <c r="I5411" s="7">
        <v>50</v>
      </c>
      <c r="J5411" s="7" t="str">
        <f>"体育館"</f>
        <v>体育館</v>
      </c>
      <c r="K5411" s="7" t="str">
        <f t="shared" si="1984"/>
        <v>鉄筋コンクリート造</v>
      </c>
      <c r="L5411" s="7" t="str">
        <f t="shared" si="1986"/>
        <v>S47.09.30</v>
      </c>
      <c r="M5411" s="7">
        <v>1990.95</v>
      </c>
      <c r="N5411" s="7">
        <v>197674603</v>
      </c>
      <c r="O5411" s="7">
        <v>127639030</v>
      </c>
      <c r="P5411" s="7">
        <v>0</v>
      </c>
      <c r="Q5411" s="7" t="str">
        <f t="shared" si="1985"/>
        <v>教育庁</v>
      </c>
      <c r="R5411" s="7" t="str">
        <f t="shared" si="1982"/>
        <v>登美丘高等学校</v>
      </c>
    </row>
    <row r="5412" spans="1:18" s="1" customFormat="1" x14ac:dyDescent="0.45">
      <c r="A5412" s="7" t="str">
        <f t="shared" si="1979"/>
        <v>10441000000</v>
      </c>
      <c r="B5412" s="7" t="str">
        <f t="shared" si="1980"/>
        <v>登美丘高等学校</v>
      </c>
      <c r="C5412" s="7" t="str">
        <f t="shared" si="1978"/>
        <v>行政財産</v>
      </c>
      <c r="D5412" s="7" t="str">
        <f t="shared" si="1971"/>
        <v>学校</v>
      </c>
      <c r="E5412" s="7" t="str">
        <f t="shared" si="1981"/>
        <v>大阪府堺市　東区西野</v>
      </c>
      <c r="F5412" s="7"/>
      <c r="G5412" s="7" t="str">
        <f t="shared" si="1983"/>
        <v>事業用資産</v>
      </c>
      <c r="H5412" s="7" t="str">
        <f t="shared" si="1973"/>
        <v>棚卸以外</v>
      </c>
      <c r="I5412" s="7">
        <v>51</v>
      </c>
      <c r="J5412" s="7" t="str">
        <f>"渡り廊下（２～４号館）"</f>
        <v>渡り廊下（２～４号館）</v>
      </c>
      <c r="K5412" s="7" t="str">
        <f t="shared" si="1984"/>
        <v>鉄筋コンクリート造</v>
      </c>
      <c r="L5412" s="7" t="str">
        <f t="shared" si="1986"/>
        <v>S47.09.30</v>
      </c>
      <c r="M5412" s="7">
        <v>205.35</v>
      </c>
      <c r="N5412" s="7">
        <v>11793402</v>
      </c>
      <c r="O5412" s="7">
        <v>8847583</v>
      </c>
      <c r="P5412" s="7">
        <v>0</v>
      </c>
      <c r="Q5412" s="7" t="str">
        <f t="shared" si="1985"/>
        <v>教育庁</v>
      </c>
      <c r="R5412" s="7" t="str">
        <f t="shared" si="1982"/>
        <v>登美丘高等学校</v>
      </c>
    </row>
    <row r="5413" spans="1:18" s="1" customFormat="1" x14ac:dyDescent="0.45">
      <c r="A5413" s="7" t="str">
        <f t="shared" si="1979"/>
        <v>10441000000</v>
      </c>
      <c r="B5413" s="7" t="str">
        <f t="shared" si="1980"/>
        <v>登美丘高等学校</v>
      </c>
      <c r="C5413" s="7" t="str">
        <f t="shared" si="1978"/>
        <v>行政財産</v>
      </c>
      <c r="D5413" s="7" t="str">
        <f t="shared" si="1971"/>
        <v>学校</v>
      </c>
      <c r="E5413" s="7" t="str">
        <f t="shared" si="1981"/>
        <v>大阪府堺市　東区西野</v>
      </c>
      <c r="F5413" s="7"/>
      <c r="G5413" s="7" t="str">
        <f t="shared" si="1983"/>
        <v>事業用資産</v>
      </c>
      <c r="H5413" s="7" t="str">
        <f t="shared" si="1973"/>
        <v>棚卸以外</v>
      </c>
      <c r="I5413" s="7">
        <v>53</v>
      </c>
      <c r="J5413" s="7" t="str">
        <f>"クラブ室"</f>
        <v>クラブ室</v>
      </c>
      <c r="K5413" s="7" t="str">
        <f>"軽量鉄骨造"</f>
        <v>軽量鉄骨造</v>
      </c>
      <c r="L5413" s="7" t="str">
        <f>"S48.09.01"</f>
        <v>S48.09.01</v>
      </c>
      <c r="M5413" s="7">
        <v>32.4</v>
      </c>
      <c r="N5413" s="7">
        <v>1960000</v>
      </c>
      <c r="O5413" s="7">
        <v>1959999</v>
      </c>
      <c r="P5413" s="7">
        <v>0</v>
      </c>
      <c r="Q5413" s="7" t="str">
        <f t="shared" si="1985"/>
        <v>教育庁</v>
      </c>
      <c r="R5413" s="7" t="str">
        <f t="shared" si="1982"/>
        <v>登美丘高等学校</v>
      </c>
    </row>
    <row r="5414" spans="1:18" s="1" customFormat="1" x14ac:dyDescent="0.45">
      <c r="A5414" s="7" t="str">
        <f t="shared" si="1979"/>
        <v>10441000000</v>
      </c>
      <c r="B5414" s="7" t="str">
        <f t="shared" si="1980"/>
        <v>登美丘高等学校</v>
      </c>
      <c r="C5414" s="7" t="str">
        <f t="shared" si="1978"/>
        <v>行政財産</v>
      </c>
      <c r="D5414" s="7" t="str">
        <f t="shared" si="1971"/>
        <v>学校</v>
      </c>
      <c r="E5414" s="7" t="str">
        <f t="shared" si="1981"/>
        <v>大阪府堺市　東区西野</v>
      </c>
      <c r="F5414" s="7"/>
      <c r="G5414" s="7" t="str">
        <f t="shared" si="1983"/>
        <v>事業用資産</v>
      </c>
      <c r="H5414" s="7" t="str">
        <f t="shared" si="1973"/>
        <v>棚卸以外</v>
      </c>
      <c r="I5414" s="7">
        <v>54</v>
      </c>
      <c r="J5414" s="7" t="str">
        <f>"倉庫"</f>
        <v>倉庫</v>
      </c>
      <c r="K5414" s="7" t="str">
        <f>"コンクリートブロック造"</f>
        <v>コンクリートブロック造</v>
      </c>
      <c r="L5414" s="7" t="str">
        <f>"S54.03.23"</f>
        <v>S54.03.23</v>
      </c>
      <c r="M5414" s="7">
        <v>51.25</v>
      </c>
      <c r="N5414" s="7">
        <v>3426000</v>
      </c>
      <c r="O5414" s="7">
        <v>3425999</v>
      </c>
      <c r="P5414" s="7">
        <v>0</v>
      </c>
      <c r="Q5414" s="7" t="str">
        <f t="shared" si="1985"/>
        <v>教育庁</v>
      </c>
      <c r="R5414" s="7" t="str">
        <f t="shared" si="1982"/>
        <v>登美丘高等学校</v>
      </c>
    </row>
    <row r="5415" spans="1:18" s="1" customFormat="1" x14ac:dyDescent="0.45">
      <c r="A5415" s="7" t="str">
        <f t="shared" si="1979"/>
        <v>10441000000</v>
      </c>
      <c r="B5415" s="7" t="str">
        <f t="shared" si="1980"/>
        <v>登美丘高等学校</v>
      </c>
      <c r="C5415" s="7" t="str">
        <f t="shared" si="1978"/>
        <v>行政財産</v>
      </c>
      <c r="D5415" s="7" t="str">
        <f t="shared" si="1971"/>
        <v>学校</v>
      </c>
      <c r="E5415" s="7" t="str">
        <f t="shared" si="1981"/>
        <v>大阪府堺市　東区西野</v>
      </c>
      <c r="F5415" s="7"/>
      <c r="G5415" s="7" t="str">
        <f t="shared" si="1983"/>
        <v>事業用資産</v>
      </c>
      <c r="H5415" s="7" t="str">
        <f t="shared" si="1973"/>
        <v>棚卸以外</v>
      </c>
      <c r="I5415" s="7">
        <v>55</v>
      </c>
      <c r="J5415" s="7" t="str">
        <f>"生徒会室"</f>
        <v>生徒会室</v>
      </c>
      <c r="K5415" s="7" t="str">
        <f>"土蔵造(簡易建物)"</f>
        <v>土蔵造(簡易建物)</v>
      </c>
      <c r="L5415" s="7" t="str">
        <f>"S58.03.31"</f>
        <v>S58.03.31</v>
      </c>
      <c r="M5415" s="7">
        <v>81.900000000000006</v>
      </c>
      <c r="N5415" s="7">
        <v>5289000</v>
      </c>
      <c r="O5415" s="7">
        <v>5288999</v>
      </c>
      <c r="P5415" s="7">
        <v>0</v>
      </c>
      <c r="Q5415" s="7" t="str">
        <f t="shared" si="1985"/>
        <v>教育庁</v>
      </c>
      <c r="R5415" s="7" t="str">
        <f t="shared" si="1982"/>
        <v>登美丘高等学校</v>
      </c>
    </row>
    <row r="5416" spans="1:18" s="1" customFormat="1" x14ac:dyDescent="0.45">
      <c r="A5416" s="7" t="str">
        <f t="shared" ref="A5416:A5434" si="1987">"10442000000"</f>
        <v>10442000000</v>
      </c>
      <c r="B5416" s="7" t="str">
        <f t="shared" ref="B5416:B5434" si="1988">"泉陽高等学校"</f>
        <v>泉陽高等学校</v>
      </c>
      <c r="C5416" s="7" t="str">
        <f t="shared" si="1978"/>
        <v>行政財産</v>
      </c>
      <c r="D5416" s="7" t="str">
        <f t="shared" si="1971"/>
        <v>学校</v>
      </c>
      <c r="E5416" s="7" t="str">
        <f t="shared" ref="E5416:E5434" si="1989">"大阪府堺市　堺区車之町東３丁"</f>
        <v>大阪府堺市　堺区車之町東３丁</v>
      </c>
      <c r="F5416" s="7"/>
      <c r="G5416" s="7" t="str">
        <f t="shared" si="1983"/>
        <v>事業用資産</v>
      </c>
      <c r="H5416" s="7" t="str">
        <f t="shared" si="1973"/>
        <v>棚卸以外</v>
      </c>
      <c r="I5416" s="7">
        <v>5</v>
      </c>
      <c r="J5416" s="7" t="str">
        <f>"鉄筋校舎（北館）"</f>
        <v>鉄筋校舎（北館）</v>
      </c>
      <c r="K5416" s="7" t="str">
        <f>"鉄筋コンクリート造"</f>
        <v>鉄筋コンクリート造</v>
      </c>
      <c r="L5416" s="7" t="str">
        <f>"S37.03.31"</f>
        <v>S37.03.31</v>
      </c>
      <c r="M5416" s="7">
        <v>1695.01</v>
      </c>
      <c r="N5416" s="7">
        <v>77518170</v>
      </c>
      <c r="O5416" s="7">
        <v>54853957</v>
      </c>
      <c r="P5416" s="7">
        <v>0</v>
      </c>
      <c r="Q5416" s="7" t="str">
        <f t="shared" si="1985"/>
        <v>教育庁</v>
      </c>
      <c r="R5416" s="7" t="str">
        <f t="shared" ref="R5416:R5434" si="1990">"泉陽高等学校"</f>
        <v>泉陽高等学校</v>
      </c>
    </row>
    <row r="5417" spans="1:18" s="1" customFormat="1" x14ac:dyDescent="0.45">
      <c r="A5417" s="7" t="str">
        <f t="shared" si="1987"/>
        <v>10442000000</v>
      </c>
      <c r="B5417" s="7" t="str">
        <f t="shared" si="1988"/>
        <v>泉陽高等学校</v>
      </c>
      <c r="C5417" s="7" t="str">
        <f t="shared" si="1978"/>
        <v>行政財産</v>
      </c>
      <c r="D5417" s="7" t="str">
        <f t="shared" si="1971"/>
        <v>学校</v>
      </c>
      <c r="E5417" s="7" t="str">
        <f t="shared" si="1989"/>
        <v>大阪府堺市　堺区車之町東３丁</v>
      </c>
      <c r="F5417" s="7"/>
      <c r="G5417" s="7" t="str">
        <f t="shared" si="1983"/>
        <v>事業用資産</v>
      </c>
      <c r="H5417" s="7" t="str">
        <f t="shared" si="1973"/>
        <v>棚卸以外</v>
      </c>
      <c r="I5417" s="7">
        <v>32</v>
      </c>
      <c r="J5417" s="7" t="str">
        <f>"校舎（中館）"</f>
        <v>校舎（中館）</v>
      </c>
      <c r="K5417" s="7" t="str">
        <f>"鉄筋コンクリート造"</f>
        <v>鉄筋コンクリート造</v>
      </c>
      <c r="L5417" s="7" t="str">
        <f>"S41.03.25"</f>
        <v>S41.03.25</v>
      </c>
      <c r="M5417" s="7">
        <v>3615.99</v>
      </c>
      <c r="N5417" s="7">
        <v>237491810</v>
      </c>
      <c r="O5417" s="7">
        <v>136963494</v>
      </c>
      <c r="P5417" s="7">
        <v>0</v>
      </c>
      <c r="Q5417" s="7" t="str">
        <f t="shared" si="1985"/>
        <v>教育庁</v>
      </c>
      <c r="R5417" s="7" t="str">
        <f t="shared" si="1990"/>
        <v>泉陽高等学校</v>
      </c>
    </row>
    <row r="5418" spans="1:18" s="1" customFormat="1" x14ac:dyDescent="0.45">
      <c r="A5418" s="7" t="str">
        <f t="shared" si="1987"/>
        <v>10442000000</v>
      </c>
      <c r="B5418" s="7" t="str">
        <f t="shared" si="1988"/>
        <v>泉陽高等学校</v>
      </c>
      <c r="C5418" s="7" t="str">
        <f t="shared" si="1978"/>
        <v>行政財産</v>
      </c>
      <c r="D5418" s="7" t="str">
        <f t="shared" si="1971"/>
        <v>学校</v>
      </c>
      <c r="E5418" s="7" t="str">
        <f t="shared" si="1989"/>
        <v>大阪府堺市　堺区車之町東３丁</v>
      </c>
      <c r="F5418" s="7"/>
      <c r="G5418" s="7" t="str">
        <f t="shared" si="1983"/>
        <v>事業用資産</v>
      </c>
      <c r="H5418" s="7" t="str">
        <f t="shared" si="1973"/>
        <v>棚卸以外</v>
      </c>
      <c r="I5418" s="7">
        <v>33</v>
      </c>
      <c r="J5418" s="7" t="str">
        <f>"電気室及びポンプ室"</f>
        <v>電気室及びポンプ室</v>
      </c>
      <c r="K5418" s="7" t="str">
        <f>"鉄筋コンクリート造"</f>
        <v>鉄筋コンクリート造</v>
      </c>
      <c r="L5418" s="7" t="str">
        <f>"S41.03.25"</f>
        <v>S41.03.25</v>
      </c>
      <c r="M5418" s="7">
        <v>46.5</v>
      </c>
      <c r="N5418" s="7">
        <v>7578947</v>
      </c>
      <c r="O5418" s="7">
        <v>5734402</v>
      </c>
      <c r="P5418" s="7">
        <v>0</v>
      </c>
      <c r="Q5418" s="7" t="str">
        <f t="shared" si="1985"/>
        <v>教育庁</v>
      </c>
      <c r="R5418" s="7" t="str">
        <f t="shared" si="1990"/>
        <v>泉陽高等学校</v>
      </c>
    </row>
    <row r="5419" spans="1:18" s="1" customFormat="1" x14ac:dyDescent="0.45">
      <c r="A5419" s="7" t="str">
        <f t="shared" si="1987"/>
        <v>10442000000</v>
      </c>
      <c r="B5419" s="7" t="str">
        <f t="shared" si="1988"/>
        <v>泉陽高等学校</v>
      </c>
      <c r="C5419" s="7" t="str">
        <f t="shared" si="1978"/>
        <v>行政財産</v>
      </c>
      <c r="D5419" s="7" t="str">
        <f t="shared" si="1971"/>
        <v>学校</v>
      </c>
      <c r="E5419" s="7" t="str">
        <f t="shared" si="1989"/>
        <v>大阪府堺市　堺区車之町東３丁</v>
      </c>
      <c r="F5419" s="7"/>
      <c r="G5419" s="7" t="str">
        <f t="shared" si="1983"/>
        <v>事業用資産</v>
      </c>
      <c r="H5419" s="7" t="str">
        <f t="shared" si="1973"/>
        <v>棚卸以外</v>
      </c>
      <c r="I5419" s="7">
        <v>34</v>
      </c>
      <c r="J5419" s="7" t="str">
        <f>"渡り廊下"</f>
        <v>渡り廊下</v>
      </c>
      <c r="K5419" s="7" t="str">
        <f>"軽量鉄骨造"</f>
        <v>軽量鉄骨造</v>
      </c>
      <c r="L5419" s="7" t="str">
        <f>"S40.01.31"</f>
        <v>S40.01.31</v>
      </c>
      <c r="M5419" s="7">
        <v>8.39</v>
      </c>
      <c r="N5419" s="7">
        <v>114300</v>
      </c>
      <c r="O5419" s="7">
        <v>114299</v>
      </c>
      <c r="P5419" s="7">
        <v>0</v>
      </c>
      <c r="Q5419" s="7" t="str">
        <f t="shared" si="1985"/>
        <v>教育庁</v>
      </c>
      <c r="R5419" s="7" t="str">
        <f t="shared" si="1990"/>
        <v>泉陽高等学校</v>
      </c>
    </row>
    <row r="5420" spans="1:18" s="1" customFormat="1" x14ac:dyDescent="0.45">
      <c r="A5420" s="7" t="str">
        <f t="shared" si="1987"/>
        <v>10442000000</v>
      </c>
      <c r="B5420" s="7" t="str">
        <f t="shared" si="1988"/>
        <v>泉陽高等学校</v>
      </c>
      <c r="C5420" s="7" t="str">
        <f t="shared" si="1978"/>
        <v>行政財産</v>
      </c>
      <c r="D5420" s="7" t="str">
        <f t="shared" si="1971"/>
        <v>学校</v>
      </c>
      <c r="E5420" s="7" t="str">
        <f t="shared" si="1989"/>
        <v>大阪府堺市　堺区車之町東３丁</v>
      </c>
      <c r="F5420" s="7"/>
      <c r="G5420" s="7" t="str">
        <f t="shared" si="1983"/>
        <v>事業用資産</v>
      </c>
      <c r="H5420" s="7" t="str">
        <f t="shared" si="1973"/>
        <v>棚卸以外</v>
      </c>
      <c r="I5420" s="7">
        <v>40</v>
      </c>
      <c r="J5420" s="7" t="str">
        <f>"渡り廊下"</f>
        <v>渡り廊下</v>
      </c>
      <c r="K5420" s="7" t="str">
        <f>"鉄筋コンクリート造"</f>
        <v>鉄筋コンクリート造</v>
      </c>
      <c r="L5420" s="7" t="str">
        <f>"S43.03.28"</f>
        <v>S43.03.28</v>
      </c>
      <c r="M5420" s="7">
        <v>257.68</v>
      </c>
      <c r="N5420" s="7">
        <v>8510050</v>
      </c>
      <c r="O5420" s="7">
        <v>8491598</v>
      </c>
      <c r="P5420" s="7">
        <v>0</v>
      </c>
      <c r="Q5420" s="7" t="str">
        <f t="shared" si="1985"/>
        <v>教育庁</v>
      </c>
      <c r="R5420" s="7" t="str">
        <f t="shared" si="1990"/>
        <v>泉陽高等学校</v>
      </c>
    </row>
    <row r="5421" spans="1:18" s="1" customFormat="1" x14ac:dyDescent="0.45">
      <c r="A5421" s="7" t="str">
        <f t="shared" si="1987"/>
        <v>10442000000</v>
      </c>
      <c r="B5421" s="7" t="str">
        <f t="shared" si="1988"/>
        <v>泉陽高等学校</v>
      </c>
      <c r="C5421" s="7" t="str">
        <f t="shared" si="1978"/>
        <v>行政財産</v>
      </c>
      <c r="D5421" s="7" t="str">
        <f t="shared" si="1971"/>
        <v>学校</v>
      </c>
      <c r="E5421" s="7" t="str">
        <f t="shared" si="1989"/>
        <v>大阪府堺市　堺区車之町東３丁</v>
      </c>
      <c r="F5421" s="7"/>
      <c r="G5421" s="7" t="str">
        <f t="shared" si="1983"/>
        <v>事業用資産</v>
      </c>
      <c r="H5421" s="7" t="str">
        <f t="shared" si="1973"/>
        <v>棚卸以外</v>
      </c>
      <c r="I5421" s="7">
        <v>41</v>
      </c>
      <c r="J5421" s="7" t="str">
        <f>"本館"</f>
        <v>本館</v>
      </c>
      <c r="K5421" s="7" t="str">
        <f>"鉄筋コンクリート造"</f>
        <v>鉄筋コンクリート造</v>
      </c>
      <c r="L5421" s="7" t="str">
        <f>"S44.01.31"</f>
        <v>S44.01.31</v>
      </c>
      <c r="M5421" s="7">
        <v>1292.81</v>
      </c>
      <c r="N5421" s="7">
        <v>107574892</v>
      </c>
      <c r="O5421" s="7">
        <v>69060378</v>
      </c>
      <c r="P5421" s="7">
        <v>0</v>
      </c>
      <c r="Q5421" s="7" t="str">
        <f t="shared" si="1985"/>
        <v>教育庁</v>
      </c>
      <c r="R5421" s="7" t="str">
        <f t="shared" si="1990"/>
        <v>泉陽高等学校</v>
      </c>
    </row>
    <row r="5422" spans="1:18" s="1" customFormat="1" x14ac:dyDescent="0.45">
      <c r="A5422" s="7" t="str">
        <f t="shared" si="1987"/>
        <v>10442000000</v>
      </c>
      <c r="B5422" s="7" t="str">
        <f t="shared" si="1988"/>
        <v>泉陽高等学校</v>
      </c>
      <c r="C5422" s="7" t="str">
        <f t="shared" si="1978"/>
        <v>行政財産</v>
      </c>
      <c r="D5422" s="7" t="str">
        <f t="shared" si="1971"/>
        <v>学校</v>
      </c>
      <c r="E5422" s="7" t="str">
        <f t="shared" si="1989"/>
        <v>大阪府堺市　堺区車之町東３丁</v>
      </c>
      <c r="F5422" s="7"/>
      <c r="G5422" s="7" t="str">
        <f t="shared" si="1983"/>
        <v>事業用資産</v>
      </c>
      <c r="H5422" s="7" t="str">
        <f t="shared" si="1973"/>
        <v>棚卸以外</v>
      </c>
      <c r="I5422" s="7">
        <v>42</v>
      </c>
      <c r="J5422" s="7" t="str">
        <f>"渡り廊下"</f>
        <v>渡り廊下</v>
      </c>
      <c r="K5422" s="7" t="str">
        <f>"鉄筋コンクリート造"</f>
        <v>鉄筋コンクリート造</v>
      </c>
      <c r="L5422" s="7" t="str">
        <f>"S44.01.31"</f>
        <v>S44.01.31</v>
      </c>
      <c r="M5422" s="7">
        <v>112</v>
      </c>
      <c r="N5422" s="7">
        <v>3069644</v>
      </c>
      <c r="O5422" s="7">
        <v>3057765</v>
      </c>
      <c r="P5422" s="7">
        <v>0</v>
      </c>
      <c r="Q5422" s="7" t="str">
        <f t="shared" si="1985"/>
        <v>教育庁</v>
      </c>
      <c r="R5422" s="7" t="str">
        <f t="shared" si="1990"/>
        <v>泉陽高等学校</v>
      </c>
    </row>
    <row r="5423" spans="1:18" s="1" customFormat="1" x14ac:dyDescent="0.45">
      <c r="A5423" s="7" t="str">
        <f t="shared" si="1987"/>
        <v>10442000000</v>
      </c>
      <c r="B5423" s="7" t="str">
        <f t="shared" si="1988"/>
        <v>泉陽高等学校</v>
      </c>
      <c r="C5423" s="7" t="str">
        <f t="shared" si="1978"/>
        <v>行政財産</v>
      </c>
      <c r="D5423" s="7" t="str">
        <f t="shared" si="1971"/>
        <v>学校</v>
      </c>
      <c r="E5423" s="7" t="str">
        <f t="shared" si="1989"/>
        <v>大阪府堺市　堺区車之町東３丁</v>
      </c>
      <c r="F5423" s="7"/>
      <c r="G5423" s="7" t="str">
        <f t="shared" si="1983"/>
        <v>事業用資産</v>
      </c>
      <c r="H5423" s="7" t="str">
        <f t="shared" si="1973"/>
        <v>棚卸以外</v>
      </c>
      <c r="I5423" s="7">
        <v>44</v>
      </c>
      <c r="J5423" s="7" t="str">
        <f>"本館"</f>
        <v>本館</v>
      </c>
      <c r="K5423" s="7" t="str">
        <f>"鉄筋コンクリート造"</f>
        <v>鉄筋コンクリート造</v>
      </c>
      <c r="L5423" s="7" t="str">
        <f>"S45.05.04"</f>
        <v>S45.05.04</v>
      </c>
      <c r="M5423" s="7">
        <v>688.58</v>
      </c>
      <c r="N5423" s="7">
        <v>43717069</v>
      </c>
      <c r="O5423" s="7">
        <v>36643865</v>
      </c>
      <c r="P5423" s="7">
        <v>0</v>
      </c>
      <c r="Q5423" s="7" t="str">
        <f t="shared" si="1985"/>
        <v>教育庁</v>
      </c>
      <c r="R5423" s="7" t="str">
        <f t="shared" si="1990"/>
        <v>泉陽高等学校</v>
      </c>
    </row>
    <row r="5424" spans="1:18" s="1" customFormat="1" x14ac:dyDescent="0.45">
      <c r="A5424" s="7" t="str">
        <f t="shared" si="1987"/>
        <v>10442000000</v>
      </c>
      <c r="B5424" s="7" t="str">
        <f t="shared" si="1988"/>
        <v>泉陽高等学校</v>
      </c>
      <c r="C5424" s="7" t="str">
        <f t="shared" si="1978"/>
        <v>行政財産</v>
      </c>
      <c r="D5424" s="7" t="str">
        <f t="shared" si="1971"/>
        <v>学校</v>
      </c>
      <c r="E5424" s="7" t="str">
        <f t="shared" si="1989"/>
        <v>大阪府堺市　堺区車之町東３丁</v>
      </c>
      <c r="F5424" s="7"/>
      <c r="G5424" s="7" t="str">
        <f t="shared" si="1983"/>
        <v>事業用資産</v>
      </c>
      <c r="H5424" s="7" t="str">
        <f t="shared" si="1973"/>
        <v>棚卸以外</v>
      </c>
      <c r="I5424" s="7">
        <v>45</v>
      </c>
      <c r="J5424" s="7" t="str">
        <f>"体育館"</f>
        <v>体育館</v>
      </c>
      <c r="K5424" s="7" t="str">
        <f>"鉄筋コンクリート造"</f>
        <v>鉄筋コンクリート造</v>
      </c>
      <c r="L5424" s="7" t="str">
        <f>"S46.02.15"</f>
        <v>S46.02.15</v>
      </c>
      <c r="M5424" s="7">
        <v>2123.2600000000002</v>
      </c>
      <c r="N5424" s="7">
        <v>212215684</v>
      </c>
      <c r="O5424" s="7">
        <v>128950340</v>
      </c>
      <c r="P5424" s="7">
        <v>0</v>
      </c>
      <c r="Q5424" s="7" t="str">
        <f t="shared" si="1985"/>
        <v>教育庁</v>
      </c>
      <c r="R5424" s="7" t="str">
        <f t="shared" si="1990"/>
        <v>泉陽高等学校</v>
      </c>
    </row>
    <row r="5425" spans="1:18" s="1" customFormat="1" x14ac:dyDescent="0.45">
      <c r="A5425" s="7" t="str">
        <f t="shared" si="1987"/>
        <v>10442000000</v>
      </c>
      <c r="B5425" s="7" t="str">
        <f t="shared" si="1988"/>
        <v>泉陽高等学校</v>
      </c>
      <c r="C5425" s="7" t="str">
        <f t="shared" si="1978"/>
        <v>行政財産</v>
      </c>
      <c r="D5425" s="7" t="str">
        <f t="shared" si="1971"/>
        <v>学校</v>
      </c>
      <c r="E5425" s="7" t="str">
        <f t="shared" si="1989"/>
        <v>大阪府堺市　堺区車之町東３丁</v>
      </c>
      <c r="F5425" s="7"/>
      <c r="G5425" s="7" t="str">
        <f t="shared" si="1983"/>
        <v>事業用資産</v>
      </c>
      <c r="H5425" s="7" t="str">
        <f t="shared" si="1973"/>
        <v>棚卸以外</v>
      </c>
      <c r="I5425" s="7">
        <v>50</v>
      </c>
      <c r="J5425" s="7" t="str">
        <f>"倉庫"</f>
        <v>倉庫</v>
      </c>
      <c r="K5425" s="7" t="str">
        <f>"軽量鉄骨造"</f>
        <v>軽量鉄骨造</v>
      </c>
      <c r="L5425" s="7" t="str">
        <f>"S56.02.28"</f>
        <v>S56.02.28</v>
      </c>
      <c r="M5425" s="7">
        <v>64.349999999999994</v>
      </c>
      <c r="N5425" s="7">
        <v>5007000</v>
      </c>
      <c r="O5425" s="7">
        <v>5006999</v>
      </c>
      <c r="P5425" s="7">
        <v>0</v>
      </c>
      <c r="Q5425" s="7" t="str">
        <f t="shared" si="1985"/>
        <v>教育庁</v>
      </c>
      <c r="R5425" s="7" t="str">
        <f t="shared" si="1990"/>
        <v>泉陽高等学校</v>
      </c>
    </row>
    <row r="5426" spans="1:18" s="1" customFormat="1" x14ac:dyDescent="0.45">
      <c r="A5426" s="7" t="str">
        <f t="shared" si="1987"/>
        <v>10442000000</v>
      </c>
      <c r="B5426" s="7" t="str">
        <f t="shared" si="1988"/>
        <v>泉陽高等学校</v>
      </c>
      <c r="C5426" s="7" t="str">
        <f t="shared" si="1978"/>
        <v>行政財産</v>
      </c>
      <c r="D5426" s="7" t="str">
        <f t="shared" si="1971"/>
        <v>学校</v>
      </c>
      <c r="E5426" s="7" t="str">
        <f t="shared" si="1989"/>
        <v>大阪府堺市　堺区車之町東３丁</v>
      </c>
      <c r="F5426" s="7"/>
      <c r="G5426" s="7" t="str">
        <f t="shared" si="1983"/>
        <v>事業用資産</v>
      </c>
      <c r="H5426" s="7" t="str">
        <f t="shared" si="1973"/>
        <v>棚卸以外</v>
      </c>
      <c r="I5426" s="7">
        <v>51</v>
      </c>
      <c r="J5426" s="7" t="str">
        <f>"書庫"</f>
        <v>書庫</v>
      </c>
      <c r="K5426" s="7" t="str">
        <f>"鉄筋コンクリート造"</f>
        <v>鉄筋コンクリート造</v>
      </c>
      <c r="L5426" s="7" t="str">
        <f>"S59.11.30"</f>
        <v>S59.11.30</v>
      </c>
      <c r="M5426" s="7">
        <v>19.61</v>
      </c>
      <c r="N5426" s="7">
        <v>1798644</v>
      </c>
      <c r="O5426" s="7">
        <v>1790740</v>
      </c>
      <c r="P5426" s="7">
        <v>0</v>
      </c>
      <c r="Q5426" s="7" t="str">
        <f t="shared" si="1985"/>
        <v>教育庁</v>
      </c>
      <c r="R5426" s="7" t="str">
        <f t="shared" si="1990"/>
        <v>泉陽高等学校</v>
      </c>
    </row>
    <row r="5427" spans="1:18" s="1" customFormat="1" x14ac:dyDescent="0.45">
      <c r="A5427" s="7" t="str">
        <f t="shared" si="1987"/>
        <v>10442000000</v>
      </c>
      <c r="B5427" s="7" t="str">
        <f t="shared" si="1988"/>
        <v>泉陽高等学校</v>
      </c>
      <c r="C5427" s="7" t="str">
        <f t="shared" si="1978"/>
        <v>行政財産</v>
      </c>
      <c r="D5427" s="7" t="str">
        <f t="shared" si="1971"/>
        <v>学校</v>
      </c>
      <c r="E5427" s="7" t="str">
        <f t="shared" si="1989"/>
        <v>大阪府堺市　堺区車之町東３丁</v>
      </c>
      <c r="F5427" s="7"/>
      <c r="G5427" s="7" t="str">
        <f t="shared" si="1983"/>
        <v>事業用資産</v>
      </c>
      <c r="H5427" s="7" t="str">
        <f t="shared" si="1973"/>
        <v>棚卸以外</v>
      </c>
      <c r="I5427" s="7">
        <v>52</v>
      </c>
      <c r="J5427" s="7" t="str">
        <f>"校舎棟（新館）"</f>
        <v>校舎棟（新館）</v>
      </c>
      <c r="K5427" s="7" t="str">
        <f>"鉄筋コンクリート造"</f>
        <v>鉄筋コンクリート造</v>
      </c>
      <c r="L5427" s="7" t="str">
        <f>"S61.05.12"</f>
        <v>S61.05.12</v>
      </c>
      <c r="M5427" s="7">
        <v>3302.28</v>
      </c>
      <c r="N5427" s="7">
        <v>438384770</v>
      </c>
      <c r="O5427" s="7">
        <v>322522519</v>
      </c>
      <c r="P5427" s="7">
        <v>0</v>
      </c>
      <c r="Q5427" s="7" t="str">
        <f t="shared" si="1985"/>
        <v>教育庁</v>
      </c>
      <c r="R5427" s="7" t="str">
        <f t="shared" si="1990"/>
        <v>泉陽高等学校</v>
      </c>
    </row>
    <row r="5428" spans="1:18" s="1" customFormat="1" x14ac:dyDescent="0.45">
      <c r="A5428" s="7" t="str">
        <f t="shared" si="1987"/>
        <v>10442000000</v>
      </c>
      <c r="B5428" s="7" t="str">
        <f t="shared" si="1988"/>
        <v>泉陽高等学校</v>
      </c>
      <c r="C5428" s="7" t="str">
        <f t="shared" si="1978"/>
        <v>行政財産</v>
      </c>
      <c r="D5428" s="7" t="str">
        <f t="shared" si="1971"/>
        <v>学校</v>
      </c>
      <c r="E5428" s="7" t="str">
        <f t="shared" si="1989"/>
        <v>大阪府堺市　堺区車之町東３丁</v>
      </c>
      <c r="F5428" s="7"/>
      <c r="G5428" s="7" t="str">
        <f t="shared" si="1983"/>
        <v>事業用資産</v>
      </c>
      <c r="H5428" s="7" t="str">
        <f t="shared" si="1973"/>
        <v>棚卸以外</v>
      </c>
      <c r="I5428" s="7">
        <v>53</v>
      </c>
      <c r="J5428" s="7" t="str">
        <f>"渡り廊下"</f>
        <v>渡り廊下</v>
      </c>
      <c r="K5428" s="7" t="str">
        <f>"鉄筋コンクリート造"</f>
        <v>鉄筋コンクリート造</v>
      </c>
      <c r="L5428" s="7" t="str">
        <f>"S61.05.12"</f>
        <v>S61.05.12</v>
      </c>
      <c r="M5428" s="7">
        <v>40.44</v>
      </c>
      <c r="N5428" s="7">
        <v>4272000</v>
      </c>
      <c r="O5428" s="7">
        <v>3837886</v>
      </c>
      <c r="P5428" s="7">
        <v>0</v>
      </c>
      <c r="Q5428" s="7" t="str">
        <f t="shared" si="1985"/>
        <v>教育庁</v>
      </c>
      <c r="R5428" s="7" t="str">
        <f t="shared" si="1990"/>
        <v>泉陽高等学校</v>
      </c>
    </row>
    <row r="5429" spans="1:18" s="1" customFormat="1" x14ac:dyDescent="0.45">
      <c r="A5429" s="7" t="str">
        <f t="shared" si="1987"/>
        <v>10442000000</v>
      </c>
      <c r="B5429" s="7" t="str">
        <f t="shared" si="1988"/>
        <v>泉陽高等学校</v>
      </c>
      <c r="C5429" s="7" t="str">
        <f t="shared" si="1978"/>
        <v>行政財産</v>
      </c>
      <c r="D5429" s="7" t="str">
        <f t="shared" si="1971"/>
        <v>学校</v>
      </c>
      <c r="E5429" s="7" t="str">
        <f t="shared" si="1989"/>
        <v>大阪府堺市　堺区車之町東３丁</v>
      </c>
      <c r="F5429" s="7"/>
      <c r="G5429" s="7" t="str">
        <f t="shared" si="1983"/>
        <v>事業用資産</v>
      </c>
      <c r="H5429" s="7" t="str">
        <f t="shared" si="1973"/>
        <v>棚卸以外</v>
      </c>
      <c r="I5429" s="7">
        <v>54</v>
      </c>
      <c r="J5429" s="7" t="str">
        <f>"倉庫"</f>
        <v>倉庫</v>
      </c>
      <c r="K5429" s="7" t="str">
        <f>"軽量鉄骨造"</f>
        <v>軽量鉄骨造</v>
      </c>
      <c r="L5429" s="7" t="str">
        <f>"S61.03.01"</f>
        <v>S61.03.01</v>
      </c>
      <c r="M5429" s="7">
        <v>43.2</v>
      </c>
      <c r="N5429" s="7">
        <v>3271000</v>
      </c>
      <c r="O5429" s="7">
        <v>3270999</v>
      </c>
      <c r="P5429" s="7">
        <v>0</v>
      </c>
      <c r="Q5429" s="7" t="str">
        <f t="shared" si="1985"/>
        <v>教育庁</v>
      </c>
      <c r="R5429" s="7" t="str">
        <f t="shared" si="1990"/>
        <v>泉陽高等学校</v>
      </c>
    </row>
    <row r="5430" spans="1:18" s="1" customFormat="1" x14ac:dyDescent="0.45">
      <c r="A5430" s="7" t="str">
        <f t="shared" si="1987"/>
        <v>10442000000</v>
      </c>
      <c r="B5430" s="7" t="str">
        <f t="shared" si="1988"/>
        <v>泉陽高等学校</v>
      </c>
      <c r="C5430" s="7" t="str">
        <f t="shared" si="1978"/>
        <v>行政財産</v>
      </c>
      <c r="D5430" s="7" t="str">
        <f t="shared" si="1971"/>
        <v>学校</v>
      </c>
      <c r="E5430" s="7" t="str">
        <f t="shared" si="1989"/>
        <v>大阪府堺市　堺区車之町東３丁</v>
      </c>
      <c r="F5430" s="7"/>
      <c r="G5430" s="7" t="str">
        <f t="shared" si="1983"/>
        <v>事業用資産</v>
      </c>
      <c r="H5430" s="7" t="str">
        <f t="shared" si="1973"/>
        <v>棚卸以外</v>
      </c>
      <c r="I5430" s="7">
        <v>55</v>
      </c>
      <c r="J5430" s="7" t="str">
        <f>"陶芸釜場"</f>
        <v>陶芸釜場</v>
      </c>
      <c r="K5430" s="7" t="str">
        <f>"コンクリートブロック造"</f>
        <v>コンクリートブロック造</v>
      </c>
      <c r="L5430" s="7" t="str">
        <f>"S62.05.20"</f>
        <v>S62.05.20</v>
      </c>
      <c r="M5430" s="7">
        <v>9.56</v>
      </c>
      <c r="N5430" s="7">
        <v>1065000</v>
      </c>
      <c r="O5430" s="7">
        <v>1064999</v>
      </c>
      <c r="P5430" s="7">
        <v>0</v>
      </c>
      <c r="Q5430" s="7" t="str">
        <f t="shared" si="1985"/>
        <v>教育庁</v>
      </c>
      <c r="R5430" s="7" t="str">
        <f t="shared" si="1990"/>
        <v>泉陽高等学校</v>
      </c>
    </row>
    <row r="5431" spans="1:18" s="1" customFormat="1" x14ac:dyDescent="0.45">
      <c r="A5431" s="7" t="str">
        <f t="shared" si="1987"/>
        <v>10442000000</v>
      </c>
      <c r="B5431" s="7" t="str">
        <f t="shared" si="1988"/>
        <v>泉陽高等学校</v>
      </c>
      <c r="C5431" s="7" t="str">
        <f t="shared" si="1978"/>
        <v>行政財産</v>
      </c>
      <c r="D5431" s="7" t="str">
        <f t="shared" si="1971"/>
        <v>学校</v>
      </c>
      <c r="E5431" s="7" t="str">
        <f t="shared" si="1989"/>
        <v>大阪府堺市　堺区車之町東３丁</v>
      </c>
      <c r="F5431" s="7"/>
      <c r="G5431" s="7" t="str">
        <f t="shared" si="1983"/>
        <v>事業用資産</v>
      </c>
      <c r="H5431" s="7" t="str">
        <f t="shared" si="1973"/>
        <v>棚卸以外</v>
      </c>
      <c r="I5431" s="7">
        <v>56</v>
      </c>
      <c r="J5431" s="7" t="str">
        <f>"倉庫"</f>
        <v>倉庫</v>
      </c>
      <c r="K5431" s="7" t="str">
        <f>"軽量鉄骨造"</f>
        <v>軽量鉄骨造</v>
      </c>
      <c r="L5431" s="7" t="str">
        <f>"S63.05.25"</f>
        <v>S63.05.25</v>
      </c>
      <c r="M5431" s="7">
        <v>96</v>
      </c>
      <c r="N5431" s="7">
        <v>8783000</v>
      </c>
      <c r="O5431" s="7">
        <v>8782999</v>
      </c>
      <c r="P5431" s="7">
        <v>0</v>
      </c>
      <c r="Q5431" s="7" t="str">
        <f t="shared" si="1985"/>
        <v>教育庁</v>
      </c>
      <c r="R5431" s="7" t="str">
        <f t="shared" si="1990"/>
        <v>泉陽高等学校</v>
      </c>
    </row>
    <row r="5432" spans="1:18" s="1" customFormat="1" x14ac:dyDescent="0.45">
      <c r="A5432" s="7" t="str">
        <f t="shared" si="1987"/>
        <v>10442000000</v>
      </c>
      <c r="B5432" s="7" t="str">
        <f t="shared" si="1988"/>
        <v>泉陽高等学校</v>
      </c>
      <c r="C5432" s="7" t="str">
        <f t="shared" si="1978"/>
        <v>行政財産</v>
      </c>
      <c r="D5432" s="7" t="str">
        <f t="shared" si="1971"/>
        <v>学校</v>
      </c>
      <c r="E5432" s="7" t="str">
        <f t="shared" si="1989"/>
        <v>大阪府堺市　堺区車之町東３丁</v>
      </c>
      <c r="F5432" s="7"/>
      <c r="G5432" s="7" t="str">
        <f t="shared" si="1983"/>
        <v>事業用資産</v>
      </c>
      <c r="H5432" s="7" t="str">
        <f t="shared" si="1973"/>
        <v>棚卸以外</v>
      </c>
      <c r="I5432" s="7">
        <v>57</v>
      </c>
      <c r="J5432" s="7" t="str">
        <f>"泉陽会館"</f>
        <v>泉陽会館</v>
      </c>
      <c r="K5432" s="7" t="str">
        <f>"軽量鉄骨造"</f>
        <v>軽量鉄骨造</v>
      </c>
      <c r="L5432" s="7" t="str">
        <f>"S63.09.26"</f>
        <v>S63.09.26</v>
      </c>
      <c r="M5432" s="7">
        <v>596.6</v>
      </c>
      <c r="N5432" s="7">
        <v>68266060</v>
      </c>
      <c r="O5432" s="7">
        <v>66504312</v>
      </c>
      <c r="P5432" s="7">
        <v>0</v>
      </c>
      <c r="Q5432" s="7" t="str">
        <f t="shared" si="1985"/>
        <v>教育庁</v>
      </c>
      <c r="R5432" s="7" t="str">
        <f t="shared" si="1990"/>
        <v>泉陽高等学校</v>
      </c>
    </row>
    <row r="5433" spans="1:18" s="1" customFormat="1" x14ac:dyDescent="0.45">
      <c r="A5433" s="7" t="str">
        <f t="shared" si="1987"/>
        <v>10442000000</v>
      </c>
      <c r="B5433" s="7" t="str">
        <f t="shared" si="1988"/>
        <v>泉陽高等学校</v>
      </c>
      <c r="C5433" s="7" t="str">
        <f t="shared" si="1978"/>
        <v>行政財産</v>
      </c>
      <c r="D5433" s="7" t="str">
        <f t="shared" ref="D5433:D5496" si="1991">"学校"</f>
        <v>学校</v>
      </c>
      <c r="E5433" s="7" t="str">
        <f t="shared" si="1989"/>
        <v>大阪府堺市　堺区車之町東３丁</v>
      </c>
      <c r="F5433" s="7"/>
      <c r="G5433" s="7" t="str">
        <f t="shared" si="1983"/>
        <v>事業用資産</v>
      </c>
      <c r="H5433" s="7" t="str">
        <f t="shared" si="1973"/>
        <v>棚卸以外</v>
      </c>
      <c r="I5433" s="7">
        <v>58</v>
      </c>
      <c r="J5433" s="7" t="str">
        <f>"プール附属棟"</f>
        <v>プール附属棟</v>
      </c>
      <c r="K5433" s="7" t="str">
        <f t="shared" ref="K5433:K5438" si="1992">"鉄筋コンクリート造"</f>
        <v>鉄筋コンクリート造</v>
      </c>
      <c r="L5433" s="7" t="str">
        <f>"H08.03.29"</f>
        <v>H08.03.29</v>
      </c>
      <c r="M5433" s="7">
        <v>264.5</v>
      </c>
      <c r="N5433" s="7">
        <v>58197508</v>
      </c>
      <c r="O5433" s="7">
        <v>41205302</v>
      </c>
      <c r="P5433" s="7">
        <v>0</v>
      </c>
      <c r="Q5433" s="7" t="str">
        <f t="shared" si="1985"/>
        <v>教育庁</v>
      </c>
      <c r="R5433" s="7" t="str">
        <f t="shared" si="1990"/>
        <v>泉陽高等学校</v>
      </c>
    </row>
    <row r="5434" spans="1:18" s="1" customFormat="1" x14ac:dyDescent="0.45">
      <c r="A5434" s="7" t="str">
        <f t="shared" si="1987"/>
        <v>10442000000</v>
      </c>
      <c r="B5434" s="7" t="str">
        <f t="shared" si="1988"/>
        <v>泉陽高等学校</v>
      </c>
      <c r="C5434" s="7" t="str">
        <f t="shared" si="1978"/>
        <v>行政財産</v>
      </c>
      <c r="D5434" s="7" t="str">
        <f t="shared" si="1991"/>
        <v>学校</v>
      </c>
      <c r="E5434" s="7" t="str">
        <f t="shared" si="1989"/>
        <v>大阪府堺市　堺区車之町東３丁</v>
      </c>
      <c r="F5434" s="7"/>
      <c r="G5434" s="7" t="str">
        <f t="shared" si="1983"/>
        <v>事業用資産</v>
      </c>
      <c r="H5434" s="7" t="str">
        <f t="shared" si="1973"/>
        <v>棚卸以外</v>
      </c>
      <c r="I5434" s="7">
        <v>59</v>
      </c>
      <c r="J5434" s="7" t="str">
        <f>"クラブ倉庫"</f>
        <v>クラブ倉庫</v>
      </c>
      <c r="K5434" s="7" t="str">
        <f t="shared" si="1992"/>
        <v>鉄筋コンクリート造</v>
      </c>
      <c r="L5434" s="7" t="str">
        <f>"H08.03.29"</f>
        <v>H08.03.29</v>
      </c>
      <c r="M5434" s="7">
        <v>148.1</v>
      </c>
      <c r="N5434" s="7">
        <v>14785001</v>
      </c>
      <c r="O5434" s="7">
        <v>10476060</v>
      </c>
      <c r="P5434" s="7">
        <v>0</v>
      </c>
      <c r="Q5434" s="7" t="str">
        <f t="shared" si="1985"/>
        <v>教育庁</v>
      </c>
      <c r="R5434" s="7" t="str">
        <f t="shared" si="1990"/>
        <v>泉陽高等学校</v>
      </c>
    </row>
    <row r="5435" spans="1:18" s="1" customFormat="1" x14ac:dyDescent="0.45">
      <c r="A5435" s="7" t="str">
        <f t="shared" ref="A5435:A5449" si="1993">"10443000000"</f>
        <v>10443000000</v>
      </c>
      <c r="B5435" s="7" t="str">
        <f t="shared" ref="B5435:B5449" si="1994">"三国丘高等学校"</f>
        <v>三国丘高等学校</v>
      </c>
      <c r="C5435" s="7" t="str">
        <f t="shared" si="1978"/>
        <v>行政財産</v>
      </c>
      <c r="D5435" s="7" t="str">
        <f t="shared" si="1991"/>
        <v>学校</v>
      </c>
      <c r="E5435" s="7" t="str">
        <f t="shared" ref="E5435:E5449" si="1995">"大阪府堺市　堺区南三国ヶ丘町２丁"</f>
        <v>大阪府堺市　堺区南三国ヶ丘町２丁</v>
      </c>
      <c r="F5435" s="7"/>
      <c r="G5435" s="7" t="str">
        <f t="shared" si="1983"/>
        <v>事業用資産</v>
      </c>
      <c r="H5435" s="7" t="str">
        <f t="shared" si="1973"/>
        <v>棚卸以外</v>
      </c>
      <c r="I5435" s="7">
        <v>25</v>
      </c>
      <c r="J5435" s="7" t="str">
        <f>"三丘資料館"</f>
        <v>三丘資料館</v>
      </c>
      <c r="K5435" s="7" t="str">
        <f t="shared" si="1992"/>
        <v>鉄筋コンクリート造</v>
      </c>
      <c r="L5435" s="7" t="str">
        <f>"S25.01.01"</f>
        <v>S25.01.01</v>
      </c>
      <c r="M5435" s="7">
        <v>354.19</v>
      </c>
      <c r="N5435" s="7">
        <v>22439000</v>
      </c>
      <c r="O5435" s="7">
        <v>22438999</v>
      </c>
      <c r="P5435" s="7">
        <v>0</v>
      </c>
      <c r="Q5435" s="7" t="str">
        <f t="shared" si="1985"/>
        <v>教育庁</v>
      </c>
      <c r="R5435" s="7" t="str">
        <f t="shared" ref="R5435:R5449" si="1996">"三国丘高等学校"</f>
        <v>三国丘高等学校</v>
      </c>
    </row>
    <row r="5436" spans="1:18" s="1" customFormat="1" x14ac:dyDescent="0.45">
      <c r="A5436" s="7" t="str">
        <f t="shared" si="1993"/>
        <v>10443000000</v>
      </c>
      <c r="B5436" s="7" t="str">
        <f t="shared" si="1994"/>
        <v>三国丘高等学校</v>
      </c>
      <c r="C5436" s="7" t="str">
        <f t="shared" si="1978"/>
        <v>行政財産</v>
      </c>
      <c r="D5436" s="7" t="str">
        <f t="shared" si="1991"/>
        <v>学校</v>
      </c>
      <c r="E5436" s="7" t="str">
        <f t="shared" si="1995"/>
        <v>大阪府堺市　堺区南三国ヶ丘町２丁</v>
      </c>
      <c r="F5436" s="7"/>
      <c r="G5436" s="7" t="str">
        <f t="shared" si="1983"/>
        <v>事業用資産</v>
      </c>
      <c r="H5436" s="7" t="str">
        <f t="shared" si="1973"/>
        <v>棚卸以外</v>
      </c>
      <c r="I5436" s="7">
        <v>33</v>
      </c>
      <c r="J5436" s="7" t="str">
        <f>"体育館"</f>
        <v>体育館</v>
      </c>
      <c r="K5436" s="7" t="str">
        <f t="shared" si="1992"/>
        <v>鉄筋コンクリート造</v>
      </c>
      <c r="L5436" s="7" t="str">
        <f>"S46.03.31"</f>
        <v>S46.03.31</v>
      </c>
      <c r="M5436" s="7">
        <v>2064</v>
      </c>
      <c r="N5436" s="7">
        <v>302667715</v>
      </c>
      <c r="O5436" s="7">
        <v>160390970</v>
      </c>
      <c r="P5436" s="7">
        <v>0</v>
      </c>
      <c r="Q5436" s="7" t="str">
        <f t="shared" si="1985"/>
        <v>教育庁</v>
      </c>
      <c r="R5436" s="7" t="str">
        <f t="shared" si="1996"/>
        <v>三国丘高等学校</v>
      </c>
    </row>
    <row r="5437" spans="1:18" s="1" customFormat="1" x14ac:dyDescent="0.45">
      <c r="A5437" s="7" t="str">
        <f t="shared" si="1993"/>
        <v>10443000000</v>
      </c>
      <c r="B5437" s="7" t="str">
        <f t="shared" si="1994"/>
        <v>三国丘高等学校</v>
      </c>
      <c r="C5437" s="7" t="str">
        <f t="shared" si="1978"/>
        <v>行政財産</v>
      </c>
      <c r="D5437" s="7" t="str">
        <f t="shared" si="1991"/>
        <v>学校</v>
      </c>
      <c r="E5437" s="7" t="str">
        <f t="shared" si="1995"/>
        <v>大阪府堺市　堺区南三国ヶ丘町２丁</v>
      </c>
      <c r="F5437" s="7"/>
      <c r="G5437" s="7" t="str">
        <f t="shared" si="1983"/>
        <v>事業用資産</v>
      </c>
      <c r="H5437" s="7" t="str">
        <f t="shared" si="1973"/>
        <v>棚卸以外</v>
      </c>
      <c r="I5437" s="7">
        <v>42</v>
      </c>
      <c r="J5437" s="7" t="str">
        <f>"西館校舎"</f>
        <v>西館校舎</v>
      </c>
      <c r="K5437" s="7" t="str">
        <f t="shared" si="1992"/>
        <v>鉄筋コンクリート造</v>
      </c>
      <c r="L5437" s="7" t="str">
        <f>"S58.05.31"</f>
        <v>S58.05.31</v>
      </c>
      <c r="M5437" s="7">
        <v>2196.63</v>
      </c>
      <c r="N5437" s="7">
        <v>357535520</v>
      </c>
      <c r="O5437" s="7">
        <v>291545669</v>
      </c>
      <c r="P5437" s="7">
        <v>0</v>
      </c>
      <c r="Q5437" s="7" t="str">
        <f t="shared" si="1985"/>
        <v>教育庁</v>
      </c>
      <c r="R5437" s="7" t="str">
        <f t="shared" si="1996"/>
        <v>三国丘高等学校</v>
      </c>
    </row>
    <row r="5438" spans="1:18" s="1" customFormat="1" x14ac:dyDescent="0.45">
      <c r="A5438" s="7" t="str">
        <f t="shared" si="1993"/>
        <v>10443000000</v>
      </c>
      <c r="B5438" s="7" t="str">
        <f t="shared" si="1994"/>
        <v>三国丘高等学校</v>
      </c>
      <c r="C5438" s="7" t="str">
        <f t="shared" si="1978"/>
        <v>行政財産</v>
      </c>
      <c r="D5438" s="7" t="str">
        <f t="shared" si="1991"/>
        <v>学校</v>
      </c>
      <c r="E5438" s="7" t="str">
        <f t="shared" si="1995"/>
        <v>大阪府堺市　堺区南三国ヶ丘町２丁</v>
      </c>
      <c r="F5438" s="7"/>
      <c r="G5438" s="7" t="str">
        <f t="shared" si="1983"/>
        <v>事業用資産</v>
      </c>
      <c r="H5438" s="7" t="str">
        <f t="shared" si="1973"/>
        <v>棚卸以外</v>
      </c>
      <c r="I5438" s="7">
        <v>46</v>
      </c>
      <c r="J5438" s="7" t="str">
        <f>"北館"</f>
        <v>北館</v>
      </c>
      <c r="K5438" s="7" t="str">
        <f t="shared" si="1992"/>
        <v>鉄筋コンクリート造</v>
      </c>
      <c r="L5438" s="7" t="str">
        <f>"S61.03.28"</f>
        <v>S61.03.28</v>
      </c>
      <c r="M5438" s="7">
        <v>2517.88</v>
      </c>
      <c r="N5438" s="7">
        <v>407744486</v>
      </c>
      <c r="O5438" s="7">
        <v>296781287</v>
      </c>
      <c r="P5438" s="7">
        <v>0</v>
      </c>
      <c r="Q5438" s="7" t="str">
        <f t="shared" si="1985"/>
        <v>教育庁</v>
      </c>
      <c r="R5438" s="7" t="str">
        <f t="shared" si="1996"/>
        <v>三国丘高等学校</v>
      </c>
    </row>
    <row r="5439" spans="1:18" s="1" customFormat="1" x14ac:dyDescent="0.45">
      <c r="A5439" s="7" t="str">
        <f t="shared" si="1993"/>
        <v>10443000000</v>
      </c>
      <c r="B5439" s="7" t="str">
        <f t="shared" si="1994"/>
        <v>三国丘高等学校</v>
      </c>
      <c r="C5439" s="7" t="str">
        <f t="shared" si="1978"/>
        <v>行政財産</v>
      </c>
      <c r="D5439" s="7" t="str">
        <f t="shared" si="1991"/>
        <v>学校</v>
      </c>
      <c r="E5439" s="7" t="str">
        <f t="shared" si="1995"/>
        <v>大阪府堺市　堺区南三国ヶ丘町２丁</v>
      </c>
      <c r="F5439" s="7"/>
      <c r="G5439" s="7" t="str">
        <f t="shared" si="1983"/>
        <v>事業用資産</v>
      </c>
      <c r="H5439" s="7" t="str">
        <f t="shared" si="1973"/>
        <v>棚卸以外</v>
      </c>
      <c r="I5439" s="7">
        <v>47</v>
      </c>
      <c r="J5439" s="7" t="str">
        <f>"ソウコ（倉庫）"</f>
        <v>ソウコ（倉庫）</v>
      </c>
      <c r="K5439" s="7" t="str">
        <f>"土蔵造(簡易建物)"</f>
        <v>土蔵造(簡易建物)</v>
      </c>
      <c r="L5439" s="7" t="str">
        <f>"H01.01.26"</f>
        <v>H01.01.26</v>
      </c>
      <c r="M5439" s="7">
        <v>4.8600000000000003</v>
      </c>
      <c r="N5439" s="7">
        <v>623000</v>
      </c>
      <c r="O5439" s="7">
        <v>622999</v>
      </c>
      <c r="P5439" s="7">
        <v>0</v>
      </c>
      <c r="Q5439" s="7" t="str">
        <f t="shared" si="1985"/>
        <v>教育庁</v>
      </c>
      <c r="R5439" s="7" t="str">
        <f t="shared" si="1996"/>
        <v>三国丘高等学校</v>
      </c>
    </row>
    <row r="5440" spans="1:18" s="1" customFormat="1" x14ac:dyDescent="0.45">
      <c r="A5440" s="7" t="str">
        <f t="shared" si="1993"/>
        <v>10443000000</v>
      </c>
      <c r="B5440" s="7" t="str">
        <f t="shared" si="1994"/>
        <v>三国丘高等学校</v>
      </c>
      <c r="C5440" s="7" t="str">
        <f t="shared" si="1978"/>
        <v>行政財産</v>
      </c>
      <c r="D5440" s="7" t="str">
        <f t="shared" si="1991"/>
        <v>学校</v>
      </c>
      <c r="E5440" s="7" t="str">
        <f t="shared" si="1995"/>
        <v>大阪府堺市　堺区南三国ヶ丘町２丁</v>
      </c>
      <c r="F5440" s="7"/>
      <c r="G5440" s="7" t="str">
        <f t="shared" si="1983"/>
        <v>事業用資産</v>
      </c>
      <c r="H5440" s="7" t="str">
        <f t="shared" si="1973"/>
        <v>棚卸以外</v>
      </c>
      <c r="I5440" s="7">
        <v>48</v>
      </c>
      <c r="J5440" s="7" t="str">
        <f>"プール棟"</f>
        <v>プール棟</v>
      </c>
      <c r="K5440" s="7" t="str">
        <f>"鉄筋コンクリート造"</f>
        <v>鉄筋コンクリート造</v>
      </c>
      <c r="L5440" s="7" t="str">
        <f>"H04.03.31"</f>
        <v>H04.03.31</v>
      </c>
      <c r="M5440" s="7">
        <v>740.45</v>
      </c>
      <c r="N5440" s="7">
        <v>166162699</v>
      </c>
      <c r="O5440" s="7">
        <v>135458721</v>
      </c>
      <c r="P5440" s="7">
        <v>0</v>
      </c>
      <c r="Q5440" s="7" t="str">
        <f t="shared" si="1985"/>
        <v>教育庁</v>
      </c>
      <c r="R5440" s="7" t="str">
        <f t="shared" si="1996"/>
        <v>三国丘高等学校</v>
      </c>
    </row>
    <row r="5441" spans="1:18" s="1" customFormat="1" x14ac:dyDescent="0.45">
      <c r="A5441" s="7" t="str">
        <f t="shared" si="1993"/>
        <v>10443000000</v>
      </c>
      <c r="B5441" s="7" t="str">
        <f t="shared" si="1994"/>
        <v>三国丘高等学校</v>
      </c>
      <c r="C5441" s="7" t="str">
        <f t="shared" si="1978"/>
        <v>行政財産</v>
      </c>
      <c r="D5441" s="7" t="str">
        <f t="shared" si="1991"/>
        <v>学校</v>
      </c>
      <c r="E5441" s="7" t="str">
        <f t="shared" si="1995"/>
        <v>大阪府堺市　堺区南三国ヶ丘町２丁</v>
      </c>
      <c r="F5441" s="7"/>
      <c r="G5441" s="7" t="str">
        <f t="shared" si="1983"/>
        <v>事業用資産</v>
      </c>
      <c r="H5441" s="7" t="str">
        <f t="shared" si="1973"/>
        <v>棚卸以外</v>
      </c>
      <c r="I5441" s="7">
        <v>49</v>
      </c>
      <c r="J5441" s="7" t="str">
        <f>"本館"</f>
        <v>本館</v>
      </c>
      <c r="K5441" s="7" t="str">
        <f>"鉄筋コンクリート造"</f>
        <v>鉄筋コンクリート造</v>
      </c>
      <c r="L5441" s="7" t="str">
        <f>"H06.03.16"</f>
        <v>H06.03.16</v>
      </c>
      <c r="M5441" s="7">
        <v>5741.84</v>
      </c>
      <c r="N5441" s="7">
        <v>1423385913</v>
      </c>
      <c r="O5441" s="7">
        <v>847164961</v>
      </c>
      <c r="P5441" s="7">
        <v>0</v>
      </c>
      <c r="Q5441" s="7" t="str">
        <f t="shared" si="1985"/>
        <v>教育庁</v>
      </c>
      <c r="R5441" s="7" t="str">
        <f t="shared" si="1996"/>
        <v>三国丘高等学校</v>
      </c>
    </row>
    <row r="5442" spans="1:18" s="1" customFormat="1" x14ac:dyDescent="0.45">
      <c r="A5442" s="7" t="str">
        <f t="shared" si="1993"/>
        <v>10443000000</v>
      </c>
      <c r="B5442" s="7" t="str">
        <f t="shared" si="1994"/>
        <v>三国丘高等学校</v>
      </c>
      <c r="C5442" s="7" t="str">
        <f t="shared" si="1978"/>
        <v>行政財産</v>
      </c>
      <c r="D5442" s="7" t="str">
        <f t="shared" si="1991"/>
        <v>学校</v>
      </c>
      <c r="E5442" s="7" t="str">
        <f t="shared" si="1995"/>
        <v>大阪府堺市　堺区南三国ヶ丘町２丁</v>
      </c>
      <c r="F5442" s="7"/>
      <c r="G5442" s="7" t="str">
        <f t="shared" si="1983"/>
        <v>事業用資産</v>
      </c>
      <c r="H5442" s="7" t="str">
        <f t="shared" si="1973"/>
        <v>棚卸以外</v>
      </c>
      <c r="I5442" s="7">
        <v>50</v>
      </c>
      <c r="J5442" s="7" t="str">
        <f>"美術倉庫"</f>
        <v>美術倉庫</v>
      </c>
      <c r="K5442" s="7" t="str">
        <f>"土蔵造(簡易建物)"</f>
        <v>土蔵造(簡易建物)</v>
      </c>
      <c r="L5442" s="7" t="str">
        <f>"H06.06.13"</f>
        <v>H06.06.13</v>
      </c>
      <c r="M5442" s="7">
        <v>11.3</v>
      </c>
      <c r="N5442" s="7">
        <v>376000</v>
      </c>
      <c r="O5442" s="7">
        <v>375999</v>
      </c>
      <c r="P5442" s="7">
        <v>0</v>
      </c>
      <c r="Q5442" s="7" t="str">
        <f t="shared" si="1985"/>
        <v>教育庁</v>
      </c>
      <c r="R5442" s="7" t="str">
        <f t="shared" si="1996"/>
        <v>三国丘高等学校</v>
      </c>
    </row>
    <row r="5443" spans="1:18" s="1" customFormat="1" x14ac:dyDescent="0.45">
      <c r="A5443" s="7" t="str">
        <f t="shared" si="1993"/>
        <v>10443000000</v>
      </c>
      <c r="B5443" s="7" t="str">
        <f t="shared" si="1994"/>
        <v>三国丘高等学校</v>
      </c>
      <c r="C5443" s="7" t="str">
        <f t="shared" si="1978"/>
        <v>行政財産</v>
      </c>
      <c r="D5443" s="7" t="str">
        <f t="shared" si="1991"/>
        <v>学校</v>
      </c>
      <c r="E5443" s="7" t="str">
        <f t="shared" si="1995"/>
        <v>大阪府堺市　堺区南三国ヶ丘町２丁</v>
      </c>
      <c r="F5443" s="7"/>
      <c r="G5443" s="7" t="str">
        <f t="shared" si="1983"/>
        <v>事業用資産</v>
      </c>
      <c r="H5443" s="7" t="str">
        <f t="shared" si="1973"/>
        <v>棚卸以外</v>
      </c>
      <c r="I5443" s="7">
        <v>51</v>
      </c>
      <c r="J5443" s="7" t="str">
        <f>"三丘会館"</f>
        <v>三丘会館</v>
      </c>
      <c r="K5443" s="7" t="str">
        <f>"鉄筋コンクリート造"</f>
        <v>鉄筋コンクリート造</v>
      </c>
      <c r="L5443" s="7" t="str">
        <f>"H08.04.03"</f>
        <v>H08.04.03</v>
      </c>
      <c r="M5443" s="7">
        <v>511.43</v>
      </c>
      <c r="N5443" s="7">
        <v>138920757</v>
      </c>
      <c r="O5443" s="7">
        <v>73507670</v>
      </c>
      <c r="P5443" s="7">
        <v>0</v>
      </c>
      <c r="Q5443" s="7" t="str">
        <f t="shared" si="1985"/>
        <v>教育庁</v>
      </c>
      <c r="R5443" s="7" t="str">
        <f t="shared" si="1996"/>
        <v>三国丘高等学校</v>
      </c>
    </row>
    <row r="5444" spans="1:18" s="1" customFormat="1" x14ac:dyDescent="0.45">
      <c r="A5444" s="7" t="str">
        <f t="shared" si="1993"/>
        <v>10443000000</v>
      </c>
      <c r="B5444" s="7" t="str">
        <f t="shared" si="1994"/>
        <v>三国丘高等学校</v>
      </c>
      <c r="C5444" s="7" t="str">
        <f t="shared" si="1978"/>
        <v>行政財産</v>
      </c>
      <c r="D5444" s="7" t="str">
        <f t="shared" si="1991"/>
        <v>学校</v>
      </c>
      <c r="E5444" s="7" t="str">
        <f t="shared" si="1995"/>
        <v>大阪府堺市　堺区南三国ヶ丘町２丁</v>
      </c>
      <c r="F5444" s="7"/>
      <c r="G5444" s="7" t="str">
        <f t="shared" si="1983"/>
        <v>事業用資産</v>
      </c>
      <c r="H5444" s="7" t="str">
        <f t="shared" ref="H5444:H5507" si="1997">"棚卸以外"</f>
        <v>棚卸以外</v>
      </c>
      <c r="I5444" s="7">
        <v>52</v>
      </c>
      <c r="J5444" s="7" t="str">
        <f>"体育倉庫"</f>
        <v>体育倉庫</v>
      </c>
      <c r="K5444" s="7" t="str">
        <f>"土蔵造(簡易建物)"</f>
        <v>土蔵造(簡易建物)</v>
      </c>
      <c r="L5444" s="7" t="str">
        <f>"H08.01.24"</f>
        <v>H08.01.24</v>
      </c>
      <c r="M5444" s="7">
        <v>16.62</v>
      </c>
      <c r="N5444" s="7">
        <v>888000</v>
      </c>
      <c r="O5444" s="7">
        <v>887999</v>
      </c>
      <c r="P5444" s="7">
        <v>0</v>
      </c>
      <c r="Q5444" s="7" t="str">
        <f t="shared" si="1985"/>
        <v>教育庁</v>
      </c>
      <c r="R5444" s="7" t="str">
        <f t="shared" si="1996"/>
        <v>三国丘高等学校</v>
      </c>
    </row>
    <row r="5445" spans="1:18" s="1" customFormat="1" x14ac:dyDescent="0.45">
      <c r="A5445" s="7" t="str">
        <f t="shared" si="1993"/>
        <v>10443000000</v>
      </c>
      <c r="B5445" s="7" t="str">
        <f t="shared" si="1994"/>
        <v>三国丘高等学校</v>
      </c>
      <c r="C5445" s="7" t="str">
        <f t="shared" si="1978"/>
        <v>行政財産</v>
      </c>
      <c r="D5445" s="7" t="str">
        <f t="shared" si="1991"/>
        <v>学校</v>
      </c>
      <c r="E5445" s="7" t="str">
        <f t="shared" si="1995"/>
        <v>大阪府堺市　堺区南三国ヶ丘町２丁</v>
      </c>
      <c r="F5445" s="7"/>
      <c r="G5445" s="7" t="str">
        <f t="shared" si="1983"/>
        <v>事業用資産</v>
      </c>
      <c r="H5445" s="7" t="str">
        <f t="shared" si="1997"/>
        <v>棚卸以外</v>
      </c>
      <c r="I5445" s="7">
        <v>53</v>
      </c>
      <c r="J5445" s="7" t="str">
        <f>"作法室"</f>
        <v>作法室</v>
      </c>
      <c r="K5445" s="7" t="str">
        <f>"鉄筋コンクリート造"</f>
        <v>鉄筋コンクリート造</v>
      </c>
      <c r="L5445" s="7" t="str">
        <f>"H11.03.18"</f>
        <v>H11.03.18</v>
      </c>
      <c r="M5445" s="7">
        <v>41.56</v>
      </c>
      <c r="N5445" s="7">
        <v>9057000</v>
      </c>
      <c r="O5445" s="7">
        <v>4624992</v>
      </c>
      <c r="P5445" s="7">
        <v>0</v>
      </c>
      <c r="Q5445" s="7" t="str">
        <f t="shared" si="1985"/>
        <v>教育庁</v>
      </c>
      <c r="R5445" s="7" t="str">
        <f t="shared" si="1996"/>
        <v>三国丘高等学校</v>
      </c>
    </row>
    <row r="5446" spans="1:18" s="1" customFormat="1" x14ac:dyDescent="0.45">
      <c r="A5446" s="7" t="str">
        <f t="shared" si="1993"/>
        <v>10443000000</v>
      </c>
      <c r="B5446" s="7" t="str">
        <f t="shared" si="1994"/>
        <v>三国丘高等学校</v>
      </c>
      <c r="C5446" s="7" t="str">
        <f t="shared" si="1978"/>
        <v>行政財産</v>
      </c>
      <c r="D5446" s="7" t="str">
        <f t="shared" si="1991"/>
        <v>学校</v>
      </c>
      <c r="E5446" s="7" t="str">
        <f t="shared" si="1995"/>
        <v>大阪府堺市　堺区南三国ヶ丘町２丁</v>
      </c>
      <c r="F5446" s="7"/>
      <c r="G5446" s="7" t="str">
        <f t="shared" si="1983"/>
        <v>事業用資産</v>
      </c>
      <c r="H5446" s="7" t="str">
        <f t="shared" si="1997"/>
        <v>棚卸以外</v>
      </c>
      <c r="I5446" s="7">
        <v>54</v>
      </c>
      <c r="J5446" s="7" t="str">
        <f>"ゴミ置場"</f>
        <v>ゴミ置場</v>
      </c>
      <c r="K5446" s="7" t="str">
        <f>"コンクリートブロック造"</f>
        <v>コンクリートブロック造</v>
      </c>
      <c r="L5446" s="7" t="str">
        <f>"H11.03.18"</f>
        <v>H11.03.18</v>
      </c>
      <c r="M5446" s="7">
        <v>12.04</v>
      </c>
      <c r="N5446" s="7">
        <v>1023000</v>
      </c>
      <c r="O5446" s="7">
        <v>722304</v>
      </c>
      <c r="P5446" s="7">
        <v>0</v>
      </c>
      <c r="Q5446" s="7" t="str">
        <f t="shared" si="1985"/>
        <v>教育庁</v>
      </c>
      <c r="R5446" s="7" t="str">
        <f t="shared" si="1996"/>
        <v>三国丘高等学校</v>
      </c>
    </row>
    <row r="5447" spans="1:18" s="1" customFormat="1" x14ac:dyDescent="0.45">
      <c r="A5447" s="7" t="str">
        <f t="shared" si="1993"/>
        <v>10443000000</v>
      </c>
      <c r="B5447" s="7" t="str">
        <f t="shared" si="1994"/>
        <v>三国丘高等学校</v>
      </c>
      <c r="C5447" s="7" t="str">
        <f t="shared" si="1978"/>
        <v>行政財産</v>
      </c>
      <c r="D5447" s="7" t="str">
        <f t="shared" si="1991"/>
        <v>学校</v>
      </c>
      <c r="E5447" s="7" t="str">
        <f t="shared" si="1995"/>
        <v>大阪府堺市　堺区南三国ヶ丘町２丁</v>
      </c>
      <c r="F5447" s="7"/>
      <c r="G5447" s="7" t="str">
        <f t="shared" si="1983"/>
        <v>事業用資産</v>
      </c>
      <c r="H5447" s="7" t="str">
        <f t="shared" si="1997"/>
        <v>棚卸以外</v>
      </c>
      <c r="I5447" s="7">
        <v>55</v>
      </c>
      <c r="J5447" s="7" t="str">
        <f>"筋力トレーニング室"</f>
        <v>筋力トレーニング室</v>
      </c>
      <c r="K5447" s="7" t="str">
        <f>"鉄骨造"</f>
        <v>鉄骨造</v>
      </c>
      <c r="L5447" s="7" t="str">
        <f>"H18.05.09"</f>
        <v>H18.05.09</v>
      </c>
      <c r="M5447" s="7">
        <v>46.09</v>
      </c>
      <c r="N5447" s="7">
        <v>3675000</v>
      </c>
      <c r="O5447" s="7">
        <v>2291286</v>
      </c>
      <c r="P5447" s="7">
        <v>0</v>
      </c>
      <c r="Q5447" s="7" t="str">
        <f t="shared" si="1985"/>
        <v>教育庁</v>
      </c>
      <c r="R5447" s="7" t="str">
        <f t="shared" si="1996"/>
        <v>三国丘高等学校</v>
      </c>
    </row>
    <row r="5448" spans="1:18" s="1" customFormat="1" x14ac:dyDescent="0.45">
      <c r="A5448" s="7" t="str">
        <f t="shared" si="1993"/>
        <v>10443000000</v>
      </c>
      <c r="B5448" s="7" t="str">
        <f t="shared" si="1994"/>
        <v>三国丘高等学校</v>
      </c>
      <c r="C5448" s="7" t="str">
        <f t="shared" si="1978"/>
        <v>行政財産</v>
      </c>
      <c r="D5448" s="7" t="str">
        <f t="shared" si="1991"/>
        <v>学校</v>
      </c>
      <c r="E5448" s="7" t="str">
        <f t="shared" si="1995"/>
        <v>大阪府堺市　堺区南三国ヶ丘町２丁</v>
      </c>
      <c r="F5448" s="7"/>
      <c r="G5448" s="7" t="str">
        <f t="shared" si="1983"/>
        <v>事業用資産</v>
      </c>
      <c r="H5448" s="7" t="str">
        <f t="shared" si="1997"/>
        <v>棚卸以外</v>
      </c>
      <c r="I5448" s="7">
        <v>56</v>
      </c>
      <c r="J5448" s="7" t="str">
        <f>"東館"</f>
        <v>東館</v>
      </c>
      <c r="K5448" s="7" t="str">
        <f>"鉄筋コンクリート造"</f>
        <v>鉄筋コンクリート造</v>
      </c>
      <c r="L5448" s="7" t="str">
        <f>"H18.08.24"</f>
        <v>H18.08.24</v>
      </c>
      <c r="M5448" s="7">
        <v>262.12</v>
      </c>
      <c r="N5448" s="7">
        <v>47864000</v>
      </c>
      <c r="O5448" s="7">
        <v>16888334</v>
      </c>
      <c r="P5448" s="7">
        <v>0</v>
      </c>
      <c r="Q5448" s="7" t="str">
        <f t="shared" si="1985"/>
        <v>教育庁</v>
      </c>
      <c r="R5448" s="7" t="str">
        <f t="shared" si="1996"/>
        <v>三国丘高等学校</v>
      </c>
    </row>
    <row r="5449" spans="1:18" s="1" customFormat="1" x14ac:dyDescent="0.45">
      <c r="A5449" s="7" t="str">
        <f t="shared" si="1993"/>
        <v>10443000000</v>
      </c>
      <c r="B5449" s="7" t="str">
        <f t="shared" si="1994"/>
        <v>三国丘高等学校</v>
      </c>
      <c r="C5449" s="7" t="str">
        <f t="shared" si="1978"/>
        <v>行政財産</v>
      </c>
      <c r="D5449" s="7" t="str">
        <f t="shared" si="1991"/>
        <v>学校</v>
      </c>
      <c r="E5449" s="7" t="str">
        <f t="shared" si="1995"/>
        <v>大阪府堺市　堺区南三国ヶ丘町２丁</v>
      </c>
      <c r="F5449" s="7"/>
      <c r="G5449" s="7" t="str">
        <f t="shared" si="1983"/>
        <v>事業用資産</v>
      </c>
      <c r="H5449" s="7" t="str">
        <f t="shared" si="1997"/>
        <v>棚卸以外</v>
      </c>
      <c r="I5449" s="7">
        <v>57</v>
      </c>
      <c r="J5449" s="7" t="str">
        <f>"プレハブ倉庫"</f>
        <v>プレハブ倉庫</v>
      </c>
      <c r="K5449" s="7" t="str">
        <f>"土蔵造(簡易建物)"</f>
        <v>土蔵造(簡易建物)</v>
      </c>
      <c r="L5449" s="7" t="str">
        <f>"H17.02.28"</f>
        <v>H17.02.28</v>
      </c>
      <c r="M5449" s="7">
        <v>8.02</v>
      </c>
      <c r="N5449" s="7">
        <v>388021</v>
      </c>
      <c r="O5449" s="7">
        <v>168500</v>
      </c>
      <c r="P5449" s="7">
        <v>0</v>
      </c>
      <c r="Q5449" s="7" t="str">
        <f t="shared" si="1985"/>
        <v>教育庁</v>
      </c>
      <c r="R5449" s="7" t="str">
        <f t="shared" si="1996"/>
        <v>三国丘高等学校</v>
      </c>
    </row>
    <row r="5450" spans="1:18" s="1" customFormat="1" x14ac:dyDescent="0.45">
      <c r="A5450" s="7" t="str">
        <f t="shared" ref="A5450:A5473" si="1998">"10444000000"</f>
        <v>10444000000</v>
      </c>
      <c r="B5450" s="7" t="str">
        <f t="shared" ref="B5450:B5473" si="1999">"鳳高等学校"</f>
        <v>鳳高等学校</v>
      </c>
      <c r="C5450" s="7" t="str">
        <f t="shared" si="1978"/>
        <v>行政財産</v>
      </c>
      <c r="D5450" s="7" t="str">
        <f t="shared" si="1991"/>
        <v>学校</v>
      </c>
      <c r="E5450" s="7" t="str">
        <f t="shared" ref="E5450:E5473" si="2000">"大阪府堺市　西区原田"</f>
        <v>大阪府堺市　西区原田</v>
      </c>
      <c r="F5450" s="7"/>
      <c r="G5450" s="7" t="str">
        <f t="shared" si="1983"/>
        <v>事業用資産</v>
      </c>
      <c r="H5450" s="7" t="str">
        <f t="shared" si="1997"/>
        <v>棚卸以外</v>
      </c>
      <c r="I5450" s="7">
        <v>12</v>
      </c>
      <c r="J5450" s="7" t="str">
        <f>"倉庫"</f>
        <v>倉庫</v>
      </c>
      <c r="K5450" s="7" t="str">
        <f>"鉄筋コンクリート造"</f>
        <v>鉄筋コンクリート造</v>
      </c>
      <c r="L5450" s="7" t="str">
        <f>"S10.04.01"</f>
        <v>S10.04.01</v>
      </c>
      <c r="M5450" s="7">
        <v>49.58</v>
      </c>
      <c r="N5450" s="7">
        <v>392688</v>
      </c>
      <c r="O5450" s="7">
        <v>392687</v>
      </c>
      <c r="P5450" s="7">
        <v>0</v>
      </c>
      <c r="Q5450" s="7" t="str">
        <f t="shared" si="1985"/>
        <v>教育庁</v>
      </c>
      <c r="R5450" s="7" t="str">
        <f t="shared" ref="R5450:R5473" si="2001">"鳳高等学校"</f>
        <v>鳳高等学校</v>
      </c>
    </row>
    <row r="5451" spans="1:18" s="1" customFormat="1" x14ac:dyDescent="0.45">
      <c r="A5451" s="7" t="str">
        <f t="shared" si="1998"/>
        <v>10444000000</v>
      </c>
      <c r="B5451" s="7" t="str">
        <f t="shared" si="1999"/>
        <v>鳳高等学校</v>
      </c>
      <c r="C5451" s="7" t="str">
        <f t="shared" si="1978"/>
        <v>行政財産</v>
      </c>
      <c r="D5451" s="7" t="str">
        <f t="shared" si="1991"/>
        <v>学校</v>
      </c>
      <c r="E5451" s="7" t="str">
        <f t="shared" si="2000"/>
        <v>大阪府堺市　西区原田</v>
      </c>
      <c r="F5451" s="7"/>
      <c r="G5451" s="7" t="str">
        <f t="shared" si="1983"/>
        <v>事業用資産</v>
      </c>
      <c r="H5451" s="7" t="str">
        <f t="shared" si="1997"/>
        <v>棚卸以外</v>
      </c>
      <c r="I5451" s="7">
        <v>19</v>
      </c>
      <c r="J5451" s="7" t="str">
        <f>"倉庫"</f>
        <v>倉庫</v>
      </c>
      <c r="K5451" s="7" t="str">
        <f>"木造"</f>
        <v>木造</v>
      </c>
      <c r="L5451" s="7" t="str">
        <f>"S28.01.25"</f>
        <v>S28.01.25</v>
      </c>
      <c r="M5451" s="7">
        <v>21.81</v>
      </c>
      <c r="N5451" s="7">
        <v>446855</v>
      </c>
      <c r="O5451" s="7">
        <v>446854</v>
      </c>
      <c r="P5451" s="7">
        <v>0</v>
      </c>
      <c r="Q5451" s="7" t="str">
        <f t="shared" si="1985"/>
        <v>教育庁</v>
      </c>
      <c r="R5451" s="7" t="str">
        <f t="shared" si="2001"/>
        <v>鳳高等学校</v>
      </c>
    </row>
    <row r="5452" spans="1:18" s="1" customFormat="1" x14ac:dyDescent="0.45">
      <c r="A5452" s="7" t="str">
        <f t="shared" si="1998"/>
        <v>10444000000</v>
      </c>
      <c r="B5452" s="7" t="str">
        <f t="shared" si="1999"/>
        <v>鳳高等学校</v>
      </c>
      <c r="C5452" s="7" t="str">
        <f t="shared" si="1978"/>
        <v>行政財産</v>
      </c>
      <c r="D5452" s="7" t="str">
        <f t="shared" si="1991"/>
        <v>学校</v>
      </c>
      <c r="E5452" s="7" t="str">
        <f t="shared" si="2000"/>
        <v>大阪府堺市　西区原田</v>
      </c>
      <c r="F5452" s="7"/>
      <c r="G5452" s="7" t="str">
        <f t="shared" si="1983"/>
        <v>事業用資産</v>
      </c>
      <c r="H5452" s="7" t="str">
        <f t="shared" si="1997"/>
        <v>棚卸以外</v>
      </c>
      <c r="I5452" s="7">
        <v>31</v>
      </c>
      <c r="J5452" s="7" t="str">
        <f>"倉庫"</f>
        <v>倉庫</v>
      </c>
      <c r="K5452" s="7" t="str">
        <f>"軽量鉄骨造"</f>
        <v>軽量鉄骨造</v>
      </c>
      <c r="L5452" s="7" t="str">
        <f>"S35.08.31"</f>
        <v>S35.08.31</v>
      </c>
      <c r="M5452" s="7">
        <v>131.99</v>
      </c>
      <c r="N5452" s="7">
        <v>2685000</v>
      </c>
      <c r="O5452" s="7">
        <v>2684999</v>
      </c>
      <c r="P5452" s="7">
        <v>0</v>
      </c>
      <c r="Q5452" s="7" t="str">
        <f t="shared" si="1985"/>
        <v>教育庁</v>
      </c>
      <c r="R5452" s="7" t="str">
        <f t="shared" si="2001"/>
        <v>鳳高等学校</v>
      </c>
    </row>
    <row r="5453" spans="1:18" s="1" customFormat="1" x14ac:dyDescent="0.45">
      <c r="A5453" s="7" t="str">
        <f t="shared" si="1998"/>
        <v>10444000000</v>
      </c>
      <c r="B5453" s="7" t="str">
        <f t="shared" si="1999"/>
        <v>鳳高等学校</v>
      </c>
      <c r="C5453" s="7" t="str">
        <f t="shared" ref="C5453:C5516" si="2002">"行政財産"</f>
        <v>行政財産</v>
      </c>
      <c r="D5453" s="7" t="str">
        <f t="shared" si="1991"/>
        <v>学校</v>
      </c>
      <c r="E5453" s="7" t="str">
        <f t="shared" si="2000"/>
        <v>大阪府堺市　西区原田</v>
      </c>
      <c r="F5453" s="7"/>
      <c r="G5453" s="7" t="str">
        <f t="shared" si="1983"/>
        <v>事業用資産</v>
      </c>
      <c r="H5453" s="7" t="str">
        <f t="shared" si="1997"/>
        <v>棚卸以外</v>
      </c>
      <c r="I5453" s="7">
        <v>32</v>
      </c>
      <c r="J5453" s="7" t="str">
        <f>"更衣室"</f>
        <v>更衣室</v>
      </c>
      <c r="K5453" s="7" t="str">
        <f>"鉄筋コンクリート造"</f>
        <v>鉄筋コンクリート造</v>
      </c>
      <c r="L5453" s="7" t="str">
        <f>"S37.03.31"</f>
        <v>S37.03.31</v>
      </c>
      <c r="M5453" s="7">
        <v>132.22999999999999</v>
      </c>
      <c r="N5453" s="7">
        <v>2029500</v>
      </c>
      <c r="O5453" s="7">
        <v>2029499</v>
      </c>
      <c r="P5453" s="7">
        <v>0</v>
      </c>
      <c r="Q5453" s="7" t="str">
        <f t="shared" si="1985"/>
        <v>教育庁</v>
      </c>
      <c r="R5453" s="7" t="str">
        <f t="shared" si="2001"/>
        <v>鳳高等学校</v>
      </c>
    </row>
    <row r="5454" spans="1:18" s="1" customFormat="1" x14ac:dyDescent="0.45">
      <c r="A5454" s="7" t="str">
        <f t="shared" si="1998"/>
        <v>10444000000</v>
      </c>
      <c r="B5454" s="7" t="str">
        <f t="shared" si="1999"/>
        <v>鳳高等学校</v>
      </c>
      <c r="C5454" s="7" t="str">
        <f t="shared" si="2002"/>
        <v>行政財産</v>
      </c>
      <c r="D5454" s="7" t="str">
        <f t="shared" si="1991"/>
        <v>学校</v>
      </c>
      <c r="E5454" s="7" t="str">
        <f t="shared" si="2000"/>
        <v>大阪府堺市　西区原田</v>
      </c>
      <c r="F5454" s="7"/>
      <c r="G5454" s="7" t="str">
        <f t="shared" si="1983"/>
        <v>事業用資産</v>
      </c>
      <c r="H5454" s="7" t="str">
        <f t="shared" si="1997"/>
        <v>棚卸以外</v>
      </c>
      <c r="I5454" s="7">
        <v>33</v>
      </c>
      <c r="J5454" s="7" t="str">
        <f>"倉庫"</f>
        <v>倉庫</v>
      </c>
      <c r="K5454" s="7" t="str">
        <f>"レンガ、石積造"</f>
        <v>レンガ、石積造</v>
      </c>
      <c r="L5454" s="7" t="str">
        <f>"S38.03.01"</f>
        <v>S38.03.01</v>
      </c>
      <c r="M5454" s="7">
        <v>8.66</v>
      </c>
      <c r="N5454" s="7">
        <v>184870</v>
      </c>
      <c r="O5454" s="7">
        <v>184869</v>
      </c>
      <c r="P5454" s="7">
        <v>0</v>
      </c>
      <c r="Q5454" s="7" t="str">
        <f t="shared" si="1985"/>
        <v>教育庁</v>
      </c>
      <c r="R5454" s="7" t="str">
        <f t="shared" si="2001"/>
        <v>鳳高等学校</v>
      </c>
    </row>
    <row r="5455" spans="1:18" s="1" customFormat="1" x14ac:dyDescent="0.45">
      <c r="A5455" s="7" t="str">
        <f t="shared" si="1998"/>
        <v>10444000000</v>
      </c>
      <c r="B5455" s="7" t="str">
        <f t="shared" si="1999"/>
        <v>鳳高等学校</v>
      </c>
      <c r="C5455" s="7" t="str">
        <f t="shared" si="2002"/>
        <v>行政財産</v>
      </c>
      <c r="D5455" s="7" t="str">
        <f t="shared" si="1991"/>
        <v>学校</v>
      </c>
      <c r="E5455" s="7" t="str">
        <f t="shared" si="2000"/>
        <v>大阪府堺市　西区原田</v>
      </c>
      <c r="F5455" s="7"/>
      <c r="G5455" s="7" t="str">
        <f t="shared" si="1983"/>
        <v>事業用資産</v>
      </c>
      <c r="H5455" s="7" t="str">
        <f t="shared" si="1997"/>
        <v>棚卸以外</v>
      </c>
      <c r="I5455" s="7">
        <v>40</v>
      </c>
      <c r="J5455" s="7" t="str">
        <f>"クラブ室"</f>
        <v>クラブ室</v>
      </c>
      <c r="K5455" s="7" t="str">
        <f>"鉄骨造"</f>
        <v>鉄骨造</v>
      </c>
      <c r="L5455" s="7" t="str">
        <f>"S40.03.26"</f>
        <v>S40.03.26</v>
      </c>
      <c r="M5455" s="7">
        <v>181.15</v>
      </c>
      <c r="N5455" s="7">
        <v>7104000</v>
      </c>
      <c r="O5455" s="7">
        <v>7103999</v>
      </c>
      <c r="P5455" s="7">
        <v>0</v>
      </c>
      <c r="Q5455" s="7" t="str">
        <f t="shared" si="1985"/>
        <v>教育庁</v>
      </c>
      <c r="R5455" s="7" t="str">
        <f t="shared" si="2001"/>
        <v>鳳高等学校</v>
      </c>
    </row>
    <row r="5456" spans="1:18" s="1" customFormat="1" x14ac:dyDescent="0.45">
      <c r="A5456" s="7" t="str">
        <f t="shared" si="1998"/>
        <v>10444000000</v>
      </c>
      <c r="B5456" s="7" t="str">
        <f t="shared" si="1999"/>
        <v>鳳高等学校</v>
      </c>
      <c r="C5456" s="7" t="str">
        <f t="shared" si="2002"/>
        <v>行政財産</v>
      </c>
      <c r="D5456" s="7" t="str">
        <f t="shared" si="1991"/>
        <v>学校</v>
      </c>
      <c r="E5456" s="7" t="str">
        <f t="shared" si="2000"/>
        <v>大阪府堺市　西区原田</v>
      </c>
      <c r="F5456" s="7"/>
      <c r="G5456" s="7" t="str">
        <f t="shared" si="1983"/>
        <v>事業用資産</v>
      </c>
      <c r="H5456" s="7" t="str">
        <f t="shared" si="1997"/>
        <v>棚卸以外</v>
      </c>
      <c r="I5456" s="7">
        <v>47</v>
      </c>
      <c r="J5456" s="7" t="str">
        <f>"クラブ室"</f>
        <v>クラブ室</v>
      </c>
      <c r="K5456" s="7" t="str">
        <f>"レンガ、石積造"</f>
        <v>レンガ、石積造</v>
      </c>
      <c r="L5456" s="7" t="str">
        <f>"S41.11.15"</f>
        <v>S41.11.15</v>
      </c>
      <c r="M5456" s="7">
        <v>6.3</v>
      </c>
      <c r="N5456" s="7">
        <v>99780</v>
      </c>
      <c r="O5456" s="7">
        <v>99779</v>
      </c>
      <c r="P5456" s="7">
        <v>0</v>
      </c>
      <c r="Q5456" s="7" t="str">
        <f t="shared" si="1985"/>
        <v>教育庁</v>
      </c>
      <c r="R5456" s="7" t="str">
        <f t="shared" si="2001"/>
        <v>鳳高等学校</v>
      </c>
    </row>
    <row r="5457" spans="1:18" s="1" customFormat="1" x14ac:dyDescent="0.45">
      <c r="A5457" s="7" t="str">
        <f t="shared" si="1998"/>
        <v>10444000000</v>
      </c>
      <c r="B5457" s="7" t="str">
        <f t="shared" si="1999"/>
        <v>鳳高等学校</v>
      </c>
      <c r="C5457" s="7" t="str">
        <f t="shared" si="2002"/>
        <v>行政財産</v>
      </c>
      <c r="D5457" s="7" t="str">
        <f t="shared" si="1991"/>
        <v>学校</v>
      </c>
      <c r="E5457" s="7" t="str">
        <f t="shared" si="2000"/>
        <v>大阪府堺市　西区原田</v>
      </c>
      <c r="F5457" s="7"/>
      <c r="G5457" s="7" t="str">
        <f t="shared" si="1983"/>
        <v>事業用資産</v>
      </c>
      <c r="H5457" s="7" t="str">
        <f t="shared" si="1997"/>
        <v>棚卸以外</v>
      </c>
      <c r="I5457" s="7">
        <v>55</v>
      </c>
      <c r="J5457" s="7" t="str">
        <f>"体育館"</f>
        <v>体育館</v>
      </c>
      <c r="K5457" s="7" t="str">
        <f>"鉄筋コンクリート造"</f>
        <v>鉄筋コンクリート造</v>
      </c>
      <c r="L5457" s="7" t="str">
        <f>"S47.03.28"</f>
        <v>S47.03.28</v>
      </c>
      <c r="M5457" s="7">
        <v>2096.9299999999998</v>
      </c>
      <c r="N5457" s="7">
        <v>195215780</v>
      </c>
      <c r="O5457" s="7">
        <v>124529474</v>
      </c>
      <c r="P5457" s="7">
        <v>0</v>
      </c>
      <c r="Q5457" s="7" t="str">
        <f t="shared" si="1985"/>
        <v>教育庁</v>
      </c>
      <c r="R5457" s="7" t="str">
        <f t="shared" si="2001"/>
        <v>鳳高等学校</v>
      </c>
    </row>
    <row r="5458" spans="1:18" s="1" customFormat="1" x14ac:dyDescent="0.45">
      <c r="A5458" s="7" t="str">
        <f t="shared" si="1998"/>
        <v>10444000000</v>
      </c>
      <c r="B5458" s="7" t="str">
        <f t="shared" si="1999"/>
        <v>鳳高等学校</v>
      </c>
      <c r="C5458" s="7" t="str">
        <f t="shared" si="2002"/>
        <v>行政財産</v>
      </c>
      <c r="D5458" s="7" t="str">
        <f t="shared" si="1991"/>
        <v>学校</v>
      </c>
      <c r="E5458" s="7" t="str">
        <f t="shared" si="2000"/>
        <v>大阪府堺市　西区原田</v>
      </c>
      <c r="F5458" s="7"/>
      <c r="G5458" s="7" t="str">
        <f t="shared" si="1983"/>
        <v>事業用資産</v>
      </c>
      <c r="H5458" s="7" t="str">
        <f t="shared" si="1997"/>
        <v>棚卸以外</v>
      </c>
      <c r="I5458" s="7">
        <v>56</v>
      </c>
      <c r="J5458" s="7" t="str">
        <f>"クラブハウス"</f>
        <v>クラブハウス</v>
      </c>
      <c r="K5458" s="7" t="str">
        <f>"鉄骨造"</f>
        <v>鉄骨造</v>
      </c>
      <c r="L5458" s="7" t="str">
        <f>"S48.03.28"</f>
        <v>S48.03.28</v>
      </c>
      <c r="M5458" s="7">
        <v>90</v>
      </c>
      <c r="N5458" s="7">
        <v>4568000</v>
      </c>
      <c r="O5458" s="7">
        <v>4567999</v>
      </c>
      <c r="P5458" s="7">
        <v>0</v>
      </c>
      <c r="Q5458" s="7" t="str">
        <f t="shared" si="1985"/>
        <v>教育庁</v>
      </c>
      <c r="R5458" s="7" t="str">
        <f t="shared" si="2001"/>
        <v>鳳高等学校</v>
      </c>
    </row>
    <row r="5459" spans="1:18" s="1" customFormat="1" x14ac:dyDescent="0.45">
      <c r="A5459" s="7" t="str">
        <f t="shared" si="1998"/>
        <v>10444000000</v>
      </c>
      <c r="B5459" s="7" t="str">
        <f t="shared" si="1999"/>
        <v>鳳高等学校</v>
      </c>
      <c r="C5459" s="7" t="str">
        <f t="shared" si="2002"/>
        <v>行政財産</v>
      </c>
      <c r="D5459" s="7" t="str">
        <f t="shared" si="1991"/>
        <v>学校</v>
      </c>
      <c r="E5459" s="7" t="str">
        <f t="shared" si="2000"/>
        <v>大阪府堺市　西区原田</v>
      </c>
      <c r="F5459" s="7"/>
      <c r="G5459" s="7" t="str">
        <f t="shared" si="1983"/>
        <v>事業用資産</v>
      </c>
      <c r="H5459" s="7" t="str">
        <f t="shared" si="1997"/>
        <v>棚卸以外</v>
      </c>
      <c r="I5459" s="7">
        <v>60</v>
      </c>
      <c r="J5459" s="7" t="str">
        <f>"図書館棟"</f>
        <v>図書館棟</v>
      </c>
      <c r="K5459" s="7" t="str">
        <f t="shared" ref="K5459:K5468" si="2003">"鉄筋コンクリート造"</f>
        <v>鉄筋コンクリート造</v>
      </c>
      <c r="L5459" s="7" t="str">
        <f>"S49.03.28"</f>
        <v>S49.03.28</v>
      </c>
      <c r="M5459" s="7">
        <v>1074.46</v>
      </c>
      <c r="N5459" s="7">
        <v>135455127</v>
      </c>
      <c r="O5459" s="7">
        <v>107740799</v>
      </c>
      <c r="P5459" s="7">
        <v>0</v>
      </c>
      <c r="Q5459" s="7" t="str">
        <f t="shared" si="1985"/>
        <v>教育庁</v>
      </c>
      <c r="R5459" s="7" t="str">
        <f t="shared" si="2001"/>
        <v>鳳高等学校</v>
      </c>
    </row>
    <row r="5460" spans="1:18" s="1" customFormat="1" x14ac:dyDescent="0.45">
      <c r="A5460" s="7" t="str">
        <f t="shared" si="1998"/>
        <v>10444000000</v>
      </c>
      <c r="B5460" s="7" t="str">
        <f t="shared" si="1999"/>
        <v>鳳高等学校</v>
      </c>
      <c r="C5460" s="7" t="str">
        <f t="shared" si="2002"/>
        <v>行政財産</v>
      </c>
      <c r="D5460" s="7" t="str">
        <f t="shared" si="1991"/>
        <v>学校</v>
      </c>
      <c r="E5460" s="7" t="str">
        <f t="shared" si="2000"/>
        <v>大阪府堺市　西区原田</v>
      </c>
      <c r="F5460" s="7"/>
      <c r="G5460" s="7" t="str">
        <f t="shared" si="1983"/>
        <v>事業用資産</v>
      </c>
      <c r="H5460" s="7" t="str">
        <f t="shared" si="1997"/>
        <v>棚卸以外</v>
      </c>
      <c r="I5460" s="7">
        <v>64</v>
      </c>
      <c r="J5460" s="7" t="str">
        <f>"汚水処理場"</f>
        <v>汚水処理場</v>
      </c>
      <c r="K5460" s="7" t="str">
        <f t="shared" si="2003"/>
        <v>鉄筋コンクリート造</v>
      </c>
      <c r="L5460" s="7" t="str">
        <f>"S54.03.31"</f>
        <v>S54.03.31</v>
      </c>
      <c r="M5460" s="7">
        <v>68.22</v>
      </c>
      <c r="N5460" s="7">
        <v>53720000</v>
      </c>
      <c r="O5460" s="7">
        <v>52251399</v>
      </c>
      <c r="P5460" s="7">
        <v>0</v>
      </c>
      <c r="Q5460" s="7" t="str">
        <f t="shared" si="1985"/>
        <v>教育庁</v>
      </c>
      <c r="R5460" s="7" t="str">
        <f t="shared" si="2001"/>
        <v>鳳高等学校</v>
      </c>
    </row>
    <row r="5461" spans="1:18" s="1" customFormat="1" x14ac:dyDescent="0.45">
      <c r="A5461" s="7" t="str">
        <f t="shared" si="1998"/>
        <v>10444000000</v>
      </c>
      <c r="B5461" s="7" t="str">
        <f t="shared" si="1999"/>
        <v>鳳高等学校</v>
      </c>
      <c r="C5461" s="7" t="str">
        <f t="shared" si="2002"/>
        <v>行政財産</v>
      </c>
      <c r="D5461" s="7" t="str">
        <f t="shared" si="1991"/>
        <v>学校</v>
      </c>
      <c r="E5461" s="7" t="str">
        <f t="shared" si="2000"/>
        <v>大阪府堺市　西区原田</v>
      </c>
      <c r="F5461" s="7"/>
      <c r="G5461" s="7" t="str">
        <f t="shared" si="1983"/>
        <v>事業用資産</v>
      </c>
      <c r="H5461" s="7" t="str">
        <f t="shared" si="1997"/>
        <v>棚卸以外</v>
      </c>
      <c r="I5461" s="7">
        <v>65</v>
      </c>
      <c r="J5461" s="7" t="str">
        <f>"電気設備棟"</f>
        <v>電気設備棟</v>
      </c>
      <c r="K5461" s="7" t="str">
        <f t="shared" si="2003"/>
        <v>鉄筋コンクリート造</v>
      </c>
      <c r="L5461" s="7" t="str">
        <f>"S54.05.30"</f>
        <v>S54.05.30</v>
      </c>
      <c r="M5461" s="7">
        <v>45</v>
      </c>
      <c r="N5461" s="7">
        <v>21449033</v>
      </c>
      <c r="O5461" s="7">
        <v>21319951</v>
      </c>
      <c r="P5461" s="7">
        <v>0</v>
      </c>
      <c r="Q5461" s="7" t="str">
        <f t="shared" si="1985"/>
        <v>教育庁</v>
      </c>
      <c r="R5461" s="7" t="str">
        <f t="shared" si="2001"/>
        <v>鳳高等学校</v>
      </c>
    </row>
    <row r="5462" spans="1:18" s="1" customFormat="1" x14ac:dyDescent="0.45">
      <c r="A5462" s="7" t="str">
        <f t="shared" si="1998"/>
        <v>10444000000</v>
      </c>
      <c r="B5462" s="7" t="str">
        <f t="shared" si="1999"/>
        <v>鳳高等学校</v>
      </c>
      <c r="C5462" s="7" t="str">
        <f t="shared" si="2002"/>
        <v>行政財産</v>
      </c>
      <c r="D5462" s="7" t="str">
        <f t="shared" si="1991"/>
        <v>学校</v>
      </c>
      <c r="E5462" s="7" t="str">
        <f t="shared" si="2000"/>
        <v>大阪府堺市　西区原田</v>
      </c>
      <c r="F5462" s="7"/>
      <c r="G5462" s="7" t="str">
        <f t="shared" si="1983"/>
        <v>事業用資産</v>
      </c>
      <c r="H5462" s="7" t="str">
        <f t="shared" si="1997"/>
        <v>棚卸以外</v>
      </c>
      <c r="I5462" s="7">
        <v>66</v>
      </c>
      <c r="J5462" s="7" t="str">
        <f>"給水設備棟"</f>
        <v>給水設備棟</v>
      </c>
      <c r="K5462" s="7" t="str">
        <f t="shared" si="2003"/>
        <v>鉄筋コンクリート造</v>
      </c>
      <c r="L5462" s="7" t="str">
        <f>"S54.05.30"</f>
        <v>S54.05.30</v>
      </c>
      <c r="M5462" s="7">
        <v>71.010000000000005</v>
      </c>
      <c r="N5462" s="7">
        <v>17834763</v>
      </c>
      <c r="O5462" s="7">
        <v>17094874</v>
      </c>
      <c r="P5462" s="7">
        <v>0</v>
      </c>
      <c r="Q5462" s="7" t="str">
        <f t="shared" si="1985"/>
        <v>教育庁</v>
      </c>
      <c r="R5462" s="7" t="str">
        <f t="shared" si="2001"/>
        <v>鳳高等学校</v>
      </c>
    </row>
    <row r="5463" spans="1:18" s="1" customFormat="1" x14ac:dyDescent="0.45">
      <c r="A5463" s="7" t="str">
        <f t="shared" si="1998"/>
        <v>10444000000</v>
      </c>
      <c r="B5463" s="7" t="str">
        <f t="shared" si="1999"/>
        <v>鳳高等学校</v>
      </c>
      <c r="C5463" s="7" t="str">
        <f t="shared" si="2002"/>
        <v>行政財産</v>
      </c>
      <c r="D5463" s="7" t="str">
        <f t="shared" si="1991"/>
        <v>学校</v>
      </c>
      <c r="E5463" s="7" t="str">
        <f t="shared" si="2000"/>
        <v>大阪府堺市　西区原田</v>
      </c>
      <c r="F5463" s="7"/>
      <c r="G5463" s="7" t="str">
        <f t="shared" ref="G5463:G5526" si="2004">"事業用資産"</f>
        <v>事業用資産</v>
      </c>
      <c r="H5463" s="7" t="str">
        <f t="shared" si="1997"/>
        <v>棚卸以外</v>
      </c>
      <c r="I5463" s="7">
        <v>67</v>
      </c>
      <c r="J5463" s="7" t="str">
        <f>"南館"</f>
        <v>南館</v>
      </c>
      <c r="K5463" s="7" t="str">
        <f t="shared" si="2003"/>
        <v>鉄筋コンクリート造</v>
      </c>
      <c r="L5463" s="7" t="str">
        <f>"S54.05.30"</f>
        <v>S54.05.30</v>
      </c>
      <c r="M5463" s="7">
        <v>3183.53</v>
      </c>
      <c r="N5463" s="7">
        <v>493898277</v>
      </c>
      <c r="O5463" s="7">
        <v>421865217</v>
      </c>
      <c r="P5463" s="7">
        <v>0</v>
      </c>
      <c r="Q5463" s="7" t="str">
        <f t="shared" si="1985"/>
        <v>教育庁</v>
      </c>
      <c r="R5463" s="7" t="str">
        <f t="shared" si="2001"/>
        <v>鳳高等学校</v>
      </c>
    </row>
    <row r="5464" spans="1:18" s="1" customFormat="1" x14ac:dyDescent="0.45">
      <c r="A5464" s="7" t="str">
        <f t="shared" si="1998"/>
        <v>10444000000</v>
      </c>
      <c r="B5464" s="7" t="str">
        <f t="shared" si="1999"/>
        <v>鳳高等学校</v>
      </c>
      <c r="C5464" s="7" t="str">
        <f t="shared" si="2002"/>
        <v>行政財産</v>
      </c>
      <c r="D5464" s="7" t="str">
        <f t="shared" si="1991"/>
        <v>学校</v>
      </c>
      <c r="E5464" s="7" t="str">
        <f t="shared" si="2000"/>
        <v>大阪府堺市　西区原田</v>
      </c>
      <c r="F5464" s="7"/>
      <c r="G5464" s="7" t="str">
        <f t="shared" si="2004"/>
        <v>事業用資産</v>
      </c>
      <c r="H5464" s="7" t="str">
        <f t="shared" si="1997"/>
        <v>棚卸以外</v>
      </c>
      <c r="I5464" s="7">
        <v>68</v>
      </c>
      <c r="J5464" s="7" t="str">
        <f>"渡り廊下"</f>
        <v>渡り廊下</v>
      </c>
      <c r="K5464" s="7" t="str">
        <f t="shared" si="2003"/>
        <v>鉄筋コンクリート造</v>
      </c>
      <c r="L5464" s="7" t="str">
        <f>"S54.05.30"</f>
        <v>S54.05.30</v>
      </c>
      <c r="M5464" s="7">
        <v>321.23</v>
      </c>
      <c r="N5464" s="7">
        <v>30740996</v>
      </c>
      <c r="O5464" s="7">
        <v>28826781</v>
      </c>
      <c r="P5464" s="7">
        <v>0</v>
      </c>
      <c r="Q5464" s="7" t="str">
        <f t="shared" si="1985"/>
        <v>教育庁</v>
      </c>
      <c r="R5464" s="7" t="str">
        <f t="shared" si="2001"/>
        <v>鳳高等学校</v>
      </c>
    </row>
    <row r="5465" spans="1:18" s="1" customFormat="1" x14ac:dyDescent="0.45">
      <c r="A5465" s="7" t="str">
        <f t="shared" si="1998"/>
        <v>10444000000</v>
      </c>
      <c r="B5465" s="7" t="str">
        <f t="shared" si="1999"/>
        <v>鳳高等学校</v>
      </c>
      <c r="C5465" s="7" t="str">
        <f t="shared" si="2002"/>
        <v>行政財産</v>
      </c>
      <c r="D5465" s="7" t="str">
        <f t="shared" si="1991"/>
        <v>学校</v>
      </c>
      <c r="E5465" s="7" t="str">
        <f t="shared" si="2000"/>
        <v>大阪府堺市　西区原田</v>
      </c>
      <c r="F5465" s="7"/>
      <c r="G5465" s="7" t="str">
        <f t="shared" si="2004"/>
        <v>事業用資産</v>
      </c>
      <c r="H5465" s="7" t="str">
        <f t="shared" si="1997"/>
        <v>棚卸以外</v>
      </c>
      <c r="I5465" s="7">
        <v>69</v>
      </c>
      <c r="J5465" s="7" t="str">
        <f>"中館"</f>
        <v>中館</v>
      </c>
      <c r="K5465" s="7" t="str">
        <f t="shared" si="2003"/>
        <v>鉄筋コンクリート造</v>
      </c>
      <c r="L5465" s="7" t="str">
        <f>"S54.05.30"</f>
        <v>S54.05.30</v>
      </c>
      <c r="M5465" s="7">
        <v>4718.34</v>
      </c>
      <c r="N5465" s="7">
        <v>487961359</v>
      </c>
      <c r="O5465" s="7">
        <v>422890519</v>
      </c>
      <c r="P5465" s="7">
        <v>0</v>
      </c>
      <c r="Q5465" s="7" t="str">
        <f t="shared" si="1985"/>
        <v>教育庁</v>
      </c>
      <c r="R5465" s="7" t="str">
        <f t="shared" si="2001"/>
        <v>鳳高等学校</v>
      </c>
    </row>
    <row r="5466" spans="1:18" s="1" customFormat="1" x14ac:dyDescent="0.45">
      <c r="A5466" s="7" t="str">
        <f t="shared" si="1998"/>
        <v>10444000000</v>
      </c>
      <c r="B5466" s="7" t="str">
        <f t="shared" si="1999"/>
        <v>鳳高等学校</v>
      </c>
      <c r="C5466" s="7" t="str">
        <f t="shared" si="2002"/>
        <v>行政財産</v>
      </c>
      <c r="D5466" s="7" t="str">
        <f t="shared" si="1991"/>
        <v>学校</v>
      </c>
      <c r="E5466" s="7" t="str">
        <f t="shared" si="2000"/>
        <v>大阪府堺市　西区原田</v>
      </c>
      <c r="F5466" s="7"/>
      <c r="G5466" s="7" t="str">
        <f t="shared" si="2004"/>
        <v>事業用資産</v>
      </c>
      <c r="H5466" s="7" t="str">
        <f t="shared" si="1997"/>
        <v>棚卸以外</v>
      </c>
      <c r="I5466" s="7">
        <v>70</v>
      </c>
      <c r="J5466" s="7" t="str">
        <f>"渡り廊下"</f>
        <v>渡り廊下</v>
      </c>
      <c r="K5466" s="7" t="str">
        <f t="shared" si="2003"/>
        <v>鉄筋コンクリート造</v>
      </c>
      <c r="L5466" s="7" t="str">
        <f>"S56.12.28"</f>
        <v>S56.12.28</v>
      </c>
      <c r="M5466" s="7">
        <v>271.39</v>
      </c>
      <c r="N5466" s="7">
        <v>28301765</v>
      </c>
      <c r="O5466" s="7">
        <v>27224074</v>
      </c>
      <c r="P5466" s="7">
        <v>0</v>
      </c>
      <c r="Q5466" s="7" t="str">
        <f t="shared" si="1985"/>
        <v>教育庁</v>
      </c>
      <c r="R5466" s="7" t="str">
        <f t="shared" si="2001"/>
        <v>鳳高等学校</v>
      </c>
    </row>
    <row r="5467" spans="1:18" s="1" customFormat="1" x14ac:dyDescent="0.45">
      <c r="A5467" s="7" t="str">
        <f t="shared" si="1998"/>
        <v>10444000000</v>
      </c>
      <c r="B5467" s="7" t="str">
        <f t="shared" si="1999"/>
        <v>鳳高等学校</v>
      </c>
      <c r="C5467" s="7" t="str">
        <f t="shared" si="2002"/>
        <v>行政財産</v>
      </c>
      <c r="D5467" s="7" t="str">
        <f t="shared" si="1991"/>
        <v>学校</v>
      </c>
      <c r="E5467" s="7" t="str">
        <f t="shared" si="2000"/>
        <v>大阪府堺市　西区原田</v>
      </c>
      <c r="F5467" s="7"/>
      <c r="G5467" s="7" t="str">
        <f t="shared" si="2004"/>
        <v>事業用資産</v>
      </c>
      <c r="H5467" s="7" t="str">
        <f t="shared" si="1997"/>
        <v>棚卸以外</v>
      </c>
      <c r="I5467" s="7">
        <v>71</v>
      </c>
      <c r="J5467" s="7" t="str">
        <f>"北館"</f>
        <v>北館</v>
      </c>
      <c r="K5467" s="7" t="str">
        <f t="shared" si="2003"/>
        <v>鉄筋コンクリート造</v>
      </c>
      <c r="L5467" s="7" t="str">
        <f>"S56.12.28"</f>
        <v>S56.12.28</v>
      </c>
      <c r="M5467" s="7">
        <v>2762.71</v>
      </c>
      <c r="N5467" s="7">
        <v>413463881</v>
      </c>
      <c r="O5467" s="7">
        <v>336708604</v>
      </c>
      <c r="P5467" s="7">
        <v>0</v>
      </c>
      <c r="Q5467" s="7" t="str">
        <f t="shared" ref="Q5467:Q5530" si="2005">"教育庁"</f>
        <v>教育庁</v>
      </c>
      <c r="R5467" s="7" t="str">
        <f t="shared" si="2001"/>
        <v>鳳高等学校</v>
      </c>
    </row>
    <row r="5468" spans="1:18" s="1" customFormat="1" x14ac:dyDescent="0.45">
      <c r="A5468" s="7" t="str">
        <f t="shared" si="1998"/>
        <v>10444000000</v>
      </c>
      <c r="B5468" s="7" t="str">
        <f t="shared" si="1999"/>
        <v>鳳高等学校</v>
      </c>
      <c r="C5468" s="7" t="str">
        <f t="shared" si="2002"/>
        <v>行政財産</v>
      </c>
      <c r="D5468" s="7" t="str">
        <f t="shared" si="1991"/>
        <v>学校</v>
      </c>
      <c r="E5468" s="7" t="str">
        <f t="shared" si="2000"/>
        <v>大阪府堺市　西区原田</v>
      </c>
      <c r="F5468" s="7"/>
      <c r="G5468" s="7" t="str">
        <f t="shared" si="2004"/>
        <v>事業用資産</v>
      </c>
      <c r="H5468" s="7" t="str">
        <f t="shared" si="1997"/>
        <v>棚卸以外</v>
      </c>
      <c r="I5468" s="7">
        <v>72</v>
      </c>
      <c r="J5468" s="7" t="str">
        <f>"食堂棟"</f>
        <v>食堂棟</v>
      </c>
      <c r="K5468" s="7" t="str">
        <f t="shared" si="2003"/>
        <v>鉄筋コンクリート造</v>
      </c>
      <c r="L5468" s="7" t="str">
        <f>"S56.12.28"</f>
        <v>S56.12.28</v>
      </c>
      <c r="M5468" s="7">
        <v>640</v>
      </c>
      <c r="N5468" s="7">
        <v>103389835</v>
      </c>
      <c r="O5468" s="7">
        <v>99066235</v>
      </c>
      <c r="P5468" s="7">
        <v>0</v>
      </c>
      <c r="Q5468" s="7" t="str">
        <f t="shared" si="2005"/>
        <v>教育庁</v>
      </c>
      <c r="R5468" s="7" t="str">
        <f t="shared" si="2001"/>
        <v>鳳高等学校</v>
      </c>
    </row>
    <row r="5469" spans="1:18" s="1" customFormat="1" x14ac:dyDescent="0.45">
      <c r="A5469" s="7" t="str">
        <f t="shared" si="1998"/>
        <v>10444000000</v>
      </c>
      <c r="B5469" s="7" t="str">
        <f t="shared" si="1999"/>
        <v>鳳高等学校</v>
      </c>
      <c r="C5469" s="7" t="str">
        <f t="shared" si="2002"/>
        <v>行政財産</v>
      </c>
      <c r="D5469" s="7" t="str">
        <f t="shared" si="1991"/>
        <v>学校</v>
      </c>
      <c r="E5469" s="7" t="str">
        <f t="shared" si="2000"/>
        <v>大阪府堺市　西区原田</v>
      </c>
      <c r="F5469" s="7"/>
      <c r="G5469" s="7" t="str">
        <f t="shared" si="2004"/>
        <v>事業用資産</v>
      </c>
      <c r="H5469" s="7" t="str">
        <f t="shared" si="1997"/>
        <v>棚卸以外</v>
      </c>
      <c r="I5469" s="7">
        <v>73</v>
      </c>
      <c r="J5469" s="7" t="str">
        <f>"陶芸室"</f>
        <v>陶芸室</v>
      </c>
      <c r="K5469" s="7" t="str">
        <f>"鉄骨造"</f>
        <v>鉄骨造</v>
      </c>
      <c r="L5469" s="7" t="str">
        <f>"S57.03.31"</f>
        <v>S57.03.31</v>
      </c>
      <c r="M5469" s="7">
        <v>9.9</v>
      </c>
      <c r="N5469" s="7">
        <v>1183000</v>
      </c>
      <c r="O5469" s="7">
        <v>1182999</v>
      </c>
      <c r="P5469" s="7">
        <v>0</v>
      </c>
      <c r="Q5469" s="7" t="str">
        <f t="shared" si="2005"/>
        <v>教育庁</v>
      </c>
      <c r="R5469" s="7" t="str">
        <f t="shared" si="2001"/>
        <v>鳳高等学校</v>
      </c>
    </row>
    <row r="5470" spans="1:18" s="1" customFormat="1" x14ac:dyDescent="0.45">
      <c r="A5470" s="7" t="str">
        <f t="shared" si="1998"/>
        <v>10444000000</v>
      </c>
      <c r="B5470" s="7" t="str">
        <f t="shared" si="1999"/>
        <v>鳳高等学校</v>
      </c>
      <c r="C5470" s="7" t="str">
        <f t="shared" si="2002"/>
        <v>行政財産</v>
      </c>
      <c r="D5470" s="7" t="str">
        <f t="shared" si="1991"/>
        <v>学校</v>
      </c>
      <c r="E5470" s="7" t="str">
        <f t="shared" si="2000"/>
        <v>大阪府堺市　西区原田</v>
      </c>
      <c r="F5470" s="7"/>
      <c r="G5470" s="7" t="str">
        <f t="shared" si="2004"/>
        <v>事業用資産</v>
      </c>
      <c r="H5470" s="7" t="str">
        <f t="shared" si="1997"/>
        <v>棚卸以外</v>
      </c>
      <c r="I5470" s="7">
        <v>74</v>
      </c>
      <c r="J5470" s="7" t="str">
        <f>"倉庫"</f>
        <v>倉庫</v>
      </c>
      <c r="K5470" s="7" t="str">
        <f>"鉄骨造"</f>
        <v>鉄骨造</v>
      </c>
      <c r="L5470" s="7" t="str">
        <f>"S58.03.15"</f>
        <v>S58.03.15</v>
      </c>
      <c r="M5470" s="7">
        <v>100</v>
      </c>
      <c r="N5470" s="7">
        <v>9176400</v>
      </c>
      <c r="O5470" s="7">
        <v>9132303</v>
      </c>
      <c r="P5470" s="7">
        <v>0</v>
      </c>
      <c r="Q5470" s="7" t="str">
        <f t="shared" si="2005"/>
        <v>教育庁</v>
      </c>
      <c r="R5470" s="7" t="str">
        <f t="shared" si="2001"/>
        <v>鳳高等学校</v>
      </c>
    </row>
    <row r="5471" spans="1:18" s="1" customFormat="1" x14ac:dyDescent="0.45">
      <c r="A5471" s="7" t="str">
        <f t="shared" si="1998"/>
        <v>10444000000</v>
      </c>
      <c r="B5471" s="7" t="str">
        <f t="shared" si="1999"/>
        <v>鳳高等学校</v>
      </c>
      <c r="C5471" s="7" t="str">
        <f t="shared" si="2002"/>
        <v>行政財産</v>
      </c>
      <c r="D5471" s="7" t="str">
        <f t="shared" si="1991"/>
        <v>学校</v>
      </c>
      <c r="E5471" s="7" t="str">
        <f t="shared" si="2000"/>
        <v>大阪府堺市　西区原田</v>
      </c>
      <c r="F5471" s="7"/>
      <c r="G5471" s="7" t="str">
        <f t="shared" si="2004"/>
        <v>事業用資産</v>
      </c>
      <c r="H5471" s="7" t="str">
        <f t="shared" si="1997"/>
        <v>棚卸以外</v>
      </c>
      <c r="I5471" s="7">
        <v>75</v>
      </c>
      <c r="J5471" s="7" t="str">
        <f>"警備員室"</f>
        <v>警備員室</v>
      </c>
      <c r="K5471" s="7" t="str">
        <f>"コンクリートブロック造"</f>
        <v>コンクリートブロック造</v>
      </c>
      <c r="L5471" s="7" t="str">
        <f>"S58.03.15"</f>
        <v>S58.03.15</v>
      </c>
      <c r="M5471" s="7">
        <v>4.46</v>
      </c>
      <c r="N5471" s="7">
        <v>1154000</v>
      </c>
      <c r="O5471" s="7">
        <v>1126080</v>
      </c>
      <c r="P5471" s="7">
        <v>0</v>
      </c>
      <c r="Q5471" s="7" t="str">
        <f t="shared" si="2005"/>
        <v>教育庁</v>
      </c>
      <c r="R5471" s="7" t="str">
        <f t="shared" si="2001"/>
        <v>鳳高等学校</v>
      </c>
    </row>
    <row r="5472" spans="1:18" s="1" customFormat="1" x14ac:dyDescent="0.45">
      <c r="A5472" s="7" t="str">
        <f t="shared" si="1998"/>
        <v>10444000000</v>
      </c>
      <c r="B5472" s="7" t="str">
        <f t="shared" si="1999"/>
        <v>鳳高等学校</v>
      </c>
      <c r="C5472" s="7" t="str">
        <f t="shared" si="2002"/>
        <v>行政財産</v>
      </c>
      <c r="D5472" s="7" t="str">
        <f t="shared" si="1991"/>
        <v>学校</v>
      </c>
      <c r="E5472" s="7" t="str">
        <f t="shared" si="2000"/>
        <v>大阪府堺市　西区原田</v>
      </c>
      <c r="F5472" s="7"/>
      <c r="G5472" s="7" t="str">
        <f t="shared" si="2004"/>
        <v>事業用資産</v>
      </c>
      <c r="H5472" s="7" t="str">
        <f t="shared" si="1997"/>
        <v>棚卸以外</v>
      </c>
      <c r="I5472" s="7">
        <v>76</v>
      </c>
      <c r="J5472" s="7" t="str">
        <f>"東館"</f>
        <v>東館</v>
      </c>
      <c r="K5472" s="7" t="str">
        <f t="shared" ref="K5472:K5482" si="2006">"鉄筋コンクリート造"</f>
        <v>鉄筋コンクリート造</v>
      </c>
      <c r="L5472" s="7" t="str">
        <f>"S61.12.22"</f>
        <v>S61.12.22</v>
      </c>
      <c r="M5472" s="7">
        <v>1116.92</v>
      </c>
      <c r="N5472" s="7">
        <v>124445433</v>
      </c>
      <c r="O5472" s="7">
        <v>95623428</v>
      </c>
      <c r="P5472" s="7">
        <v>0</v>
      </c>
      <c r="Q5472" s="7" t="str">
        <f t="shared" si="2005"/>
        <v>教育庁</v>
      </c>
      <c r="R5472" s="7" t="str">
        <f t="shared" si="2001"/>
        <v>鳳高等学校</v>
      </c>
    </row>
    <row r="5473" spans="1:18" s="1" customFormat="1" x14ac:dyDescent="0.45">
      <c r="A5473" s="7" t="str">
        <f t="shared" si="1998"/>
        <v>10444000000</v>
      </c>
      <c r="B5473" s="7" t="str">
        <f t="shared" si="1999"/>
        <v>鳳高等学校</v>
      </c>
      <c r="C5473" s="7" t="str">
        <f t="shared" si="2002"/>
        <v>行政財産</v>
      </c>
      <c r="D5473" s="7" t="str">
        <f t="shared" si="1991"/>
        <v>学校</v>
      </c>
      <c r="E5473" s="7" t="str">
        <f t="shared" si="2000"/>
        <v>大阪府堺市　西区原田</v>
      </c>
      <c r="F5473" s="7"/>
      <c r="G5473" s="7" t="str">
        <f t="shared" si="2004"/>
        <v>事業用資産</v>
      </c>
      <c r="H5473" s="7" t="str">
        <f t="shared" si="1997"/>
        <v>棚卸以外</v>
      </c>
      <c r="I5473" s="7">
        <v>77</v>
      </c>
      <c r="J5473" s="7" t="str">
        <f>"プール附属棟"</f>
        <v>プール附属棟</v>
      </c>
      <c r="K5473" s="7" t="str">
        <f t="shared" si="2006"/>
        <v>鉄筋コンクリート造</v>
      </c>
      <c r="L5473" s="7" t="str">
        <f>"H03.03.29"</f>
        <v>H03.03.29</v>
      </c>
      <c r="M5473" s="7">
        <v>138</v>
      </c>
      <c r="N5473" s="7">
        <v>47335977</v>
      </c>
      <c r="O5473" s="7">
        <v>32167602</v>
      </c>
      <c r="P5473" s="7">
        <v>0</v>
      </c>
      <c r="Q5473" s="7" t="str">
        <f t="shared" si="2005"/>
        <v>教育庁</v>
      </c>
      <c r="R5473" s="7" t="str">
        <f t="shared" si="2001"/>
        <v>鳳高等学校</v>
      </c>
    </row>
    <row r="5474" spans="1:18" s="1" customFormat="1" x14ac:dyDescent="0.45">
      <c r="A5474" s="7" t="str">
        <f t="shared" ref="A5474:A5486" si="2007">"10445000000"</f>
        <v>10445000000</v>
      </c>
      <c r="B5474" s="7" t="str">
        <f t="shared" ref="B5474:B5486" si="2008">"泉北高等学校"</f>
        <v>泉北高等学校</v>
      </c>
      <c r="C5474" s="7" t="str">
        <f t="shared" si="2002"/>
        <v>行政財産</v>
      </c>
      <c r="D5474" s="7" t="str">
        <f t="shared" si="1991"/>
        <v>学校</v>
      </c>
      <c r="E5474" s="7" t="str">
        <f t="shared" ref="E5474:E5486" si="2009">"大阪府堺市　南区若松台３丁"</f>
        <v>大阪府堺市　南区若松台３丁</v>
      </c>
      <c r="F5474" s="7"/>
      <c r="G5474" s="7" t="str">
        <f t="shared" si="2004"/>
        <v>事業用資産</v>
      </c>
      <c r="H5474" s="7" t="str">
        <f t="shared" si="1997"/>
        <v>棚卸以外</v>
      </c>
      <c r="I5474" s="7">
        <v>1</v>
      </c>
      <c r="J5474" s="7" t="str">
        <f>"普通教室Ａ棟"</f>
        <v>普通教室Ａ棟</v>
      </c>
      <c r="K5474" s="7" t="str">
        <f t="shared" si="2006"/>
        <v>鉄筋コンクリート造</v>
      </c>
      <c r="L5474" s="7" t="str">
        <f>"S44.04.01"</f>
        <v>S44.04.01</v>
      </c>
      <c r="M5474" s="7">
        <v>1828.83</v>
      </c>
      <c r="N5474" s="7">
        <v>131358924</v>
      </c>
      <c r="O5474" s="7">
        <v>81611116</v>
      </c>
      <c r="P5474" s="7">
        <v>0</v>
      </c>
      <c r="Q5474" s="7" t="str">
        <f t="shared" si="2005"/>
        <v>教育庁</v>
      </c>
      <c r="R5474" s="7" t="str">
        <f t="shared" ref="R5474:R5486" si="2010">"泉北高等学校"</f>
        <v>泉北高等学校</v>
      </c>
    </row>
    <row r="5475" spans="1:18" s="1" customFormat="1" x14ac:dyDescent="0.45">
      <c r="A5475" s="7" t="str">
        <f t="shared" si="2007"/>
        <v>10445000000</v>
      </c>
      <c r="B5475" s="7" t="str">
        <f t="shared" si="2008"/>
        <v>泉北高等学校</v>
      </c>
      <c r="C5475" s="7" t="str">
        <f t="shared" si="2002"/>
        <v>行政財産</v>
      </c>
      <c r="D5475" s="7" t="str">
        <f t="shared" si="1991"/>
        <v>学校</v>
      </c>
      <c r="E5475" s="7" t="str">
        <f t="shared" si="2009"/>
        <v>大阪府堺市　南区若松台３丁</v>
      </c>
      <c r="F5475" s="7"/>
      <c r="G5475" s="7" t="str">
        <f t="shared" si="2004"/>
        <v>事業用資産</v>
      </c>
      <c r="H5475" s="7" t="str">
        <f t="shared" si="1997"/>
        <v>棚卸以外</v>
      </c>
      <c r="I5475" s="7">
        <v>5</v>
      </c>
      <c r="J5475" s="7" t="str">
        <f>"特別教室Ａ棟"</f>
        <v>特別教室Ａ棟</v>
      </c>
      <c r="K5475" s="7" t="str">
        <f t="shared" si="2006"/>
        <v>鉄筋コンクリート造</v>
      </c>
      <c r="L5475" s="7" t="str">
        <f>"S45.02.23"</f>
        <v>S45.02.23</v>
      </c>
      <c r="M5475" s="7">
        <v>1429.84</v>
      </c>
      <c r="N5475" s="7">
        <v>125107921</v>
      </c>
      <c r="O5475" s="7">
        <v>78849093</v>
      </c>
      <c r="P5475" s="7">
        <v>0</v>
      </c>
      <c r="Q5475" s="7" t="str">
        <f t="shared" si="2005"/>
        <v>教育庁</v>
      </c>
      <c r="R5475" s="7" t="str">
        <f t="shared" si="2010"/>
        <v>泉北高等学校</v>
      </c>
    </row>
    <row r="5476" spans="1:18" s="1" customFormat="1" x14ac:dyDescent="0.45">
      <c r="A5476" s="7" t="str">
        <f t="shared" si="2007"/>
        <v>10445000000</v>
      </c>
      <c r="B5476" s="7" t="str">
        <f t="shared" si="2008"/>
        <v>泉北高等学校</v>
      </c>
      <c r="C5476" s="7" t="str">
        <f t="shared" si="2002"/>
        <v>行政財産</v>
      </c>
      <c r="D5476" s="7" t="str">
        <f t="shared" si="1991"/>
        <v>学校</v>
      </c>
      <c r="E5476" s="7" t="str">
        <f t="shared" si="2009"/>
        <v>大阪府堺市　南区若松台３丁</v>
      </c>
      <c r="F5476" s="7"/>
      <c r="G5476" s="7" t="str">
        <f t="shared" si="2004"/>
        <v>事業用資産</v>
      </c>
      <c r="H5476" s="7" t="str">
        <f t="shared" si="1997"/>
        <v>棚卸以外</v>
      </c>
      <c r="I5476" s="7">
        <v>6</v>
      </c>
      <c r="J5476" s="7" t="str">
        <f>"特別教室Ｂ棟"</f>
        <v>特別教室Ｂ棟</v>
      </c>
      <c r="K5476" s="7" t="str">
        <f t="shared" si="2006"/>
        <v>鉄筋コンクリート造</v>
      </c>
      <c r="L5476" s="7" t="str">
        <f>"S45.02.23"</f>
        <v>S45.02.23</v>
      </c>
      <c r="M5476" s="7">
        <v>1263.7</v>
      </c>
      <c r="N5476" s="7">
        <v>107246104</v>
      </c>
      <c r="O5476" s="7">
        <v>76273397</v>
      </c>
      <c r="P5476" s="7">
        <v>0</v>
      </c>
      <c r="Q5476" s="7" t="str">
        <f t="shared" si="2005"/>
        <v>教育庁</v>
      </c>
      <c r="R5476" s="7" t="str">
        <f t="shared" si="2010"/>
        <v>泉北高等学校</v>
      </c>
    </row>
    <row r="5477" spans="1:18" s="1" customFormat="1" x14ac:dyDescent="0.45">
      <c r="A5477" s="7" t="str">
        <f t="shared" si="2007"/>
        <v>10445000000</v>
      </c>
      <c r="B5477" s="7" t="str">
        <f t="shared" si="2008"/>
        <v>泉北高等学校</v>
      </c>
      <c r="C5477" s="7" t="str">
        <f t="shared" si="2002"/>
        <v>行政財産</v>
      </c>
      <c r="D5477" s="7" t="str">
        <f t="shared" si="1991"/>
        <v>学校</v>
      </c>
      <c r="E5477" s="7" t="str">
        <f t="shared" si="2009"/>
        <v>大阪府堺市　南区若松台３丁</v>
      </c>
      <c r="F5477" s="7"/>
      <c r="G5477" s="7" t="str">
        <f t="shared" si="2004"/>
        <v>事業用資産</v>
      </c>
      <c r="H5477" s="7" t="str">
        <f t="shared" si="1997"/>
        <v>棚卸以外</v>
      </c>
      <c r="I5477" s="7">
        <v>7</v>
      </c>
      <c r="J5477" s="7" t="str">
        <f>"渡り廊下"</f>
        <v>渡り廊下</v>
      </c>
      <c r="K5477" s="7" t="str">
        <f t="shared" si="2006"/>
        <v>鉄筋コンクリート造</v>
      </c>
      <c r="L5477" s="7" t="str">
        <f>"S45.02.23"</f>
        <v>S45.02.23</v>
      </c>
      <c r="M5477" s="7">
        <v>208</v>
      </c>
      <c r="N5477" s="7">
        <v>9080939</v>
      </c>
      <c r="O5477" s="7">
        <v>8906153</v>
      </c>
      <c r="P5477" s="7">
        <v>0</v>
      </c>
      <c r="Q5477" s="7" t="str">
        <f t="shared" si="2005"/>
        <v>教育庁</v>
      </c>
      <c r="R5477" s="7" t="str">
        <f t="shared" si="2010"/>
        <v>泉北高等学校</v>
      </c>
    </row>
    <row r="5478" spans="1:18" s="1" customFormat="1" x14ac:dyDescent="0.45">
      <c r="A5478" s="7" t="str">
        <f t="shared" si="2007"/>
        <v>10445000000</v>
      </c>
      <c r="B5478" s="7" t="str">
        <f t="shared" si="2008"/>
        <v>泉北高等学校</v>
      </c>
      <c r="C5478" s="7" t="str">
        <f t="shared" si="2002"/>
        <v>行政財産</v>
      </c>
      <c r="D5478" s="7" t="str">
        <f t="shared" si="1991"/>
        <v>学校</v>
      </c>
      <c r="E5478" s="7" t="str">
        <f t="shared" si="2009"/>
        <v>大阪府堺市　南区若松台３丁</v>
      </c>
      <c r="F5478" s="7"/>
      <c r="G5478" s="7" t="str">
        <f t="shared" si="2004"/>
        <v>事業用資産</v>
      </c>
      <c r="H5478" s="7" t="str">
        <f t="shared" si="1997"/>
        <v>棚卸以外</v>
      </c>
      <c r="I5478" s="7">
        <v>8</v>
      </c>
      <c r="J5478" s="7" t="str">
        <f>"普通教室Ｂ棟"</f>
        <v>普通教室Ｂ棟</v>
      </c>
      <c r="K5478" s="7" t="str">
        <f t="shared" si="2006"/>
        <v>鉄筋コンクリート造</v>
      </c>
      <c r="L5478" s="7" t="str">
        <f>"S46.03.31"</f>
        <v>S46.03.31</v>
      </c>
      <c r="M5478" s="7">
        <v>1886.92</v>
      </c>
      <c r="N5478" s="7">
        <v>205942337</v>
      </c>
      <c r="O5478" s="7">
        <v>118221705</v>
      </c>
      <c r="P5478" s="7">
        <v>0</v>
      </c>
      <c r="Q5478" s="7" t="str">
        <f t="shared" si="2005"/>
        <v>教育庁</v>
      </c>
      <c r="R5478" s="7" t="str">
        <f t="shared" si="2010"/>
        <v>泉北高等学校</v>
      </c>
    </row>
    <row r="5479" spans="1:18" s="1" customFormat="1" x14ac:dyDescent="0.45">
      <c r="A5479" s="7" t="str">
        <f t="shared" si="2007"/>
        <v>10445000000</v>
      </c>
      <c r="B5479" s="7" t="str">
        <f t="shared" si="2008"/>
        <v>泉北高等学校</v>
      </c>
      <c r="C5479" s="7" t="str">
        <f t="shared" si="2002"/>
        <v>行政財産</v>
      </c>
      <c r="D5479" s="7" t="str">
        <f t="shared" si="1991"/>
        <v>学校</v>
      </c>
      <c r="E5479" s="7" t="str">
        <f t="shared" si="2009"/>
        <v>大阪府堺市　南区若松台３丁</v>
      </c>
      <c r="F5479" s="7"/>
      <c r="G5479" s="7" t="str">
        <f t="shared" si="2004"/>
        <v>事業用資産</v>
      </c>
      <c r="H5479" s="7" t="str">
        <f t="shared" si="1997"/>
        <v>棚卸以外</v>
      </c>
      <c r="I5479" s="7">
        <v>9</v>
      </c>
      <c r="J5479" s="7" t="str">
        <f>"管理棟Ｃ棟"</f>
        <v>管理棟Ｃ棟</v>
      </c>
      <c r="K5479" s="7" t="str">
        <f t="shared" si="2006"/>
        <v>鉄筋コンクリート造</v>
      </c>
      <c r="L5479" s="7" t="str">
        <f>"S46.03.31"</f>
        <v>S46.03.31</v>
      </c>
      <c r="M5479" s="7">
        <v>3688.35</v>
      </c>
      <c r="N5479" s="7">
        <v>370842168</v>
      </c>
      <c r="O5479" s="7">
        <v>279487795</v>
      </c>
      <c r="P5479" s="7">
        <v>0</v>
      </c>
      <c r="Q5479" s="7" t="str">
        <f t="shared" si="2005"/>
        <v>教育庁</v>
      </c>
      <c r="R5479" s="7" t="str">
        <f t="shared" si="2010"/>
        <v>泉北高等学校</v>
      </c>
    </row>
    <row r="5480" spans="1:18" s="1" customFormat="1" x14ac:dyDescent="0.45">
      <c r="A5480" s="7" t="str">
        <f t="shared" si="2007"/>
        <v>10445000000</v>
      </c>
      <c r="B5480" s="7" t="str">
        <f t="shared" si="2008"/>
        <v>泉北高等学校</v>
      </c>
      <c r="C5480" s="7" t="str">
        <f t="shared" si="2002"/>
        <v>行政財産</v>
      </c>
      <c r="D5480" s="7" t="str">
        <f t="shared" si="1991"/>
        <v>学校</v>
      </c>
      <c r="E5480" s="7" t="str">
        <f t="shared" si="2009"/>
        <v>大阪府堺市　南区若松台３丁</v>
      </c>
      <c r="F5480" s="7"/>
      <c r="G5480" s="7" t="str">
        <f t="shared" si="2004"/>
        <v>事業用資産</v>
      </c>
      <c r="H5480" s="7" t="str">
        <f t="shared" si="1997"/>
        <v>棚卸以外</v>
      </c>
      <c r="I5480" s="7">
        <v>10</v>
      </c>
      <c r="J5480" s="7" t="str">
        <f>"渡り廊下"</f>
        <v>渡り廊下</v>
      </c>
      <c r="K5480" s="7" t="str">
        <f t="shared" si="2006"/>
        <v>鉄筋コンクリート造</v>
      </c>
      <c r="L5480" s="7" t="str">
        <f>"S46.03.31"</f>
        <v>S46.03.31</v>
      </c>
      <c r="M5480" s="7">
        <v>192.6</v>
      </c>
      <c r="N5480" s="7">
        <v>15655338</v>
      </c>
      <c r="O5480" s="7">
        <v>14496512</v>
      </c>
      <c r="P5480" s="7">
        <v>0</v>
      </c>
      <c r="Q5480" s="7" t="str">
        <f t="shared" si="2005"/>
        <v>教育庁</v>
      </c>
      <c r="R5480" s="7" t="str">
        <f t="shared" si="2010"/>
        <v>泉北高等学校</v>
      </c>
    </row>
    <row r="5481" spans="1:18" s="1" customFormat="1" x14ac:dyDescent="0.45">
      <c r="A5481" s="7" t="str">
        <f t="shared" si="2007"/>
        <v>10445000000</v>
      </c>
      <c r="B5481" s="7" t="str">
        <f t="shared" si="2008"/>
        <v>泉北高等学校</v>
      </c>
      <c r="C5481" s="7" t="str">
        <f t="shared" si="2002"/>
        <v>行政財産</v>
      </c>
      <c r="D5481" s="7" t="str">
        <f t="shared" si="1991"/>
        <v>学校</v>
      </c>
      <c r="E5481" s="7" t="str">
        <f t="shared" si="2009"/>
        <v>大阪府堺市　南区若松台３丁</v>
      </c>
      <c r="F5481" s="7"/>
      <c r="G5481" s="7" t="str">
        <f t="shared" si="2004"/>
        <v>事業用資産</v>
      </c>
      <c r="H5481" s="7" t="str">
        <f t="shared" si="1997"/>
        <v>棚卸以外</v>
      </c>
      <c r="I5481" s="7">
        <v>11</v>
      </c>
      <c r="J5481" s="7" t="str">
        <f>"電気室"</f>
        <v>電気室</v>
      </c>
      <c r="K5481" s="7" t="str">
        <f t="shared" si="2006"/>
        <v>鉄筋コンクリート造</v>
      </c>
      <c r="L5481" s="7" t="str">
        <f>"S46.03.31"</f>
        <v>S46.03.31</v>
      </c>
      <c r="M5481" s="7">
        <v>29.25</v>
      </c>
      <c r="N5481" s="7">
        <v>7836583</v>
      </c>
      <c r="O5481" s="7">
        <v>6310369</v>
      </c>
      <c r="P5481" s="7">
        <v>0</v>
      </c>
      <c r="Q5481" s="7" t="str">
        <f t="shared" si="2005"/>
        <v>教育庁</v>
      </c>
      <c r="R5481" s="7" t="str">
        <f t="shared" si="2010"/>
        <v>泉北高等学校</v>
      </c>
    </row>
    <row r="5482" spans="1:18" s="1" customFormat="1" x14ac:dyDescent="0.45">
      <c r="A5482" s="7" t="str">
        <f t="shared" si="2007"/>
        <v>10445000000</v>
      </c>
      <c r="B5482" s="7" t="str">
        <f t="shared" si="2008"/>
        <v>泉北高等学校</v>
      </c>
      <c r="C5482" s="7" t="str">
        <f t="shared" si="2002"/>
        <v>行政財産</v>
      </c>
      <c r="D5482" s="7" t="str">
        <f t="shared" si="1991"/>
        <v>学校</v>
      </c>
      <c r="E5482" s="7" t="str">
        <f t="shared" si="2009"/>
        <v>大阪府堺市　南区若松台３丁</v>
      </c>
      <c r="F5482" s="7"/>
      <c r="G5482" s="7" t="str">
        <f t="shared" si="2004"/>
        <v>事業用資産</v>
      </c>
      <c r="H5482" s="7" t="str">
        <f t="shared" si="1997"/>
        <v>棚卸以外</v>
      </c>
      <c r="I5482" s="7">
        <v>12</v>
      </c>
      <c r="J5482" s="7" t="str">
        <f>"体育館"</f>
        <v>体育館</v>
      </c>
      <c r="K5482" s="7" t="str">
        <f t="shared" si="2006"/>
        <v>鉄筋コンクリート造</v>
      </c>
      <c r="L5482" s="7" t="str">
        <f>"S46.10.15"</f>
        <v>S46.10.15</v>
      </c>
      <c r="M5482" s="7">
        <v>2161.2600000000002</v>
      </c>
      <c r="N5482" s="7">
        <v>250771601</v>
      </c>
      <c r="O5482" s="7">
        <v>145202467</v>
      </c>
      <c r="P5482" s="7">
        <v>0</v>
      </c>
      <c r="Q5482" s="7" t="str">
        <f t="shared" si="2005"/>
        <v>教育庁</v>
      </c>
      <c r="R5482" s="7" t="str">
        <f t="shared" si="2010"/>
        <v>泉北高等学校</v>
      </c>
    </row>
    <row r="5483" spans="1:18" s="1" customFormat="1" x14ac:dyDescent="0.45">
      <c r="A5483" s="7" t="str">
        <f t="shared" si="2007"/>
        <v>10445000000</v>
      </c>
      <c r="B5483" s="7" t="str">
        <f t="shared" si="2008"/>
        <v>泉北高等学校</v>
      </c>
      <c r="C5483" s="7" t="str">
        <f t="shared" si="2002"/>
        <v>行政財産</v>
      </c>
      <c r="D5483" s="7" t="str">
        <f t="shared" si="1991"/>
        <v>学校</v>
      </c>
      <c r="E5483" s="7" t="str">
        <f t="shared" si="2009"/>
        <v>大阪府堺市　南区若松台３丁</v>
      </c>
      <c r="F5483" s="7"/>
      <c r="G5483" s="7" t="str">
        <f t="shared" si="2004"/>
        <v>事業用資産</v>
      </c>
      <c r="H5483" s="7" t="str">
        <f t="shared" si="1997"/>
        <v>棚卸以外</v>
      </c>
      <c r="I5483" s="7">
        <v>14</v>
      </c>
      <c r="J5483" s="7" t="str">
        <f>"機械室"</f>
        <v>機械室</v>
      </c>
      <c r="K5483" s="7" t="str">
        <f>"コンクリートブロック造"</f>
        <v>コンクリートブロック造</v>
      </c>
      <c r="L5483" s="7" t="str">
        <f>"S46.10.15"</f>
        <v>S46.10.15</v>
      </c>
      <c r="M5483" s="7">
        <v>28.32</v>
      </c>
      <c r="N5483" s="7">
        <v>1735764</v>
      </c>
      <c r="O5483" s="7">
        <v>1697704</v>
      </c>
      <c r="P5483" s="7">
        <v>0</v>
      </c>
      <c r="Q5483" s="7" t="str">
        <f t="shared" si="2005"/>
        <v>教育庁</v>
      </c>
      <c r="R5483" s="7" t="str">
        <f t="shared" si="2010"/>
        <v>泉北高等学校</v>
      </c>
    </row>
    <row r="5484" spans="1:18" s="1" customFormat="1" x14ac:dyDescent="0.45">
      <c r="A5484" s="7" t="str">
        <f t="shared" si="2007"/>
        <v>10445000000</v>
      </c>
      <c r="B5484" s="7" t="str">
        <f t="shared" si="2008"/>
        <v>泉北高等学校</v>
      </c>
      <c r="C5484" s="7" t="str">
        <f t="shared" si="2002"/>
        <v>行政財産</v>
      </c>
      <c r="D5484" s="7" t="str">
        <f t="shared" si="1991"/>
        <v>学校</v>
      </c>
      <c r="E5484" s="7" t="str">
        <f t="shared" si="2009"/>
        <v>大阪府堺市　南区若松台３丁</v>
      </c>
      <c r="F5484" s="7"/>
      <c r="G5484" s="7" t="str">
        <f t="shared" si="2004"/>
        <v>事業用資産</v>
      </c>
      <c r="H5484" s="7" t="str">
        <f t="shared" si="1997"/>
        <v>棚卸以外</v>
      </c>
      <c r="I5484" s="7">
        <v>17</v>
      </c>
      <c r="J5484" s="7" t="str">
        <f>"倉庫"</f>
        <v>倉庫</v>
      </c>
      <c r="K5484" s="7" t="str">
        <f>"鉄筋コンクリート造"</f>
        <v>鉄筋コンクリート造</v>
      </c>
      <c r="L5484" s="7" t="str">
        <f>"S47.03.28"</f>
        <v>S47.03.28</v>
      </c>
      <c r="M5484" s="7">
        <v>120</v>
      </c>
      <c r="N5484" s="7">
        <v>8099353</v>
      </c>
      <c r="O5484" s="7">
        <v>8099352</v>
      </c>
      <c r="P5484" s="7">
        <v>0</v>
      </c>
      <c r="Q5484" s="7" t="str">
        <f t="shared" si="2005"/>
        <v>教育庁</v>
      </c>
      <c r="R5484" s="7" t="str">
        <f t="shared" si="2010"/>
        <v>泉北高等学校</v>
      </c>
    </row>
    <row r="5485" spans="1:18" s="1" customFormat="1" x14ac:dyDescent="0.45">
      <c r="A5485" s="7" t="str">
        <f t="shared" si="2007"/>
        <v>10445000000</v>
      </c>
      <c r="B5485" s="7" t="str">
        <f t="shared" si="2008"/>
        <v>泉北高等学校</v>
      </c>
      <c r="C5485" s="7" t="str">
        <f t="shared" si="2002"/>
        <v>行政財産</v>
      </c>
      <c r="D5485" s="7" t="str">
        <f t="shared" si="1991"/>
        <v>学校</v>
      </c>
      <c r="E5485" s="7" t="str">
        <f t="shared" si="2009"/>
        <v>大阪府堺市　南区若松台３丁</v>
      </c>
      <c r="F5485" s="7"/>
      <c r="G5485" s="7" t="str">
        <f t="shared" si="2004"/>
        <v>事業用資産</v>
      </c>
      <c r="H5485" s="7" t="str">
        <f t="shared" si="1997"/>
        <v>棚卸以外</v>
      </c>
      <c r="I5485" s="7">
        <v>18</v>
      </c>
      <c r="J5485" s="7" t="str">
        <f>"Ｄ棟"</f>
        <v>Ｄ棟</v>
      </c>
      <c r="K5485" s="7" t="str">
        <f>"鉄筋コンクリート造"</f>
        <v>鉄筋コンクリート造</v>
      </c>
      <c r="L5485" s="7" t="str">
        <f>"S62.03.25"</f>
        <v>S62.03.25</v>
      </c>
      <c r="M5485" s="7">
        <v>1143.83</v>
      </c>
      <c r="N5485" s="7">
        <v>159668186</v>
      </c>
      <c r="O5485" s="7">
        <v>118148419</v>
      </c>
      <c r="P5485" s="7">
        <v>0</v>
      </c>
      <c r="Q5485" s="7" t="str">
        <f t="shared" si="2005"/>
        <v>教育庁</v>
      </c>
      <c r="R5485" s="7" t="str">
        <f t="shared" si="2010"/>
        <v>泉北高等学校</v>
      </c>
    </row>
    <row r="5486" spans="1:18" s="1" customFormat="1" x14ac:dyDescent="0.45">
      <c r="A5486" s="7" t="str">
        <f t="shared" si="2007"/>
        <v>10445000000</v>
      </c>
      <c r="B5486" s="7" t="str">
        <f t="shared" si="2008"/>
        <v>泉北高等学校</v>
      </c>
      <c r="C5486" s="7" t="str">
        <f t="shared" si="2002"/>
        <v>行政財産</v>
      </c>
      <c r="D5486" s="7" t="str">
        <f t="shared" si="1991"/>
        <v>学校</v>
      </c>
      <c r="E5486" s="7" t="str">
        <f t="shared" si="2009"/>
        <v>大阪府堺市　南区若松台３丁</v>
      </c>
      <c r="F5486" s="7"/>
      <c r="G5486" s="7" t="str">
        <f t="shared" si="2004"/>
        <v>事業用資産</v>
      </c>
      <c r="H5486" s="7" t="str">
        <f t="shared" si="1997"/>
        <v>棚卸以外</v>
      </c>
      <c r="I5486" s="7">
        <v>19</v>
      </c>
      <c r="J5486" s="7" t="str">
        <f>"倉庫"</f>
        <v>倉庫</v>
      </c>
      <c r="K5486" s="7" t="str">
        <f>"軽量鉄骨造"</f>
        <v>軽量鉄骨造</v>
      </c>
      <c r="L5486" s="7" t="str">
        <f>"H01.03.31"</f>
        <v>H01.03.31</v>
      </c>
      <c r="M5486" s="7">
        <v>202.5</v>
      </c>
      <c r="N5486" s="7">
        <v>6908000</v>
      </c>
      <c r="O5486" s="7">
        <v>6907999</v>
      </c>
      <c r="P5486" s="7">
        <v>0</v>
      </c>
      <c r="Q5486" s="7" t="str">
        <f t="shared" si="2005"/>
        <v>教育庁</v>
      </c>
      <c r="R5486" s="7" t="str">
        <f t="shared" si="2010"/>
        <v>泉北高等学校</v>
      </c>
    </row>
    <row r="5487" spans="1:18" s="1" customFormat="1" x14ac:dyDescent="0.45">
      <c r="A5487" s="7" t="str">
        <f t="shared" ref="A5487:A5502" si="2011">"10446000000"</f>
        <v>10446000000</v>
      </c>
      <c r="B5487" s="7" t="str">
        <f t="shared" ref="B5487:B5502" si="2012">"堺東高等学校"</f>
        <v>堺東高等学校</v>
      </c>
      <c r="C5487" s="7" t="str">
        <f t="shared" si="2002"/>
        <v>行政財産</v>
      </c>
      <c r="D5487" s="7" t="str">
        <f t="shared" si="1991"/>
        <v>学校</v>
      </c>
      <c r="E5487" s="7" t="str">
        <f t="shared" ref="E5487:E5502" si="2013">"大阪府堺市　南区晴美台１丁"</f>
        <v>大阪府堺市　南区晴美台１丁</v>
      </c>
      <c r="F5487" s="7"/>
      <c r="G5487" s="7" t="str">
        <f t="shared" si="2004"/>
        <v>事業用資産</v>
      </c>
      <c r="H5487" s="7" t="str">
        <f t="shared" si="1997"/>
        <v>棚卸以外</v>
      </c>
      <c r="I5487" s="7">
        <v>1</v>
      </c>
      <c r="J5487" s="7" t="str">
        <f>"北館"</f>
        <v>北館</v>
      </c>
      <c r="K5487" s="7" t="str">
        <f>"鉄筋コンクリート造"</f>
        <v>鉄筋コンクリート造</v>
      </c>
      <c r="L5487" s="7" t="str">
        <f>"S47.04.01"</f>
        <v>S47.04.01</v>
      </c>
      <c r="M5487" s="7">
        <v>2408</v>
      </c>
      <c r="N5487" s="7">
        <v>212900576</v>
      </c>
      <c r="O5487" s="7">
        <v>157593303</v>
      </c>
      <c r="P5487" s="7">
        <v>0</v>
      </c>
      <c r="Q5487" s="7" t="str">
        <f t="shared" si="2005"/>
        <v>教育庁</v>
      </c>
      <c r="R5487" s="7" t="str">
        <f t="shared" ref="R5487:R5502" si="2014">"堺東高等学校"</f>
        <v>堺東高等学校</v>
      </c>
    </row>
    <row r="5488" spans="1:18" s="1" customFormat="1" x14ac:dyDescent="0.45">
      <c r="A5488" s="7" t="str">
        <f t="shared" si="2011"/>
        <v>10446000000</v>
      </c>
      <c r="B5488" s="7" t="str">
        <f t="shared" si="2012"/>
        <v>堺東高等学校</v>
      </c>
      <c r="C5488" s="7" t="str">
        <f t="shared" si="2002"/>
        <v>行政財産</v>
      </c>
      <c r="D5488" s="7" t="str">
        <f t="shared" si="1991"/>
        <v>学校</v>
      </c>
      <c r="E5488" s="7" t="str">
        <f t="shared" si="2013"/>
        <v>大阪府堺市　南区晴美台１丁</v>
      </c>
      <c r="F5488" s="7"/>
      <c r="G5488" s="7" t="str">
        <f t="shared" si="2004"/>
        <v>事業用資産</v>
      </c>
      <c r="H5488" s="7" t="str">
        <f t="shared" si="1997"/>
        <v>棚卸以外</v>
      </c>
      <c r="I5488" s="7">
        <v>2</v>
      </c>
      <c r="J5488" s="7" t="str">
        <f>"設備棟"</f>
        <v>設備棟</v>
      </c>
      <c r="K5488" s="7" t="str">
        <f>"鉄筋コンクリート造"</f>
        <v>鉄筋コンクリート造</v>
      </c>
      <c r="L5488" s="7" t="str">
        <f>"S47.04.01"</f>
        <v>S47.04.01</v>
      </c>
      <c r="M5488" s="7">
        <v>71.28</v>
      </c>
      <c r="N5488" s="7">
        <v>13701593</v>
      </c>
      <c r="O5488" s="7">
        <v>11501646</v>
      </c>
      <c r="P5488" s="7">
        <v>0</v>
      </c>
      <c r="Q5488" s="7" t="str">
        <f t="shared" si="2005"/>
        <v>教育庁</v>
      </c>
      <c r="R5488" s="7" t="str">
        <f t="shared" si="2014"/>
        <v>堺東高等学校</v>
      </c>
    </row>
    <row r="5489" spans="1:18" s="1" customFormat="1" x14ac:dyDescent="0.45">
      <c r="A5489" s="7" t="str">
        <f t="shared" si="2011"/>
        <v>10446000000</v>
      </c>
      <c r="B5489" s="7" t="str">
        <f t="shared" si="2012"/>
        <v>堺東高等学校</v>
      </c>
      <c r="C5489" s="7" t="str">
        <f t="shared" si="2002"/>
        <v>行政財産</v>
      </c>
      <c r="D5489" s="7" t="str">
        <f t="shared" si="1991"/>
        <v>学校</v>
      </c>
      <c r="E5489" s="7" t="str">
        <f t="shared" si="2013"/>
        <v>大阪府堺市　南区晴美台１丁</v>
      </c>
      <c r="F5489" s="7"/>
      <c r="G5489" s="7" t="str">
        <f t="shared" si="2004"/>
        <v>事業用資産</v>
      </c>
      <c r="H5489" s="7" t="str">
        <f t="shared" si="1997"/>
        <v>棚卸以外</v>
      </c>
      <c r="I5489" s="7">
        <v>6</v>
      </c>
      <c r="J5489" s="7" t="str">
        <f>"本館"</f>
        <v>本館</v>
      </c>
      <c r="K5489" s="7" t="str">
        <f>"鉄筋コンクリート造"</f>
        <v>鉄筋コンクリート造</v>
      </c>
      <c r="L5489" s="7" t="str">
        <f>"S48.03.28"</f>
        <v>S48.03.28</v>
      </c>
      <c r="M5489" s="7">
        <v>4769.62</v>
      </c>
      <c r="N5489" s="7">
        <v>342057403</v>
      </c>
      <c r="O5489" s="7">
        <v>285373102</v>
      </c>
      <c r="P5489" s="7">
        <v>0</v>
      </c>
      <c r="Q5489" s="7" t="str">
        <f t="shared" si="2005"/>
        <v>教育庁</v>
      </c>
      <c r="R5489" s="7" t="str">
        <f t="shared" si="2014"/>
        <v>堺東高等学校</v>
      </c>
    </row>
    <row r="5490" spans="1:18" s="1" customFormat="1" x14ac:dyDescent="0.45">
      <c r="A5490" s="7" t="str">
        <f t="shared" si="2011"/>
        <v>10446000000</v>
      </c>
      <c r="B5490" s="7" t="str">
        <f t="shared" si="2012"/>
        <v>堺東高等学校</v>
      </c>
      <c r="C5490" s="7" t="str">
        <f t="shared" si="2002"/>
        <v>行政財産</v>
      </c>
      <c r="D5490" s="7" t="str">
        <f t="shared" si="1991"/>
        <v>学校</v>
      </c>
      <c r="E5490" s="7" t="str">
        <f t="shared" si="2013"/>
        <v>大阪府堺市　南区晴美台１丁</v>
      </c>
      <c r="F5490" s="7"/>
      <c r="G5490" s="7" t="str">
        <f t="shared" si="2004"/>
        <v>事業用資産</v>
      </c>
      <c r="H5490" s="7" t="str">
        <f t="shared" si="1997"/>
        <v>棚卸以外</v>
      </c>
      <c r="I5490" s="7">
        <v>7</v>
      </c>
      <c r="J5490" s="7" t="str">
        <f>"体育館"</f>
        <v>体育館</v>
      </c>
      <c r="K5490" s="7" t="str">
        <f>"鉄筋コンクリート造"</f>
        <v>鉄筋コンクリート造</v>
      </c>
      <c r="L5490" s="7" t="str">
        <f>"S48.05.25"</f>
        <v>S48.05.25</v>
      </c>
      <c r="M5490" s="7">
        <v>2961</v>
      </c>
      <c r="N5490" s="7">
        <v>288403445</v>
      </c>
      <c r="O5490" s="7">
        <v>190083849</v>
      </c>
      <c r="P5490" s="7">
        <v>0</v>
      </c>
      <c r="Q5490" s="7" t="str">
        <f t="shared" si="2005"/>
        <v>教育庁</v>
      </c>
      <c r="R5490" s="7" t="str">
        <f t="shared" si="2014"/>
        <v>堺東高等学校</v>
      </c>
    </row>
    <row r="5491" spans="1:18" s="1" customFormat="1" x14ac:dyDescent="0.45">
      <c r="A5491" s="7" t="str">
        <f t="shared" si="2011"/>
        <v>10446000000</v>
      </c>
      <c r="B5491" s="7" t="str">
        <f t="shared" si="2012"/>
        <v>堺東高等学校</v>
      </c>
      <c r="C5491" s="7" t="str">
        <f t="shared" si="2002"/>
        <v>行政財産</v>
      </c>
      <c r="D5491" s="7" t="str">
        <f t="shared" si="1991"/>
        <v>学校</v>
      </c>
      <c r="E5491" s="7" t="str">
        <f t="shared" si="2013"/>
        <v>大阪府堺市　南区晴美台１丁</v>
      </c>
      <c r="F5491" s="7"/>
      <c r="G5491" s="7" t="str">
        <f t="shared" si="2004"/>
        <v>事業用資産</v>
      </c>
      <c r="H5491" s="7" t="str">
        <f t="shared" si="1997"/>
        <v>棚卸以外</v>
      </c>
      <c r="I5491" s="7">
        <v>8</v>
      </c>
      <c r="J5491" s="7" t="str">
        <f>"食堂"</f>
        <v>食堂</v>
      </c>
      <c r="K5491" s="7" t="str">
        <f>"鉄骨造"</f>
        <v>鉄骨造</v>
      </c>
      <c r="L5491" s="7" t="str">
        <f>"S48.06.27"</f>
        <v>S48.06.27</v>
      </c>
      <c r="M5491" s="7">
        <v>333.72</v>
      </c>
      <c r="N5491" s="7">
        <v>29692090</v>
      </c>
      <c r="O5491" s="7">
        <v>23657157</v>
      </c>
      <c r="P5491" s="7">
        <v>0</v>
      </c>
      <c r="Q5491" s="7" t="str">
        <f t="shared" si="2005"/>
        <v>教育庁</v>
      </c>
      <c r="R5491" s="7" t="str">
        <f t="shared" si="2014"/>
        <v>堺東高等学校</v>
      </c>
    </row>
    <row r="5492" spans="1:18" s="1" customFormat="1" x14ac:dyDescent="0.45">
      <c r="A5492" s="7" t="str">
        <f t="shared" si="2011"/>
        <v>10446000000</v>
      </c>
      <c r="B5492" s="7" t="str">
        <f t="shared" si="2012"/>
        <v>堺東高等学校</v>
      </c>
      <c r="C5492" s="7" t="str">
        <f t="shared" si="2002"/>
        <v>行政財産</v>
      </c>
      <c r="D5492" s="7" t="str">
        <f t="shared" si="1991"/>
        <v>学校</v>
      </c>
      <c r="E5492" s="7" t="str">
        <f t="shared" si="2013"/>
        <v>大阪府堺市　南区晴美台１丁</v>
      </c>
      <c r="F5492" s="7"/>
      <c r="G5492" s="7" t="str">
        <f t="shared" si="2004"/>
        <v>事業用資産</v>
      </c>
      <c r="H5492" s="7" t="str">
        <f t="shared" si="1997"/>
        <v>棚卸以外</v>
      </c>
      <c r="I5492" s="7">
        <v>9</v>
      </c>
      <c r="J5492" s="7" t="str">
        <f>"プール附属棟"</f>
        <v>プール附属棟</v>
      </c>
      <c r="K5492" s="7" t="str">
        <f>"鉄筋コンクリート造"</f>
        <v>鉄筋コンクリート造</v>
      </c>
      <c r="L5492" s="7" t="str">
        <f>"S48.06.27"</f>
        <v>S48.06.27</v>
      </c>
      <c r="M5492" s="7">
        <v>138</v>
      </c>
      <c r="N5492" s="7">
        <v>16422000</v>
      </c>
      <c r="O5492" s="7">
        <v>15574391</v>
      </c>
      <c r="P5492" s="7">
        <v>0</v>
      </c>
      <c r="Q5492" s="7" t="str">
        <f t="shared" si="2005"/>
        <v>教育庁</v>
      </c>
      <c r="R5492" s="7" t="str">
        <f t="shared" si="2014"/>
        <v>堺東高等学校</v>
      </c>
    </row>
    <row r="5493" spans="1:18" s="1" customFormat="1" x14ac:dyDescent="0.45">
      <c r="A5493" s="7" t="str">
        <f t="shared" si="2011"/>
        <v>10446000000</v>
      </c>
      <c r="B5493" s="7" t="str">
        <f t="shared" si="2012"/>
        <v>堺東高等学校</v>
      </c>
      <c r="C5493" s="7" t="str">
        <f t="shared" si="2002"/>
        <v>行政財産</v>
      </c>
      <c r="D5493" s="7" t="str">
        <f t="shared" si="1991"/>
        <v>学校</v>
      </c>
      <c r="E5493" s="7" t="str">
        <f t="shared" si="2013"/>
        <v>大阪府堺市　南区晴美台１丁</v>
      </c>
      <c r="F5493" s="7"/>
      <c r="G5493" s="7" t="str">
        <f t="shared" si="2004"/>
        <v>事業用資産</v>
      </c>
      <c r="H5493" s="7" t="str">
        <f t="shared" si="1997"/>
        <v>棚卸以外</v>
      </c>
      <c r="I5493" s="7">
        <v>11</v>
      </c>
      <c r="J5493" s="7" t="str">
        <f>"本館"</f>
        <v>本館</v>
      </c>
      <c r="K5493" s="7" t="str">
        <f>"鉄筋コンクリート造"</f>
        <v>鉄筋コンクリート造</v>
      </c>
      <c r="L5493" s="7" t="str">
        <f>"S49.03.30"</f>
        <v>S49.03.30</v>
      </c>
      <c r="M5493" s="7">
        <v>1540.63</v>
      </c>
      <c r="N5493" s="7">
        <v>162979593</v>
      </c>
      <c r="O5493" s="7">
        <v>121019477</v>
      </c>
      <c r="P5493" s="7">
        <v>0</v>
      </c>
      <c r="Q5493" s="7" t="str">
        <f t="shared" si="2005"/>
        <v>教育庁</v>
      </c>
      <c r="R5493" s="7" t="str">
        <f t="shared" si="2014"/>
        <v>堺東高等学校</v>
      </c>
    </row>
    <row r="5494" spans="1:18" s="1" customFormat="1" x14ac:dyDescent="0.45">
      <c r="A5494" s="7" t="str">
        <f t="shared" si="2011"/>
        <v>10446000000</v>
      </c>
      <c r="B5494" s="7" t="str">
        <f t="shared" si="2012"/>
        <v>堺東高等学校</v>
      </c>
      <c r="C5494" s="7" t="str">
        <f t="shared" si="2002"/>
        <v>行政財産</v>
      </c>
      <c r="D5494" s="7" t="str">
        <f t="shared" si="1991"/>
        <v>学校</v>
      </c>
      <c r="E5494" s="7" t="str">
        <f t="shared" si="2013"/>
        <v>大阪府堺市　南区晴美台１丁</v>
      </c>
      <c r="F5494" s="7"/>
      <c r="G5494" s="7" t="str">
        <f t="shared" si="2004"/>
        <v>事業用資産</v>
      </c>
      <c r="H5494" s="7" t="str">
        <f t="shared" si="1997"/>
        <v>棚卸以外</v>
      </c>
      <c r="I5494" s="7">
        <v>12</v>
      </c>
      <c r="J5494" s="7" t="str">
        <f>"北館"</f>
        <v>北館</v>
      </c>
      <c r="K5494" s="7" t="str">
        <f>"鉄筋コンクリート造"</f>
        <v>鉄筋コンクリート造</v>
      </c>
      <c r="L5494" s="7" t="str">
        <f>"S49.03.30"</f>
        <v>S49.03.30</v>
      </c>
      <c r="M5494" s="7">
        <v>2772.66</v>
      </c>
      <c r="N5494" s="7">
        <v>297322807</v>
      </c>
      <c r="O5494" s="7">
        <v>219823877</v>
      </c>
      <c r="P5494" s="7">
        <v>0</v>
      </c>
      <c r="Q5494" s="7" t="str">
        <f t="shared" si="2005"/>
        <v>教育庁</v>
      </c>
      <c r="R5494" s="7" t="str">
        <f t="shared" si="2014"/>
        <v>堺東高等学校</v>
      </c>
    </row>
    <row r="5495" spans="1:18" s="1" customFormat="1" x14ac:dyDescent="0.45">
      <c r="A5495" s="7" t="str">
        <f t="shared" si="2011"/>
        <v>10446000000</v>
      </c>
      <c r="B5495" s="7" t="str">
        <f t="shared" si="2012"/>
        <v>堺東高等学校</v>
      </c>
      <c r="C5495" s="7" t="str">
        <f t="shared" si="2002"/>
        <v>行政財産</v>
      </c>
      <c r="D5495" s="7" t="str">
        <f t="shared" si="1991"/>
        <v>学校</v>
      </c>
      <c r="E5495" s="7" t="str">
        <f t="shared" si="2013"/>
        <v>大阪府堺市　南区晴美台１丁</v>
      </c>
      <c r="F5495" s="7"/>
      <c r="G5495" s="7" t="str">
        <f t="shared" si="2004"/>
        <v>事業用資産</v>
      </c>
      <c r="H5495" s="7" t="str">
        <f t="shared" si="1997"/>
        <v>棚卸以外</v>
      </c>
      <c r="I5495" s="7">
        <v>13</v>
      </c>
      <c r="J5495" s="7" t="str">
        <f>"石灰置場"</f>
        <v>石灰置場</v>
      </c>
      <c r="K5495" s="7" t="str">
        <f>"鉄筋コンクリート造"</f>
        <v>鉄筋コンクリート造</v>
      </c>
      <c r="L5495" s="7" t="str">
        <f>"S50.07.23"</f>
        <v>S50.07.23</v>
      </c>
      <c r="M5495" s="7">
        <v>3</v>
      </c>
      <c r="N5495" s="7">
        <v>470000</v>
      </c>
      <c r="O5495" s="7">
        <v>469999</v>
      </c>
      <c r="P5495" s="7">
        <v>0</v>
      </c>
      <c r="Q5495" s="7" t="str">
        <f t="shared" si="2005"/>
        <v>教育庁</v>
      </c>
      <c r="R5495" s="7" t="str">
        <f t="shared" si="2014"/>
        <v>堺東高等学校</v>
      </c>
    </row>
    <row r="5496" spans="1:18" s="1" customFormat="1" x14ac:dyDescent="0.45">
      <c r="A5496" s="7" t="str">
        <f t="shared" si="2011"/>
        <v>10446000000</v>
      </c>
      <c r="B5496" s="7" t="str">
        <f t="shared" si="2012"/>
        <v>堺東高等学校</v>
      </c>
      <c r="C5496" s="7" t="str">
        <f t="shared" si="2002"/>
        <v>行政財産</v>
      </c>
      <c r="D5496" s="7" t="str">
        <f t="shared" si="1991"/>
        <v>学校</v>
      </c>
      <c r="E5496" s="7" t="str">
        <f t="shared" si="2013"/>
        <v>大阪府堺市　南区晴美台１丁</v>
      </c>
      <c r="F5496" s="7"/>
      <c r="G5496" s="7" t="str">
        <f t="shared" si="2004"/>
        <v>事業用資産</v>
      </c>
      <c r="H5496" s="7" t="str">
        <f t="shared" si="1997"/>
        <v>棚卸以外</v>
      </c>
      <c r="I5496" s="7">
        <v>14</v>
      </c>
      <c r="J5496" s="7" t="str">
        <f>"自転車置場"</f>
        <v>自転車置場</v>
      </c>
      <c r="K5496" s="7" t="str">
        <f>"鉄骨造"</f>
        <v>鉄骨造</v>
      </c>
      <c r="L5496" s="7" t="str">
        <f>"S50.07.23"</f>
        <v>S50.07.23</v>
      </c>
      <c r="M5496" s="7">
        <v>90</v>
      </c>
      <c r="N5496" s="7">
        <v>2484000</v>
      </c>
      <c r="O5496" s="7">
        <v>2483999</v>
      </c>
      <c r="P5496" s="7">
        <v>0</v>
      </c>
      <c r="Q5496" s="7" t="str">
        <f t="shared" si="2005"/>
        <v>教育庁</v>
      </c>
      <c r="R5496" s="7" t="str">
        <f t="shared" si="2014"/>
        <v>堺東高等学校</v>
      </c>
    </row>
    <row r="5497" spans="1:18" s="1" customFormat="1" x14ac:dyDescent="0.45">
      <c r="A5497" s="7" t="str">
        <f t="shared" si="2011"/>
        <v>10446000000</v>
      </c>
      <c r="B5497" s="7" t="str">
        <f t="shared" si="2012"/>
        <v>堺東高等学校</v>
      </c>
      <c r="C5497" s="7" t="str">
        <f t="shared" si="2002"/>
        <v>行政財産</v>
      </c>
      <c r="D5497" s="7" t="str">
        <f t="shared" ref="D5497:D5560" si="2015">"学校"</f>
        <v>学校</v>
      </c>
      <c r="E5497" s="7" t="str">
        <f t="shared" si="2013"/>
        <v>大阪府堺市　南区晴美台１丁</v>
      </c>
      <c r="F5497" s="7"/>
      <c r="G5497" s="7" t="str">
        <f t="shared" si="2004"/>
        <v>事業用資産</v>
      </c>
      <c r="H5497" s="7" t="str">
        <f t="shared" si="1997"/>
        <v>棚卸以外</v>
      </c>
      <c r="I5497" s="7">
        <v>15</v>
      </c>
      <c r="J5497" s="7" t="str">
        <f>"自転車置場"</f>
        <v>自転車置場</v>
      </c>
      <c r="K5497" s="7" t="str">
        <f>"鉄骨造"</f>
        <v>鉄骨造</v>
      </c>
      <c r="L5497" s="7" t="str">
        <f>"S50.07.23"</f>
        <v>S50.07.23</v>
      </c>
      <c r="M5497" s="7">
        <v>60</v>
      </c>
      <c r="N5497" s="7">
        <v>1707000</v>
      </c>
      <c r="O5497" s="7">
        <v>1706999</v>
      </c>
      <c r="P5497" s="7">
        <v>0</v>
      </c>
      <c r="Q5497" s="7" t="str">
        <f t="shared" si="2005"/>
        <v>教育庁</v>
      </c>
      <c r="R5497" s="7" t="str">
        <f t="shared" si="2014"/>
        <v>堺東高等学校</v>
      </c>
    </row>
    <row r="5498" spans="1:18" s="1" customFormat="1" x14ac:dyDescent="0.45">
      <c r="A5498" s="7" t="str">
        <f t="shared" si="2011"/>
        <v>10446000000</v>
      </c>
      <c r="B5498" s="7" t="str">
        <f t="shared" si="2012"/>
        <v>堺東高等学校</v>
      </c>
      <c r="C5498" s="7" t="str">
        <f t="shared" si="2002"/>
        <v>行政財産</v>
      </c>
      <c r="D5498" s="7" t="str">
        <f t="shared" si="2015"/>
        <v>学校</v>
      </c>
      <c r="E5498" s="7" t="str">
        <f t="shared" si="2013"/>
        <v>大阪府堺市　南区晴美台１丁</v>
      </c>
      <c r="F5498" s="7"/>
      <c r="G5498" s="7" t="str">
        <f t="shared" si="2004"/>
        <v>事業用資産</v>
      </c>
      <c r="H5498" s="7" t="str">
        <f t="shared" si="1997"/>
        <v>棚卸以外</v>
      </c>
      <c r="I5498" s="7">
        <v>19</v>
      </c>
      <c r="J5498" s="7" t="str">
        <f>"西館"</f>
        <v>西館</v>
      </c>
      <c r="K5498" s="7" t="str">
        <f>"鉄筋コンクリート造"</f>
        <v>鉄筋コンクリート造</v>
      </c>
      <c r="L5498" s="7" t="str">
        <f>"S62.02.06"</f>
        <v>S62.02.06</v>
      </c>
      <c r="M5498" s="7">
        <v>1083.97</v>
      </c>
      <c r="N5498" s="7">
        <v>153411321</v>
      </c>
      <c r="O5498" s="7">
        <v>105918015</v>
      </c>
      <c r="P5498" s="7">
        <v>0</v>
      </c>
      <c r="Q5498" s="7" t="str">
        <f t="shared" si="2005"/>
        <v>教育庁</v>
      </c>
      <c r="R5498" s="7" t="str">
        <f t="shared" si="2014"/>
        <v>堺東高等学校</v>
      </c>
    </row>
    <row r="5499" spans="1:18" s="1" customFormat="1" x14ac:dyDescent="0.45">
      <c r="A5499" s="7" t="str">
        <f t="shared" si="2011"/>
        <v>10446000000</v>
      </c>
      <c r="B5499" s="7" t="str">
        <f t="shared" si="2012"/>
        <v>堺東高等学校</v>
      </c>
      <c r="C5499" s="7" t="str">
        <f t="shared" si="2002"/>
        <v>行政財産</v>
      </c>
      <c r="D5499" s="7" t="str">
        <f t="shared" si="2015"/>
        <v>学校</v>
      </c>
      <c r="E5499" s="7" t="str">
        <f t="shared" si="2013"/>
        <v>大阪府堺市　南区晴美台１丁</v>
      </c>
      <c r="F5499" s="7"/>
      <c r="G5499" s="7" t="str">
        <f t="shared" si="2004"/>
        <v>事業用資産</v>
      </c>
      <c r="H5499" s="7" t="str">
        <f t="shared" si="1997"/>
        <v>棚卸以外</v>
      </c>
      <c r="I5499" s="7">
        <v>20</v>
      </c>
      <c r="J5499" s="7" t="str">
        <f>"渡り廊下"</f>
        <v>渡り廊下</v>
      </c>
      <c r="K5499" s="7" t="str">
        <f>"鉄筋コンクリート造"</f>
        <v>鉄筋コンクリート造</v>
      </c>
      <c r="L5499" s="7" t="str">
        <f>"S62.02.06"</f>
        <v>S62.02.06</v>
      </c>
      <c r="M5499" s="7">
        <v>50.64</v>
      </c>
      <c r="N5499" s="7">
        <v>8383900</v>
      </c>
      <c r="O5499" s="7">
        <v>4021019</v>
      </c>
      <c r="P5499" s="7">
        <v>0</v>
      </c>
      <c r="Q5499" s="7" t="str">
        <f t="shared" si="2005"/>
        <v>教育庁</v>
      </c>
      <c r="R5499" s="7" t="str">
        <f t="shared" si="2014"/>
        <v>堺東高等学校</v>
      </c>
    </row>
    <row r="5500" spans="1:18" s="1" customFormat="1" x14ac:dyDescent="0.45">
      <c r="A5500" s="7" t="str">
        <f t="shared" si="2011"/>
        <v>10446000000</v>
      </c>
      <c r="B5500" s="7" t="str">
        <f t="shared" si="2012"/>
        <v>堺東高等学校</v>
      </c>
      <c r="C5500" s="7" t="str">
        <f t="shared" si="2002"/>
        <v>行政財産</v>
      </c>
      <c r="D5500" s="7" t="str">
        <f t="shared" si="2015"/>
        <v>学校</v>
      </c>
      <c r="E5500" s="7" t="str">
        <f t="shared" si="2013"/>
        <v>大阪府堺市　南区晴美台１丁</v>
      </c>
      <c r="F5500" s="7"/>
      <c r="G5500" s="7" t="str">
        <f t="shared" si="2004"/>
        <v>事業用資産</v>
      </c>
      <c r="H5500" s="7" t="str">
        <f t="shared" si="1997"/>
        <v>棚卸以外</v>
      </c>
      <c r="I5500" s="7">
        <v>21</v>
      </c>
      <c r="J5500" s="7" t="str">
        <f>"倉庫"</f>
        <v>倉庫</v>
      </c>
      <c r="K5500" s="7" t="str">
        <f>"鉄骨造"</f>
        <v>鉄骨造</v>
      </c>
      <c r="L5500" s="7" t="str">
        <f>"S62.02.06"</f>
        <v>S62.02.06</v>
      </c>
      <c r="M5500" s="7">
        <v>75</v>
      </c>
      <c r="N5500" s="7">
        <v>6967000</v>
      </c>
      <c r="O5500" s="7">
        <v>6966999</v>
      </c>
      <c r="P5500" s="7">
        <v>0</v>
      </c>
      <c r="Q5500" s="7" t="str">
        <f t="shared" si="2005"/>
        <v>教育庁</v>
      </c>
      <c r="R5500" s="7" t="str">
        <f t="shared" si="2014"/>
        <v>堺東高等学校</v>
      </c>
    </row>
    <row r="5501" spans="1:18" s="1" customFormat="1" x14ac:dyDescent="0.45">
      <c r="A5501" s="7" t="str">
        <f t="shared" si="2011"/>
        <v>10446000000</v>
      </c>
      <c r="B5501" s="7" t="str">
        <f t="shared" si="2012"/>
        <v>堺東高等学校</v>
      </c>
      <c r="C5501" s="7" t="str">
        <f t="shared" si="2002"/>
        <v>行政財産</v>
      </c>
      <c r="D5501" s="7" t="str">
        <f t="shared" si="2015"/>
        <v>学校</v>
      </c>
      <c r="E5501" s="7" t="str">
        <f t="shared" si="2013"/>
        <v>大阪府堺市　南区晴美台１丁</v>
      </c>
      <c r="F5501" s="7"/>
      <c r="G5501" s="7" t="str">
        <f t="shared" si="2004"/>
        <v>事業用資産</v>
      </c>
      <c r="H5501" s="7" t="str">
        <f t="shared" si="1997"/>
        <v>棚卸以外</v>
      </c>
      <c r="I5501" s="7">
        <v>22</v>
      </c>
      <c r="J5501" s="7" t="str">
        <f>"クラブ倉庫"</f>
        <v>クラブ倉庫</v>
      </c>
      <c r="K5501" s="7" t="str">
        <f>"鉄骨造"</f>
        <v>鉄骨造</v>
      </c>
      <c r="L5501" s="7" t="str">
        <f>"H09.10.24"</f>
        <v>H09.10.24</v>
      </c>
      <c r="M5501" s="7">
        <v>97.76</v>
      </c>
      <c r="N5501" s="7">
        <v>7088000</v>
      </c>
      <c r="O5501" s="7">
        <v>5811470</v>
      </c>
      <c r="P5501" s="7">
        <v>0</v>
      </c>
      <c r="Q5501" s="7" t="str">
        <f t="shared" si="2005"/>
        <v>教育庁</v>
      </c>
      <c r="R5501" s="7" t="str">
        <f t="shared" si="2014"/>
        <v>堺東高等学校</v>
      </c>
    </row>
    <row r="5502" spans="1:18" s="1" customFormat="1" ht="26.4" x14ac:dyDescent="0.45">
      <c r="A5502" s="7" t="str">
        <f t="shared" si="2011"/>
        <v>10446000000</v>
      </c>
      <c r="B5502" s="7" t="str">
        <f t="shared" si="2012"/>
        <v>堺東高等学校</v>
      </c>
      <c r="C5502" s="7" t="str">
        <f t="shared" si="2002"/>
        <v>行政財産</v>
      </c>
      <c r="D5502" s="7" t="str">
        <f t="shared" si="2015"/>
        <v>学校</v>
      </c>
      <c r="E5502" s="7" t="str">
        <f t="shared" si="2013"/>
        <v>大阪府堺市　南区晴美台１丁</v>
      </c>
      <c r="F5502" s="7"/>
      <c r="G5502" s="7" t="str">
        <f t="shared" si="2004"/>
        <v>事業用資産</v>
      </c>
      <c r="H5502" s="7" t="str">
        <f t="shared" si="1997"/>
        <v>棚卸以外</v>
      </c>
      <c r="I5502" s="7">
        <v>23</v>
      </c>
      <c r="J5502" s="7" t="str">
        <f>"看護実習棟"</f>
        <v>看護実習棟</v>
      </c>
      <c r="K5502" s="7" t="str">
        <f>"鉄骨鉄筋コンクリート造"</f>
        <v>鉄骨鉄筋コンクリート造</v>
      </c>
      <c r="L5502" s="7" t="str">
        <f>"H15.04.14"</f>
        <v>H15.04.14</v>
      </c>
      <c r="M5502" s="7">
        <v>565.12</v>
      </c>
      <c r="N5502" s="7">
        <v>104040548</v>
      </c>
      <c r="O5502" s="7">
        <v>44014819</v>
      </c>
      <c r="P5502" s="7">
        <v>0</v>
      </c>
      <c r="Q5502" s="7" t="str">
        <f t="shared" si="2005"/>
        <v>教育庁</v>
      </c>
      <c r="R5502" s="7" t="str">
        <f t="shared" si="2014"/>
        <v>堺東高等学校</v>
      </c>
    </row>
    <row r="5503" spans="1:18" s="1" customFormat="1" ht="26.4" x14ac:dyDescent="0.45">
      <c r="A5503" s="7" t="str">
        <f t="shared" ref="A5503:A5517" si="2016">"10447000000"</f>
        <v>10447000000</v>
      </c>
      <c r="B5503" s="7" t="str">
        <f t="shared" ref="B5503:B5517" si="2017">"金岡高等学校"</f>
        <v>金岡高等学校</v>
      </c>
      <c r="C5503" s="7" t="str">
        <f t="shared" si="2002"/>
        <v>行政財産</v>
      </c>
      <c r="D5503" s="7" t="str">
        <f t="shared" si="2015"/>
        <v>学校</v>
      </c>
      <c r="E5503" s="7" t="str">
        <f t="shared" ref="E5503:E5517" si="2018">"大阪府堺市　北区金岡町"</f>
        <v>大阪府堺市　北区金岡町</v>
      </c>
      <c r="F5503" s="7"/>
      <c r="G5503" s="7" t="str">
        <f t="shared" si="2004"/>
        <v>事業用資産</v>
      </c>
      <c r="H5503" s="7" t="str">
        <f t="shared" si="1997"/>
        <v>棚卸以外</v>
      </c>
      <c r="I5503" s="7">
        <v>1</v>
      </c>
      <c r="J5503" s="7" t="str">
        <f>"普通教室棟"</f>
        <v>普通教室棟</v>
      </c>
      <c r="K5503" s="7" t="str">
        <f>"鉄骨鉄筋コンクリート造"</f>
        <v>鉄骨鉄筋コンクリート造</v>
      </c>
      <c r="L5503" s="7" t="str">
        <f>"S49.04.30"</f>
        <v>S49.04.30</v>
      </c>
      <c r="M5503" s="7">
        <v>5572.15</v>
      </c>
      <c r="N5503" s="7">
        <v>732157234</v>
      </c>
      <c r="O5503" s="7">
        <v>603526080</v>
      </c>
      <c r="P5503" s="7">
        <v>0</v>
      </c>
      <c r="Q5503" s="7" t="str">
        <f t="shared" si="2005"/>
        <v>教育庁</v>
      </c>
      <c r="R5503" s="7" t="str">
        <f t="shared" ref="R5503:R5517" si="2019">"金岡高等学校"</f>
        <v>金岡高等学校</v>
      </c>
    </row>
    <row r="5504" spans="1:18" s="1" customFormat="1" ht="26.4" x14ac:dyDescent="0.45">
      <c r="A5504" s="7" t="str">
        <f t="shared" si="2016"/>
        <v>10447000000</v>
      </c>
      <c r="B5504" s="7" t="str">
        <f t="shared" si="2017"/>
        <v>金岡高等学校</v>
      </c>
      <c r="C5504" s="7" t="str">
        <f t="shared" si="2002"/>
        <v>行政財産</v>
      </c>
      <c r="D5504" s="7" t="str">
        <f t="shared" si="2015"/>
        <v>学校</v>
      </c>
      <c r="E5504" s="7" t="str">
        <f t="shared" si="2018"/>
        <v>大阪府堺市　北区金岡町</v>
      </c>
      <c r="F5504" s="7"/>
      <c r="G5504" s="7" t="str">
        <f t="shared" si="2004"/>
        <v>事業用資産</v>
      </c>
      <c r="H5504" s="7" t="str">
        <f t="shared" si="1997"/>
        <v>棚卸以外</v>
      </c>
      <c r="I5504" s="7">
        <v>2</v>
      </c>
      <c r="J5504" s="7" t="str">
        <f>"特別教室棟"</f>
        <v>特別教室棟</v>
      </c>
      <c r="K5504" s="7" t="str">
        <f>"鉄骨鉄筋コンクリート造"</f>
        <v>鉄骨鉄筋コンクリート造</v>
      </c>
      <c r="L5504" s="7" t="str">
        <f>"S49.04.30"</f>
        <v>S49.04.30</v>
      </c>
      <c r="M5504" s="7">
        <v>5992.43</v>
      </c>
      <c r="N5504" s="7">
        <v>705535536</v>
      </c>
      <c r="O5504" s="7">
        <v>663536898</v>
      </c>
      <c r="P5504" s="7">
        <v>0</v>
      </c>
      <c r="Q5504" s="7" t="str">
        <f t="shared" si="2005"/>
        <v>教育庁</v>
      </c>
      <c r="R5504" s="7" t="str">
        <f t="shared" si="2019"/>
        <v>金岡高等学校</v>
      </c>
    </row>
    <row r="5505" spans="1:18" s="1" customFormat="1" ht="26.4" x14ac:dyDescent="0.45">
      <c r="A5505" s="7" t="str">
        <f t="shared" si="2016"/>
        <v>10447000000</v>
      </c>
      <c r="B5505" s="7" t="str">
        <f t="shared" si="2017"/>
        <v>金岡高等学校</v>
      </c>
      <c r="C5505" s="7" t="str">
        <f t="shared" si="2002"/>
        <v>行政財産</v>
      </c>
      <c r="D5505" s="7" t="str">
        <f t="shared" si="2015"/>
        <v>学校</v>
      </c>
      <c r="E5505" s="7" t="str">
        <f t="shared" si="2018"/>
        <v>大阪府堺市　北区金岡町</v>
      </c>
      <c r="F5505" s="7"/>
      <c r="G5505" s="7" t="str">
        <f t="shared" si="2004"/>
        <v>事業用資産</v>
      </c>
      <c r="H5505" s="7" t="str">
        <f t="shared" si="1997"/>
        <v>棚卸以外</v>
      </c>
      <c r="I5505" s="7">
        <v>3</v>
      </c>
      <c r="J5505" s="7" t="str">
        <f>"渡り廊下"</f>
        <v>渡り廊下</v>
      </c>
      <c r="K5505" s="7" t="str">
        <f>"鉄骨鉄筋コンクリート造"</f>
        <v>鉄骨鉄筋コンクリート造</v>
      </c>
      <c r="L5505" s="7" t="str">
        <f>"S49.04.30"</f>
        <v>S49.04.30</v>
      </c>
      <c r="M5505" s="7">
        <v>777.09</v>
      </c>
      <c r="N5505" s="7">
        <v>86487011</v>
      </c>
      <c r="O5505" s="7">
        <v>84377583</v>
      </c>
      <c r="P5505" s="7">
        <v>0</v>
      </c>
      <c r="Q5505" s="7" t="str">
        <f t="shared" si="2005"/>
        <v>教育庁</v>
      </c>
      <c r="R5505" s="7" t="str">
        <f t="shared" si="2019"/>
        <v>金岡高等学校</v>
      </c>
    </row>
    <row r="5506" spans="1:18" s="1" customFormat="1" x14ac:dyDescent="0.45">
      <c r="A5506" s="7" t="str">
        <f t="shared" si="2016"/>
        <v>10447000000</v>
      </c>
      <c r="B5506" s="7" t="str">
        <f t="shared" si="2017"/>
        <v>金岡高等学校</v>
      </c>
      <c r="C5506" s="7" t="str">
        <f t="shared" si="2002"/>
        <v>行政財産</v>
      </c>
      <c r="D5506" s="7" t="str">
        <f t="shared" si="2015"/>
        <v>学校</v>
      </c>
      <c r="E5506" s="7" t="str">
        <f t="shared" si="2018"/>
        <v>大阪府堺市　北区金岡町</v>
      </c>
      <c r="F5506" s="7"/>
      <c r="G5506" s="7" t="str">
        <f t="shared" si="2004"/>
        <v>事業用資産</v>
      </c>
      <c r="H5506" s="7" t="str">
        <f t="shared" si="1997"/>
        <v>棚卸以外</v>
      </c>
      <c r="I5506" s="7">
        <v>4</v>
      </c>
      <c r="J5506" s="7" t="str">
        <f>"設備棟"</f>
        <v>設備棟</v>
      </c>
      <c r="K5506" s="7" t="str">
        <f>"鉄筋コンクリート造"</f>
        <v>鉄筋コンクリート造</v>
      </c>
      <c r="L5506" s="7" t="str">
        <f>"S49.04.30"</f>
        <v>S49.04.30</v>
      </c>
      <c r="M5506" s="7">
        <v>117</v>
      </c>
      <c r="N5506" s="7">
        <v>23815010</v>
      </c>
      <c r="O5506" s="7">
        <v>23382396</v>
      </c>
      <c r="P5506" s="7">
        <v>0</v>
      </c>
      <c r="Q5506" s="7" t="str">
        <f t="shared" si="2005"/>
        <v>教育庁</v>
      </c>
      <c r="R5506" s="7" t="str">
        <f t="shared" si="2019"/>
        <v>金岡高等学校</v>
      </c>
    </row>
    <row r="5507" spans="1:18" s="1" customFormat="1" x14ac:dyDescent="0.45">
      <c r="A5507" s="7" t="str">
        <f t="shared" si="2016"/>
        <v>10447000000</v>
      </c>
      <c r="B5507" s="7" t="str">
        <f t="shared" si="2017"/>
        <v>金岡高等学校</v>
      </c>
      <c r="C5507" s="7" t="str">
        <f t="shared" si="2002"/>
        <v>行政財産</v>
      </c>
      <c r="D5507" s="7" t="str">
        <f t="shared" si="2015"/>
        <v>学校</v>
      </c>
      <c r="E5507" s="7" t="str">
        <f t="shared" si="2018"/>
        <v>大阪府堺市　北区金岡町</v>
      </c>
      <c r="F5507" s="7"/>
      <c r="G5507" s="7" t="str">
        <f t="shared" si="2004"/>
        <v>事業用資産</v>
      </c>
      <c r="H5507" s="7" t="str">
        <f t="shared" si="1997"/>
        <v>棚卸以外</v>
      </c>
      <c r="I5507" s="7">
        <v>5</v>
      </c>
      <c r="J5507" s="7" t="str">
        <f>"倉庫"</f>
        <v>倉庫</v>
      </c>
      <c r="K5507" s="7" t="str">
        <f>"鉄骨造"</f>
        <v>鉄骨造</v>
      </c>
      <c r="L5507" s="7" t="str">
        <f>"S49.04.30"</f>
        <v>S49.04.30</v>
      </c>
      <c r="M5507" s="7">
        <v>65</v>
      </c>
      <c r="N5507" s="7">
        <v>2979000</v>
      </c>
      <c r="O5507" s="7">
        <v>2978999</v>
      </c>
      <c r="P5507" s="7">
        <v>0</v>
      </c>
      <c r="Q5507" s="7" t="str">
        <f t="shared" si="2005"/>
        <v>教育庁</v>
      </c>
      <c r="R5507" s="7" t="str">
        <f t="shared" si="2019"/>
        <v>金岡高等学校</v>
      </c>
    </row>
    <row r="5508" spans="1:18" s="1" customFormat="1" x14ac:dyDescent="0.45">
      <c r="A5508" s="7" t="str">
        <f t="shared" si="2016"/>
        <v>10447000000</v>
      </c>
      <c r="B5508" s="7" t="str">
        <f t="shared" si="2017"/>
        <v>金岡高等学校</v>
      </c>
      <c r="C5508" s="7" t="str">
        <f t="shared" si="2002"/>
        <v>行政財産</v>
      </c>
      <c r="D5508" s="7" t="str">
        <f t="shared" si="2015"/>
        <v>学校</v>
      </c>
      <c r="E5508" s="7" t="str">
        <f t="shared" si="2018"/>
        <v>大阪府堺市　北区金岡町</v>
      </c>
      <c r="F5508" s="7"/>
      <c r="G5508" s="7" t="str">
        <f t="shared" si="2004"/>
        <v>事業用資産</v>
      </c>
      <c r="H5508" s="7" t="str">
        <f t="shared" ref="H5508:H5571" si="2020">"棚卸以外"</f>
        <v>棚卸以外</v>
      </c>
      <c r="I5508" s="7">
        <v>8</v>
      </c>
      <c r="J5508" s="7" t="str">
        <f>"体育館"</f>
        <v>体育館</v>
      </c>
      <c r="K5508" s="7" t="str">
        <f>"鉄筋コンクリート造"</f>
        <v>鉄筋コンクリート造</v>
      </c>
      <c r="L5508" s="7" t="str">
        <f>"S50.06.30"</f>
        <v>S50.06.30</v>
      </c>
      <c r="M5508" s="7">
        <v>3018.32</v>
      </c>
      <c r="N5508" s="7">
        <v>335262174</v>
      </c>
      <c r="O5508" s="7">
        <v>270307870</v>
      </c>
      <c r="P5508" s="7">
        <v>0</v>
      </c>
      <c r="Q5508" s="7" t="str">
        <f t="shared" si="2005"/>
        <v>教育庁</v>
      </c>
      <c r="R5508" s="7" t="str">
        <f t="shared" si="2019"/>
        <v>金岡高等学校</v>
      </c>
    </row>
    <row r="5509" spans="1:18" s="1" customFormat="1" x14ac:dyDescent="0.45">
      <c r="A5509" s="7" t="str">
        <f t="shared" si="2016"/>
        <v>10447000000</v>
      </c>
      <c r="B5509" s="7" t="str">
        <f t="shared" si="2017"/>
        <v>金岡高等学校</v>
      </c>
      <c r="C5509" s="7" t="str">
        <f t="shared" si="2002"/>
        <v>行政財産</v>
      </c>
      <c r="D5509" s="7" t="str">
        <f t="shared" si="2015"/>
        <v>学校</v>
      </c>
      <c r="E5509" s="7" t="str">
        <f t="shared" si="2018"/>
        <v>大阪府堺市　北区金岡町</v>
      </c>
      <c r="F5509" s="7"/>
      <c r="G5509" s="7" t="str">
        <f t="shared" si="2004"/>
        <v>事業用資産</v>
      </c>
      <c r="H5509" s="7" t="str">
        <f t="shared" si="2020"/>
        <v>棚卸以外</v>
      </c>
      <c r="I5509" s="7">
        <v>9</v>
      </c>
      <c r="J5509" s="7" t="str">
        <f>"プール附属棟"</f>
        <v>プール附属棟</v>
      </c>
      <c r="K5509" s="7" t="str">
        <f>"コンクリートブロック造"</f>
        <v>コンクリートブロック造</v>
      </c>
      <c r="L5509" s="7" t="str">
        <f>"S50.06.30"</f>
        <v>S50.06.30</v>
      </c>
      <c r="M5509" s="7">
        <v>138</v>
      </c>
      <c r="N5509" s="7">
        <v>22135500</v>
      </c>
      <c r="O5509" s="7">
        <v>22016699</v>
      </c>
      <c r="P5509" s="7">
        <v>0</v>
      </c>
      <c r="Q5509" s="7" t="str">
        <f t="shared" si="2005"/>
        <v>教育庁</v>
      </c>
      <c r="R5509" s="7" t="str">
        <f t="shared" si="2019"/>
        <v>金岡高等学校</v>
      </c>
    </row>
    <row r="5510" spans="1:18" s="1" customFormat="1" x14ac:dyDescent="0.45">
      <c r="A5510" s="7" t="str">
        <f t="shared" si="2016"/>
        <v>10447000000</v>
      </c>
      <c r="B5510" s="7" t="str">
        <f t="shared" si="2017"/>
        <v>金岡高等学校</v>
      </c>
      <c r="C5510" s="7" t="str">
        <f t="shared" si="2002"/>
        <v>行政財産</v>
      </c>
      <c r="D5510" s="7" t="str">
        <f t="shared" si="2015"/>
        <v>学校</v>
      </c>
      <c r="E5510" s="7" t="str">
        <f t="shared" si="2018"/>
        <v>大阪府堺市　北区金岡町</v>
      </c>
      <c r="F5510" s="7"/>
      <c r="G5510" s="7" t="str">
        <f t="shared" si="2004"/>
        <v>事業用資産</v>
      </c>
      <c r="H5510" s="7" t="str">
        <f t="shared" si="2020"/>
        <v>棚卸以外</v>
      </c>
      <c r="I5510" s="7">
        <v>10</v>
      </c>
      <c r="J5510" s="7" t="str">
        <f>"食堂棟"</f>
        <v>食堂棟</v>
      </c>
      <c r="K5510" s="7" t="str">
        <f>"鉄筋コンクリート造"</f>
        <v>鉄筋コンクリート造</v>
      </c>
      <c r="L5510" s="7" t="str">
        <f>"S50.07.31"</f>
        <v>S50.07.31</v>
      </c>
      <c r="M5510" s="7">
        <v>327.38</v>
      </c>
      <c r="N5510" s="7">
        <v>36719965</v>
      </c>
      <c r="O5510" s="7">
        <v>36117744</v>
      </c>
      <c r="P5510" s="7">
        <v>0</v>
      </c>
      <c r="Q5510" s="7" t="str">
        <f t="shared" si="2005"/>
        <v>教育庁</v>
      </c>
      <c r="R5510" s="7" t="str">
        <f t="shared" si="2019"/>
        <v>金岡高等学校</v>
      </c>
    </row>
    <row r="5511" spans="1:18" s="1" customFormat="1" x14ac:dyDescent="0.45">
      <c r="A5511" s="7" t="str">
        <f t="shared" si="2016"/>
        <v>10447000000</v>
      </c>
      <c r="B5511" s="7" t="str">
        <f t="shared" si="2017"/>
        <v>金岡高等学校</v>
      </c>
      <c r="C5511" s="7" t="str">
        <f t="shared" si="2002"/>
        <v>行政財産</v>
      </c>
      <c r="D5511" s="7" t="str">
        <f t="shared" si="2015"/>
        <v>学校</v>
      </c>
      <c r="E5511" s="7" t="str">
        <f t="shared" si="2018"/>
        <v>大阪府堺市　北区金岡町</v>
      </c>
      <c r="F5511" s="7"/>
      <c r="G5511" s="7" t="str">
        <f t="shared" si="2004"/>
        <v>事業用資産</v>
      </c>
      <c r="H5511" s="7" t="str">
        <f t="shared" si="2020"/>
        <v>棚卸以外</v>
      </c>
      <c r="I5511" s="7">
        <v>11</v>
      </c>
      <c r="J5511" s="7" t="str">
        <f>"第２倉庫"</f>
        <v>第２倉庫</v>
      </c>
      <c r="K5511" s="7" t="str">
        <f>"コンクリートブロック造"</f>
        <v>コンクリートブロック造</v>
      </c>
      <c r="L5511" s="7" t="str">
        <f>"S51.12.20"</f>
        <v>S51.12.20</v>
      </c>
      <c r="M5511" s="7">
        <v>100</v>
      </c>
      <c r="N5511" s="7">
        <v>7941000</v>
      </c>
      <c r="O5511" s="7">
        <v>7940999</v>
      </c>
      <c r="P5511" s="7">
        <v>0</v>
      </c>
      <c r="Q5511" s="7" t="str">
        <f t="shared" si="2005"/>
        <v>教育庁</v>
      </c>
      <c r="R5511" s="7" t="str">
        <f t="shared" si="2019"/>
        <v>金岡高等学校</v>
      </c>
    </row>
    <row r="5512" spans="1:18" s="1" customFormat="1" x14ac:dyDescent="0.45">
      <c r="A5512" s="7" t="str">
        <f t="shared" si="2016"/>
        <v>10447000000</v>
      </c>
      <c r="B5512" s="7" t="str">
        <f t="shared" si="2017"/>
        <v>金岡高等学校</v>
      </c>
      <c r="C5512" s="7" t="str">
        <f t="shared" si="2002"/>
        <v>行政財産</v>
      </c>
      <c r="D5512" s="7" t="str">
        <f t="shared" si="2015"/>
        <v>学校</v>
      </c>
      <c r="E5512" s="7" t="str">
        <f t="shared" si="2018"/>
        <v>大阪府堺市　北区金岡町</v>
      </c>
      <c r="F5512" s="7"/>
      <c r="G5512" s="7" t="str">
        <f t="shared" si="2004"/>
        <v>事業用資産</v>
      </c>
      <c r="H5512" s="7" t="str">
        <f t="shared" si="2020"/>
        <v>棚卸以外</v>
      </c>
      <c r="I5512" s="7">
        <v>12</v>
      </c>
      <c r="J5512" s="7" t="str">
        <f>"薬品庫"</f>
        <v>薬品庫</v>
      </c>
      <c r="K5512" s="7" t="str">
        <f>"鉄筋コンクリート造"</f>
        <v>鉄筋コンクリート造</v>
      </c>
      <c r="L5512" s="7" t="str">
        <f>"S51.12.20"</f>
        <v>S51.12.20</v>
      </c>
      <c r="M5512" s="7">
        <v>15.58</v>
      </c>
      <c r="N5512" s="7">
        <v>1602000</v>
      </c>
      <c r="O5512" s="7">
        <v>1601999</v>
      </c>
      <c r="P5512" s="7">
        <v>0</v>
      </c>
      <c r="Q5512" s="7" t="str">
        <f t="shared" si="2005"/>
        <v>教育庁</v>
      </c>
      <c r="R5512" s="7" t="str">
        <f t="shared" si="2019"/>
        <v>金岡高等学校</v>
      </c>
    </row>
    <row r="5513" spans="1:18" s="1" customFormat="1" x14ac:dyDescent="0.45">
      <c r="A5513" s="7" t="str">
        <f t="shared" si="2016"/>
        <v>10447000000</v>
      </c>
      <c r="B5513" s="7" t="str">
        <f t="shared" si="2017"/>
        <v>金岡高等学校</v>
      </c>
      <c r="C5513" s="7" t="str">
        <f t="shared" si="2002"/>
        <v>行政財産</v>
      </c>
      <c r="D5513" s="7" t="str">
        <f t="shared" si="2015"/>
        <v>学校</v>
      </c>
      <c r="E5513" s="7" t="str">
        <f t="shared" si="2018"/>
        <v>大阪府堺市　北区金岡町</v>
      </c>
      <c r="F5513" s="7"/>
      <c r="G5513" s="7" t="str">
        <f t="shared" si="2004"/>
        <v>事業用資産</v>
      </c>
      <c r="H5513" s="7" t="str">
        <f t="shared" si="2020"/>
        <v>棚卸以外</v>
      </c>
      <c r="I5513" s="7">
        <v>16</v>
      </c>
      <c r="J5513" s="7" t="str">
        <f>"第５自転車置場"</f>
        <v>第５自転車置場</v>
      </c>
      <c r="K5513" s="7" t="str">
        <f>"軽量鉄骨造"</f>
        <v>軽量鉄骨造</v>
      </c>
      <c r="L5513" s="7" t="str">
        <f>"S51.03.30"</f>
        <v>S51.03.30</v>
      </c>
      <c r="M5513" s="7">
        <v>34.5</v>
      </c>
      <c r="N5513" s="7">
        <v>1118000</v>
      </c>
      <c r="O5513" s="7">
        <v>1117999</v>
      </c>
      <c r="P5513" s="7">
        <v>0</v>
      </c>
      <c r="Q5513" s="7" t="str">
        <f t="shared" si="2005"/>
        <v>教育庁</v>
      </c>
      <c r="R5513" s="7" t="str">
        <f t="shared" si="2019"/>
        <v>金岡高等学校</v>
      </c>
    </row>
    <row r="5514" spans="1:18" s="1" customFormat="1" x14ac:dyDescent="0.45">
      <c r="A5514" s="7" t="str">
        <f t="shared" si="2016"/>
        <v>10447000000</v>
      </c>
      <c r="B5514" s="7" t="str">
        <f t="shared" si="2017"/>
        <v>金岡高等学校</v>
      </c>
      <c r="C5514" s="7" t="str">
        <f t="shared" si="2002"/>
        <v>行政財産</v>
      </c>
      <c r="D5514" s="7" t="str">
        <f t="shared" si="2015"/>
        <v>学校</v>
      </c>
      <c r="E5514" s="7" t="str">
        <f t="shared" si="2018"/>
        <v>大阪府堺市　北区金岡町</v>
      </c>
      <c r="F5514" s="7"/>
      <c r="G5514" s="7" t="str">
        <f t="shared" si="2004"/>
        <v>事業用資産</v>
      </c>
      <c r="H5514" s="7" t="str">
        <f t="shared" si="2020"/>
        <v>棚卸以外</v>
      </c>
      <c r="I5514" s="7">
        <v>17</v>
      </c>
      <c r="J5514" s="7" t="str">
        <f>"第６自転車置場"</f>
        <v>第６自転車置場</v>
      </c>
      <c r="K5514" s="7" t="str">
        <f>"軽量鉄骨造"</f>
        <v>軽量鉄骨造</v>
      </c>
      <c r="L5514" s="7" t="str">
        <f>"S51.03.30"</f>
        <v>S51.03.30</v>
      </c>
      <c r="M5514" s="7">
        <v>34.5</v>
      </c>
      <c r="N5514" s="7">
        <v>1171723</v>
      </c>
      <c r="O5514" s="7">
        <v>1141022</v>
      </c>
      <c r="P5514" s="7">
        <v>0</v>
      </c>
      <c r="Q5514" s="7" t="str">
        <f t="shared" si="2005"/>
        <v>教育庁</v>
      </c>
      <c r="R5514" s="7" t="str">
        <f t="shared" si="2019"/>
        <v>金岡高等学校</v>
      </c>
    </row>
    <row r="5515" spans="1:18" s="1" customFormat="1" x14ac:dyDescent="0.45">
      <c r="A5515" s="7" t="str">
        <f t="shared" si="2016"/>
        <v>10447000000</v>
      </c>
      <c r="B5515" s="7" t="str">
        <f t="shared" si="2017"/>
        <v>金岡高等学校</v>
      </c>
      <c r="C5515" s="7" t="str">
        <f t="shared" si="2002"/>
        <v>行政財産</v>
      </c>
      <c r="D5515" s="7" t="str">
        <f t="shared" si="2015"/>
        <v>学校</v>
      </c>
      <c r="E5515" s="7" t="str">
        <f t="shared" si="2018"/>
        <v>大阪府堺市　北区金岡町</v>
      </c>
      <c r="F5515" s="7"/>
      <c r="G5515" s="7" t="str">
        <f t="shared" si="2004"/>
        <v>事業用資産</v>
      </c>
      <c r="H5515" s="7" t="str">
        <f t="shared" si="2020"/>
        <v>棚卸以外</v>
      </c>
      <c r="I5515" s="7">
        <v>18</v>
      </c>
      <c r="J5515" s="7" t="str">
        <f>"第７自転車置場"</f>
        <v>第７自転車置場</v>
      </c>
      <c r="K5515" s="7" t="str">
        <f>"軽量鉄骨造"</f>
        <v>軽量鉄骨造</v>
      </c>
      <c r="L5515" s="7" t="str">
        <f>"S51.03.30"</f>
        <v>S51.03.30</v>
      </c>
      <c r="M5515" s="7">
        <v>55.2</v>
      </c>
      <c r="N5515" s="7">
        <v>1788000</v>
      </c>
      <c r="O5515" s="7">
        <v>1787999</v>
      </c>
      <c r="P5515" s="7">
        <v>0</v>
      </c>
      <c r="Q5515" s="7" t="str">
        <f t="shared" si="2005"/>
        <v>教育庁</v>
      </c>
      <c r="R5515" s="7" t="str">
        <f t="shared" si="2019"/>
        <v>金岡高等学校</v>
      </c>
    </row>
    <row r="5516" spans="1:18" s="1" customFormat="1" x14ac:dyDescent="0.45">
      <c r="A5516" s="7" t="str">
        <f t="shared" si="2016"/>
        <v>10447000000</v>
      </c>
      <c r="B5516" s="7" t="str">
        <f t="shared" si="2017"/>
        <v>金岡高等学校</v>
      </c>
      <c r="C5516" s="7" t="str">
        <f t="shared" si="2002"/>
        <v>行政財産</v>
      </c>
      <c r="D5516" s="7" t="str">
        <f t="shared" si="2015"/>
        <v>学校</v>
      </c>
      <c r="E5516" s="7" t="str">
        <f t="shared" si="2018"/>
        <v>大阪府堺市　北区金岡町</v>
      </c>
      <c r="F5516" s="7"/>
      <c r="G5516" s="7" t="str">
        <f t="shared" si="2004"/>
        <v>事業用資産</v>
      </c>
      <c r="H5516" s="7" t="str">
        <f t="shared" si="2020"/>
        <v>棚卸以外</v>
      </c>
      <c r="I5516" s="7">
        <v>19</v>
      </c>
      <c r="J5516" s="7" t="str">
        <f>"第８自転車置場"</f>
        <v>第８自転車置場</v>
      </c>
      <c r="K5516" s="7" t="str">
        <f>"軽量鉄骨造"</f>
        <v>軽量鉄骨造</v>
      </c>
      <c r="L5516" s="7" t="str">
        <f>"S51.03.30"</f>
        <v>S51.03.30</v>
      </c>
      <c r="M5516" s="7">
        <v>55.2</v>
      </c>
      <c r="N5516" s="7">
        <v>1841724</v>
      </c>
      <c r="O5516" s="7">
        <v>1811022</v>
      </c>
      <c r="P5516" s="7">
        <v>0</v>
      </c>
      <c r="Q5516" s="7" t="str">
        <f t="shared" si="2005"/>
        <v>教育庁</v>
      </c>
      <c r="R5516" s="7" t="str">
        <f t="shared" si="2019"/>
        <v>金岡高等学校</v>
      </c>
    </row>
    <row r="5517" spans="1:18" s="1" customFormat="1" x14ac:dyDescent="0.45">
      <c r="A5517" s="7" t="str">
        <f t="shared" si="2016"/>
        <v>10447000000</v>
      </c>
      <c r="B5517" s="7" t="str">
        <f t="shared" si="2017"/>
        <v>金岡高等学校</v>
      </c>
      <c r="C5517" s="7" t="str">
        <f t="shared" ref="C5517:C5580" si="2021">"行政財産"</f>
        <v>行政財産</v>
      </c>
      <c r="D5517" s="7" t="str">
        <f t="shared" si="2015"/>
        <v>学校</v>
      </c>
      <c r="E5517" s="7" t="str">
        <f t="shared" si="2018"/>
        <v>大阪府堺市　北区金岡町</v>
      </c>
      <c r="F5517" s="7"/>
      <c r="G5517" s="7" t="str">
        <f t="shared" si="2004"/>
        <v>事業用資産</v>
      </c>
      <c r="H5517" s="7" t="str">
        <f t="shared" si="2020"/>
        <v>棚卸以外</v>
      </c>
      <c r="I5517" s="7">
        <v>21</v>
      </c>
      <c r="J5517" s="7" t="str">
        <f>"エレベーター棟"</f>
        <v>エレベーター棟</v>
      </c>
      <c r="K5517" s="7" t="str">
        <f>"鉄骨造"</f>
        <v>鉄骨造</v>
      </c>
      <c r="L5517" s="7" t="str">
        <f>"H17.03.31"</f>
        <v>H17.03.31</v>
      </c>
      <c r="M5517" s="7">
        <v>20.93</v>
      </c>
      <c r="N5517" s="7">
        <v>16675600</v>
      </c>
      <c r="O5517" s="7">
        <v>13053763</v>
      </c>
      <c r="P5517" s="7">
        <v>0</v>
      </c>
      <c r="Q5517" s="7" t="str">
        <f t="shared" si="2005"/>
        <v>教育庁</v>
      </c>
      <c r="R5517" s="7" t="str">
        <f t="shared" si="2019"/>
        <v>金岡高等学校</v>
      </c>
    </row>
    <row r="5518" spans="1:18" s="1" customFormat="1" x14ac:dyDescent="0.45">
      <c r="A5518" s="7" t="str">
        <f t="shared" ref="A5518:A5528" si="2022">"10448000000"</f>
        <v>10448000000</v>
      </c>
      <c r="B5518" s="7" t="str">
        <f t="shared" ref="B5518:B5528" si="2023">"東百舌鳥高等学校"</f>
        <v>東百舌鳥高等学校</v>
      </c>
      <c r="C5518" s="7" t="str">
        <f t="shared" si="2021"/>
        <v>行政財産</v>
      </c>
      <c r="D5518" s="7" t="str">
        <f t="shared" si="2015"/>
        <v>学校</v>
      </c>
      <c r="E5518" s="7" t="str">
        <f t="shared" ref="E5518:E5528" si="2024">"大阪府堺市　中区土塔町"</f>
        <v>大阪府堺市　中区土塔町</v>
      </c>
      <c r="F5518" s="7"/>
      <c r="G5518" s="7" t="str">
        <f t="shared" si="2004"/>
        <v>事業用資産</v>
      </c>
      <c r="H5518" s="7" t="str">
        <f t="shared" si="2020"/>
        <v>棚卸以外</v>
      </c>
      <c r="I5518" s="7">
        <v>1</v>
      </c>
      <c r="J5518" s="7" t="str">
        <f>"普通教室棟"</f>
        <v>普通教室棟</v>
      </c>
      <c r="K5518" s="7" t="str">
        <f>"鉄筋コンクリート造"</f>
        <v>鉄筋コンクリート造</v>
      </c>
      <c r="L5518" s="7" t="str">
        <f t="shared" ref="L5518:L5523" si="2025">"S51.02.28"</f>
        <v>S51.02.28</v>
      </c>
      <c r="M5518" s="7">
        <v>5560.36</v>
      </c>
      <c r="N5518" s="7">
        <v>1171853257</v>
      </c>
      <c r="O5518" s="7">
        <v>1071796901</v>
      </c>
      <c r="P5518" s="7">
        <v>0</v>
      </c>
      <c r="Q5518" s="7" t="str">
        <f t="shared" si="2005"/>
        <v>教育庁</v>
      </c>
      <c r="R5518" s="7" t="str">
        <f t="shared" ref="R5518:R5528" si="2026">"東百舌鳥高等学校"</f>
        <v>東百舌鳥高等学校</v>
      </c>
    </row>
    <row r="5519" spans="1:18" s="1" customFormat="1" x14ac:dyDescent="0.45">
      <c r="A5519" s="7" t="str">
        <f t="shared" si="2022"/>
        <v>10448000000</v>
      </c>
      <c r="B5519" s="7" t="str">
        <f t="shared" si="2023"/>
        <v>東百舌鳥高等学校</v>
      </c>
      <c r="C5519" s="7" t="str">
        <f t="shared" si="2021"/>
        <v>行政財産</v>
      </c>
      <c r="D5519" s="7" t="str">
        <f t="shared" si="2015"/>
        <v>学校</v>
      </c>
      <c r="E5519" s="7" t="str">
        <f t="shared" si="2024"/>
        <v>大阪府堺市　中区土塔町</v>
      </c>
      <c r="F5519" s="7"/>
      <c r="G5519" s="7" t="str">
        <f t="shared" si="2004"/>
        <v>事業用資産</v>
      </c>
      <c r="H5519" s="7" t="str">
        <f t="shared" si="2020"/>
        <v>棚卸以外</v>
      </c>
      <c r="I5519" s="7">
        <v>2</v>
      </c>
      <c r="J5519" s="7" t="str">
        <f>"特別教室棟"</f>
        <v>特別教室棟</v>
      </c>
      <c r="K5519" s="7" t="str">
        <f>"鉄筋コンクリート造"</f>
        <v>鉄筋コンクリート造</v>
      </c>
      <c r="L5519" s="7" t="str">
        <f t="shared" si="2025"/>
        <v>S51.02.28</v>
      </c>
      <c r="M5519" s="7">
        <v>5263.46</v>
      </c>
      <c r="N5519" s="7">
        <v>678493951</v>
      </c>
      <c r="O5519" s="7">
        <v>586686566</v>
      </c>
      <c r="P5519" s="7">
        <v>0</v>
      </c>
      <c r="Q5519" s="7" t="str">
        <f t="shared" si="2005"/>
        <v>教育庁</v>
      </c>
      <c r="R5519" s="7" t="str">
        <f t="shared" si="2026"/>
        <v>東百舌鳥高等学校</v>
      </c>
    </row>
    <row r="5520" spans="1:18" s="1" customFormat="1" x14ac:dyDescent="0.45">
      <c r="A5520" s="7" t="str">
        <f t="shared" si="2022"/>
        <v>10448000000</v>
      </c>
      <c r="B5520" s="7" t="str">
        <f t="shared" si="2023"/>
        <v>東百舌鳥高等学校</v>
      </c>
      <c r="C5520" s="7" t="str">
        <f t="shared" si="2021"/>
        <v>行政財産</v>
      </c>
      <c r="D5520" s="7" t="str">
        <f t="shared" si="2015"/>
        <v>学校</v>
      </c>
      <c r="E5520" s="7" t="str">
        <f t="shared" si="2024"/>
        <v>大阪府堺市　中区土塔町</v>
      </c>
      <c r="F5520" s="7"/>
      <c r="G5520" s="7" t="str">
        <f t="shared" si="2004"/>
        <v>事業用資産</v>
      </c>
      <c r="H5520" s="7" t="str">
        <f t="shared" si="2020"/>
        <v>棚卸以外</v>
      </c>
      <c r="I5520" s="7">
        <v>3</v>
      </c>
      <c r="J5520" s="7" t="str">
        <f>"渡り廊下（中央）"</f>
        <v>渡り廊下（中央）</v>
      </c>
      <c r="K5520" s="7" t="str">
        <f>"鉄筋コンクリート造"</f>
        <v>鉄筋コンクリート造</v>
      </c>
      <c r="L5520" s="7" t="str">
        <f t="shared" si="2025"/>
        <v>S51.02.28</v>
      </c>
      <c r="M5520" s="7">
        <v>250.25</v>
      </c>
      <c r="N5520" s="7">
        <v>33739000</v>
      </c>
      <c r="O5520" s="7">
        <v>26851870</v>
      </c>
      <c r="P5520" s="7">
        <v>0</v>
      </c>
      <c r="Q5520" s="7" t="str">
        <f t="shared" si="2005"/>
        <v>教育庁</v>
      </c>
      <c r="R5520" s="7" t="str">
        <f t="shared" si="2026"/>
        <v>東百舌鳥高等学校</v>
      </c>
    </row>
    <row r="5521" spans="1:18" s="1" customFormat="1" x14ac:dyDescent="0.45">
      <c r="A5521" s="7" t="str">
        <f t="shared" si="2022"/>
        <v>10448000000</v>
      </c>
      <c r="B5521" s="7" t="str">
        <f t="shared" si="2023"/>
        <v>東百舌鳥高等学校</v>
      </c>
      <c r="C5521" s="7" t="str">
        <f t="shared" si="2021"/>
        <v>行政財産</v>
      </c>
      <c r="D5521" s="7" t="str">
        <f t="shared" si="2015"/>
        <v>学校</v>
      </c>
      <c r="E5521" s="7" t="str">
        <f t="shared" si="2024"/>
        <v>大阪府堺市　中区土塔町</v>
      </c>
      <c r="F5521" s="7"/>
      <c r="G5521" s="7" t="str">
        <f t="shared" si="2004"/>
        <v>事業用資産</v>
      </c>
      <c r="H5521" s="7" t="str">
        <f t="shared" si="2020"/>
        <v>棚卸以外</v>
      </c>
      <c r="I5521" s="7">
        <v>4</v>
      </c>
      <c r="J5521" s="7" t="str">
        <f>"設備棟"</f>
        <v>設備棟</v>
      </c>
      <c r="K5521" s="7" t="str">
        <f>"鉄筋コンクリート造"</f>
        <v>鉄筋コンクリート造</v>
      </c>
      <c r="L5521" s="7" t="str">
        <f t="shared" si="2025"/>
        <v>S51.02.28</v>
      </c>
      <c r="M5521" s="7">
        <v>117</v>
      </c>
      <c r="N5521" s="7">
        <v>30610140</v>
      </c>
      <c r="O5521" s="7">
        <v>26686178</v>
      </c>
      <c r="P5521" s="7">
        <v>0</v>
      </c>
      <c r="Q5521" s="7" t="str">
        <f t="shared" si="2005"/>
        <v>教育庁</v>
      </c>
      <c r="R5521" s="7" t="str">
        <f t="shared" si="2026"/>
        <v>東百舌鳥高等学校</v>
      </c>
    </row>
    <row r="5522" spans="1:18" s="1" customFormat="1" x14ac:dyDescent="0.45">
      <c r="A5522" s="7" t="str">
        <f t="shared" si="2022"/>
        <v>10448000000</v>
      </c>
      <c r="B5522" s="7" t="str">
        <f t="shared" si="2023"/>
        <v>東百舌鳥高等学校</v>
      </c>
      <c r="C5522" s="7" t="str">
        <f t="shared" si="2021"/>
        <v>行政財産</v>
      </c>
      <c r="D5522" s="7" t="str">
        <f t="shared" si="2015"/>
        <v>学校</v>
      </c>
      <c r="E5522" s="7" t="str">
        <f t="shared" si="2024"/>
        <v>大阪府堺市　中区土塔町</v>
      </c>
      <c r="F5522" s="7"/>
      <c r="G5522" s="7" t="str">
        <f t="shared" si="2004"/>
        <v>事業用資産</v>
      </c>
      <c r="H5522" s="7" t="str">
        <f t="shared" si="2020"/>
        <v>棚卸以外</v>
      </c>
      <c r="I5522" s="7">
        <v>5</v>
      </c>
      <c r="J5522" s="7" t="str">
        <f>"倉庫（南）"</f>
        <v>倉庫（南）</v>
      </c>
      <c r="K5522" s="7" t="str">
        <f>"鉄骨造"</f>
        <v>鉄骨造</v>
      </c>
      <c r="L5522" s="7" t="str">
        <f t="shared" si="2025"/>
        <v>S51.02.28</v>
      </c>
      <c r="M5522" s="7">
        <v>50</v>
      </c>
      <c r="N5522" s="7">
        <v>4205000</v>
      </c>
      <c r="O5522" s="7">
        <v>4204999</v>
      </c>
      <c r="P5522" s="7">
        <v>0</v>
      </c>
      <c r="Q5522" s="7" t="str">
        <f t="shared" si="2005"/>
        <v>教育庁</v>
      </c>
      <c r="R5522" s="7" t="str">
        <f t="shared" si="2026"/>
        <v>東百舌鳥高等学校</v>
      </c>
    </row>
    <row r="5523" spans="1:18" s="1" customFormat="1" x14ac:dyDescent="0.45">
      <c r="A5523" s="7" t="str">
        <f t="shared" si="2022"/>
        <v>10448000000</v>
      </c>
      <c r="B5523" s="7" t="str">
        <f t="shared" si="2023"/>
        <v>東百舌鳥高等学校</v>
      </c>
      <c r="C5523" s="7" t="str">
        <f t="shared" si="2021"/>
        <v>行政財産</v>
      </c>
      <c r="D5523" s="7" t="str">
        <f t="shared" si="2015"/>
        <v>学校</v>
      </c>
      <c r="E5523" s="7" t="str">
        <f t="shared" si="2024"/>
        <v>大阪府堺市　中区土塔町</v>
      </c>
      <c r="F5523" s="7"/>
      <c r="G5523" s="7" t="str">
        <f t="shared" si="2004"/>
        <v>事業用資産</v>
      </c>
      <c r="H5523" s="7" t="str">
        <f t="shared" si="2020"/>
        <v>棚卸以外</v>
      </c>
      <c r="I5523" s="7">
        <v>6</v>
      </c>
      <c r="J5523" s="7" t="str">
        <f>"自転車置場（西）"</f>
        <v>自転車置場（西）</v>
      </c>
      <c r="K5523" s="7" t="str">
        <f>"鉄骨造"</f>
        <v>鉄骨造</v>
      </c>
      <c r="L5523" s="7" t="str">
        <f t="shared" si="2025"/>
        <v>S51.02.28</v>
      </c>
      <c r="M5523" s="7">
        <v>112.5</v>
      </c>
      <c r="N5523" s="7">
        <v>3022000</v>
      </c>
      <c r="O5523" s="7">
        <v>3021999</v>
      </c>
      <c r="P5523" s="7">
        <v>0</v>
      </c>
      <c r="Q5523" s="7" t="str">
        <f t="shared" si="2005"/>
        <v>教育庁</v>
      </c>
      <c r="R5523" s="7" t="str">
        <f t="shared" si="2026"/>
        <v>東百舌鳥高等学校</v>
      </c>
    </row>
    <row r="5524" spans="1:18" s="1" customFormat="1" x14ac:dyDescent="0.45">
      <c r="A5524" s="7" t="str">
        <f t="shared" si="2022"/>
        <v>10448000000</v>
      </c>
      <c r="B5524" s="7" t="str">
        <f t="shared" si="2023"/>
        <v>東百舌鳥高等学校</v>
      </c>
      <c r="C5524" s="7" t="str">
        <f t="shared" si="2021"/>
        <v>行政財産</v>
      </c>
      <c r="D5524" s="7" t="str">
        <f t="shared" si="2015"/>
        <v>学校</v>
      </c>
      <c r="E5524" s="7" t="str">
        <f t="shared" si="2024"/>
        <v>大阪府堺市　中区土塔町</v>
      </c>
      <c r="F5524" s="7"/>
      <c r="G5524" s="7" t="str">
        <f t="shared" si="2004"/>
        <v>事業用資産</v>
      </c>
      <c r="H5524" s="7" t="str">
        <f t="shared" si="2020"/>
        <v>棚卸以外</v>
      </c>
      <c r="I5524" s="7">
        <v>9</v>
      </c>
      <c r="J5524" s="7" t="str">
        <f>"渡り廊下（東）"</f>
        <v>渡り廊下（東）</v>
      </c>
      <c r="K5524" s="7" t="str">
        <f>"鉄筋コンクリート造"</f>
        <v>鉄筋コンクリート造</v>
      </c>
      <c r="L5524" s="7" t="str">
        <f>"S53.02.28"</f>
        <v>S53.02.28</v>
      </c>
      <c r="M5524" s="7">
        <v>202.27</v>
      </c>
      <c r="N5524" s="7">
        <v>13042000</v>
      </c>
      <c r="O5524" s="7">
        <v>13041999</v>
      </c>
      <c r="P5524" s="7">
        <v>0</v>
      </c>
      <c r="Q5524" s="7" t="str">
        <f t="shared" si="2005"/>
        <v>教育庁</v>
      </c>
      <c r="R5524" s="7" t="str">
        <f t="shared" si="2026"/>
        <v>東百舌鳥高等学校</v>
      </c>
    </row>
    <row r="5525" spans="1:18" s="1" customFormat="1" x14ac:dyDescent="0.45">
      <c r="A5525" s="7" t="str">
        <f t="shared" si="2022"/>
        <v>10448000000</v>
      </c>
      <c r="B5525" s="7" t="str">
        <f t="shared" si="2023"/>
        <v>東百舌鳥高等学校</v>
      </c>
      <c r="C5525" s="7" t="str">
        <f t="shared" si="2021"/>
        <v>行政財産</v>
      </c>
      <c r="D5525" s="7" t="str">
        <f t="shared" si="2015"/>
        <v>学校</v>
      </c>
      <c r="E5525" s="7" t="str">
        <f t="shared" si="2024"/>
        <v>大阪府堺市　中区土塔町</v>
      </c>
      <c r="F5525" s="7"/>
      <c r="G5525" s="7" t="str">
        <f t="shared" si="2004"/>
        <v>事業用資産</v>
      </c>
      <c r="H5525" s="7" t="str">
        <f t="shared" si="2020"/>
        <v>棚卸以外</v>
      </c>
      <c r="I5525" s="7">
        <v>10</v>
      </c>
      <c r="J5525" s="7" t="str">
        <f>"体育館"</f>
        <v>体育館</v>
      </c>
      <c r="K5525" s="7" t="str">
        <f>"鉄筋コンクリート造"</f>
        <v>鉄筋コンクリート造</v>
      </c>
      <c r="L5525" s="7" t="str">
        <f>"S53.02.28"</f>
        <v>S53.02.28</v>
      </c>
      <c r="M5525" s="7">
        <v>3089.55</v>
      </c>
      <c r="N5525" s="7">
        <v>412808273</v>
      </c>
      <c r="O5525" s="7">
        <v>305566997</v>
      </c>
      <c r="P5525" s="7">
        <v>0</v>
      </c>
      <c r="Q5525" s="7" t="str">
        <f t="shared" si="2005"/>
        <v>教育庁</v>
      </c>
      <c r="R5525" s="7" t="str">
        <f t="shared" si="2026"/>
        <v>東百舌鳥高等学校</v>
      </c>
    </row>
    <row r="5526" spans="1:18" s="1" customFormat="1" x14ac:dyDescent="0.45">
      <c r="A5526" s="7" t="str">
        <f t="shared" si="2022"/>
        <v>10448000000</v>
      </c>
      <c r="B5526" s="7" t="str">
        <f t="shared" si="2023"/>
        <v>東百舌鳥高等学校</v>
      </c>
      <c r="C5526" s="7" t="str">
        <f t="shared" si="2021"/>
        <v>行政財産</v>
      </c>
      <c r="D5526" s="7" t="str">
        <f t="shared" si="2015"/>
        <v>学校</v>
      </c>
      <c r="E5526" s="7" t="str">
        <f t="shared" si="2024"/>
        <v>大阪府堺市　中区土塔町</v>
      </c>
      <c r="F5526" s="7"/>
      <c r="G5526" s="7" t="str">
        <f t="shared" si="2004"/>
        <v>事業用資産</v>
      </c>
      <c r="H5526" s="7" t="str">
        <f t="shared" si="2020"/>
        <v>棚卸以外</v>
      </c>
      <c r="I5526" s="7">
        <v>11</v>
      </c>
      <c r="J5526" s="7" t="str">
        <f>"プール附属棟"</f>
        <v>プール附属棟</v>
      </c>
      <c r="K5526" s="7" t="str">
        <f>"鉄筋コンクリート造"</f>
        <v>鉄筋コンクリート造</v>
      </c>
      <c r="L5526" s="7" t="str">
        <f>"S53.02.28"</f>
        <v>S53.02.28</v>
      </c>
      <c r="M5526" s="7">
        <v>138</v>
      </c>
      <c r="N5526" s="7">
        <v>28097184</v>
      </c>
      <c r="O5526" s="7">
        <v>28002821</v>
      </c>
      <c r="P5526" s="7">
        <v>0</v>
      </c>
      <c r="Q5526" s="7" t="str">
        <f t="shared" si="2005"/>
        <v>教育庁</v>
      </c>
      <c r="R5526" s="7" t="str">
        <f t="shared" si="2026"/>
        <v>東百舌鳥高等学校</v>
      </c>
    </row>
    <row r="5527" spans="1:18" s="1" customFormat="1" x14ac:dyDescent="0.45">
      <c r="A5527" s="7" t="str">
        <f t="shared" si="2022"/>
        <v>10448000000</v>
      </c>
      <c r="B5527" s="7" t="str">
        <f t="shared" si="2023"/>
        <v>東百舌鳥高等学校</v>
      </c>
      <c r="C5527" s="7" t="str">
        <f t="shared" si="2021"/>
        <v>行政財産</v>
      </c>
      <c r="D5527" s="7" t="str">
        <f t="shared" si="2015"/>
        <v>学校</v>
      </c>
      <c r="E5527" s="7" t="str">
        <f t="shared" si="2024"/>
        <v>大阪府堺市　中区土塔町</v>
      </c>
      <c r="F5527" s="7"/>
      <c r="G5527" s="7" t="str">
        <f t="shared" ref="G5527:G5590" si="2027">"事業用資産"</f>
        <v>事業用資産</v>
      </c>
      <c r="H5527" s="7" t="str">
        <f t="shared" si="2020"/>
        <v>棚卸以外</v>
      </c>
      <c r="I5527" s="7">
        <v>12</v>
      </c>
      <c r="J5527" s="7" t="str">
        <f>"倉庫（北）"</f>
        <v>倉庫（北）</v>
      </c>
      <c r="K5527" s="7" t="str">
        <f>"レンガ、石積造"</f>
        <v>レンガ、石積造</v>
      </c>
      <c r="L5527" s="7" t="str">
        <f>"S53.02.28"</f>
        <v>S53.02.28</v>
      </c>
      <c r="M5527" s="7">
        <v>102.46</v>
      </c>
      <c r="N5527" s="7">
        <v>3780000</v>
      </c>
      <c r="O5527" s="7">
        <v>3779999</v>
      </c>
      <c r="P5527" s="7">
        <v>0</v>
      </c>
      <c r="Q5527" s="7" t="str">
        <f t="shared" si="2005"/>
        <v>教育庁</v>
      </c>
      <c r="R5527" s="7" t="str">
        <f t="shared" si="2026"/>
        <v>東百舌鳥高等学校</v>
      </c>
    </row>
    <row r="5528" spans="1:18" s="1" customFormat="1" x14ac:dyDescent="0.45">
      <c r="A5528" s="7" t="str">
        <f t="shared" si="2022"/>
        <v>10448000000</v>
      </c>
      <c r="B5528" s="7" t="str">
        <f t="shared" si="2023"/>
        <v>東百舌鳥高等学校</v>
      </c>
      <c r="C5528" s="7" t="str">
        <f t="shared" si="2021"/>
        <v>行政財産</v>
      </c>
      <c r="D5528" s="7" t="str">
        <f t="shared" si="2015"/>
        <v>学校</v>
      </c>
      <c r="E5528" s="7" t="str">
        <f t="shared" si="2024"/>
        <v>大阪府堺市　中区土塔町</v>
      </c>
      <c r="F5528" s="7"/>
      <c r="G5528" s="7" t="str">
        <f t="shared" si="2027"/>
        <v>事業用資産</v>
      </c>
      <c r="H5528" s="7" t="str">
        <f t="shared" si="2020"/>
        <v>棚卸以外</v>
      </c>
      <c r="I5528" s="7">
        <v>14</v>
      </c>
      <c r="J5528" s="7" t="str">
        <f>"自転車置場（東）"</f>
        <v>自転車置場（東）</v>
      </c>
      <c r="K5528" s="7" t="str">
        <f>"鉄骨造"</f>
        <v>鉄骨造</v>
      </c>
      <c r="L5528" s="7" t="str">
        <f>"S53.02.28"</f>
        <v>S53.02.28</v>
      </c>
      <c r="M5528" s="7">
        <v>37.5</v>
      </c>
      <c r="N5528" s="7">
        <v>938750</v>
      </c>
      <c r="O5528" s="7">
        <v>938749</v>
      </c>
      <c r="P5528" s="7">
        <v>0</v>
      </c>
      <c r="Q5528" s="7" t="str">
        <f t="shared" si="2005"/>
        <v>教育庁</v>
      </c>
      <c r="R5528" s="7" t="str">
        <f t="shared" si="2026"/>
        <v>東百舌鳥高等学校</v>
      </c>
    </row>
    <row r="5529" spans="1:18" s="1" customFormat="1" x14ac:dyDescent="0.45">
      <c r="A5529" s="7" t="str">
        <f t="shared" ref="A5529:A5545" si="2028">"10449000000"</f>
        <v>10449000000</v>
      </c>
      <c r="B5529" s="7" t="str">
        <f t="shared" ref="B5529:B5545" si="2029">"堺西高等学校"</f>
        <v>堺西高等学校</v>
      </c>
      <c r="C5529" s="7" t="str">
        <f t="shared" si="2021"/>
        <v>行政財産</v>
      </c>
      <c r="D5529" s="7" t="str">
        <f t="shared" si="2015"/>
        <v>学校</v>
      </c>
      <c r="E5529" s="7" t="str">
        <f t="shared" ref="E5529:E5545" si="2030">"大阪府堺市　南区桃山台４丁"</f>
        <v>大阪府堺市　南区桃山台４丁</v>
      </c>
      <c r="F5529" s="7"/>
      <c r="G5529" s="7" t="str">
        <f t="shared" si="2027"/>
        <v>事業用資産</v>
      </c>
      <c r="H5529" s="7" t="str">
        <f t="shared" si="2020"/>
        <v>棚卸以外</v>
      </c>
      <c r="I5529" s="7">
        <v>1</v>
      </c>
      <c r="J5529" s="7" t="str">
        <f>"管理棟"</f>
        <v>管理棟</v>
      </c>
      <c r="K5529" s="7" t="str">
        <f t="shared" ref="K5529:K5535" si="2031">"鉄筋コンクリート造"</f>
        <v>鉄筋コンクリート造</v>
      </c>
      <c r="L5529" s="7" t="str">
        <f t="shared" ref="L5529:L5538" si="2032">"S54.01.01"</f>
        <v>S54.01.01</v>
      </c>
      <c r="M5529" s="7">
        <v>2621.68</v>
      </c>
      <c r="N5529" s="7">
        <v>261222609</v>
      </c>
      <c r="O5529" s="7">
        <v>233735489</v>
      </c>
      <c r="P5529" s="7">
        <v>0</v>
      </c>
      <c r="Q5529" s="7" t="str">
        <f t="shared" si="2005"/>
        <v>教育庁</v>
      </c>
      <c r="R5529" s="7" t="str">
        <f t="shared" ref="R5529:R5545" si="2033">"堺西高等学校"</f>
        <v>堺西高等学校</v>
      </c>
    </row>
    <row r="5530" spans="1:18" s="1" customFormat="1" x14ac:dyDescent="0.45">
      <c r="A5530" s="7" t="str">
        <f t="shared" si="2028"/>
        <v>10449000000</v>
      </c>
      <c r="B5530" s="7" t="str">
        <f t="shared" si="2029"/>
        <v>堺西高等学校</v>
      </c>
      <c r="C5530" s="7" t="str">
        <f t="shared" si="2021"/>
        <v>行政財産</v>
      </c>
      <c r="D5530" s="7" t="str">
        <f t="shared" si="2015"/>
        <v>学校</v>
      </c>
      <c r="E5530" s="7" t="str">
        <f t="shared" si="2030"/>
        <v>大阪府堺市　南区桃山台４丁</v>
      </c>
      <c r="F5530" s="7"/>
      <c r="G5530" s="7" t="str">
        <f t="shared" si="2027"/>
        <v>事業用資産</v>
      </c>
      <c r="H5530" s="7" t="str">
        <f t="shared" si="2020"/>
        <v>棚卸以外</v>
      </c>
      <c r="I5530" s="7">
        <v>2</v>
      </c>
      <c r="J5530" s="7" t="str">
        <f>"普通教室棟"</f>
        <v>普通教室棟</v>
      </c>
      <c r="K5530" s="7" t="str">
        <f t="shared" si="2031"/>
        <v>鉄筋コンクリート造</v>
      </c>
      <c r="L5530" s="7" t="str">
        <f t="shared" si="2032"/>
        <v>S54.01.01</v>
      </c>
      <c r="M5530" s="7">
        <v>5684.16</v>
      </c>
      <c r="N5530" s="7">
        <v>773600104</v>
      </c>
      <c r="O5530" s="7">
        <v>527559102</v>
      </c>
      <c r="P5530" s="7">
        <v>0</v>
      </c>
      <c r="Q5530" s="7" t="str">
        <f t="shared" si="2005"/>
        <v>教育庁</v>
      </c>
      <c r="R5530" s="7" t="str">
        <f t="shared" si="2033"/>
        <v>堺西高等学校</v>
      </c>
    </row>
    <row r="5531" spans="1:18" s="1" customFormat="1" x14ac:dyDescent="0.45">
      <c r="A5531" s="7" t="str">
        <f t="shared" si="2028"/>
        <v>10449000000</v>
      </c>
      <c r="B5531" s="7" t="str">
        <f t="shared" si="2029"/>
        <v>堺西高等学校</v>
      </c>
      <c r="C5531" s="7" t="str">
        <f t="shared" si="2021"/>
        <v>行政財産</v>
      </c>
      <c r="D5531" s="7" t="str">
        <f t="shared" si="2015"/>
        <v>学校</v>
      </c>
      <c r="E5531" s="7" t="str">
        <f t="shared" si="2030"/>
        <v>大阪府堺市　南区桃山台４丁</v>
      </c>
      <c r="F5531" s="7"/>
      <c r="G5531" s="7" t="str">
        <f t="shared" si="2027"/>
        <v>事業用資産</v>
      </c>
      <c r="H5531" s="7" t="str">
        <f t="shared" si="2020"/>
        <v>棚卸以外</v>
      </c>
      <c r="I5531" s="7">
        <v>3</v>
      </c>
      <c r="J5531" s="7" t="str">
        <f>"特別教室棟"</f>
        <v>特別教室棟</v>
      </c>
      <c r="K5531" s="7" t="str">
        <f t="shared" si="2031"/>
        <v>鉄筋コンクリート造</v>
      </c>
      <c r="L5531" s="7" t="str">
        <f t="shared" si="2032"/>
        <v>S54.01.01</v>
      </c>
      <c r="M5531" s="7">
        <v>3292.05</v>
      </c>
      <c r="N5531" s="7">
        <v>321770451</v>
      </c>
      <c r="O5531" s="7">
        <v>269424771</v>
      </c>
      <c r="P5531" s="7">
        <v>0</v>
      </c>
      <c r="Q5531" s="7" t="str">
        <f t="shared" ref="Q5531:Q5594" si="2034">"教育庁"</f>
        <v>教育庁</v>
      </c>
      <c r="R5531" s="7" t="str">
        <f t="shared" si="2033"/>
        <v>堺西高等学校</v>
      </c>
    </row>
    <row r="5532" spans="1:18" s="1" customFormat="1" x14ac:dyDescent="0.45">
      <c r="A5532" s="7" t="str">
        <f t="shared" si="2028"/>
        <v>10449000000</v>
      </c>
      <c r="B5532" s="7" t="str">
        <f t="shared" si="2029"/>
        <v>堺西高等学校</v>
      </c>
      <c r="C5532" s="7" t="str">
        <f t="shared" si="2021"/>
        <v>行政財産</v>
      </c>
      <c r="D5532" s="7" t="str">
        <f t="shared" si="2015"/>
        <v>学校</v>
      </c>
      <c r="E5532" s="7" t="str">
        <f t="shared" si="2030"/>
        <v>大阪府堺市　南区桃山台４丁</v>
      </c>
      <c r="F5532" s="7"/>
      <c r="G5532" s="7" t="str">
        <f t="shared" si="2027"/>
        <v>事業用資産</v>
      </c>
      <c r="H5532" s="7" t="str">
        <f t="shared" si="2020"/>
        <v>棚卸以外</v>
      </c>
      <c r="I5532" s="7">
        <v>4</v>
      </c>
      <c r="J5532" s="7" t="str">
        <f>"渡り廊下Ａ"</f>
        <v>渡り廊下Ａ</v>
      </c>
      <c r="K5532" s="7" t="str">
        <f t="shared" si="2031"/>
        <v>鉄筋コンクリート造</v>
      </c>
      <c r="L5532" s="7" t="str">
        <f t="shared" si="2032"/>
        <v>S54.01.01</v>
      </c>
      <c r="M5532" s="7">
        <v>172.8</v>
      </c>
      <c r="N5532" s="7">
        <v>17353000</v>
      </c>
      <c r="O5532" s="7">
        <v>17352999</v>
      </c>
      <c r="P5532" s="7">
        <v>0</v>
      </c>
      <c r="Q5532" s="7" t="str">
        <f t="shared" si="2034"/>
        <v>教育庁</v>
      </c>
      <c r="R5532" s="7" t="str">
        <f t="shared" si="2033"/>
        <v>堺西高等学校</v>
      </c>
    </row>
    <row r="5533" spans="1:18" s="1" customFormat="1" x14ac:dyDescent="0.45">
      <c r="A5533" s="7" t="str">
        <f t="shared" si="2028"/>
        <v>10449000000</v>
      </c>
      <c r="B5533" s="7" t="str">
        <f t="shared" si="2029"/>
        <v>堺西高等学校</v>
      </c>
      <c r="C5533" s="7" t="str">
        <f t="shared" si="2021"/>
        <v>行政財産</v>
      </c>
      <c r="D5533" s="7" t="str">
        <f t="shared" si="2015"/>
        <v>学校</v>
      </c>
      <c r="E5533" s="7" t="str">
        <f t="shared" si="2030"/>
        <v>大阪府堺市　南区桃山台４丁</v>
      </c>
      <c r="F5533" s="7"/>
      <c r="G5533" s="7" t="str">
        <f t="shared" si="2027"/>
        <v>事業用資産</v>
      </c>
      <c r="H5533" s="7" t="str">
        <f t="shared" si="2020"/>
        <v>棚卸以外</v>
      </c>
      <c r="I5533" s="7">
        <v>5</v>
      </c>
      <c r="J5533" s="7" t="str">
        <f>"渡り廊下Ｂ"</f>
        <v>渡り廊下Ｂ</v>
      </c>
      <c r="K5533" s="7" t="str">
        <f t="shared" si="2031"/>
        <v>鉄筋コンクリート造</v>
      </c>
      <c r="L5533" s="7" t="str">
        <f t="shared" si="2032"/>
        <v>S54.01.01</v>
      </c>
      <c r="M5533" s="7">
        <v>82.8</v>
      </c>
      <c r="N5533" s="7">
        <v>9725000</v>
      </c>
      <c r="O5533" s="7">
        <v>9724999</v>
      </c>
      <c r="P5533" s="7">
        <v>0</v>
      </c>
      <c r="Q5533" s="7" t="str">
        <f t="shared" si="2034"/>
        <v>教育庁</v>
      </c>
      <c r="R5533" s="7" t="str">
        <f t="shared" si="2033"/>
        <v>堺西高等学校</v>
      </c>
    </row>
    <row r="5534" spans="1:18" s="1" customFormat="1" x14ac:dyDescent="0.45">
      <c r="A5534" s="7" t="str">
        <f t="shared" si="2028"/>
        <v>10449000000</v>
      </c>
      <c r="B5534" s="7" t="str">
        <f t="shared" si="2029"/>
        <v>堺西高等学校</v>
      </c>
      <c r="C5534" s="7" t="str">
        <f t="shared" si="2021"/>
        <v>行政財産</v>
      </c>
      <c r="D5534" s="7" t="str">
        <f t="shared" si="2015"/>
        <v>学校</v>
      </c>
      <c r="E5534" s="7" t="str">
        <f t="shared" si="2030"/>
        <v>大阪府堺市　南区桃山台４丁</v>
      </c>
      <c r="F5534" s="7"/>
      <c r="G5534" s="7" t="str">
        <f t="shared" si="2027"/>
        <v>事業用資産</v>
      </c>
      <c r="H5534" s="7" t="str">
        <f t="shared" si="2020"/>
        <v>棚卸以外</v>
      </c>
      <c r="I5534" s="7">
        <v>6</v>
      </c>
      <c r="J5534" s="7" t="str">
        <f>"渡り廊下Ｃ"</f>
        <v>渡り廊下Ｃ</v>
      </c>
      <c r="K5534" s="7" t="str">
        <f t="shared" si="2031"/>
        <v>鉄筋コンクリート造</v>
      </c>
      <c r="L5534" s="7" t="str">
        <f t="shared" si="2032"/>
        <v>S54.01.01</v>
      </c>
      <c r="M5534" s="7">
        <v>240.24</v>
      </c>
      <c r="N5534" s="7">
        <v>22607708</v>
      </c>
      <c r="O5534" s="7">
        <v>22085111</v>
      </c>
      <c r="P5534" s="7">
        <v>0</v>
      </c>
      <c r="Q5534" s="7" t="str">
        <f t="shared" si="2034"/>
        <v>教育庁</v>
      </c>
      <c r="R5534" s="7" t="str">
        <f t="shared" si="2033"/>
        <v>堺西高等学校</v>
      </c>
    </row>
    <row r="5535" spans="1:18" s="1" customFormat="1" x14ac:dyDescent="0.45">
      <c r="A5535" s="7" t="str">
        <f t="shared" si="2028"/>
        <v>10449000000</v>
      </c>
      <c r="B5535" s="7" t="str">
        <f t="shared" si="2029"/>
        <v>堺西高等学校</v>
      </c>
      <c r="C5535" s="7" t="str">
        <f t="shared" si="2021"/>
        <v>行政財産</v>
      </c>
      <c r="D5535" s="7" t="str">
        <f t="shared" si="2015"/>
        <v>学校</v>
      </c>
      <c r="E5535" s="7" t="str">
        <f t="shared" si="2030"/>
        <v>大阪府堺市　南区桃山台４丁</v>
      </c>
      <c r="F5535" s="7"/>
      <c r="G5535" s="7" t="str">
        <f t="shared" si="2027"/>
        <v>事業用資産</v>
      </c>
      <c r="H5535" s="7" t="str">
        <f t="shared" si="2020"/>
        <v>棚卸以外</v>
      </c>
      <c r="I5535" s="7">
        <v>7</v>
      </c>
      <c r="J5535" s="7" t="str">
        <f>"体育館"</f>
        <v>体育館</v>
      </c>
      <c r="K5535" s="7" t="str">
        <f t="shared" si="2031"/>
        <v>鉄筋コンクリート造</v>
      </c>
      <c r="L5535" s="7" t="str">
        <f t="shared" si="2032"/>
        <v>S54.01.01</v>
      </c>
      <c r="M5535" s="7">
        <v>2402.09</v>
      </c>
      <c r="N5535" s="7">
        <v>321257367</v>
      </c>
      <c r="O5535" s="7">
        <v>265608229</v>
      </c>
      <c r="P5535" s="7">
        <v>0</v>
      </c>
      <c r="Q5535" s="7" t="str">
        <f t="shared" si="2034"/>
        <v>教育庁</v>
      </c>
      <c r="R5535" s="7" t="str">
        <f t="shared" si="2033"/>
        <v>堺西高等学校</v>
      </c>
    </row>
    <row r="5536" spans="1:18" s="1" customFormat="1" x14ac:dyDescent="0.45">
      <c r="A5536" s="7" t="str">
        <f t="shared" si="2028"/>
        <v>10449000000</v>
      </c>
      <c r="B5536" s="7" t="str">
        <f t="shared" si="2029"/>
        <v>堺西高等学校</v>
      </c>
      <c r="C5536" s="7" t="str">
        <f t="shared" si="2021"/>
        <v>行政財産</v>
      </c>
      <c r="D5536" s="7" t="str">
        <f t="shared" si="2015"/>
        <v>学校</v>
      </c>
      <c r="E5536" s="7" t="str">
        <f t="shared" si="2030"/>
        <v>大阪府堺市　南区桃山台４丁</v>
      </c>
      <c r="F5536" s="7"/>
      <c r="G5536" s="7" t="str">
        <f t="shared" si="2027"/>
        <v>事業用資産</v>
      </c>
      <c r="H5536" s="7" t="str">
        <f t="shared" si="2020"/>
        <v>棚卸以外</v>
      </c>
      <c r="I5536" s="7">
        <v>8</v>
      </c>
      <c r="J5536" s="7" t="str">
        <f>"油倉庫"</f>
        <v>油倉庫</v>
      </c>
      <c r="K5536" s="7" t="str">
        <f>"コンクリートブロック造"</f>
        <v>コンクリートブロック造</v>
      </c>
      <c r="L5536" s="7" t="str">
        <f t="shared" si="2032"/>
        <v>S54.01.01</v>
      </c>
      <c r="M5536" s="7">
        <v>5.29</v>
      </c>
      <c r="N5536" s="7">
        <v>329000</v>
      </c>
      <c r="O5536" s="7">
        <v>328999</v>
      </c>
      <c r="P5536" s="7">
        <v>0</v>
      </c>
      <c r="Q5536" s="7" t="str">
        <f t="shared" si="2034"/>
        <v>教育庁</v>
      </c>
      <c r="R5536" s="7" t="str">
        <f t="shared" si="2033"/>
        <v>堺西高等学校</v>
      </c>
    </row>
    <row r="5537" spans="1:18" s="1" customFormat="1" x14ac:dyDescent="0.45">
      <c r="A5537" s="7" t="str">
        <f t="shared" si="2028"/>
        <v>10449000000</v>
      </c>
      <c r="B5537" s="7" t="str">
        <f t="shared" si="2029"/>
        <v>堺西高等学校</v>
      </c>
      <c r="C5537" s="7" t="str">
        <f t="shared" si="2021"/>
        <v>行政財産</v>
      </c>
      <c r="D5537" s="7" t="str">
        <f t="shared" si="2015"/>
        <v>学校</v>
      </c>
      <c r="E5537" s="7" t="str">
        <f t="shared" si="2030"/>
        <v>大阪府堺市　南区桃山台４丁</v>
      </c>
      <c r="F5537" s="7"/>
      <c r="G5537" s="7" t="str">
        <f t="shared" si="2027"/>
        <v>事業用資産</v>
      </c>
      <c r="H5537" s="7" t="str">
        <f t="shared" si="2020"/>
        <v>棚卸以外</v>
      </c>
      <c r="I5537" s="7">
        <v>9</v>
      </c>
      <c r="J5537" s="7" t="str">
        <f>"窯場"</f>
        <v>窯場</v>
      </c>
      <c r="K5537" s="7" t="str">
        <f>"コンクリートブロック造"</f>
        <v>コンクリートブロック造</v>
      </c>
      <c r="L5537" s="7" t="str">
        <f t="shared" si="2032"/>
        <v>S54.01.01</v>
      </c>
      <c r="M5537" s="7">
        <v>40.869999999999997</v>
      </c>
      <c r="N5537" s="7">
        <v>5121000</v>
      </c>
      <c r="O5537" s="7">
        <v>5120999</v>
      </c>
      <c r="P5537" s="7">
        <v>0</v>
      </c>
      <c r="Q5537" s="7" t="str">
        <f t="shared" si="2034"/>
        <v>教育庁</v>
      </c>
      <c r="R5537" s="7" t="str">
        <f t="shared" si="2033"/>
        <v>堺西高等学校</v>
      </c>
    </row>
    <row r="5538" spans="1:18" s="1" customFormat="1" x14ac:dyDescent="0.45">
      <c r="A5538" s="7" t="str">
        <f t="shared" si="2028"/>
        <v>10449000000</v>
      </c>
      <c r="B5538" s="7" t="str">
        <f t="shared" si="2029"/>
        <v>堺西高等学校</v>
      </c>
      <c r="C5538" s="7" t="str">
        <f t="shared" si="2021"/>
        <v>行政財産</v>
      </c>
      <c r="D5538" s="7" t="str">
        <f t="shared" si="2015"/>
        <v>学校</v>
      </c>
      <c r="E5538" s="7" t="str">
        <f t="shared" si="2030"/>
        <v>大阪府堺市　南区桃山台４丁</v>
      </c>
      <c r="F5538" s="7"/>
      <c r="G5538" s="7" t="str">
        <f t="shared" si="2027"/>
        <v>事業用資産</v>
      </c>
      <c r="H5538" s="7" t="str">
        <f t="shared" si="2020"/>
        <v>棚卸以外</v>
      </c>
      <c r="I5538" s="7">
        <v>10</v>
      </c>
      <c r="J5538" s="7" t="str">
        <f>"クラブハウス"</f>
        <v>クラブハウス</v>
      </c>
      <c r="K5538" s="7" t="str">
        <f>"鉄骨造"</f>
        <v>鉄骨造</v>
      </c>
      <c r="L5538" s="7" t="str">
        <f t="shared" si="2032"/>
        <v>S54.01.01</v>
      </c>
      <c r="M5538" s="7">
        <v>361.34</v>
      </c>
      <c r="N5538" s="7">
        <v>38068000</v>
      </c>
      <c r="O5538" s="7">
        <v>30381299</v>
      </c>
      <c r="P5538" s="7">
        <v>0</v>
      </c>
      <c r="Q5538" s="7" t="str">
        <f t="shared" si="2034"/>
        <v>教育庁</v>
      </c>
      <c r="R5538" s="7" t="str">
        <f t="shared" si="2033"/>
        <v>堺西高等学校</v>
      </c>
    </row>
    <row r="5539" spans="1:18" s="1" customFormat="1" x14ac:dyDescent="0.45">
      <c r="A5539" s="7" t="str">
        <f t="shared" si="2028"/>
        <v>10449000000</v>
      </c>
      <c r="B5539" s="7" t="str">
        <f t="shared" si="2029"/>
        <v>堺西高等学校</v>
      </c>
      <c r="C5539" s="7" t="str">
        <f t="shared" si="2021"/>
        <v>行政財産</v>
      </c>
      <c r="D5539" s="7" t="str">
        <f t="shared" si="2015"/>
        <v>学校</v>
      </c>
      <c r="E5539" s="7" t="str">
        <f t="shared" si="2030"/>
        <v>大阪府堺市　南区桃山台４丁</v>
      </c>
      <c r="F5539" s="7"/>
      <c r="G5539" s="7" t="str">
        <f t="shared" si="2027"/>
        <v>事業用資産</v>
      </c>
      <c r="H5539" s="7" t="str">
        <f t="shared" si="2020"/>
        <v>棚卸以外</v>
      </c>
      <c r="I5539" s="7">
        <v>11</v>
      </c>
      <c r="J5539" s="7" t="str">
        <f>"プール附属棟"</f>
        <v>プール附属棟</v>
      </c>
      <c r="K5539" s="7" t="str">
        <f>"鉄筋コンクリート造"</f>
        <v>鉄筋コンクリート造</v>
      </c>
      <c r="L5539" s="7" t="str">
        <f>"S55.07.17"</f>
        <v>S55.07.17</v>
      </c>
      <c r="M5539" s="7">
        <v>138</v>
      </c>
      <c r="N5539" s="7">
        <v>33768000</v>
      </c>
      <c r="O5539" s="7">
        <v>30654976</v>
      </c>
      <c r="P5539" s="7">
        <v>0</v>
      </c>
      <c r="Q5539" s="7" t="str">
        <f t="shared" si="2034"/>
        <v>教育庁</v>
      </c>
      <c r="R5539" s="7" t="str">
        <f t="shared" si="2033"/>
        <v>堺西高等学校</v>
      </c>
    </row>
    <row r="5540" spans="1:18" s="1" customFormat="1" x14ac:dyDescent="0.45">
      <c r="A5540" s="7" t="str">
        <f t="shared" si="2028"/>
        <v>10449000000</v>
      </c>
      <c r="B5540" s="7" t="str">
        <f t="shared" si="2029"/>
        <v>堺西高等学校</v>
      </c>
      <c r="C5540" s="7" t="str">
        <f t="shared" si="2021"/>
        <v>行政財産</v>
      </c>
      <c r="D5540" s="7" t="str">
        <f t="shared" si="2015"/>
        <v>学校</v>
      </c>
      <c r="E5540" s="7" t="str">
        <f t="shared" si="2030"/>
        <v>大阪府堺市　南区桃山台４丁</v>
      </c>
      <c r="F5540" s="7"/>
      <c r="G5540" s="7" t="str">
        <f t="shared" si="2027"/>
        <v>事業用資産</v>
      </c>
      <c r="H5540" s="7" t="str">
        <f t="shared" si="2020"/>
        <v>棚卸以外</v>
      </c>
      <c r="I5540" s="7">
        <v>12</v>
      </c>
      <c r="J5540" s="7" t="str">
        <f>"特別教室棟（２）"</f>
        <v>特別教室棟（２）</v>
      </c>
      <c r="K5540" s="7" t="str">
        <f>"鉄筋コンクリート造"</f>
        <v>鉄筋コンクリート造</v>
      </c>
      <c r="L5540" s="7" t="str">
        <f>"S58.01.31"</f>
        <v>S58.01.31</v>
      </c>
      <c r="M5540" s="7">
        <v>521.69000000000005</v>
      </c>
      <c r="N5540" s="7">
        <v>86843642</v>
      </c>
      <c r="O5540" s="7">
        <v>73521354</v>
      </c>
      <c r="P5540" s="7">
        <v>0</v>
      </c>
      <c r="Q5540" s="7" t="str">
        <f t="shared" si="2034"/>
        <v>教育庁</v>
      </c>
      <c r="R5540" s="7" t="str">
        <f t="shared" si="2033"/>
        <v>堺西高等学校</v>
      </c>
    </row>
    <row r="5541" spans="1:18" s="1" customFormat="1" x14ac:dyDescent="0.45">
      <c r="A5541" s="7" t="str">
        <f t="shared" si="2028"/>
        <v>10449000000</v>
      </c>
      <c r="B5541" s="7" t="str">
        <f t="shared" si="2029"/>
        <v>堺西高等学校</v>
      </c>
      <c r="C5541" s="7" t="str">
        <f t="shared" si="2021"/>
        <v>行政財産</v>
      </c>
      <c r="D5541" s="7" t="str">
        <f t="shared" si="2015"/>
        <v>学校</v>
      </c>
      <c r="E5541" s="7" t="str">
        <f t="shared" si="2030"/>
        <v>大阪府堺市　南区桃山台４丁</v>
      </c>
      <c r="F5541" s="7"/>
      <c r="G5541" s="7" t="str">
        <f t="shared" si="2027"/>
        <v>事業用資産</v>
      </c>
      <c r="H5541" s="7" t="str">
        <f t="shared" si="2020"/>
        <v>棚卸以外</v>
      </c>
      <c r="I5541" s="7">
        <v>13</v>
      </c>
      <c r="J5541" s="7" t="str">
        <f>"温室及び飼育室"</f>
        <v>温室及び飼育室</v>
      </c>
      <c r="K5541" s="7" t="str">
        <f>"鉄筋コンクリート造"</f>
        <v>鉄筋コンクリート造</v>
      </c>
      <c r="L5541" s="7" t="str">
        <f>"S58.01.31"</f>
        <v>S58.01.31</v>
      </c>
      <c r="M5541" s="7">
        <v>50.17</v>
      </c>
      <c r="N5541" s="7">
        <v>6788000</v>
      </c>
      <c r="O5541" s="7">
        <v>6787999</v>
      </c>
      <c r="P5541" s="7">
        <v>0</v>
      </c>
      <c r="Q5541" s="7" t="str">
        <f t="shared" si="2034"/>
        <v>教育庁</v>
      </c>
      <c r="R5541" s="7" t="str">
        <f t="shared" si="2033"/>
        <v>堺西高等学校</v>
      </c>
    </row>
    <row r="5542" spans="1:18" s="1" customFormat="1" x14ac:dyDescent="0.45">
      <c r="A5542" s="7" t="str">
        <f t="shared" si="2028"/>
        <v>10449000000</v>
      </c>
      <c r="B5542" s="7" t="str">
        <f t="shared" si="2029"/>
        <v>堺西高等学校</v>
      </c>
      <c r="C5542" s="7" t="str">
        <f t="shared" si="2021"/>
        <v>行政財産</v>
      </c>
      <c r="D5542" s="7" t="str">
        <f t="shared" si="2015"/>
        <v>学校</v>
      </c>
      <c r="E5542" s="7" t="str">
        <f t="shared" si="2030"/>
        <v>大阪府堺市　南区桃山台４丁</v>
      </c>
      <c r="F5542" s="7"/>
      <c r="G5542" s="7" t="str">
        <f t="shared" si="2027"/>
        <v>事業用資産</v>
      </c>
      <c r="H5542" s="7" t="str">
        <f t="shared" si="2020"/>
        <v>棚卸以外</v>
      </c>
      <c r="I5542" s="7">
        <v>14</v>
      </c>
      <c r="J5542" s="7" t="str">
        <f>"紫友会館"</f>
        <v>紫友会館</v>
      </c>
      <c r="K5542" s="7" t="str">
        <f>"鉄骨造"</f>
        <v>鉄骨造</v>
      </c>
      <c r="L5542" s="7" t="str">
        <f>"S59.10.21"</f>
        <v>S59.10.21</v>
      </c>
      <c r="M5542" s="7">
        <v>93.58</v>
      </c>
      <c r="N5542" s="7">
        <v>11764000</v>
      </c>
      <c r="O5542" s="7">
        <v>10959511</v>
      </c>
      <c r="P5542" s="7">
        <v>0</v>
      </c>
      <c r="Q5542" s="7" t="str">
        <f t="shared" si="2034"/>
        <v>教育庁</v>
      </c>
      <c r="R5542" s="7" t="str">
        <f t="shared" si="2033"/>
        <v>堺西高等学校</v>
      </c>
    </row>
    <row r="5543" spans="1:18" s="1" customFormat="1" x14ac:dyDescent="0.45">
      <c r="A5543" s="7" t="str">
        <f t="shared" si="2028"/>
        <v>10449000000</v>
      </c>
      <c r="B5543" s="7" t="str">
        <f t="shared" si="2029"/>
        <v>堺西高等学校</v>
      </c>
      <c r="C5543" s="7" t="str">
        <f t="shared" si="2021"/>
        <v>行政財産</v>
      </c>
      <c r="D5543" s="7" t="str">
        <f t="shared" si="2015"/>
        <v>学校</v>
      </c>
      <c r="E5543" s="7" t="str">
        <f t="shared" si="2030"/>
        <v>大阪府堺市　南区桃山台４丁</v>
      </c>
      <c r="F5543" s="7"/>
      <c r="G5543" s="7" t="str">
        <f t="shared" si="2027"/>
        <v>事業用資産</v>
      </c>
      <c r="H5543" s="7" t="str">
        <f t="shared" si="2020"/>
        <v>棚卸以外</v>
      </c>
      <c r="I5543" s="7">
        <v>15</v>
      </c>
      <c r="J5543" s="7" t="str">
        <f>"温室"</f>
        <v>温室</v>
      </c>
      <c r="K5543" s="7" t="str">
        <f>"鉄骨造"</f>
        <v>鉄骨造</v>
      </c>
      <c r="L5543" s="7" t="str">
        <f>"S62.01.21"</f>
        <v>S62.01.21</v>
      </c>
      <c r="M5543" s="7">
        <v>9.35</v>
      </c>
      <c r="N5543" s="7">
        <v>669000</v>
      </c>
      <c r="O5543" s="7">
        <v>668999</v>
      </c>
      <c r="P5543" s="7">
        <v>0</v>
      </c>
      <c r="Q5543" s="7" t="str">
        <f t="shared" si="2034"/>
        <v>教育庁</v>
      </c>
      <c r="R5543" s="7" t="str">
        <f t="shared" si="2033"/>
        <v>堺西高等学校</v>
      </c>
    </row>
    <row r="5544" spans="1:18" s="1" customFormat="1" x14ac:dyDescent="0.45">
      <c r="A5544" s="7" t="str">
        <f t="shared" si="2028"/>
        <v>10449000000</v>
      </c>
      <c r="B5544" s="7" t="str">
        <f t="shared" si="2029"/>
        <v>堺西高等学校</v>
      </c>
      <c r="C5544" s="7" t="str">
        <f t="shared" si="2021"/>
        <v>行政財産</v>
      </c>
      <c r="D5544" s="7" t="str">
        <f t="shared" si="2015"/>
        <v>学校</v>
      </c>
      <c r="E5544" s="7" t="str">
        <f t="shared" si="2030"/>
        <v>大阪府堺市　南区桃山台４丁</v>
      </c>
      <c r="F5544" s="7"/>
      <c r="G5544" s="7" t="str">
        <f t="shared" si="2027"/>
        <v>事業用資産</v>
      </c>
      <c r="H5544" s="7" t="str">
        <f t="shared" si="2020"/>
        <v>棚卸以外</v>
      </c>
      <c r="I5544" s="7">
        <v>16</v>
      </c>
      <c r="J5544" s="7" t="str">
        <f>"体育倉庫"</f>
        <v>体育倉庫</v>
      </c>
      <c r="K5544" s="7" t="str">
        <f>"鉄骨造"</f>
        <v>鉄骨造</v>
      </c>
      <c r="L5544" s="7" t="str">
        <f>"S62.03.31"</f>
        <v>S62.03.31</v>
      </c>
      <c r="M5544" s="7">
        <v>24.84</v>
      </c>
      <c r="N5544" s="7">
        <v>2350000</v>
      </c>
      <c r="O5544" s="7">
        <v>2349999</v>
      </c>
      <c r="P5544" s="7">
        <v>0</v>
      </c>
      <c r="Q5544" s="7" t="str">
        <f t="shared" si="2034"/>
        <v>教育庁</v>
      </c>
      <c r="R5544" s="7" t="str">
        <f t="shared" si="2033"/>
        <v>堺西高等学校</v>
      </c>
    </row>
    <row r="5545" spans="1:18" s="1" customFormat="1" x14ac:dyDescent="0.45">
      <c r="A5545" s="7" t="str">
        <f t="shared" si="2028"/>
        <v>10449000000</v>
      </c>
      <c r="B5545" s="7" t="str">
        <f t="shared" si="2029"/>
        <v>堺西高等学校</v>
      </c>
      <c r="C5545" s="7" t="str">
        <f t="shared" si="2021"/>
        <v>行政財産</v>
      </c>
      <c r="D5545" s="7" t="str">
        <f t="shared" si="2015"/>
        <v>学校</v>
      </c>
      <c r="E5545" s="7" t="str">
        <f t="shared" si="2030"/>
        <v>大阪府堺市　南区桃山台４丁</v>
      </c>
      <c r="F5545" s="7"/>
      <c r="G5545" s="7" t="str">
        <f t="shared" si="2027"/>
        <v>事業用資産</v>
      </c>
      <c r="H5545" s="7" t="str">
        <f t="shared" si="2020"/>
        <v>棚卸以外</v>
      </c>
      <c r="I5545" s="7">
        <v>17</v>
      </c>
      <c r="J5545" s="7" t="str">
        <f>"ゴミ置場"</f>
        <v>ゴミ置場</v>
      </c>
      <c r="K5545" s="7" t="str">
        <f>"軽量鉄骨造"</f>
        <v>軽量鉄骨造</v>
      </c>
      <c r="L5545" s="7" t="str">
        <f>"H10.03.26"</f>
        <v>H10.03.26</v>
      </c>
      <c r="M5545" s="7">
        <v>18.350000000000001</v>
      </c>
      <c r="N5545" s="7">
        <v>449000</v>
      </c>
      <c r="O5545" s="7">
        <v>448999</v>
      </c>
      <c r="P5545" s="7">
        <v>0</v>
      </c>
      <c r="Q5545" s="7" t="str">
        <f t="shared" si="2034"/>
        <v>教育庁</v>
      </c>
      <c r="R5545" s="7" t="str">
        <f t="shared" si="2033"/>
        <v>堺西高等学校</v>
      </c>
    </row>
    <row r="5546" spans="1:18" s="1" customFormat="1" x14ac:dyDescent="0.45">
      <c r="A5546" s="7" t="str">
        <f t="shared" ref="A5546:A5552" si="2035">"10452000500"</f>
        <v>10452000500</v>
      </c>
      <c r="B5546" s="7" t="str">
        <f t="shared" ref="B5546:B5552" si="2036">"福泉高等学校"</f>
        <v>福泉高等学校</v>
      </c>
      <c r="C5546" s="7" t="str">
        <f t="shared" si="2021"/>
        <v>行政財産</v>
      </c>
      <c r="D5546" s="7" t="str">
        <f t="shared" si="2015"/>
        <v>学校</v>
      </c>
      <c r="E5546" s="7" t="str">
        <f t="shared" ref="E5546:E5552" si="2037">"大阪府堺市　西区太平寺"</f>
        <v>大阪府堺市　西区太平寺</v>
      </c>
      <c r="F5546" s="7"/>
      <c r="G5546" s="7" t="str">
        <f t="shared" si="2027"/>
        <v>事業用資産</v>
      </c>
      <c r="H5546" s="7" t="str">
        <f t="shared" si="2020"/>
        <v>棚卸以外</v>
      </c>
      <c r="I5546" s="7">
        <v>1</v>
      </c>
      <c r="J5546" s="7" t="str">
        <f>"校舎棟"</f>
        <v>校舎棟</v>
      </c>
      <c r="K5546" s="7" t="str">
        <f>"鉄筋コンクリート造"</f>
        <v>鉄筋コンクリート造</v>
      </c>
      <c r="L5546" s="7" t="str">
        <f>"S58.02.28"</f>
        <v>S58.02.28</v>
      </c>
      <c r="M5546" s="7">
        <v>10911.87</v>
      </c>
      <c r="N5546" s="7">
        <v>2091260534</v>
      </c>
      <c r="O5546" s="7">
        <v>1743302343</v>
      </c>
      <c r="P5546" s="7">
        <v>0</v>
      </c>
      <c r="Q5546" s="7" t="str">
        <f t="shared" si="2034"/>
        <v>教育庁</v>
      </c>
      <c r="R5546" s="7" t="str">
        <f t="shared" ref="R5546:R5552" si="2038">"福泉高等学校"</f>
        <v>福泉高等学校</v>
      </c>
    </row>
    <row r="5547" spans="1:18" s="1" customFormat="1" x14ac:dyDescent="0.45">
      <c r="A5547" s="7" t="str">
        <f t="shared" si="2035"/>
        <v>10452000500</v>
      </c>
      <c r="B5547" s="7" t="str">
        <f t="shared" si="2036"/>
        <v>福泉高等学校</v>
      </c>
      <c r="C5547" s="7" t="str">
        <f t="shared" si="2021"/>
        <v>行政財産</v>
      </c>
      <c r="D5547" s="7" t="str">
        <f t="shared" si="2015"/>
        <v>学校</v>
      </c>
      <c r="E5547" s="7" t="str">
        <f t="shared" si="2037"/>
        <v>大阪府堺市　西区太平寺</v>
      </c>
      <c r="F5547" s="7"/>
      <c r="G5547" s="7" t="str">
        <f t="shared" si="2027"/>
        <v>事業用資産</v>
      </c>
      <c r="H5547" s="7" t="str">
        <f t="shared" si="2020"/>
        <v>棚卸以外</v>
      </c>
      <c r="I5547" s="7">
        <v>2</v>
      </c>
      <c r="J5547" s="7" t="str">
        <f>"倉庫（旧汚水処理場）"</f>
        <v>倉庫（旧汚水処理場）</v>
      </c>
      <c r="K5547" s="7" t="str">
        <f>"鉄筋コンクリート造"</f>
        <v>鉄筋コンクリート造</v>
      </c>
      <c r="L5547" s="7" t="str">
        <f>"S58.02.28"</f>
        <v>S58.02.28</v>
      </c>
      <c r="M5547" s="7">
        <v>113.56</v>
      </c>
      <c r="N5547" s="7">
        <v>70995902</v>
      </c>
      <c r="O5547" s="7">
        <v>66425999</v>
      </c>
      <c r="P5547" s="7">
        <v>0</v>
      </c>
      <c r="Q5547" s="7" t="str">
        <f t="shared" si="2034"/>
        <v>教育庁</v>
      </c>
      <c r="R5547" s="7" t="str">
        <f t="shared" si="2038"/>
        <v>福泉高等学校</v>
      </c>
    </row>
    <row r="5548" spans="1:18" s="1" customFormat="1" x14ac:dyDescent="0.45">
      <c r="A5548" s="7" t="str">
        <f t="shared" si="2035"/>
        <v>10452000500</v>
      </c>
      <c r="B5548" s="7" t="str">
        <f t="shared" si="2036"/>
        <v>福泉高等学校</v>
      </c>
      <c r="C5548" s="7" t="str">
        <f t="shared" si="2021"/>
        <v>行政財産</v>
      </c>
      <c r="D5548" s="7" t="str">
        <f t="shared" si="2015"/>
        <v>学校</v>
      </c>
      <c r="E5548" s="7" t="str">
        <f t="shared" si="2037"/>
        <v>大阪府堺市　西区太平寺</v>
      </c>
      <c r="F5548" s="7"/>
      <c r="G5548" s="7" t="str">
        <f t="shared" si="2027"/>
        <v>事業用資産</v>
      </c>
      <c r="H5548" s="7" t="str">
        <f t="shared" si="2020"/>
        <v>棚卸以外</v>
      </c>
      <c r="I5548" s="7">
        <v>3</v>
      </c>
      <c r="J5548" s="7" t="str">
        <f>"プロパン庫"</f>
        <v>プロパン庫</v>
      </c>
      <c r="K5548" s="7" t="str">
        <f>"鉄筋コンクリート造"</f>
        <v>鉄筋コンクリート造</v>
      </c>
      <c r="L5548" s="7" t="str">
        <f>"S58.03.25"</f>
        <v>S58.03.25</v>
      </c>
      <c r="M5548" s="7">
        <v>17.5</v>
      </c>
      <c r="N5548" s="7">
        <v>1701000</v>
      </c>
      <c r="O5548" s="7">
        <v>1700999</v>
      </c>
      <c r="P5548" s="7">
        <v>0</v>
      </c>
      <c r="Q5548" s="7" t="str">
        <f t="shared" si="2034"/>
        <v>教育庁</v>
      </c>
      <c r="R5548" s="7" t="str">
        <f t="shared" si="2038"/>
        <v>福泉高等学校</v>
      </c>
    </row>
    <row r="5549" spans="1:18" s="1" customFormat="1" x14ac:dyDescent="0.45">
      <c r="A5549" s="7" t="str">
        <f t="shared" si="2035"/>
        <v>10452000500</v>
      </c>
      <c r="B5549" s="7" t="str">
        <f t="shared" si="2036"/>
        <v>福泉高等学校</v>
      </c>
      <c r="C5549" s="7" t="str">
        <f t="shared" si="2021"/>
        <v>行政財産</v>
      </c>
      <c r="D5549" s="7" t="str">
        <f t="shared" si="2015"/>
        <v>学校</v>
      </c>
      <c r="E5549" s="7" t="str">
        <f t="shared" si="2037"/>
        <v>大阪府堺市　西区太平寺</v>
      </c>
      <c r="F5549" s="7"/>
      <c r="G5549" s="7" t="str">
        <f t="shared" si="2027"/>
        <v>事業用資産</v>
      </c>
      <c r="H5549" s="7" t="str">
        <f t="shared" si="2020"/>
        <v>棚卸以外</v>
      </c>
      <c r="I5549" s="7">
        <v>4</v>
      </c>
      <c r="J5549" s="7" t="str">
        <f>"体育館"</f>
        <v>体育館</v>
      </c>
      <c r="K5549" s="7" t="str">
        <f>"鉄筋コンクリート造"</f>
        <v>鉄筋コンクリート造</v>
      </c>
      <c r="L5549" s="7" t="str">
        <f>"S58.05.10"</f>
        <v>S58.05.10</v>
      </c>
      <c r="M5549" s="7">
        <v>3053.89</v>
      </c>
      <c r="N5549" s="7">
        <v>498125082</v>
      </c>
      <c r="O5549" s="7">
        <v>373057865</v>
      </c>
      <c r="P5549" s="7">
        <v>0</v>
      </c>
      <c r="Q5549" s="7" t="str">
        <f t="shared" si="2034"/>
        <v>教育庁</v>
      </c>
      <c r="R5549" s="7" t="str">
        <f t="shared" si="2038"/>
        <v>福泉高等学校</v>
      </c>
    </row>
    <row r="5550" spans="1:18" s="1" customFormat="1" x14ac:dyDescent="0.45">
      <c r="A5550" s="7" t="str">
        <f t="shared" si="2035"/>
        <v>10452000500</v>
      </c>
      <c r="B5550" s="7" t="str">
        <f t="shared" si="2036"/>
        <v>福泉高等学校</v>
      </c>
      <c r="C5550" s="7" t="str">
        <f t="shared" si="2021"/>
        <v>行政財産</v>
      </c>
      <c r="D5550" s="7" t="str">
        <f t="shared" si="2015"/>
        <v>学校</v>
      </c>
      <c r="E5550" s="7" t="str">
        <f t="shared" si="2037"/>
        <v>大阪府堺市　西区太平寺</v>
      </c>
      <c r="F5550" s="7"/>
      <c r="G5550" s="7" t="str">
        <f t="shared" si="2027"/>
        <v>事業用資産</v>
      </c>
      <c r="H5550" s="7" t="str">
        <f t="shared" si="2020"/>
        <v>棚卸以外</v>
      </c>
      <c r="I5550" s="7">
        <v>5</v>
      </c>
      <c r="J5550" s="7" t="str">
        <f>"附属棟"</f>
        <v>附属棟</v>
      </c>
      <c r="K5550" s="7" t="str">
        <f>"鉄筋コンクリート造"</f>
        <v>鉄筋コンクリート造</v>
      </c>
      <c r="L5550" s="7" t="str">
        <f>"S59.03.26"</f>
        <v>S59.03.26</v>
      </c>
      <c r="M5550" s="7">
        <v>138</v>
      </c>
      <c r="N5550" s="7">
        <v>37816101</v>
      </c>
      <c r="O5550" s="7">
        <v>37714908</v>
      </c>
      <c r="P5550" s="7">
        <v>0</v>
      </c>
      <c r="Q5550" s="7" t="str">
        <f t="shared" si="2034"/>
        <v>教育庁</v>
      </c>
      <c r="R5550" s="7" t="str">
        <f t="shared" si="2038"/>
        <v>福泉高等学校</v>
      </c>
    </row>
    <row r="5551" spans="1:18" s="1" customFormat="1" x14ac:dyDescent="0.45">
      <c r="A5551" s="7" t="str">
        <f t="shared" si="2035"/>
        <v>10452000500</v>
      </c>
      <c r="B5551" s="7" t="str">
        <f t="shared" si="2036"/>
        <v>福泉高等学校</v>
      </c>
      <c r="C5551" s="7" t="str">
        <f t="shared" si="2021"/>
        <v>行政財産</v>
      </c>
      <c r="D5551" s="7" t="str">
        <f t="shared" si="2015"/>
        <v>学校</v>
      </c>
      <c r="E5551" s="7" t="str">
        <f t="shared" si="2037"/>
        <v>大阪府堺市　西区太平寺</v>
      </c>
      <c r="F5551" s="7"/>
      <c r="G5551" s="7" t="str">
        <f t="shared" si="2027"/>
        <v>事業用資産</v>
      </c>
      <c r="H5551" s="7" t="str">
        <f t="shared" si="2020"/>
        <v>棚卸以外</v>
      </c>
      <c r="I5551" s="7">
        <v>6</v>
      </c>
      <c r="J5551" s="7" t="str">
        <f>"倉庫"</f>
        <v>倉庫</v>
      </c>
      <c r="K5551" s="7" t="str">
        <f>"鉄骨造"</f>
        <v>鉄骨造</v>
      </c>
      <c r="L5551" s="7" t="str">
        <f>"S59.03.26"</f>
        <v>S59.03.26</v>
      </c>
      <c r="M5551" s="7">
        <v>50</v>
      </c>
      <c r="N5551" s="7">
        <v>4195000</v>
      </c>
      <c r="O5551" s="7">
        <v>4194999</v>
      </c>
      <c r="P5551" s="7">
        <v>0</v>
      </c>
      <c r="Q5551" s="7" t="str">
        <f t="shared" si="2034"/>
        <v>教育庁</v>
      </c>
      <c r="R5551" s="7" t="str">
        <f t="shared" si="2038"/>
        <v>福泉高等学校</v>
      </c>
    </row>
    <row r="5552" spans="1:18" s="1" customFormat="1" x14ac:dyDescent="0.45">
      <c r="A5552" s="7" t="str">
        <f t="shared" si="2035"/>
        <v>10452000500</v>
      </c>
      <c r="B5552" s="7" t="str">
        <f t="shared" si="2036"/>
        <v>福泉高等学校</v>
      </c>
      <c r="C5552" s="7" t="str">
        <f t="shared" si="2021"/>
        <v>行政財産</v>
      </c>
      <c r="D5552" s="7" t="str">
        <f t="shared" si="2015"/>
        <v>学校</v>
      </c>
      <c r="E5552" s="7" t="str">
        <f t="shared" si="2037"/>
        <v>大阪府堺市　西区太平寺</v>
      </c>
      <c r="F5552" s="7"/>
      <c r="G5552" s="7" t="str">
        <f t="shared" si="2027"/>
        <v>事業用資産</v>
      </c>
      <c r="H5552" s="7" t="str">
        <f t="shared" si="2020"/>
        <v>棚卸以外</v>
      </c>
      <c r="I5552" s="7">
        <v>7</v>
      </c>
      <c r="J5552" s="7" t="str">
        <f>"倉庫"</f>
        <v>倉庫</v>
      </c>
      <c r="K5552" s="7" t="str">
        <f>"鉄骨造"</f>
        <v>鉄骨造</v>
      </c>
      <c r="L5552" s="7" t="str">
        <f>"S61.02.07"</f>
        <v>S61.02.07</v>
      </c>
      <c r="M5552" s="7">
        <v>150</v>
      </c>
      <c r="N5552" s="7">
        <v>11331000</v>
      </c>
      <c r="O5552" s="7">
        <v>11330999</v>
      </c>
      <c r="P5552" s="7">
        <v>0</v>
      </c>
      <c r="Q5552" s="7" t="str">
        <f t="shared" si="2034"/>
        <v>教育庁</v>
      </c>
      <c r="R5552" s="7" t="str">
        <f t="shared" si="2038"/>
        <v>福泉高等学校</v>
      </c>
    </row>
    <row r="5553" spans="1:18" s="1" customFormat="1" x14ac:dyDescent="0.45">
      <c r="A5553" s="7" t="str">
        <f t="shared" ref="A5553:A5558" si="2039">"10453000500"</f>
        <v>10453000500</v>
      </c>
      <c r="B5553" s="7" t="str">
        <f t="shared" ref="B5553:B5558" si="2040">"堺上高校"</f>
        <v>堺上高校</v>
      </c>
      <c r="C5553" s="7" t="str">
        <f t="shared" si="2021"/>
        <v>行政財産</v>
      </c>
      <c r="D5553" s="7" t="str">
        <f t="shared" si="2015"/>
        <v>学校</v>
      </c>
      <c r="E5553" s="7" t="str">
        <f t="shared" ref="E5553:E5558" si="2041">"大阪府堺市　西区上"</f>
        <v>大阪府堺市　西区上</v>
      </c>
      <c r="F5553" s="7"/>
      <c r="G5553" s="7" t="str">
        <f t="shared" si="2027"/>
        <v>事業用資産</v>
      </c>
      <c r="H5553" s="7" t="str">
        <f t="shared" si="2020"/>
        <v>棚卸以外</v>
      </c>
      <c r="I5553" s="7">
        <v>1</v>
      </c>
      <c r="J5553" s="7" t="str">
        <f>"倉庫"</f>
        <v>倉庫</v>
      </c>
      <c r="K5553" s="7" t="str">
        <f>"鉄筋コンクリート造"</f>
        <v>鉄筋コンクリート造</v>
      </c>
      <c r="L5553" s="7" t="str">
        <f>"S59.03.26"</f>
        <v>S59.03.26</v>
      </c>
      <c r="M5553" s="7">
        <v>113.56</v>
      </c>
      <c r="N5553" s="7">
        <v>60134000</v>
      </c>
      <c r="O5553" s="7">
        <v>60133999</v>
      </c>
      <c r="P5553" s="7">
        <v>0</v>
      </c>
      <c r="Q5553" s="7" t="str">
        <f t="shared" si="2034"/>
        <v>教育庁</v>
      </c>
      <c r="R5553" s="7" t="str">
        <f t="shared" ref="R5553:R5558" si="2042">"堺上高等学校"</f>
        <v>堺上高等学校</v>
      </c>
    </row>
    <row r="5554" spans="1:18" s="1" customFormat="1" x14ac:dyDescent="0.45">
      <c r="A5554" s="7" t="str">
        <f t="shared" si="2039"/>
        <v>10453000500</v>
      </c>
      <c r="B5554" s="7" t="str">
        <f t="shared" si="2040"/>
        <v>堺上高校</v>
      </c>
      <c r="C5554" s="7" t="str">
        <f t="shared" si="2021"/>
        <v>行政財産</v>
      </c>
      <c r="D5554" s="7" t="str">
        <f t="shared" si="2015"/>
        <v>学校</v>
      </c>
      <c r="E5554" s="7" t="str">
        <f t="shared" si="2041"/>
        <v>大阪府堺市　西区上</v>
      </c>
      <c r="F5554" s="7"/>
      <c r="G5554" s="7" t="str">
        <f t="shared" si="2027"/>
        <v>事業用資産</v>
      </c>
      <c r="H5554" s="7" t="str">
        <f t="shared" si="2020"/>
        <v>棚卸以外</v>
      </c>
      <c r="I5554" s="7">
        <v>2</v>
      </c>
      <c r="J5554" s="7" t="str">
        <f>"校舎棟"</f>
        <v>校舎棟</v>
      </c>
      <c r="K5554" s="7" t="str">
        <f>"鉄筋コンクリート造"</f>
        <v>鉄筋コンクリート造</v>
      </c>
      <c r="L5554" s="7" t="str">
        <f>"S59.03.31"</f>
        <v>S59.03.31</v>
      </c>
      <c r="M5554" s="7">
        <v>10830.99</v>
      </c>
      <c r="N5554" s="7">
        <v>1676200453</v>
      </c>
      <c r="O5554" s="7">
        <v>1334182981</v>
      </c>
      <c r="P5554" s="7">
        <v>0</v>
      </c>
      <c r="Q5554" s="7" t="str">
        <f t="shared" si="2034"/>
        <v>教育庁</v>
      </c>
      <c r="R5554" s="7" t="str">
        <f t="shared" si="2042"/>
        <v>堺上高等学校</v>
      </c>
    </row>
    <row r="5555" spans="1:18" s="1" customFormat="1" x14ac:dyDescent="0.45">
      <c r="A5555" s="7" t="str">
        <f t="shared" si="2039"/>
        <v>10453000500</v>
      </c>
      <c r="B5555" s="7" t="str">
        <f t="shared" si="2040"/>
        <v>堺上高校</v>
      </c>
      <c r="C5555" s="7" t="str">
        <f t="shared" si="2021"/>
        <v>行政財産</v>
      </c>
      <c r="D5555" s="7" t="str">
        <f t="shared" si="2015"/>
        <v>学校</v>
      </c>
      <c r="E5555" s="7" t="str">
        <f t="shared" si="2041"/>
        <v>大阪府堺市　西区上</v>
      </c>
      <c r="F5555" s="7"/>
      <c r="G5555" s="7" t="str">
        <f t="shared" si="2027"/>
        <v>事業用資産</v>
      </c>
      <c r="H5555" s="7" t="str">
        <f t="shared" si="2020"/>
        <v>棚卸以外</v>
      </c>
      <c r="I5555" s="7">
        <v>3</v>
      </c>
      <c r="J5555" s="7" t="str">
        <f>"体育館"</f>
        <v>体育館</v>
      </c>
      <c r="K5555" s="7" t="str">
        <f>"鉄筋コンクリート造"</f>
        <v>鉄筋コンクリート造</v>
      </c>
      <c r="L5555" s="7" t="str">
        <f>"H28.09.23"</f>
        <v>H28.09.23</v>
      </c>
      <c r="M5555" s="7">
        <v>3031.67</v>
      </c>
      <c r="N5555" s="7">
        <v>597628565</v>
      </c>
      <c r="O5555" s="7">
        <v>393580116</v>
      </c>
      <c r="P5555" s="7">
        <v>0</v>
      </c>
      <c r="Q5555" s="7" t="str">
        <f t="shared" si="2034"/>
        <v>教育庁</v>
      </c>
      <c r="R5555" s="7" t="str">
        <f t="shared" si="2042"/>
        <v>堺上高等学校</v>
      </c>
    </row>
    <row r="5556" spans="1:18" s="1" customFormat="1" x14ac:dyDescent="0.45">
      <c r="A5556" s="7" t="str">
        <f t="shared" si="2039"/>
        <v>10453000500</v>
      </c>
      <c r="B5556" s="7" t="str">
        <f t="shared" si="2040"/>
        <v>堺上高校</v>
      </c>
      <c r="C5556" s="7" t="str">
        <f t="shared" si="2021"/>
        <v>行政財産</v>
      </c>
      <c r="D5556" s="7" t="str">
        <f t="shared" si="2015"/>
        <v>学校</v>
      </c>
      <c r="E5556" s="7" t="str">
        <f t="shared" si="2041"/>
        <v>大阪府堺市　西区上</v>
      </c>
      <c r="F5556" s="7"/>
      <c r="G5556" s="7" t="str">
        <f t="shared" si="2027"/>
        <v>事業用資産</v>
      </c>
      <c r="H5556" s="7" t="str">
        <f t="shared" si="2020"/>
        <v>棚卸以外</v>
      </c>
      <c r="I5556" s="7">
        <v>4</v>
      </c>
      <c r="J5556" s="7" t="str">
        <f>"プ－ル附属棟"</f>
        <v>プ－ル附属棟</v>
      </c>
      <c r="K5556" s="7" t="str">
        <f>"鉄筋コンクリート造"</f>
        <v>鉄筋コンクリート造</v>
      </c>
      <c r="L5556" s="7" t="str">
        <f>"S60.05.20"</f>
        <v>S60.05.20</v>
      </c>
      <c r="M5556" s="7">
        <v>138</v>
      </c>
      <c r="N5556" s="7">
        <v>58360246</v>
      </c>
      <c r="O5556" s="7">
        <v>57998490</v>
      </c>
      <c r="P5556" s="7">
        <v>0</v>
      </c>
      <c r="Q5556" s="7" t="str">
        <f t="shared" si="2034"/>
        <v>教育庁</v>
      </c>
      <c r="R5556" s="7" t="str">
        <f t="shared" si="2042"/>
        <v>堺上高等学校</v>
      </c>
    </row>
    <row r="5557" spans="1:18" s="1" customFormat="1" x14ac:dyDescent="0.45">
      <c r="A5557" s="7" t="str">
        <f t="shared" si="2039"/>
        <v>10453000500</v>
      </c>
      <c r="B5557" s="7" t="str">
        <f t="shared" si="2040"/>
        <v>堺上高校</v>
      </c>
      <c r="C5557" s="7" t="str">
        <f t="shared" si="2021"/>
        <v>行政財産</v>
      </c>
      <c r="D5557" s="7" t="str">
        <f t="shared" si="2015"/>
        <v>学校</v>
      </c>
      <c r="E5557" s="7" t="str">
        <f t="shared" si="2041"/>
        <v>大阪府堺市　西区上</v>
      </c>
      <c r="F5557" s="7"/>
      <c r="G5557" s="7" t="str">
        <f t="shared" si="2027"/>
        <v>事業用資産</v>
      </c>
      <c r="H5557" s="7" t="str">
        <f t="shared" si="2020"/>
        <v>棚卸以外</v>
      </c>
      <c r="I5557" s="7">
        <v>5</v>
      </c>
      <c r="J5557" s="7" t="str">
        <f>"倉庫"</f>
        <v>倉庫</v>
      </c>
      <c r="K5557" s="7" t="str">
        <f>"鉄骨造"</f>
        <v>鉄骨造</v>
      </c>
      <c r="L5557" s="7" t="str">
        <f>"S62.03.10"</f>
        <v>S62.03.10</v>
      </c>
      <c r="M5557" s="7">
        <v>50</v>
      </c>
      <c r="N5557" s="7">
        <v>5347000</v>
      </c>
      <c r="O5557" s="7">
        <v>5346999</v>
      </c>
      <c r="P5557" s="7">
        <v>0</v>
      </c>
      <c r="Q5557" s="7" t="str">
        <f t="shared" si="2034"/>
        <v>教育庁</v>
      </c>
      <c r="R5557" s="7" t="str">
        <f t="shared" si="2042"/>
        <v>堺上高等学校</v>
      </c>
    </row>
    <row r="5558" spans="1:18" s="1" customFormat="1" x14ac:dyDescent="0.45">
      <c r="A5558" s="7" t="str">
        <f t="shared" si="2039"/>
        <v>10453000500</v>
      </c>
      <c r="B5558" s="7" t="str">
        <f t="shared" si="2040"/>
        <v>堺上高校</v>
      </c>
      <c r="C5558" s="7" t="str">
        <f t="shared" si="2021"/>
        <v>行政財産</v>
      </c>
      <c r="D5558" s="7" t="str">
        <f t="shared" si="2015"/>
        <v>学校</v>
      </c>
      <c r="E5558" s="7" t="str">
        <f t="shared" si="2041"/>
        <v>大阪府堺市　西区上</v>
      </c>
      <c r="F5558" s="7"/>
      <c r="G5558" s="7" t="str">
        <f t="shared" si="2027"/>
        <v>事業用資産</v>
      </c>
      <c r="H5558" s="7" t="str">
        <f t="shared" si="2020"/>
        <v>棚卸以外</v>
      </c>
      <c r="I5558" s="7">
        <v>6</v>
      </c>
      <c r="J5558" s="7" t="str">
        <f>"倉庫"</f>
        <v>倉庫</v>
      </c>
      <c r="K5558" s="7" t="str">
        <f>"鉄骨造"</f>
        <v>鉄骨造</v>
      </c>
      <c r="L5558" s="7" t="str">
        <f>"S62.03.10"</f>
        <v>S62.03.10</v>
      </c>
      <c r="M5558" s="7">
        <v>150</v>
      </c>
      <c r="N5558" s="7">
        <v>14969000</v>
      </c>
      <c r="O5558" s="7">
        <v>14968999</v>
      </c>
      <c r="P5558" s="7">
        <v>0</v>
      </c>
      <c r="Q5558" s="7" t="str">
        <f t="shared" si="2034"/>
        <v>教育庁</v>
      </c>
      <c r="R5558" s="7" t="str">
        <f t="shared" si="2042"/>
        <v>堺上高等学校</v>
      </c>
    </row>
    <row r="5559" spans="1:18" s="1" customFormat="1" x14ac:dyDescent="0.45">
      <c r="A5559" s="7" t="str">
        <f t="shared" ref="A5559:A5577" si="2043">"10454000000"</f>
        <v>10454000000</v>
      </c>
      <c r="B5559" s="7" t="str">
        <f t="shared" ref="B5559:B5577" si="2044">"泉大津高等学校"</f>
        <v>泉大津高等学校</v>
      </c>
      <c r="C5559" s="7" t="str">
        <f t="shared" si="2021"/>
        <v>行政財産</v>
      </c>
      <c r="D5559" s="7" t="str">
        <f t="shared" si="2015"/>
        <v>学校</v>
      </c>
      <c r="E5559" s="7" t="str">
        <f t="shared" ref="E5559:E5577" si="2045">"大阪府泉大津市北豊中町１丁目"</f>
        <v>大阪府泉大津市北豊中町１丁目</v>
      </c>
      <c r="F5559" s="7"/>
      <c r="G5559" s="7" t="str">
        <f t="shared" si="2027"/>
        <v>事業用資産</v>
      </c>
      <c r="H5559" s="7" t="str">
        <f t="shared" si="2020"/>
        <v>棚卸以外</v>
      </c>
      <c r="I5559" s="7">
        <v>3</v>
      </c>
      <c r="J5559" s="7" t="str">
        <f>"本館"</f>
        <v>本館</v>
      </c>
      <c r="K5559" s="7" t="str">
        <f>"鉄筋コンクリート造"</f>
        <v>鉄筋コンクリート造</v>
      </c>
      <c r="L5559" s="7" t="str">
        <f>"S28.03.31"</f>
        <v>S28.03.31</v>
      </c>
      <c r="M5559" s="7">
        <v>1284.95</v>
      </c>
      <c r="N5559" s="7">
        <v>97563621</v>
      </c>
      <c r="O5559" s="7">
        <v>65948549</v>
      </c>
      <c r="P5559" s="7">
        <v>0</v>
      </c>
      <c r="Q5559" s="7" t="str">
        <f t="shared" si="2034"/>
        <v>教育庁</v>
      </c>
      <c r="R5559" s="7" t="str">
        <f t="shared" ref="R5559:R5577" si="2046">"泉大津高等学校"</f>
        <v>泉大津高等学校</v>
      </c>
    </row>
    <row r="5560" spans="1:18" s="1" customFormat="1" x14ac:dyDescent="0.45">
      <c r="A5560" s="7" t="str">
        <f t="shared" si="2043"/>
        <v>10454000000</v>
      </c>
      <c r="B5560" s="7" t="str">
        <f t="shared" si="2044"/>
        <v>泉大津高等学校</v>
      </c>
      <c r="C5560" s="7" t="str">
        <f t="shared" si="2021"/>
        <v>行政財産</v>
      </c>
      <c r="D5560" s="7" t="str">
        <f t="shared" si="2015"/>
        <v>学校</v>
      </c>
      <c r="E5560" s="7" t="str">
        <f t="shared" si="2045"/>
        <v>大阪府泉大津市北豊中町１丁目</v>
      </c>
      <c r="F5560" s="7"/>
      <c r="G5560" s="7" t="str">
        <f t="shared" si="2027"/>
        <v>事業用資産</v>
      </c>
      <c r="H5560" s="7" t="str">
        <f t="shared" si="2020"/>
        <v>棚卸以外</v>
      </c>
      <c r="I5560" s="7">
        <v>4</v>
      </c>
      <c r="J5560" s="7" t="str">
        <f>"新館"</f>
        <v>新館</v>
      </c>
      <c r="K5560" s="7" t="str">
        <f>"鉄筋コンクリート造"</f>
        <v>鉄筋コンクリート造</v>
      </c>
      <c r="L5560" s="7" t="str">
        <f>"S38.01.15"</f>
        <v>S38.01.15</v>
      </c>
      <c r="M5560" s="7">
        <v>1609.85</v>
      </c>
      <c r="N5560" s="7">
        <v>159790540</v>
      </c>
      <c r="O5560" s="7">
        <v>82793215</v>
      </c>
      <c r="P5560" s="7">
        <v>0</v>
      </c>
      <c r="Q5560" s="7" t="str">
        <f t="shared" si="2034"/>
        <v>教育庁</v>
      </c>
      <c r="R5560" s="7" t="str">
        <f t="shared" si="2046"/>
        <v>泉大津高等学校</v>
      </c>
    </row>
    <row r="5561" spans="1:18" s="1" customFormat="1" x14ac:dyDescent="0.45">
      <c r="A5561" s="7" t="str">
        <f t="shared" si="2043"/>
        <v>10454000000</v>
      </c>
      <c r="B5561" s="7" t="str">
        <f t="shared" si="2044"/>
        <v>泉大津高等学校</v>
      </c>
      <c r="C5561" s="7" t="str">
        <f t="shared" si="2021"/>
        <v>行政財産</v>
      </c>
      <c r="D5561" s="7" t="str">
        <f t="shared" ref="D5561:D5624" si="2047">"学校"</f>
        <v>学校</v>
      </c>
      <c r="E5561" s="7" t="str">
        <f t="shared" si="2045"/>
        <v>大阪府泉大津市北豊中町１丁目</v>
      </c>
      <c r="F5561" s="7"/>
      <c r="G5561" s="7" t="str">
        <f t="shared" si="2027"/>
        <v>事業用資産</v>
      </c>
      <c r="H5561" s="7" t="str">
        <f t="shared" si="2020"/>
        <v>棚卸以外</v>
      </c>
      <c r="I5561" s="7">
        <v>19</v>
      </c>
      <c r="J5561" s="7" t="str">
        <f>"女子更衣室"</f>
        <v>女子更衣室</v>
      </c>
      <c r="K5561" s="7" t="str">
        <f>"鉄骨造"</f>
        <v>鉄骨造</v>
      </c>
      <c r="L5561" s="7" t="str">
        <f>"S38.01.15"</f>
        <v>S38.01.15</v>
      </c>
      <c r="M5561" s="7">
        <v>60.66</v>
      </c>
      <c r="N5561" s="7">
        <v>1804000</v>
      </c>
      <c r="O5561" s="7">
        <v>1803999</v>
      </c>
      <c r="P5561" s="7">
        <v>0</v>
      </c>
      <c r="Q5561" s="7" t="str">
        <f t="shared" si="2034"/>
        <v>教育庁</v>
      </c>
      <c r="R5561" s="7" t="str">
        <f t="shared" si="2046"/>
        <v>泉大津高等学校</v>
      </c>
    </row>
    <row r="5562" spans="1:18" s="1" customFormat="1" x14ac:dyDescent="0.45">
      <c r="A5562" s="7" t="str">
        <f t="shared" si="2043"/>
        <v>10454000000</v>
      </c>
      <c r="B5562" s="7" t="str">
        <f t="shared" si="2044"/>
        <v>泉大津高等学校</v>
      </c>
      <c r="C5562" s="7" t="str">
        <f t="shared" si="2021"/>
        <v>行政財産</v>
      </c>
      <c r="D5562" s="7" t="str">
        <f t="shared" si="2047"/>
        <v>学校</v>
      </c>
      <c r="E5562" s="7" t="str">
        <f t="shared" si="2045"/>
        <v>大阪府泉大津市北豊中町１丁目</v>
      </c>
      <c r="F5562" s="7"/>
      <c r="G5562" s="7" t="str">
        <f t="shared" si="2027"/>
        <v>事業用資産</v>
      </c>
      <c r="H5562" s="7" t="str">
        <f t="shared" si="2020"/>
        <v>棚卸以外</v>
      </c>
      <c r="I5562" s="7">
        <v>32</v>
      </c>
      <c r="J5562" s="7" t="str">
        <f>"ポンプ室"</f>
        <v>ポンプ室</v>
      </c>
      <c r="K5562" s="7" t="str">
        <f t="shared" ref="K5562:K5570" si="2048">"鉄筋コンクリート造"</f>
        <v>鉄筋コンクリート造</v>
      </c>
      <c r="L5562" s="7" t="str">
        <f>"S38.01.15"</f>
        <v>S38.01.15</v>
      </c>
      <c r="M5562" s="7">
        <v>24</v>
      </c>
      <c r="N5562" s="7">
        <v>15722000</v>
      </c>
      <c r="O5562" s="7">
        <v>5171850</v>
      </c>
      <c r="P5562" s="7">
        <v>0</v>
      </c>
      <c r="Q5562" s="7" t="str">
        <f t="shared" si="2034"/>
        <v>教育庁</v>
      </c>
      <c r="R5562" s="7" t="str">
        <f t="shared" si="2046"/>
        <v>泉大津高等学校</v>
      </c>
    </row>
    <row r="5563" spans="1:18" s="1" customFormat="1" x14ac:dyDescent="0.45">
      <c r="A5563" s="7" t="str">
        <f t="shared" si="2043"/>
        <v>10454000000</v>
      </c>
      <c r="B5563" s="7" t="str">
        <f t="shared" si="2044"/>
        <v>泉大津高等学校</v>
      </c>
      <c r="C5563" s="7" t="str">
        <f t="shared" si="2021"/>
        <v>行政財産</v>
      </c>
      <c r="D5563" s="7" t="str">
        <f t="shared" si="2047"/>
        <v>学校</v>
      </c>
      <c r="E5563" s="7" t="str">
        <f t="shared" si="2045"/>
        <v>大阪府泉大津市北豊中町１丁目</v>
      </c>
      <c r="F5563" s="7"/>
      <c r="G5563" s="7" t="str">
        <f t="shared" si="2027"/>
        <v>事業用資産</v>
      </c>
      <c r="H5563" s="7" t="str">
        <f t="shared" si="2020"/>
        <v>棚卸以外</v>
      </c>
      <c r="I5563" s="7">
        <v>36</v>
      </c>
      <c r="J5563" s="7" t="str">
        <f>"校舎"</f>
        <v>校舎</v>
      </c>
      <c r="K5563" s="7" t="str">
        <f t="shared" si="2048"/>
        <v>鉄筋コンクリート造</v>
      </c>
      <c r="L5563" s="7" t="str">
        <f>"S40.03.20"</f>
        <v>S40.03.20</v>
      </c>
      <c r="M5563" s="7">
        <v>1027.6300000000001</v>
      </c>
      <c r="N5563" s="7">
        <v>77781807</v>
      </c>
      <c r="O5563" s="7">
        <v>44744498</v>
      </c>
      <c r="P5563" s="7">
        <v>0</v>
      </c>
      <c r="Q5563" s="7" t="str">
        <f t="shared" si="2034"/>
        <v>教育庁</v>
      </c>
      <c r="R5563" s="7" t="str">
        <f t="shared" si="2046"/>
        <v>泉大津高等学校</v>
      </c>
    </row>
    <row r="5564" spans="1:18" s="1" customFormat="1" x14ac:dyDescent="0.45">
      <c r="A5564" s="7" t="str">
        <f t="shared" si="2043"/>
        <v>10454000000</v>
      </c>
      <c r="B5564" s="7" t="str">
        <f t="shared" si="2044"/>
        <v>泉大津高等学校</v>
      </c>
      <c r="C5564" s="7" t="str">
        <f t="shared" si="2021"/>
        <v>行政財産</v>
      </c>
      <c r="D5564" s="7" t="str">
        <f t="shared" si="2047"/>
        <v>学校</v>
      </c>
      <c r="E5564" s="7" t="str">
        <f t="shared" si="2045"/>
        <v>大阪府泉大津市北豊中町１丁目</v>
      </c>
      <c r="F5564" s="7"/>
      <c r="G5564" s="7" t="str">
        <f t="shared" si="2027"/>
        <v>事業用資産</v>
      </c>
      <c r="H5564" s="7" t="str">
        <f t="shared" si="2020"/>
        <v>棚卸以外</v>
      </c>
      <c r="I5564" s="7">
        <v>37</v>
      </c>
      <c r="J5564" s="7" t="str">
        <f>"特別教室棟"</f>
        <v>特別教室棟</v>
      </c>
      <c r="K5564" s="7" t="str">
        <f t="shared" si="2048"/>
        <v>鉄筋コンクリート造</v>
      </c>
      <c r="L5564" s="7" t="str">
        <f>"S41.03.25"</f>
        <v>S41.03.25</v>
      </c>
      <c r="M5564" s="7">
        <v>759</v>
      </c>
      <c r="N5564" s="7">
        <v>60592005</v>
      </c>
      <c r="O5564" s="7">
        <v>42928682</v>
      </c>
      <c r="P5564" s="7">
        <v>0</v>
      </c>
      <c r="Q5564" s="7" t="str">
        <f t="shared" si="2034"/>
        <v>教育庁</v>
      </c>
      <c r="R5564" s="7" t="str">
        <f t="shared" si="2046"/>
        <v>泉大津高等学校</v>
      </c>
    </row>
    <row r="5565" spans="1:18" s="1" customFormat="1" x14ac:dyDescent="0.45">
      <c r="A5565" s="7" t="str">
        <f t="shared" si="2043"/>
        <v>10454000000</v>
      </c>
      <c r="B5565" s="7" t="str">
        <f t="shared" si="2044"/>
        <v>泉大津高等学校</v>
      </c>
      <c r="C5565" s="7" t="str">
        <f t="shared" si="2021"/>
        <v>行政財産</v>
      </c>
      <c r="D5565" s="7" t="str">
        <f t="shared" si="2047"/>
        <v>学校</v>
      </c>
      <c r="E5565" s="7" t="str">
        <f t="shared" si="2045"/>
        <v>大阪府泉大津市北豊中町１丁目</v>
      </c>
      <c r="F5565" s="7"/>
      <c r="G5565" s="7" t="str">
        <f t="shared" si="2027"/>
        <v>事業用資産</v>
      </c>
      <c r="H5565" s="7" t="str">
        <f t="shared" si="2020"/>
        <v>棚卸以外</v>
      </c>
      <c r="I5565" s="7">
        <v>38</v>
      </c>
      <c r="J5565" s="7" t="str">
        <f>"渡り廊下"</f>
        <v>渡り廊下</v>
      </c>
      <c r="K5565" s="7" t="str">
        <f t="shared" si="2048"/>
        <v>鉄筋コンクリート造</v>
      </c>
      <c r="L5565" s="7" t="str">
        <f>"S41.03.25"</f>
        <v>S41.03.25</v>
      </c>
      <c r="M5565" s="7">
        <v>114.01</v>
      </c>
      <c r="N5565" s="7">
        <v>3708965</v>
      </c>
      <c r="O5565" s="7">
        <v>3258794</v>
      </c>
      <c r="P5565" s="7">
        <v>0</v>
      </c>
      <c r="Q5565" s="7" t="str">
        <f t="shared" si="2034"/>
        <v>教育庁</v>
      </c>
      <c r="R5565" s="7" t="str">
        <f t="shared" si="2046"/>
        <v>泉大津高等学校</v>
      </c>
    </row>
    <row r="5566" spans="1:18" s="1" customFormat="1" x14ac:dyDescent="0.45">
      <c r="A5566" s="7" t="str">
        <f t="shared" si="2043"/>
        <v>10454000000</v>
      </c>
      <c r="B5566" s="7" t="str">
        <f t="shared" si="2044"/>
        <v>泉大津高等学校</v>
      </c>
      <c r="C5566" s="7" t="str">
        <f t="shared" si="2021"/>
        <v>行政財産</v>
      </c>
      <c r="D5566" s="7" t="str">
        <f t="shared" si="2047"/>
        <v>学校</v>
      </c>
      <c r="E5566" s="7" t="str">
        <f t="shared" si="2045"/>
        <v>大阪府泉大津市北豊中町１丁目</v>
      </c>
      <c r="F5566" s="7"/>
      <c r="G5566" s="7" t="str">
        <f t="shared" si="2027"/>
        <v>事業用資産</v>
      </c>
      <c r="H5566" s="7" t="str">
        <f t="shared" si="2020"/>
        <v>棚卸以外</v>
      </c>
      <c r="I5566" s="7">
        <v>48</v>
      </c>
      <c r="J5566" s="7" t="str">
        <f>"新館"</f>
        <v>新館</v>
      </c>
      <c r="K5566" s="7" t="str">
        <f t="shared" si="2048"/>
        <v>鉄筋コンクリート造</v>
      </c>
      <c r="L5566" s="7" t="str">
        <f>"S44.02.28"</f>
        <v>S44.02.28</v>
      </c>
      <c r="M5566" s="7">
        <v>1045.5899999999999</v>
      </c>
      <c r="N5566" s="7">
        <v>81055770</v>
      </c>
      <c r="O5566" s="7">
        <v>47423577</v>
      </c>
      <c r="P5566" s="7">
        <v>0</v>
      </c>
      <c r="Q5566" s="7" t="str">
        <f t="shared" si="2034"/>
        <v>教育庁</v>
      </c>
      <c r="R5566" s="7" t="str">
        <f t="shared" si="2046"/>
        <v>泉大津高等学校</v>
      </c>
    </row>
    <row r="5567" spans="1:18" s="1" customFormat="1" x14ac:dyDescent="0.45">
      <c r="A5567" s="7" t="str">
        <f t="shared" si="2043"/>
        <v>10454000000</v>
      </c>
      <c r="B5567" s="7" t="str">
        <f t="shared" si="2044"/>
        <v>泉大津高等学校</v>
      </c>
      <c r="C5567" s="7" t="str">
        <f t="shared" si="2021"/>
        <v>行政財産</v>
      </c>
      <c r="D5567" s="7" t="str">
        <f t="shared" si="2047"/>
        <v>学校</v>
      </c>
      <c r="E5567" s="7" t="str">
        <f t="shared" si="2045"/>
        <v>大阪府泉大津市北豊中町１丁目</v>
      </c>
      <c r="F5567" s="7"/>
      <c r="G5567" s="7" t="str">
        <f t="shared" si="2027"/>
        <v>事業用資産</v>
      </c>
      <c r="H5567" s="7" t="str">
        <f t="shared" si="2020"/>
        <v>棚卸以外</v>
      </c>
      <c r="I5567" s="7">
        <v>49</v>
      </c>
      <c r="J5567" s="7" t="str">
        <f>"特別教室棟"</f>
        <v>特別教室棟</v>
      </c>
      <c r="K5567" s="7" t="str">
        <f t="shared" si="2048"/>
        <v>鉄筋コンクリート造</v>
      </c>
      <c r="L5567" s="7" t="str">
        <f>"S45.03.20"</f>
        <v>S45.03.20</v>
      </c>
      <c r="M5567" s="7">
        <v>2065.66</v>
      </c>
      <c r="N5567" s="7">
        <v>162445711</v>
      </c>
      <c r="O5567" s="7">
        <v>100270408</v>
      </c>
      <c r="P5567" s="7">
        <v>0</v>
      </c>
      <c r="Q5567" s="7" t="str">
        <f t="shared" si="2034"/>
        <v>教育庁</v>
      </c>
      <c r="R5567" s="7" t="str">
        <f t="shared" si="2046"/>
        <v>泉大津高等学校</v>
      </c>
    </row>
    <row r="5568" spans="1:18" s="1" customFormat="1" x14ac:dyDescent="0.45">
      <c r="A5568" s="7" t="str">
        <f t="shared" si="2043"/>
        <v>10454000000</v>
      </c>
      <c r="B5568" s="7" t="str">
        <f t="shared" si="2044"/>
        <v>泉大津高等学校</v>
      </c>
      <c r="C5568" s="7" t="str">
        <f t="shared" si="2021"/>
        <v>行政財産</v>
      </c>
      <c r="D5568" s="7" t="str">
        <f t="shared" si="2047"/>
        <v>学校</v>
      </c>
      <c r="E5568" s="7" t="str">
        <f t="shared" si="2045"/>
        <v>大阪府泉大津市北豊中町１丁目</v>
      </c>
      <c r="F5568" s="7"/>
      <c r="G5568" s="7" t="str">
        <f t="shared" si="2027"/>
        <v>事業用資産</v>
      </c>
      <c r="H5568" s="7" t="str">
        <f t="shared" si="2020"/>
        <v>棚卸以外</v>
      </c>
      <c r="I5568" s="7">
        <v>50</v>
      </c>
      <c r="J5568" s="7" t="str">
        <f>"渡り廊下"</f>
        <v>渡り廊下</v>
      </c>
      <c r="K5568" s="7" t="str">
        <f t="shared" si="2048"/>
        <v>鉄筋コンクリート造</v>
      </c>
      <c r="L5568" s="7" t="str">
        <f>"S45.03.20"</f>
        <v>S45.03.20</v>
      </c>
      <c r="M5568" s="7">
        <v>225.99</v>
      </c>
      <c r="N5568" s="7">
        <v>9951329</v>
      </c>
      <c r="O5568" s="7">
        <v>8636582</v>
      </c>
      <c r="P5568" s="7">
        <v>0</v>
      </c>
      <c r="Q5568" s="7" t="str">
        <f t="shared" si="2034"/>
        <v>教育庁</v>
      </c>
      <c r="R5568" s="7" t="str">
        <f t="shared" si="2046"/>
        <v>泉大津高等学校</v>
      </c>
    </row>
    <row r="5569" spans="1:18" s="1" customFormat="1" x14ac:dyDescent="0.45">
      <c r="A5569" s="7" t="str">
        <f t="shared" si="2043"/>
        <v>10454000000</v>
      </c>
      <c r="B5569" s="7" t="str">
        <f t="shared" si="2044"/>
        <v>泉大津高等学校</v>
      </c>
      <c r="C5569" s="7" t="str">
        <f t="shared" si="2021"/>
        <v>行政財産</v>
      </c>
      <c r="D5569" s="7" t="str">
        <f t="shared" si="2047"/>
        <v>学校</v>
      </c>
      <c r="E5569" s="7" t="str">
        <f t="shared" si="2045"/>
        <v>大阪府泉大津市北豊中町１丁目</v>
      </c>
      <c r="F5569" s="7"/>
      <c r="G5569" s="7" t="str">
        <f t="shared" si="2027"/>
        <v>事業用資産</v>
      </c>
      <c r="H5569" s="7" t="str">
        <f t="shared" si="2020"/>
        <v>棚卸以外</v>
      </c>
      <c r="I5569" s="7">
        <v>52</v>
      </c>
      <c r="J5569" s="7" t="str">
        <f>"特別教室棟"</f>
        <v>特別教室棟</v>
      </c>
      <c r="K5569" s="7" t="str">
        <f t="shared" si="2048"/>
        <v>鉄筋コンクリート造</v>
      </c>
      <c r="L5569" s="7" t="str">
        <f>"S46.03.15"</f>
        <v>S46.03.15</v>
      </c>
      <c r="M5569" s="7">
        <v>595.27</v>
      </c>
      <c r="N5569" s="7">
        <v>56071790</v>
      </c>
      <c r="O5569" s="7">
        <v>34064210</v>
      </c>
      <c r="P5569" s="7">
        <v>0</v>
      </c>
      <c r="Q5569" s="7" t="str">
        <f t="shared" si="2034"/>
        <v>教育庁</v>
      </c>
      <c r="R5569" s="7" t="str">
        <f t="shared" si="2046"/>
        <v>泉大津高等学校</v>
      </c>
    </row>
    <row r="5570" spans="1:18" s="1" customFormat="1" x14ac:dyDescent="0.45">
      <c r="A5570" s="7" t="str">
        <f t="shared" si="2043"/>
        <v>10454000000</v>
      </c>
      <c r="B5570" s="7" t="str">
        <f t="shared" si="2044"/>
        <v>泉大津高等学校</v>
      </c>
      <c r="C5570" s="7" t="str">
        <f t="shared" si="2021"/>
        <v>行政財産</v>
      </c>
      <c r="D5570" s="7" t="str">
        <f t="shared" si="2047"/>
        <v>学校</v>
      </c>
      <c r="E5570" s="7" t="str">
        <f t="shared" si="2045"/>
        <v>大阪府泉大津市北豊中町１丁目</v>
      </c>
      <c r="F5570" s="7"/>
      <c r="G5570" s="7" t="str">
        <f t="shared" si="2027"/>
        <v>事業用資産</v>
      </c>
      <c r="H5570" s="7" t="str">
        <f t="shared" si="2020"/>
        <v>棚卸以外</v>
      </c>
      <c r="I5570" s="7">
        <v>53</v>
      </c>
      <c r="J5570" s="7" t="str">
        <f>"特別教室棟"</f>
        <v>特別教室棟</v>
      </c>
      <c r="K5570" s="7" t="str">
        <f t="shared" si="2048"/>
        <v>鉄筋コンクリート造</v>
      </c>
      <c r="L5570" s="7" t="str">
        <f>"S47.03.31"</f>
        <v>S47.03.31</v>
      </c>
      <c r="M5570" s="7">
        <v>692.01</v>
      </c>
      <c r="N5570" s="7">
        <v>77393017</v>
      </c>
      <c r="O5570" s="7">
        <v>53794866</v>
      </c>
      <c r="P5570" s="7">
        <v>0</v>
      </c>
      <c r="Q5570" s="7" t="str">
        <f t="shared" si="2034"/>
        <v>教育庁</v>
      </c>
      <c r="R5570" s="7" t="str">
        <f t="shared" si="2046"/>
        <v>泉大津高等学校</v>
      </c>
    </row>
    <row r="5571" spans="1:18" s="1" customFormat="1" x14ac:dyDescent="0.45">
      <c r="A5571" s="7" t="str">
        <f t="shared" si="2043"/>
        <v>10454000000</v>
      </c>
      <c r="B5571" s="7" t="str">
        <f t="shared" si="2044"/>
        <v>泉大津高等学校</v>
      </c>
      <c r="C5571" s="7" t="str">
        <f t="shared" si="2021"/>
        <v>行政財産</v>
      </c>
      <c r="D5571" s="7" t="str">
        <f t="shared" si="2047"/>
        <v>学校</v>
      </c>
      <c r="E5571" s="7" t="str">
        <f t="shared" si="2045"/>
        <v>大阪府泉大津市北豊中町１丁目</v>
      </c>
      <c r="F5571" s="7"/>
      <c r="G5571" s="7" t="str">
        <f t="shared" si="2027"/>
        <v>事業用資産</v>
      </c>
      <c r="H5571" s="7" t="str">
        <f t="shared" si="2020"/>
        <v>棚卸以外</v>
      </c>
      <c r="I5571" s="7">
        <v>56</v>
      </c>
      <c r="J5571" s="7" t="str">
        <f>"倉庫"</f>
        <v>倉庫</v>
      </c>
      <c r="K5571" s="7" t="str">
        <f>"コンクリートブロック造"</f>
        <v>コンクリートブロック造</v>
      </c>
      <c r="L5571" s="7" t="str">
        <f>"S47.03.31"</f>
        <v>S47.03.31</v>
      </c>
      <c r="M5571" s="7">
        <v>2.2799999999999998</v>
      </c>
      <c r="N5571" s="7">
        <v>67000</v>
      </c>
      <c r="O5571" s="7">
        <v>66999</v>
      </c>
      <c r="P5571" s="7">
        <v>0</v>
      </c>
      <c r="Q5571" s="7" t="str">
        <f t="shared" si="2034"/>
        <v>教育庁</v>
      </c>
      <c r="R5571" s="7" t="str">
        <f t="shared" si="2046"/>
        <v>泉大津高等学校</v>
      </c>
    </row>
    <row r="5572" spans="1:18" s="1" customFormat="1" x14ac:dyDescent="0.45">
      <c r="A5572" s="7" t="str">
        <f t="shared" si="2043"/>
        <v>10454000000</v>
      </c>
      <c r="B5572" s="7" t="str">
        <f t="shared" si="2044"/>
        <v>泉大津高等学校</v>
      </c>
      <c r="C5572" s="7" t="str">
        <f t="shared" si="2021"/>
        <v>行政財産</v>
      </c>
      <c r="D5572" s="7" t="str">
        <f t="shared" si="2047"/>
        <v>学校</v>
      </c>
      <c r="E5572" s="7" t="str">
        <f t="shared" si="2045"/>
        <v>大阪府泉大津市北豊中町１丁目</v>
      </c>
      <c r="F5572" s="7"/>
      <c r="G5572" s="7" t="str">
        <f t="shared" si="2027"/>
        <v>事業用資産</v>
      </c>
      <c r="H5572" s="7" t="str">
        <f t="shared" ref="H5572:H5635" si="2049">"棚卸以外"</f>
        <v>棚卸以外</v>
      </c>
      <c r="I5572" s="7">
        <v>58</v>
      </c>
      <c r="J5572" s="7" t="str">
        <f>"食堂棟"</f>
        <v>食堂棟</v>
      </c>
      <c r="K5572" s="7" t="str">
        <f>"鉄筋コンクリート造"</f>
        <v>鉄筋コンクリート造</v>
      </c>
      <c r="L5572" s="7" t="str">
        <f>"S48.12.15"</f>
        <v>S48.12.15</v>
      </c>
      <c r="M5572" s="7">
        <v>519.16999999999996</v>
      </c>
      <c r="N5572" s="7">
        <v>35741272</v>
      </c>
      <c r="O5572" s="7">
        <v>33472303</v>
      </c>
      <c r="P5572" s="7">
        <v>0</v>
      </c>
      <c r="Q5572" s="7" t="str">
        <f t="shared" si="2034"/>
        <v>教育庁</v>
      </c>
      <c r="R5572" s="7" t="str">
        <f t="shared" si="2046"/>
        <v>泉大津高等学校</v>
      </c>
    </row>
    <row r="5573" spans="1:18" s="1" customFormat="1" x14ac:dyDescent="0.45">
      <c r="A5573" s="7" t="str">
        <f t="shared" si="2043"/>
        <v>10454000000</v>
      </c>
      <c r="B5573" s="7" t="str">
        <f t="shared" si="2044"/>
        <v>泉大津高等学校</v>
      </c>
      <c r="C5573" s="7" t="str">
        <f t="shared" si="2021"/>
        <v>行政財産</v>
      </c>
      <c r="D5573" s="7" t="str">
        <f t="shared" si="2047"/>
        <v>学校</v>
      </c>
      <c r="E5573" s="7" t="str">
        <f t="shared" si="2045"/>
        <v>大阪府泉大津市北豊中町１丁目</v>
      </c>
      <c r="F5573" s="7"/>
      <c r="G5573" s="7" t="str">
        <f t="shared" si="2027"/>
        <v>事業用資産</v>
      </c>
      <c r="H5573" s="7" t="str">
        <f t="shared" si="2049"/>
        <v>棚卸以外</v>
      </c>
      <c r="I5573" s="7">
        <v>63</v>
      </c>
      <c r="J5573" s="7" t="str">
        <f>"体育館"</f>
        <v>体育館</v>
      </c>
      <c r="K5573" s="7" t="str">
        <f>"鉄筋コンクリート造"</f>
        <v>鉄筋コンクリート造</v>
      </c>
      <c r="L5573" s="7" t="str">
        <f>"S58.03.04"</f>
        <v>S58.03.04</v>
      </c>
      <c r="M5573" s="7">
        <v>3031.68</v>
      </c>
      <c r="N5573" s="7">
        <v>491841632</v>
      </c>
      <c r="O5573" s="7">
        <v>383457820</v>
      </c>
      <c r="P5573" s="7">
        <v>0</v>
      </c>
      <c r="Q5573" s="7" t="str">
        <f t="shared" si="2034"/>
        <v>教育庁</v>
      </c>
      <c r="R5573" s="7" t="str">
        <f t="shared" si="2046"/>
        <v>泉大津高等学校</v>
      </c>
    </row>
    <row r="5574" spans="1:18" s="1" customFormat="1" x14ac:dyDescent="0.45">
      <c r="A5574" s="7" t="str">
        <f t="shared" si="2043"/>
        <v>10454000000</v>
      </c>
      <c r="B5574" s="7" t="str">
        <f t="shared" si="2044"/>
        <v>泉大津高等学校</v>
      </c>
      <c r="C5574" s="7" t="str">
        <f t="shared" si="2021"/>
        <v>行政財産</v>
      </c>
      <c r="D5574" s="7" t="str">
        <f t="shared" si="2047"/>
        <v>学校</v>
      </c>
      <c r="E5574" s="7" t="str">
        <f t="shared" si="2045"/>
        <v>大阪府泉大津市北豊中町１丁目</v>
      </c>
      <c r="F5574" s="7"/>
      <c r="G5574" s="7" t="str">
        <f t="shared" si="2027"/>
        <v>事業用資産</v>
      </c>
      <c r="H5574" s="7" t="str">
        <f t="shared" si="2049"/>
        <v>棚卸以外</v>
      </c>
      <c r="I5574" s="7">
        <v>65</v>
      </c>
      <c r="J5574" s="7" t="str">
        <f>"西側教室棟"</f>
        <v>西側教室棟</v>
      </c>
      <c r="K5574" s="7" t="str">
        <f>"鉄筋コンクリート造"</f>
        <v>鉄筋コンクリート造</v>
      </c>
      <c r="L5574" s="7" t="str">
        <f>"S59.03.31"</f>
        <v>S59.03.31</v>
      </c>
      <c r="M5574" s="7">
        <v>843.57</v>
      </c>
      <c r="N5574" s="7">
        <v>140490410</v>
      </c>
      <c r="O5574" s="7">
        <v>113633407</v>
      </c>
      <c r="P5574" s="7">
        <v>0</v>
      </c>
      <c r="Q5574" s="7" t="str">
        <f t="shared" si="2034"/>
        <v>教育庁</v>
      </c>
      <c r="R5574" s="7" t="str">
        <f t="shared" si="2046"/>
        <v>泉大津高等学校</v>
      </c>
    </row>
    <row r="5575" spans="1:18" s="1" customFormat="1" x14ac:dyDescent="0.45">
      <c r="A5575" s="7" t="str">
        <f t="shared" si="2043"/>
        <v>10454000000</v>
      </c>
      <c r="B5575" s="7" t="str">
        <f t="shared" si="2044"/>
        <v>泉大津高等学校</v>
      </c>
      <c r="C5575" s="7" t="str">
        <f t="shared" si="2021"/>
        <v>行政財産</v>
      </c>
      <c r="D5575" s="7" t="str">
        <f t="shared" si="2047"/>
        <v>学校</v>
      </c>
      <c r="E5575" s="7" t="str">
        <f t="shared" si="2045"/>
        <v>大阪府泉大津市北豊中町１丁目</v>
      </c>
      <c r="F5575" s="7"/>
      <c r="G5575" s="7" t="str">
        <f t="shared" si="2027"/>
        <v>事業用資産</v>
      </c>
      <c r="H5575" s="7" t="str">
        <f t="shared" si="2049"/>
        <v>棚卸以外</v>
      </c>
      <c r="I5575" s="7">
        <v>66</v>
      </c>
      <c r="J5575" s="7" t="str">
        <f>"倉庫"</f>
        <v>倉庫</v>
      </c>
      <c r="K5575" s="7" t="str">
        <f>"鉄骨造"</f>
        <v>鉄骨造</v>
      </c>
      <c r="L5575" s="7" t="str">
        <f>"S60.03.30"</f>
        <v>S60.03.30</v>
      </c>
      <c r="M5575" s="7">
        <v>35.96</v>
      </c>
      <c r="N5575" s="7">
        <v>2082000</v>
      </c>
      <c r="O5575" s="7">
        <v>2081999</v>
      </c>
      <c r="P5575" s="7">
        <v>0</v>
      </c>
      <c r="Q5575" s="7" t="str">
        <f t="shared" si="2034"/>
        <v>教育庁</v>
      </c>
      <c r="R5575" s="7" t="str">
        <f t="shared" si="2046"/>
        <v>泉大津高等学校</v>
      </c>
    </row>
    <row r="5576" spans="1:18" s="1" customFormat="1" x14ac:dyDescent="0.45">
      <c r="A5576" s="7" t="str">
        <f t="shared" si="2043"/>
        <v>10454000000</v>
      </c>
      <c r="B5576" s="7" t="str">
        <f t="shared" si="2044"/>
        <v>泉大津高等学校</v>
      </c>
      <c r="C5576" s="7" t="str">
        <f t="shared" si="2021"/>
        <v>行政財産</v>
      </c>
      <c r="D5576" s="7" t="str">
        <f t="shared" si="2047"/>
        <v>学校</v>
      </c>
      <c r="E5576" s="7" t="str">
        <f t="shared" si="2045"/>
        <v>大阪府泉大津市北豊中町１丁目</v>
      </c>
      <c r="F5576" s="7"/>
      <c r="G5576" s="7" t="str">
        <f t="shared" si="2027"/>
        <v>事業用資産</v>
      </c>
      <c r="H5576" s="7" t="str">
        <f t="shared" si="2049"/>
        <v>棚卸以外</v>
      </c>
      <c r="I5576" s="7">
        <v>67</v>
      </c>
      <c r="J5576" s="7" t="str">
        <f>"倉庫"</f>
        <v>倉庫</v>
      </c>
      <c r="K5576" s="7" t="str">
        <f>"軽量鉄骨造"</f>
        <v>軽量鉄骨造</v>
      </c>
      <c r="L5576" s="7" t="str">
        <f>"S62.03.31"</f>
        <v>S62.03.31</v>
      </c>
      <c r="M5576" s="7">
        <v>251.25</v>
      </c>
      <c r="N5576" s="7">
        <v>19753123</v>
      </c>
      <c r="O5576" s="7">
        <v>19743863</v>
      </c>
      <c r="P5576" s="7">
        <v>0</v>
      </c>
      <c r="Q5576" s="7" t="str">
        <f t="shared" si="2034"/>
        <v>教育庁</v>
      </c>
      <c r="R5576" s="7" t="str">
        <f t="shared" si="2046"/>
        <v>泉大津高等学校</v>
      </c>
    </row>
    <row r="5577" spans="1:18" s="1" customFormat="1" x14ac:dyDescent="0.45">
      <c r="A5577" s="7" t="str">
        <f t="shared" si="2043"/>
        <v>10454000000</v>
      </c>
      <c r="B5577" s="7" t="str">
        <f t="shared" si="2044"/>
        <v>泉大津高等学校</v>
      </c>
      <c r="C5577" s="7" t="str">
        <f t="shared" si="2021"/>
        <v>行政財産</v>
      </c>
      <c r="D5577" s="7" t="str">
        <f t="shared" si="2047"/>
        <v>学校</v>
      </c>
      <c r="E5577" s="7" t="str">
        <f t="shared" si="2045"/>
        <v>大阪府泉大津市北豊中町１丁目</v>
      </c>
      <c r="F5577" s="7"/>
      <c r="G5577" s="7" t="str">
        <f t="shared" si="2027"/>
        <v>事業用資産</v>
      </c>
      <c r="H5577" s="7" t="str">
        <f t="shared" si="2049"/>
        <v>棚卸以外</v>
      </c>
      <c r="I5577" s="7">
        <v>68</v>
      </c>
      <c r="J5577" s="7" t="str">
        <f>"プール付属棟"</f>
        <v>プール付属棟</v>
      </c>
      <c r="K5577" s="7" t="str">
        <f>"鉄筋コンクリート造"</f>
        <v>鉄筋コンクリート造</v>
      </c>
      <c r="L5577" s="7" t="str">
        <f>"H06.03.31"</f>
        <v>H06.03.31</v>
      </c>
      <c r="M5577" s="7">
        <v>132</v>
      </c>
      <c r="N5577" s="7">
        <v>42744910</v>
      </c>
      <c r="O5577" s="7">
        <v>26227842</v>
      </c>
      <c r="P5577" s="7">
        <v>0</v>
      </c>
      <c r="Q5577" s="7" t="str">
        <f t="shared" si="2034"/>
        <v>教育庁</v>
      </c>
      <c r="R5577" s="7" t="str">
        <f t="shared" si="2046"/>
        <v>泉大津高等学校</v>
      </c>
    </row>
    <row r="5578" spans="1:18" s="1" customFormat="1" x14ac:dyDescent="0.45">
      <c r="A5578" s="7" t="str">
        <f t="shared" ref="A5578:A5583" si="2050">"10456000000"</f>
        <v>10456000000</v>
      </c>
      <c r="B5578" s="7" t="str">
        <f t="shared" ref="B5578:B5583" si="2051">"伯太高等学校"</f>
        <v>伯太高等学校</v>
      </c>
      <c r="C5578" s="7" t="str">
        <f t="shared" si="2021"/>
        <v>行政財産</v>
      </c>
      <c r="D5578" s="7" t="str">
        <f t="shared" si="2047"/>
        <v>学校</v>
      </c>
      <c r="E5578" s="7" t="str">
        <f t="shared" ref="E5578:E5583" si="2052">"大阪府和泉市伯太町２丁目"</f>
        <v>大阪府和泉市伯太町２丁目</v>
      </c>
      <c r="F5578" s="7"/>
      <c r="G5578" s="7" t="str">
        <f t="shared" si="2027"/>
        <v>事業用資産</v>
      </c>
      <c r="H5578" s="7" t="str">
        <f t="shared" si="2049"/>
        <v>棚卸以外</v>
      </c>
      <c r="I5578" s="7">
        <v>1</v>
      </c>
      <c r="J5578" s="7" t="str">
        <f>"教室棟"</f>
        <v>教室棟</v>
      </c>
      <c r="K5578" s="7" t="str">
        <f>"鉄筋コンクリート造"</f>
        <v>鉄筋コンクリート造</v>
      </c>
      <c r="L5578" s="7" t="str">
        <f>"S53.04.07"</f>
        <v>S53.04.07</v>
      </c>
      <c r="M5578" s="7">
        <v>10946.15</v>
      </c>
      <c r="N5578" s="7">
        <v>1410394329</v>
      </c>
      <c r="O5578" s="7">
        <v>1077032140</v>
      </c>
      <c r="P5578" s="7">
        <v>0</v>
      </c>
      <c r="Q5578" s="7" t="str">
        <f t="shared" si="2034"/>
        <v>教育庁</v>
      </c>
      <c r="R5578" s="7" t="str">
        <f t="shared" ref="R5578:R5583" si="2053">"伯太高等学校"</f>
        <v>伯太高等学校</v>
      </c>
    </row>
    <row r="5579" spans="1:18" s="1" customFormat="1" x14ac:dyDescent="0.45">
      <c r="A5579" s="7" t="str">
        <f t="shared" si="2050"/>
        <v>10456000000</v>
      </c>
      <c r="B5579" s="7" t="str">
        <f t="shared" si="2051"/>
        <v>伯太高等学校</v>
      </c>
      <c r="C5579" s="7" t="str">
        <f t="shared" si="2021"/>
        <v>行政財産</v>
      </c>
      <c r="D5579" s="7" t="str">
        <f t="shared" si="2047"/>
        <v>学校</v>
      </c>
      <c r="E5579" s="7" t="str">
        <f t="shared" si="2052"/>
        <v>大阪府和泉市伯太町２丁目</v>
      </c>
      <c r="F5579" s="7"/>
      <c r="G5579" s="7" t="str">
        <f t="shared" si="2027"/>
        <v>事業用資産</v>
      </c>
      <c r="H5579" s="7" t="str">
        <f t="shared" si="2049"/>
        <v>棚卸以外</v>
      </c>
      <c r="I5579" s="7">
        <v>3</v>
      </c>
      <c r="J5579" s="7" t="str">
        <f>"倉庫"</f>
        <v>倉庫</v>
      </c>
      <c r="K5579" s="7" t="str">
        <f>"鉄骨造"</f>
        <v>鉄骨造</v>
      </c>
      <c r="L5579" s="7" t="str">
        <f>"S54.06.13"</f>
        <v>S54.06.13</v>
      </c>
      <c r="M5579" s="7">
        <v>92</v>
      </c>
      <c r="N5579" s="7">
        <v>6786000</v>
      </c>
      <c r="O5579" s="7">
        <v>6785999</v>
      </c>
      <c r="P5579" s="7">
        <v>0</v>
      </c>
      <c r="Q5579" s="7" t="str">
        <f t="shared" si="2034"/>
        <v>教育庁</v>
      </c>
      <c r="R5579" s="7" t="str">
        <f t="shared" si="2053"/>
        <v>伯太高等学校</v>
      </c>
    </row>
    <row r="5580" spans="1:18" s="1" customFormat="1" x14ac:dyDescent="0.45">
      <c r="A5580" s="7" t="str">
        <f t="shared" si="2050"/>
        <v>10456000000</v>
      </c>
      <c r="B5580" s="7" t="str">
        <f t="shared" si="2051"/>
        <v>伯太高等学校</v>
      </c>
      <c r="C5580" s="7" t="str">
        <f t="shared" si="2021"/>
        <v>行政財産</v>
      </c>
      <c r="D5580" s="7" t="str">
        <f t="shared" si="2047"/>
        <v>学校</v>
      </c>
      <c r="E5580" s="7" t="str">
        <f t="shared" si="2052"/>
        <v>大阪府和泉市伯太町２丁目</v>
      </c>
      <c r="F5580" s="7"/>
      <c r="G5580" s="7" t="str">
        <f t="shared" si="2027"/>
        <v>事業用資産</v>
      </c>
      <c r="H5580" s="7" t="str">
        <f t="shared" si="2049"/>
        <v>棚卸以外</v>
      </c>
      <c r="I5580" s="7">
        <v>4</v>
      </c>
      <c r="J5580" s="7" t="str">
        <f>"プール附属棟"</f>
        <v>プール附属棟</v>
      </c>
      <c r="K5580" s="7" t="str">
        <f>"鉄筋コンクリート造"</f>
        <v>鉄筋コンクリート造</v>
      </c>
      <c r="L5580" s="7" t="str">
        <f>"S54.06.13"</f>
        <v>S54.06.13</v>
      </c>
      <c r="M5580" s="7">
        <v>138</v>
      </c>
      <c r="N5580" s="7">
        <v>29396750</v>
      </c>
      <c r="O5580" s="7">
        <v>29298395</v>
      </c>
      <c r="P5580" s="7">
        <v>0</v>
      </c>
      <c r="Q5580" s="7" t="str">
        <f t="shared" si="2034"/>
        <v>教育庁</v>
      </c>
      <c r="R5580" s="7" t="str">
        <f t="shared" si="2053"/>
        <v>伯太高等学校</v>
      </c>
    </row>
    <row r="5581" spans="1:18" s="1" customFormat="1" x14ac:dyDescent="0.45">
      <c r="A5581" s="7" t="str">
        <f t="shared" si="2050"/>
        <v>10456000000</v>
      </c>
      <c r="B5581" s="7" t="str">
        <f t="shared" si="2051"/>
        <v>伯太高等学校</v>
      </c>
      <c r="C5581" s="7" t="str">
        <f t="shared" ref="C5581:C5644" si="2054">"行政財産"</f>
        <v>行政財産</v>
      </c>
      <c r="D5581" s="7" t="str">
        <f t="shared" si="2047"/>
        <v>学校</v>
      </c>
      <c r="E5581" s="7" t="str">
        <f t="shared" si="2052"/>
        <v>大阪府和泉市伯太町２丁目</v>
      </c>
      <c r="F5581" s="7"/>
      <c r="G5581" s="7" t="str">
        <f t="shared" si="2027"/>
        <v>事業用資産</v>
      </c>
      <c r="H5581" s="7" t="str">
        <f t="shared" si="2049"/>
        <v>棚卸以外</v>
      </c>
      <c r="I5581" s="7">
        <v>5</v>
      </c>
      <c r="J5581" s="7" t="str">
        <f>"体育館"</f>
        <v>体育館</v>
      </c>
      <c r="K5581" s="7" t="str">
        <f>"鉄筋コンクリート造"</f>
        <v>鉄筋コンクリート造</v>
      </c>
      <c r="L5581" s="7" t="str">
        <f>"S54.09.11"</f>
        <v>S54.09.11</v>
      </c>
      <c r="M5581" s="7">
        <v>3053.89</v>
      </c>
      <c r="N5581" s="7">
        <v>407332999</v>
      </c>
      <c r="O5581" s="7">
        <v>319115302</v>
      </c>
      <c r="P5581" s="7">
        <v>0</v>
      </c>
      <c r="Q5581" s="7" t="str">
        <f t="shared" si="2034"/>
        <v>教育庁</v>
      </c>
      <c r="R5581" s="7" t="str">
        <f t="shared" si="2053"/>
        <v>伯太高等学校</v>
      </c>
    </row>
    <row r="5582" spans="1:18" s="1" customFormat="1" x14ac:dyDescent="0.45">
      <c r="A5582" s="7" t="str">
        <f t="shared" si="2050"/>
        <v>10456000000</v>
      </c>
      <c r="B5582" s="7" t="str">
        <f t="shared" si="2051"/>
        <v>伯太高等学校</v>
      </c>
      <c r="C5582" s="7" t="str">
        <f t="shared" si="2054"/>
        <v>行政財産</v>
      </c>
      <c r="D5582" s="7" t="str">
        <f t="shared" si="2047"/>
        <v>学校</v>
      </c>
      <c r="E5582" s="7" t="str">
        <f t="shared" si="2052"/>
        <v>大阪府和泉市伯太町２丁目</v>
      </c>
      <c r="F5582" s="7"/>
      <c r="G5582" s="7" t="str">
        <f t="shared" si="2027"/>
        <v>事業用資産</v>
      </c>
      <c r="H5582" s="7" t="str">
        <f t="shared" si="2049"/>
        <v>棚卸以外</v>
      </c>
      <c r="I5582" s="7">
        <v>6</v>
      </c>
      <c r="J5582" s="7" t="str">
        <f>"倉庫"</f>
        <v>倉庫</v>
      </c>
      <c r="K5582" s="7" t="str">
        <f>"鉄骨造"</f>
        <v>鉄骨造</v>
      </c>
      <c r="L5582" s="7" t="str">
        <f>"S55.08.17"</f>
        <v>S55.08.17</v>
      </c>
      <c r="M5582" s="7">
        <v>128.69999999999999</v>
      </c>
      <c r="N5582" s="7">
        <v>7800000</v>
      </c>
      <c r="O5582" s="7">
        <v>7799999</v>
      </c>
      <c r="P5582" s="7">
        <v>0</v>
      </c>
      <c r="Q5582" s="7" t="str">
        <f t="shared" si="2034"/>
        <v>教育庁</v>
      </c>
      <c r="R5582" s="7" t="str">
        <f t="shared" si="2053"/>
        <v>伯太高等学校</v>
      </c>
    </row>
    <row r="5583" spans="1:18" s="1" customFormat="1" x14ac:dyDescent="0.45">
      <c r="A5583" s="7" t="str">
        <f t="shared" si="2050"/>
        <v>10456000000</v>
      </c>
      <c r="B5583" s="7" t="str">
        <f t="shared" si="2051"/>
        <v>伯太高等学校</v>
      </c>
      <c r="C5583" s="7" t="str">
        <f t="shared" si="2054"/>
        <v>行政財産</v>
      </c>
      <c r="D5583" s="7" t="str">
        <f t="shared" si="2047"/>
        <v>学校</v>
      </c>
      <c r="E5583" s="7" t="str">
        <f t="shared" si="2052"/>
        <v>大阪府和泉市伯太町２丁目</v>
      </c>
      <c r="F5583" s="7"/>
      <c r="G5583" s="7" t="str">
        <f t="shared" si="2027"/>
        <v>事業用資産</v>
      </c>
      <c r="H5583" s="7" t="str">
        <f t="shared" si="2049"/>
        <v>棚卸以外</v>
      </c>
      <c r="I5583" s="7">
        <v>7</v>
      </c>
      <c r="J5583" s="7" t="str">
        <f>"屋外便所"</f>
        <v>屋外便所</v>
      </c>
      <c r="K5583" s="7" t="str">
        <f>"鉄筋コンクリート造"</f>
        <v>鉄筋コンクリート造</v>
      </c>
      <c r="L5583" s="7" t="str">
        <f>"S56.05.30"</f>
        <v>S56.05.30</v>
      </c>
      <c r="M5583" s="7">
        <v>23.2</v>
      </c>
      <c r="N5583" s="7">
        <v>5663400</v>
      </c>
      <c r="O5583" s="7">
        <v>5584717</v>
      </c>
      <c r="P5583" s="7">
        <v>0</v>
      </c>
      <c r="Q5583" s="7" t="str">
        <f t="shared" si="2034"/>
        <v>教育庁</v>
      </c>
      <c r="R5583" s="7" t="str">
        <f t="shared" si="2053"/>
        <v>伯太高等学校</v>
      </c>
    </row>
    <row r="5584" spans="1:18" s="1" customFormat="1" x14ac:dyDescent="0.45">
      <c r="A5584" s="7" t="str">
        <f>"10457000500"</f>
        <v>10457000500</v>
      </c>
      <c r="B5584" s="7" t="str">
        <f>"信太高等学校"</f>
        <v>信太高等学校</v>
      </c>
      <c r="C5584" s="7" t="str">
        <f t="shared" si="2054"/>
        <v>行政財産</v>
      </c>
      <c r="D5584" s="7" t="str">
        <f t="shared" si="2047"/>
        <v>学校</v>
      </c>
      <c r="E5584" s="7" t="str">
        <f>"大阪府和泉市葛の葉町"</f>
        <v>大阪府和泉市葛の葉町</v>
      </c>
      <c r="F5584" s="7"/>
      <c r="G5584" s="7" t="str">
        <f t="shared" si="2027"/>
        <v>事業用資産</v>
      </c>
      <c r="H5584" s="7" t="str">
        <f t="shared" si="2049"/>
        <v>棚卸以外</v>
      </c>
      <c r="I5584" s="7">
        <v>1</v>
      </c>
      <c r="J5584" s="7" t="str">
        <f>"校舎棟"</f>
        <v>校舎棟</v>
      </c>
      <c r="K5584" s="7" t="str">
        <f>"鉄筋コンクリート造"</f>
        <v>鉄筋コンクリート造</v>
      </c>
      <c r="L5584" s="7" t="str">
        <f>"S58.03.31"</f>
        <v>S58.03.31</v>
      </c>
      <c r="M5584" s="7">
        <v>10942.93</v>
      </c>
      <c r="N5584" s="7">
        <v>1553539765</v>
      </c>
      <c r="O5584" s="7">
        <v>1279279804</v>
      </c>
      <c r="P5584" s="7">
        <v>0</v>
      </c>
      <c r="Q5584" s="7" t="str">
        <f t="shared" si="2034"/>
        <v>教育庁</v>
      </c>
      <c r="R5584" s="7" t="str">
        <f>"信太高等学校"</f>
        <v>信太高等学校</v>
      </c>
    </row>
    <row r="5585" spans="1:18" s="1" customFormat="1" x14ac:dyDescent="0.45">
      <c r="A5585" s="7" t="str">
        <f>"10457000500"</f>
        <v>10457000500</v>
      </c>
      <c r="B5585" s="7" t="str">
        <f>"信太高等学校"</f>
        <v>信太高等学校</v>
      </c>
      <c r="C5585" s="7" t="str">
        <f t="shared" si="2054"/>
        <v>行政財産</v>
      </c>
      <c r="D5585" s="7" t="str">
        <f t="shared" si="2047"/>
        <v>学校</v>
      </c>
      <c r="E5585" s="7" t="str">
        <f>"大阪府和泉市葛の葉町"</f>
        <v>大阪府和泉市葛の葉町</v>
      </c>
      <c r="F5585" s="7"/>
      <c r="G5585" s="7" t="str">
        <f t="shared" si="2027"/>
        <v>事業用資産</v>
      </c>
      <c r="H5585" s="7" t="str">
        <f t="shared" si="2049"/>
        <v>棚卸以外</v>
      </c>
      <c r="I5585" s="7">
        <v>2</v>
      </c>
      <c r="J5585" s="7" t="str">
        <f>"体育館"</f>
        <v>体育館</v>
      </c>
      <c r="K5585" s="7" t="str">
        <f>"鉄筋コンクリート造"</f>
        <v>鉄筋コンクリート造</v>
      </c>
      <c r="L5585" s="7" t="str">
        <f>"S58.12.27"</f>
        <v>S58.12.27</v>
      </c>
      <c r="M5585" s="7">
        <v>3132.72</v>
      </c>
      <c r="N5585" s="7">
        <v>514323195</v>
      </c>
      <c r="O5585" s="7">
        <v>368171637</v>
      </c>
      <c r="P5585" s="7">
        <v>0</v>
      </c>
      <c r="Q5585" s="7" t="str">
        <f t="shared" si="2034"/>
        <v>教育庁</v>
      </c>
      <c r="R5585" s="7" t="str">
        <f>"信太高等学校"</f>
        <v>信太高等学校</v>
      </c>
    </row>
    <row r="5586" spans="1:18" s="1" customFormat="1" x14ac:dyDescent="0.45">
      <c r="A5586" s="7" t="str">
        <f>"10457000500"</f>
        <v>10457000500</v>
      </c>
      <c r="B5586" s="7" t="str">
        <f>"信太高等学校"</f>
        <v>信太高等学校</v>
      </c>
      <c r="C5586" s="7" t="str">
        <f t="shared" si="2054"/>
        <v>行政財産</v>
      </c>
      <c r="D5586" s="7" t="str">
        <f t="shared" si="2047"/>
        <v>学校</v>
      </c>
      <c r="E5586" s="7" t="str">
        <f>"大阪府和泉市葛の葉町"</f>
        <v>大阪府和泉市葛の葉町</v>
      </c>
      <c r="F5586" s="7"/>
      <c r="G5586" s="7" t="str">
        <f t="shared" si="2027"/>
        <v>事業用資産</v>
      </c>
      <c r="H5586" s="7" t="str">
        <f t="shared" si="2049"/>
        <v>棚卸以外</v>
      </c>
      <c r="I5586" s="7">
        <v>3</v>
      </c>
      <c r="J5586" s="7" t="str">
        <f>"倉庫"</f>
        <v>倉庫</v>
      </c>
      <c r="K5586" s="7" t="str">
        <f>"鉄骨造"</f>
        <v>鉄骨造</v>
      </c>
      <c r="L5586" s="7" t="str">
        <f>"S59.01.31"</f>
        <v>S59.01.31</v>
      </c>
      <c r="M5586" s="7">
        <v>101.25</v>
      </c>
      <c r="N5586" s="7">
        <v>9000000</v>
      </c>
      <c r="O5586" s="7">
        <v>8999999</v>
      </c>
      <c r="P5586" s="7">
        <v>0</v>
      </c>
      <c r="Q5586" s="7" t="str">
        <f t="shared" si="2034"/>
        <v>教育庁</v>
      </c>
      <c r="R5586" s="7" t="str">
        <f>"信太高等学校"</f>
        <v>信太高等学校</v>
      </c>
    </row>
    <row r="5587" spans="1:18" s="1" customFormat="1" x14ac:dyDescent="0.45">
      <c r="A5587" s="7" t="str">
        <f>"10457000500"</f>
        <v>10457000500</v>
      </c>
      <c r="B5587" s="7" t="str">
        <f>"信太高等学校"</f>
        <v>信太高等学校</v>
      </c>
      <c r="C5587" s="7" t="str">
        <f t="shared" si="2054"/>
        <v>行政財産</v>
      </c>
      <c r="D5587" s="7" t="str">
        <f t="shared" si="2047"/>
        <v>学校</v>
      </c>
      <c r="E5587" s="7" t="str">
        <f>"大阪府和泉市葛の葉町"</f>
        <v>大阪府和泉市葛の葉町</v>
      </c>
      <c r="F5587" s="7"/>
      <c r="G5587" s="7" t="str">
        <f t="shared" si="2027"/>
        <v>事業用資産</v>
      </c>
      <c r="H5587" s="7" t="str">
        <f t="shared" si="2049"/>
        <v>棚卸以外</v>
      </c>
      <c r="I5587" s="7">
        <v>4</v>
      </c>
      <c r="J5587" s="7" t="str">
        <f>"体育倉庫"</f>
        <v>体育倉庫</v>
      </c>
      <c r="K5587" s="7" t="str">
        <f>"鉄骨造"</f>
        <v>鉄骨造</v>
      </c>
      <c r="L5587" s="7" t="str">
        <f>"S59.03.31"</f>
        <v>S59.03.31</v>
      </c>
      <c r="M5587" s="7">
        <v>101.25</v>
      </c>
      <c r="N5587" s="7">
        <v>9197000</v>
      </c>
      <c r="O5587" s="7">
        <v>9196999</v>
      </c>
      <c r="P5587" s="7">
        <v>0</v>
      </c>
      <c r="Q5587" s="7" t="str">
        <f t="shared" si="2034"/>
        <v>教育庁</v>
      </c>
      <c r="R5587" s="7" t="str">
        <f>"信太高等学校"</f>
        <v>信太高等学校</v>
      </c>
    </row>
    <row r="5588" spans="1:18" s="1" customFormat="1" x14ac:dyDescent="0.45">
      <c r="A5588" s="7" t="str">
        <f>"10457000500"</f>
        <v>10457000500</v>
      </c>
      <c r="B5588" s="7" t="str">
        <f>"信太高等学校"</f>
        <v>信太高等学校</v>
      </c>
      <c r="C5588" s="7" t="str">
        <f t="shared" si="2054"/>
        <v>行政財産</v>
      </c>
      <c r="D5588" s="7" t="str">
        <f t="shared" si="2047"/>
        <v>学校</v>
      </c>
      <c r="E5588" s="7" t="str">
        <f>"大阪府和泉市葛の葉町"</f>
        <v>大阪府和泉市葛の葉町</v>
      </c>
      <c r="F5588" s="7"/>
      <c r="G5588" s="7" t="str">
        <f t="shared" si="2027"/>
        <v>事業用資産</v>
      </c>
      <c r="H5588" s="7" t="str">
        <f t="shared" si="2049"/>
        <v>棚卸以外</v>
      </c>
      <c r="I5588" s="7">
        <v>5</v>
      </c>
      <c r="J5588" s="7" t="str">
        <f>"プール附属棟"</f>
        <v>プール附属棟</v>
      </c>
      <c r="K5588" s="7" t="str">
        <f>"鉄筋コンクリート造"</f>
        <v>鉄筋コンクリート造</v>
      </c>
      <c r="L5588" s="7" t="str">
        <f>"S59.03.31"</f>
        <v>S59.03.31</v>
      </c>
      <c r="M5588" s="7">
        <v>138</v>
      </c>
      <c r="N5588" s="7">
        <v>42158000</v>
      </c>
      <c r="O5588" s="7">
        <v>42157999</v>
      </c>
      <c r="P5588" s="7">
        <v>0</v>
      </c>
      <c r="Q5588" s="7" t="str">
        <f t="shared" si="2034"/>
        <v>教育庁</v>
      </c>
      <c r="R5588" s="7" t="str">
        <f>"信太高等学校"</f>
        <v>信太高等学校</v>
      </c>
    </row>
    <row r="5589" spans="1:18" s="1" customFormat="1" x14ac:dyDescent="0.45">
      <c r="A5589" s="7" t="str">
        <f t="shared" ref="A5589:A5595" si="2055">"10458000010"</f>
        <v>10458000010</v>
      </c>
      <c r="B5589" s="7" t="str">
        <f t="shared" ref="B5589:B5595" si="2056">"高石高等学校"</f>
        <v>高石高等学校</v>
      </c>
      <c r="C5589" s="7" t="str">
        <f t="shared" si="2054"/>
        <v>行政財産</v>
      </c>
      <c r="D5589" s="7" t="str">
        <f t="shared" si="2047"/>
        <v>学校</v>
      </c>
      <c r="E5589" s="7" t="str">
        <f t="shared" ref="E5589:E5595" si="2057">"大阪府高石市千代田６丁目"</f>
        <v>大阪府高石市千代田６丁目</v>
      </c>
      <c r="F5589" s="7"/>
      <c r="G5589" s="7" t="str">
        <f t="shared" si="2027"/>
        <v>事業用資産</v>
      </c>
      <c r="H5589" s="7" t="str">
        <f t="shared" si="2049"/>
        <v>棚卸以外</v>
      </c>
      <c r="I5589" s="7">
        <v>1</v>
      </c>
      <c r="J5589" s="7" t="str">
        <f>"本館"</f>
        <v>本館</v>
      </c>
      <c r="K5589" s="7" t="str">
        <f>"鉄骨造"</f>
        <v>鉄骨造</v>
      </c>
      <c r="L5589" s="7" t="str">
        <f>"S52.02.28"</f>
        <v>S52.02.28</v>
      </c>
      <c r="M5589" s="7">
        <v>11302.76</v>
      </c>
      <c r="N5589" s="7">
        <v>1300729763</v>
      </c>
      <c r="O5589" s="7">
        <v>1186624461</v>
      </c>
      <c r="P5589" s="7">
        <v>0</v>
      </c>
      <c r="Q5589" s="7" t="str">
        <f t="shared" si="2034"/>
        <v>教育庁</v>
      </c>
      <c r="R5589" s="7" t="str">
        <f t="shared" ref="R5589:R5595" si="2058">"高石高等学校"</f>
        <v>高石高等学校</v>
      </c>
    </row>
    <row r="5590" spans="1:18" s="1" customFormat="1" x14ac:dyDescent="0.45">
      <c r="A5590" s="7" t="str">
        <f t="shared" si="2055"/>
        <v>10458000010</v>
      </c>
      <c r="B5590" s="7" t="str">
        <f t="shared" si="2056"/>
        <v>高石高等学校</v>
      </c>
      <c r="C5590" s="7" t="str">
        <f t="shared" si="2054"/>
        <v>行政財産</v>
      </c>
      <c r="D5590" s="7" t="str">
        <f t="shared" si="2047"/>
        <v>学校</v>
      </c>
      <c r="E5590" s="7" t="str">
        <f t="shared" si="2057"/>
        <v>大阪府高石市千代田６丁目</v>
      </c>
      <c r="F5590" s="7"/>
      <c r="G5590" s="7" t="str">
        <f t="shared" si="2027"/>
        <v>事業用資産</v>
      </c>
      <c r="H5590" s="7" t="str">
        <f t="shared" si="2049"/>
        <v>棚卸以外</v>
      </c>
      <c r="I5590" s="7">
        <v>2</v>
      </c>
      <c r="J5590" s="7" t="str">
        <f>"倉庫"</f>
        <v>倉庫</v>
      </c>
      <c r="K5590" s="7" t="str">
        <f>"鉄骨造"</f>
        <v>鉄骨造</v>
      </c>
      <c r="L5590" s="7" t="str">
        <f>"S52.03.15"</f>
        <v>S52.03.15</v>
      </c>
      <c r="M5590" s="7">
        <v>100</v>
      </c>
      <c r="N5590" s="7">
        <v>5250000</v>
      </c>
      <c r="O5590" s="7">
        <v>5249999</v>
      </c>
      <c r="P5590" s="7">
        <v>0</v>
      </c>
      <c r="Q5590" s="7" t="str">
        <f t="shared" si="2034"/>
        <v>教育庁</v>
      </c>
      <c r="R5590" s="7" t="str">
        <f t="shared" si="2058"/>
        <v>高石高等学校</v>
      </c>
    </row>
    <row r="5591" spans="1:18" s="1" customFormat="1" x14ac:dyDescent="0.45">
      <c r="A5591" s="7" t="str">
        <f t="shared" si="2055"/>
        <v>10458000010</v>
      </c>
      <c r="B5591" s="7" t="str">
        <f t="shared" si="2056"/>
        <v>高石高等学校</v>
      </c>
      <c r="C5591" s="7" t="str">
        <f t="shared" si="2054"/>
        <v>行政財産</v>
      </c>
      <c r="D5591" s="7" t="str">
        <f t="shared" si="2047"/>
        <v>学校</v>
      </c>
      <c r="E5591" s="7" t="str">
        <f t="shared" si="2057"/>
        <v>大阪府高石市千代田６丁目</v>
      </c>
      <c r="F5591" s="7"/>
      <c r="G5591" s="7" t="str">
        <f t="shared" ref="G5591:G5654" si="2059">"事業用資産"</f>
        <v>事業用資産</v>
      </c>
      <c r="H5591" s="7" t="str">
        <f t="shared" si="2049"/>
        <v>棚卸以外</v>
      </c>
      <c r="I5591" s="7">
        <v>6</v>
      </c>
      <c r="J5591" s="7" t="str">
        <f>"プール附属棟"</f>
        <v>プール附属棟</v>
      </c>
      <c r="K5591" s="7" t="str">
        <f>"鉄筋コンクリート造"</f>
        <v>鉄筋コンクリート造</v>
      </c>
      <c r="L5591" s="7" t="str">
        <f>"S53.07.13"</f>
        <v>S53.07.13</v>
      </c>
      <c r="M5591" s="7">
        <v>138</v>
      </c>
      <c r="N5591" s="7">
        <v>26407000</v>
      </c>
      <c r="O5591" s="7">
        <v>25096056</v>
      </c>
      <c r="P5591" s="7">
        <v>0</v>
      </c>
      <c r="Q5591" s="7" t="str">
        <f t="shared" si="2034"/>
        <v>教育庁</v>
      </c>
      <c r="R5591" s="7" t="str">
        <f t="shared" si="2058"/>
        <v>高石高等学校</v>
      </c>
    </row>
    <row r="5592" spans="1:18" s="1" customFormat="1" x14ac:dyDescent="0.45">
      <c r="A5592" s="7" t="str">
        <f t="shared" si="2055"/>
        <v>10458000010</v>
      </c>
      <c r="B5592" s="7" t="str">
        <f t="shared" si="2056"/>
        <v>高石高等学校</v>
      </c>
      <c r="C5592" s="7" t="str">
        <f t="shared" si="2054"/>
        <v>行政財産</v>
      </c>
      <c r="D5592" s="7" t="str">
        <f t="shared" si="2047"/>
        <v>学校</v>
      </c>
      <c r="E5592" s="7" t="str">
        <f t="shared" si="2057"/>
        <v>大阪府高石市千代田６丁目</v>
      </c>
      <c r="F5592" s="7"/>
      <c r="G5592" s="7" t="str">
        <f t="shared" si="2059"/>
        <v>事業用資産</v>
      </c>
      <c r="H5592" s="7" t="str">
        <f t="shared" si="2049"/>
        <v>棚卸以外</v>
      </c>
      <c r="I5592" s="7">
        <v>7</v>
      </c>
      <c r="J5592" s="7" t="str">
        <f>"体育館"</f>
        <v>体育館</v>
      </c>
      <c r="K5592" s="7" t="str">
        <f>"鉄筋コンクリート造"</f>
        <v>鉄筋コンクリート造</v>
      </c>
      <c r="L5592" s="7" t="str">
        <f>"S53.09.08"</f>
        <v>S53.09.08</v>
      </c>
      <c r="M5592" s="7">
        <v>3031.24</v>
      </c>
      <c r="N5592" s="7">
        <v>343100391</v>
      </c>
      <c r="O5592" s="7">
        <v>304445723</v>
      </c>
      <c r="P5592" s="7">
        <v>0</v>
      </c>
      <c r="Q5592" s="7" t="str">
        <f t="shared" si="2034"/>
        <v>教育庁</v>
      </c>
      <c r="R5592" s="7" t="str">
        <f t="shared" si="2058"/>
        <v>高石高等学校</v>
      </c>
    </row>
    <row r="5593" spans="1:18" s="1" customFormat="1" x14ac:dyDescent="0.45">
      <c r="A5593" s="7" t="str">
        <f t="shared" si="2055"/>
        <v>10458000010</v>
      </c>
      <c r="B5593" s="7" t="str">
        <f t="shared" si="2056"/>
        <v>高石高等学校</v>
      </c>
      <c r="C5593" s="7" t="str">
        <f t="shared" si="2054"/>
        <v>行政財産</v>
      </c>
      <c r="D5593" s="7" t="str">
        <f t="shared" si="2047"/>
        <v>学校</v>
      </c>
      <c r="E5593" s="7" t="str">
        <f t="shared" si="2057"/>
        <v>大阪府高石市千代田６丁目</v>
      </c>
      <c r="F5593" s="7"/>
      <c r="G5593" s="7" t="str">
        <f t="shared" si="2059"/>
        <v>事業用資産</v>
      </c>
      <c r="H5593" s="7" t="str">
        <f t="shared" si="2049"/>
        <v>棚卸以外</v>
      </c>
      <c r="I5593" s="7">
        <v>8</v>
      </c>
      <c r="J5593" s="7" t="str">
        <f>"倉庫"</f>
        <v>倉庫</v>
      </c>
      <c r="K5593" s="7" t="str">
        <f>"鉄骨造"</f>
        <v>鉄骨造</v>
      </c>
      <c r="L5593" s="7" t="str">
        <f>"S53.09.08"</f>
        <v>S53.09.08</v>
      </c>
      <c r="M5593" s="7">
        <v>100</v>
      </c>
      <c r="N5593" s="7">
        <v>7048000</v>
      </c>
      <c r="O5593" s="7">
        <v>7047999</v>
      </c>
      <c r="P5593" s="7">
        <v>0</v>
      </c>
      <c r="Q5593" s="7" t="str">
        <f t="shared" si="2034"/>
        <v>教育庁</v>
      </c>
      <c r="R5593" s="7" t="str">
        <f t="shared" si="2058"/>
        <v>高石高等学校</v>
      </c>
    </row>
    <row r="5594" spans="1:18" s="1" customFormat="1" x14ac:dyDescent="0.45">
      <c r="A5594" s="7" t="str">
        <f t="shared" si="2055"/>
        <v>10458000010</v>
      </c>
      <c r="B5594" s="7" t="str">
        <f t="shared" si="2056"/>
        <v>高石高等学校</v>
      </c>
      <c r="C5594" s="7" t="str">
        <f t="shared" si="2054"/>
        <v>行政財産</v>
      </c>
      <c r="D5594" s="7" t="str">
        <f t="shared" si="2047"/>
        <v>学校</v>
      </c>
      <c r="E5594" s="7" t="str">
        <f t="shared" si="2057"/>
        <v>大阪府高石市千代田６丁目</v>
      </c>
      <c r="F5594" s="7"/>
      <c r="G5594" s="7" t="str">
        <f t="shared" si="2059"/>
        <v>事業用資産</v>
      </c>
      <c r="H5594" s="7" t="str">
        <f t="shared" si="2049"/>
        <v>棚卸以外</v>
      </c>
      <c r="I5594" s="7">
        <v>9</v>
      </c>
      <c r="J5594" s="7" t="str">
        <f>"屋外便所"</f>
        <v>屋外便所</v>
      </c>
      <c r="K5594" s="7" t="str">
        <f>"鉄筋コンクリート造"</f>
        <v>鉄筋コンクリート造</v>
      </c>
      <c r="L5594" s="7" t="str">
        <f>"S55.12.05"</f>
        <v>S55.12.05</v>
      </c>
      <c r="M5594" s="7">
        <v>13.17</v>
      </c>
      <c r="N5594" s="7">
        <v>3482000</v>
      </c>
      <c r="O5594" s="7">
        <v>3481999</v>
      </c>
      <c r="P5594" s="7">
        <v>0</v>
      </c>
      <c r="Q5594" s="7" t="str">
        <f t="shared" si="2034"/>
        <v>教育庁</v>
      </c>
      <c r="R5594" s="7" t="str">
        <f t="shared" si="2058"/>
        <v>高石高等学校</v>
      </c>
    </row>
    <row r="5595" spans="1:18" s="1" customFormat="1" x14ac:dyDescent="0.45">
      <c r="A5595" s="7" t="str">
        <f t="shared" si="2055"/>
        <v>10458000010</v>
      </c>
      <c r="B5595" s="7" t="str">
        <f t="shared" si="2056"/>
        <v>高石高等学校</v>
      </c>
      <c r="C5595" s="7" t="str">
        <f t="shared" si="2054"/>
        <v>行政財産</v>
      </c>
      <c r="D5595" s="7" t="str">
        <f t="shared" si="2047"/>
        <v>学校</v>
      </c>
      <c r="E5595" s="7" t="str">
        <f t="shared" si="2057"/>
        <v>大阪府高石市千代田６丁目</v>
      </c>
      <c r="F5595" s="7"/>
      <c r="G5595" s="7" t="str">
        <f t="shared" si="2059"/>
        <v>事業用資産</v>
      </c>
      <c r="H5595" s="7" t="str">
        <f t="shared" si="2049"/>
        <v>棚卸以外</v>
      </c>
      <c r="I5595" s="7">
        <v>10</v>
      </c>
      <c r="J5595" s="7" t="str">
        <f>"倉庫"</f>
        <v>倉庫</v>
      </c>
      <c r="K5595" s="7" t="str">
        <f>"鉄骨造"</f>
        <v>鉄骨造</v>
      </c>
      <c r="L5595" s="7" t="str">
        <f>"H05.03.31"</f>
        <v>H05.03.31</v>
      </c>
      <c r="M5595" s="7">
        <v>21.6</v>
      </c>
      <c r="N5595" s="7">
        <v>997000</v>
      </c>
      <c r="O5595" s="7">
        <v>965160</v>
      </c>
      <c r="P5595" s="7">
        <v>0</v>
      </c>
      <c r="Q5595" s="7" t="str">
        <f t="shared" ref="Q5595:Q5658" si="2060">"教育庁"</f>
        <v>教育庁</v>
      </c>
      <c r="R5595" s="7" t="str">
        <f t="shared" si="2058"/>
        <v>高石高等学校</v>
      </c>
    </row>
    <row r="5596" spans="1:18" s="1" customFormat="1" x14ac:dyDescent="0.45">
      <c r="A5596" s="7" t="str">
        <f t="shared" ref="A5596:A5614" si="2061">"10459000001"</f>
        <v>10459000001</v>
      </c>
      <c r="B5596" s="7" t="str">
        <f t="shared" ref="B5596:B5614" si="2062">"和泉高等学校"</f>
        <v>和泉高等学校</v>
      </c>
      <c r="C5596" s="7" t="str">
        <f t="shared" si="2054"/>
        <v>行政財産</v>
      </c>
      <c r="D5596" s="7" t="str">
        <f t="shared" si="2047"/>
        <v>学校</v>
      </c>
      <c r="E5596" s="7" t="str">
        <f t="shared" ref="E5596:E5614" si="2063">"大阪府岸和田市土生町"</f>
        <v>大阪府岸和田市土生町</v>
      </c>
      <c r="F5596" s="7"/>
      <c r="G5596" s="7" t="str">
        <f t="shared" si="2059"/>
        <v>事業用資産</v>
      </c>
      <c r="H5596" s="7" t="str">
        <f t="shared" si="2049"/>
        <v>棚卸以外</v>
      </c>
      <c r="I5596" s="7">
        <v>1</v>
      </c>
      <c r="J5596" s="7" t="str">
        <f>"本館"</f>
        <v>本館</v>
      </c>
      <c r="K5596" s="7" t="str">
        <f>"鉄筋コンクリート造"</f>
        <v>鉄筋コンクリート造</v>
      </c>
      <c r="L5596" s="7" t="str">
        <f>"S46.08.24"</f>
        <v>S46.08.24</v>
      </c>
      <c r="M5596" s="7">
        <v>3848.2</v>
      </c>
      <c r="N5596" s="7">
        <v>236771326</v>
      </c>
      <c r="O5596" s="7">
        <v>181190641</v>
      </c>
      <c r="P5596" s="7">
        <v>0</v>
      </c>
      <c r="Q5596" s="7" t="str">
        <f t="shared" si="2060"/>
        <v>教育庁</v>
      </c>
      <c r="R5596" s="7" t="str">
        <f t="shared" ref="R5596:R5614" si="2064">"和泉高等学校"</f>
        <v>和泉高等学校</v>
      </c>
    </row>
    <row r="5597" spans="1:18" s="1" customFormat="1" x14ac:dyDescent="0.45">
      <c r="A5597" s="7" t="str">
        <f t="shared" si="2061"/>
        <v>10459000001</v>
      </c>
      <c r="B5597" s="7" t="str">
        <f t="shared" si="2062"/>
        <v>和泉高等学校</v>
      </c>
      <c r="C5597" s="7" t="str">
        <f t="shared" si="2054"/>
        <v>行政財産</v>
      </c>
      <c r="D5597" s="7" t="str">
        <f t="shared" si="2047"/>
        <v>学校</v>
      </c>
      <c r="E5597" s="7" t="str">
        <f t="shared" si="2063"/>
        <v>大阪府岸和田市土生町</v>
      </c>
      <c r="F5597" s="7"/>
      <c r="G5597" s="7" t="str">
        <f t="shared" si="2059"/>
        <v>事業用資産</v>
      </c>
      <c r="H5597" s="7" t="str">
        <f t="shared" si="2049"/>
        <v>棚卸以外</v>
      </c>
      <c r="I5597" s="7">
        <v>2</v>
      </c>
      <c r="J5597" s="7" t="str">
        <f>"中央館"</f>
        <v>中央館</v>
      </c>
      <c r="K5597" s="7" t="str">
        <f>"鉄筋コンクリート造"</f>
        <v>鉄筋コンクリート造</v>
      </c>
      <c r="L5597" s="7" t="str">
        <f>"S46.08.24"</f>
        <v>S46.08.24</v>
      </c>
      <c r="M5597" s="7">
        <v>3844.8</v>
      </c>
      <c r="N5597" s="7">
        <v>299902584</v>
      </c>
      <c r="O5597" s="7">
        <v>193023513</v>
      </c>
      <c r="P5597" s="7">
        <v>0</v>
      </c>
      <c r="Q5597" s="7" t="str">
        <f t="shared" si="2060"/>
        <v>教育庁</v>
      </c>
      <c r="R5597" s="7" t="str">
        <f t="shared" si="2064"/>
        <v>和泉高等学校</v>
      </c>
    </row>
    <row r="5598" spans="1:18" s="1" customFormat="1" x14ac:dyDescent="0.45">
      <c r="A5598" s="7" t="str">
        <f t="shared" si="2061"/>
        <v>10459000001</v>
      </c>
      <c r="B5598" s="7" t="str">
        <f t="shared" si="2062"/>
        <v>和泉高等学校</v>
      </c>
      <c r="C5598" s="7" t="str">
        <f t="shared" si="2054"/>
        <v>行政財産</v>
      </c>
      <c r="D5598" s="7" t="str">
        <f t="shared" si="2047"/>
        <v>学校</v>
      </c>
      <c r="E5598" s="7" t="str">
        <f t="shared" si="2063"/>
        <v>大阪府岸和田市土生町</v>
      </c>
      <c r="F5598" s="7"/>
      <c r="G5598" s="7" t="str">
        <f t="shared" si="2059"/>
        <v>事業用資産</v>
      </c>
      <c r="H5598" s="7" t="str">
        <f t="shared" si="2049"/>
        <v>棚卸以外</v>
      </c>
      <c r="I5598" s="7">
        <v>3</v>
      </c>
      <c r="J5598" s="7" t="str">
        <f>"東館"</f>
        <v>東館</v>
      </c>
      <c r="K5598" s="7" t="str">
        <f>"鉄筋コンクリート造"</f>
        <v>鉄筋コンクリート造</v>
      </c>
      <c r="L5598" s="7" t="str">
        <f>"S46.08.24"</f>
        <v>S46.08.24</v>
      </c>
      <c r="M5598" s="7">
        <v>4308.8</v>
      </c>
      <c r="N5598" s="7">
        <v>311085030</v>
      </c>
      <c r="O5598" s="7">
        <v>228273148</v>
      </c>
      <c r="P5598" s="7">
        <v>0</v>
      </c>
      <c r="Q5598" s="7" t="str">
        <f t="shared" si="2060"/>
        <v>教育庁</v>
      </c>
      <c r="R5598" s="7" t="str">
        <f t="shared" si="2064"/>
        <v>和泉高等学校</v>
      </c>
    </row>
    <row r="5599" spans="1:18" s="1" customFormat="1" x14ac:dyDescent="0.45">
      <c r="A5599" s="7" t="str">
        <f t="shared" si="2061"/>
        <v>10459000001</v>
      </c>
      <c r="B5599" s="7" t="str">
        <f t="shared" si="2062"/>
        <v>和泉高等学校</v>
      </c>
      <c r="C5599" s="7" t="str">
        <f t="shared" si="2054"/>
        <v>行政財産</v>
      </c>
      <c r="D5599" s="7" t="str">
        <f t="shared" si="2047"/>
        <v>学校</v>
      </c>
      <c r="E5599" s="7" t="str">
        <f t="shared" si="2063"/>
        <v>大阪府岸和田市土生町</v>
      </c>
      <c r="F5599" s="7"/>
      <c r="G5599" s="7" t="str">
        <f t="shared" si="2059"/>
        <v>事業用資産</v>
      </c>
      <c r="H5599" s="7" t="str">
        <f t="shared" si="2049"/>
        <v>棚卸以外</v>
      </c>
      <c r="I5599" s="7">
        <v>4</v>
      </c>
      <c r="J5599" s="7" t="str">
        <f>"北館"</f>
        <v>北館</v>
      </c>
      <c r="K5599" s="7" t="str">
        <f>"鉄筋コンクリート造"</f>
        <v>鉄筋コンクリート造</v>
      </c>
      <c r="L5599" s="7" t="str">
        <f>"S46.08.24"</f>
        <v>S46.08.24</v>
      </c>
      <c r="M5599" s="7">
        <v>1320</v>
      </c>
      <c r="N5599" s="7">
        <v>84492833</v>
      </c>
      <c r="O5599" s="7">
        <v>73993178</v>
      </c>
      <c r="P5599" s="7">
        <v>0</v>
      </c>
      <c r="Q5599" s="7" t="str">
        <f t="shared" si="2060"/>
        <v>教育庁</v>
      </c>
      <c r="R5599" s="7" t="str">
        <f t="shared" si="2064"/>
        <v>和泉高等学校</v>
      </c>
    </row>
    <row r="5600" spans="1:18" s="1" customFormat="1" x14ac:dyDescent="0.45">
      <c r="A5600" s="7" t="str">
        <f t="shared" si="2061"/>
        <v>10459000001</v>
      </c>
      <c r="B5600" s="7" t="str">
        <f t="shared" si="2062"/>
        <v>和泉高等学校</v>
      </c>
      <c r="C5600" s="7" t="str">
        <f t="shared" si="2054"/>
        <v>行政財産</v>
      </c>
      <c r="D5600" s="7" t="str">
        <f t="shared" si="2047"/>
        <v>学校</v>
      </c>
      <c r="E5600" s="7" t="str">
        <f t="shared" si="2063"/>
        <v>大阪府岸和田市土生町</v>
      </c>
      <c r="F5600" s="7"/>
      <c r="G5600" s="7" t="str">
        <f t="shared" si="2059"/>
        <v>事業用資産</v>
      </c>
      <c r="H5600" s="7" t="str">
        <f t="shared" si="2049"/>
        <v>棚卸以外</v>
      </c>
      <c r="I5600" s="7">
        <v>5</v>
      </c>
      <c r="J5600" s="7" t="str">
        <f>"第１体育館"</f>
        <v>第１体育館</v>
      </c>
      <c r="K5600" s="7" t="str">
        <f>"鉄筋コンクリート造"</f>
        <v>鉄筋コンクリート造</v>
      </c>
      <c r="L5600" s="7" t="str">
        <f>"S46.08.24"</f>
        <v>S46.08.24</v>
      </c>
      <c r="M5600" s="7">
        <v>2024.7</v>
      </c>
      <c r="N5600" s="7">
        <v>194539385</v>
      </c>
      <c r="O5600" s="7">
        <v>131133715</v>
      </c>
      <c r="P5600" s="7">
        <v>0</v>
      </c>
      <c r="Q5600" s="7" t="str">
        <f t="shared" si="2060"/>
        <v>教育庁</v>
      </c>
      <c r="R5600" s="7" t="str">
        <f t="shared" si="2064"/>
        <v>和泉高等学校</v>
      </c>
    </row>
    <row r="5601" spans="1:18" s="1" customFormat="1" x14ac:dyDescent="0.45">
      <c r="A5601" s="7" t="str">
        <f t="shared" si="2061"/>
        <v>10459000001</v>
      </c>
      <c r="B5601" s="7" t="str">
        <f t="shared" si="2062"/>
        <v>和泉高等学校</v>
      </c>
      <c r="C5601" s="7" t="str">
        <f t="shared" si="2054"/>
        <v>行政財産</v>
      </c>
      <c r="D5601" s="7" t="str">
        <f t="shared" si="2047"/>
        <v>学校</v>
      </c>
      <c r="E5601" s="7" t="str">
        <f t="shared" si="2063"/>
        <v>大阪府岸和田市土生町</v>
      </c>
      <c r="F5601" s="7"/>
      <c r="G5601" s="7" t="str">
        <f t="shared" si="2059"/>
        <v>事業用資産</v>
      </c>
      <c r="H5601" s="7" t="str">
        <f t="shared" si="2049"/>
        <v>棚卸以外</v>
      </c>
      <c r="I5601" s="7">
        <v>6</v>
      </c>
      <c r="J5601" s="7" t="str">
        <f>"第２体育館"</f>
        <v>第２体育館</v>
      </c>
      <c r="K5601" s="7" t="str">
        <f>"鉄骨造"</f>
        <v>鉄骨造</v>
      </c>
      <c r="L5601" s="7" t="str">
        <f>"S46.10.08"</f>
        <v>S46.10.08</v>
      </c>
      <c r="M5601" s="7">
        <v>538</v>
      </c>
      <c r="N5601" s="7">
        <v>55738639</v>
      </c>
      <c r="O5601" s="7">
        <v>37221429</v>
      </c>
      <c r="P5601" s="7">
        <v>0</v>
      </c>
      <c r="Q5601" s="7" t="str">
        <f t="shared" si="2060"/>
        <v>教育庁</v>
      </c>
      <c r="R5601" s="7" t="str">
        <f t="shared" si="2064"/>
        <v>和泉高等学校</v>
      </c>
    </row>
    <row r="5602" spans="1:18" s="1" customFormat="1" x14ac:dyDescent="0.45">
      <c r="A5602" s="7" t="str">
        <f t="shared" si="2061"/>
        <v>10459000001</v>
      </c>
      <c r="B5602" s="7" t="str">
        <f t="shared" si="2062"/>
        <v>和泉高等学校</v>
      </c>
      <c r="C5602" s="7" t="str">
        <f t="shared" si="2054"/>
        <v>行政財産</v>
      </c>
      <c r="D5602" s="7" t="str">
        <f t="shared" si="2047"/>
        <v>学校</v>
      </c>
      <c r="E5602" s="7" t="str">
        <f t="shared" si="2063"/>
        <v>大阪府岸和田市土生町</v>
      </c>
      <c r="F5602" s="7"/>
      <c r="G5602" s="7" t="str">
        <f t="shared" si="2059"/>
        <v>事業用資産</v>
      </c>
      <c r="H5602" s="7" t="str">
        <f t="shared" si="2049"/>
        <v>棚卸以外</v>
      </c>
      <c r="I5602" s="7">
        <v>9</v>
      </c>
      <c r="J5602" s="7" t="str">
        <f>"プール附属棟"</f>
        <v>プール附属棟</v>
      </c>
      <c r="K5602" s="7" t="str">
        <f>"コンクリートブロック造"</f>
        <v>コンクリートブロック造</v>
      </c>
      <c r="L5602" s="7" t="str">
        <f>"S46.08.24"</f>
        <v>S46.08.24</v>
      </c>
      <c r="M5602" s="7">
        <v>128.4</v>
      </c>
      <c r="N5602" s="7">
        <v>26784240</v>
      </c>
      <c r="O5602" s="7">
        <v>5364638</v>
      </c>
      <c r="P5602" s="7">
        <v>0</v>
      </c>
      <c r="Q5602" s="7" t="str">
        <f t="shared" si="2060"/>
        <v>教育庁</v>
      </c>
      <c r="R5602" s="7" t="str">
        <f t="shared" si="2064"/>
        <v>和泉高等学校</v>
      </c>
    </row>
    <row r="5603" spans="1:18" s="1" customFormat="1" x14ac:dyDescent="0.45">
      <c r="A5603" s="7" t="str">
        <f t="shared" si="2061"/>
        <v>10459000001</v>
      </c>
      <c r="B5603" s="7" t="str">
        <f t="shared" si="2062"/>
        <v>和泉高等学校</v>
      </c>
      <c r="C5603" s="7" t="str">
        <f t="shared" si="2054"/>
        <v>行政財産</v>
      </c>
      <c r="D5603" s="7" t="str">
        <f t="shared" si="2047"/>
        <v>学校</v>
      </c>
      <c r="E5603" s="7" t="str">
        <f t="shared" si="2063"/>
        <v>大阪府岸和田市土生町</v>
      </c>
      <c r="F5603" s="7"/>
      <c r="G5603" s="7" t="str">
        <f t="shared" si="2059"/>
        <v>事業用資産</v>
      </c>
      <c r="H5603" s="7" t="str">
        <f t="shared" si="2049"/>
        <v>棚卸以外</v>
      </c>
      <c r="I5603" s="7">
        <v>12</v>
      </c>
      <c r="J5603" s="7" t="str">
        <f>"守衛室"</f>
        <v>守衛室</v>
      </c>
      <c r="K5603" s="7" t="str">
        <f t="shared" ref="K5603:K5608" si="2065">"鉄筋コンクリート造"</f>
        <v>鉄筋コンクリート造</v>
      </c>
      <c r="L5603" s="7" t="str">
        <f>"S46.11.24"</f>
        <v>S46.11.24</v>
      </c>
      <c r="M5603" s="7">
        <v>10.5</v>
      </c>
      <c r="N5603" s="7">
        <v>914887</v>
      </c>
      <c r="O5603" s="7">
        <v>872263</v>
      </c>
      <c r="P5603" s="7">
        <v>0</v>
      </c>
      <c r="Q5603" s="7" t="str">
        <f t="shared" si="2060"/>
        <v>教育庁</v>
      </c>
      <c r="R5603" s="7" t="str">
        <f t="shared" si="2064"/>
        <v>和泉高等学校</v>
      </c>
    </row>
    <row r="5604" spans="1:18" s="1" customFormat="1" x14ac:dyDescent="0.45">
      <c r="A5604" s="7" t="str">
        <f t="shared" si="2061"/>
        <v>10459000001</v>
      </c>
      <c r="B5604" s="7" t="str">
        <f t="shared" si="2062"/>
        <v>和泉高等学校</v>
      </c>
      <c r="C5604" s="7" t="str">
        <f t="shared" si="2054"/>
        <v>行政財産</v>
      </c>
      <c r="D5604" s="7" t="str">
        <f t="shared" si="2047"/>
        <v>学校</v>
      </c>
      <c r="E5604" s="7" t="str">
        <f t="shared" si="2063"/>
        <v>大阪府岸和田市土生町</v>
      </c>
      <c r="F5604" s="7"/>
      <c r="G5604" s="7" t="str">
        <f t="shared" si="2059"/>
        <v>事業用資産</v>
      </c>
      <c r="H5604" s="7" t="str">
        <f t="shared" si="2049"/>
        <v>棚卸以外</v>
      </c>
      <c r="I5604" s="7">
        <v>14</v>
      </c>
      <c r="J5604" s="7" t="str">
        <f>"渡り廊下（本館～中央館　間）"</f>
        <v>渡り廊下（本館～中央館　間）</v>
      </c>
      <c r="K5604" s="7" t="str">
        <f t="shared" si="2065"/>
        <v>鉄筋コンクリート造</v>
      </c>
      <c r="L5604" s="7" t="str">
        <f t="shared" ref="L5604:L5609" si="2066">"S46.08.24"</f>
        <v>S46.08.24</v>
      </c>
      <c r="M5604" s="7">
        <v>206.4</v>
      </c>
      <c r="N5604" s="7">
        <v>7489360</v>
      </c>
      <c r="O5604" s="7">
        <v>6787999</v>
      </c>
      <c r="P5604" s="7">
        <v>0</v>
      </c>
      <c r="Q5604" s="7" t="str">
        <f t="shared" si="2060"/>
        <v>教育庁</v>
      </c>
      <c r="R5604" s="7" t="str">
        <f t="shared" si="2064"/>
        <v>和泉高等学校</v>
      </c>
    </row>
    <row r="5605" spans="1:18" s="1" customFormat="1" x14ac:dyDescent="0.45">
      <c r="A5605" s="7" t="str">
        <f t="shared" si="2061"/>
        <v>10459000001</v>
      </c>
      <c r="B5605" s="7" t="str">
        <f t="shared" si="2062"/>
        <v>和泉高等学校</v>
      </c>
      <c r="C5605" s="7" t="str">
        <f t="shared" si="2054"/>
        <v>行政財産</v>
      </c>
      <c r="D5605" s="7" t="str">
        <f t="shared" si="2047"/>
        <v>学校</v>
      </c>
      <c r="E5605" s="7" t="str">
        <f t="shared" si="2063"/>
        <v>大阪府岸和田市土生町</v>
      </c>
      <c r="F5605" s="7"/>
      <c r="G5605" s="7" t="str">
        <f t="shared" si="2059"/>
        <v>事業用資産</v>
      </c>
      <c r="H5605" s="7" t="str">
        <f t="shared" si="2049"/>
        <v>棚卸以外</v>
      </c>
      <c r="I5605" s="7">
        <v>15</v>
      </c>
      <c r="J5605" s="7" t="str">
        <f>"渡り廊下（中央館～東館　間）"</f>
        <v>渡り廊下（中央館～東館　間）</v>
      </c>
      <c r="K5605" s="7" t="str">
        <f t="shared" si="2065"/>
        <v>鉄筋コンクリート造</v>
      </c>
      <c r="L5605" s="7" t="str">
        <f t="shared" si="2066"/>
        <v>S46.08.24</v>
      </c>
      <c r="M5605" s="7">
        <v>206.4</v>
      </c>
      <c r="N5605" s="7">
        <v>8665333</v>
      </c>
      <c r="O5605" s="7">
        <v>7501037</v>
      </c>
      <c r="P5605" s="7">
        <v>0</v>
      </c>
      <c r="Q5605" s="7" t="str">
        <f t="shared" si="2060"/>
        <v>教育庁</v>
      </c>
      <c r="R5605" s="7" t="str">
        <f t="shared" si="2064"/>
        <v>和泉高等学校</v>
      </c>
    </row>
    <row r="5606" spans="1:18" s="1" customFormat="1" x14ac:dyDescent="0.45">
      <c r="A5606" s="7" t="str">
        <f t="shared" si="2061"/>
        <v>10459000001</v>
      </c>
      <c r="B5606" s="7" t="str">
        <f t="shared" si="2062"/>
        <v>和泉高等学校</v>
      </c>
      <c r="C5606" s="7" t="str">
        <f t="shared" si="2054"/>
        <v>行政財産</v>
      </c>
      <c r="D5606" s="7" t="str">
        <f t="shared" si="2047"/>
        <v>学校</v>
      </c>
      <c r="E5606" s="7" t="str">
        <f t="shared" si="2063"/>
        <v>大阪府岸和田市土生町</v>
      </c>
      <c r="F5606" s="7"/>
      <c r="G5606" s="7" t="str">
        <f t="shared" si="2059"/>
        <v>事業用資産</v>
      </c>
      <c r="H5606" s="7" t="str">
        <f t="shared" si="2049"/>
        <v>棚卸以外</v>
      </c>
      <c r="I5606" s="7">
        <v>16</v>
      </c>
      <c r="J5606" s="7" t="str">
        <f>"渡り廊下（東館～第１体育館　間）"</f>
        <v>渡り廊下（東館～第１体育館　間）</v>
      </c>
      <c r="K5606" s="7" t="str">
        <f t="shared" si="2065"/>
        <v>鉄筋コンクリート造</v>
      </c>
      <c r="L5606" s="7" t="str">
        <f t="shared" si="2066"/>
        <v>S46.08.24</v>
      </c>
      <c r="M5606" s="7">
        <v>314.88</v>
      </c>
      <c r="N5606" s="7">
        <v>8894000</v>
      </c>
      <c r="O5606" s="7">
        <v>8893999</v>
      </c>
      <c r="P5606" s="7">
        <v>0</v>
      </c>
      <c r="Q5606" s="7" t="str">
        <f t="shared" si="2060"/>
        <v>教育庁</v>
      </c>
      <c r="R5606" s="7" t="str">
        <f t="shared" si="2064"/>
        <v>和泉高等学校</v>
      </c>
    </row>
    <row r="5607" spans="1:18" s="1" customFormat="1" x14ac:dyDescent="0.45">
      <c r="A5607" s="7" t="str">
        <f t="shared" si="2061"/>
        <v>10459000001</v>
      </c>
      <c r="B5607" s="7" t="str">
        <f t="shared" si="2062"/>
        <v>和泉高等学校</v>
      </c>
      <c r="C5607" s="7" t="str">
        <f t="shared" si="2054"/>
        <v>行政財産</v>
      </c>
      <c r="D5607" s="7" t="str">
        <f t="shared" si="2047"/>
        <v>学校</v>
      </c>
      <c r="E5607" s="7" t="str">
        <f t="shared" si="2063"/>
        <v>大阪府岸和田市土生町</v>
      </c>
      <c r="F5607" s="7"/>
      <c r="G5607" s="7" t="str">
        <f t="shared" si="2059"/>
        <v>事業用資産</v>
      </c>
      <c r="H5607" s="7" t="str">
        <f t="shared" si="2049"/>
        <v>棚卸以外</v>
      </c>
      <c r="I5607" s="7">
        <v>17</v>
      </c>
      <c r="J5607" s="7" t="str">
        <f>"渡り廊下（本館～北館　間）"</f>
        <v>渡り廊下（本館～北館　間）</v>
      </c>
      <c r="K5607" s="7" t="str">
        <f t="shared" si="2065"/>
        <v>鉄筋コンクリート造</v>
      </c>
      <c r="L5607" s="7" t="str">
        <f t="shared" si="2066"/>
        <v>S46.08.24</v>
      </c>
      <c r="M5607" s="7">
        <v>21.4</v>
      </c>
      <c r="N5607" s="7">
        <v>6244000</v>
      </c>
      <c r="O5607" s="7">
        <v>6243999</v>
      </c>
      <c r="P5607" s="7">
        <v>0</v>
      </c>
      <c r="Q5607" s="7" t="str">
        <f t="shared" si="2060"/>
        <v>教育庁</v>
      </c>
      <c r="R5607" s="7" t="str">
        <f t="shared" si="2064"/>
        <v>和泉高等学校</v>
      </c>
    </row>
    <row r="5608" spans="1:18" s="1" customFormat="1" x14ac:dyDescent="0.45">
      <c r="A5608" s="7" t="str">
        <f t="shared" si="2061"/>
        <v>10459000001</v>
      </c>
      <c r="B5608" s="7" t="str">
        <f t="shared" si="2062"/>
        <v>和泉高等学校</v>
      </c>
      <c r="C5608" s="7" t="str">
        <f t="shared" si="2054"/>
        <v>行政財産</v>
      </c>
      <c r="D5608" s="7" t="str">
        <f t="shared" si="2047"/>
        <v>学校</v>
      </c>
      <c r="E5608" s="7" t="str">
        <f t="shared" si="2063"/>
        <v>大阪府岸和田市土生町</v>
      </c>
      <c r="F5608" s="7"/>
      <c r="G5608" s="7" t="str">
        <f t="shared" si="2059"/>
        <v>事業用資産</v>
      </c>
      <c r="H5608" s="7" t="str">
        <f t="shared" si="2049"/>
        <v>棚卸以外</v>
      </c>
      <c r="I5608" s="7">
        <v>18</v>
      </c>
      <c r="J5608" s="7" t="str">
        <f>"渡り廊下（中央館～北館　間）"</f>
        <v>渡り廊下（中央館～北館　間）</v>
      </c>
      <c r="K5608" s="7" t="str">
        <f t="shared" si="2065"/>
        <v>鉄筋コンクリート造</v>
      </c>
      <c r="L5608" s="7" t="str">
        <f t="shared" si="2066"/>
        <v>S46.08.24</v>
      </c>
      <c r="M5608" s="7">
        <v>21.4</v>
      </c>
      <c r="N5608" s="7">
        <v>586000</v>
      </c>
      <c r="O5608" s="7">
        <v>585999</v>
      </c>
      <c r="P5608" s="7">
        <v>0</v>
      </c>
      <c r="Q5608" s="7" t="str">
        <f t="shared" si="2060"/>
        <v>教育庁</v>
      </c>
      <c r="R5608" s="7" t="str">
        <f t="shared" si="2064"/>
        <v>和泉高等学校</v>
      </c>
    </row>
    <row r="5609" spans="1:18" s="1" customFormat="1" ht="26.4" x14ac:dyDescent="0.45">
      <c r="A5609" s="7" t="str">
        <f t="shared" si="2061"/>
        <v>10459000001</v>
      </c>
      <c r="B5609" s="7" t="str">
        <f t="shared" si="2062"/>
        <v>和泉高等学校</v>
      </c>
      <c r="C5609" s="7" t="str">
        <f t="shared" si="2054"/>
        <v>行政財産</v>
      </c>
      <c r="D5609" s="7" t="str">
        <f t="shared" si="2047"/>
        <v>学校</v>
      </c>
      <c r="E5609" s="7" t="str">
        <f t="shared" si="2063"/>
        <v>大阪府岸和田市土生町</v>
      </c>
      <c r="F5609" s="7"/>
      <c r="G5609" s="7" t="str">
        <f t="shared" si="2059"/>
        <v>事業用資産</v>
      </c>
      <c r="H5609" s="7" t="str">
        <f t="shared" si="2049"/>
        <v>棚卸以外</v>
      </c>
      <c r="I5609" s="7">
        <v>19</v>
      </c>
      <c r="J5609" s="7" t="str">
        <f>"渡り廊下（第１体育館～第２体育館　間）"</f>
        <v>渡り廊下（第１体育館～第２体育館　間）</v>
      </c>
      <c r="K5609" s="7" t="str">
        <f>"鉄骨造"</f>
        <v>鉄骨造</v>
      </c>
      <c r="L5609" s="7" t="str">
        <f t="shared" si="2066"/>
        <v>S46.08.24</v>
      </c>
      <c r="M5609" s="7">
        <v>10.5</v>
      </c>
      <c r="N5609" s="7">
        <v>95800</v>
      </c>
      <c r="O5609" s="7">
        <v>95799</v>
      </c>
      <c r="P5609" s="7">
        <v>0</v>
      </c>
      <c r="Q5609" s="7" t="str">
        <f t="shared" si="2060"/>
        <v>教育庁</v>
      </c>
      <c r="R5609" s="7" t="str">
        <f t="shared" si="2064"/>
        <v>和泉高等学校</v>
      </c>
    </row>
    <row r="5610" spans="1:18" s="1" customFormat="1" x14ac:dyDescent="0.45">
      <c r="A5610" s="7" t="str">
        <f t="shared" si="2061"/>
        <v>10459000001</v>
      </c>
      <c r="B5610" s="7" t="str">
        <f t="shared" si="2062"/>
        <v>和泉高等学校</v>
      </c>
      <c r="C5610" s="7" t="str">
        <f t="shared" si="2054"/>
        <v>行政財産</v>
      </c>
      <c r="D5610" s="7" t="str">
        <f t="shared" si="2047"/>
        <v>学校</v>
      </c>
      <c r="E5610" s="7" t="str">
        <f t="shared" si="2063"/>
        <v>大阪府岸和田市土生町</v>
      </c>
      <c r="F5610" s="7"/>
      <c r="G5610" s="7" t="str">
        <f t="shared" si="2059"/>
        <v>事業用資産</v>
      </c>
      <c r="H5610" s="7" t="str">
        <f t="shared" si="2049"/>
        <v>棚卸以外</v>
      </c>
      <c r="I5610" s="7">
        <v>21</v>
      </c>
      <c r="J5610" s="7" t="str">
        <f>"給品部室"</f>
        <v>給品部室</v>
      </c>
      <c r="K5610" s="7" t="str">
        <f>"木造"</f>
        <v>木造</v>
      </c>
      <c r="L5610" s="7" t="str">
        <f>"S47.02.08"</f>
        <v>S47.02.08</v>
      </c>
      <c r="M5610" s="7">
        <v>9.69</v>
      </c>
      <c r="N5610" s="7">
        <v>183560</v>
      </c>
      <c r="O5610" s="7">
        <v>183559</v>
      </c>
      <c r="P5610" s="7">
        <v>0</v>
      </c>
      <c r="Q5610" s="7" t="str">
        <f t="shared" si="2060"/>
        <v>教育庁</v>
      </c>
      <c r="R5610" s="7" t="str">
        <f t="shared" si="2064"/>
        <v>和泉高等学校</v>
      </c>
    </row>
    <row r="5611" spans="1:18" s="1" customFormat="1" x14ac:dyDescent="0.45">
      <c r="A5611" s="7" t="str">
        <f t="shared" si="2061"/>
        <v>10459000001</v>
      </c>
      <c r="B5611" s="7" t="str">
        <f t="shared" si="2062"/>
        <v>和泉高等学校</v>
      </c>
      <c r="C5611" s="7" t="str">
        <f t="shared" si="2054"/>
        <v>行政財産</v>
      </c>
      <c r="D5611" s="7" t="str">
        <f t="shared" si="2047"/>
        <v>学校</v>
      </c>
      <c r="E5611" s="7" t="str">
        <f t="shared" si="2063"/>
        <v>大阪府岸和田市土生町</v>
      </c>
      <c r="F5611" s="7"/>
      <c r="G5611" s="7" t="str">
        <f t="shared" si="2059"/>
        <v>事業用資産</v>
      </c>
      <c r="H5611" s="7" t="str">
        <f t="shared" si="2049"/>
        <v>棚卸以外</v>
      </c>
      <c r="I5611" s="7">
        <v>22</v>
      </c>
      <c r="J5611" s="7" t="str">
        <f>"管財倉庫"</f>
        <v>管財倉庫</v>
      </c>
      <c r="K5611" s="7" t="str">
        <f>"コンクリートブロック造"</f>
        <v>コンクリートブロック造</v>
      </c>
      <c r="L5611" s="7" t="str">
        <f>"S50.02.03"</f>
        <v>S50.02.03</v>
      </c>
      <c r="M5611" s="7">
        <v>100</v>
      </c>
      <c r="N5611" s="7">
        <v>5520000</v>
      </c>
      <c r="O5611" s="7">
        <v>5519999</v>
      </c>
      <c r="P5611" s="7">
        <v>0</v>
      </c>
      <c r="Q5611" s="7" t="str">
        <f t="shared" si="2060"/>
        <v>教育庁</v>
      </c>
      <c r="R5611" s="7" t="str">
        <f t="shared" si="2064"/>
        <v>和泉高等学校</v>
      </c>
    </row>
    <row r="5612" spans="1:18" s="1" customFormat="1" x14ac:dyDescent="0.45">
      <c r="A5612" s="7" t="str">
        <f t="shared" si="2061"/>
        <v>10459000001</v>
      </c>
      <c r="B5612" s="7" t="str">
        <f t="shared" si="2062"/>
        <v>和泉高等学校</v>
      </c>
      <c r="C5612" s="7" t="str">
        <f t="shared" si="2054"/>
        <v>行政財産</v>
      </c>
      <c r="D5612" s="7" t="str">
        <f t="shared" si="2047"/>
        <v>学校</v>
      </c>
      <c r="E5612" s="7" t="str">
        <f t="shared" si="2063"/>
        <v>大阪府岸和田市土生町</v>
      </c>
      <c r="F5612" s="7"/>
      <c r="G5612" s="7" t="str">
        <f t="shared" si="2059"/>
        <v>事業用資産</v>
      </c>
      <c r="H5612" s="7" t="str">
        <f t="shared" si="2049"/>
        <v>棚卸以外</v>
      </c>
      <c r="I5612" s="7">
        <v>24</v>
      </c>
      <c r="J5612" s="7" t="str">
        <f>"生徒会室"</f>
        <v>生徒会室</v>
      </c>
      <c r="K5612" s="7" t="str">
        <f>"軽量鉄骨造"</f>
        <v>軽量鉄骨造</v>
      </c>
      <c r="L5612" s="7" t="str">
        <f>"S61.03.31"</f>
        <v>S61.03.31</v>
      </c>
      <c r="M5612" s="7">
        <v>66.12</v>
      </c>
      <c r="N5612" s="7">
        <v>6552000</v>
      </c>
      <c r="O5612" s="7">
        <v>6551999</v>
      </c>
      <c r="P5612" s="7">
        <v>0</v>
      </c>
      <c r="Q5612" s="7" t="str">
        <f t="shared" si="2060"/>
        <v>教育庁</v>
      </c>
      <c r="R5612" s="7" t="str">
        <f t="shared" si="2064"/>
        <v>和泉高等学校</v>
      </c>
    </row>
    <row r="5613" spans="1:18" s="1" customFormat="1" x14ac:dyDescent="0.45">
      <c r="A5613" s="7" t="str">
        <f t="shared" si="2061"/>
        <v>10459000001</v>
      </c>
      <c r="B5613" s="7" t="str">
        <f t="shared" si="2062"/>
        <v>和泉高等学校</v>
      </c>
      <c r="C5613" s="7" t="str">
        <f t="shared" si="2054"/>
        <v>行政財産</v>
      </c>
      <c r="D5613" s="7" t="str">
        <f t="shared" si="2047"/>
        <v>学校</v>
      </c>
      <c r="E5613" s="7" t="str">
        <f t="shared" si="2063"/>
        <v>大阪府岸和田市土生町</v>
      </c>
      <c r="F5613" s="7"/>
      <c r="G5613" s="7" t="str">
        <f t="shared" si="2059"/>
        <v>事業用資産</v>
      </c>
      <c r="H5613" s="7" t="str">
        <f t="shared" si="2049"/>
        <v>棚卸以外</v>
      </c>
      <c r="I5613" s="7">
        <v>25</v>
      </c>
      <c r="J5613" s="7" t="str">
        <f>"萌友館"</f>
        <v>萌友館</v>
      </c>
      <c r="K5613" s="7" t="str">
        <f>"鉄骨造"</f>
        <v>鉄骨造</v>
      </c>
      <c r="L5613" s="7" t="str">
        <f>"H12.09.01"</f>
        <v>H12.09.01</v>
      </c>
      <c r="M5613" s="7">
        <v>291.12</v>
      </c>
      <c r="N5613" s="7">
        <v>49686437</v>
      </c>
      <c r="O5613" s="7">
        <v>29201240</v>
      </c>
      <c r="P5613" s="7">
        <v>0</v>
      </c>
      <c r="Q5613" s="7" t="str">
        <f t="shared" si="2060"/>
        <v>教育庁</v>
      </c>
      <c r="R5613" s="7" t="str">
        <f t="shared" si="2064"/>
        <v>和泉高等学校</v>
      </c>
    </row>
    <row r="5614" spans="1:18" s="1" customFormat="1" x14ac:dyDescent="0.45">
      <c r="A5614" s="7" t="str">
        <f t="shared" si="2061"/>
        <v>10459000001</v>
      </c>
      <c r="B5614" s="7" t="str">
        <f t="shared" si="2062"/>
        <v>和泉高等学校</v>
      </c>
      <c r="C5614" s="7" t="str">
        <f t="shared" si="2054"/>
        <v>行政財産</v>
      </c>
      <c r="D5614" s="7" t="str">
        <f t="shared" si="2047"/>
        <v>学校</v>
      </c>
      <c r="E5614" s="7" t="str">
        <f t="shared" si="2063"/>
        <v>大阪府岸和田市土生町</v>
      </c>
      <c r="F5614" s="7"/>
      <c r="G5614" s="7" t="str">
        <f t="shared" si="2059"/>
        <v>事業用資産</v>
      </c>
      <c r="H5614" s="7" t="str">
        <f t="shared" si="2049"/>
        <v>棚卸以外</v>
      </c>
      <c r="I5614" s="7">
        <v>26</v>
      </c>
      <c r="J5614" s="7" t="str">
        <f>"エレベータ棟"</f>
        <v>エレベータ棟</v>
      </c>
      <c r="K5614" s="7" t="str">
        <f>"鉄骨造"</f>
        <v>鉄骨造</v>
      </c>
      <c r="L5614" s="7" t="str">
        <f>"H17.01.20"</f>
        <v>H17.01.20</v>
      </c>
      <c r="M5614" s="7">
        <v>20.94</v>
      </c>
      <c r="N5614" s="7">
        <v>16861000</v>
      </c>
      <c r="O5614" s="7">
        <v>9009068</v>
      </c>
      <c r="P5614" s="7">
        <v>0</v>
      </c>
      <c r="Q5614" s="7" t="str">
        <f t="shared" si="2060"/>
        <v>教育庁</v>
      </c>
      <c r="R5614" s="7" t="str">
        <f t="shared" si="2064"/>
        <v>和泉高等学校</v>
      </c>
    </row>
    <row r="5615" spans="1:18" s="1" customFormat="1" x14ac:dyDescent="0.45">
      <c r="A5615" s="7" t="str">
        <f t="shared" ref="A5615:A5631" si="2067">"10460000000"</f>
        <v>10460000000</v>
      </c>
      <c r="B5615" s="7" t="str">
        <f t="shared" ref="B5615:B5631" si="2068">"岸和田高等学校"</f>
        <v>岸和田高等学校</v>
      </c>
      <c r="C5615" s="7" t="str">
        <f t="shared" si="2054"/>
        <v>行政財産</v>
      </c>
      <c r="D5615" s="7" t="str">
        <f t="shared" si="2047"/>
        <v>学校</v>
      </c>
      <c r="E5615" s="7" t="str">
        <f t="shared" ref="E5615:E5631" si="2069">"大阪府岸和田市岸城町"</f>
        <v>大阪府岸和田市岸城町</v>
      </c>
      <c r="F5615" s="7"/>
      <c r="G5615" s="7" t="str">
        <f t="shared" si="2059"/>
        <v>事業用資産</v>
      </c>
      <c r="H5615" s="7" t="str">
        <f t="shared" si="2049"/>
        <v>棚卸以外</v>
      </c>
      <c r="I5615" s="7">
        <v>28</v>
      </c>
      <c r="J5615" s="7" t="str">
        <f>"プール附属屋"</f>
        <v>プール附属屋</v>
      </c>
      <c r="K5615" s="7" t="str">
        <f>"鉄骨造"</f>
        <v>鉄骨造</v>
      </c>
      <c r="L5615" s="7" t="str">
        <f>"S41.07.20"</f>
        <v>S41.07.20</v>
      </c>
      <c r="M5615" s="7">
        <v>128.4</v>
      </c>
      <c r="N5615" s="7">
        <v>9122405</v>
      </c>
      <c r="O5615" s="7">
        <v>5756248</v>
      </c>
      <c r="P5615" s="7">
        <v>0</v>
      </c>
      <c r="Q5615" s="7" t="str">
        <f t="shared" si="2060"/>
        <v>教育庁</v>
      </c>
      <c r="R5615" s="7" t="str">
        <f t="shared" ref="R5615:R5631" si="2070">"岸和田高等学校"</f>
        <v>岸和田高等学校</v>
      </c>
    </row>
    <row r="5616" spans="1:18" s="1" customFormat="1" x14ac:dyDescent="0.45">
      <c r="A5616" s="7" t="str">
        <f t="shared" si="2067"/>
        <v>10460000000</v>
      </c>
      <c r="B5616" s="7" t="str">
        <f t="shared" si="2068"/>
        <v>岸和田高等学校</v>
      </c>
      <c r="C5616" s="7" t="str">
        <f t="shared" si="2054"/>
        <v>行政財産</v>
      </c>
      <c r="D5616" s="7" t="str">
        <f t="shared" si="2047"/>
        <v>学校</v>
      </c>
      <c r="E5616" s="7" t="str">
        <f t="shared" si="2069"/>
        <v>大阪府岸和田市岸城町</v>
      </c>
      <c r="F5616" s="7"/>
      <c r="G5616" s="7" t="str">
        <f t="shared" si="2059"/>
        <v>事業用資産</v>
      </c>
      <c r="H5616" s="7" t="str">
        <f t="shared" si="2049"/>
        <v>棚卸以外</v>
      </c>
      <c r="I5616" s="7">
        <v>29</v>
      </c>
      <c r="J5616" s="7" t="str">
        <f>"管理棟"</f>
        <v>管理棟</v>
      </c>
      <c r="K5616" s="7" t="str">
        <f>"鉄筋コンクリート造"</f>
        <v>鉄筋コンクリート造</v>
      </c>
      <c r="L5616" s="7" t="str">
        <f>"S42.10.20"</f>
        <v>S42.10.20</v>
      </c>
      <c r="M5616" s="7">
        <v>816.92</v>
      </c>
      <c r="N5616" s="7">
        <v>134088621</v>
      </c>
      <c r="O5616" s="7">
        <v>72786078</v>
      </c>
      <c r="P5616" s="7">
        <v>0</v>
      </c>
      <c r="Q5616" s="7" t="str">
        <f t="shared" si="2060"/>
        <v>教育庁</v>
      </c>
      <c r="R5616" s="7" t="str">
        <f t="shared" si="2070"/>
        <v>岸和田高等学校</v>
      </c>
    </row>
    <row r="5617" spans="1:18" s="1" customFormat="1" x14ac:dyDescent="0.45">
      <c r="A5617" s="7" t="str">
        <f t="shared" si="2067"/>
        <v>10460000000</v>
      </c>
      <c r="B5617" s="7" t="str">
        <f t="shared" si="2068"/>
        <v>岸和田高等学校</v>
      </c>
      <c r="C5617" s="7" t="str">
        <f t="shared" si="2054"/>
        <v>行政財産</v>
      </c>
      <c r="D5617" s="7" t="str">
        <f t="shared" si="2047"/>
        <v>学校</v>
      </c>
      <c r="E5617" s="7" t="str">
        <f t="shared" si="2069"/>
        <v>大阪府岸和田市岸城町</v>
      </c>
      <c r="F5617" s="7"/>
      <c r="G5617" s="7" t="str">
        <f t="shared" si="2059"/>
        <v>事業用資産</v>
      </c>
      <c r="H5617" s="7" t="str">
        <f t="shared" si="2049"/>
        <v>棚卸以外</v>
      </c>
      <c r="I5617" s="7">
        <v>39</v>
      </c>
      <c r="J5617" s="7" t="str">
        <f>"卓球場"</f>
        <v>卓球場</v>
      </c>
      <c r="K5617" s="7" t="str">
        <f>"鉄骨造"</f>
        <v>鉄骨造</v>
      </c>
      <c r="L5617" s="7" t="str">
        <f>"S47.11.10"</f>
        <v>S47.11.10</v>
      </c>
      <c r="M5617" s="7">
        <v>168.16</v>
      </c>
      <c r="N5617" s="7">
        <v>17134315</v>
      </c>
      <c r="O5617" s="7">
        <v>13409632</v>
      </c>
      <c r="P5617" s="7">
        <v>0</v>
      </c>
      <c r="Q5617" s="7" t="str">
        <f t="shared" si="2060"/>
        <v>教育庁</v>
      </c>
      <c r="R5617" s="7" t="str">
        <f t="shared" si="2070"/>
        <v>岸和田高等学校</v>
      </c>
    </row>
    <row r="5618" spans="1:18" s="1" customFormat="1" x14ac:dyDescent="0.45">
      <c r="A5618" s="7" t="str">
        <f t="shared" si="2067"/>
        <v>10460000000</v>
      </c>
      <c r="B5618" s="7" t="str">
        <f t="shared" si="2068"/>
        <v>岸和田高等学校</v>
      </c>
      <c r="C5618" s="7" t="str">
        <f t="shared" si="2054"/>
        <v>行政財産</v>
      </c>
      <c r="D5618" s="7" t="str">
        <f t="shared" si="2047"/>
        <v>学校</v>
      </c>
      <c r="E5618" s="7" t="str">
        <f t="shared" si="2069"/>
        <v>大阪府岸和田市岸城町</v>
      </c>
      <c r="F5618" s="7"/>
      <c r="G5618" s="7" t="str">
        <f t="shared" si="2059"/>
        <v>事業用資産</v>
      </c>
      <c r="H5618" s="7" t="str">
        <f t="shared" si="2049"/>
        <v>棚卸以外</v>
      </c>
      <c r="I5618" s="7">
        <v>41</v>
      </c>
      <c r="J5618" s="7" t="str">
        <f>"体育館"</f>
        <v>体育館</v>
      </c>
      <c r="K5618" s="7" t="str">
        <f>"鉄筋コンクリート造"</f>
        <v>鉄筋コンクリート造</v>
      </c>
      <c r="L5618" s="7" t="str">
        <f>"S50.05.31"</f>
        <v>S50.05.31</v>
      </c>
      <c r="M5618" s="7">
        <v>2176.2399999999998</v>
      </c>
      <c r="N5618" s="7">
        <v>281971775</v>
      </c>
      <c r="O5618" s="7">
        <v>213243995</v>
      </c>
      <c r="P5618" s="7">
        <v>0</v>
      </c>
      <c r="Q5618" s="7" t="str">
        <f t="shared" si="2060"/>
        <v>教育庁</v>
      </c>
      <c r="R5618" s="7" t="str">
        <f t="shared" si="2070"/>
        <v>岸和田高等学校</v>
      </c>
    </row>
    <row r="5619" spans="1:18" s="1" customFormat="1" x14ac:dyDescent="0.45">
      <c r="A5619" s="7" t="str">
        <f t="shared" si="2067"/>
        <v>10460000000</v>
      </c>
      <c r="B5619" s="7" t="str">
        <f t="shared" si="2068"/>
        <v>岸和田高等学校</v>
      </c>
      <c r="C5619" s="7" t="str">
        <f t="shared" si="2054"/>
        <v>行政財産</v>
      </c>
      <c r="D5619" s="7" t="str">
        <f t="shared" si="2047"/>
        <v>学校</v>
      </c>
      <c r="E5619" s="7" t="str">
        <f t="shared" si="2069"/>
        <v>大阪府岸和田市岸城町</v>
      </c>
      <c r="F5619" s="7"/>
      <c r="G5619" s="7" t="str">
        <f t="shared" si="2059"/>
        <v>事業用資産</v>
      </c>
      <c r="H5619" s="7" t="str">
        <f t="shared" si="2049"/>
        <v>棚卸以外</v>
      </c>
      <c r="I5619" s="7">
        <v>47</v>
      </c>
      <c r="J5619" s="7" t="str">
        <f>"東棟"</f>
        <v>東棟</v>
      </c>
      <c r="K5619" s="7" t="str">
        <f>"鉄筋コンクリート造"</f>
        <v>鉄筋コンクリート造</v>
      </c>
      <c r="L5619" s="7" t="str">
        <f>"S58.02.28"</f>
        <v>S58.02.28</v>
      </c>
      <c r="M5619" s="7">
        <v>2354.5700000000002</v>
      </c>
      <c r="N5619" s="7">
        <v>470641603</v>
      </c>
      <c r="O5619" s="7">
        <v>331888926</v>
      </c>
      <c r="P5619" s="7">
        <v>0</v>
      </c>
      <c r="Q5619" s="7" t="str">
        <f t="shared" si="2060"/>
        <v>教育庁</v>
      </c>
      <c r="R5619" s="7" t="str">
        <f t="shared" si="2070"/>
        <v>岸和田高等学校</v>
      </c>
    </row>
    <row r="5620" spans="1:18" s="1" customFormat="1" x14ac:dyDescent="0.45">
      <c r="A5620" s="7" t="str">
        <f t="shared" si="2067"/>
        <v>10460000000</v>
      </c>
      <c r="B5620" s="7" t="str">
        <f t="shared" si="2068"/>
        <v>岸和田高等学校</v>
      </c>
      <c r="C5620" s="7" t="str">
        <f t="shared" si="2054"/>
        <v>行政財産</v>
      </c>
      <c r="D5620" s="7" t="str">
        <f t="shared" si="2047"/>
        <v>学校</v>
      </c>
      <c r="E5620" s="7" t="str">
        <f t="shared" si="2069"/>
        <v>大阪府岸和田市岸城町</v>
      </c>
      <c r="F5620" s="7"/>
      <c r="G5620" s="7" t="str">
        <f t="shared" si="2059"/>
        <v>事業用資産</v>
      </c>
      <c r="H5620" s="7" t="str">
        <f t="shared" si="2049"/>
        <v>棚卸以外</v>
      </c>
      <c r="I5620" s="7">
        <v>49</v>
      </c>
      <c r="J5620" s="7" t="str">
        <f>"体育倉庫"</f>
        <v>体育倉庫</v>
      </c>
      <c r="K5620" s="7" t="str">
        <f>"軽量鉄骨造"</f>
        <v>軽量鉄骨造</v>
      </c>
      <c r="L5620" s="7" t="str">
        <f>"S61.03.31"</f>
        <v>S61.03.31</v>
      </c>
      <c r="M5620" s="7">
        <v>41.2</v>
      </c>
      <c r="N5620" s="7">
        <v>2380000</v>
      </c>
      <c r="O5620" s="7">
        <v>2379999</v>
      </c>
      <c r="P5620" s="7">
        <v>0</v>
      </c>
      <c r="Q5620" s="7" t="str">
        <f t="shared" si="2060"/>
        <v>教育庁</v>
      </c>
      <c r="R5620" s="7" t="str">
        <f t="shared" si="2070"/>
        <v>岸和田高等学校</v>
      </c>
    </row>
    <row r="5621" spans="1:18" s="1" customFormat="1" x14ac:dyDescent="0.45">
      <c r="A5621" s="7" t="str">
        <f t="shared" si="2067"/>
        <v>10460000000</v>
      </c>
      <c r="B5621" s="7" t="str">
        <f t="shared" si="2068"/>
        <v>岸和田高等学校</v>
      </c>
      <c r="C5621" s="7" t="str">
        <f t="shared" si="2054"/>
        <v>行政財産</v>
      </c>
      <c r="D5621" s="7" t="str">
        <f t="shared" si="2047"/>
        <v>学校</v>
      </c>
      <c r="E5621" s="7" t="str">
        <f t="shared" si="2069"/>
        <v>大阪府岸和田市岸城町</v>
      </c>
      <c r="F5621" s="7"/>
      <c r="G5621" s="7" t="str">
        <f t="shared" si="2059"/>
        <v>事業用資産</v>
      </c>
      <c r="H5621" s="7" t="str">
        <f t="shared" si="2049"/>
        <v>棚卸以外</v>
      </c>
      <c r="I5621" s="7">
        <v>50</v>
      </c>
      <c r="J5621" s="7" t="str">
        <f>"セミナーハウス"</f>
        <v>セミナーハウス</v>
      </c>
      <c r="K5621" s="7" t="str">
        <f>"鉄骨造"</f>
        <v>鉄骨造</v>
      </c>
      <c r="L5621" s="7" t="str">
        <f>"H03.03.28"</f>
        <v>H03.03.28</v>
      </c>
      <c r="M5621" s="7">
        <v>498.84</v>
      </c>
      <c r="N5621" s="7">
        <v>82773645</v>
      </c>
      <c r="O5621" s="7">
        <v>77818992</v>
      </c>
      <c r="P5621" s="7">
        <v>0</v>
      </c>
      <c r="Q5621" s="7" t="str">
        <f t="shared" si="2060"/>
        <v>教育庁</v>
      </c>
      <c r="R5621" s="7" t="str">
        <f t="shared" si="2070"/>
        <v>岸和田高等学校</v>
      </c>
    </row>
    <row r="5622" spans="1:18" s="1" customFormat="1" ht="26.4" x14ac:dyDescent="0.45">
      <c r="A5622" s="7" t="str">
        <f t="shared" si="2067"/>
        <v>10460000000</v>
      </c>
      <c r="B5622" s="7" t="str">
        <f t="shared" si="2068"/>
        <v>岸和田高等学校</v>
      </c>
      <c r="C5622" s="7" t="str">
        <f t="shared" si="2054"/>
        <v>行政財産</v>
      </c>
      <c r="D5622" s="7" t="str">
        <f t="shared" si="2047"/>
        <v>学校</v>
      </c>
      <c r="E5622" s="7" t="str">
        <f t="shared" si="2069"/>
        <v>大阪府岸和田市岸城町</v>
      </c>
      <c r="F5622" s="7"/>
      <c r="G5622" s="7" t="str">
        <f t="shared" si="2059"/>
        <v>事業用資産</v>
      </c>
      <c r="H5622" s="7" t="str">
        <f t="shared" si="2049"/>
        <v>棚卸以外</v>
      </c>
      <c r="I5622" s="7">
        <v>53</v>
      </c>
      <c r="J5622" s="7" t="str">
        <f>"黎明館"</f>
        <v>黎明館</v>
      </c>
      <c r="K5622" s="7" t="str">
        <f>"鉄骨鉄筋コンクリート造"</f>
        <v>鉄骨鉄筋コンクリート造</v>
      </c>
      <c r="L5622" s="7" t="str">
        <f>"H09.07.31"</f>
        <v>H09.07.31</v>
      </c>
      <c r="M5622" s="7">
        <v>276.31</v>
      </c>
      <c r="N5622" s="7">
        <v>75893155</v>
      </c>
      <c r="O5622" s="7">
        <v>37194428</v>
      </c>
      <c r="P5622" s="7">
        <v>0</v>
      </c>
      <c r="Q5622" s="7" t="str">
        <f t="shared" si="2060"/>
        <v>教育庁</v>
      </c>
      <c r="R5622" s="7" t="str">
        <f t="shared" si="2070"/>
        <v>岸和田高等学校</v>
      </c>
    </row>
    <row r="5623" spans="1:18" s="1" customFormat="1" x14ac:dyDescent="0.45">
      <c r="A5623" s="7" t="str">
        <f t="shared" si="2067"/>
        <v>10460000000</v>
      </c>
      <c r="B5623" s="7" t="str">
        <f t="shared" si="2068"/>
        <v>岸和田高等学校</v>
      </c>
      <c r="C5623" s="7" t="str">
        <f t="shared" si="2054"/>
        <v>行政財産</v>
      </c>
      <c r="D5623" s="7" t="str">
        <f t="shared" si="2047"/>
        <v>学校</v>
      </c>
      <c r="E5623" s="7" t="str">
        <f t="shared" si="2069"/>
        <v>大阪府岸和田市岸城町</v>
      </c>
      <c r="F5623" s="7"/>
      <c r="G5623" s="7" t="str">
        <f t="shared" si="2059"/>
        <v>事業用資産</v>
      </c>
      <c r="H5623" s="7" t="str">
        <f t="shared" si="2049"/>
        <v>棚卸以外</v>
      </c>
      <c r="I5623" s="7">
        <v>54</v>
      </c>
      <c r="J5623" s="7" t="str">
        <f>"本館"</f>
        <v>本館</v>
      </c>
      <c r="K5623" s="7" t="str">
        <f>"鉄筋コンクリート造"</f>
        <v>鉄筋コンクリート造</v>
      </c>
      <c r="L5623" s="7" t="str">
        <f>"H11.01.29"</f>
        <v>H11.01.29</v>
      </c>
      <c r="M5623" s="7">
        <v>8044.61</v>
      </c>
      <c r="N5623" s="7">
        <v>1524756126</v>
      </c>
      <c r="O5623" s="7">
        <v>700490138</v>
      </c>
      <c r="P5623" s="7">
        <v>0</v>
      </c>
      <c r="Q5623" s="7" t="str">
        <f t="shared" si="2060"/>
        <v>教育庁</v>
      </c>
      <c r="R5623" s="7" t="str">
        <f t="shared" si="2070"/>
        <v>岸和田高等学校</v>
      </c>
    </row>
    <row r="5624" spans="1:18" s="1" customFormat="1" x14ac:dyDescent="0.45">
      <c r="A5624" s="7" t="str">
        <f t="shared" si="2067"/>
        <v>10460000000</v>
      </c>
      <c r="B5624" s="7" t="str">
        <f t="shared" si="2068"/>
        <v>岸和田高等学校</v>
      </c>
      <c r="C5624" s="7" t="str">
        <f t="shared" si="2054"/>
        <v>行政財産</v>
      </c>
      <c r="D5624" s="7" t="str">
        <f t="shared" si="2047"/>
        <v>学校</v>
      </c>
      <c r="E5624" s="7" t="str">
        <f t="shared" si="2069"/>
        <v>大阪府岸和田市岸城町</v>
      </c>
      <c r="F5624" s="7"/>
      <c r="G5624" s="7" t="str">
        <f t="shared" si="2059"/>
        <v>事業用資産</v>
      </c>
      <c r="H5624" s="7" t="str">
        <f t="shared" si="2049"/>
        <v>棚卸以外</v>
      </c>
      <c r="I5624" s="7">
        <v>55</v>
      </c>
      <c r="J5624" s="7" t="str">
        <f>"電気室"</f>
        <v>電気室</v>
      </c>
      <c r="K5624" s="7" t="str">
        <f>"鉄筋コンクリート造"</f>
        <v>鉄筋コンクリート造</v>
      </c>
      <c r="L5624" s="7" t="str">
        <f>"H11.01.29"</f>
        <v>H11.01.29</v>
      </c>
      <c r="M5624" s="7">
        <v>40.5</v>
      </c>
      <c r="N5624" s="7">
        <v>72147973</v>
      </c>
      <c r="O5624" s="7">
        <v>38341025</v>
      </c>
      <c r="P5624" s="7">
        <v>0</v>
      </c>
      <c r="Q5624" s="7" t="str">
        <f t="shared" si="2060"/>
        <v>教育庁</v>
      </c>
      <c r="R5624" s="7" t="str">
        <f t="shared" si="2070"/>
        <v>岸和田高等学校</v>
      </c>
    </row>
    <row r="5625" spans="1:18" s="1" customFormat="1" x14ac:dyDescent="0.45">
      <c r="A5625" s="7" t="str">
        <f t="shared" si="2067"/>
        <v>10460000000</v>
      </c>
      <c r="B5625" s="7" t="str">
        <f t="shared" si="2068"/>
        <v>岸和田高等学校</v>
      </c>
      <c r="C5625" s="7" t="str">
        <f t="shared" si="2054"/>
        <v>行政財産</v>
      </c>
      <c r="D5625" s="7" t="str">
        <f t="shared" ref="D5625:D5688" si="2071">"学校"</f>
        <v>学校</v>
      </c>
      <c r="E5625" s="7" t="str">
        <f t="shared" si="2069"/>
        <v>大阪府岸和田市岸城町</v>
      </c>
      <c r="F5625" s="7"/>
      <c r="G5625" s="7" t="str">
        <f t="shared" si="2059"/>
        <v>事業用資産</v>
      </c>
      <c r="H5625" s="7" t="str">
        <f t="shared" si="2049"/>
        <v>棚卸以外</v>
      </c>
      <c r="I5625" s="7">
        <v>56</v>
      </c>
      <c r="J5625" s="7" t="str">
        <f>"倉庫棟"</f>
        <v>倉庫棟</v>
      </c>
      <c r="K5625" s="7" t="str">
        <f>"鉄骨造"</f>
        <v>鉄骨造</v>
      </c>
      <c r="L5625" s="7" t="str">
        <f>"H15.10.31"</f>
        <v>H15.10.31</v>
      </c>
      <c r="M5625" s="7">
        <v>205.5</v>
      </c>
      <c r="N5625" s="7">
        <v>29348000</v>
      </c>
      <c r="O5625" s="7">
        <v>18382069</v>
      </c>
      <c r="P5625" s="7">
        <v>0</v>
      </c>
      <c r="Q5625" s="7" t="str">
        <f t="shared" si="2060"/>
        <v>教育庁</v>
      </c>
      <c r="R5625" s="7" t="str">
        <f t="shared" si="2070"/>
        <v>岸和田高等学校</v>
      </c>
    </row>
    <row r="5626" spans="1:18" s="1" customFormat="1" x14ac:dyDescent="0.45">
      <c r="A5626" s="7" t="str">
        <f t="shared" si="2067"/>
        <v>10460000000</v>
      </c>
      <c r="B5626" s="7" t="str">
        <f t="shared" si="2068"/>
        <v>岸和田高等学校</v>
      </c>
      <c r="C5626" s="7" t="str">
        <f t="shared" si="2054"/>
        <v>行政財産</v>
      </c>
      <c r="D5626" s="7" t="str">
        <f t="shared" si="2071"/>
        <v>学校</v>
      </c>
      <c r="E5626" s="7" t="str">
        <f t="shared" si="2069"/>
        <v>大阪府岸和田市岸城町</v>
      </c>
      <c r="F5626" s="7"/>
      <c r="G5626" s="7" t="str">
        <f t="shared" si="2059"/>
        <v>事業用資産</v>
      </c>
      <c r="H5626" s="7" t="str">
        <f t="shared" si="2049"/>
        <v>棚卸以外</v>
      </c>
      <c r="I5626" s="7">
        <v>57</v>
      </c>
      <c r="J5626" s="7" t="str">
        <f>"防火水槽棟"</f>
        <v>防火水槽棟</v>
      </c>
      <c r="K5626" s="7" t="str">
        <f>"鉄筋コンクリート造"</f>
        <v>鉄筋コンクリート造</v>
      </c>
      <c r="L5626" s="7" t="str">
        <f>"H15.10.31"</f>
        <v>H15.10.31</v>
      </c>
      <c r="M5626" s="7">
        <v>22.15</v>
      </c>
      <c r="N5626" s="7">
        <v>3087000</v>
      </c>
      <c r="O5626" s="7">
        <v>1275442</v>
      </c>
      <c r="P5626" s="7">
        <v>0</v>
      </c>
      <c r="Q5626" s="7" t="str">
        <f t="shared" si="2060"/>
        <v>教育庁</v>
      </c>
      <c r="R5626" s="7" t="str">
        <f t="shared" si="2070"/>
        <v>岸和田高等学校</v>
      </c>
    </row>
    <row r="5627" spans="1:18" s="1" customFormat="1" x14ac:dyDescent="0.45">
      <c r="A5627" s="7" t="str">
        <f t="shared" si="2067"/>
        <v>10460000000</v>
      </c>
      <c r="B5627" s="7" t="str">
        <f t="shared" si="2068"/>
        <v>岸和田高等学校</v>
      </c>
      <c r="C5627" s="7" t="str">
        <f t="shared" si="2054"/>
        <v>行政財産</v>
      </c>
      <c r="D5627" s="7" t="str">
        <f t="shared" si="2071"/>
        <v>学校</v>
      </c>
      <c r="E5627" s="7" t="str">
        <f t="shared" si="2069"/>
        <v>大阪府岸和田市岸城町</v>
      </c>
      <c r="F5627" s="7"/>
      <c r="G5627" s="7" t="str">
        <f t="shared" si="2059"/>
        <v>事業用資産</v>
      </c>
      <c r="H5627" s="7" t="str">
        <f t="shared" si="2049"/>
        <v>棚卸以外</v>
      </c>
      <c r="I5627" s="7">
        <v>58</v>
      </c>
      <c r="J5627" s="7" t="str">
        <f>"温室"</f>
        <v>温室</v>
      </c>
      <c r="K5627" s="7" t="str">
        <f>"軽量鉄骨造"</f>
        <v>軽量鉄骨造</v>
      </c>
      <c r="L5627" s="7" t="str">
        <f>"H15.10.31"</f>
        <v>H15.10.31</v>
      </c>
      <c r="M5627" s="7">
        <v>10.64</v>
      </c>
      <c r="N5627" s="7">
        <v>777000</v>
      </c>
      <c r="O5627" s="7">
        <v>628634</v>
      </c>
      <c r="P5627" s="7">
        <v>0</v>
      </c>
      <c r="Q5627" s="7" t="str">
        <f t="shared" si="2060"/>
        <v>教育庁</v>
      </c>
      <c r="R5627" s="7" t="str">
        <f t="shared" si="2070"/>
        <v>岸和田高等学校</v>
      </c>
    </row>
    <row r="5628" spans="1:18" s="1" customFormat="1" x14ac:dyDescent="0.45">
      <c r="A5628" s="7" t="str">
        <f t="shared" si="2067"/>
        <v>10460000000</v>
      </c>
      <c r="B5628" s="7" t="str">
        <f t="shared" si="2068"/>
        <v>岸和田高等学校</v>
      </c>
      <c r="C5628" s="7" t="str">
        <f t="shared" si="2054"/>
        <v>行政財産</v>
      </c>
      <c r="D5628" s="7" t="str">
        <f t="shared" si="2071"/>
        <v>学校</v>
      </c>
      <c r="E5628" s="7" t="str">
        <f t="shared" si="2069"/>
        <v>大阪府岸和田市岸城町</v>
      </c>
      <c r="F5628" s="7"/>
      <c r="G5628" s="7" t="str">
        <f t="shared" si="2059"/>
        <v>事業用資産</v>
      </c>
      <c r="H5628" s="7" t="str">
        <f t="shared" si="2049"/>
        <v>棚卸以外</v>
      </c>
      <c r="I5628" s="7">
        <v>59</v>
      </c>
      <c r="J5628" s="7" t="str">
        <f>"体育倉庫（１）"</f>
        <v>体育倉庫（１）</v>
      </c>
      <c r="K5628" s="7" t="str">
        <f>"鉄骨造"</f>
        <v>鉄骨造</v>
      </c>
      <c r="L5628" s="7" t="str">
        <f>"H17.03.02"</f>
        <v>H17.03.02</v>
      </c>
      <c r="M5628" s="7">
        <v>46.2</v>
      </c>
      <c r="N5628" s="7">
        <v>1799000</v>
      </c>
      <c r="O5628" s="7">
        <v>1044792</v>
      </c>
      <c r="P5628" s="7">
        <v>0</v>
      </c>
      <c r="Q5628" s="7" t="str">
        <f t="shared" si="2060"/>
        <v>教育庁</v>
      </c>
      <c r="R5628" s="7" t="str">
        <f t="shared" si="2070"/>
        <v>岸和田高等学校</v>
      </c>
    </row>
    <row r="5629" spans="1:18" s="1" customFormat="1" x14ac:dyDescent="0.45">
      <c r="A5629" s="7" t="str">
        <f t="shared" si="2067"/>
        <v>10460000000</v>
      </c>
      <c r="B5629" s="7" t="str">
        <f t="shared" si="2068"/>
        <v>岸和田高等学校</v>
      </c>
      <c r="C5629" s="7" t="str">
        <f t="shared" si="2054"/>
        <v>行政財産</v>
      </c>
      <c r="D5629" s="7" t="str">
        <f t="shared" si="2071"/>
        <v>学校</v>
      </c>
      <c r="E5629" s="7" t="str">
        <f t="shared" si="2069"/>
        <v>大阪府岸和田市岸城町</v>
      </c>
      <c r="F5629" s="7"/>
      <c r="G5629" s="7" t="str">
        <f t="shared" si="2059"/>
        <v>事業用資産</v>
      </c>
      <c r="H5629" s="7" t="str">
        <f t="shared" si="2049"/>
        <v>棚卸以外</v>
      </c>
      <c r="I5629" s="7">
        <v>60</v>
      </c>
      <c r="J5629" s="7" t="str">
        <f>"体育倉庫（２）"</f>
        <v>体育倉庫（２）</v>
      </c>
      <c r="K5629" s="7" t="str">
        <f>"鉄骨造"</f>
        <v>鉄骨造</v>
      </c>
      <c r="L5629" s="7" t="str">
        <f>"H17.03.02"</f>
        <v>H17.03.02</v>
      </c>
      <c r="M5629" s="7">
        <v>15.4</v>
      </c>
      <c r="N5629" s="7">
        <v>647000</v>
      </c>
      <c r="O5629" s="7">
        <v>306504</v>
      </c>
      <c r="P5629" s="7">
        <v>0</v>
      </c>
      <c r="Q5629" s="7" t="str">
        <f t="shared" si="2060"/>
        <v>教育庁</v>
      </c>
      <c r="R5629" s="7" t="str">
        <f t="shared" si="2070"/>
        <v>岸和田高等学校</v>
      </c>
    </row>
    <row r="5630" spans="1:18" s="1" customFormat="1" x14ac:dyDescent="0.45">
      <c r="A5630" s="7" t="str">
        <f t="shared" si="2067"/>
        <v>10460000000</v>
      </c>
      <c r="B5630" s="7" t="str">
        <f t="shared" si="2068"/>
        <v>岸和田高等学校</v>
      </c>
      <c r="C5630" s="7" t="str">
        <f t="shared" si="2054"/>
        <v>行政財産</v>
      </c>
      <c r="D5630" s="7" t="str">
        <f t="shared" si="2071"/>
        <v>学校</v>
      </c>
      <c r="E5630" s="7" t="str">
        <f t="shared" si="2069"/>
        <v>大阪府岸和田市岸城町</v>
      </c>
      <c r="F5630" s="7"/>
      <c r="G5630" s="7" t="str">
        <f t="shared" si="2059"/>
        <v>事業用資産</v>
      </c>
      <c r="H5630" s="7" t="str">
        <f t="shared" si="2049"/>
        <v>棚卸以外</v>
      </c>
      <c r="I5630" s="7">
        <v>61</v>
      </c>
      <c r="J5630" s="7" t="str">
        <f>"ＰＣＢ倉庫"</f>
        <v>ＰＣＢ倉庫</v>
      </c>
      <c r="K5630" s="7" t="str">
        <f>"軽量鉄骨造"</f>
        <v>軽量鉄骨造</v>
      </c>
      <c r="L5630" s="7" t="str">
        <f>"H17.03.02"</f>
        <v>H17.03.02</v>
      </c>
      <c r="M5630" s="7">
        <v>6.4</v>
      </c>
      <c r="N5630" s="7">
        <v>189000</v>
      </c>
      <c r="O5630" s="7">
        <v>89640</v>
      </c>
      <c r="P5630" s="7">
        <v>0</v>
      </c>
      <c r="Q5630" s="7" t="str">
        <f t="shared" si="2060"/>
        <v>教育庁</v>
      </c>
      <c r="R5630" s="7" t="str">
        <f t="shared" si="2070"/>
        <v>岸和田高等学校</v>
      </c>
    </row>
    <row r="5631" spans="1:18" s="1" customFormat="1" x14ac:dyDescent="0.45">
      <c r="A5631" s="7" t="str">
        <f t="shared" si="2067"/>
        <v>10460000000</v>
      </c>
      <c r="B5631" s="7" t="str">
        <f t="shared" si="2068"/>
        <v>岸和田高等学校</v>
      </c>
      <c r="C5631" s="7" t="str">
        <f t="shared" si="2054"/>
        <v>行政財産</v>
      </c>
      <c r="D5631" s="7" t="str">
        <f t="shared" si="2071"/>
        <v>学校</v>
      </c>
      <c r="E5631" s="7" t="str">
        <f t="shared" si="2069"/>
        <v>大阪府岸和田市岸城町</v>
      </c>
      <c r="F5631" s="7"/>
      <c r="G5631" s="7" t="str">
        <f t="shared" si="2059"/>
        <v>事業用資産</v>
      </c>
      <c r="H5631" s="7" t="str">
        <f t="shared" si="2049"/>
        <v>棚卸以外</v>
      </c>
      <c r="I5631" s="7">
        <v>62</v>
      </c>
      <c r="J5631" s="7" t="str">
        <f>"倉庫"</f>
        <v>倉庫</v>
      </c>
      <c r="K5631" s="7" t="str">
        <f>"コンクリートブロック造"</f>
        <v>コンクリートブロック造</v>
      </c>
      <c r="L5631" s="7" t="str">
        <f>"H12.03.31"</f>
        <v>H12.03.31</v>
      </c>
      <c r="M5631" s="7">
        <v>4</v>
      </c>
      <c r="N5631" s="7">
        <v>617521</v>
      </c>
      <c r="O5631" s="7">
        <v>417864</v>
      </c>
      <c r="P5631" s="7">
        <v>0</v>
      </c>
      <c r="Q5631" s="7" t="str">
        <f t="shared" si="2060"/>
        <v>教育庁</v>
      </c>
      <c r="R5631" s="7" t="str">
        <f t="shared" si="2070"/>
        <v>岸和田高等学校</v>
      </c>
    </row>
    <row r="5632" spans="1:18" s="1" customFormat="1" x14ac:dyDescent="0.45">
      <c r="A5632" s="7" t="str">
        <f t="shared" ref="A5632:A5643" si="2072">"10461000000"</f>
        <v>10461000000</v>
      </c>
      <c r="B5632" s="7" t="str">
        <f t="shared" ref="B5632:B5643" si="2073">"久米田高等学校"</f>
        <v>久米田高等学校</v>
      </c>
      <c r="C5632" s="7" t="str">
        <f t="shared" si="2054"/>
        <v>行政財産</v>
      </c>
      <c r="D5632" s="7" t="str">
        <f t="shared" si="2071"/>
        <v>学校</v>
      </c>
      <c r="E5632" s="7" t="str">
        <f t="shared" ref="E5632:E5643" si="2074">"大阪府岸和田市額原町"</f>
        <v>大阪府岸和田市額原町</v>
      </c>
      <c r="F5632" s="7"/>
      <c r="G5632" s="7" t="str">
        <f t="shared" si="2059"/>
        <v>事業用資産</v>
      </c>
      <c r="H5632" s="7" t="str">
        <f t="shared" si="2049"/>
        <v>棚卸以外</v>
      </c>
      <c r="I5632" s="7">
        <v>1</v>
      </c>
      <c r="J5632" s="7" t="str">
        <f>"本館"</f>
        <v>本館</v>
      </c>
      <c r="K5632" s="7" t="str">
        <f>"鉄筋コンクリート造"</f>
        <v>鉄筋コンクリート造</v>
      </c>
      <c r="L5632" s="7" t="str">
        <f>"S53.04.07"</f>
        <v>S53.04.07</v>
      </c>
      <c r="M5632" s="7">
        <v>10946.16</v>
      </c>
      <c r="N5632" s="7">
        <v>1354463962</v>
      </c>
      <c r="O5632" s="7">
        <v>1080761764</v>
      </c>
      <c r="P5632" s="7">
        <v>0</v>
      </c>
      <c r="Q5632" s="7" t="str">
        <f t="shared" si="2060"/>
        <v>教育庁</v>
      </c>
      <c r="R5632" s="7" t="str">
        <f t="shared" ref="R5632:R5643" si="2075">"久米田高等学校"</f>
        <v>久米田高等学校</v>
      </c>
    </row>
    <row r="5633" spans="1:18" s="1" customFormat="1" x14ac:dyDescent="0.45">
      <c r="A5633" s="7" t="str">
        <f t="shared" si="2072"/>
        <v>10461000000</v>
      </c>
      <c r="B5633" s="7" t="str">
        <f t="shared" si="2073"/>
        <v>久米田高等学校</v>
      </c>
      <c r="C5633" s="7" t="str">
        <f t="shared" si="2054"/>
        <v>行政財産</v>
      </c>
      <c r="D5633" s="7" t="str">
        <f t="shared" si="2071"/>
        <v>学校</v>
      </c>
      <c r="E5633" s="7" t="str">
        <f t="shared" si="2074"/>
        <v>大阪府岸和田市額原町</v>
      </c>
      <c r="F5633" s="7"/>
      <c r="G5633" s="7" t="str">
        <f t="shared" si="2059"/>
        <v>事業用資産</v>
      </c>
      <c r="H5633" s="7" t="str">
        <f t="shared" si="2049"/>
        <v>棚卸以外</v>
      </c>
      <c r="I5633" s="7">
        <v>2</v>
      </c>
      <c r="J5633" s="7" t="str">
        <f>"第１倉庫"</f>
        <v>第１倉庫</v>
      </c>
      <c r="K5633" s="7" t="str">
        <f>"鉄骨造"</f>
        <v>鉄骨造</v>
      </c>
      <c r="L5633" s="7" t="str">
        <f>"S53.03.31"</f>
        <v>S53.03.31</v>
      </c>
      <c r="M5633" s="7">
        <v>50</v>
      </c>
      <c r="N5633" s="7">
        <v>3811000</v>
      </c>
      <c r="O5633" s="7">
        <v>3810999</v>
      </c>
      <c r="P5633" s="7">
        <v>0</v>
      </c>
      <c r="Q5633" s="7" t="str">
        <f t="shared" si="2060"/>
        <v>教育庁</v>
      </c>
      <c r="R5633" s="7" t="str">
        <f t="shared" si="2075"/>
        <v>久米田高等学校</v>
      </c>
    </row>
    <row r="5634" spans="1:18" s="1" customFormat="1" x14ac:dyDescent="0.45">
      <c r="A5634" s="7" t="str">
        <f t="shared" si="2072"/>
        <v>10461000000</v>
      </c>
      <c r="B5634" s="7" t="str">
        <f t="shared" si="2073"/>
        <v>久米田高等学校</v>
      </c>
      <c r="C5634" s="7" t="str">
        <f t="shared" si="2054"/>
        <v>行政財産</v>
      </c>
      <c r="D5634" s="7" t="str">
        <f t="shared" si="2071"/>
        <v>学校</v>
      </c>
      <c r="E5634" s="7" t="str">
        <f t="shared" si="2074"/>
        <v>大阪府岸和田市額原町</v>
      </c>
      <c r="F5634" s="7"/>
      <c r="G5634" s="7" t="str">
        <f t="shared" si="2059"/>
        <v>事業用資産</v>
      </c>
      <c r="H5634" s="7" t="str">
        <f t="shared" si="2049"/>
        <v>棚卸以外</v>
      </c>
      <c r="I5634" s="7">
        <v>3</v>
      </c>
      <c r="J5634" s="7" t="str">
        <f>"第５倉庫"</f>
        <v>第５倉庫</v>
      </c>
      <c r="K5634" s="7" t="str">
        <f>"レンガ、石積造"</f>
        <v>レンガ、石積造</v>
      </c>
      <c r="L5634" s="7" t="str">
        <f>"S53.03.31"</f>
        <v>S53.03.31</v>
      </c>
      <c r="M5634" s="7">
        <v>17.07</v>
      </c>
      <c r="N5634" s="7">
        <v>734000</v>
      </c>
      <c r="O5634" s="7">
        <v>733999</v>
      </c>
      <c r="P5634" s="7">
        <v>0</v>
      </c>
      <c r="Q5634" s="7" t="str">
        <f t="shared" si="2060"/>
        <v>教育庁</v>
      </c>
      <c r="R5634" s="7" t="str">
        <f t="shared" si="2075"/>
        <v>久米田高等学校</v>
      </c>
    </row>
    <row r="5635" spans="1:18" s="1" customFormat="1" x14ac:dyDescent="0.45">
      <c r="A5635" s="7" t="str">
        <f t="shared" si="2072"/>
        <v>10461000000</v>
      </c>
      <c r="B5635" s="7" t="str">
        <f t="shared" si="2073"/>
        <v>久米田高等学校</v>
      </c>
      <c r="C5635" s="7" t="str">
        <f t="shared" si="2054"/>
        <v>行政財産</v>
      </c>
      <c r="D5635" s="7" t="str">
        <f t="shared" si="2071"/>
        <v>学校</v>
      </c>
      <c r="E5635" s="7" t="str">
        <f t="shared" si="2074"/>
        <v>大阪府岸和田市額原町</v>
      </c>
      <c r="F5635" s="7"/>
      <c r="G5635" s="7" t="str">
        <f t="shared" si="2059"/>
        <v>事業用資産</v>
      </c>
      <c r="H5635" s="7" t="str">
        <f t="shared" si="2049"/>
        <v>棚卸以外</v>
      </c>
      <c r="I5635" s="7">
        <v>4</v>
      </c>
      <c r="J5635" s="7" t="str">
        <f>"第２倉庫"</f>
        <v>第２倉庫</v>
      </c>
      <c r="K5635" s="7" t="str">
        <f>"鉄骨造"</f>
        <v>鉄骨造</v>
      </c>
      <c r="L5635" s="7" t="str">
        <f>"S53.03.31"</f>
        <v>S53.03.31</v>
      </c>
      <c r="M5635" s="7">
        <v>50</v>
      </c>
      <c r="N5635" s="7">
        <v>3943000</v>
      </c>
      <c r="O5635" s="7">
        <v>3942999</v>
      </c>
      <c r="P5635" s="7">
        <v>0</v>
      </c>
      <c r="Q5635" s="7" t="str">
        <f t="shared" si="2060"/>
        <v>教育庁</v>
      </c>
      <c r="R5635" s="7" t="str">
        <f t="shared" si="2075"/>
        <v>久米田高等学校</v>
      </c>
    </row>
    <row r="5636" spans="1:18" s="1" customFormat="1" x14ac:dyDescent="0.45">
      <c r="A5636" s="7" t="str">
        <f t="shared" si="2072"/>
        <v>10461000000</v>
      </c>
      <c r="B5636" s="7" t="str">
        <f t="shared" si="2073"/>
        <v>久米田高等学校</v>
      </c>
      <c r="C5636" s="7" t="str">
        <f t="shared" si="2054"/>
        <v>行政財産</v>
      </c>
      <c r="D5636" s="7" t="str">
        <f t="shared" si="2071"/>
        <v>学校</v>
      </c>
      <c r="E5636" s="7" t="str">
        <f t="shared" si="2074"/>
        <v>大阪府岸和田市額原町</v>
      </c>
      <c r="F5636" s="7"/>
      <c r="G5636" s="7" t="str">
        <f t="shared" si="2059"/>
        <v>事業用資産</v>
      </c>
      <c r="H5636" s="7" t="str">
        <f t="shared" ref="H5636:H5699" si="2076">"棚卸以外"</f>
        <v>棚卸以外</v>
      </c>
      <c r="I5636" s="7">
        <v>5</v>
      </c>
      <c r="J5636" s="7" t="str">
        <f>"汚水処理場"</f>
        <v>汚水処理場</v>
      </c>
      <c r="K5636" s="7" t="str">
        <f>"鉄筋コンクリート造"</f>
        <v>鉄筋コンクリート造</v>
      </c>
      <c r="L5636" s="7" t="str">
        <f>"S53.04.07"</f>
        <v>S53.04.07</v>
      </c>
      <c r="M5636" s="7">
        <v>66.53</v>
      </c>
      <c r="N5636" s="7">
        <v>41296000</v>
      </c>
      <c r="O5636" s="7">
        <v>41295999</v>
      </c>
      <c r="P5636" s="7">
        <v>0</v>
      </c>
      <c r="Q5636" s="7" t="str">
        <f t="shared" si="2060"/>
        <v>教育庁</v>
      </c>
      <c r="R5636" s="7" t="str">
        <f t="shared" si="2075"/>
        <v>久米田高等学校</v>
      </c>
    </row>
    <row r="5637" spans="1:18" s="1" customFormat="1" x14ac:dyDescent="0.45">
      <c r="A5637" s="7" t="str">
        <f t="shared" si="2072"/>
        <v>10461000000</v>
      </c>
      <c r="B5637" s="7" t="str">
        <f t="shared" si="2073"/>
        <v>久米田高等学校</v>
      </c>
      <c r="C5637" s="7" t="str">
        <f t="shared" si="2054"/>
        <v>行政財産</v>
      </c>
      <c r="D5637" s="7" t="str">
        <f t="shared" si="2071"/>
        <v>学校</v>
      </c>
      <c r="E5637" s="7" t="str">
        <f t="shared" si="2074"/>
        <v>大阪府岸和田市額原町</v>
      </c>
      <c r="F5637" s="7"/>
      <c r="G5637" s="7" t="str">
        <f t="shared" si="2059"/>
        <v>事業用資産</v>
      </c>
      <c r="H5637" s="7" t="str">
        <f t="shared" si="2076"/>
        <v>棚卸以外</v>
      </c>
      <c r="I5637" s="7">
        <v>6</v>
      </c>
      <c r="J5637" s="7" t="str">
        <f>"塵芥集積所"</f>
        <v>塵芥集積所</v>
      </c>
      <c r="K5637" s="7" t="str">
        <f>"鉄筋コンクリート造"</f>
        <v>鉄筋コンクリート造</v>
      </c>
      <c r="L5637" s="7" t="str">
        <f>"S54.02.28"</f>
        <v>S54.02.28</v>
      </c>
      <c r="M5637" s="7">
        <v>8.24</v>
      </c>
      <c r="N5637" s="7">
        <v>560000</v>
      </c>
      <c r="O5637" s="7">
        <v>559999</v>
      </c>
      <c r="P5637" s="7">
        <v>0</v>
      </c>
      <c r="Q5637" s="7" t="str">
        <f t="shared" si="2060"/>
        <v>教育庁</v>
      </c>
      <c r="R5637" s="7" t="str">
        <f t="shared" si="2075"/>
        <v>久米田高等学校</v>
      </c>
    </row>
    <row r="5638" spans="1:18" s="1" customFormat="1" x14ac:dyDescent="0.45">
      <c r="A5638" s="7" t="str">
        <f t="shared" si="2072"/>
        <v>10461000000</v>
      </c>
      <c r="B5638" s="7" t="str">
        <f t="shared" si="2073"/>
        <v>久米田高等学校</v>
      </c>
      <c r="C5638" s="7" t="str">
        <f t="shared" si="2054"/>
        <v>行政財産</v>
      </c>
      <c r="D5638" s="7" t="str">
        <f t="shared" si="2071"/>
        <v>学校</v>
      </c>
      <c r="E5638" s="7" t="str">
        <f t="shared" si="2074"/>
        <v>大阪府岸和田市額原町</v>
      </c>
      <c r="F5638" s="7"/>
      <c r="G5638" s="7" t="str">
        <f t="shared" si="2059"/>
        <v>事業用資産</v>
      </c>
      <c r="H5638" s="7" t="str">
        <f t="shared" si="2076"/>
        <v>棚卸以外</v>
      </c>
      <c r="I5638" s="7">
        <v>7</v>
      </c>
      <c r="J5638" s="7" t="str">
        <f>"プール附属棟"</f>
        <v>プール附属棟</v>
      </c>
      <c r="K5638" s="7" t="str">
        <f>"鉄筋コンクリート造"</f>
        <v>鉄筋コンクリート造</v>
      </c>
      <c r="L5638" s="7" t="str">
        <f>"S54.01.13"</f>
        <v>S54.01.13</v>
      </c>
      <c r="M5638" s="7">
        <v>138</v>
      </c>
      <c r="N5638" s="7">
        <v>30669728</v>
      </c>
      <c r="O5638" s="7">
        <v>30562346</v>
      </c>
      <c r="P5638" s="7">
        <v>0</v>
      </c>
      <c r="Q5638" s="7" t="str">
        <f t="shared" si="2060"/>
        <v>教育庁</v>
      </c>
      <c r="R5638" s="7" t="str">
        <f t="shared" si="2075"/>
        <v>久米田高等学校</v>
      </c>
    </row>
    <row r="5639" spans="1:18" s="1" customFormat="1" x14ac:dyDescent="0.45">
      <c r="A5639" s="7" t="str">
        <f t="shared" si="2072"/>
        <v>10461000000</v>
      </c>
      <c r="B5639" s="7" t="str">
        <f t="shared" si="2073"/>
        <v>久米田高等学校</v>
      </c>
      <c r="C5639" s="7" t="str">
        <f t="shared" si="2054"/>
        <v>行政財産</v>
      </c>
      <c r="D5639" s="7" t="str">
        <f t="shared" si="2071"/>
        <v>学校</v>
      </c>
      <c r="E5639" s="7" t="str">
        <f t="shared" si="2074"/>
        <v>大阪府岸和田市額原町</v>
      </c>
      <c r="F5639" s="7"/>
      <c r="G5639" s="7" t="str">
        <f t="shared" si="2059"/>
        <v>事業用資産</v>
      </c>
      <c r="H5639" s="7" t="str">
        <f t="shared" si="2076"/>
        <v>棚卸以外</v>
      </c>
      <c r="I5639" s="7">
        <v>8</v>
      </c>
      <c r="J5639" s="7" t="str">
        <f>"体育館"</f>
        <v>体育館</v>
      </c>
      <c r="K5639" s="7" t="str">
        <f>"鉄筋コンクリート造"</f>
        <v>鉄筋コンクリート造</v>
      </c>
      <c r="L5639" s="7" t="str">
        <f>"S54.01.13"</f>
        <v>S54.01.13</v>
      </c>
      <c r="M5639" s="7">
        <v>3031.24</v>
      </c>
      <c r="N5639" s="7">
        <v>444523055</v>
      </c>
      <c r="O5639" s="7">
        <v>336837814</v>
      </c>
      <c r="P5639" s="7">
        <v>0</v>
      </c>
      <c r="Q5639" s="7" t="str">
        <f t="shared" si="2060"/>
        <v>教育庁</v>
      </c>
      <c r="R5639" s="7" t="str">
        <f t="shared" si="2075"/>
        <v>久米田高等学校</v>
      </c>
    </row>
    <row r="5640" spans="1:18" s="1" customFormat="1" x14ac:dyDescent="0.45">
      <c r="A5640" s="7" t="str">
        <f t="shared" si="2072"/>
        <v>10461000000</v>
      </c>
      <c r="B5640" s="7" t="str">
        <f t="shared" si="2073"/>
        <v>久米田高等学校</v>
      </c>
      <c r="C5640" s="7" t="str">
        <f t="shared" si="2054"/>
        <v>行政財産</v>
      </c>
      <c r="D5640" s="7" t="str">
        <f t="shared" si="2071"/>
        <v>学校</v>
      </c>
      <c r="E5640" s="7" t="str">
        <f t="shared" si="2074"/>
        <v>大阪府岸和田市額原町</v>
      </c>
      <c r="F5640" s="7"/>
      <c r="G5640" s="7" t="str">
        <f t="shared" si="2059"/>
        <v>事業用資産</v>
      </c>
      <c r="H5640" s="7" t="str">
        <f t="shared" si="2076"/>
        <v>棚卸以外</v>
      </c>
      <c r="I5640" s="7">
        <v>9</v>
      </c>
      <c r="J5640" s="7" t="str">
        <f>"第３倉庫"</f>
        <v>第３倉庫</v>
      </c>
      <c r="K5640" s="7" t="str">
        <f>"鉄骨造"</f>
        <v>鉄骨造</v>
      </c>
      <c r="L5640" s="7" t="str">
        <f>"S55.04.04"</f>
        <v>S55.04.04</v>
      </c>
      <c r="M5640" s="7">
        <v>50</v>
      </c>
      <c r="N5640" s="7">
        <v>4260000</v>
      </c>
      <c r="O5640" s="7">
        <v>4259999</v>
      </c>
      <c r="P5640" s="7">
        <v>0</v>
      </c>
      <c r="Q5640" s="7" t="str">
        <f t="shared" si="2060"/>
        <v>教育庁</v>
      </c>
      <c r="R5640" s="7" t="str">
        <f t="shared" si="2075"/>
        <v>久米田高等学校</v>
      </c>
    </row>
    <row r="5641" spans="1:18" s="1" customFormat="1" x14ac:dyDescent="0.45">
      <c r="A5641" s="7" t="str">
        <f t="shared" si="2072"/>
        <v>10461000000</v>
      </c>
      <c r="B5641" s="7" t="str">
        <f t="shared" si="2073"/>
        <v>久米田高等学校</v>
      </c>
      <c r="C5641" s="7" t="str">
        <f t="shared" si="2054"/>
        <v>行政財産</v>
      </c>
      <c r="D5641" s="7" t="str">
        <f t="shared" si="2071"/>
        <v>学校</v>
      </c>
      <c r="E5641" s="7" t="str">
        <f t="shared" si="2074"/>
        <v>大阪府岸和田市額原町</v>
      </c>
      <c r="F5641" s="7"/>
      <c r="G5641" s="7" t="str">
        <f t="shared" si="2059"/>
        <v>事業用資産</v>
      </c>
      <c r="H5641" s="7" t="str">
        <f t="shared" si="2076"/>
        <v>棚卸以外</v>
      </c>
      <c r="I5641" s="7">
        <v>10</v>
      </c>
      <c r="J5641" s="7" t="str">
        <f>"第４倉庫"</f>
        <v>第４倉庫</v>
      </c>
      <c r="K5641" s="7" t="str">
        <f>"鉄骨造"</f>
        <v>鉄骨造</v>
      </c>
      <c r="L5641" s="7" t="str">
        <f>"S55.04.04"</f>
        <v>S55.04.04</v>
      </c>
      <c r="M5641" s="7">
        <v>50</v>
      </c>
      <c r="N5641" s="7">
        <v>4260000</v>
      </c>
      <c r="O5641" s="7">
        <v>4259999</v>
      </c>
      <c r="P5641" s="7">
        <v>0</v>
      </c>
      <c r="Q5641" s="7" t="str">
        <f t="shared" si="2060"/>
        <v>教育庁</v>
      </c>
      <c r="R5641" s="7" t="str">
        <f t="shared" si="2075"/>
        <v>久米田高等学校</v>
      </c>
    </row>
    <row r="5642" spans="1:18" s="1" customFormat="1" x14ac:dyDescent="0.45">
      <c r="A5642" s="7" t="str">
        <f t="shared" si="2072"/>
        <v>10461000000</v>
      </c>
      <c r="B5642" s="7" t="str">
        <f t="shared" si="2073"/>
        <v>久米田高等学校</v>
      </c>
      <c r="C5642" s="7" t="str">
        <f t="shared" si="2054"/>
        <v>行政財産</v>
      </c>
      <c r="D5642" s="7" t="str">
        <f t="shared" si="2071"/>
        <v>学校</v>
      </c>
      <c r="E5642" s="7" t="str">
        <f t="shared" si="2074"/>
        <v>大阪府岸和田市額原町</v>
      </c>
      <c r="F5642" s="7"/>
      <c r="G5642" s="7" t="str">
        <f t="shared" si="2059"/>
        <v>事業用資産</v>
      </c>
      <c r="H5642" s="7" t="str">
        <f t="shared" si="2076"/>
        <v>棚卸以外</v>
      </c>
      <c r="I5642" s="7">
        <v>11</v>
      </c>
      <c r="J5642" s="7" t="str">
        <f>"炭ガラ置場"</f>
        <v>炭ガラ置場</v>
      </c>
      <c r="K5642" s="7" t="str">
        <f>"鉄骨コンクリート造"</f>
        <v>鉄骨コンクリート造</v>
      </c>
      <c r="L5642" s="7" t="str">
        <f>"S57.03.26"</f>
        <v>S57.03.26</v>
      </c>
      <c r="M5642" s="7">
        <v>7.72</v>
      </c>
      <c r="N5642" s="7">
        <v>952000</v>
      </c>
      <c r="O5642" s="7">
        <v>951999</v>
      </c>
      <c r="P5642" s="7">
        <v>0</v>
      </c>
      <c r="Q5642" s="7" t="str">
        <f t="shared" si="2060"/>
        <v>教育庁</v>
      </c>
      <c r="R5642" s="7" t="str">
        <f t="shared" si="2075"/>
        <v>久米田高等学校</v>
      </c>
    </row>
    <row r="5643" spans="1:18" s="1" customFormat="1" x14ac:dyDescent="0.45">
      <c r="A5643" s="7" t="str">
        <f t="shared" si="2072"/>
        <v>10461000000</v>
      </c>
      <c r="B5643" s="7" t="str">
        <f t="shared" si="2073"/>
        <v>久米田高等学校</v>
      </c>
      <c r="C5643" s="7" t="str">
        <f t="shared" si="2054"/>
        <v>行政財産</v>
      </c>
      <c r="D5643" s="7" t="str">
        <f t="shared" si="2071"/>
        <v>学校</v>
      </c>
      <c r="E5643" s="7" t="str">
        <f t="shared" si="2074"/>
        <v>大阪府岸和田市額原町</v>
      </c>
      <c r="F5643" s="7"/>
      <c r="G5643" s="7" t="str">
        <f t="shared" si="2059"/>
        <v>事業用資産</v>
      </c>
      <c r="H5643" s="7" t="str">
        <f t="shared" si="2076"/>
        <v>棚卸以外</v>
      </c>
      <c r="I5643" s="7">
        <v>12</v>
      </c>
      <c r="J5643" s="7" t="str">
        <f>"石灰置場"</f>
        <v>石灰置場</v>
      </c>
      <c r="K5643" s="7" t="str">
        <f>"コンクリートブロック造"</f>
        <v>コンクリートブロック造</v>
      </c>
      <c r="L5643" s="7" t="str">
        <f>"S57.03.26"</f>
        <v>S57.03.26</v>
      </c>
      <c r="M5643" s="7">
        <v>6</v>
      </c>
      <c r="N5643" s="7">
        <v>643000</v>
      </c>
      <c r="O5643" s="7">
        <v>642999</v>
      </c>
      <c r="P5643" s="7">
        <v>0</v>
      </c>
      <c r="Q5643" s="7" t="str">
        <f t="shared" si="2060"/>
        <v>教育庁</v>
      </c>
      <c r="R5643" s="7" t="str">
        <f t="shared" si="2075"/>
        <v>久米田高等学校</v>
      </c>
    </row>
    <row r="5644" spans="1:18" s="1" customFormat="1" x14ac:dyDescent="0.45">
      <c r="A5644" s="7" t="str">
        <f t="shared" ref="A5644:A5667" si="2077">"10462000000"</f>
        <v>10462000000</v>
      </c>
      <c r="B5644" s="7" t="str">
        <f t="shared" ref="B5644:B5667" si="2078">"佐野高等学校"</f>
        <v>佐野高等学校</v>
      </c>
      <c r="C5644" s="7" t="str">
        <f t="shared" si="2054"/>
        <v>行政財産</v>
      </c>
      <c r="D5644" s="7" t="str">
        <f t="shared" si="2071"/>
        <v>学校</v>
      </c>
      <c r="E5644" s="7" t="str">
        <f t="shared" ref="E5644:E5667" si="2079">"大阪府泉佐野市市場東２丁目"</f>
        <v>大阪府泉佐野市市場東２丁目</v>
      </c>
      <c r="F5644" s="7"/>
      <c r="G5644" s="7" t="str">
        <f t="shared" si="2059"/>
        <v>事業用資産</v>
      </c>
      <c r="H5644" s="7" t="str">
        <f t="shared" si="2076"/>
        <v>棚卸以外</v>
      </c>
      <c r="I5644" s="7">
        <v>1</v>
      </c>
      <c r="J5644" s="7" t="str">
        <f>"本館"</f>
        <v>本館</v>
      </c>
      <c r="K5644" s="7" t="str">
        <f>"鉄筋コンクリート造"</f>
        <v>鉄筋コンクリート造</v>
      </c>
      <c r="L5644" s="7" t="str">
        <f>"S12.10.30"</f>
        <v>S12.10.30</v>
      </c>
      <c r="M5644" s="7">
        <v>1079.33</v>
      </c>
      <c r="N5644" s="7">
        <v>66655947</v>
      </c>
      <c r="O5644" s="7">
        <v>54190809</v>
      </c>
      <c r="P5644" s="7">
        <v>0</v>
      </c>
      <c r="Q5644" s="7" t="str">
        <f t="shared" si="2060"/>
        <v>教育庁</v>
      </c>
      <c r="R5644" s="7" t="str">
        <f t="shared" ref="R5644:R5667" si="2080">"佐野高等学校"</f>
        <v>佐野高等学校</v>
      </c>
    </row>
    <row r="5645" spans="1:18" s="1" customFormat="1" x14ac:dyDescent="0.45">
      <c r="A5645" s="7" t="str">
        <f t="shared" si="2077"/>
        <v>10462000000</v>
      </c>
      <c r="B5645" s="7" t="str">
        <f t="shared" si="2078"/>
        <v>佐野高等学校</v>
      </c>
      <c r="C5645" s="7" t="str">
        <f t="shared" ref="C5645:C5708" si="2081">"行政財産"</f>
        <v>行政財産</v>
      </c>
      <c r="D5645" s="7" t="str">
        <f t="shared" si="2071"/>
        <v>学校</v>
      </c>
      <c r="E5645" s="7" t="str">
        <f t="shared" si="2079"/>
        <v>大阪府泉佐野市市場東２丁目</v>
      </c>
      <c r="F5645" s="7"/>
      <c r="G5645" s="7" t="str">
        <f t="shared" si="2059"/>
        <v>事業用資産</v>
      </c>
      <c r="H5645" s="7" t="str">
        <f t="shared" si="2076"/>
        <v>棚卸以外</v>
      </c>
      <c r="I5645" s="7">
        <v>4</v>
      </c>
      <c r="J5645" s="7" t="str">
        <f>"Ｅ館"</f>
        <v>Ｅ館</v>
      </c>
      <c r="K5645" s="7" t="str">
        <f>"鉄筋コンクリート造"</f>
        <v>鉄筋コンクリート造</v>
      </c>
      <c r="L5645" s="7" t="str">
        <f>"S38.02.23"</f>
        <v>S38.02.23</v>
      </c>
      <c r="M5645" s="7">
        <v>1340.46</v>
      </c>
      <c r="N5645" s="7">
        <v>137752989</v>
      </c>
      <c r="O5645" s="7">
        <v>83855304</v>
      </c>
      <c r="P5645" s="7">
        <v>0</v>
      </c>
      <c r="Q5645" s="7" t="str">
        <f t="shared" si="2060"/>
        <v>教育庁</v>
      </c>
      <c r="R5645" s="7" t="str">
        <f t="shared" si="2080"/>
        <v>佐野高等学校</v>
      </c>
    </row>
    <row r="5646" spans="1:18" s="1" customFormat="1" x14ac:dyDescent="0.45">
      <c r="A5646" s="7" t="str">
        <f t="shared" si="2077"/>
        <v>10462000000</v>
      </c>
      <c r="B5646" s="7" t="str">
        <f t="shared" si="2078"/>
        <v>佐野高等学校</v>
      </c>
      <c r="C5646" s="7" t="str">
        <f t="shared" si="2081"/>
        <v>行政財産</v>
      </c>
      <c r="D5646" s="7" t="str">
        <f t="shared" si="2071"/>
        <v>学校</v>
      </c>
      <c r="E5646" s="7" t="str">
        <f t="shared" si="2079"/>
        <v>大阪府泉佐野市市場東２丁目</v>
      </c>
      <c r="F5646" s="7"/>
      <c r="G5646" s="7" t="str">
        <f t="shared" si="2059"/>
        <v>事業用資産</v>
      </c>
      <c r="H5646" s="7" t="str">
        <f t="shared" si="2076"/>
        <v>棚卸以外</v>
      </c>
      <c r="I5646" s="7">
        <v>19</v>
      </c>
      <c r="J5646" s="7" t="str">
        <f>"Ｅ館ポンプ室"</f>
        <v>Ｅ館ポンプ室</v>
      </c>
      <c r="K5646" s="7" t="str">
        <f>"鉄筋コンクリート造"</f>
        <v>鉄筋コンクリート造</v>
      </c>
      <c r="L5646" s="7" t="str">
        <f>"S39.02.29"</f>
        <v>S39.02.29</v>
      </c>
      <c r="M5646" s="7">
        <v>3.99</v>
      </c>
      <c r="N5646" s="7">
        <v>975964</v>
      </c>
      <c r="O5646" s="7">
        <v>975963</v>
      </c>
      <c r="P5646" s="7">
        <v>0</v>
      </c>
      <c r="Q5646" s="7" t="str">
        <f t="shared" si="2060"/>
        <v>教育庁</v>
      </c>
      <c r="R5646" s="7" t="str">
        <f t="shared" si="2080"/>
        <v>佐野高等学校</v>
      </c>
    </row>
    <row r="5647" spans="1:18" s="1" customFormat="1" x14ac:dyDescent="0.45">
      <c r="A5647" s="7" t="str">
        <f t="shared" si="2077"/>
        <v>10462000000</v>
      </c>
      <c r="B5647" s="7" t="str">
        <f t="shared" si="2078"/>
        <v>佐野高等学校</v>
      </c>
      <c r="C5647" s="7" t="str">
        <f t="shared" si="2081"/>
        <v>行政財産</v>
      </c>
      <c r="D5647" s="7" t="str">
        <f t="shared" si="2071"/>
        <v>学校</v>
      </c>
      <c r="E5647" s="7" t="str">
        <f t="shared" si="2079"/>
        <v>大阪府泉佐野市市場東２丁目</v>
      </c>
      <c r="F5647" s="7"/>
      <c r="G5647" s="7" t="str">
        <f t="shared" si="2059"/>
        <v>事業用資産</v>
      </c>
      <c r="H5647" s="7" t="str">
        <f t="shared" si="2076"/>
        <v>棚卸以外</v>
      </c>
      <c r="I5647" s="7">
        <v>21</v>
      </c>
      <c r="J5647" s="7" t="str">
        <f>"記念会館"</f>
        <v>記念会館</v>
      </c>
      <c r="K5647" s="7" t="str">
        <f>"鉄筋コンクリート造"</f>
        <v>鉄筋コンクリート造</v>
      </c>
      <c r="L5647" s="7" t="str">
        <f>"S42.05.18"</f>
        <v>S42.05.18</v>
      </c>
      <c r="M5647" s="7">
        <v>238</v>
      </c>
      <c r="N5647" s="7">
        <v>30799252</v>
      </c>
      <c r="O5647" s="7">
        <v>15402936</v>
      </c>
      <c r="P5647" s="7">
        <v>0</v>
      </c>
      <c r="Q5647" s="7" t="str">
        <f t="shared" si="2060"/>
        <v>教育庁</v>
      </c>
      <c r="R5647" s="7" t="str">
        <f t="shared" si="2080"/>
        <v>佐野高等学校</v>
      </c>
    </row>
    <row r="5648" spans="1:18" s="1" customFormat="1" x14ac:dyDescent="0.45">
      <c r="A5648" s="7" t="str">
        <f t="shared" si="2077"/>
        <v>10462000000</v>
      </c>
      <c r="B5648" s="7" t="str">
        <f t="shared" si="2078"/>
        <v>佐野高等学校</v>
      </c>
      <c r="C5648" s="7" t="str">
        <f t="shared" si="2081"/>
        <v>行政財産</v>
      </c>
      <c r="D5648" s="7" t="str">
        <f t="shared" si="2071"/>
        <v>学校</v>
      </c>
      <c r="E5648" s="7" t="str">
        <f t="shared" si="2079"/>
        <v>大阪府泉佐野市市場東２丁目</v>
      </c>
      <c r="F5648" s="7"/>
      <c r="G5648" s="7" t="str">
        <f t="shared" si="2059"/>
        <v>事業用資産</v>
      </c>
      <c r="H5648" s="7" t="str">
        <f t="shared" si="2076"/>
        <v>棚卸以外</v>
      </c>
      <c r="I5648" s="7">
        <v>22</v>
      </c>
      <c r="J5648" s="7" t="str">
        <f>"事務倉庫"</f>
        <v>事務倉庫</v>
      </c>
      <c r="K5648" s="7" t="str">
        <f>"土蔵造(簡易建物)"</f>
        <v>土蔵造(簡易建物)</v>
      </c>
      <c r="L5648" s="7" t="str">
        <f>"S42.05.19"</f>
        <v>S42.05.19</v>
      </c>
      <c r="M5648" s="7">
        <v>32.4</v>
      </c>
      <c r="N5648" s="7">
        <v>972000</v>
      </c>
      <c r="O5648" s="7">
        <v>971999</v>
      </c>
      <c r="P5648" s="7">
        <v>0</v>
      </c>
      <c r="Q5648" s="7" t="str">
        <f t="shared" si="2060"/>
        <v>教育庁</v>
      </c>
      <c r="R5648" s="7" t="str">
        <f t="shared" si="2080"/>
        <v>佐野高等学校</v>
      </c>
    </row>
    <row r="5649" spans="1:18" s="1" customFormat="1" x14ac:dyDescent="0.45">
      <c r="A5649" s="7" t="str">
        <f t="shared" si="2077"/>
        <v>10462000000</v>
      </c>
      <c r="B5649" s="7" t="str">
        <f t="shared" si="2078"/>
        <v>佐野高等学校</v>
      </c>
      <c r="C5649" s="7" t="str">
        <f t="shared" si="2081"/>
        <v>行政財産</v>
      </c>
      <c r="D5649" s="7" t="str">
        <f t="shared" si="2071"/>
        <v>学校</v>
      </c>
      <c r="E5649" s="7" t="str">
        <f t="shared" si="2079"/>
        <v>大阪府泉佐野市市場東２丁目</v>
      </c>
      <c r="F5649" s="7"/>
      <c r="G5649" s="7" t="str">
        <f t="shared" si="2059"/>
        <v>事業用資産</v>
      </c>
      <c r="H5649" s="7" t="str">
        <f t="shared" si="2076"/>
        <v>棚卸以外</v>
      </c>
      <c r="I5649" s="7">
        <v>25</v>
      </c>
      <c r="J5649" s="7" t="str">
        <f>"１号館"</f>
        <v>１号館</v>
      </c>
      <c r="K5649" s="7" t="str">
        <f>"鉄筋コンクリート造"</f>
        <v>鉄筋コンクリート造</v>
      </c>
      <c r="L5649" s="7" t="str">
        <f>"S43.03.20"</f>
        <v>S43.03.20</v>
      </c>
      <c r="M5649" s="7">
        <v>4334.0600000000004</v>
      </c>
      <c r="N5649" s="7">
        <v>627842765</v>
      </c>
      <c r="O5649" s="7">
        <v>436623836</v>
      </c>
      <c r="P5649" s="7">
        <v>0</v>
      </c>
      <c r="Q5649" s="7" t="str">
        <f t="shared" si="2060"/>
        <v>教育庁</v>
      </c>
      <c r="R5649" s="7" t="str">
        <f t="shared" si="2080"/>
        <v>佐野高等学校</v>
      </c>
    </row>
    <row r="5650" spans="1:18" s="1" customFormat="1" x14ac:dyDescent="0.45">
      <c r="A5650" s="7" t="str">
        <f t="shared" si="2077"/>
        <v>10462000000</v>
      </c>
      <c r="B5650" s="7" t="str">
        <f t="shared" si="2078"/>
        <v>佐野高等学校</v>
      </c>
      <c r="C5650" s="7" t="str">
        <f t="shared" si="2081"/>
        <v>行政財産</v>
      </c>
      <c r="D5650" s="7" t="str">
        <f t="shared" si="2071"/>
        <v>学校</v>
      </c>
      <c r="E5650" s="7" t="str">
        <f t="shared" si="2079"/>
        <v>大阪府泉佐野市市場東２丁目</v>
      </c>
      <c r="F5650" s="7"/>
      <c r="G5650" s="7" t="str">
        <f t="shared" si="2059"/>
        <v>事業用資産</v>
      </c>
      <c r="H5650" s="7" t="str">
        <f t="shared" si="2076"/>
        <v>棚卸以外</v>
      </c>
      <c r="I5650" s="7">
        <v>26</v>
      </c>
      <c r="J5650" s="7" t="str">
        <f>"消火ポンプ室"</f>
        <v>消火ポンプ室</v>
      </c>
      <c r="K5650" s="7" t="str">
        <f>"鉄筋コンクリート造"</f>
        <v>鉄筋コンクリート造</v>
      </c>
      <c r="L5650" s="7" t="str">
        <f>"S43.03.20"</f>
        <v>S43.03.20</v>
      </c>
      <c r="M5650" s="7">
        <v>9.33</v>
      </c>
      <c r="N5650" s="7">
        <v>2103575</v>
      </c>
      <c r="O5650" s="7">
        <v>2103573</v>
      </c>
      <c r="P5650" s="7">
        <v>0</v>
      </c>
      <c r="Q5650" s="7" t="str">
        <f t="shared" si="2060"/>
        <v>教育庁</v>
      </c>
      <c r="R5650" s="7" t="str">
        <f t="shared" si="2080"/>
        <v>佐野高等学校</v>
      </c>
    </row>
    <row r="5651" spans="1:18" s="1" customFormat="1" x14ac:dyDescent="0.45">
      <c r="A5651" s="7" t="str">
        <f t="shared" si="2077"/>
        <v>10462000000</v>
      </c>
      <c r="B5651" s="7" t="str">
        <f t="shared" si="2078"/>
        <v>佐野高等学校</v>
      </c>
      <c r="C5651" s="7" t="str">
        <f t="shared" si="2081"/>
        <v>行政財産</v>
      </c>
      <c r="D5651" s="7" t="str">
        <f t="shared" si="2071"/>
        <v>学校</v>
      </c>
      <c r="E5651" s="7" t="str">
        <f t="shared" si="2079"/>
        <v>大阪府泉佐野市市場東２丁目</v>
      </c>
      <c r="F5651" s="7"/>
      <c r="G5651" s="7" t="str">
        <f t="shared" si="2059"/>
        <v>事業用資産</v>
      </c>
      <c r="H5651" s="7" t="str">
        <f t="shared" si="2076"/>
        <v>棚卸以外</v>
      </c>
      <c r="I5651" s="7">
        <v>28</v>
      </c>
      <c r="J5651" s="7" t="str">
        <f>"プール附属室機械室"</f>
        <v>プール附属室機械室</v>
      </c>
      <c r="K5651" s="7" t="str">
        <f>"コンクリートブロック造"</f>
        <v>コンクリートブロック造</v>
      </c>
      <c r="L5651" s="7" t="str">
        <f>"S43.07.15"</f>
        <v>S43.07.15</v>
      </c>
      <c r="M5651" s="7">
        <v>21.2</v>
      </c>
      <c r="N5651" s="7">
        <v>1157000</v>
      </c>
      <c r="O5651" s="7">
        <v>1156999</v>
      </c>
      <c r="P5651" s="7">
        <v>0</v>
      </c>
      <c r="Q5651" s="7" t="str">
        <f t="shared" si="2060"/>
        <v>教育庁</v>
      </c>
      <c r="R5651" s="7" t="str">
        <f t="shared" si="2080"/>
        <v>佐野高等学校</v>
      </c>
    </row>
    <row r="5652" spans="1:18" s="1" customFormat="1" x14ac:dyDescent="0.45">
      <c r="A5652" s="7" t="str">
        <f t="shared" si="2077"/>
        <v>10462000000</v>
      </c>
      <c r="B5652" s="7" t="str">
        <f t="shared" si="2078"/>
        <v>佐野高等学校</v>
      </c>
      <c r="C5652" s="7" t="str">
        <f t="shared" si="2081"/>
        <v>行政財産</v>
      </c>
      <c r="D5652" s="7" t="str">
        <f t="shared" si="2071"/>
        <v>学校</v>
      </c>
      <c r="E5652" s="7" t="str">
        <f t="shared" si="2079"/>
        <v>大阪府泉佐野市市場東２丁目</v>
      </c>
      <c r="F5652" s="7"/>
      <c r="G5652" s="7" t="str">
        <f t="shared" si="2059"/>
        <v>事業用資産</v>
      </c>
      <c r="H5652" s="7" t="str">
        <f t="shared" si="2076"/>
        <v>棚卸以外</v>
      </c>
      <c r="I5652" s="7">
        <v>31</v>
      </c>
      <c r="J5652" s="7" t="str">
        <f>"体育館"</f>
        <v>体育館</v>
      </c>
      <c r="K5652" s="7" t="str">
        <f>"鉄筋コンクリート造"</f>
        <v>鉄筋コンクリート造</v>
      </c>
      <c r="L5652" s="7" t="str">
        <f>"S45.02.15"</f>
        <v>S45.02.15</v>
      </c>
      <c r="M5652" s="7">
        <v>2077.81</v>
      </c>
      <c r="N5652" s="7">
        <v>193021405</v>
      </c>
      <c r="O5652" s="7">
        <v>108623391</v>
      </c>
      <c r="P5652" s="7">
        <v>0</v>
      </c>
      <c r="Q5652" s="7" t="str">
        <f t="shared" si="2060"/>
        <v>教育庁</v>
      </c>
      <c r="R5652" s="7" t="str">
        <f t="shared" si="2080"/>
        <v>佐野高等学校</v>
      </c>
    </row>
    <row r="5653" spans="1:18" s="1" customFormat="1" x14ac:dyDescent="0.45">
      <c r="A5653" s="7" t="str">
        <f t="shared" si="2077"/>
        <v>10462000000</v>
      </c>
      <c r="B5653" s="7" t="str">
        <f t="shared" si="2078"/>
        <v>佐野高等学校</v>
      </c>
      <c r="C5653" s="7" t="str">
        <f t="shared" si="2081"/>
        <v>行政財産</v>
      </c>
      <c r="D5653" s="7" t="str">
        <f t="shared" si="2071"/>
        <v>学校</v>
      </c>
      <c r="E5653" s="7" t="str">
        <f t="shared" si="2079"/>
        <v>大阪府泉佐野市市場東２丁目</v>
      </c>
      <c r="F5653" s="7"/>
      <c r="G5653" s="7" t="str">
        <f t="shared" si="2059"/>
        <v>事業用資産</v>
      </c>
      <c r="H5653" s="7" t="str">
        <f t="shared" si="2076"/>
        <v>棚卸以外</v>
      </c>
      <c r="I5653" s="7">
        <v>32</v>
      </c>
      <c r="J5653" s="7" t="str">
        <f>"特別教室棟"</f>
        <v>特別教室棟</v>
      </c>
      <c r="K5653" s="7" t="str">
        <f>"鉄筋コンクリート造"</f>
        <v>鉄筋コンクリート造</v>
      </c>
      <c r="L5653" s="7" t="str">
        <f>"S46.07.31"</f>
        <v>S46.07.31</v>
      </c>
      <c r="M5653" s="7">
        <v>3452</v>
      </c>
      <c r="N5653" s="7">
        <v>244747134</v>
      </c>
      <c r="O5653" s="7">
        <v>194819383</v>
      </c>
      <c r="P5653" s="7">
        <v>0</v>
      </c>
      <c r="Q5653" s="7" t="str">
        <f t="shared" si="2060"/>
        <v>教育庁</v>
      </c>
      <c r="R5653" s="7" t="str">
        <f t="shared" si="2080"/>
        <v>佐野高等学校</v>
      </c>
    </row>
    <row r="5654" spans="1:18" s="1" customFormat="1" x14ac:dyDescent="0.45">
      <c r="A5654" s="7" t="str">
        <f t="shared" si="2077"/>
        <v>10462000000</v>
      </c>
      <c r="B5654" s="7" t="str">
        <f t="shared" si="2078"/>
        <v>佐野高等学校</v>
      </c>
      <c r="C5654" s="7" t="str">
        <f t="shared" si="2081"/>
        <v>行政財産</v>
      </c>
      <c r="D5654" s="7" t="str">
        <f t="shared" si="2071"/>
        <v>学校</v>
      </c>
      <c r="E5654" s="7" t="str">
        <f t="shared" si="2079"/>
        <v>大阪府泉佐野市市場東２丁目</v>
      </c>
      <c r="F5654" s="7"/>
      <c r="G5654" s="7" t="str">
        <f t="shared" si="2059"/>
        <v>事業用資産</v>
      </c>
      <c r="H5654" s="7" t="str">
        <f t="shared" si="2076"/>
        <v>棚卸以外</v>
      </c>
      <c r="I5654" s="7">
        <v>33</v>
      </c>
      <c r="J5654" s="7" t="str">
        <f>"渡り廊下（１～特東）"</f>
        <v>渡り廊下（１～特東）</v>
      </c>
      <c r="K5654" s="7" t="str">
        <f>"鉄筋コンクリート造"</f>
        <v>鉄筋コンクリート造</v>
      </c>
      <c r="L5654" s="7" t="str">
        <f>"S46.07.31"</f>
        <v>S46.07.31</v>
      </c>
      <c r="M5654" s="7">
        <v>288</v>
      </c>
      <c r="N5654" s="7">
        <v>11139772</v>
      </c>
      <c r="O5654" s="7">
        <v>10235098</v>
      </c>
      <c r="P5654" s="7">
        <v>0</v>
      </c>
      <c r="Q5654" s="7" t="str">
        <f t="shared" si="2060"/>
        <v>教育庁</v>
      </c>
      <c r="R5654" s="7" t="str">
        <f t="shared" si="2080"/>
        <v>佐野高等学校</v>
      </c>
    </row>
    <row r="5655" spans="1:18" s="1" customFormat="1" x14ac:dyDescent="0.45">
      <c r="A5655" s="7" t="str">
        <f t="shared" si="2077"/>
        <v>10462000000</v>
      </c>
      <c r="B5655" s="7" t="str">
        <f t="shared" si="2078"/>
        <v>佐野高等学校</v>
      </c>
      <c r="C5655" s="7" t="str">
        <f t="shared" si="2081"/>
        <v>行政財産</v>
      </c>
      <c r="D5655" s="7" t="str">
        <f t="shared" si="2071"/>
        <v>学校</v>
      </c>
      <c r="E5655" s="7" t="str">
        <f t="shared" si="2079"/>
        <v>大阪府泉佐野市市場東２丁目</v>
      </c>
      <c r="F5655" s="7"/>
      <c r="G5655" s="7" t="str">
        <f t="shared" ref="G5655:G5718" si="2082">"事業用資産"</f>
        <v>事業用資産</v>
      </c>
      <c r="H5655" s="7" t="str">
        <f t="shared" si="2076"/>
        <v>棚卸以外</v>
      </c>
      <c r="I5655" s="7">
        <v>34</v>
      </c>
      <c r="J5655" s="7" t="str">
        <f>"渡り廊下（１～特西）"</f>
        <v>渡り廊下（１～特西）</v>
      </c>
      <c r="K5655" s="7" t="str">
        <f>"軽量鉄骨造"</f>
        <v>軽量鉄骨造</v>
      </c>
      <c r="L5655" s="7" t="str">
        <f>"S46.07.31"</f>
        <v>S46.07.31</v>
      </c>
      <c r="M5655" s="7">
        <v>96</v>
      </c>
      <c r="N5655" s="7">
        <v>1059371</v>
      </c>
      <c r="O5655" s="7">
        <v>975879</v>
      </c>
      <c r="P5655" s="7">
        <v>0</v>
      </c>
      <c r="Q5655" s="7" t="str">
        <f t="shared" si="2060"/>
        <v>教育庁</v>
      </c>
      <c r="R5655" s="7" t="str">
        <f t="shared" si="2080"/>
        <v>佐野高等学校</v>
      </c>
    </row>
    <row r="5656" spans="1:18" s="1" customFormat="1" x14ac:dyDescent="0.45">
      <c r="A5656" s="7" t="str">
        <f t="shared" si="2077"/>
        <v>10462000000</v>
      </c>
      <c r="B5656" s="7" t="str">
        <f t="shared" si="2078"/>
        <v>佐野高等学校</v>
      </c>
      <c r="C5656" s="7" t="str">
        <f t="shared" si="2081"/>
        <v>行政財産</v>
      </c>
      <c r="D5656" s="7" t="str">
        <f t="shared" si="2071"/>
        <v>学校</v>
      </c>
      <c r="E5656" s="7" t="str">
        <f t="shared" si="2079"/>
        <v>大阪府泉佐野市市場東２丁目</v>
      </c>
      <c r="F5656" s="7"/>
      <c r="G5656" s="7" t="str">
        <f t="shared" si="2082"/>
        <v>事業用資産</v>
      </c>
      <c r="H5656" s="7" t="str">
        <f t="shared" si="2076"/>
        <v>棚卸以外</v>
      </c>
      <c r="I5656" s="7">
        <v>37</v>
      </c>
      <c r="J5656" s="7" t="str">
        <f>"設備棟"</f>
        <v>設備棟</v>
      </c>
      <c r="K5656" s="7" t="str">
        <f>"鉄筋コンクリート造"</f>
        <v>鉄筋コンクリート造</v>
      </c>
      <c r="L5656" s="7" t="str">
        <f>"S46.07.31"</f>
        <v>S46.07.31</v>
      </c>
      <c r="M5656" s="7">
        <v>76.33</v>
      </c>
      <c r="N5656" s="7">
        <v>14787915</v>
      </c>
      <c r="O5656" s="7">
        <v>14047690</v>
      </c>
      <c r="P5656" s="7">
        <v>0</v>
      </c>
      <c r="Q5656" s="7" t="str">
        <f t="shared" si="2060"/>
        <v>教育庁</v>
      </c>
      <c r="R5656" s="7" t="str">
        <f t="shared" si="2080"/>
        <v>佐野高等学校</v>
      </c>
    </row>
    <row r="5657" spans="1:18" s="1" customFormat="1" x14ac:dyDescent="0.45">
      <c r="A5657" s="7" t="str">
        <f t="shared" si="2077"/>
        <v>10462000000</v>
      </c>
      <c r="B5657" s="7" t="str">
        <f t="shared" si="2078"/>
        <v>佐野高等学校</v>
      </c>
      <c r="C5657" s="7" t="str">
        <f t="shared" si="2081"/>
        <v>行政財産</v>
      </c>
      <c r="D5657" s="7" t="str">
        <f t="shared" si="2071"/>
        <v>学校</v>
      </c>
      <c r="E5657" s="7" t="str">
        <f t="shared" si="2079"/>
        <v>大阪府泉佐野市市場東２丁目</v>
      </c>
      <c r="F5657" s="7"/>
      <c r="G5657" s="7" t="str">
        <f t="shared" si="2082"/>
        <v>事業用資産</v>
      </c>
      <c r="H5657" s="7" t="str">
        <f t="shared" si="2076"/>
        <v>棚卸以外</v>
      </c>
      <c r="I5657" s="7">
        <v>41</v>
      </c>
      <c r="J5657" s="7" t="str">
        <f>"食堂棟"</f>
        <v>食堂棟</v>
      </c>
      <c r="K5657" s="7" t="str">
        <f>"鉄筋コンクリート造"</f>
        <v>鉄筋コンクリート造</v>
      </c>
      <c r="L5657" s="7" t="str">
        <f>"S49.05.31"</f>
        <v>S49.05.31</v>
      </c>
      <c r="M5657" s="7">
        <v>703.7</v>
      </c>
      <c r="N5657" s="7">
        <v>80748879</v>
      </c>
      <c r="O5657" s="7">
        <v>77123036</v>
      </c>
      <c r="P5657" s="7">
        <v>0</v>
      </c>
      <c r="Q5657" s="7" t="str">
        <f t="shared" si="2060"/>
        <v>教育庁</v>
      </c>
      <c r="R5657" s="7" t="str">
        <f t="shared" si="2080"/>
        <v>佐野高等学校</v>
      </c>
    </row>
    <row r="5658" spans="1:18" s="1" customFormat="1" x14ac:dyDescent="0.45">
      <c r="A5658" s="7" t="str">
        <f t="shared" si="2077"/>
        <v>10462000000</v>
      </c>
      <c r="B5658" s="7" t="str">
        <f t="shared" si="2078"/>
        <v>佐野高等学校</v>
      </c>
      <c r="C5658" s="7" t="str">
        <f t="shared" si="2081"/>
        <v>行政財産</v>
      </c>
      <c r="D5658" s="7" t="str">
        <f t="shared" si="2071"/>
        <v>学校</v>
      </c>
      <c r="E5658" s="7" t="str">
        <f t="shared" si="2079"/>
        <v>大阪府泉佐野市市場東２丁目</v>
      </c>
      <c r="F5658" s="7"/>
      <c r="G5658" s="7" t="str">
        <f t="shared" si="2082"/>
        <v>事業用資産</v>
      </c>
      <c r="H5658" s="7" t="str">
        <f t="shared" si="2076"/>
        <v>棚卸以外</v>
      </c>
      <c r="I5658" s="7">
        <v>42</v>
      </c>
      <c r="J5658" s="7" t="str">
        <f>"渡廊下（１～Ｅ）"</f>
        <v>渡廊下（１～Ｅ）</v>
      </c>
      <c r="K5658" s="7" t="str">
        <f>"鉄筋コンクリート造"</f>
        <v>鉄筋コンクリート造</v>
      </c>
      <c r="L5658" s="7" t="str">
        <f>"S50.04.30"</f>
        <v>S50.04.30</v>
      </c>
      <c r="M5658" s="7">
        <v>118.14</v>
      </c>
      <c r="N5658" s="7">
        <v>11161778</v>
      </c>
      <c r="O5658" s="7">
        <v>10837728</v>
      </c>
      <c r="P5658" s="7">
        <v>0</v>
      </c>
      <c r="Q5658" s="7" t="str">
        <f t="shared" si="2060"/>
        <v>教育庁</v>
      </c>
      <c r="R5658" s="7" t="str">
        <f t="shared" si="2080"/>
        <v>佐野高等学校</v>
      </c>
    </row>
    <row r="5659" spans="1:18" s="1" customFormat="1" x14ac:dyDescent="0.45">
      <c r="A5659" s="7" t="str">
        <f t="shared" si="2077"/>
        <v>10462000000</v>
      </c>
      <c r="B5659" s="7" t="str">
        <f t="shared" si="2078"/>
        <v>佐野高等学校</v>
      </c>
      <c r="C5659" s="7" t="str">
        <f t="shared" si="2081"/>
        <v>行政財産</v>
      </c>
      <c r="D5659" s="7" t="str">
        <f t="shared" si="2071"/>
        <v>学校</v>
      </c>
      <c r="E5659" s="7" t="str">
        <f t="shared" si="2079"/>
        <v>大阪府泉佐野市市場東２丁目</v>
      </c>
      <c r="F5659" s="7"/>
      <c r="G5659" s="7" t="str">
        <f t="shared" si="2082"/>
        <v>事業用資産</v>
      </c>
      <c r="H5659" s="7" t="str">
        <f t="shared" si="2076"/>
        <v>棚卸以外</v>
      </c>
      <c r="I5659" s="7">
        <v>43</v>
      </c>
      <c r="J5659" s="7" t="str">
        <f>"クラブ室１"</f>
        <v>クラブ室１</v>
      </c>
      <c r="K5659" s="7" t="str">
        <f>"鉄筋コンクリート造"</f>
        <v>鉄筋コンクリート造</v>
      </c>
      <c r="L5659" s="7" t="str">
        <f>"S50.04.30"</f>
        <v>S50.04.30</v>
      </c>
      <c r="M5659" s="7">
        <v>73</v>
      </c>
      <c r="N5659" s="7">
        <v>8653000</v>
      </c>
      <c r="O5659" s="7">
        <v>8652999</v>
      </c>
      <c r="P5659" s="7">
        <v>0</v>
      </c>
      <c r="Q5659" s="7" t="str">
        <f t="shared" ref="Q5659:Q5722" si="2083">"教育庁"</f>
        <v>教育庁</v>
      </c>
      <c r="R5659" s="7" t="str">
        <f t="shared" si="2080"/>
        <v>佐野高等学校</v>
      </c>
    </row>
    <row r="5660" spans="1:18" s="1" customFormat="1" x14ac:dyDescent="0.45">
      <c r="A5660" s="7" t="str">
        <f t="shared" si="2077"/>
        <v>10462000000</v>
      </c>
      <c r="B5660" s="7" t="str">
        <f t="shared" si="2078"/>
        <v>佐野高等学校</v>
      </c>
      <c r="C5660" s="7" t="str">
        <f t="shared" si="2081"/>
        <v>行政財産</v>
      </c>
      <c r="D5660" s="7" t="str">
        <f t="shared" si="2071"/>
        <v>学校</v>
      </c>
      <c r="E5660" s="7" t="str">
        <f t="shared" si="2079"/>
        <v>大阪府泉佐野市市場東２丁目</v>
      </c>
      <c r="F5660" s="7"/>
      <c r="G5660" s="7" t="str">
        <f t="shared" si="2082"/>
        <v>事業用資産</v>
      </c>
      <c r="H5660" s="7" t="str">
        <f t="shared" si="2076"/>
        <v>棚卸以外</v>
      </c>
      <c r="I5660" s="7">
        <v>45</v>
      </c>
      <c r="J5660" s="7" t="str">
        <f>"クラブ室２"</f>
        <v>クラブ室２</v>
      </c>
      <c r="K5660" s="7" t="str">
        <f>"土蔵造(簡易建物)"</f>
        <v>土蔵造(簡易建物)</v>
      </c>
      <c r="L5660" s="7" t="str">
        <f>"S50.03.31"</f>
        <v>S50.03.31</v>
      </c>
      <c r="M5660" s="7">
        <v>20.12</v>
      </c>
      <c r="N5660" s="7">
        <v>550000</v>
      </c>
      <c r="O5660" s="7">
        <v>549999</v>
      </c>
      <c r="P5660" s="7">
        <v>0</v>
      </c>
      <c r="Q5660" s="7" t="str">
        <f t="shared" si="2083"/>
        <v>教育庁</v>
      </c>
      <c r="R5660" s="7" t="str">
        <f t="shared" si="2080"/>
        <v>佐野高等学校</v>
      </c>
    </row>
    <row r="5661" spans="1:18" s="1" customFormat="1" x14ac:dyDescent="0.45">
      <c r="A5661" s="7" t="str">
        <f t="shared" si="2077"/>
        <v>10462000000</v>
      </c>
      <c r="B5661" s="7" t="str">
        <f t="shared" si="2078"/>
        <v>佐野高等学校</v>
      </c>
      <c r="C5661" s="7" t="str">
        <f t="shared" si="2081"/>
        <v>行政財産</v>
      </c>
      <c r="D5661" s="7" t="str">
        <f t="shared" si="2071"/>
        <v>学校</v>
      </c>
      <c r="E5661" s="7" t="str">
        <f t="shared" si="2079"/>
        <v>大阪府泉佐野市市場東２丁目</v>
      </c>
      <c r="F5661" s="7"/>
      <c r="G5661" s="7" t="str">
        <f t="shared" si="2082"/>
        <v>事業用資産</v>
      </c>
      <c r="H5661" s="7" t="str">
        <f t="shared" si="2076"/>
        <v>棚卸以外</v>
      </c>
      <c r="I5661" s="7">
        <v>46</v>
      </c>
      <c r="J5661" s="7" t="str">
        <f>"プール更衣室"</f>
        <v>プール更衣室</v>
      </c>
      <c r="K5661" s="7" t="str">
        <f>"レンガ、石積造"</f>
        <v>レンガ、石積造</v>
      </c>
      <c r="L5661" s="7" t="str">
        <f>"S50.12.22"</f>
        <v>S50.12.22</v>
      </c>
      <c r="M5661" s="7">
        <v>89.38</v>
      </c>
      <c r="N5661" s="7">
        <v>6039775</v>
      </c>
      <c r="O5661" s="7">
        <v>5877449</v>
      </c>
      <c r="P5661" s="7">
        <v>0</v>
      </c>
      <c r="Q5661" s="7" t="str">
        <f t="shared" si="2083"/>
        <v>教育庁</v>
      </c>
      <c r="R5661" s="7" t="str">
        <f t="shared" si="2080"/>
        <v>佐野高等学校</v>
      </c>
    </row>
    <row r="5662" spans="1:18" s="1" customFormat="1" x14ac:dyDescent="0.45">
      <c r="A5662" s="7" t="str">
        <f t="shared" si="2077"/>
        <v>10462000000</v>
      </c>
      <c r="B5662" s="7" t="str">
        <f t="shared" si="2078"/>
        <v>佐野高等学校</v>
      </c>
      <c r="C5662" s="7" t="str">
        <f t="shared" si="2081"/>
        <v>行政財産</v>
      </c>
      <c r="D5662" s="7" t="str">
        <f t="shared" si="2071"/>
        <v>学校</v>
      </c>
      <c r="E5662" s="7" t="str">
        <f t="shared" si="2079"/>
        <v>大阪府泉佐野市市場東２丁目</v>
      </c>
      <c r="F5662" s="7"/>
      <c r="G5662" s="7" t="str">
        <f t="shared" si="2082"/>
        <v>事業用資産</v>
      </c>
      <c r="H5662" s="7" t="str">
        <f t="shared" si="2076"/>
        <v>棚卸以外</v>
      </c>
      <c r="I5662" s="7">
        <v>47</v>
      </c>
      <c r="J5662" s="7" t="str">
        <f>"備品倉庫"</f>
        <v>備品倉庫</v>
      </c>
      <c r="K5662" s="7" t="str">
        <f>"軽量鉄骨造"</f>
        <v>軽量鉄骨造</v>
      </c>
      <c r="L5662" s="7" t="str">
        <f>"S55.11.15"</f>
        <v>S55.11.15</v>
      </c>
      <c r="M5662" s="7">
        <v>64.349999999999994</v>
      </c>
      <c r="N5662" s="7">
        <v>4295000</v>
      </c>
      <c r="O5662" s="7">
        <v>4294999</v>
      </c>
      <c r="P5662" s="7">
        <v>0</v>
      </c>
      <c r="Q5662" s="7" t="str">
        <f t="shared" si="2083"/>
        <v>教育庁</v>
      </c>
      <c r="R5662" s="7" t="str">
        <f t="shared" si="2080"/>
        <v>佐野高等学校</v>
      </c>
    </row>
    <row r="5663" spans="1:18" s="1" customFormat="1" x14ac:dyDescent="0.45">
      <c r="A5663" s="7" t="str">
        <f t="shared" si="2077"/>
        <v>10462000000</v>
      </c>
      <c r="B5663" s="7" t="str">
        <f t="shared" si="2078"/>
        <v>佐野高等学校</v>
      </c>
      <c r="C5663" s="7" t="str">
        <f t="shared" si="2081"/>
        <v>行政財産</v>
      </c>
      <c r="D5663" s="7" t="str">
        <f t="shared" si="2071"/>
        <v>学校</v>
      </c>
      <c r="E5663" s="7" t="str">
        <f t="shared" si="2079"/>
        <v>大阪府泉佐野市市場東２丁目</v>
      </c>
      <c r="F5663" s="7"/>
      <c r="G5663" s="7" t="str">
        <f t="shared" si="2082"/>
        <v>事業用資産</v>
      </c>
      <c r="H5663" s="7" t="str">
        <f t="shared" si="2076"/>
        <v>棚卸以外</v>
      </c>
      <c r="I5663" s="7">
        <v>48</v>
      </c>
      <c r="J5663" s="7" t="str">
        <f>"倉庫（物置１）"</f>
        <v>倉庫（物置１）</v>
      </c>
      <c r="K5663" s="7" t="str">
        <f>"土蔵造(簡易建物)"</f>
        <v>土蔵造(簡易建物)</v>
      </c>
      <c r="L5663" s="7" t="str">
        <f>"S61.03.31"</f>
        <v>S61.03.31</v>
      </c>
      <c r="M5663" s="7">
        <v>3.39</v>
      </c>
      <c r="N5663" s="7">
        <v>169000</v>
      </c>
      <c r="O5663" s="7">
        <v>168999</v>
      </c>
      <c r="P5663" s="7">
        <v>0</v>
      </c>
      <c r="Q5663" s="7" t="str">
        <f t="shared" si="2083"/>
        <v>教育庁</v>
      </c>
      <c r="R5663" s="7" t="str">
        <f t="shared" si="2080"/>
        <v>佐野高等学校</v>
      </c>
    </row>
    <row r="5664" spans="1:18" s="1" customFormat="1" x14ac:dyDescent="0.45">
      <c r="A5664" s="7" t="str">
        <f t="shared" si="2077"/>
        <v>10462000000</v>
      </c>
      <c r="B5664" s="7" t="str">
        <f t="shared" si="2078"/>
        <v>佐野高等学校</v>
      </c>
      <c r="C5664" s="7" t="str">
        <f t="shared" si="2081"/>
        <v>行政財産</v>
      </c>
      <c r="D5664" s="7" t="str">
        <f t="shared" si="2071"/>
        <v>学校</v>
      </c>
      <c r="E5664" s="7" t="str">
        <f t="shared" si="2079"/>
        <v>大阪府泉佐野市市場東２丁目</v>
      </c>
      <c r="F5664" s="7"/>
      <c r="G5664" s="7" t="str">
        <f t="shared" si="2082"/>
        <v>事業用資産</v>
      </c>
      <c r="H5664" s="7" t="str">
        <f t="shared" si="2076"/>
        <v>棚卸以外</v>
      </c>
      <c r="I5664" s="7">
        <v>49</v>
      </c>
      <c r="J5664" s="7" t="str">
        <f>"倉庫（物置２）"</f>
        <v>倉庫（物置２）</v>
      </c>
      <c r="K5664" s="7" t="str">
        <f>"土蔵造(簡易建物)"</f>
        <v>土蔵造(簡易建物)</v>
      </c>
      <c r="L5664" s="7" t="str">
        <f>"S61.03.31"</f>
        <v>S61.03.31</v>
      </c>
      <c r="M5664" s="7">
        <v>19.3</v>
      </c>
      <c r="N5664" s="7">
        <v>801000</v>
      </c>
      <c r="O5664" s="7">
        <v>800999</v>
      </c>
      <c r="P5664" s="7">
        <v>0</v>
      </c>
      <c r="Q5664" s="7" t="str">
        <f t="shared" si="2083"/>
        <v>教育庁</v>
      </c>
      <c r="R5664" s="7" t="str">
        <f t="shared" si="2080"/>
        <v>佐野高等学校</v>
      </c>
    </row>
    <row r="5665" spans="1:18" s="1" customFormat="1" x14ac:dyDescent="0.45">
      <c r="A5665" s="7" t="str">
        <f t="shared" si="2077"/>
        <v>10462000000</v>
      </c>
      <c r="B5665" s="7" t="str">
        <f t="shared" si="2078"/>
        <v>佐野高等学校</v>
      </c>
      <c r="C5665" s="7" t="str">
        <f t="shared" si="2081"/>
        <v>行政財産</v>
      </c>
      <c r="D5665" s="7" t="str">
        <f t="shared" si="2071"/>
        <v>学校</v>
      </c>
      <c r="E5665" s="7" t="str">
        <f t="shared" si="2079"/>
        <v>大阪府泉佐野市市場東２丁目</v>
      </c>
      <c r="F5665" s="7"/>
      <c r="G5665" s="7" t="str">
        <f t="shared" si="2082"/>
        <v>事業用資産</v>
      </c>
      <c r="H5665" s="7" t="str">
        <f t="shared" si="2076"/>
        <v>棚卸以外</v>
      </c>
      <c r="I5665" s="7">
        <v>50</v>
      </c>
      <c r="J5665" s="7" t="str">
        <f>"倉庫（物置３）"</f>
        <v>倉庫（物置３）</v>
      </c>
      <c r="K5665" s="7" t="str">
        <f>"土蔵造(簡易建物)"</f>
        <v>土蔵造(簡易建物)</v>
      </c>
      <c r="L5665" s="7" t="str">
        <f>"S61.03.20"</f>
        <v>S61.03.20</v>
      </c>
      <c r="M5665" s="7">
        <v>9.7200000000000006</v>
      </c>
      <c r="N5665" s="7">
        <v>326000</v>
      </c>
      <c r="O5665" s="7">
        <v>325999</v>
      </c>
      <c r="P5665" s="7">
        <v>0</v>
      </c>
      <c r="Q5665" s="7" t="str">
        <f t="shared" si="2083"/>
        <v>教育庁</v>
      </c>
      <c r="R5665" s="7" t="str">
        <f t="shared" si="2080"/>
        <v>佐野高等学校</v>
      </c>
    </row>
    <row r="5666" spans="1:18" s="1" customFormat="1" x14ac:dyDescent="0.45">
      <c r="A5666" s="7" t="str">
        <f t="shared" si="2077"/>
        <v>10462000000</v>
      </c>
      <c r="B5666" s="7" t="str">
        <f t="shared" si="2078"/>
        <v>佐野高等学校</v>
      </c>
      <c r="C5666" s="7" t="str">
        <f t="shared" si="2081"/>
        <v>行政財産</v>
      </c>
      <c r="D5666" s="7" t="str">
        <f t="shared" si="2071"/>
        <v>学校</v>
      </c>
      <c r="E5666" s="7" t="str">
        <f t="shared" si="2079"/>
        <v>大阪府泉佐野市市場東２丁目</v>
      </c>
      <c r="F5666" s="7"/>
      <c r="G5666" s="7" t="str">
        <f t="shared" si="2082"/>
        <v>事業用資産</v>
      </c>
      <c r="H5666" s="7" t="str">
        <f t="shared" si="2076"/>
        <v>棚卸以外</v>
      </c>
      <c r="I5666" s="7">
        <v>51</v>
      </c>
      <c r="J5666" s="7" t="str">
        <f>"倉庫（物置４）"</f>
        <v>倉庫（物置４）</v>
      </c>
      <c r="K5666" s="7" t="str">
        <f>"土蔵造(簡易建物)"</f>
        <v>土蔵造(簡易建物)</v>
      </c>
      <c r="L5666" s="7" t="str">
        <f>"S61.03.20"</f>
        <v>S61.03.20</v>
      </c>
      <c r="M5666" s="7">
        <v>14.51</v>
      </c>
      <c r="N5666" s="7">
        <v>488000</v>
      </c>
      <c r="O5666" s="7">
        <v>487999</v>
      </c>
      <c r="P5666" s="7">
        <v>0</v>
      </c>
      <c r="Q5666" s="7" t="str">
        <f t="shared" si="2083"/>
        <v>教育庁</v>
      </c>
      <c r="R5666" s="7" t="str">
        <f t="shared" si="2080"/>
        <v>佐野高等学校</v>
      </c>
    </row>
    <row r="5667" spans="1:18" s="1" customFormat="1" x14ac:dyDescent="0.45">
      <c r="A5667" s="7" t="str">
        <f t="shared" si="2077"/>
        <v>10462000000</v>
      </c>
      <c r="B5667" s="7" t="str">
        <f t="shared" si="2078"/>
        <v>佐野高等学校</v>
      </c>
      <c r="C5667" s="7" t="str">
        <f t="shared" si="2081"/>
        <v>行政財産</v>
      </c>
      <c r="D5667" s="7" t="str">
        <f t="shared" si="2071"/>
        <v>学校</v>
      </c>
      <c r="E5667" s="7" t="str">
        <f t="shared" si="2079"/>
        <v>大阪府泉佐野市市場東２丁目</v>
      </c>
      <c r="F5667" s="7"/>
      <c r="G5667" s="7" t="str">
        <f t="shared" si="2082"/>
        <v>事業用資産</v>
      </c>
      <c r="H5667" s="7" t="str">
        <f t="shared" si="2076"/>
        <v>棚卸以外</v>
      </c>
      <c r="I5667" s="7">
        <v>52</v>
      </c>
      <c r="J5667" s="7" t="str">
        <f>"倉庫"</f>
        <v>倉庫</v>
      </c>
      <c r="K5667" s="7" t="str">
        <f>"レンガ、石積造"</f>
        <v>レンガ、石積造</v>
      </c>
      <c r="L5667" s="7" t="str">
        <f>"S51.07.01"</f>
        <v>S51.07.01</v>
      </c>
      <c r="M5667" s="7">
        <v>3.36</v>
      </c>
      <c r="N5667" s="7">
        <v>39000</v>
      </c>
      <c r="O5667" s="7">
        <v>38999</v>
      </c>
      <c r="P5667" s="7">
        <v>0</v>
      </c>
      <c r="Q5667" s="7" t="str">
        <f t="shared" si="2083"/>
        <v>教育庁</v>
      </c>
      <c r="R5667" s="7" t="str">
        <f t="shared" si="2080"/>
        <v>佐野高等学校</v>
      </c>
    </row>
    <row r="5668" spans="1:18" s="1" customFormat="1" x14ac:dyDescent="0.45">
      <c r="A5668" s="7" t="str">
        <f t="shared" ref="A5668:A5678" si="2084">"10463000000"</f>
        <v>10463000000</v>
      </c>
      <c r="B5668" s="7" t="str">
        <f t="shared" ref="B5668:B5678" si="2085">"日根野高等学校"</f>
        <v>日根野高等学校</v>
      </c>
      <c r="C5668" s="7" t="str">
        <f t="shared" si="2081"/>
        <v>行政財産</v>
      </c>
      <c r="D5668" s="7" t="str">
        <f t="shared" si="2071"/>
        <v>学校</v>
      </c>
      <c r="E5668" s="7" t="str">
        <f t="shared" ref="E5668:E5678" si="2086">"大阪府泉佐野市日根野"</f>
        <v>大阪府泉佐野市日根野</v>
      </c>
      <c r="F5668" s="7"/>
      <c r="G5668" s="7" t="str">
        <f t="shared" si="2082"/>
        <v>事業用資産</v>
      </c>
      <c r="H5668" s="7" t="str">
        <f t="shared" si="2076"/>
        <v>棚卸以外</v>
      </c>
      <c r="I5668" s="7">
        <v>1</v>
      </c>
      <c r="J5668" s="7" t="str">
        <f>"校舎棟"</f>
        <v>校舎棟</v>
      </c>
      <c r="K5668" s="7" t="str">
        <f>"鉄筋コンクリート造"</f>
        <v>鉄筋コンクリート造</v>
      </c>
      <c r="L5668" s="7" t="str">
        <f>"S62.02.27"</f>
        <v>S62.02.27</v>
      </c>
      <c r="M5668" s="7">
        <v>8944.9500000000007</v>
      </c>
      <c r="N5668" s="7">
        <v>1281257721</v>
      </c>
      <c r="O5668" s="7">
        <v>899195202</v>
      </c>
      <c r="P5668" s="7">
        <v>0</v>
      </c>
      <c r="Q5668" s="7" t="str">
        <f t="shared" si="2083"/>
        <v>教育庁</v>
      </c>
      <c r="R5668" s="7" t="str">
        <f t="shared" ref="R5668:R5678" si="2087">"日根野高等学校"</f>
        <v>日根野高等学校</v>
      </c>
    </row>
    <row r="5669" spans="1:18" s="1" customFormat="1" x14ac:dyDescent="0.45">
      <c r="A5669" s="7" t="str">
        <f t="shared" si="2084"/>
        <v>10463000000</v>
      </c>
      <c r="B5669" s="7" t="str">
        <f t="shared" si="2085"/>
        <v>日根野高等学校</v>
      </c>
      <c r="C5669" s="7" t="str">
        <f t="shared" si="2081"/>
        <v>行政財産</v>
      </c>
      <c r="D5669" s="7" t="str">
        <f t="shared" si="2071"/>
        <v>学校</v>
      </c>
      <c r="E5669" s="7" t="str">
        <f t="shared" si="2086"/>
        <v>大阪府泉佐野市日根野</v>
      </c>
      <c r="F5669" s="7"/>
      <c r="G5669" s="7" t="str">
        <f t="shared" si="2082"/>
        <v>事業用資産</v>
      </c>
      <c r="H5669" s="7" t="str">
        <f t="shared" si="2076"/>
        <v>棚卸以外</v>
      </c>
      <c r="I5669" s="7">
        <v>2</v>
      </c>
      <c r="J5669" s="7" t="str">
        <f>"汚水処理場"</f>
        <v>汚水処理場</v>
      </c>
      <c r="K5669" s="7" t="str">
        <f>"鉄筋コンクリート造"</f>
        <v>鉄筋コンクリート造</v>
      </c>
      <c r="L5669" s="7" t="str">
        <f>"S62.02.27"</f>
        <v>S62.02.27</v>
      </c>
      <c r="M5669" s="7">
        <v>94.07</v>
      </c>
      <c r="N5669" s="7">
        <v>54844000</v>
      </c>
      <c r="O5669" s="7">
        <v>52077776</v>
      </c>
      <c r="P5669" s="7">
        <v>0</v>
      </c>
      <c r="Q5669" s="7" t="str">
        <f t="shared" si="2083"/>
        <v>教育庁</v>
      </c>
      <c r="R5669" s="7" t="str">
        <f t="shared" si="2087"/>
        <v>日根野高等学校</v>
      </c>
    </row>
    <row r="5670" spans="1:18" s="1" customFormat="1" x14ac:dyDescent="0.45">
      <c r="A5670" s="7" t="str">
        <f t="shared" si="2084"/>
        <v>10463000000</v>
      </c>
      <c r="B5670" s="7" t="str">
        <f t="shared" si="2085"/>
        <v>日根野高等学校</v>
      </c>
      <c r="C5670" s="7" t="str">
        <f t="shared" si="2081"/>
        <v>行政財産</v>
      </c>
      <c r="D5670" s="7" t="str">
        <f t="shared" si="2071"/>
        <v>学校</v>
      </c>
      <c r="E5670" s="7" t="str">
        <f t="shared" si="2086"/>
        <v>大阪府泉佐野市日根野</v>
      </c>
      <c r="F5670" s="7"/>
      <c r="G5670" s="7" t="str">
        <f t="shared" si="2082"/>
        <v>事業用資産</v>
      </c>
      <c r="H5670" s="7" t="str">
        <f t="shared" si="2076"/>
        <v>棚卸以外</v>
      </c>
      <c r="I5670" s="7">
        <v>3</v>
      </c>
      <c r="J5670" s="7" t="str">
        <f>"体育館"</f>
        <v>体育館</v>
      </c>
      <c r="K5670" s="7" t="str">
        <f>"鉄筋コンクリート造"</f>
        <v>鉄筋コンクリート造</v>
      </c>
      <c r="L5670" s="7" t="str">
        <f>"S62.02.27"</f>
        <v>S62.02.27</v>
      </c>
      <c r="M5670" s="7">
        <v>2365.11</v>
      </c>
      <c r="N5670" s="7">
        <v>413358790</v>
      </c>
      <c r="O5670" s="7">
        <v>291269085</v>
      </c>
      <c r="P5670" s="7">
        <v>0</v>
      </c>
      <c r="Q5670" s="7" t="str">
        <f t="shared" si="2083"/>
        <v>教育庁</v>
      </c>
      <c r="R5670" s="7" t="str">
        <f t="shared" si="2087"/>
        <v>日根野高等学校</v>
      </c>
    </row>
    <row r="5671" spans="1:18" s="1" customFormat="1" x14ac:dyDescent="0.45">
      <c r="A5671" s="7" t="str">
        <f t="shared" si="2084"/>
        <v>10463000000</v>
      </c>
      <c r="B5671" s="7" t="str">
        <f t="shared" si="2085"/>
        <v>日根野高等学校</v>
      </c>
      <c r="C5671" s="7" t="str">
        <f t="shared" si="2081"/>
        <v>行政財産</v>
      </c>
      <c r="D5671" s="7" t="str">
        <f t="shared" si="2071"/>
        <v>学校</v>
      </c>
      <c r="E5671" s="7" t="str">
        <f t="shared" si="2086"/>
        <v>大阪府泉佐野市日根野</v>
      </c>
      <c r="F5671" s="7"/>
      <c r="G5671" s="7" t="str">
        <f t="shared" si="2082"/>
        <v>事業用資産</v>
      </c>
      <c r="H5671" s="7" t="str">
        <f t="shared" si="2076"/>
        <v>棚卸以外</v>
      </c>
      <c r="I5671" s="7">
        <v>4</v>
      </c>
      <c r="J5671" s="7" t="str">
        <f>"プール附属棟"</f>
        <v>プール附属棟</v>
      </c>
      <c r="K5671" s="7" t="str">
        <f>"鉄筋コンクリート造"</f>
        <v>鉄筋コンクリート造</v>
      </c>
      <c r="L5671" s="7" t="str">
        <f>"S62.02.27"</f>
        <v>S62.02.27</v>
      </c>
      <c r="M5671" s="7">
        <v>138</v>
      </c>
      <c r="N5671" s="7">
        <v>63327899</v>
      </c>
      <c r="O5671" s="7">
        <v>39337468</v>
      </c>
      <c r="P5671" s="7">
        <v>0</v>
      </c>
      <c r="Q5671" s="7" t="str">
        <f t="shared" si="2083"/>
        <v>教育庁</v>
      </c>
      <c r="R5671" s="7" t="str">
        <f t="shared" si="2087"/>
        <v>日根野高等学校</v>
      </c>
    </row>
    <row r="5672" spans="1:18" s="1" customFormat="1" x14ac:dyDescent="0.45">
      <c r="A5672" s="7" t="str">
        <f t="shared" si="2084"/>
        <v>10463000000</v>
      </c>
      <c r="B5672" s="7" t="str">
        <f t="shared" si="2085"/>
        <v>日根野高等学校</v>
      </c>
      <c r="C5672" s="7" t="str">
        <f t="shared" si="2081"/>
        <v>行政財産</v>
      </c>
      <c r="D5672" s="7" t="str">
        <f t="shared" si="2071"/>
        <v>学校</v>
      </c>
      <c r="E5672" s="7" t="str">
        <f t="shared" si="2086"/>
        <v>大阪府泉佐野市日根野</v>
      </c>
      <c r="F5672" s="7"/>
      <c r="G5672" s="7" t="str">
        <f t="shared" si="2082"/>
        <v>事業用資産</v>
      </c>
      <c r="H5672" s="7" t="str">
        <f t="shared" si="2076"/>
        <v>棚卸以外</v>
      </c>
      <c r="I5672" s="7">
        <v>5</v>
      </c>
      <c r="J5672" s="7" t="str">
        <f>"第１倉庫棟"</f>
        <v>第１倉庫棟</v>
      </c>
      <c r="K5672" s="7" t="str">
        <f>"鉄骨造"</f>
        <v>鉄骨造</v>
      </c>
      <c r="L5672" s="7" t="str">
        <f>"S62.02.27"</f>
        <v>S62.02.27</v>
      </c>
      <c r="M5672" s="7">
        <v>100</v>
      </c>
      <c r="N5672" s="7">
        <v>7806000</v>
      </c>
      <c r="O5672" s="7">
        <v>7805999</v>
      </c>
      <c r="P5672" s="7">
        <v>0</v>
      </c>
      <c r="Q5672" s="7" t="str">
        <f t="shared" si="2083"/>
        <v>教育庁</v>
      </c>
      <c r="R5672" s="7" t="str">
        <f t="shared" si="2087"/>
        <v>日根野高等学校</v>
      </c>
    </row>
    <row r="5673" spans="1:18" s="1" customFormat="1" x14ac:dyDescent="0.45">
      <c r="A5673" s="7" t="str">
        <f t="shared" si="2084"/>
        <v>10463000000</v>
      </c>
      <c r="B5673" s="7" t="str">
        <f t="shared" si="2085"/>
        <v>日根野高等学校</v>
      </c>
      <c r="C5673" s="7" t="str">
        <f t="shared" si="2081"/>
        <v>行政財産</v>
      </c>
      <c r="D5673" s="7" t="str">
        <f t="shared" si="2071"/>
        <v>学校</v>
      </c>
      <c r="E5673" s="7" t="str">
        <f t="shared" si="2086"/>
        <v>大阪府泉佐野市日根野</v>
      </c>
      <c r="F5673" s="7"/>
      <c r="G5673" s="7" t="str">
        <f t="shared" si="2082"/>
        <v>事業用資産</v>
      </c>
      <c r="H5673" s="7" t="str">
        <f t="shared" si="2076"/>
        <v>棚卸以外</v>
      </c>
      <c r="I5673" s="7">
        <v>6</v>
      </c>
      <c r="J5673" s="7" t="str">
        <f>"第４倉庫棟"</f>
        <v>第４倉庫棟</v>
      </c>
      <c r="K5673" s="7" t="str">
        <f>"コンクリートブロック造"</f>
        <v>コンクリートブロック造</v>
      </c>
      <c r="L5673" s="7" t="str">
        <f>"S62.03.27"</f>
        <v>S62.03.27</v>
      </c>
      <c r="M5673" s="7">
        <v>20.149999999999999</v>
      </c>
      <c r="N5673" s="7">
        <v>3140000</v>
      </c>
      <c r="O5673" s="7">
        <v>3139999</v>
      </c>
      <c r="P5673" s="7">
        <v>0</v>
      </c>
      <c r="Q5673" s="7" t="str">
        <f t="shared" si="2083"/>
        <v>教育庁</v>
      </c>
      <c r="R5673" s="7" t="str">
        <f t="shared" si="2087"/>
        <v>日根野高等学校</v>
      </c>
    </row>
    <row r="5674" spans="1:18" s="1" customFormat="1" x14ac:dyDescent="0.45">
      <c r="A5674" s="7" t="str">
        <f t="shared" si="2084"/>
        <v>10463000000</v>
      </c>
      <c r="B5674" s="7" t="str">
        <f t="shared" si="2085"/>
        <v>日根野高等学校</v>
      </c>
      <c r="C5674" s="7" t="str">
        <f t="shared" si="2081"/>
        <v>行政財産</v>
      </c>
      <c r="D5674" s="7" t="str">
        <f t="shared" si="2071"/>
        <v>学校</v>
      </c>
      <c r="E5674" s="7" t="str">
        <f t="shared" si="2086"/>
        <v>大阪府泉佐野市日根野</v>
      </c>
      <c r="F5674" s="7"/>
      <c r="G5674" s="7" t="str">
        <f t="shared" si="2082"/>
        <v>事業用資産</v>
      </c>
      <c r="H5674" s="7" t="str">
        <f t="shared" si="2076"/>
        <v>棚卸以外</v>
      </c>
      <c r="I5674" s="7">
        <v>7</v>
      </c>
      <c r="J5674" s="7" t="str">
        <f>"第２倉庫棟"</f>
        <v>第２倉庫棟</v>
      </c>
      <c r="K5674" s="7" t="str">
        <f>"鉄骨造"</f>
        <v>鉄骨造</v>
      </c>
      <c r="L5674" s="7" t="str">
        <f>"S63.02.29"</f>
        <v>S63.02.29</v>
      </c>
      <c r="M5674" s="7">
        <v>100</v>
      </c>
      <c r="N5674" s="7">
        <v>11266000</v>
      </c>
      <c r="O5674" s="7">
        <v>11265999</v>
      </c>
      <c r="P5674" s="7">
        <v>0</v>
      </c>
      <c r="Q5674" s="7" t="str">
        <f t="shared" si="2083"/>
        <v>教育庁</v>
      </c>
      <c r="R5674" s="7" t="str">
        <f t="shared" si="2087"/>
        <v>日根野高等学校</v>
      </c>
    </row>
    <row r="5675" spans="1:18" s="1" customFormat="1" x14ac:dyDescent="0.45">
      <c r="A5675" s="7" t="str">
        <f t="shared" si="2084"/>
        <v>10463000000</v>
      </c>
      <c r="B5675" s="7" t="str">
        <f t="shared" si="2085"/>
        <v>日根野高等学校</v>
      </c>
      <c r="C5675" s="7" t="str">
        <f t="shared" si="2081"/>
        <v>行政財産</v>
      </c>
      <c r="D5675" s="7" t="str">
        <f t="shared" si="2071"/>
        <v>学校</v>
      </c>
      <c r="E5675" s="7" t="str">
        <f t="shared" si="2086"/>
        <v>大阪府泉佐野市日根野</v>
      </c>
      <c r="F5675" s="7"/>
      <c r="G5675" s="7" t="str">
        <f t="shared" si="2082"/>
        <v>事業用資産</v>
      </c>
      <c r="H5675" s="7" t="str">
        <f t="shared" si="2076"/>
        <v>棚卸以外</v>
      </c>
      <c r="I5675" s="7">
        <v>8</v>
      </c>
      <c r="J5675" s="7" t="str">
        <f>"石灰庫"</f>
        <v>石灰庫</v>
      </c>
      <c r="K5675" s="7" t="str">
        <f>"コンクリートブロック造"</f>
        <v>コンクリートブロック造</v>
      </c>
      <c r="L5675" s="7" t="str">
        <f>"S63.02.29"</f>
        <v>S63.02.29</v>
      </c>
      <c r="M5675" s="7">
        <v>4.41</v>
      </c>
      <c r="N5675" s="7">
        <v>719000</v>
      </c>
      <c r="O5675" s="7">
        <v>718999</v>
      </c>
      <c r="P5675" s="7">
        <v>0</v>
      </c>
      <c r="Q5675" s="7" t="str">
        <f t="shared" si="2083"/>
        <v>教育庁</v>
      </c>
      <c r="R5675" s="7" t="str">
        <f t="shared" si="2087"/>
        <v>日根野高等学校</v>
      </c>
    </row>
    <row r="5676" spans="1:18" s="1" customFormat="1" x14ac:dyDescent="0.45">
      <c r="A5676" s="7" t="str">
        <f t="shared" si="2084"/>
        <v>10463000000</v>
      </c>
      <c r="B5676" s="7" t="str">
        <f t="shared" si="2085"/>
        <v>日根野高等学校</v>
      </c>
      <c r="C5676" s="7" t="str">
        <f t="shared" si="2081"/>
        <v>行政財産</v>
      </c>
      <c r="D5676" s="7" t="str">
        <f t="shared" si="2071"/>
        <v>学校</v>
      </c>
      <c r="E5676" s="7" t="str">
        <f t="shared" si="2086"/>
        <v>大阪府泉佐野市日根野</v>
      </c>
      <c r="F5676" s="7"/>
      <c r="G5676" s="7" t="str">
        <f t="shared" si="2082"/>
        <v>事業用資産</v>
      </c>
      <c r="H5676" s="7" t="str">
        <f t="shared" si="2076"/>
        <v>棚卸以外</v>
      </c>
      <c r="I5676" s="7">
        <v>9</v>
      </c>
      <c r="J5676" s="7" t="str">
        <f>"第３倉庫棟"</f>
        <v>第３倉庫棟</v>
      </c>
      <c r="K5676" s="7" t="str">
        <f>"鉄骨造"</f>
        <v>鉄骨造</v>
      </c>
      <c r="L5676" s="7" t="str">
        <f>"S63.03.31"</f>
        <v>S63.03.31</v>
      </c>
      <c r="M5676" s="7">
        <v>50</v>
      </c>
      <c r="N5676" s="7">
        <v>5743000</v>
      </c>
      <c r="O5676" s="7">
        <v>5742999</v>
      </c>
      <c r="P5676" s="7">
        <v>0</v>
      </c>
      <c r="Q5676" s="7" t="str">
        <f t="shared" si="2083"/>
        <v>教育庁</v>
      </c>
      <c r="R5676" s="7" t="str">
        <f t="shared" si="2087"/>
        <v>日根野高等学校</v>
      </c>
    </row>
    <row r="5677" spans="1:18" s="1" customFormat="1" x14ac:dyDescent="0.45">
      <c r="A5677" s="7" t="str">
        <f t="shared" si="2084"/>
        <v>10463000000</v>
      </c>
      <c r="B5677" s="7" t="str">
        <f t="shared" si="2085"/>
        <v>日根野高等学校</v>
      </c>
      <c r="C5677" s="7" t="str">
        <f t="shared" si="2081"/>
        <v>行政財産</v>
      </c>
      <c r="D5677" s="7" t="str">
        <f t="shared" si="2071"/>
        <v>学校</v>
      </c>
      <c r="E5677" s="7" t="str">
        <f t="shared" si="2086"/>
        <v>大阪府泉佐野市日根野</v>
      </c>
      <c r="F5677" s="7"/>
      <c r="G5677" s="7" t="str">
        <f t="shared" si="2082"/>
        <v>事業用資産</v>
      </c>
      <c r="H5677" s="7" t="str">
        <f t="shared" si="2076"/>
        <v>棚卸以外</v>
      </c>
      <c r="I5677" s="7">
        <v>10</v>
      </c>
      <c r="J5677" s="7" t="str">
        <f>"第五倉庫棟"</f>
        <v>第五倉庫棟</v>
      </c>
      <c r="K5677" s="7" t="str">
        <f>"鉄骨造"</f>
        <v>鉄骨造</v>
      </c>
      <c r="L5677" s="7" t="str">
        <f>"H14.03.25"</f>
        <v>H14.03.25</v>
      </c>
      <c r="M5677" s="7">
        <v>131.4</v>
      </c>
      <c r="N5677" s="7">
        <v>12640000</v>
      </c>
      <c r="O5677" s="7">
        <v>8562708</v>
      </c>
      <c r="P5677" s="7">
        <v>0</v>
      </c>
      <c r="Q5677" s="7" t="str">
        <f t="shared" si="2083"/>
        <v>教育庁</v>
      </c>
      <c r="R5677" s="7" t="str">
        <f t="shared" si="2087"/>
        <v>日根野高等学校</v>
      </c>
    </row>
    <row r="5678" spans="1:18" s="1" customFormat="1" x14ac:dyDescent="0.45">
      <c r="A5678" s="7" t="str">
        <f t="shared" si="2084"/>
        <v>10463000000</v>
      </c>
      <c r="B5678" s="7" t="str">
        <f t="shared" si="2085"/>
        <v>日根野高等学校</v>
      </c>
      <c r="C5678" s="7" t="str">
        <f t="shared" si="2081"/>
        <v>行政財産</v>
      </c>
      <c r="D5678" s="7" t="str">
        <f t="shared" si="2071"/>
        <v>学校</v>
      </c>
      <c r="E5678" s="7" t="str">
        <f t="shared" si="2086"/>
        <v>大阪府泉佐野市日根野</v>
      </c>
      <c r="F5678" s="7"/>
      <c r="G5678" s="7" t="str">
        <f t="shared" si="2082"/>
        <v>事業用資産</v>
      </c>
      <c r="H5678" s="7" t="str">
        <f t="shared" si="2076"/>
        <v>棚卸以外</v>
      </c>
      <c r="I5678" s="7">
        <v>11</v>
      </c>
      <c r="J5678" s="7" t="str">
        <f>"第６倉庫棟"</f>
        <v>第６倉庫棟</v>
      </c>
      <c r="K5678" s="7" t="str">
        <f>"土蔵造(簡易建物)"</f>
        <v>土蔵造(簡易建物)</v>
      </c>
      <c r="L5678" s="7" t="str">
        <f>"H18.11.30"</f>
        <v>H18.11.30</v>
      </c>
      <c r="M5678" s="7">
        <v>9.4</v>
      </c>
      <c r="N5678" s="7">
        <v>536000</v>
      </c>
      <c r="O5678" s="7">
        <v>364952</v>
      </c>
      <c r="P5678" s="7">
        <v>0</v>
      </c>
      <c r="Q5678" s="7" t="str">
        <f t="shared" si="2083"/>
        <v>教育庁</v>
      </c>
      <c r="R5678" s="7" t="str">
        <f t="shared" si="2087"/>
        <v>日根野高等学校</v>
      </c>
    </row>
    <row r="5679" spans="1:18" s="1" customFormat="1" x14ac:dyDescent="0.45">
      <c r="A5679" s="7" t="str">
        <f t="shared" ref="A5679:A5698" si="2088">"10464000000"</f>
        <v>10464000000</v>
      </c>
      <c r="B5679" s="7" t="str">
        <f t="shared" ref="B5679:B5698" si="2089">"貝塚高等学校"</f>
        <v>貝塚高等学校</v>
      </c>
      <c r="C5679" s="7" t="str">
        <f t="shared" si="2081"/>
        <v>行政財産</v>
      </c>
      <c r="D5679" s="7" t="str">
        <f t="shared" si="2071"/>
        <v>学校</v>
      </c>
      <c r="E5679" s="7" t="str">
        <f t="shared" ref="E5679:E5698" si="2090">"大阪府貝塚市畠中１丁目"</f>
        <v>大阪府貝塚市畠中１丁目</v>
      </c>
      <c r="F5679" s="7"/>
      <c r="G5679" s="7" t="str">
        <f t="shared" si="2082"/>
        <v>事業用資産</v>
      </c>
      <c r="H5679" s="7" t="str">
        <f t="shared" si="2076"/>
        <v>棚卸以外</v>
      </c>
      <c r="I5679" s="7">
        <v>1</v>
      </c>
      <c r="J5679" s="7" t="str">
        <f>"本館"</f>
        <v>本館</v>
      </c>
      <c r="K5679" s="7" t="str">
        <f>"鉄筋コンクリート造"</f>
        <v>鉄筋コンクリート造</v>
      </c>
      <c r="L5679" s="7" t="str">
        <f>"S32.05.10"</f>
        <v>S32.05.10</v>
      </c>
      <c r="M5679" s="7">
        <v>4646.68</v>
      </c>
      <c r="N5679" s="7">
        <v>490615406</v>
      </c>
      <c r="O5679" s="7">
        <v>423699144</v>
      </c>
      <c r="P5679" s="7">
        <v>0</v>
      </c>
      <c r="Q5679" s="7" t="str">
        <f t="shared" si="2083"/>
        <v>教育庁</v>
      </c>
      <c r="R5679" s="7" t="str">
        <f t="shared" ref="R5679:R5702" si="2091">"貝塚高等学校"</f>
        <v>貝塚高等学校</v>
      </c>
    </row>
    <row r="5680" spans="1:18" s="1" customFormat="1" x14ac:dyDescent="0.45">
      <c r="A5680" s="7" t="str">
        <f t="shared" si="2088"/>
        <v>10464000000</v>
      </c>
      <c r="B5680" s="7" t="str">
        <f t="shared" si="2089"/>
        <v>貝塚高等学校</v>
      </c>
      <c r="C5680" s="7" t="str">
        <f t="shared" si="2081"/>
        <v>行政財産</v>
      </c>
      <c r="D5680" s="7" t="str">
        <f t="shared" si="2071"/>
        <v>学校</v>
      </c>
      <c r="E5680" s="7" t="str">
        <f t="shared" si="2090"/>
        <v>大阪府貝塚市畠中１丁目</v>
      </c>
      <c r="F5680" s="7"/>
      <c r="G5680" s="7" t="str">
        <f t="shared" si="2082"/>
        <v>事業用資産</v>
      </c>
      <c r="H5680" s="7" t="str">
        <f t="shared" si="2076"/>
        <v>棚卸以外</v>
      </c>
      <c r="I5680" s="7">
        <v>16</v>
      </c>
      <c r="J5680" s="7" t="str">
        <f>"第３校舎"</f>
        <v>第３校舎</v>
      </c>
      <c r="K5680" s="7" t="str">
        <f>"鉄筋コンクリート造"</f>
        <v>鉄筋コンクリート造</v>
      </c>
      <c r="L5680" s="7" t="str">
        <f>"S38.01.31"</f>
        <v>S38.01.31</v>
      </c>
      <c r="M5680" s="7">
        <v>756.82</v>
      </c>
      <c r="N5680" s="7">
        <v>74889569</v>
      </c>
      <c r="O5680" s="7">
        <v>54454558</v>
      </c>
      <c r="P5680" s="7">
        <v>0</v>
      </c>
      <c r="Q5680" s="7" t="str">
        <f t="shared" si="2083"/>
        <v>教育庁</v>
      </c>
      <c r="R5680" s="7" t="str">
        <f t="shared" si="2091"/>
        <v>貝塚高等学校</v>
      </c>
    </row>
    <row r="5681" spans="1:18" s="1" customFormat="1" x14ac:dyDescent="0.45">
      <c r="A5681" s="7" t="str">
        <f t="shared" si="2088"/>
        <v>10464000000</v>
      </c>
      <c r="B5681" s="7" t="str">
        <f t="shared" si="2089"/>
        <v>貝塚高等学校</v>
      </c>
      <c r="C5681" s="7" t="str">
        <f t="shared" si="2081"/>
        <v>行政財産</v>
      </c>
      <c r="D5681" s="7" t="str">
        <f t="shared" si="2071"/>
        <v>学校</v>
      </c>
      <c r="E5681" s="7" t="str">
        <f t="shared" si="2090"/>
        <v>大阪府貝塚市畠中１丁目</v>
      </c>
      <c r="F5681" s="7"/>
      <c r="G5681" s="7" t="str">
        <f t="shared" si="2082"/>
        <v>事業用資産</v>
      </c>
      <c r="H5681" s="7" t="str">
        <f t="shared" si="2076"/>
        <v>棚卸以外</v>
      </c>
      <c r="I5681" s="7">
        <v>19</v>
      </c>
      <c r="J5681" s="7" t="str">
        <f>"体育館"</f>
        <v>体育館</v>
      </c>
      <c r="K5681" s="7" t="str">
        <f>"鉄骨造"</f>
        <v>鉄骨造</v>
      </c>
      <c r="L5681" s="7" t="str">
        <f>"S36.03.20"</f>
        <v>S36.03.20</v>
      </c>
      <c r="M5681" s="7">
        <v>795.53</v>
      </c>
      <c r="N5681" s="7">
        <v>76519128</v>
      </c>
      <c r="O5681" s="7">
        <v>62624194</v>
      </c>
      <c r="P5681" s="7">
        <v>0</v>
      </c>
      <c r="Q5681" s="7" t="str">
        <f t="shared" si="2083"/>
        <v>教育庁</v>
      </c>
      <c r="R5681" s="7" t="str">
        <f t="shared" si="2091"/>
        <v>貝塚高等学校</v>
      </c>
    </row>
    <row r="5682" spans="1:18" s="1" customFormat="1" x14ac:dyDescent="0.45">
      <c r="A5682" s="7" t="str">
        <f t="shared" si="2088"/>
        <v>10464000000</v>
      </c>
      <c r="B5682" s="7" t="str">
        <f t="shared" si="2089"/>
        <v>貝塚高等学校</v>
      </c>
      <c r="C5682" s="7" t="str">
        <f t="shared" si="2081"/>
        <v>行政財産</v>
      </c>
      <c r="D5682" s="7" t="str">
        <f t="shared" si="2071"/>
        <v>学校</v>
      </c>
      <c r="E5682" s="7" t="str">
        <f t="shared" si="2090"/>
        <v>大阪府貝塚市畠中１丁目</v>
      </c>
      <c r="F5682" s="7"/>
      <c r="G5682" s="7" t="str">
        <f t="shared" si="2082"/>
        <v>事業用資産</v>
      </c>
      <c r="H5682" s="7" t="str">
        <f t="shared" si="2076"/>
        <v>棚卸以外</v>
      </c>
      <c r="I5682" s="7">
        <v>37</v>
      </c>
      <c r="J5682" s="7" t="str">
        <f>"倉庫"</f>
        <v>倉庫</v>
      </c>
      <c r="K5682" s="7" t="str">
        <f>"木造"</f>
        <v>木造</v>
      </c>
      <c r="L5682" s="7" t="str">
        <f>"S36.03.20"</f>
        <v>S36.03.20</v>
      </c>
      <c r="M5682" s="7">
        <v>19.62</v>
      </c>
      <c r="N5682" s="7">
        <v>1080921</v>
      </c>
      <c r="O5682" s="7">
        <v>1080920</v>
      </c>
      <c r="P5682" s="7">
        <v>0</v>
      </c>
      <c r="Q5682" s="7" t="str">
        <f t="shared" si="2083"/>
        <v>教育庁</v>
      </c>
      <c r="R5682" s="7" t="str">
        <f t="shared" si="2091"/>
        <v>貝塚高等学校</v>
      </c>
    </row>
    <row r="5683" spans="1:18" s="1" customFormat="1" x14ac:dyDescent="0.45">
      <c r="A5683" s="7" t="str">
        <f t="shared" si="2088"/>
        <v>10464000000</v>
      </c>
      <c r="B5683" s="7" t="str">
        <f t="shared" si="2089"/>
        <v>貝塚高等学校</v>
      </c>
      <c r="C5683" s="7" t="str">
        <f t="shared" si="2081"/>
        <v>行政財産</v>
      </c>
      <c r="D5683" s="7" t="str">
        <f t="shared" si="2071"/>
        <v>学校</v>
      </c>
      <c r="E5683" s="7" t="str">
        <f t="shared" si="2090"/>
        <v>大阪府貝塚市畠中１丁目</v>
      </c>
      <c r="F5683" s="7"/>
      <c r="G5683" s="7" t="str">
        <f t="shared" si="2082"/>
        <v>事業用資産</v>
      </c>
      <c r="H5683" s="7" t="str">
        <f t="shared" si="2076"/>
        <v>棚卸以外</v>
      </c>
      <c r="I5683" s="7">
        <v>38</v>
      </c>
      <c r="J5683" s="7" t="str">
        <f>"倉庫"</f>
        <v>倉庫</v>
      </c>
      <c r="K5683" s="7" t="str">
        <f>"木造"</f>
        <v>木造</v>
      </c>
      <c r="L5683" s="7" t="str">
        <f>"S41.09.10"</f>
        <v>S41.09.10</v>
      </c>
      <c r="M5683" s="7">
        <v>16.36</v>
      </c>
      <c r="N5683" s="7">
        <v>360000</v>
      </c>
      <c r="O5683" s="7">
        <v>359999</v>
      </c>
      <c r="P5683" s="7">
        <v>0</v>
      </c>
      <c r="Q5683" s="7" t="str">
        <f t="shared" si="2083"/>
        <v>教育庁</v>
      </c>
      <c r="R5683" s="7" t="str">
        <f t="shared" si="2091"/>
        <v>貝塚高等学校</v>
      </c>
    </row>
    <row r="5684" spans="1:18" s="1" customFormat="1" x14ac:dyDescent="0.45">
      <c r="A5684" s="7" t="str">
        <f t="shared" si="2088"/>
        <v>10464000000</v>
      </c>
      <c r="B5684" s="7" t="str">
        <f t="shared" si="2089"/>
        <v>貝塚高等学校</v>
      </c>
      <c r="C5684" s="7" t="str">
        <f t="shared" si="2081"/>
        <v>行政財産</v>
      </c>
      <c r="D5684" s="7" t="str">
        <f t="shared" si="2071"/>
        <v>学校</v>
      </c>
      <c r="E5684" s="7" t="str">
        <f t="shared" si="2090"/>
        <v>大阪府貝塚市畠中１丁目</v>
      </c>
      <c r="F5684" s="7"/>
      <c r="G5684" s="7" t="str">
        <f t="shared" si="2082"/>
        <v>事業用資産</v>
      </c>
      <c r="H5684" s="7" t="str">
        <f t="shared" si="2076"/>
        <v>棚卸以外</v>
      </c>
      <c r="I5684" s="7">
        <v>39</v>
      </c>
      <c r="J5684" s="7" t="str">
        <f>"第４校舎"</f>
        <v>第４校舎</v>
      </c>
      <c r="K5684" s="7" t="str">
        <f t="shared" ref="K5684:K5689" si="2092">"鉄筋コンクリート造"</f>
        <v>鉄筋コンクリート造</v>
      </c>
      <c r="L5684" s="7" t="str">
        <f>"S43.12.24"</f>
        <v>S43.12.24</v>
      </c>
      <c r="M5684" s="7">
        <v>780.07</v>
      </c>
      <c r="N5684" s="7">
        <v>35230731</v>
      </c>
      <c r="O5684" s="7">
        <v>30375513</v>
      </c>
      <c r="P5684" s="7">
        <v>0</v>
      </c>
      <c r="Q5684" s="7" t="str">
        <f t="shared" si="2083"/>
        <v>教育庁</v>
      </c>
      <c r="R5684" s="7" t="str">
        <f t="shared" si="2091"/>
        <v>貝塚高等学校</v>
      </c>
    </row>
    <row r="5685" spans="1:18" s="1" customFormat="1" x14ac:dyDescent="0.45">
      <c r="A5685" s="7" t="str">
        <f t="shared" si="2088"/>
        <v>10464000000</v>
      </c>
      <c r="B5685" s="7" t="str">
        <f t="shared" si="2089"/>
        <v>貝塚高等学校</v>
      </c>
      <c r="C5685" s="7" t="str">
        <f t="shared" si="2081"/>
        <v>行政財産</v>
      </c>
      <c r="D5685" s="7" t="str">
        <f t="shared" si="2071"/>
        <v>学校</v>
      </c>
      <c r="E5685" s="7" t="str">
        <f t="shared" si="2090"/>
        <v>大阪府貝塚市畠中１丁目</v>
      </c>
      <c r="F5685" s="7"/>
      <c r="G5685" s="7" t="str">
        <f t="shared" si="2082"/>
        <v>事業用資産</v>
      </c>
      <c r="H5685" s="7" t="str">
        <f t="shared" si="2076"/>
        <v>棚卸以外</v>
      </c>
      <c r="I5685" s="7">
        <v>45</v>
      </c>
      <c r="J5685" s="7" t="str">
        <f>"プール附属棟"</f>
        <v>プール附属棟</v>
      </c>
      <c r="K5685" s="7" t="str">
        <f t="shared" si="2092"/>
        <v>鉄筋コンクリート造</v>
      </c>
      <c r="L5685" s="7" t="str">
        <f>"S46.03.28"</f>
        <v>S46.03.28</v>
      </c>
      <c r="M5685" s="7">
        <v>90.75</v>
      </c>
      <c r="N5685" s="7">
        <v>9031730</v>
      </c>
      <c r="O5685" s="7">
        <v>8650285</v>
      </c>
      <c r="P5685" s="7">
        <v>0</v>
      </c>
      <c r="Q5685" s="7" t="str">
        <f t="shared" si="2083"/>
        <v>教育庁</v>
      </c>
      <c r="R5685" s="7" t="str">
        <f t="shared" si="2091"/>
        <v>貝塚高等学校</v>
      </c>
    </row>
    <row r="5686" spans="1:18" s="1" customFormat="1" x14ac:dyDescent="0.45">
      <c r="A5686" s="7" t="str">
        <f t="shared" si="2088"/>
        <v>10464000000</v>
      </c>
      <c r="B5686" s="7" t="str">
        <f t="shared" si="2089"/>
        <v>貝塚高等学校</v>
      </c>
      <c r="C5686" s="7" t="str">
        <f t="shared" si="2081"/>
        <v>行政財産</v>
      </c>
      <c r="D5686" s="7" t="str">
        <f t="shared" si="2071"/>
        <v>学校</v>
      </c>
      <c r="E5686" s="7" t="str">
        <f t="shared" si="2090"/>
        <v>大阪府貝塚市畠中１丁目</v>
      </c>
      <c r="F5686" s="7"/>
      <c r="G5686" s="7" t="str">
        <f t="shared" si="2082"/>
        <v>事業用資産</v>
      </c>
      <c r="H5686" s="7" t="str">
        <f t="shared" si="2076"/>
        <v>棚卸以外</v>
      </c>
      <c r="I5686" s="7">
        <v>46</v>
      </c>
      <c r="J5686" s="7" t="str">
        <f>"新館第１校舎"</f>
        <v>新館第１校舎</v>
      </c>
      <c r="K5686" s="7" t="str">
        <f t="shared" si="2092"/>
        <v>鉄筋コンクリート造</v>
      </c>
      <c r="L5686" s="7" t="str">
        <f>"S47.08.20"</f>
        <v>S47.08.20</v>
      </c>
      <c r="M5686" s="7">
        <v>2412.3000000000002</v>
      </c>
      <c r="N5686" s="7">
        <v>301607415</v>
      </c>
      <c r="O5686" s="7">
        <v>175099890</v>
      </c>
      <c r="P5686" s="7">
        <v>0</v>
      </c>
      <c r="Q5686" s="7" t="str">
        <f t="shared" si="2083"/>
        <v>教育庁</v>
      </c>
      <c r="R5686" s="7" t="str">
        <f t="shared" si="2091"/>
        <v>貝塚高等学校</v>
      </c>
    </row>
    <row r="5687" spans="1:18" s="1" customFormat="1" x14ac:dyDescent="0.45">
      <c r="A5687" s="7" t="str">
        <f t="shared" si="2088"/>
        <v>10464000000</v>
      </c>
      <c r="B5687" s="7" t="str">
        <f t="shared" si="2089"/>
        <v>貝塚高等学校</v>
      </c>
      <c r="C5687" s="7" t="str">
        <f t="shared" si="2081"/>
        <v>行政財産</v>
      </c>
      <c r="D5687" s="7" t="str">
        <f t="shared" si="2071"/>
        <v>学校</v>
      </c>
      <c r="E5687" s="7" t="str">
        <f t="shared" si="2090"/>
        <v>大阪府貝塚市畠中１丁目</v>
      </c>
      <c r="F5687" s="7"/>
      <c r="G5687" s="7" t="str">
        <f t="shared" si="2082"/>
        <v>事業用資産</v>
      </c>
      <c r="H5687" s="7" t="str">
        <f t="shared" si="2076"/>
        <v>棚卸以外</v>
      </c>
      <c r="I5687" s="7">
        <v>47</v>
      </c>
      <c r="J5687" s="7" t="str">
        <f>"設備棟"</f>
        <v>設備棟</v>
      </c>
      <c r="K5687" s="7" t="str">
        <f t="shared" si="2092"/>
        <v>鉄筋コンクリート造</v>
      </c>
      <c r="L5687" s="7" t="str">
        <f>"S47.08.20"</f>
        <v>S47.08.20</v>
      </c>
      <c r="M5687" s="7">
        <v>79.5</v>
      </c>
      <c r="N5687" s="7">
        <v>26188418</v>
      </c>
      <c r="O5687" s="7">
        <v>13655289</v>
      </c>
      <c r="P5687" s="7">
        <v>0</v>
      </c>
      <c r="Q5687" s="7" t="str">
        <f t="shared" si="2083"/>
        <v>教育庁</v>
      </c>
      <c r="R5687" s="7" t="str">
        <f t="shared" si="2091"/>
        <v>貝塚高等学校</v>
      </c>
    </row>
    <row r="5688" spans="1:18" s="1" customFormat="1" x14ac:dyDescent="0.45">
      <c r="A5688" s="7" t="str">
        <f t="shared" si="2088"/>
        <v>10464000000</v>
      </c>
      <c r="B5688" s="7" t="str">
        <f t="shared" si="2089"/>
        <v>貝塚高等学校</v>
      </c>
      <c r="C5688" s="7" t="str">
        <f t="shared" si="2081"/>
        <v>行政財産</v>
      </c>
      <c r="D5688" s="7" t="str">
        <f t="shared" si="2071"/>
        <v>学校</v>
      </c>
      <c r="E5688" s="7" t="str">
        <f t="shared" si="2090"/>
        <v>大阪府貝塚市畠中１丁目</v>
      </c>
      <c r="F5688" s="7"/>
      <c r="G5688" s="7" t="str">
        <f t="shared" si="2082"/>
        <v>事業用資産</v>
      </c>
      <c r="H5688" s="7" t="str">
        <f t="shared" si="2076"/>
        <v>棚卸以外</v>
      </c>
      <c r="I5688" s="7">
        <v>53</v>
      </c>
      <c r="J5688" s="7" t="str">
        <f>"新館第２校舎"</f>
        <v>新館第２校舎</v>
      </c>
      <c r="K5688" s="7" t="str">
        <f t="shared" si="2092"/>
        <v>鉄筋コンクリート造</v>
      </c>
      <c r="L5688" s="7" t="str">
        <f>"S49.01.31"</f>
        <v>S49.01.31</v>
      </c>
      <c r="M5688" s="7">
        <v>3477.76</v>
      </c>
      <c r="N5688" s="7">
        <v>416834372</v>
      </c>
      <c r="O5688" s="7">
        <v>309012413</v>
      </c>
      <c r="P5688" s="7">
        <v>0</v>
      </c>
      <c r="Q5688" s="7" t="str">
        <f t="shared" si="2083"/>
        <v>教育庁</v>
      </c>
      <c r="R5688" s="7" t="str">
        <f t="shared" si="2091"/>
        <v>貝塚高等学校</v>
      </c>
    </row>
    <row r="5689" spans="1:18" s="1" customFormat="1" x14ac:dyDescent="0.45">
      <c r="A5689" s="7" t="str">
        <f t="shared" si="2088"/>
        <v>10464000000</v>
      </c>
      <c r="B5689" s="7" t="str">
        <f t="shared" si="2089"/>
        <v>貝塚高等学校</v>
      </c>
      <c r="C5689" s="7" t="str">
        <f t="shared" si="2081"/>
        <v>行政財産</v>
      </c>
      <c r="D5689" s="7" t="str">
        <f t="shared" ref="D5689:D5752" si="2093">"学校"</f>
        <v>学校</v>
      </c>
      <c r="E5689" s="7" t="str">
        <f t="shared" si="2090"/>
        <v>大阪府貝塚市畠中１丁目</v>
      </c>
      <c r="F5689" s="7"/>
      <c r="G5689" s="7" t="str">
        <f t="shared" si="2082"/>
        <v>事業用資産</v>
      </c>
      <c r="H5689" s="7" t="str">
        <f t="shared" si="2076"/>
        <v>棚卸以外</v>
      </c>
      <c r="I5689" s="7">
        <v>57</v>
      </c>
      <c r="J5689" s="7" t="str">
        <f>"園芸科棟"</f>
        <v>園芸科棟</v>
      </c>
      <c r="K5689" s="7" t="str">
        <f t="shared" si="2092"/>
        <v>鉄筋コンクリート造</v>
      </c>
      <c r="L5689" s="7" t="str">
        <f>"S51.02.28"</f>
        <v>S51.02.28</v>
      </c>
      <c r="M5689" s="7">
        <v>2186.96</v>
      </c>
      <c r="N5689" s="7">
        <v>262380213</v>
      </c>
      <c r="O5689" s="7">
        <v>233879042</v>
      </c>
      <c r="P5689" s="7">
        <v>0</v>
      </c>
      <c r="Q5689" s="7" t="str">
        <f t="shared" si="2083"/>
        <v>教育庁</v>
      </c>
      <c r="R5689" s="7" t="str">
        <f t="shared" si="2091"/>
        <v>貝塚高等学校</v>
      </c>
    </row>
    <row r="5690" spans="1:18" s="1" customFormat="1" x14ac:dyDescent="0.45">
      <c r="A5690" s="7" t="str">
        <f t="shared" si="2088"/>
        <v>10464000000</v>
      </c>
      <c r="B5690" s="7" t="str">
        <f t="shared" si="2089"/>
        <v>貝塚高等学校</v>
      </c>
      <c r="C5690" s="7" t="str">
        <f t="shared" si="2081"/>
        <v>行政財産</v>
      </c>
      <c r="D5690" s="7" t="str">
        <f t="shared" si="2093"/>
        <v>学校</v>
      </c>
      <c r="E5690" s="7" t="str">
        <f t="shared" si="2090"/>
        <v>大阪府貝塚市畠中１丁目</v>
      </c>
      <c r="F5690" s="7"/>
      <c r="G5690" s="7" t="str">
        <f t="shared" si="2082"/>
        <v>事業用資産</v>
      </c>
      <c r="H5690" s="7" t="str">
        <f t="shared" si="2076"/>
        <v>棚卸以外</v>
      </c>
      <c r="I5690" s="7">
        <v>59</v>
      </c>
      <c r="J5690" s="7" t="str">
        <f>"車庫及び燃料庫棟"</f>
        <v>車庫及び燃料庫棟</v>
      </c>
      <c r="K5690" s="7" t="str">
        <f>"鉄骨造"</f>
        <v>鉄骨造</v>
      </c>
      <c r="L5690" s="7" t="str">
        <f>"S51.02.28"</f>
        <v>S51.02.28</v>
      </c>
      <c r="M5690" s="7">
        <v>60</v>
      </c>
      <c r="N5690" s="7">
        <v>2898000</v>
      </c>
      <c r="O5690" s="7">
        <v>2897999</v>
      </c>
      <c r="P5690" s="7">
        <v>0</v>
      </c>
      <c r="Q5690" s="7" t="str">
        <f t="shared" si="2083"/>
        <v>教育庁</v>
      </c>
      <c r="R5690" s="7" t="str">
        <f t="shared" si="2091"/>
        <v>貝塚高等学校</v>
      </c>
    </row>
    <row r="5691" spans="1:18" s="1" customFormat="1" x14ac:dyDescent="0.45">
      <c r="A5691" s="7" t="str">
        <f t="shared" si="2088"/>
        <v>10464000000</v>
      </c>
      <c r="B5691" s="7" t="str">
        <f t="shared" si="2089"/>
        <v>貝塚高等学校</v>
      </c>
      <c r="C5691" s="7" t="str">
        <f t="shared" si="2081"/>
        <v>行政財産</v>
      </c>
      <c r="D5691" s="7" t="str">
        <f t="shared" si="2093"/>
        <v>学校</v>
      </c>
      <c r="E5691" s="7" t="str">
        <f t="shared" si="2090"/>
        <v>大阪府貝塚市畠中１丁目</v>
      </c>
      <c r="F5691" s="7"/>
      <c r="G5691" s="7" t="str">
        <f t="shared" si="2082"/>
        <v>事業用資産</v>
      </c>
      <c r="H5691" s="7" t="str">
        <f t="shared" si="2076"/>
        <v>棚卸以外</v>
      </c>
      <c r="I5691" s="7">
        <v>60</v>
      </c>
      <c r="J5691" s="7" t="str">
        <f>"体育館"</f>
        <v>体育館</v>
      </c>
      <c r="K5691" s="7" t="str">
        <f>"鉄筋コンクリート造"</f>
        <v>鉄筋コンクリート造</v>
      </c>
      <c r="L5691" s="7" t="str">
        <f>"S52.09.30"</f>
        <v>S52.09.30</v>
      </c>
      <c r="M5691" s="7">
        <v>2323.4299999999998</v>
      </c>
      <c r="N5691" s="7">
        <v>304972119</v>
      </c>
      <c r="O5691" s="7">
        <v>232279532</v>
      </c>
      <c r="P5691" s="7">
        <v>0</v>
      </c>
      <c r="Q5691" s="7" t="str">
        <f t="shared" si="2083"/>
        <v>教育庁</v>
      </c>
      <c r="R5691" s="7" t="str">
        <f t="shared" si="2091"/>
        <v>貝塚高等学校</v>
      </c>
    </row>
    <row r="5692" spans="1:18" s="1" customFormat="1" x14ac:dyDescent="0.45">
      <c r="A5692" s="7" t="str">
        <f t="shared" si="2088"/>
        <v>10464000000</v>
      </c>
      <c r="B5692" s="7" t="str">
        <f t="shared" si="2089"/>
        <v>貝塚高等学校</v>
      </c>
      <c r="C5692" s="7" t="str">
        <f t="shared" si="2081"/>
        <v>行政財産</v>
      </c>
      <c r="D5692" s="7" t="str">
        <f t="shared" si="2093"/>
        <v>学校</v>
      </c>
      <c r="E5692" s="7" t="str">
        <f t="shared" si="2090"/>
        <v>大阪府貝塚市畠中１丁目</v>
      </c>
      <c r="F5692" s="7"/>
      <c r="G5692" s="7" t="str">
        <f t="shared" si="2082"/>
        <v>事業用資産</v>
      </c>
      <c r="H5692" s="7" t="str">
        <f t="shared" si="2076"/>
        <v>棚卸以外</v>
      </c>
      <c r="I5692" s="7">
        <v>62</v>
      </c>
      <c r="J5692" s="7" t="str">
        <f>"温室"</f>
        <v>温室</v>
      </c>
      <c r="K5692" s="7" t="str">
        <f>"軽量鉄骨造"</f>
        <v>軽量鉄骨造</v>
      </c>
      <c r="L5692" s="7" t="str">
        <f>"S54.03.28"</f>
        <v>S54.03.28</v>
      </c>
      <c r="M5692" s="7">
        <v>360</v>
      </c>
      <c r="N5692" s="7">
        <v>40147000</v>
      </c>
      <c r="O5692" s="7">
        <v>40146999</v>
      </c>
      <c r="P5692" s="7">
        <v>0</v>
      </c>
      <c r="Q5692" s="7" t="str">
        <f t="shared" si="2083"/>
        <v>教育庁</v>
      </c>
      <c r="R5692" s="7" t="str">
        <f t="shared" si="2091"/>
        <v>貝塚高等学校</v>
      </c>
    </row>
    <row r="5693" spans="1:18" s="1" customFormat="1" x14ac:dyDescent="0.45">
      <c r="A5693" s="7" t="str">
        <f t="shared" si="2088"/>
        <v>10464000000</v>
      </c>
      <c r="B5693" s="7" t="str">
        <f t="shared" si="2089"/>
        <v>貝塚高等学校</v>
      </c>
      <c r="C5693" s="7" t="str">
        <f t="shared" si="2081"/>
        <v>行政財産</v>
      </c>
      <c r="D5693" s="7" t="str">
        <f t="shared" si="2093"/>
        <v>学校</v>
      </c>
      <c r="E5693" s="7" t="str">
        <f t="shared" si="2090"/>
        <v>大阪府貝塚市畠中１丁目</v>
      </c>
      <c r="F5693" s="7"/>
      <c r="G5693" s="7" t="str">
        <f t="shared" si="2082"/>
        <v>事業用資産</v>
      </c>
      <c r="H5693" s="7" t="str">
        <f t="shared" si="2076"/>
        <v>棚卸以外</v>
      </c>
      <c r="I5693" s="7">
        <v>63</v>
      </c>
      <c r="J5693" s="7" t="str">
        <f>"温室設備棟"</f>
        <v>温室設備棟</v>
      </c>
      <c r="K5693" s="7" t="str">
        <f>"コンクリートブロック造"</f>
        <v>コンクリートブロック造</v>
      </c>
      <c r="L5693" s="7" t="str">
        <f>"S54.03.28"</f>
        <v>S54.03.28</v>
      </c>
      <c r="M5693" s="7">
        <v>70</v>
      </c>
      <c r="N5693" s="7">
        <v>13651032</v>
      </c>
      <c r="O5693" s="7">
        <v>12112013</v>
      </c>
      <c r="P5693" s="7">
        <v>0</v>
      </c>
      <c r="Q5693" s="7" t="str">
        <f t="shared" si="2083"/>
        <v>教育庁</v>
      </c>
      <c r="R5693" s="7" t="str">
        <f t="shared" si="2091"/>
        <v>貝塚高等学校</v>
      </c>
    </row>
    <row r="5694" spans="1:18" s="1" customFormat="1" x14ac:dyDescent="0.45">
      <c r="A5694" s="7" t="str">
        <f t="shared" si="2088"/>
        <v>10464000000</v>
      </c>
      <c r="B5694" s="7" t="str">
        <f t="shared" si="2089"/>
        <v>貝塚高等学校</v>
      </c>
      <c r="C5694" s="7" t="str">
        <f t="shared" si="2081"/>
        <v>行政財産</v>
      </c>
      <c r="D5694" s="7" t="str">
        <f t="shared" si="2093"/>
        <v>学校</v>
      </c>
      <c r="E5694" s="7" t="str">
        <f t="shared" si="2090"/>
        <v>大阪府貝塚市畠中１丁目</v>
      </c>
      <c r="F5694" s="7"/>
      <c r="G5694" s="7" t="str">
        <f t="shared" si="2082"/>
        <v>事業用資産</v>
      </c>
      <c r="H5694" s="7" t="str">
        <f t="shared" si="2076"/>
        <v>棚卸以外</v>
      </c>
      <c r="I5694" s="7">
        <v>65</v>
      </c>
      <c r="J5694" s="7" t="str">
        <f>"作法室棟"</f>
        <v>作法室棟</v>
      </c>
      <c r="K5694" s="7" t="str">
        <f>"鉄骨造"</f>
        <v>鉄骨造</v>
      </c>
      <c r="L5694" s="7" t="str">
        <f>"S61.12.25"</f>
        <v>S61.12.25</v>
      </c>
      <c r="M5694" s="7">
        <v>132.38</v>
      </c>
      <c r="N5694" s="7">
        <v>23403000</v>
      </c>
      <c r="O5694" s="7">
        <v>23402999</v>
      </c>
      <c r="P5694" s="7">
        <v>0</v>
      </c>
      <c r="Q5694" s="7" t="str">
        <f t="shared" si="2083"/>
        <v>教育庁</v>
      </c>
      <c r="R5694" s="7" t="str">
        <f t="shared" si="2091"/>
        <v>貝塚高等学校</v>
      </c>
    </row>
    <row r="5695" spans="1:18" s="1" customFormat="1" x14ac:dyDescent="0.45">
      <c r="A5695" s="7" t="str">
        <f t="shared" si="2088"/>
        <v>10464000000</v>
      </c>
      <c r="B5695" s="7" t="str">
        <f t="shared" si="2089"/>
        <v>貝塚高等学校</v>
      </c>
      <c r="C5695" s="7" t="str">
        <f t="shared" si="2081"/>
        <v>行政財産</v>
      </c>
      <c r="D5695" s="7" t="str">
        <f t="shared" si="2093"/>
        <v>学校</v>
      </c>
      <c r="E5695" s="7" t="str">
        <f t="shared" si="2090"/>
        <v>大阪府貝塚市畠中１丁目</v>
      </c>
      <c r="F5695" s="7"/>
      <c r="G5695" s="7" t="str">
        <f t="shared" si="2082"/>
        <v>事業用資産</v>
      </c>
      <c r="H5695" s="7" t="str">
        <f t="shared" si="2076"/>
        <v>棚卸以外</v>
      </c>
      <c r="I5695" s="7">
        <v>67</v>
      </c>
      <c r="J5695" s="7" t="str">
        <f>"倉庫"</f>
        <v>倉庫</v>
      </c>
      <c r="K5695" s="7" t="str">
        <f>"軽量鉄骨造"</f>
        <v>軽量鉄骨造</v>
      </c>
      <c r="L5695" s="7" t="str">
        <f>"S63.03.31"</f>
        <v>S63.03.31</v>
      </c>
      <c r="M5695" s="7">
        <v>307.44</v>
      </c>
      <c r="N5695" s="7">
        <v>22420000</v>
      </c>
      <c r="O5695" s="7">
        <v>22419999</v>
      </c>
      <c r="P5695" s="7">
        <v>0</v>
      </c>
      <c r="Q5695" s="7" t="str">
        <f t="shared" si="2083"/>
        <v>教育庁</v>
      </c>
      <c r="R5695" s="7" t="str">
        <f t="shared" si="2091"/>
        <v>貝塚高等学校</v>
      </c>
    </row>
    <row r="5696" spans="1:18" s="1" customFormat="1" x14ac:dyDescent="0.45">
      <c r="A5696" s="7" t="str">
        <f t="shared" si="2088"/>
        <v>10464000000</v>
      </c>
      <c r="B5696" s="7" t="str">
        <f t="shared" si="2089"/>
        <v>貝塚高等学校</v>
      </c>
      <c r="C5696" s="7" t="str">
        <f t="shared" si="2081"/>
        <v>行政財産</v>
      </c>
      <c r="D5696" s="7" t="str">
        <f t="shared" si="2093"/>
        <v>学校</v>
      </c>
      <c r="E5696" s="7" t="str">
        <f t="shared" si="2090"/>
        <v>大阪府貝塚市畠中１丁目</v>
      </c>
      <c r="F5696" s="7"/>
      <c r="G5696" s="7" t="str">
        <f t="shared" si="2082"/>
        <v>事業用資産</v>
      </c>
      <c r="H5696" s="7" t="str">
        <f t="shared" si="2076"/>
        <v>棚卸以外</v>
      </c>
      <c r="I5696" s="7">
        <v>68</v>
      </c>
      <c r="J5696" s="7" t="str">
        <f>"エレベータ棟"</f>
        <v>エレベータ棟</v>
      </c>
      <c r="K5696" s="7" t="str">
        <f>"鉄骨造"</f>
        <v>鉄骨造</v>
      </c>
      <c r="L5696" s="7" t="str">
        <f>"H16.03.29"</f>
        <v>H16.03.29</v>
      </c>
      <c r="M5696" s="7">
        <v>28.24</v>
      </c>
      <c r="N5696" s="7">
        <v>24402794</v>
      </c>
      <c r="O5696" s="7">
        <v>12346990</v>
      </c>
      <c r="P5696" s="7">
        <v>0</v>
      </c>
      <c r="Q5696" s="7" t="str">
        <f t="shared" si="2083"/>
        <v>教育庁</v>
      </c>
      <c r="R5696" s="7" t="str">
        <f t="shared" si="2091"/>
        <v>貝塚高等学校</v>
      </c>
    </row>
    <row r="5697" spans="1:18" s="1" customFormat="1" x14ac:dyDescent="0.45">
      <c r="A5697" s="7" t="str">
        <f t="shared" si="2088"/>
        <v>10464000000</v>
      </c>
      <c r="B5697" s="7" t="str">
        <f t="shared" si="2089"/>
        <v>貝塚高等学校</v>
      </c>
      <c r="C5697" s="7" t="str">
        <f t="shared" si="2081"/>
        <v>行政財産</v>
      </c>
      <c r="D5697" s="7" t="str">
        <f t="shared" si="2093"/>
        <v>学校</v>
      </c>
      <c r="E5697" s="7" t="str">
        <f t="shared" si="2090"/>
        <v>大阪府貝塚市畠中１丁目</v>
      </c>
      <c r="F5697" s="7"/>
      <c r="G5697" s="7" t="str">
        <f t="shared" si="2082"/>
        <v>事業用資産</v>
      </c>
      <c r="H5697" s="7" t="str">
        <f t="shared" si="2076"/>
        <v>棚卸以外</v>
      </c>
      <c r="I5697" s="7">
        <v>69</v>
      </c>
      <c r="J5697" s="7" t="str">
        <f>"新本館棟"</f>
        <v>新本館棟</v>
      </c>
      <c r="K5697" s="7" t="str">
        <f>"鉄筋コンクリート造"</f>
        <v>鉄筋コンクリート造</v>
      </c>
      <c r="L5697" s="7" t="str">
        <f>"H27.05.07"</f>
        <v>H27.05.07</v>
      </c>
      <c r="M5697" s="7">
        <v>1800.3</v>
      </c>
      <c r="N5697" s="7">
        <v>450812340</v>
      </c>
      <c r="O5697" s="7">
        <v>121917275</v>
      </c>
      <c r="P5697" s="7">
        <v>0</v>
      </c>
      <c r="Q5697" s="7" t="str">
        <f t="shared" si="2083"/>
        <v>教育庁</v>
      </c>
      <c r="R5697" s="7" t="str">
        <f t="shared" si="2091"/>
        <v>貝塚高等学校</v>
      </c>
    </row>
    <row r="5698" spans="1:18" s="1" customFormat="1" x14ac:dyDescent="0.45">
      <c r="A5698" s="7" t="str">
        <f t="shared" si="2088"/>
        <v>10464000000</v>
      </c>
      <c r="B5698" s="7" t="str">
        <f t="shared" si="2089"/>
        <v>貝塚高等学校</v>
      </c>
      <c r="C5698" s="7" t="str">
        <f t="shared" si="2081"/>
        <v>行政財産</v>
      </c>
      <c r="D5698" s="7" t="str">
        <f t="shared" si="2093"/>
        <v>学校</v>
      </c>
      <c r="E5698" s="7" t="str">
        <f t="shared" si="2090"/>
        <v>大阪府貝塚市畠中１丁目</v>
      </c>
      <c r="F5698" s="7"/>
      <c r="G5698" s="7" t="str">
        <f t="shared" si="2082"/>
        <v>事業用資産</v>
      </c>
      <c r="H5698" s="7" t="str">
        <f t="shared" si="2076"/>
        <v>棚卸以外</v>
      </c>
      <c r="I5698" s="7">
        <v>70</v>
      </c>
      <c r="J5698" s="7" t="str">
        <f>"倉庫（プール横）"</f>
        <v>倉庫（プール横）</v>
      </c>
      <c r="K5698" s="7" t="str">
        <f>"土蔵造(簡易建物)"</f>
        <v>土蔵造(簡易建物)</v>
      </c>
      <c r="L5698" s="7" t="str">
        <f>"H28.02.17"</f>
        <v>H28.02.17</v>
      </c>
      <c r="M5698" s="7">
        <v>11.97</v>
      </c>
      <c r="N5698" s="7">
        <v>790995</v>
      </c>
      <c r="O5698" s="7">
        <v>233495</v>
      </c>
      <c r="P5698" s="7">
        <v>0</v>
      </c>
      <c r="Q5698" s="7" t="str">
        <f t="shared" si="2083"/>
        <v>教育庁</v>
      </c>
      <c r="R5698" s="7" t="str">
        <f t="shared" si="2091"/>
        <v>貝塚高等学校</v>
      </c>
    </row>
    <row r="5699" spans="1:18" s="1" customFormat="1" x14ac:dyDescent="0.45">
      <c r="A5699" s="7" t="str">
        <f>"10464000001"</f>
        <v>10464000001</v>
      </c>
      <c r="B5699" s="7" t="str">
        <f>"貝塚高等学校実習農場"</f>
        <v>貝塚高等学校実習農場</v>
      </c>
      <c r="C5699" s="7" t="str">
        <f t="shared" si="2081"/>
        <v>行政財産</v>
      </c>
      <c r="D5699" s="7" t="str">
        <f t="shared" si="2093"/>
        <v>学校</v>
      </c>
      <c r="E5699" s="7" t="str">
        <f>"大阪府貝塚市畠中２丁目"</f>
        <v>大阪府貝塚市畠中２丁目</v>
      </c>
      <c r="F5699" s="7"/>
      <c r="G5699" s="7" t="str">
        <f t="shared" si="2082"/>
        <v>事業用資産</v>
      </c>
      <c r="H5699" s="7" t="str">
        <f t="shared" si="2076"/>
        <v>棚卸以外</v>
      </c>
      <c r="I5699" s="7">
        <v>2</v>
      </c>
      <c r="J5699" s="7" t="str">
        <f>"便所"</f>
        <v>便所</v>
      </c>
      <c r="K5699" s="7" t="str">
        <f>"コンクリートブロック造"</f>
        <v>コンクリートブロック造</v>
      </c>
      <c r="L5699" s="7" t="str">
        <f>"S60.08.30"</f>
        <v>S60.08.30</v>
      </c>
      <c r="M5699" s="7">
        <v>3.87</v>
      </c>
      <c r="N5699" s="7">
        <v>1721216</v>
      </c>
      <c r="O5699" s="7">
        <v>1244326</v>
      </c>
      <c r="P5699" s="7">
        <v>0</v>
      </c>
      <c r="Q5699" s="7" t="str">
        <f t="shared" si="2083"/>
        <v>教育庁</v>
      </c>
      <c r="R5699" s="7" t="str">
        <f t="shared" si="2091"/>
        <v>貝塚高等学校</v>
      </c>
    </row>
    <row r="5700" spans="1:18" s="1" customFormat="1" x14ac:dyDescent="0.45">
      <c r="A5700" s="7" t="str">
        <f>"10464000001"</f>
        <v>10464000001</v>
      </c>
      <c r="B5700" s="7" t="str">
        <f>"貝塚高等学校実習農場"</f>
        <v>貝塚高等学校実習農場</v>
      </c>
      <c r="C5700" s="7" t="str">
        <f t="shared" si="2081"/>
        <v>行政財産</v>
      </c>
      <c r="D5700" s="7" t="str">
        <f t="shared" si="2093"/>
        <v>学校</v>
      </c>
      <c r="E5700" s="7" t="str">
        <f>"大阪府貝塚市畠中２丁目"</f>
        <v>大阪府貝塚市畠中２丁目</v>
      </c>
      <c r="F5700" s="7"/>
      <c r="G5700" s="7" t="str">
        <f t="shared" si="2082"/>
        <v>事業用資産</v>
      </c>
      <c r="H5700" s="7" t="str">
        <f t="shared" ref="H5700:H5763" si="2094">"棚卸以外"</f>
        <v>棚卸以外</v>
      </c>
      <c r="I5700" s="7">
        <v>3</v>
      </c>
      <c r="J5700" s="7" t="str">
        <f>"新農機具庫"</f>
        <v>新農機具庫</v>
      </c>
      <c r="K5700" s="7" t="str">
        <f>"軽量鉄骨造"</f>
        <v>軽量鉄骨造</v>
      </c>
      <c r="L5700" s="7" t="str">
        <f>"S62.03.31"</f>
        <v>S62.03.31</v>
      </c>
      <c r="M5700" s="7">
        <v>39.700000000000003</v>
      </c>
      <c r="N5700" s="7">
        <v>2336000</v>
      </c>
      <c r="O5700" s="7">
        <v>2335999</v>
      </c>
      <c r="P5700" s="7">
        <v>0</v>
      </c>
      <c r="Q5700" s="7" t="str">
        <f t="shared" si="2083"/>
        <v>教育庁</v>
      </c>
      <c r="R5700" s="7" t="str">
        <f t="shared" si="2091"/>
        <v>貝塚高等学校</v>
      </c>
    </row>
    <row r="5701" spans="1:18" s="1" customFormat="1" x14ac:dyDescent="0.45">
      <c r="A5701" s="7" t="str">
        <f>"10464000001"</f>
        <v>10464000001</v>
      </c>
      <c r="B5701" s="7" t="str">
        <f>"貝塚高等学校実習農場"</f>
        <v>貝塚高等学校実習農場</v>
      </c>
      <c r="C5701" s="7" t="str">
        <f t="shared" si="2081"/>
        <v>行政財産</v>
      </c>
      <c r="D5701" s="7" t="str">
        <f t="shared" si="2093"/>
        <v>学校</v>
      </c>
      <c r="E5701" s="7" t="str">
        <f>"大阪府貝塚市畠中２丁目"</f>
        <v>大阪府貝塚市畠中２丁目</v>
      </c>
      <c r="F5701" s="7"/>
      <c r="G5701" s="7" t="str">
        <f t="shared" si="2082"/>
        <v>事業用資産</v>
      </c>
      <c r="H5701" s="7" t="str">
        <f t="shared" si="2094"/>
        <v>棚卸以外</v>
      </c>
      <c r="I5701" s="7">
        <v>4</v>
      </c>
      <c r="J5701" s="7" t="str">
        <f>"農場倉庫"</f>
        <v>農場倉庫</v>
      </c>
      <c r="K5701" s="7" t="str">
        <f>"軽量鉄骨造"</f>
        <v>軽量鉄骨造</v>
      </c>
      <c r="L5701" s="7" t="str">
        <f>"S63.03.31"</f>
        <v>S63.03.31</v>
      </c>
      <c r="M5701" s="7">
        <v>39.75</v>
      </c>
      <c r="N5701" s="7">
        <v>2139000</v>
      </c>
      <c r="O5701" s="7">
        <v>2138999</v>
      </c>
      <c r="P5701" s="7">
        <v>0</v>
      </c>
      <c r="Q5701" s="7" t="str">
        <f t="shared" si="2083"/>
        <v>教育庁</v>
      </c>
      <c r="R5701" s="7" t="str">
        <f t="shared" si="2091"/>
        <v>貝塚高等学校</v>
      </c>
    </row>
    <row r="5702" spans="1:18" s="1" customFormat="1" x14ac:dyDescent="0.45">
      <c r="A5702" s="7" t="str">
        <f>"10464000001"</f>
        <v>10464000001</v>
      </c>
      <c r="B5702" s="7" t="str">
        <f>"貝塚高等学校実習農場"</f>
        <v>貝塚高等学校実習農場</v>
      </c>
      <c r="C5702" s="7" t="str">
        <f t="shared" si="2081"/>
        <v>行政財産</v>
      </c>
      <c r="D5702" s="7" t="str">
        <f t="shared" si="2093"/>
        <v>学校</v>
      </c>
      <c r="E5702" s="7" t="str">
        <f>"大阪府貝塚市畠中２丁目"</f>
        <v>大阪府貝塚市畠中２丁目</v>
      </c>
      <c r="F5702" s="7"/>
      <c r="G5702" s="7" t="str">
        <f t="shared" si="2082"/>
        <v>事業用資産</v>
      </c>
      <c r="H5702" s="7" t="str">
        <f t="shared" si="2094"/>
        <v>棚卸以外</v>
      </c>
      <c r="I5702" s="7">
        <v>5</v>
      </c>
      <c r="J5702" s="7" t="str">
        <f>"農機具庫"</f>
        <v>農機具庫</v>
      </c>
      <c r="K5702" s="7" t="str">
        <f>"軽量鉄骨造"</f>
        <v>軽量鉄骨造</v>
      </c>
      <c r="L5702" s="7" t="str">
        <f>"H05.03.30"</f>
        <v>H05.03.30</v>
      </c>
      <c r="M5702" s="7">
        <v>30.8</v>
      </c>
      <c r="N5702" s="7">
        <v>979000</v>
      </c>
      <c r="O5702" s="7">
        <v>978999</v>
      </c>
      <c r="P5702" s="7">
        <v>0</v>
      </c>
      <c r="Q5702" s="7" t="str">
        <f t="shared" si="2083"/>
        <v>教育庁</v>
      </c>
      <c r="R5702" s="7" t="str">
        <f t="shared" si="2091"/>
        <v>貝塚高等学校</v>
      </c>
    </row>
    <row r="5703" spans="1:18" s="1" customFormat="1" x14ac:dyDescent="0.45">
      <c r="A5703" s="7" t="str">
        <f t="shared" ref="A5703:A5722" si="2095">"10465000000"</f>
        <v>10465000000</v>
      </c>
      <c r="B5703" s="7" t="str">
        <f t="shared" ref="B5703:B5722" si="2096">"貝塚南高等学校"</f>
        <v>貝塚南高等学校</v>
      </c>
      <c r="C5703" s="7" t="str">
        <f t="shared" si="2081"/>
        <v>行政財産</v>
      </c>
      <c r="D5703" s="7" t="str">
        <f t="shared" si="2093"/>
        <v>学校</v>
      </c>
      <c r="E5703" s="7" t="str">
        <f t="shared" ref="E5703:E5722" si="2097">"大阪府貝塚市橋本"</f>
        <v>大阪府貝塚市橋本</v>
      </c>
      <c r="F5703" s="7"/>
      <c r="G5703" s="7" t="str">
        <f t="shared" si="2082"/>
        <v>事業用資産</v>
      </c>
      <c r="H5703" s="7" t="str">
        <f t="shared" si="2094"/>
        <v>棚卸以外</v>
      </c>
      <c r="I5703" s="7">
        <v>1</v>
      </c>
      <c r="J5703" s="7" t="str">
        <f>"普通教室棟"</f>
        <v>普通教室棟</v>
      </c>
      <c r="K5703" s="7" t="str">
        <f>"鉄筋コンクリート造"</f>
        <v>鉄筋コンクリート造</v>
      </c>
      <c r="L5703" s="7" t="str">
        <f t="shared" ref="L5703:L5710" si="2098">"S49.04.01"</f>
        <v>S49.04.01</v>
      </c>
      <c r="M5703" s="7">
        <v>4507.62</v>
      </c>
      <c r="N5703" s="7">
        <v>572618472</v>
      </c>
      <c r="O5703" s="7">
        <v>435521668</v>
      </c>
      <c r="P5703" s="7">
        <v>0</v>
      </c>
      <c r="Q5703" s="7" t="str">
        <f t="shared" si="2083"/>
        <v>教育庁</v>
      </c>
      <c r="R5703" s="7" t="str">
        <f t="shared" ref="R5703:R5722" si="2099">"貝塚南高等学校"</f>
        <v>貝塚南高等学校</v>
      </c>
    </row>
    <row r="5704" spans="1:18" s="1" customFormat="1" x14ac:dyDescent="0.45">
      <c r="A5704" s="7" t="str">
        <f t="shared" si="2095"/>
        <v>10465000000</v>
      </c>
      <c r="B5704" s="7" t="str">
        <f t="shared" si="2096"/>
        <v>貝塚南高等学校</v>
      </c>
      <c r="C5704" s="7" t="str">
        <f t="shared" si="2081"/>
        <v>行政財産</v>
      </c>
      <c r="D5704" s="7" t="str">
        <f t="shared" si="2093"/>
        <v>学校</v>
      </c>
      <c r="E5704" s="7" t="str">
        <f t="shared" si="2097"/>
        <v>大阪府貝塚市橋本</v>
      </c>
      <c r="F5704" s="7"/>
      <c r="G5704" s="7" t="str">
        <f t="shared" si="2082"/>
        <v>事業用資産</v>
      </c>
      <c r="H5704" s="7" t="str">
        <f t="shared" si="2094"/>
        <v>棚卸以外</v>
      </c>
      <c r="I5704" s="7">
        <v>2</v>
      </c>
      <c r="J5704" s="7" t="str">
        <f>"特別教室棟"</f>
        <v>特別教室棟</v>
      </c>
      <c r="K5704" s="7" t="str">
        <f>"鉄筋コンクリート造"</f>
        <v>鉄筋コンクリート造</v>
      </c>
      <c r="L5704" s="7" t="str">
        <f t="shared" si="2098"/>
        <v>S49.04.01</v>
      </c>
      <c r="M5704" s="7">
        <v>3904.64</v>
      </c>
      <c r="N5704" s="7">
        <v>387546793</v>
      </c>
      <c r="O5704" s="7">
        <v>352140595</v>
      </c>
      <c r="P5704" s="7">
        <v>0</v>
      </c>
      <c r="Q5704" s="7" t="str">
        <f t="shared" si="2083"/>
        <v>教育庁</v>
      </c>
      <c r="R5704" s="7" t="str">
        <f t="shared" si="2099"/>
        <v>貝塚南高等学校</v>
      </c>
    </row>
    <row r="5705" spans="1:18" s="1" customFormat="1" x14ac:dyDescent="0.45">
      <c r="A5705" s="7" t="str">
        <f t="shared" si="2095"/>
        <v>10465000000</v>
      </c>
      <c r="B5705" s="7" t="str">
        <f t="shared" si="2096"/>
        <v>貝塚南高等学校</v>
      </c>
      <c r="C5705" s="7" t="str">
        <f t="shared" si="2081"/>
        <v>行政財産</v>
      </c>
      <c r="D5705" s="7" t="str">
        <f t="shared" si="2093"/>
        <v>学校</v>
      </c>
      <c r="E5705" s="7" t="str">
        <f t="shared" si="2097"/>
        <v>大阪府貝塚市橋本</v>
      </c>
      <c r="F5705" s="7"/>
      <c r="G5705" s="7" t="str">
        <f t="shared" si="2082"/>
        <v>事業用資産</v>
      </c>
      <c r="H5705" s="7" t="str">
        <f t="shared" si="2094"/>
        <v>棚卸以外</v>
      </c>
      <c r="I5705" s="7">
        <v>3</v>
      </c>
      <c r="J5705" s="7" t="str">
        <f>"渡り廊下"</f>
        <v>渡り廊下</v>
      </c>
      <c r="K5705" s="7" t="str">
        <f>"鉄筋コンクリート造"</f>
        <v>鉄筋コンクリート造</v>
      </c>
      <c r="L5705" s="7" t="str">
        <f t="shared" si="2098"/>
        <v>S49.04.01</v>
      </c>
      <c r="M5705" s="7">
        <v>228.07</v>
      </c>
      <c r="N5705" s="7">
        <v>31395000</v>
      </c>
      <c r="O5705" s="7">
        <v>22221551</v>
      </c>
      <c r="P5705" s="7">
        <v>0</v>
      </c>
      <c r="Q5705" s="7" t="str">
        <f t="shared" si="2083"/>
        <v>教育庁</v>
      </c>
      <c r="R5705" s="7" t="str">
        <f t="shared" si="2099"/>
        <v>貝塚南高等学校</v>
      </c>
    </row>
    <row r="5706" spans="1:18" s="1" customFormat="1" x14ac:dyDescent="0.45">
      <c r="A5706" s="7" t="str">
        <f t="shared" si="2095"/>
        <v>10465000000</v>
      </c>
      <c r="B5706" s="7" t="str">
        <f t="shared" si="2096"/>
        <v>貝塚南高等学校</v>
      </c>
      <c r="C5706" s="7" t="str">
        <f t="shared" si="2081"/>
        <v>行政財産</v>
      </c>
      <c r="D5706" s="7" t="str">
        <f t="shared" si="2093"/>
        <v>学校</v>
      </c>
      <c r="E5706" s="7" t="str">
        <f t="shared" si="2097"/>
        <v>大阪府貝塚市橋本</v>
      </c>
      <c r="F5706" s="7"/>
      <c r="G5706" s="7" t="str">
        <f t="shared" si="2082"/>
        <v>事業用資産</v>
      </c>
      <c r="H5706" s="7" t="str">
        <f t="shared" si="2094"/>
        <v>棚卸以外</v>
      </c>
      <c r="I5706" s="7">
        <v>4</v>
      </c>
      <c r="J5706" s="7" t="str">
        <f>"倉庫"</f>
        <v>倉庫</v>
      </c>
      <c r="K5706" s="7" t="str">
        <f>"鉄骨造"</f>
        <v>鉄骨造</v>
      </c>
      <c r="L5706" s="7" t="str">
        <f t="shared" si="2098"/>
        <v>S49.04.01</v>
      </c>
      <c r="M5706" s="7">
        <v>70.680000000000007</v>
      </c>
      <c r="N5706" s="7">
        <v>2384000</v>
      </c>
      <c r="O5706" s="7">
        <v>2383999</v>
      </c>
      <c r="P5706" s="7">
        <v>0</v>
      </c>
      <c r="Q5706" s="7" t="str">
        <f t="shared" si="2083"/>
        <v>教育庁</v>
      </c>
      <c r="R5706" s="7" t="str">
        <f t="shared" si="2099"/>
        <v>貝塚南高等学校</v>
      </c>
    </row>
    <row r="5707" spans="1:18" s="1" customFormat="1" x14ac:dyDescent="0.45">
      <c r="A5707" s="7" t="str">
        <f t="shared" si="2095"/>
        <v>10465000000</v>
      </c>
      <c r="B5707" s="7" t="str">
        <f t="shared" si="2096"/>
        <v>貝塚南高等学校</v>
      </c>
      <c r="C5707" s="7" t="str">
        <f t="shared" si="2081"/>
        <v>行政財産</v>
      </c>
      <c r="D5707" s="7" t="str">
        <f t="shared" si="2093"/>
        <v>学校</v>
      </c>
      <c r="E5707" s="7" t="str">
        <f t="shared" si="2097"/>
        <v>大阪府貝塚市橋本</v>
      </c>
      <c r="F5707" s="7"/>
      <c r="G5707" s="7" t="str">
        <f t="shared" si="2082"/>
        <v>事業用資産</v>
      </c>
      <c r="H5707" s="7" t="str">
        <f t="shared" si="2094"/>
        <v>棚卸以外</v>
      </c>
      <c r="I5707" s="7">
        <v>5</v>
      </c>
      <c r="J5707" s="7" t="str">
        <f>"自転車置場"</f>
        <v>自転車置場</v>
      </c>
      <c r="K5707" s="7" t="str">
        <f>"軽量鉄骨造"</f>
        <v>軽量鉄骨造</v>
      </c>
      <c r="L5707" s="7" t="str">
        <f t="shared" si="2098"/>
        <v>S49.04.01</v>
      </c>
      <c r="M5707" s="7">
        <v>105</v>
      </c>
      <c r="N5707" s="7">
        <v>2126000</v>
      </c>
      <c r="O5707" s="7">
        <v>2125999</v>
      </c>
      <c r="P5707" s="7">
        <v>0</v>
      </c>
      <c r="Q5707" s="7" t="str">
        <f t="shared" si="2083"/>
        <v>教育庁</v>
      </c>
      <c r="R5707" s="7" t="str">
        <f t="shared" si="2099"/>
        <v>貝塚南高等学校</v>
      </c>
    </row>
    <row r="5708" spans="1:18" s="1" customFormat="1" x14ac:dyDescent="0.45">
      <c r="A5708" s="7" t="str">
        <f t="shared" si="2095"/>
        <v>10465000000</v>
      </c>
      <c r="B5708" s="7" t="str">
        <f t="shared" si="2096"/>
        <v>貝塚南高等学校</v>
      </c>
      <c r="C5708" s="7" t="str">
        <f t="shared" si="2081"/>
        <v>行政財産</v>
      </c>
      <c r="D5708" s="7" t="str">
        <f t="shared" si="2093"/>
        <v>学校</v>
      </c>
      <c r="E5708" s="7" t="str">
        <f t="shared" si="2097"/>
        <v>大阪府貝塚市橋本</v>
      </c>
      <c r="F5708" s="7"/>
      <c r="G5708" s="7" t="str">
        <f t="shared" si="2082"/>
        <v>事業用資産</v>
      </c>
      <c r="H5708" s="7" t="str">
        <f t="shared" si="2094"/>
        <v>棚卸以外</v>
      </c>
      <c r="I5708" s="7">
        <v>6</v>
      </c>
      <c r="J5708" s="7" t="str">
        <f>"設備棟"</f>
        <v>設備棟</v>
      </c>
      <c r="K5708" s="7" t="str">
        <f>"鉄筋コンクリート造"</f>
        <v>鉄筋コンクリート造</v>
      </c>
      <c r="L5708" s="7" t="str">
        <f t="shared" si="2098"/>
        <v>S49.04.01</v>
      </c>
      <c r="M5708" s="7">
        <v>91.26</v>
      </c>
      <c r="N5708" s="7">
        <v>30998137</v>
      </c>
      <c r="O5708" s="7">
        <v>23534083</v>
      </c>
      <c r="P5708" s="7">
        <v>0</v>
      </c>
      <c r="Q5708" s="7" t="str">
        <f t="shared" si="2083"/>
        <v>教育庁</v>
      </c>
      <c r="R5708" s="7" t="str">
        <f t="shared" si="2099"/>
        <v>貝塚南高等学校</v>
      </c>
    </row>
    <row r="5709" spans="1:18" s="1" customFormat="1" x14ac:dyDescent="0.45">
      <c r="A5709" s="7" t="str">
        <f t="shared" si="2095"/>
        <v>10465000000</v>
      </c>
      <c r="B5709" s="7" t="str">
        <f t="shared" si="2096"/>
        <v>貝塚南高等学校</v>
      </c>
      <c r="C5709" s="7" t="str">
        <f t="shared" ref="C5709:C5772" si="2100">"行政財産"</f>
        <v>行政財産</v>
      </c>
      <c r="D5709" s="7" t="str">
        <f t="shared" si="2093"/>
        <v>学校</v>
      </c>
      <c r="E5709" s="7" t="str">
        <f t="shared" si="2097"/>
        <v>大阪府貝塚市橋本</v>
      </c>
      <c r="F5709" s="7"/>
      <c r="G5709" s="7" t="str">
        <f t="shared" si="2082"/>
        <v>事業用資産</v>
      </c>
      <c r="H5709" s="7" t="str">
        <f t="shared" si="2094"/>
        <v>棚卸以外</v>
      </c>
      <c r="I5709" s="7">
        <v>7</v>
      </c>
      <c r="J5709" s="7" t="str">
        <f>"汚物処理機械室"</f>
        <v>汚物処理機械室</v>
      </c>
      <c r="K5709" s="7" t="str">
        <f>"鉄筋コンクリート造"</f>
        <v>鉄筋コンクリート造</v>
      </c>
      <c r="L5709" s="7" t="str">
        <f t="shared" si="2098"/>
        <v>S49.04.01</v>
      </c>
      <c r="M5709" s="7">
        <v>33.6</v>
      </c>
      <c r="N5709" s="7">
        <v>11517000</v>
      </c>
      <c r="O5709" s="7">
        <v>11516999</v>
      </c>
      <c r="P5709" s="7">
        <v>0</v>
      </c>
      <c r="Q5709" s="7" t="str">
        <f t="shared" si="2083"/>
        <v>教育庁</v>
      </c>
      <c r="R5709" s="7" t="str">
        <f t="shared" si="2099"/>
        <v>貝塚南高等学校</v>
      </c>
    </row>
    <row r="5710" spans="1:18" s="1" customFormat="1" x14ac:dyDescent="0.45">
      <c r="A5710" s="7" t="str">
        <f t="shared" si="2095"/>
        <v>10465000000</v>
      </c>
      <c r="B5710" s="7" t="str">
        <f t="shared" si="2096"/>
        <v>貝塚南高等学校</v>
      </c>
      <c r="C5710" s="7" t="str">
        <f t="shared" si="2100"/>
        <v>行政財産</v>
      </c>
      <c r="D5710" s="7" t="str">
        <f t="shared" si="2093"/>
        <v>学校</v>
      </c>
      <c r="E5710" s="7" t="str">
        <f t="shared" si="2097"/>
        <v>大阪府貝塚市橋本</v>
      </c>
      <c r="F5710" s="7"/>
      <c r="G5710" s="7" t="str">
        <f t="shared" si="2082"/>
        <v>事業用資産</v>
      </c>
      <c r="H5710" s="7" t="str">
        <f t="shared" si="2094"/>
        <v>棚卸以外</v>
      </c>
      <c r="I5710" s="7">
        <v>9</v>
      </c>
      <c r="J5710" s="7" t="str">
        <f>"ガスメーター室"</f>
        <v>ガスメーター室</v>
      </c>
      <c r="K5710" s="7" t="str">
        <f>"レンガ、石積造"</f>
        <v>レンガ、石積造</v>
      </c>
      <c r="L5710" s="7" t="str">
        <f t="shared" si="2098"/>
        <v>S49.04.01</v>
      </c>
      <c r="M5710" s="7">
        <v>4</v>
      </c>
      <c r="N5710" s="7">
        <v>111000</v>
      </c>
      <c r="O5710" s="7">
        <v>110999</v>
      </c>
      <c r="P5710" s="7">
        <v>0</v>
      </c>
      <c r="Q5710" s="7" t="str">
        <f t="shared" si="2083"/>
        <v>教育庁</v>
      </c>
      <c r="R5710" s="7" t="str">
        <f t="shared" si="2099"/>
        <v>貝塚南高等学校</v>
      </c>
    </row>
    <row r="5711" spans="1:18" s="1" customFormat="1" x14ac:dyDescent="0.45">
      <c r="A5711" s="7" t="str">
        <f t="shared" si="2095"/>
        <v>10465000000</v>
      </c>
      <c r="B5711" s="7" t="str">
        <f t="shared" si="2096"/>
        <v>貝塚南高等学校</v>
      </c>
      <c r="C5711" s="7" t="str">
        <f t="shared" si="2100"/>
        <v>行政財産</v>
      </c>
      <c r="D5711" s="7" t="str">
        <f t="shared" si="2093"/>
        <v>学校</v>
      </c>
      <c r="E5711" s="7" t="str">
        <f t="shared" si="2097"/>
        <v>大阪府貝塚市橋本</v>
      </c>
      <c r="F5711" s="7"/>
      <c r="G5711" s="7" t="str">
        <f t="shared" si="2082"/>
        <v>事業用資産</v>
      </c>
      <c r="H5711" s="7" t="str">
        <f t="shared" si="2094"/>
        <v>棚卸以外</v>
      </c>
      <c r="I5711" s="7">
        <v>10</v>
      </c>
      <c r="J5711" s="7" t="str">
        <f>"第３号棟"</f>
        <v>第３号棟</v>
      </c>
      <c r="K5711" s="7" t="str">
        <f>"鉄筋コンクリート造"</f>
        <v>鉄筋コンクリート造</v>
      </c>
      <c r="L5711" s="7" t="str">
        <f>"S50.03.31"</f>
        <v>S50.03.31</v>
      </c>
      <c r="M5711" s="7">
        <v>3886.73</v>
      </c>
      <c r="N5711" s="7">
        <v>538352682</v>
      </c>
      <c r="O5711" s="7">
        <v>456931643</v>
      </c>
      <c r="P5711" s="7">
        <v>0</v>
      </c>
      <c r="Q5711" s="7" t="str">
        <f t="shared" si="2083"/>
        <v>教育庁</v>
      </c>
      <c r="R5711" s="7" t="str">
        <f t="shared" si="2099"/>
        <v>貝塚南高等学校</v>
      </c>
    </row>
    <row r="5712" spans="1:18" s="1" customFormat="1" x14ac:dyDescent="0.45">
      <c r="A5712" s="7" t="str">
        <f t="shared" si="2095"/>
        <v>10465000000</v>
      </c>
      <c r="B5712" s="7" t="str">
        <f t="shared" si="2096"/>
        <v>貝塚南高等学校</v>
      </c>
      <c r="C5712" s="7" t="str">
        <f t="shared" si="2100"/>
        <v>行政財産</v>
      </c>
      <c r="D5712" s="7" t="str">
        <f t="shared" si="2093"/>
        <v>学校</v>
      </c>
      <c r="E5712" s="7" t="str">
        <f t="shared" si="2097"/>
        <v>大阪府貝塚市橋本</v>
      </c>
      <c r="F5712" s="7"/>
      <c r="G5712" s="7" t="str">
        <f t="shared" si="2082"/>
        <v>事業用資産</v>
      </c>
      <c r="H5712" s="7" t="str">
        <f t="shared" si="2094"/>
        <v>棚卸以外</v>
      </c>
      <c r="I5712" s="7">
        <v>11</v>
      </c>
      <c r="J5712" s="7" t="str">
        <f>"第２渡り廊下"</f>
        <v>第２渡り廊下</v>
      </c>
      <c r="K5712" s="7" t="str">
        <f>"鉄筋コンクリート造"</f>
        <v>鉄筋コンクリート造</v>
      </c>
      <c r="L5712" s="7" t="str">
        <f>"S50.03.31"</f>
        <v>S50.03.31</v>
      </c>
      <c r="M5712" s="7">
        <v>253.47</v>
      </c>
      <c r="N5712" s="7">
        <v>34322883</v>
      </c>
      <c r="O5712" s="7">
        <v>30203632</v>
      </c>
      <c r="P5712" s="7">
        <v>0</v>
      </c>
      <c r="Q5712" s="7" t="str">
        <f t="shared" si="2083"/>
        <v>教育庁</v>
      </c>
      <c r="R5712" s="7" t="str">
        <f t="shared" si="2099"/>
        <v>貝塚南高等学校</v>
      </c>
    </row>
    <row r="5713" spans="1:18" s="1" customFormat="1" x14ac:dyDescent="0.45">
      <c r="A5713" s="7" t="str">
        <f t="shared" si="2095"/>
        <v>10465000000</v>
      </c>
      <c r="B5713" s="7" t="str">
        <f t="shared" si="2096"/>
        <v>貝塚南高等学校</v>
      </c>
      <c r="C5713" s="7" t="str">
        <f t="shared" si="2100"/>
        <v>行政財産</v>
      </c>
      <c r="D5713" s="7" t="str">
        <f t="shared" si="2093"/>
        <v>学校</v>
      </c>
      <c r="E5713" s="7" t="str">
        <f t="shared" si="2097"/>
        <v>大阪府貝塚市橋本</v>
      </c>
      <c r="F5713" s="7"/>
      <c r="G5713" s="7" t="str">
        <f t="shared" si="2082"/>
        <v>事業用資産</v>
      </c>
      <c r="H5713" s="7" t="str">
        <f t="shared" si="2094"/>
        <v>棚卸以外</v>
      </c>
      <c r="I5713" s="7">
        <v>12</v>
      </c>
      <c r="J5713" s="7" t="str">
        <f>"体育館"</f>
        <v>体育館</v>
      </c>
      <c r="K5713" s="7" t="str">
        <f>"鉄筋コンクリート造"</f>
        <v>鉄筋コンクリート造</v>
      </c>
      <c r="L5713" s="7" t="str">
        <f>"S50.08.01"</f>
        <v>S50.08.01</v>
      </c>
      <c r="M5713" s="7">
        <v>3110.39</v>
      </c>
      <c r="N5713" s="7">
        <v>362796937</v>
      </c>
      <c r="O5713" s="7">
        <v>297132417</v>
      </c>
      <c r="P5713" s="7">
        <v>0</v>
      </c>
      <c r="Q5713" s="7" t="str">
        <f t="shared" si="2083"/>
        <v>教育庁</v>
      </c>
      <c r="R5713" s="7" t="str">
        <f t="shared" si="2099"/>
        <v>貝塚南高等学校</v>
      </c>
    </row>
    <row r="5714" spans="1:18" s="1" customFormat="1" x14ac:dyDescent="0.45">
      <c r="A5714" s="7" t="str">
        <f t="shared" si="2095"/>
        <v>10465000000</v>
      </c>
      <c r="B5714" s="7" t="str">
        <f t="shared" si="2096"/>
        <v>貝塚南高等学校</v>
      </c>
      <c r="C5714" s="7" t="str">
        <f t="shared" si="2100"/>
        <v>行政財産</v>
      </c>
      <c r="D5714" s="7" t="str">
        <f t="shared" si="2093"/>
        <v>学校</v>
      </c>
      <c r="E5714" s="7" t="str">
        <f t="shared" si="2097"/>
        <v>大阪府貝塚市橋本</v>
      </c>
      <c r="F5714" s="7"/>
      <c r="G5714" s="7" t="str">
        <f t="shared" si="2082"/>
        <v>事業用資産</v>
      </c>
      <c r="H5714" s="7" t="str">
        <f t="shared" si="2094"/>
        <v>棚卸以外</v>
      </c>
      <c r="I5714" s="7">
        <v>13</v>
      </c>
      <c r="J5714" s="7" t="str">
        <f>"プール附属棟"</f>
        <v>プール附属棟</v>
      </c>
      <c r="K5714" s="7" t="str">
        <f>"コンクリートブロック造"</f>
        <v>コンクリートブロック造</v>
      </c>
      <c r="L5714" s="7" t="str">
        <f>"S50.09.03"</f>
        <v>S50.09.03</v>
      </c>
      <c r="M5714" s="7">
        <v>138</v>
      </c>
      <c r="N5714" s="7">
        <v>20944000</v>
      </c>
      <c r="O5714" s="7">
        <v>20943999</v>
      </c>
      <c r="P5714" s="7">
        <v>0</v>
      </c>
      <c r="Q5714" s="7" t="str">
        <f t="shared" si="2083"/>
        <v>教育庁</v>
      </c>
      <c r="R5714" s="7" t="str">
        <f t="shared" si="2099"/>
        <v>貝塚南高等学校</v>
      </c>
    </row>
    <row r="5715" spans="1:18" s="1" customFormat="1" x14ac:dyDescent="0.45">
      <c r="A5715" s="7" t="str">
        <f t="shared" si="2095"/>
        <v>10465000000</v>
      </c>
      <c r="B5715" s="7" t="str">
        <f t="shared" si="2096"/>
        <v>貝塚南高等学校</v>
      </c>
      <c r="C5715" s="7" t="str">
        <f t="shared" si="2100"/>
        <v>行政財産</v>
      </c>
      <c r="D5715" s="7" t="str">
        <f t="shared" si="2093"/>
        <v>学校</v>
      </c>
      <c r="E5715" s="7" t="str">
        <f t="shared" si="2097"/>
        <v>大阪府貝塚市橋本</v>
      </c>
      <c r="F5715" s="7"/>
      <c r="G5715" s="7" t="str">
        <f t="shared" si="2082"/>
        <v>事業用資産</v>
      </c>
      <c r="H5715" s="7" t="str">
        <f t="shared" si="2094"/>
        <v>棚卸以外</v>
      </c>
      <c r="I5715" s="7">
        <v>14</v>
      </c>
      <c r="J5715" s="7" t="str">
        <f>"食堂"</f>
        <v>食堂</v>
      </c>
      <c r="K5715" s="7" t="str">
        <f>"鉄筋コンクリート造"</f>
        <v>鉄筋コンクリート造</v>
      </c>
      <c r="L5715" s="7" t="str">
        <f>"S50.09.03"</f>
        <v>S50.09.03</v>
      </c>
      <c r="M5715" s="7">
        <v>324.48</v>
      </c>
      <c r="N5715" s="7">
        <v>37929000</v>
      </c>
      <c r="O5715" s="7">
        <v>37928999</v>
      </c>
      <c r="P5715" s="7">
        <v>0</v>
      </c>
      <c r="Q5715" s="7" t="str">
        <f t="shared" si="2083"/>
        <v>教育庁</v>
      </c>
      <c r="R5715" s="7" t="str">
        <f t="shared" si="2099"/>
        <v>貝塚南高等学校</v>
      </c>
    </row>
    <row r="5716" spans="1:18" s="1" customFormat="1" x14ac:dyDescent="0.45">
      <c r="A5716" s="7" t="str">
        <f t="shared" si="2095"/>
        <v>10465000000</v>
      </c>
      <c r="B5716" s="7" t="str">
        <f t="shared" si="2096"/>
        <v>貝塚南高等学校</v>
      </c>
      <c r="C5716" s="7" t="str">
        <f t="shared" si="2100"/>
        <v>行政財産</v>
      </c>
      <c r="D5716" s="7" t="str">
        <f t="shared" si="2093"/>
        <v>学校</v>
      </c>
      <c r="E5716" s="7" t="str">
        <f t="shared" si="2097"/>
        <v>大阪府貝塚市橋本</v>
      </c>
      <c r="F5716" s="7"/>
      <c r="G5716" s="7" t="str">
        <f t="shared" si="2082"/>
        <v>事業用資産</v>
      </c>
      <c r="H5716" s="7" t="str">
        <f t="shared" si="2094"/>
        <v>棚卸以外</v>
      </c>
      <c r="I5716" s="7">
        <v>15</v>
      </c>
      <c r="J5716" s="7" t="str">
        <f>"自転車置場"</f>
        <v>自転車置場</v>
      </c>
      <c r="K5716" s="7" t="str">
        <f>"軽量鉄骨造"</f>
        <v>軽量鉄骨造</v>
      </c>
      <c r="L5716" s="7" t="str">
        <f>"S50.09.03"</f>
        <v>S50.09.03</v>
      </c>
      <c r="M5716" s="7">
        <v>150</v>
      </c>
      <c r="N5716" s="7">
        <v>4832000</v>
      </c>
      <c r="O5716" s="7">
        <v>4831999</v>
      </c>
      <c r="P5716" s="7">
        <v>0</v>
      </c>
      <c r="Q5716" s="7" t="str">
        <f t="shared" si="2083"/>
        <v>教育庁</v>
      </c>
      <c r="R5716" s="7" t="str">
        <f t="shared" si="2099"/>
        <v>貝塚南高等学校</v>
      </c>
    </row>
    <row r="5717" spans="1:18" s="1" customFormat="1" x14ac:dyDescent="0.45">
      <c r="A5717" s="7" t="str">
        <f t="shared" si="2095"/>
        <v>10465000000</v>
      </c>
      <c r="B5717" s="7" t="str">
        <f t="shared" si="2096"/>
        <v>貝塚南高等学校</v>
      </c>
      <c r="C5717" s="7" t="str">
        <f t="shared" si="2100"/>
        <v>行政財産</v>
      </c>
      <c r="D5717" s="7" t="str">
        <f t="shared" si="2093"/>
        <v>学校</v>
      </c>
      <c r="E5717" s="7" t="str">
        <f t="shared" si="2097"/>
        <v>大阪府貝塚市橋本</v>
      </c>
      <c r="F5717" s="7"/>
      <c r="G5717" s="7" t="str">
        <f t="shared" si="2082"/>
        <v>事業用資産</v>
      </c>
      <c r="H5717" s="7" t="str">
        <f t="shared" si="2094"/>
        <v>棚卸以外</v>
      </c>
      <c r="I5717" s="7">
        <v>17</v>
      </c>
      <c r="J5717" s="7" t="str">
        <f>"自転車置場"</f>
        <v>自転車置場</v>
      </c>
      <c r="K5717" s="7" t="str">
        <f>"軽量鉄骨造"</f>
        <v>軽量鉄骨造</v>
      </c>
      <c r="L5717" s="7" t="str">
        <f>"S51.03.31"</f>
        <v>S51.03.31</v>
      </c>
      <c r="M5717" s="7">
        <v>75</v>
      </c>
      <c r="N5717" s="7">
        <v>2197000</v>
      </c>
      <c r="O5717" s="7">
        <v>2196999</v>
      </c>
      <c r="P5717" s="7">
        <v>0</v>
      </c>
      <c r="Q5717" s="7" t="str">
        <f t="shared" si="2083"/>
        <v>教育庁</v>
      </c>
      <c r="R5717" s="7" t="str">
        <f t="shared" si="2099"/>
        <v>貝塚南高等学校</v>
      </c>
    </row>
    <row r="5718" spans="1:18" s="1" customFormat="1" x14ac:dyDescent="0.45">
      <c r="A5718" s="7" t="str">
        <f t="shared" si="2095"/>
        <v>10465000000</v>
      </c>
      <c r="B5718" s="7" t="str">
        <f t="shared" si="2096"/>
        <v>貝塚南高等学校</v>
      </c>
      <c r="C5718" s="7" t="str">
        <f t="shared" si="2100"/>
        <v>行政財産</v>
      </c>
      <c r="D5718" s="7" t="str">
        <f t="shared" si="2093"/>
        <v>学校</v>
      </c>
      <c r="E5718" s="7" t="str">
        <f t="shared" si="2097"/>
        <v>大阪府貝塚市橋本</v>
      </c>
      <c r="F5718" s="7"/>
      <c r="G5718" s="7" t="str">
        <f t="shared" si="2082"/>
        <v>事業用資産</v>
      </c>
      <c r="H5718" s="7" t="str">
        <f t="shared" si="2094"/>
        <v>棚卸以外</v>
      </c>
      <c r="I5718" s="7">
        <v>18</v>
      </c>
      <c r="J5718" s="7" t="str">
        <f>"自転車置場"</f>
        <v>自転車置場</v>
      </c>
      <c r="K5718" s="7" t="str">
        <f>"軽量鉄骨造"</f>
        <v>軽量鉄骨造</v>
      </c>
      <c r="L5718" s="7" t="str">
        <f>"S51.03.31"</f>
        <v>S51.03.31</v>
      </c>
      <c r="M5718" s="7">
        <v>154</v>
      </c>
      <c r="N5718" s="7">
        <v>4563000</v>
      </c>
      <c r="O5718" s="7">
        <v>4562999</v>
      </c>
      <c r="P5718" s="7">
        <v>0</v>
      </c>
      <c r="Q5718" s="7" t="str">
        <f t="shared" si="2083"/>
        <v>教育庁</v>
      </c>
      <c r="R5718" s="7" t="str">
        <f t="shared" si="2099"/>
        <v>貝塚南高等学校</v>
      </c>
    </row>
    <row r="5719" spans="1:18" s="1" customFormat="1" x14ac:dyDescent="0.45">
      <c r="A5719" s="7" t="str">
        <f t="shared" si="2095"/>
        <v>10465000000</v>
      </c>
      <c r="B5719" s="7" t="str">
        <f t="shared" si="2096"/>
        <v>貝塚南高等学校</v>
      </c>
      <c r="C5719" s="7" t="str">
        <f t="shared" si="2100"/>
        <v>行政財産</v>
      </c>
      <c r="D5719" s="7" t="str">
        <f t="shared" si="2093"/>
        <v>学校</v>
      </c>
      <c r="E5719" s="7" t="str">
        <f t="shared" si="2097"/>
        <v>大阪府貝塚市橋本</v>
      </c>
      <c r="F5719" s="7"/>
      <c r="G5719" s="7" t="str">
        <f t="shared" ref="G5719:G5782" si="2101">"事業用資産"</f>
        <v>事業用資産</v>
      </c>
      <c r="H5719" s="7" t="str">
        <f t="shared" si="2094"/>
        <v>棚卸以外</v>
      </c>
      <c r="I5719" s="7">
        <v>19</v>
      </c>
      <c r="J5719" s="7" t="str">
        <f>"自転車置場"</f>
        <v>自転車置場</v>
      </c>
      <c r="K5719" s="7" t="str">
        <f>"軽量鉄骨造"</f>
        <v>軽量鉄骨造</v>
      </c>
      <c r="L5719" s="7" t="str">
        <f>"S51.03.31"</f>
        <v>S51.03.31</v>
      </c>
      <c r="M5719" s="7">
        <v>57.95</v>
      </c>
      <c r="N5719" s="7">
        <v>1690000</v>
      </c>
      <c r="O5719" s="7">
        <v>1689999</v>
      </c>
      <c r="P5719" s="7">
        <v>0</v>
      </c>
      <c r="Q5719" s="7" t="str">
        <f t="shared" si="2083"/>
        <v>教育庁</v>
      </c>
      <c r="R5719" s="7" t="str">
        <f t="shared" si="2099"/>
        <v>貝塚南高等学校</v>
      </c>
    </row>
    <row r="5720" spans="1:18" s="1" customFormat="1" x14ac:dyDescent="0.45">
      <c r="A5720" s="7" t="str">
        <f t="shared" si="2095"/>
        <v>10465000000</v>
      </c>
      <c r="B5720" s="7" t="str">
        <f t="shared" si="2096"/>
        <v>貝塚南高等学校</v>
      </c>
      <c r="C5720" s="7" t="str">
        <f t="shared" si="2100"/>
        <v>行政財産</v>
      </c>
      <c r="D5720" s="7" t="str">
        <f t="shared" si="2093"/>
        <v>学校</v>
      </c>
      <c r="E5720" s="7" t="str">
        <f t="shared" si="2097"/>
        <v>大阪府貝塚市橋本</v>
      </c>
      <c r="F5720" s="7"/>
      <c r="G5720" s="7" t="str">
        <f t="shared" si="2101"/>
        <v>事業用資産</v>
      </c>
      <c r="H5720" s="7" t="str">
        <f t="shared" si="2094"/>
        <v>棚卸以外</v>
      </c>
      <c r="I5720" s="7">
        <v>20</v>
      </c>
      <c r="J5720" s="7" t="str">
        <f>"倉庫"</f>
        <v>倉庫</v>
      </c>
      <c r="K5720" s="7" t="str">
        <f>"コンクリートブロック造"</f>
        <v>コンクリートブロック造</v>
      </c>
      <c r="L5720" s="7" t="str">
        <f>"S51.12.20"</f>
        <v>S51.12.20</v>
      </c>
      <c r="M5720" s="7">
        <v>102.46</v>
      </c>
      <c r="N5720" s="7">
        <v>4399000</v>
      </c>
      <c r="O5720" s="7">
        <v>4398999</v>
      </c>
      <c r="P5720" s="7">
        <v>0</v>
      </c>
      <c r="Q5720" s="7" t="str">
        <f t="shared" si="2083"/>
        <v>教育庁</v>
      </c>
      <c r="R5720" s="7" t="str">
        <f t="shared" si="2099"/>
        <v>貝塚南高等学校</v>
      </c>
    </row>
    <row r="5721" spans="1:18" s="1" customFormat="1" x14ac:dyDescent="0.45">
      <c r="A5721" s="7" t="str">
        <f t="shared" si="2095"/>
        <v>10465000000</v>
      </c>
      <c r="B5721" s="7" t="str">
        <f t="shared" si="2096"/>
        <v>貝塚南高等学校</v>
      </c>
      <c r="C5721" s="7" t="str">
        <f t="shared" si="2100"/>
        <v>行政財産</v>
      </c>
      <c r="D5721" s="7" t="str">
        <f t="shared" si="2093"/>
        <v>学校</v>
      </c>
      <c r="E5721" s="7" t="str">
        <f t="shared" si="2097"/>
        <v>大阪府貝塚市橋本</v>
      </c>
      <c r="F5721" s="7"/>
      <c r="G5721" s="7" t="str">
        <f t="shared" si="2101"/>
        <v>事業用資産</v>
      </c>
      <c r="H5721" s="7" t="str">
        <f t="shared" si="2094"/>
        <v>棚卸以外</v>
      </c>
      <c r="I5721" s="7">
        <v>22</v>
      </c>
      <c r="J5721" s="7" t="str">
        <f>"自転車置場"</f>
        <v>自転車置場</v>
      </c>
      <c r="K5721" s="7" t="str">
        <f>"鉄骨造"</f>
        <v>鉄骨造</v>
      </c>
      <c r="L5721" s="7" t="str">
        <f>"S54.01.20"</f>
        <v>S54.01.20</v>
      </c>
      <c r="M5721" s="7">
        <v>49.92</v>
      </c>
      <c r="N5721" s="7">
        <v>2925000</v>
      </c>
      <c r="O5721" s="7">
        <v>2924999</v>
      </c>
      <c r="P5721" s="7">
        <v>0</v>
      </c>
      <c r="Q5721" s="7" t="str">
        <f t="shared" si="2083"/>
        <v>教育庁</v>
      </c>
      <c r="R5721" s="7" t="str">
        <f t="shared" si="2099"/>
        <v>貝塚南高等学校</v>
      </c>
    </row>
    <row r="5722" spans="1:18" s="1" customFormat="1" x14ac:dyDescent="0.45">
      <c r="A5722" s="7" t="str">
        <f t="shared" si="2095"/>
        <v>10465000000</v>
      </c>
      <c r="B5722" s="7" t="str">
        <f t="shared" si="2096"/>
        <v>貝塚南高等学校</v>
      </c>
      <c r="C5722" s="7" t="str">
        <f t="shared" si="2100"/>
        <v>行政財産</v>
      </c>
      <c r="D5722" s="7" t="str">
        <f t="shared" si="2093"/>
        <v>学校</v>
      </c>
      <c r="E5722" s="7" t="str">
        <f t="shared" si="2097"/>
        <v>大阪府貝塚市橋本</v>
      </c>
      <c r="F5722" s="7"/>
      <c r="G5722" s="7" t="str">
        <f t="shared" si="2101"/>
        <v>事業用資産</v>
      </c>
      <c r="H5722" s="7" t="str">
        <f t="shared" si="2094"/>
        <v>棚卸以外</v>
      </c>
      <c r="I5722" s="7">
        <v>23</v>
      </c>
      <c r="J5722" s="7" t="str">
        <f>"自転車置場"</f>
        <v>自転車置場</v>
      </c>
      <c r="K5722" s="7" t="str">
        <f>"鉄骨造"</f>
        <v>鉄骨造</v>
      </c>
      <c r="L5722" s="7" t="str">
        <f>"S54.01.20"</f>
        <v>S54.01.20</v>
      </c>
      <c r="M5722" s="7">
        <v>38.4</v>
      </c>
      <c r="N5722" s="7">
        <v>2250000</v>
      </c>
      <c r="O5722" s="7">
        <v>2249999</v>
      </c>
      <c r="P5722" s="7">
        <v>0</v>
      </c>
      <c r="Q5722" s="7" t="str">
        <f t="shared" si="2083"/>
        <v>教育庁</v>
      </c>
      <c r="R5722" s="7" t="str">
        <f t="shared" si="2099"/>
        <v>貝塚南高等学校</v>
      </c>
    </row>
    <row r="5723" spans="1:18" s="1" customFormat="1" x14ac:dyDescent="0.45">
      <c r="A5723" s="7" t="str">
        <f t="shared" ref="A5723:A5734" si="2102">"10468000000"</f>
        <v>10468000000</v>
      </c>
      <c r="B5723" s="7" t="str">
        <f t="shared" ref="B5723:B5734" si="2103">"泉鳥取高等学校"</f>
        <v>泉鳥取高等学校</v>
      </c>
      <c r="C5723" s="7" t="str">
        <f t="shared" si="2100"/>
        <v>行政財産</v>
      </c>
      <c r="D5723" s="7" t="str">
        <f t="shared" si="2093"/>
        <v>学校</v>
      </c>
      <c r="E5723" s="7" t="str">
        <f t="shared" ref="E5723:E5734" si="2104">"大阪府阪南市緑ヶ丘１丁目"</f>
        <v>大阪府阪南市緑ヶ丘１丁目</v>
      </c>
      <c r="F5723" s="7"/>
      <c r="G5723" s="7" t="str">
        <f t="shared" si="2101"/>
        <v>事業用資産</v>
      </c>
      <c r="H5723" s="7" t="str">
        <f t="shared" si="2094"/>
        <v>棚卸以外</v>
      </c>
      <c r="I5723" s="7">
        <v>1</v>
      </c>
      <c r="J5723" s="7" t="str">
        <f>"普通教室棟"</f>
        <v>普通教室棟</v>
      </c>
      <c r="K5723" s="7" t="str">
        <f>"鉄筋コンクリート造"</f>
        <v>鉄筋コンクリート造</v>
      </c>
      <c r="L5723" s="7" t="str">
        <f t="shared" ref="L5723:L5728" si="2105">"S51.04.13"</f>
        <v>S51.04.13</v>
      </c>
      <c r="M5723" s="7">
        <v>5806.81</v>
      </c>
      <c r="N5723" s="7">
        <v>555634011</v>
      </c>
      <c r="O5723" s="7">
        <v>501751618</v>
      </c>
      <c r="P5723" s="7">
        <v>0</v>
      </c>
      <c r="Q5723" s="7" t="str">
        <f t="shared" ref="Q5723:Q5786" si="2106">"教育庁"</f>
        <v>教育庁</v>
      </c>
      <c r="R5723" s="7" t="str">
        <f t="shared" ref="R5723:R5734" si="2107">"泉鳥取高等学校"</f>
        <v>泉鳥取高等学校</v>
      </c>
    </row>
    <row r="5724" spans="1:18" s="1" customFormat="1" x14ac:dyDescent="0.45">
      <c r="A5724" s="7" t="str">
        <f t="shared" si="2102"/>
        <v>10468000000</v>
      </c>
      <c r="B5724" s="7" t="str">
        <f t="shared" si="2103"/>
        <v>泉鳥取高等学校</v>
      </c>
      <c r="C5724" s="7" t="str">
        <f t="shared" si="2100"/>
        <v>行政財産</v>
      </c>
      <c r="D5724" s="7" t="str">
        <f t="shared" si="2093"/>
        <v>学校</v>
      </c>
      <c r="E5724" s="7" t="str">
        <f t="shared" si="2104"/>
        <v>大阪府阪南市緑ヶ丘１丁目</v>
      </c>
      <c r="F5724" s="7"/>
      <c r="G5724" s="7" t="str">
        <f t="shared" si="2101"/>
        <v>事業用資産</v>
      </c>
      <c r="H5724" s="7" t="str">
        <f t="shared" si="2094"/>
        <v>棚卸以外</v>
      </c>
      <c r="I5724" s="7">
        <v>2</v>
      </c>
      <c r="J5724" s="7" t="str">
        <f>"特別教室棟"</f>
        <v>特別教室棟</v>
      </c>
      <c r="K5724" s="7" t="str">
        <f>"鉄筋コンクリート造"</f>
        <v>鉄筋コンクリート造</v>
      </c>
      <c r="L5724" s="7" t="str">
        <f t="shared" si="2105"/>
        <v>S51.04.13</v>
      </c>
      <c r="M5724" s="7">
        <v>5460.41</v>
      </c>
      <c r="N5724" s="7">
        <v>621211175</v>
      </c>
      <c r="O5724" s="7">
        <v>551204296</v>
      </c>
      <c r="P5724" s="7">
        <v>0</v>
      </c>
      <c r="Q5724" s="7" t="str">
        <f t="shared" si="2106"/>
        <v>教育庁</v>
      </c>
      <c r="R5724" s="7" t="str">
        <f t="shared" si="2107"/>
        <v>泉鳥取高等学校</v>
      </c>
    </row>
    <row r="5725" spans="1:18" s="1" customFormat="1" x14ac:dyDescent="0.45">
      <c r="A5725" s="7" t="str">
        <f t="shared" si="2102"/>
        <v>10468000000</v>
      </c>
      <c r="B5725" s="7" t="str">
        <f t="shared" si="2103"/>
        <v>泉鳥取高等学校</v>
      </c>
      <c r="C5725" s="7" t="str">
        <f t="shared" si="2100"/>
        <v>行政財産</v>
      </c>
      <c r="D5725" s="7" t="str">
        <f t="shared" si="2093"/>
        <v>学校</v>
      </c>
      <c r="E5725" s="7" t="str">
        <f t="shared" si="2104"/>
        <v>大阪府阪南市緑ヶ丘１丁目</v>
      </c>
      <c r="F5725" s="7"/>
      <c r="G5725" s="7" t="str">
        <f t="shared" si="2101"/>
        <v>事業用資産</v>
      </c>
      <c r="H5725" s="7" t="str">
        <f t="shared" si="2094"/>
        <v>棚卸以外</v>
      </c>
      <c r="I5725" s="7">
        <v>3</v>
      </c>
      <c r="J5725" s="7" t="str">
        <f>"西渡り廊下棟"</f>
        <v>西渡り廊下棟</v>
      </c>
      <c r="K5725" s="7" t="str">
        <f>"鉄筋コンクリート造"</f>
        <v>鉄筋コンクリート造</v>
      </c>
      <c r="L5725" s="7" t="str">
        <f t="shared" si="2105"/>
        <v>S51.04.13</v>
      </c>
      <c r="M5725" s="7">
        <v>353.25</v>
      </c>
      <c r="N5725" s="7">
        <v>25873000</v>
      </c>
      <c r="O5725" s="7">
        <v>25244213</v>
      </c>
      <c r="P5725" s="7">
        <v>0</v>
      </c>
      <c r="Q5725" s="7" t="str">
        <f t="shared" si="2106"/>
        <v>教育庁</v>
      </c>
      <c r="R5725" s="7" t="str">
        <f t="shared" si="2107"/>
        <v>泉鳥取高等学校</v>
      </c>
    </row>
    <row r="5726" spans="1:18" s="1" customFormat="1" x14ac:dyDescent="0.45">
      <c r="A5726" s="7" t="str">
        <f t="shared" si="2102"/>
        <v>10468000000</v>
      </c>
      <c r="B5726" s="7" t="str">
        <f t="shared" si="2103"/>
        <v>泉鳥取高等学校</v>
      </c>
      <c r="C5726" s="7" t="str">
        <f t="shared" si="2100"/>
        <v>行政財産</v>
      </c>
      <c r="D5726" s="7" t="str">
        <f t="shared" si="2093"/>
        <v>学校</v>
      </c>
      <c r="E5726" s="7" t="str">
        <f t="shared" si="2104"/>
        <v>大阪府阪南市緑ヶ丘１丁目</v>
      </c>
      <c r="F5726" s="7"/>
      <c r="G5726" s="7" t="str">
        <f t="shared" si="2101"/>
        <v>事業用資産</v>
      </c>
      <c r="H5726" s="7" t="str">
        <f t="shared" si="2094"/>
        <v>棚卸以外</v>
      </c>
      <c r="I5726" s="7">
        <v>4</v>
      </c>
      <c r="J5726" s="7" t="str">
        <f>"設備棟"</f>
        <v>設備棟</v>
      </c>
      <c r="K5726" s="7" t="str">
        <f>"鉄筋コンクリート造"</f>
        <v>鉄筋コンクリート造</v>
      </c>
      <c r="L5726" s="7" t="str">
        <f t="shared" si="2105"/>
        <v>S51.04.13</v>
      </c>
      <c r="M5726" s="7">
        <v>117</v>
      </c>
      <c r="N5726" s="7">
        <v>19626000</v>
      </c>
      <c r="O5726" s="7">
        <v>19625999</v>
      </c>
      <c r="P5726" s="7">
        <v>0</v>
      </c>
      <c r="Q5726" s="7" t="str">
        <f t="shared" si="2106"/>
        <v>教育庁</v>
      </c>
      <c r="R5726" s="7" t="str">
        <f t="shared" si="2107"/>
        <v>泉鳥取高等学校</v>
      </c>
    </row>
    <row r="5727" spans="1:18" s="1" customFormat="1" x14ac:dyDescent="0.45">
      <c r="A5727" s="7" t="str">
        <f t="shared" si="2102"/>
        <v>10468000000</v>
      </c>
      <c r="B5727" s="7" t="str">
        <f t="shared" si="2103"/>
        <v>泉鳥取高等学校</v>
      </c>
      <c r="C5727" s="7" t="str">
        <f t="shared" si="2100"/>
        <v>行政財産</v>
      </c>
      <c r="D5727" s="7" t="str">
        <f t="shared" si="2093"/>
        <v>学校</v>
      </c>
      <c r="E5727" s="7" t="str">
        <f t="shared" si="2104"/>
        <v>大阪府阪南市緑ヶ丘１丁目</v>
      </c>
      <c r="F5727" s="7"/>
      <c r="G5727" s="7" t="str">
        <f t="shared" si="2101"/>
        <v>事業用資産</v>
      </c>
      <c r="H5727" s="7" t="str">
        <f t="shared" si="2094"/>
        <v>棚卸以外</v>
      </c>
      <c r="I5727" s="7">
        <v>5</v>
      </c>
      <c r="J5727" s="7" t="str">
        <f>"倉庫"</f>
        <v>倉庫</v>
      </c>
      <c r="K5727" s="7" t="str">
        <f>"鉄骨造"</f>
        <v>鉄骨造</v>
      </c>
      <c r="L5727" s="7" t="str">
        <f t="shared" si="2105"/>
        <v>S51.04.13</v>
      </c>
      <c r="M5727" s="7">
        <v>50</v>
      </c>
      <c r="N5727" s="7">
        <v>2877000</v>
      </c>
      <c r="O5727" s="7">
        <v>2876999</v>
      </c>
      <c r="P5727" s="7">
        <v>0</v>
      </c>
      <c r="Q5727" s="7" t="str">
        <f t="shared" si="2106"/>
        <v>教育庁</v>
      </c>
      <c r="R5727" s="7" t="str">
        <f t="shared" si="2107"/>
        <v>泉鳥取高等学校</v>
      </c>
    </row>
    <row r="5728" spans="1:18" s="1" customFormat="1" x14ac:dyDescent="0.45">
      <c r="A5728" s="7" t="str">
        <f t="shared" si="2102"/>
        <v>10468000000</v>
      </c>
      <c r="B5728" s="7" t="str">
        <f t="shared" si="2103"/>
        <v>泉鳥取高等学校</v>
      </c>
      <c r="C5728" s="7" t="str">
        <f t="shared" si="2100"/>
        <v>行政財産</v>
      </c>
      <c r="D5728" s="7" t="str">
        <f t="shared" si="2093"/>
        <v>学校</v>
      </c>
      <c r="E5728" s="7" t="str">
        <f t="shared" si="2104"/>
        <v>大阪府阪南市緑ヶ丘１丁目</v>
      </c>
      <c r="F5728" s="7"/>
      <c r="G5728" s="7" t="str">
        <f t="shared" si="2101"/>
        <v>事業用資産</v>
      </c>
      <c r="H5728" s="7" t="str">
        <f t="shared" si="2094"/>
        <v>棚卸以外</v>
      </c>
      <c r="I5728" s="7">
        <v>6</v>
      </c>
      <c r="J5728" s="7" t="str">
        <f>"ポンプ室"</f>
        <v>ポンプ室</v>
      </c>
      <c r="K5728" s="7" t="str">
        <f>"鉄筋コンクリート造"</f>
        <v>鉄筋コンクリート造</v>
      </c>
      <c r="L5728" s="7" t="str">
        <f t="shared" si="2105"/>
        <v>S51.04.13</v>
      </c>
      <c r="M5728" s="7">
        <v>14.1</v>
      </c>
      <c r="N5728" s="7">
        <v>2654000</v>
      </c>
      <c r="O5728" s="7">
        <v>2653999</v>
      </c>
      <c r="P5728" s="7">
        <v>0</v>
      </c>
      <c r="Q5728" s="7" t="str">
        <f t="shared" si="2106"/>
        <v>教育庁</v>
      </c>
      <c r="R5728" s="7" t="str">
        <f t="shared" si="2107"/>
        <v>泉鳥取高等学校</v>
      </c>
    </row>
    <row r="5729" spans="1:18" s="1" customFormat="1" x14ac:dyDescent="0.45">
      <c r="A5729" s="7" t="str">
        <f t="shared" si="2102"/>
        <v>10468000000</v>
      </c>
      <c r="B5729" s="7" t="str">
        <f t="shared" si="2103"/>
        <v>泉鳥取高等学校</v>
      </c>
      <c r="C5729" s="7" t="str">
        <f t="shared" si="2100"/>
        <v>行政財産</v>
      </c>
      <c r="D5729" s="7" t="str">
        <f t="shared" si="2093"/>
        <v>学校</v>
      </c>
      <c r="E5729" s="7" t="str">
        <f t="shared" si="2104"/>
        <v>大阪府阪南市緑ヶ丘１丁目</v>
      </c>
      <c r="F5729" s="7"/>
      <c r="G5729" s="7" t="str">
        <f t="shared" si="2101"/>
        <v>事業用資産</v>
      </c>
      <c r="H5729" s="7" t="str">
        <f t="shared" si="2094"/>
        <v>棚卸以外</v>
      </c>
      <c r="I5729" s="7">
        <v>9</v>
      </c>
      <c r="J5729" s="7" t="str">
        <f>"運動場倉庫"</f>
        <v>運動場倉庫</v>
      </c>
      <c r="K5729" s="7" t="str">
        <f>"鉄骨造"</f>
        <v>鉄骨造</v>
      </c>
      <c r="L5729" s="7" t="str">
        <f>"S52.04.11"</f>
        <v>S52.04.11</v>
      </c>
      <c r="M5729" s="7">
        <v>50</v>
      </c>
      <c r="N5729" s="7">
        <v>3017000</v>
      </c>
      <c r="O5729" s="7">
        <v>3016999</v>
      </c>
      <c r="P5729" s="7">
        <v>0</v>
      </c>
      <c r="Q5729" s="7" t="str">
        <f t="shared" si="2106"/>
        <v>教育庁</v>
      </c>
      <c r="R5729" s="7" t="str">
        <f t="shared" si="2107"/>
        <v>泉鳥取高等学校</v>
      </c>
    </row>
    <row r="5730" spans="1:18" s="1" customFormat="1" x14ac:dyDescent="0.45">
      <c r="A5730" s="7" t="str">
        <f t="shared" si="2102"/>
        <v>10468000000</v>
      </c>
      <c r="B5730" s="7" t="str">
        <f t="shared" si="2103"/>
        <v>泉鳥取高等学校</v>
      </c>
      <c r="C5730" s="7" t="str">
        <f t="shared" si="2100"/>
        <v>行政財産</v>
      </c>
      <c r="D5730" s="7" t="str">
        <f t="shared" si="2093"/>
        <v>学校</v>
      </c>
      <c r="E5730" s="7" t="str">
        <f t="shared" si="2104"/>
        <v>大阪府阪南市緑ヶ丘１丁目</v>
      </c>
      <c r="F5730" s="7"/>
      <c r="G5730" s="7" t="str">
        <f t="shared" si="2101"/>
        <v>事業用資産</v>
      </c>
      <c r="H5730" s="7" t="str">
        <f t="shared" si="2094"/>
        <v>棚卸以外</v>
      </c>
      <c r="I5730" s="7">
        <v>10</v>
      </c>
      <c r="J5730" s="7" t="str">
        <f>"クラブ倉庫"</f>
        <v>クラブ倉庫</v>
      </c>
      <c r="K5730" s="7" t="str">
        <f>"鉄骨造"</f>
        <v>鉄骨造</v>
      </c>
      <c r="L5730" s="7" t="str">
        <f>"S52.04.11"</f>
        <v>S52.04.11</v>
      </c>
      <c r="M5730" s="7">
        <v>50</v>
      </c>
      <c r="N5730" s="7">
        <v>3147790</v>
      </c>
      <c r="O5730" s="7">
        <v>3035901</v>
      </c>
      <c r="P5730" s="7">
        <v>0</v>
      </c>
      <c r="Q5730" s="7" t="str">
        <f t="shared" si="2106"/>
        <v>教育庁</v>
      </c>
      <c r="R5730" s="7" t="str">
        <f t="shared" si="2107"/>
        <v>泉鳥取高等学校</v>
      </c>
    </row>
    <row r="5731" spans="1:18" s="1" customFormat="1" x14ac:dyDescent="0.45">
      <c r="A5731" s="7" t="str">
        <f t="shared" si="2102"/>
        <v>10468000000</v>
      </c>
      <c r="B5731" s="7" t="str">
        <f t="shared" si="2103"/>
        <v>泉鳥取高等学校</v>
      </c>
      <c r="C5731" s="7" t="str">
        <f t="shared" si="2100"/>
        <v>行政財産</v>
      </c>
      <c r="D5731" s="7" t="str">
        <f t="shared" si="2093"/>
        <v>学校</v>
      </c>
      <c r="E5731" s="7" t="str">
        <f t="shared" si="2104"/>
        <v>大阪府阪南市緑ヶ丘１丁目</v>
      </c>
      <c r="F5731" s="7"/>
      <c r="G5731" s="7" t="str">
        <f t="shared" si="2101"/>
        <v>事業用資産</v>
      </c>
      <c r="H5731" s="7" t="str">
        <f t="shared" si="2094"/>
        <v>棚卸以外</v>
      </c>
      <c r="I5731" s="7">
        <v>11</v>
      </c>
      <c r="J5731" s="7" t="str">
        <f>"食堂棟"</f>
        <v>食堂棟</v>
      </c>
      <c r="K5731" s="7" t="str">
        <f>"鉄骨造"</f>
        <v>鉄骨造</v>
      </c>
      <c r="L5731" s="7" t="str">
        <f>"S52.08.01"</f>
        <v>S52.08.01</v>
      </c>
      <c r="M5731" s="7">
        <v>325</v>
      </c>
      <c r="N5731" s="7">
        <v>42388425</v>
      </c>
      <c r="O5731" s="7">
        <v>41171004</v>
      </c>
      <c r="P5731" s="7">
        <v>0</v>
      </c>
      <c r="Q5731" s="7" t="str">
        <f t="shared" si="2106"/>
        <v>教育庁</v>
      </c>
      <c r="R5731" s="7" t="str">
        <f t="shared" si="2107"/>
        <v>泉鳥取高等学校</v>
      </c>
    </row>
    <row r="5732" spans="1:18" s="1" customFormat="1" x14ac:dyDescent="0.45">
      <c r="A5732" s="7" t="str">
        <f t="shared" si="2102"/>
        <v>10468000000</v>
      </c>
      <c r="B5732" s="7" t="str">
        <f t="shared" si="2103"/>
        <v>泉鳥取高等学校</v>
      </c>
      <c r="C5732" s="7" t="str">
        <f t="shared" si="2100"/>
        <v>行政財産</v>
      </c>
      <c r="D5732" s="7" t="str">
        <f t="shared" si="2093"/>
        <v>学校</v>
      </c>
      <c r="E5732" s="7" t="str">
        <f t="shared" si="2104"/>
        <v>大阪府阪南市緑ヶ丘１丁目</v>
      </c>
      <c r="F5732" s="7"/>
      <c r="G5732" s="7" t="str">
        <f t="shared" si="2101"/>
        <v>事業用資産</v>
      </c>
      <c r="H5732" s="7" t="str">
        <f t="shared" si="2094"/>
        <v>棚卸以外</v>
      </c>
      <c r="I5732" s="7">
        <v>12</v>
      </c>
      <c r="J5732" s="7" t="str">
        <f>"プール附属棟"</f>
        <v>プール附属棟</v>
      </c>
      <c r="K5732" s="7" t="str">
        <f>"鉄筋コンクリート造"</f>
        <v>鉄筋コンクリート造</v>
      </c>
      <c r="L5732" s="7" t="str">
        <f>"S52.08.01"</f>
        <v>S52.08.01</v>
      </c>
      <c r="M5732" s="7">
        <v>138</v>
      </c>
      <c r="N5732" s="7">
        <v>25578176</v>
      </c>
      <c r="O5732" s="7">
        <v>24655574</v>
      </c>
      <c r="P5732" s="7">
        <v>0</v>
      </c>
      <c r="Q5732" s="7" t="str">
        <f t="shared" si="2106"/>
        <v>教育庁</v>
      </c>
      <c r="R5732" s="7" t="str">
        <f t="shared" si="2107"/>
        <v>泉鳥取高等学校</v>
      </c>
    </row>
    <row r="5733" spans="1:18" s="1" customFormat="1" x14ac:dyDescent="0.45">
      <c r="A5733" s="7" t="str">
        <f t="shared" si="2102"/>
        <v>10468000000</v>
      </c>
      <c r="B5733" s="7" t="str">
        <f t="shared" si="2103"/>
        <v>泉鳥取高等学校</v>
      </c>
      <c r="C5733" s="7" t="str">
        <f t="shared" si="2100"/>
        <v>行政財産</v>
      </c>
      <c r="D5733" s="7" t="str">
        <f t="shared" si="2093"/>
        <v>学校</v>
      </c>
      <c r="E5733" s="7" t="str">
        <f t="shared" si="2104"/>
        <v>大阪府阪南市緑ヶ丘１丁目</v>
      </c>
      <c r="F5733" s="7"/>
      <c r="G5733" s="7" t="str">
        <f t="shared" si="2101"/>
        <v>事業用資産</v>
      </c>
      <c r="H5733" s="7" t="str">
        <f t="shared" si="2094"/>
        <v>棚卸以外</v>
      </c>
      <c r="I5733" s="7">
        <v>13</v>
      </c>
      <c r="J5733" s="7" t="str">
        <f>"体育館"</f>
        <v>体育館</v>
      </c>
      <c r="K5733" s="7" t="str">
        <f>"鉄筋コンクリート造"</f>
        <v>鉄筋コンクリート造</v>
      </c>
      <c r="L5733" s="7" t="str">
        <f>"S52.10.01"</f>
        <v>S52.10.01</v>
      </c>
      <c r="M5733" s="7">
        <v>2988.35</v>
      </c>
      <c r="N5733" s="7">
        <v>362648433</v>
      </c>
      <c r="O5733" s="7">
        <v>283321901</v>
      </c>
      <c r="P5733" s="7">
        <v>0</v>
      </c>
      <c r="Q5733" s="7" t="str">
        <f t="shared" si="2106"/>
        <v>教育庁</v>
      </c>
      <c r="R5733" s="7" t="str">
        <f t="shared" si="2107"/>
        <v>泉鳥取高等学校</v>
      </c>
    </row>
    <row r="5734" spans="1:18" s="1" customFormat="1" x14ac:dyDescent="0.45">
      <c r="A5734" s="7" t="str">
        <f t="shared" si="2102"/>
        <v>10468000000</v>
      </c>
      <c r="B5734" s="7" t="str">
        <f t="shared" si="2103"/>
        <v>泉鳥取高等学校</v>
      </c>
      <c r="C5734" s="7" t="str">
        <f t="shared" si="2100"/>
        <v>行政財産</v>
      </c>
      <c r="D5734" s="7" t="str">
        <f t="shared" si="2093"/>
        <v>学校</v>
      </c>
      <c r="E5734" s="7" t="str">
        <f t="shared" si="2104"/>
        <v>大阪府阪南市緑ヶ丘１丁目</v>
      </c>
      <c r="F5734" s="7"/>
      <c r="G5734" s="7" t="str">
        <f t="shared" si="2101"/>
        <v>事業用資産</v>
      </c>
      <c r="H5734" s="7" t="str">
        <f t="shared" si="2094"/>
        <v>棚卸以外</v>
      </c>
      <c r="I5734" s="7">
        <v>15</v>
      </c>
      <c r="J5734" s="7" t="str">
        <f>"東渡り廊下棟"</f>
        <v>東渡り廊下棟</v>
      </c>
      <c r="K5734" s="7" t="str">
        <f>"鉄筋コンクリート造"</f>
        <v>鉄筋コンクリート造</v>
      </c>
      <c r="L5734" s="7" t="str">
        <f>"S53.04.14"</f>
        <v>S53.04.14</v>
      </c>
      <c r="M5734" s="7">
        <v>316.25</v>
      </c>
      <c r="N5734" s="7">
        <v>24126000</v>
      </c>
      <c r="O5734" s="7">
        <v>24125999</v>
      </c>
      <c r="P5734" s="7">
        <v>0</v>
      </c>
      <c r="Q5734" s="7" t="str">
        <f t="shared" si="2106"/>
        <v>教育庁</v>
      </c>
      <c r="R5734" s="7" t="str">
        <f t="shared" si="2107"/>
        <v>泉鳥取高等学校</v>
      </c>
    </row>
    <row r="5735" spans="1:18" s="1" customFormat="1" x14ac:dyDescent="0.45">
      <c r="A5735" s="7" t="str">
        <f t="shared" ref="A5735:A5744" si="2108">"10469000000"</f>
        <v>10469000000</v>
      </c>
      <c r="B5735" s="7" t="str">
        <f t="shared" ref="B5735:B5744" si="2109">"岬高等学校"</f>
        <v>岬高等学校</v>
      </c>
      <c r="C5735" s="7" t="str">
        <f t="shared" si="2100"/>
        <v>行政財産</v>
      </c>
      <c r="D5735" s="7" t="str">
        <f t="shared" si="2093"/>
        <v>学校</v>
      </c>
      <c r="E5735" s="7" t="str">
        <f t="shared" ref="E5735:E5744" si="2110">"大阪府泉南郡　岬町淡輪"</f>
        <v>大阪府泉南郡　岬町淡輪</v>
      </c>
      <c r="F5735" s="7"/>
      <c r="G5735" s="7" t="str">
        <f t="shared" si="2101"/>
        <v>事業用資産</v>
      </c>
      <c r="H5735" s="7" t="str">
        <f t="shared" si="2094"/>
        <v>棚卸以外</v>
      </c>
      <c r="I5735" s="7">
        <v>1</v>
      </c>
      <c r="J5735" s="7" t="str">
        <f>"電気室棟"</f>
        <v>電気室棟</v>
      </c>
      <c r="K5735" s="7" t="str">
        <f>"鉄筋コンクリート造"</f>
        <v>鉄筋コンクリート造</v>
      </c>
      <c r="L5735" s="7" t="str">
        <f>"S54.05.14"</f>
        <v>S54.05.14</v>
      </c>
      <c r="M5735" s="7">
        <v>30</v>
      </c>
      <c r="N5735" s="7">
        <v>26343590</v>
      </c>
      <c r="O5735" s="7">
        <v>12455099</v>
      </c>
      <c r="P5735" s="7">
        <v>0</v>
      </c>
      <c r="Q5735" s="7" t="str">
        <f t="shared" si="2106"/>
        <v>教育庁</v>
      </c>
      <c r="R5735" s="7" t="str">
        <f t="shared" ref="R5735:R5744" si="2111">"岬高等学校"</f>
        <v>岬高等学校</v>
      </c>
    </row>
    <row r="5736" spans="1:18" s="1" customFormat="1" x14ac:dyDescent="0.45">
      <c r="A5736" s="7" t="str">
        <f t="shared" si="2108"/>
        <v>10469000000</v>
      </c>
      <c r="B5736" s="7" t="str">
        <f t="shared" si="2109"/>
        <v>岬高等学校</v>
      </c>
      <c r="C5736" s="7" t="str">
        <f t="shared" si="2100"/>
        <v>行政財産</v>
      </c>
      <c r="D5736" s="7" t="str">
        <f t="shared" si="2093"/>
        <v>学校</v>
      </c>
      <c r="E5736" s="7" t="str">
        <f t="shared" si="2110"/>
        <v>大阪府泉南郡　岬町淡輪</v>
      </c>
      <c r="F5736" s="7"/>
      <c r="G5736" s="7" t="str">
        <f t="shared" si="2101"/>
        <v>事業用資産</v>
      </c>
      <c r="H5736" s="7" t="str">
        <f t="shared" si="2094"/>
        <v>棚卸以外</v>
      </c>
      <c r="I5736" s="7">
        <v>2</v>
      </c>
      <c r="J5736" s="7" t="str">
        <f>"ポンプ室棟"</f>
        <v>ポンプ室棟</v>
      </c>
      <c r="K5736" s="7" t="str">
        <f>"鉄筋コンクリート造"</f>
        <v>鉄筋コンクリート造</v>
      </c>
      <c r="L5736" s="7" t="str">
        <f>"S54.05.14"</f>
        <v>S54.05.14</v>
      </c>
      <c r="M5736" s="7">
        <v>32.299999999999997</v>
      </c>
      <c r="N5736" s="7">
        <v>26064468</v>
      </c>
      <c r="O5736" s="7">
        <v>18762799</v>
      </c>
      <c r="P5736" s="7">
        <v>0</v>
      </c>
      <c r="Q5736" s="7" t="str">
        <f t="shared" si="2106"/>
        <v>教育庁</v>
      </c>
      <c r="R5736" s="7" t="str">
        <f t="shared" si="2111"/>
        <v>岬高等学校</v>
      </c>
    </row>
    <row r="5737" spans="1:18" s="1" customFormat="1" ht="26.4" x14ac:dyDescent="0.45">
      <c r="A5737" s="7" t="str">
        <f t="shared" si="2108"/>
        <v>10469000000</v>
      </c>
      <c r="B5737" s="7" t="str">
        <f t="shared" si="2109"/>
        <v>岬高等学校</v>
      </c>
      <c r="C5737" s="7" t="str">
        <f t="shared" si="2100"/>
        <v>行政財産</v>
      </c>
      <c r="D5737" s="7" t="str">
        <f t="shared" si="2093"/>
        <v>学校</v>
      </c>
      <c r="E5737" s="7" t="str">
        <f t="shared" si="2110"/>
        <v>大阪府泉南郡　岬町淡輪</v>
      </c>
      <c r="F5737" s="7"/>
      <c r="G5737" s="7" t="str">
        <f t="shared" si="2101"/>
        <v>事業用資産</v>
      </c>
      <c r="H5737" s="7" t="str">
        <f t="shared" si="2094"/>
        <v>棚卸以外</v>
      </c>
      <c r="I5737" s="7">
        <v>3</v>
      </c>
      <c r="J5737" s="7" t="str">
        <f>"校舎棟"</f>
        <v>校舎棟</v>
      </c>
      <c r="K5737" s="7" t="str">
        <f>"鉄骨鉄筋コンクリート造"</f>
        <v>鉄骨鉄筋コンクリート造</v>
      </c>
      <c r="L5737" s="7" t="str">
        <f>"S54.07.14"</f>
        <v>S54.07.14</v>
      </c>
      <c r="M5737" s="7">
        <v>10505.75</v>
      </c>
      <c r="N5737" s="7">
        <v>1545286419</v>
      </c>
      <c r="O5737" s="7">
        <v>1252296926</v>
      </c>
      <c r="P5737" s="7">
        <v>0</v>
      </c>
      <c r="Q5737" s="7" t="str">
        <f t="shared" si="2106"/>
        <v>教育庁</v>
      </c>
      <c r="R5737" s="7" t="str">
        <f t="shared" si="2111"/>
        <v>岬高等学校</v>
      </c>
    </row>
    <row r="5738" spans="1:18" s="1" customFormat="1" x14ac:dyDescent="0.45">
      <c r="A5738" s="7" t="str">
        <f t="shared" si="2108"/>
        <v>10469000000</v>
      </c>
      <c r="B5738" s="7" t="str">
        <f t="shared" si="2109"/>
        <v>岬高等学校</v>
      </c>
      <c r="C5738" s="7" t="str">
        <f t="shared" si="2100"/>
        <v>行政財産</v>
      </c>
      <c r="D5738" s="7" t="str">
        <f t="shared" si="2093"/>
        <v>学校</v>
      </c>
      <c r="E5738" s="7" t="str">
        <f t="shared" si="2110"/>
        <v>大阪府泉南郡　岬町淡輪</v>
      </c>
      <c r="F5738" s="7"/>
      <c r="G5738" s="7" t="str">
        <f t="shared" si="2101"/>
        <v>事業用資産</v>
      </c>
      <c r="H5738" s="7" t="str">
        <f t="shared" si="2094"/>
        <v>棚卸以外</v>
      </c>
      <c r="I5738" s="7">
        <v>4</v>
      </c>
      <c r="J5738" s="7" t="str">
        <f>"ボンベ庫"</f>
        <v>ボンベ庫</v>
      </c>
      <c r="K5738" s="7" t="str">
        <f>"コンクリートブロック造"</f>
        <v>コンクリートブロック造</v>
      </c>
      <c r="L5738" s="7" t="str">
        <f>"S54.11.14"</f>
        <v>S54.11.14</v>
      </c>
      <c r="M5738" s="7">
        <v>17.07</v>
      </c>
      <c r="N5738" s="7">
        <v>1385000</v>
      </c>
      <c r="O5738" s="7">
        <v>1384999</v>
      </c>
      <c r="P5738" s="7">
        <v>0</v>
      </c>
      <c r="Q5738" s="7" t="str">
        <f t="shared" si="2106"/>
        <v>教育庁</v>
      </c>
      <c r="R5738" s="7" t="str">
        <f t="shared" si="2111"/>
        <v>岬高等学校</v>
      </c>
    </row>
    <row r="5739" spans="1:18" s="1" customFormat="1" x14ac:dyDescent="0.45">
      <c r="A5739" s="7" t="str">
        <f t="shared" si="2108"/>
        <v>10469000000</v>
      </c>
      <c r="B5739" s="7" t="str">
        <f t="shared" si="2109"/>
        <v>岬高等学校</v>
      </c>
      <c r="C5739" s="7" t="str">
        <f t="shared" si="2100"/>
        <v>行政財産</v>
      </c>
      <c r="D5739" s="7" t="str">
        <f t="shared" si="2093"/>
        <v>学校</v>
      </c>
      <c r="E5739" s="7" t="str">
        <f t="shared" si="2110"/>
        <v>大阪府泉南郡　岬町淡輪</v>
      </c>
      <c r="F5739" s="7"/>
      <c r="G5739" s="7" t="str">
        <f t="shared" si="2101"/>
        <v>事業用資産</v>
      </c>
      <c r="H5739" s="7" t="str">
        <f t="shared" si="2094"/>
        <v>棚卸以外</v>
      </c>
      <c r="I5739" s="7">
        <v>5</v>
      </c>
      <c r="J5739" s="7" t="str">
        <f>"体育館"</f>
        <v>体育館</v>
      </c>
      <c r="K5739" s="7" t="str">
        <f>"鉄筋コンクリート造"</f>
        <v>鉄筋コンクリート造</v>
      </c>
      <c r="L5739" s="7" t="str">
        <f>"S55.08.30"</f>
        <v>S55.08.30</v>
      </c>
      <c r="M5739" s="7">
        <v>3097.02</v>
      </c>
      <c r="N5739" s="7">
        <v>418907499</v>
      </c>
      <c r="O5739" s="7">
        <v>333288947</v>
      </c>
      <c r="P5739" s="7">
        <v>0</v>
      </c>
      <c r="Q5739" s="7" t="str">
        <f t="shared" si="2106"/>
        <v>教育庁</v>
      </c>
      <c r="R5739" s="7" t="str">
        <f t="shared" si="2111"/>
        <v>岬高等学校</v>
      </c>
    </row>
    <row r="5740" spans="1:18" s="1" customFormat="1" x14ac:dyDescent="0.45">
      <c r="A5740" s="7" t="str">
        <f t="shared" si="2108"/>
        <v>10469000000</v>
      </c>
      <c r="B5740" s="7" t="str">
        <f t="shared" si="2109"/>
        <v>岬高等学校</v>
      </c>
      <c r="C5740" s="7" t="str">
        <f t="shared" si="2100"/>
        <v>行政財産</v>
      </c>
      <c r="D5740" s="7" t="str">
        <f t="shared" si="2093"/>
        <v>学校</v>
      </c>
      <c r="E5740" s="7" t="str">
        <f t="shared" si="2110"/>
        <v>大阪府泉南郡　岬町淡輪</v>
      </c>
      <c r="F5740" s="7"/>
      <c r="G5740" s="7" t="str">
        <f t="shared" si="2101"/>
        <v>事業用資産</v>
      </c>
      <c r="H5740" s="7" t="str">
        <f t="shared" si="2094"/>
        <v>棚卸以外</v>
      </c>
      <c r="I5740" s="7">
        <v>7</v>
      </c>
      <c r="J5740" s="7" t="str">
        <f>"倉庫"</f>
        <v>倉庫</v>
      </c>
      <c r="K5740" s="7" t="str">
        <f>"鉄骨造"</f>
        <v>鉄骨造</v>
      </c>
      <c r="L5740" s="7" t="str">
        <f>"S56.03.31"</f>
        <v>S56.03.31</v>
      </c>
      <c r="M5740" s="7">
        <v>125</v>
      </c>
      <c r="N5740" s="7">
        <v>11844800</v>
      </c>
      <c r="O5740" s="7">
        <v>11389003</v>
      </c>
      <c r="P5740" s="7">
        <v>0</v>
      </c>
      <c r="Q5740" s="7" t="str">
        <f t="shared" si="2106"/>
        <v>教育庁</v>
      </c>
      <c r="R5740" s="7" t="str">
        <f t="shared" si="2111"/>
        <v>岬高等学校</v>
      </c>
    </row>
    <row r="5741" spans="1:18" s="1" customFormat="1" x14ac:dyDescent="0.45">
      <c r="A5741" s="7" t="str">
        <f t="shared" si="2108"/>
        <v>10469000000</v>
      </c>
      <c r="B5741" s="7" t="str">
        <f t="shared" si="2109"/>
        <v>岬高等学校</v>
      </c>
      <c r="C5741" s="7" t="str">
        <f t="shared" si="2100"/>
        <v>行政財産</v>
      </c>
      <c r="D5741" s="7" t="str">
        <f t="shared" si="2093"/>
        <v>学校</v>
      </c>
      <c r="E5741" s="7" t="str">
        <f t="shared" si="2110"/>
        <v>大阪府泉南郡　岬町淡輪</v>
      </c>
      <c r="F5741" s="7"/>
      <c r="G5741" s="7" t="str">
        <f t="shared" si="2101"/>
        <v>事業用資産</v>
      </c>
      <c r="H5741" s="7" t="str">
        <f t="shared" si="2094"/>
        <v>棚卸以外</v>
      </c>
      <c r="I5741" s="7">
        <v>8</v>
      </c>
      <c r="J5741" s="7" t="str">
        <f>"倉庫"</f>
        <v>倉庫</v>
      </c>
      <c r="K5741" s="7" t="str">
        <f>"鉄骨造"</f>
        <v>鉄骨造</v>
      </c>
      <c r="L5741" s="7" t="str">
        <f>"S56.03.31"</f>
        <v>S56.03.31</v>
      </c>
      <c r="M5741" s="7">
        <v>50</v>
      </c>
      <c r="N5741" s="7">
        <v>5185000</v>
      </c>
      <c r="O5741" s="7">
        <v>5184999</v>
      </c>
      <c r="P5741" s="7">
        <v>0</v>
      </c>
      <c r="Q5741" s="7" t="str">
        <f t="shared" si="2106"/>
        <v>教育庁</v>
      </c>
      <c r="R5741" s="7" t="str">
        <f t="shared" si="2111"/>
        <v>岬高等学校</v>
      </c>
    </row>
    <row r="5742" spans="1:18" s="1" customFormat="1" x14ac:dyDescent="0.45">
      <c r="A5742" s="7" t="str">
        <f t="shared" si="2108"/>
        <v>10469000000</v>
      </c>
      <c r="B5742" s="7" t="str">
        <f t="shared" si="2109"/>
        <v>岬高等学校</v>
      </c>
      <c r="C5742" s="7" t="str">
        <f t="shared" si="2100"/>
        <v>行政財産</v>
      </c>
      <c r="D5742" s="7" t="str">
        <f t="shared" si="2093"/>
        <v>学校</v>
      </c>
      <c r="E5742" s="7" t="str">
        <f t="shared" si="2110"/>
        <v>大阪府泉南郡　岬町淡輪</v>
      </c>
      <c r="F5742" s="7"/>
      <c r="G5742" s="7" t="str">
        <f t="shared" si="2101"/>
        <v>事業用資産</v>
      </c>
      <c r="H5742" s="7" t="str">
        <f t="shared" si="2094"/>
        <v>棚卸以外</v>
      </c>
      <c r="I5742" s="7">
        <v>9</v>
      </c>
      <c r="J5742" s="7" t="str">
        <f>"倉庫"</f>
        <v>倉庫</v>
      </c>
      <c r="K5742" s="7" t="str">
        <f>"鉄骨造"</f>
        <v>鉄骨造</v>
      </c>
      <c r="L5742" s="7" t="str">
        <f>"S56.03.31"</f>
        <v>S56.03.31</v>
      </c>
      <c r="M5742" s="7">
        <v>25</v>
      </c>
      <c r="N5742" s="7">
        <v>3425000</v>
      </c>
      <c r="O5742" s="7">
        <v>3424999</v>
      </c>
      <c r="P5742" s="7">
        <v>0</v>
      </c>
      <c r="Q5742" s="7" t="str">
        <f t="shared" si="2106"/>
        <v>教育庁</v>
      </c>
      <c r="R5742" s="7" t="str">
        <f t="shared" si="2111"/>
        <v>岬高等学校</v>
      </c>
    </row>
    <row r="5743" spans="1:18" s="1" customFormat="1" x14ac:dyDescent="0.45">
      <c r="A5743" s="7" t="str">
        <f t="shared" si="2108"/>
        <v>10469000000</v>
      </c>
      <c r="B5743" s="7" t="str">
        <f t="shared" si="2109"/>
        <v>岬高等学校</v>
      </c>
      <c r="C5743" s="7" t="str">
        <f t="shared" si="2100"/>
        <v>行政財産</v>
      </c>
      <c r="D5743" s="7" t="str">
        <f t="shared" si="2093"/>
        <v>学校</v>
      </c>
      <c r="E5743" s="7" t="str">
        <f t="shared" si="2110"/>
        <v>大阪府泉南郡　岬町淡輪</v>
      </c>
      <c r="F5743" s="7"/>
      <c r="G5743" s="7" t="str">
        <f t="shared" si="2101"/>
        <v>事業用資産</v>
      </c>
      <c r="H5743" s="7" t="str">
        <f t="shared" si="2094"/>
        <v>棚卸以外</v>
      </c>
      <c r="I5743" s="7">
        <v>10</v>
      </c>
      <c r="J5743" s="7" t="str">
        <f>"エレベーター棟"</f>
        <v>エレベーター棟</v>
      </c>
      <c r="K5743" s="7" t="str">
        <f>"鉄骨造"</f>
        <v>鉄骨造</v>
      </c>
      <c r="L5743" s="7" t="str">
        <f>"H19.02.28"</f>
        <v>H19.02.28</v>
      </c>
      <c r="M5743" s="7">
        <v>28.4</v>
      </c>
      <c r="N5743" s="7">
        <v>28659000</v>
      </c>
      <c r="O5743" s="7">
        <v>14868913</v>
      </c>
      <c r="P5743" s="7">
        <v>0</v>
      </c>
      <c r="Q5743" s="7" t="str">
        <f t="shared" si="2106"/>
        <v>教育庁</v>
      </c>
      <c r="R5743" s="7" t="str">
        <f t="shared" si="2111"/>
        <v>岬高等学校</v>
      </c>
    </row>
    <row r="5744" spans="1:18" s="1" customFormat="1" x14ac:dyDescent="0.45">
      <c r="A5744" s="7" t="str">
        <f t="shared" si="2108"/>
        <v>10469000000</v>
      </c>
      <c r="B5744" s="7" t="str">
        <f t="shared" si="2109"/>
        <v>岬高等学校</v>
      </c>
      <c r="C5744" s="7" t="str">
        <f t="shared" si="2100"/>
        <v>行政財産</v>
      </c>
      <c r="D5744" s="7" t="str">
        <f t="shared" si="2093"/>
        <v>学校</v>
      </c>
      <c r="E5744" s="7" t="str">
        <f t="shared" si="2110"/>
        <v>大阪府泉南郡　岬町淡輪</v>
      </c>
      <c r="F5744" s="7"/>
      <c r="G5744" s="7" t="str">
        <f t="shared" si="2101"/>
        <v>事業用資産</v>
      </c>
      <c r="H5744" s="7" t="str">
        <f t="shared" si="2094"/>
        <v>棚卸以外</v>
      </c>
      <c r="I5744" s="7">
        <v>11</v>
      </c>
      <c r="J5744" s="7" t="str">
        <f>"物置"</f>
        <v>物置</v>
      </c>
      <c r="K5744" s="7" t="str">
        <f>"鉄骨造"</f>
        <v>鉄骨造</v>
      </c>
      <c r="L5744" s="7" t="str">
        <f>"R05.02.18"</f>
        <v>R05.02.18</v>
      </c>
      <c r="M5744" s="7">
        <v>7.56</v>
      </c>
      <c r="N5744" s="7">
        <v>386650</v>
      </c>
      <c r="O5744" s="7">
        <v>1343</v>
      </c>
      <c r="P5744" s="7">
        <v>0</v>
      </c>
      <c r="Q5744" s="7" t="str">
        <f t="shared" si="2106"/>
        <v>教育庁</v>
      </c>
      <c r="R5744" s="7" t="str">
        <f t="shared" si="2111"/>
        <v>岬高等学校</v>
      </c>
    </row>
    <row r="5745" spans="1:18" s="1" customFormat="1" x14ac:dyDescent="0.45">
      <c r="A5745" s="7" t="str">
        <f t="shared" ref="A5745:A5776" si="2112">"10470000000"</f>
        <v>10470000000</v>
      </c>
      <c r="B5745" s="7" t="str">
        <f t="shared" ref="B5745:B5776" si="2113">"園芸高等学校"</f>
        <v>園芸高等学校</v>
      </c>
      <c r="C5745" s="7" t="str">
        <f t="shared" si="2100"/>
        <v>行政財産</v>
      </c>
      <c r="D5745" s="7" t="str">
        <f t="shared" si="2093"/>
        <v>学校</v>
      </c>
      <c r="E5745" s="7" t="str">
        <f t="shared" ref="E5745:E5776" si="2114">"大阪府池田市八王寺２丁目"</f>
        <v>大阪府池田市八王寺２丁目</v>
      </c>
      <c r="F5745" s="7"/>
      <c r="G5745" s="7" t="str">
        <f t="shared" si="2101"/>
        <v>事業用資産</v>
      </c>
      <c r="H5745" s="7" t="str">
        <f t="shared" si="2094"/>
        <v>棚卸以外</v>
      </c>
      <c r="I5745" s="7">
        <v>57</v>
      </c>
      <c r="J5745" s="7" t="str">
        <f>"農産加工室"</f>
        <v>農産加工室</v>
      </c>
      <c r="K5745" s="7" t="str">
        <f>"鉄筋コンクリート造"</f>
        <v>鉄筋コンクリート造</v>
      </c>
      <c r="L5745" s="7" t="str">
        <f>"S38.03.31"</f>
        <v>S38.03.31</v>
      </c>
      <c r="M5745" s="7">
        <v>395.99</v>
      </c>
      <c r="N5745" s="7">
        <v>20697386</v>
      </c>
      <c r="O5745" s="7">
        <v>17339610</v>
      </c>
      <c r="P5745" s="7">
        <v>0</v>
      </c>
      <c r="Q5745" s="7" t="str">
        <f t="shared" si="2106"/>
        <v>教育庁</v>
      </c>
      <c r="R5745" s="7" t="str">
        <f t="shared" ref="R5745:R5776" si="2115">"園芸高等学校"</f>
        <v>園芸高等学校</v>
      </c>
    </row>
    <row r="5746" spans="1:18" s="1" customFormat="1" x14ac:dyDescent="0.45">
      <c r="A5746" s="7" t="str">
        <f t="shared" si="2112"/>
        <v>10470000000</v>
      </c>
      <c r="B5746" s="7" t="str">
        <f t="shared" si="2113"/>
        <v>園芸高等学校</v>
      </c>
      <c r="C5746" s="7" t="str">
        <f t="shared" si="2100"/>
        <v>行政財産</v>
      </c>
      <c r="D5746" s="7" t="str">
        <f t="shared" si="2093"/>
        <v>学校</v>
      </c>
      <c r="E5746" s="7" t="str">
        <f t="shared" si="2114"/>
        <v>大阪府池田市八王寺２丁目</v>
      </c>
      <c r="F5746" s="7"/>
      <c r="G5746" s="7" t="str">
        <f t="shared" si="2101"/>
        <v>事業用資産</v>
      </c>
      <c r="H5746" s="7" t="str">
        <f t="shared" si="2094"/>
        <v>棚卸以外</v>
      </c>
      <c r="I5746" s="7">
        <v>59</v>
      </c>
      <c r="J5746" s="7" t="str">
        <f>"そ菜恒温室"</f>
        <v>そ菜恒温室</v>
      </c>
      <c r="K5746" s="7" t="str">
        <f>"鉄骨造"</f>
        <v>鉄骨造</v>
      </c>
      <c r="L5746" s="7" t="str">
        <f>"S38.03.31"</f>
        <v>S38.03.31</v>
      </c>
      <c r="M5746" s="7">
        <v>59</v>
      </c>
      <c r="N5746" s="7">
        <v>3014010</v>
      </c>
      <c r="O5746" s="7">
        <v>3014009</v>
      </c>
      <c r="P5746" s="7">
        <v>0</v>
      </c>
      <c r="Q5746" s="7" t="str">
        <f t="shared" si="2106"/>
        <v>教育庁</v>
      </c>
      <c r="R5746" s="7" t="str">
        <f t="shared" si="2115"/>
        <v>園芸高等学校</v>
      </c>
    </row>
    <row r="5747" spans="1:18" s="1" customFormat="1" x14ac:dyDescent="0.45">
      <c r="A5747" s="7" t="str">
        <f t="shared" si="2112"/>
        <v>10470000000</v>
      </c>
      <c r="B5747" s="7" t="str">
        <f t="shared" si="2113"/>
        <v>園芸高等学校</v>
      </c>
      <c r="C5747" s="7" t="str">
        <f t="shared" si="2100"/>
        <v>行政財産</v>
      </c>
      <c r="D5747" s="7" t="str">
        <f t="shared" si="2093"/>
        <v>学校</v>
      </c>
      <c r="E5747" s="7" t="str">
        <f t="shared" si="2114"/>
        <v>大阪府池田市八王寺２丁目</v>
      </c>
      <c r="F5747" s="7"/>
      <c r="G5747" s="7" t="str">
        <f t="shared" si="2101"/>
        <v>事業用資産</v>
      </c>
      <c r="H5747" s="7" t="str">
        <f t="shared" si="2094"/>
        <v>棚卸以外</v>
      </c>
      <c r="I5747" s="7">
        <v>61</v>
      </c>
      <c r="J5747" s="7" t="str">
        <f>"蔬菜室"</f>
        <v>蔬菜室</v>
      </c>
      <c r="K5747" s="7" t="str">
        <f>"軽量鉄骨造"</f>
        <v>軽量鉄骨造</v>
      </c>
      <c r="L5747" s="7" t="str">
        <f>"S38.03.31"</f>
        <v>S38.03.31</v>
      </c>
      <c r="M5747" s="7">
        <v>29.68</v>
      </c>
      <c r="N5747" s="7">
        <v>609764</v>
      </c>
      <c r="O5747" s="7">
        <v>609763</v>
      </c>
      <c r="P5747" s="7">
        <v>0</v>
      </c>
      <c r="Q5747" s="7" t="str">
        <f t="shared" si="2106"/>
        <v>教育庁</v>
      </c>
      <c r="R5747" s="7" t="str">
        <f t="shared" si="2115"/>
        <v>園芸高等学校</v>
      </c>
    </row>
    <row r="5748" spans="1:18" s="1" customFormat="1" x14ac:dyDescent="0.45">
      <c r="A5748" s="7" t="str">
        <f t="shared" si="2112"/>
        <v>10470000000</v>
      </c>
      <c r="B5748" s="7" t="str">
        <f t="shared" si="2113"/>
        <v>園芸高等学校</v>
      </c>
      <c r="C5748" s="7" t="str">
        <f t="shared" si="2100"/>
        <v>行政財産</v>
      </c>
      <c r="D5748" s="7" t="str">
        <f t="shared" si="2093"/>
        <v>学校</v>
      </c>
      <c r="E5748" s="7" t="str">
        <f t="shared" si="2114"/>
        <v>大阪府池田市八王寺２丁目</v>
      </c>
      <c r="F5748" s="7"/>
      <c r="G5748" s="7" t="str">
        <f t="shared" si="2101"/>
        <v>事業用資産</v>
      </c>
      <c r="H5748" s="7" t="str">
        <f t="shared" si="2094"/>
        <v>棚卸以外</v>
      </c>
      <c r="I5748" s="7">
        <v>66</v>
      </c>
      <c r="J5748" s="7" t="str">
        <f>"校舎"</f>
        <v>校舎</v>
      </c>
      <c r="K5748" s="7" t="str">
        <f>"鉄筋コンクリート造"</f>
        <v>鉄筋コンクリート造</v>
      </c>
      <c r="L5748" s="7" t="str">
        <f>"S39.09.10"</f>
        <v>S39.09.10</v>
      </c>
      <c r="M5748" s="7">
        <v>1312.79</v>
      </c>
      <c r="N5748" s="7">
        <v>153347087</v>
      </c>
      <c r="O5748" s="7">
        <v>84824210</v>
      </c>
      <c r="P5748" s="7">
        <v>0</v>
      </c>
      <c r="Q5748" s="7" t="str">
        <f t="shared" si="2106"/>
        <v>教育庁</v>
      </c>
      <c r="R5748" s="7" t="str">
        <f t="shared" si="2115"/>
        <v>園芸高等学校</v>
      </c>
    </row>
    <row r="5749" spans="1:18" s="1" customFormat="1" x14ac:dyDescent="0.45">
      <c r="A5749" s="7" t="str">
        <f t="shared" si="2112"/>
        <v>10470000000</v>
      </c>
      <c r="B5749" s="7" t="str">
        <f t="shared" si="2113"/>
        <v>園芸高等学校</v>
      </c>
      <c r="C5749" s="7" t="str">
        <f t="shared" si="2100"/>
        <v>行政財産</v>
      </c>
      <c r="D5749" s="7" t="str">
        <f t="shared" si="2093"/>
        <v>学校</v>
      </c>
      <c r="E5749" s="7" t="str">
        <f t="shared" si="2114"/>
        <v>大阪府池田市八王寺２丁目</v>
      </c>
      <c r="F5749" s="7"/>
      <c r="G5749" s="7" t="str">
        <f t="shared" si="2101"/>
        <v>事業用資産</v>
      </c>
      <c r="H5749" s="7" t="str">
        <f t="shared" si="2094"/>
        <v>棚卸以外</v>
      </c>
      <c r="I5749" s="7">
        <v>73</v>
      </c>
      <c r="J5749" s="7" t="str">
        <f>"フ゜－ル機械室"</f>
        <v>フ゜－ル機械室</v>
      </c>
      <c r="K5749" s="7" t="str">
        <f>"コンクリートブロック造"</f>
        <v>コンクリートブロック造</v>
      </c>
      <c r="L5749" s="7" t="str">
        <f>"S39.08.31"</f>
        <v>S39.08.31</v>
      </c>
      <c r="M5749" s="7">
        <v>11.6</v>
      </c>
      <c r="N5749" s="7">
        <v>104200</v>
      </c>
      <c r="O5749" s="7">
        <v>104199</v>
      </c>
      <c r="P5749" s="7">
        <v>0</v>
      </c>
      <c r="Q5749" s="7" t="str">
        <f t="shared" si="2106"/>
        <v>教育庁</v>
      </c>
      <c r="R5749" s="7" t="str">
        <f t="shared" si="2115"/>
        <v>園芸高等学校</v>
      </c>
    </row>
    <row r="5750" spans="1:18" s="1" customFormat="1" x14ac:dyDescent="0.45">
      <c r="A5750" s="7" t="str">
        <f t="shared" si="2112"/>
        <v>10470000000</v>
      </c>
      <c r="B5750" s="7" t="str">
        <f t="shared" si="2113"/>
        <v>園芸高等学校</v>
      </c>
      <c r="C5750" s="7" t="str">
        <f t="shared" si="2100"/>
        <v>行政財産</v>
      </c>
      <c r="D5750" s="7" t="str">
        <f t="shared" si="2093"/>
        <v>学校</v>
      </c>
      <c r="E5750" s="7" t="str">
        <f t="shared" si="2114"/>
        <v>大阪府池田市八王寺２丁目</v>
      </c>
      <c r="F5750" s="7"/>
      <c r="G5750" s="7" t="str">
        <f t="shared" si="2101"/>
        <v>事業用資産</v>
      </c>
      <c r="H5750" s="7" t="str">
        <f t="shared" si="2094"/>
        <v>棚卸以外</v>
      </c>
      <c r="I5750" s="7">
        <v>74</v>
      </c>
      <c r="J5750" s="7" t="str">
        <f>"フ゜－ル脱衣室"</f>
        <v>フ゜－ル脱衣室</v>
      </c>
      <c r="K5750" s="7" t="str">
        <f>"コンクリートブロック造"</f>
        <v>コンクリートブロック造</v>
      </c>
      <c r="L5750" s="7" t="str">
        <f>"S39.08.31"</f>
        <v>S39.08.31</v>
      </c>
      <c r="M5750" s="7">
        <v>39</v>
      </c>
      <c r="N5750" s="7">
        <v>390000</v>
      </c>
      <c r="O5750" s="7">
        <v>389999</v>
      </c>
      <c r="P5750" s="7">
        <v>0</v>
      </c>
      <c r="Q5750" s="7" t="str">
        <f t="shared" si="2106"/>
        <v>教育庁</v>
      </c>
      <c r="R5750" s="7" t="str">
        <f t="shared" si="2115"/>
        <v>園芸高等学校</v>
      </c>
    </row>
    <row r="5751" spans="1:18" s="1" customFormat="1" x14ac:dyDescent="0.45">
      <c r="A5751" s="7" t="str">
        <f t="shared" si="2112"/>
        <v>10470000000</v>
      </c>
      <c r="B5751" s="7" t="str">
        <f t="shared" si="2113"/>
        <v>園芸高等学校</v>
      </c>
      <c r="C5751" s="7" t="str">
        <f t="shared" si="2100"/>
        <v>行政財産</v>
      </c>
      <c r="D5751" s="7" t="str">
        <f t="shared" si="2093"/>
        <v>学校</v>
      </c>
      <c r="E5751" s="7" t="str">
        <f t="shared" si="2114"/>
        <v>大阪府池田市八王寺２丁目</v>
      </c>
      <c r="F5751" s="7"/>
      <c r="G5751" s="7" t="str">
        <f t="shared" si="2101"/>
        <v>事業用資産</v>
      </c>
      <c r="H5751" s="7" t="str">
        <f t="shared" si="2094"/>
        <v>棚卸以外</v>
      </c>
      <c r="I5751" s="7">
        <v>75</v>
      </c>
      <c r="J5751" s="7" t="str">
        <f>"同窓記念会館"</f>
        <v>同窓記念会館</v>
      </c>
      <c r="K5751" s="7" t="str">
        <f>"木造"</f>
        <v>木造</v>
      </c>
      <c r="L5751" s="7" t="str">
        <f>"S39.08.31"</f>
        <v>S39.08.31</v>
      </c>
      <c r="M5751" s="7">
        <v>101.79</v>
      </c>
      <c r="N5751" s="7">
        <v>3296491</v>
      </c>
      <c r="O5751" s="7">
        <v>3117911</v>
      </c>
      <c r="P5751" s="7">
        <v>0</v>
      </c>
      <c r="Q5751" s="7" t="str">
        <f t="shared" si="2106"/>
        <v>教育庁</v>
      </c>
      <c r="R5751" s="7" t="str">
        <f t="shared" si="2115"/>
        <v>園芸高等学校</v>
      </c>
    </row>
    <row r="5752" spans="1:18" s="1" customFormat="1" x14ac:dyDescent="0.45">
      <c r="A5752" s="7" t="str">
        <f t="shared" si="2112"/>
        <v>10470000000</v>
      </c>
      <c r="B5752" s="7" t="str">
        <f t="shared" si="2113"/>
        <v>園芸高等学校</v>
      </c>
      <c r="C5752" s="7" t="str">
        <f t="shared" si="2100"/>
        <v>行政財産</v>
      </c>
      <c r="D5752" s="7" t="str">
        <f t="shared" si="2093"/>
        <v>学校</v>
      </c>
      <c r="E5752" s="7" t="str">
        <f t="shared" si="2114"/>
        <v>大阪府池田市八王寺２丁目</v>
      </c>
      <c r="F5752" s="7"/>
      <c r="G5752" s="7" t="str">
        <f t="shared" si="2101"/>
        <v>事業用資産</v>
      </c>
      <c r="H5752" s="7" t="str">
        <f t="shared" si="2094"/>
        <v>棚卸以外</v>
      </c>
      <c r="I5752" s="7">
        <v>92</v>
      </c>
      <c r="J5752" s="7" t="str">
        <f>"体育館"</f>
        <v>体育館</v>
      </c>
      <c r="K5752" s="7" t="str">
        <f>"鉄筋コンクリート造"</f>
        <v>鉄筋コンクリート造</v>
      </c>
      <c r="L5752" s="7" t="str">
        <f>"S44.03.28"</f>
        <v>S44.03.28</v>
      </c>
      <c r="M5752" s="7">
        <v>1231.83</v>
      </c>
      <c r="N5752" s="7">
        <v>92953053</v>
      </c>
      <c r="O5752" s="7">
        <v>60298130</v>
      </c>
      <c r="P5752" s="7">
        <v>0</v>
      </c>
      <c r="Q5752" s="7" t="str">
        <f t="shared" si="2106"/>
        <v>教育庁</v>
      </c>
      <c r="R5752" s="7" t="str">
        <f t="shared" si="2115"/>
        <v>園芸高等学校</v>
      </c>
    </row>
    <row r="5753" spans="1:18" s="1" customFormat="1" x14ac:dyDescent="0.45">
      <c r="A5753" s="7" t="str">
        <f t="shared" si="2112"/>
        <v>10470000000</v>
      </c>
      <c r="B5753" s="7" t="str">
        <f t="shared" si="2113"/>
        <v>園芸高等学校</v>
      </c>
      <c r="C5753" s="7" t="str">
        <f t="shared" si="2100"/>
        <v>行政財産</v>
      </c>
      <c r="D5753" s="7" t="str">
        <f t="shared" ref="D5753:D5816" si="2116">"学校"</f>
        <v>学校</v>
      </c>
      <c r="E5753" s="7" t="str">
        <f t="shared" si="2114"/>
        <v>大阪府池田市八王寺２丁目</v>
      </c>
      <c r="F5753" s="7"/>
      <c r="G5753" s="7" t="str">
        <f t="shared" si="2101"/>
        <v>事業用資産</v>
      </c>
      <c r="H5753" s="7" t="str">
        <f t="shared" si="2094"/>
        <v>棚卸以外</v>
      </c>
      <c r="I5753" s="7">
        <v>100</v>
      </c>
      <c r="J5753" s="7" t="str">
        <f>"肥料舎"</f>
        <v>肥料舎</v>
      </c>
      <c r="K5753" s="7" t="str">
        <f>"コンクリートブロック造"</f>
        <v>コンクリートブロック造</v>
      </c>
      <c r="L5753" s="7" t="str">
        <f>"S44.08.27"</f>
        <v>S44.08.27</v>
      </c>
      <c r="M5753" s="7">
        <v>8.75</v>
      </c>
      <c r="N5753" s="7">
        <v>171990</v>
      </c>
      <c r="O5753" s="7">
        <v>171989</v>
      </c>
      <c r="P5753" s="7">
        <v>0</v>
      </c>
      <c r="Q5753" s="7" t="str">
        <f t="shared" si="2106"/>
        <v>教育庁</v>
      </c>
      <c r="R5753" s="7" t="str">
        <f t="shared" si="2115"/>
        <v>園芸高等学校</v>
      </c>
    </row>
    <row r="5754" spans="1:18" s="1" customFormat="1" x14ac:dyDescent="0.45">
      <c r="A5754" s="7" t="str">
        <f t="shared" si="2112"/>
        <v>10470000000</v>
      </c>
      <c r="B5754" s="7" t="str">
        <f t="shared" si="2113"/>
        <v>園芸高等学校</v>
      </c>
      <c r="C5754" s="7" t="str">
        <f t="shared" si="2100"/>
        <v>行政財産</v>
      </c>
      <c r="D5754" s="7" t="str">
        <f t="shared" si="2116"/>
        <v>学校</v>
      </c>
      <c r="E5754" s="7" t="str">
        <f t="shared" si="2114"/>
        <v>大阪府池田市八王寺２丁目</v>
      </c>
      <c r="F5754" s="7"/>
      <c r="G5754" s="7" t="str">
        <f t="shared" si="2101"/>
        <v>事業用資産</v>
      </c>
      <c r="H5754" s="7" t="str">
        <f t="shared" si="2094"/>
        <v>棚卸以外</v>
      </c>
      <c r="I5754" s="7">
        <v>101</v>
      </c>
      <c r="J5754" s="7" t="str">
        <f>"倉庫"</f>
        <v>倉庫</v>
      </c>
      <c r="K5754" s="7" t="str">
        <f>"軽量鉄骨造"</f>
        <v>軽量鉄骨造</v>
      </c>
      <c r="L5754" s="7" t="str">
        <f>"S44.03.29"</f>
        <v>S44.03.29</v>
      </c>
      <c r="M5754" s="7">
        <v>72</v>
      </c>
      <c r="N5754" s="7">
        <v>523258</v>
      </c>
      <c r="O5754" s="7">
        <v>523257</v>
      </c>
      <c r="P5754" s="7">
        <v>0</v>
      </c>
      <c r="Q5754" s="7" t="str">
        <f t="shared" si="2106"/>
        <v>教育庁</v>
      </c>
      <c r="R5754" s="7" t="str">
        <f t="shared" si="2115"/>
        <v>園芸高等学校</v>
      </c>
    </row>
    <row r="5755" spans="1:18" s="1" customFormat="1" x14ac:dyDescent="0.45">
      <c r="A5755" s="7" t="str">
        <f t="shared" si="2112"/>
        <v>10470000000</v>
      </c>
      <c r="B5755" s="7" t="str">
        <f t="shared" si="2113"/>
        <v>園芸高等学校</v>
      </c>
      <c r="C5755" s="7" t="str">
        <f t="shared" si="2100"/>
        <v>行政財産</v>
      </c>
      <c r="D5755" s="7" t="str">
        <f t="shared" si="2116"/>
        <v>学校</v>
      </c>
      <c r="E5755" s="7" t="str">
        <f t="shared" si="2114"/>
        <v>大阪府池田市八王寺２丁目</v>
      </c>
      <c r="F5755" s="7"/>
      <c r="G5755" s="7" t="str">
        <f t="shared" si="2101"/>
        <v>事業用資産</v>
      </c>
      <c r="H5755" s="7" t="str">
        <f t="shared" si="2094"/>
        <v>棚卸以外</v>
      </c>
      <c r="I5755" s="7">
        <v>103</v>
      </c>
      <c r="J5755" s="7" t="str">
        <f>"微生物技術科棟"</f>
        <v>微生物技術科棟</v>
      </c>
      <c r="K5755" s="7" t="str">
        <f>"鉄筋コンクリート造"</f>
        <v>鉄筋コンクリート造</v>
      </c>
      <c r="L5755" s="7" t="str">
        <f t="shared" ref="L5755:L5767" si="2117">"S45.03.31"</f>
        <v>S45.03.31</v>
      </c>
      <c r="M5755" s="7">
        <v>2584.9</v>
      </c>
      <c r="N5755" s="7">
        <v>161671358</v>
      </c>
      <c r="O5755" s="7">
        <v>143732130</v>
      </c>
      <c r="P5755" s="7">
        <v>0</v>
      </c>
      <c r="Q5755" s="7" t="str">
        <f t="shared" si="2106"/>
        <v>教育庁</v>
      </c>
      <c r="R5755" s="7" t="str">
        <f t="shared" si="2115"/>
        <v>園芸高等学校</v>
      </c>
    </row>
    <row r="5756" spans="1:18" s="1" customFormat="1" x14ac:dyDescent="0.45">
      <c r="A5756" s="7" t="str">
        <f t="shared" si="2112"/>
        <v>10470000000</v>
      </c>
      <c r="B5756" s="7" t="str">
        <f t="shared" si="2113"/>
        <v>園芸高等学校</v>
      </c>
      <c r="C5756" s="7" t="str">
        <f t="shared" si="2100"/>
        <v>行政財産</v>
      </c>
      <c r="D5756" s="7" t="str">
        <f t="shared" si="2116"/>
        <v>学校</v>
      </c>
      <c r="E5756" s="7" t="str">
        <f t="shared" si="2114"/>
        <v>大阪府池田市八王寺２丁目</v>
      </c>
      <c r="F5756" s="7"/>
      <c r="G5756" s="7" t="str">
        <f t="shared" si="2101"/>
        <v>事業用資産</v>
      </c>
      <c r="H5756" s="7" t="str">
        <f t="shared" si="2094"/>
        <v>棚卸以外</v>
      </c>
      <c r="I5756" s="7">
        <v>104</v>
      </c>
      <c r="J5756" s="7" t="str">
        <f>"フラワーファクトリ科棟"</f>
        <v>フラワーファクトリ科棟</v>
      </c>
      <c r="K5756" s="7" t="str">
        <f>"鉄筋コンクリート造"</f>
        <v>鉄筋コンクリート造</v>
      </c>
      <c r="L5756" s="7" t="str">
        <f t="shared" si="2117"/>
        <v>S45.03.31</v>
      </c>
      <c r="M5756" s="7">
        <v>2037.4</v>
      </c>
      <c r="N5756" s="7">
        <v>92406187</v>
      </c>
      <c r="O5756" s="7">
        <v>89088428</v>
      </c>
      <c r="P5756" s="7">
        <v>0</v>
      </c>
      <c r="Q5756" s="7" t="str">
        <f t="shared" si="2106"/>
        <v>教育庁</v>
      </c>
      <c r="R5756" s="7" t="str">
        <f t="shared" si="2115"/>
        <v>園芸高等学校</v>
      </c>
    </row>
    <row r="5757" spans="1:18" s="1" customFormat="1" x14ac:dyDescent="0.45">
      <c r="A5757" s="7" t="str">
        <f t="shared" si="2112"/>
        <v>10470000000</v>
      </c>
      <c r="B5757" s="7" t="str">
        <f t="shared" si="2113"/>
        <v>園芸高等学校</v>
      </c>
      <c r="C5757" s="7" t="str">
        <f t="shared" si="2100"/>
        <v>行政財産</v>
      </c>
      <c r="D5757" s="7" t="str">
        <f t="shared" si="2116"/>
        <v>学校</v>
      </c>
      <c r="E5757" s="7" t="str">
        <f t="shared" si="2114"/>
        <v>大阪府池田市八王寺２丁目</v>
      </c>
      <c r="F5757" s="7"/>
      <c r="G5757" s="7" t="str">
        <f t="shared" si="2101"/>
        <v>事業用資産</v>
      </c>
      <c r="H5757" s="7" t="str">
        <f t="shared" si="2094"/>
        <v>棚卸以外</v>
      </c>
      <c r="I5757" s="7">
        <v>105</v>
      </c>
      <c r="J5757" s="7" t="str">
        <f>"園芸デザイン実習管理棟"</f>
        <v>園芸デザイン実習管理棟</v>
      </c>
      <c r="K5757" s="7" t="str">
        <f>"鉄筋コンクリート造"</f>
        <v>鉄筋コンクリート造</v>
      </c>
      <c r="L5757" s="7" t="str">
        <f t="shared" si="2117"/>
        <v>S45.03.31</v>
      </c>
      <c r="M5757" s="7">
        <v>347.1</v>
      </c>
      <c r="N5757" s="7">
        <v>13032020</v>
      </c>
      <c r="O5757" s="7">
        <v>12510019</v>
      </c>
      <c r="P5757" s="7">
        <v>0</v>
      </c>
      <c r="Q5757" s="7" t="str">
        <f t="shared" si="2106"/>
        <v>教育庁</v>
      </c>
      <c r="R5757" s="7" t="str">
        <f t="shared" si="2115"/>
        <v>園芸高等学校</v>
      </c>
    </row>
    <row r="5758" spans="1:18" s="1" customFormat="1" x14ac:dyDescent="0.45">
      <c r="A5758" s="7" t="str">
        <f t="shared" si="2112"/>
        <v>10470000000</v>
      </c>
      <c r="B5758" s="7" t="str">
        <f t="shared" si="2113"/>
        <v>園芸高等学校</v>
      </c>
      <c r="C5758" s="7" t="str">
        <f t="shared" si="2100"/>
        <v>行政財産</v>
      </c>
      <c r="D5758" s="7" t="str">
        <f t="shared" si="2116"/>
        <v>学校</v>
      </c>
      <c r="E5758" s="7" t="str">
        <f t="shared" si="2114"/>
        <v>大阪府池田市八王寺２丁目</v>
      </c>
      <c r="F5758" s="7"/>
      <c r="G5758" s="7" t="str">
        <f t="shared" si="2101"/>
        <v>事業用資産</v>
      </c>
      <c r="H5758" s="7" t="str">
        <f t="shared" si="2094"/>
        <v>棚卸以外</v>
      </c>
      <c r="I5758" s="7">
        <v>106</v>
      </c>
      <c r="J5758" s="7" t="str">
        <f>"倉庫"</f>
        <v>倉庫</v>
      </c>
      <c r="K5758" s="7" t="str">
        <f>"鉄骨造"</f>
        <v>鉄骨造</v>
      </c>
      <c r="L5758" s="7" t="str">
        <f t="shared" si="2117"/>
        <v>S45.03.31</v>
      </c>
      <c r="M5758" s="7">
        <v>113</v>
      </c>
      <c r="N5758" s="7">
        <v>5264247</v>
      </c>
      <c r="O5758" s="7">
        <v>5264246</v>
      </c>
      <c r="P5758" s="7">
        <v>0</v>
      </c>
      <c r="Q5758" s="7" t="str">
        <f t="shared" si="2106"/>
        <v>教育庁</v>
      </c>
      <c r="R5758" s="7" t="str">
        <f t="shared" si="2115"/>
        <v>園芸高等学校</v>
      </c>
    </row>
    <row r="5759" spans="1:18" s="1" customFormat="1" x14ac:dyDescent="0.45">
      <c r="A5759" s="7" t="str">
        <f t="shared" si="2112"/>
        <v>10470000000</v>
      </c>
      <c r="B5759" s="7" t="str">
        <f t="shared" si="2113"/>
        <v>園芸高等学校</v>
      </c>
      <c r="C5759" s="7" t="str">
        <f t="shared" si="2100"/>
        <v>行政財産</v>
      </c>
      <c r="D5759" s="7" t="str">
        <f t="shared" si="2116"/>
        <v>学校</v>
      </c>
      <c r="E5759" s="7" t="str">
        <f t="shared" si="2114"/>
        <v>大阪府池田市八王寺２丁目</v>
      </c>
      <c r="F5759" s="7"/>
      <c r="G5759" s="7" t="str">
        <f t="shared" si="2101"/>
        <v>事業用資産</v>
      </c>
      <c r="H5759" s="7" t="str">
        <f t="shared" si="2094"/>
        <v>棚卸以外</v>
      </c>
      <c r="I5759" s="7">
        <v>107</v>
      </c>
      <c r="J5759" s="7" t="str">
        <f>"実験実習材料庫"</f>
        <v>実験実習材料庫</v>
      </c>
      <c r="K5759" s="7" t="str">
        <f>"鉄骨造"</f>
        <v>鉄骨造</v>
      </c>
      <c r="L5759" s="7" t="str">
        <f t="shared" si="2117"/>
        <v>S45.03.31</v>
      </c>
      <c r="M5759" s="7">
        <v>12</v>
      </c>
      <c r="N5759" s="7">
        <v>554893</v>
      </c>
      <c r="O5759" s="7">
        <v>554892</v>
      </c>
      <c r="P5759" s="7">
        <v>0</v>
      </c>
      <c r="Q5759" s="7" t="str">
        <f t="shared" si="2106"/>
        <v>教育庁</v>
      </c>
      <c r="R5759" s="7" t="str">
        <f t="shared" si="2115"/>
        <v>園芸高等学校</v>
      </c>
    </row>
    <row r="5760" spans="1:18" s="1" customFormat="1" x14ac:dyDescent="0.45">
      <c r="A5760" s="7" t="str">
        <f t="shared" si="2112"/>
        <v>10470000000</v>
      </c>
      <c r="B5760" s="7" t="str">
        <f t="shared" si="2113"/>
        <v>園芸高等学校</v>
      </c>
      <c r="C5760" s="7" t="str">
        <f t="shared" si="2100"/>
        <v>行政財産</v>
      </c>
      <c r="D5760" s="7" t="str">
        <f t="shared" si="2116"/>
        <v>学校</v>
      </c>
      <c r="E5760" s="7" t="str">
        <f t="shared" si="2114"/>
        <v>大阪府池田市八王寺２丁目</v>
      </c>
      <c r="F5760" s="7"/>
      <c r="G5760" s="7" t="str">
        <f t="shared" si="2101"/>
        <v>事業用資産</v>
      </c>
      <c r="H5760" s="7" t="str">
        <f t="shared" si="2094"/>
        <v>棚卸以外</v>
      </c>
      <c r="I5760" s="7">
        <v>108</v>
      </c>
      <c r="J5760" s="7" t="str">
        <f>"環境緑化科実習管理棟"</f>
        <v>環境緑化科実習管理棟</v>
      </c>
      <c r="K5760" s="7" t="str">
        <f>"鉄骨造"</f>
        <v>鉄骨造</v>
      </c>
      <c r="L5760" s="7" t="str">
        <f t="shared" si="2117"/>
        <v>S45.03.31</v>
      </c>
      <c r="M5760" s="7">
        <v>163.9</v>
      </c>
      <c r="N5760" s="7">
        <v>5081852</v>
      </c>
      <c r="O5760" s="7">
        <v>5040617</v>
      </c>
      <c r="P5760" s="7">
        <v>0</v>
      </c>
      <c r="Q5760" s="7" t="str">
        <f t="shared" si="2106"/>
        <v>教育庁</v>
      </c>
      <c r="R5760" s="7" t="str">
        <f t="shared" si="2115"/>
        <v>園芸高等学校</v>
      </c>
    </row>
    <row r="5761" spans="1:18" s="1" customFormat="1" x14ac:dyDescent="0.45">
      <c r="A5761" s="7" t="str">
        <f t="shared" si="2112"/>
        <v>10470000000</v>
      </c>
      <c r="B5761" s="7" t="str">
        <f t="shared" si="2113"/>
        <v>園芸高等学校</v>
      </c>
      <c r="C5761" s="7" t="str">
        <f t="shared" si="2100"/>
        <v>行政財産</v>
      </c>
      <c r="D5761" s="7" t="str">
        <f t="shared" si="2116"/>
        <v>学校</v>
      </c>
      <c r="E5761" s="7" t="str">
        <f t="shared" si="2114"/>
        <v>大阪府池田市八王寺２丁目</v>
      </c>
      <c r="F5761" s="7"/>
      <c r="G5761" s="7" t="str">
        <f t="shared" si="2101"/>
        <v>事業用資産</v>
      </c>
      <c r="H5761" s="7" t="str">
        <f t="shared" si="2094"/>
        <v>棚卸以外</v>
      </c>
      <c r="I5761" s="7">
        <v>109</v>
      </c>
      <c r="J5761" s="7" t="str">
        <f>"堆肥舎"</f>
        <v>堆肥舎</v>
      </c>
      <c r="K5761" s="7" t="str">
        <f>"鉄骨造"</f>
        <v>鉄骨造</v>
      </c>
      <c r="L5761" s="7" t="str">
        <f t="shared" si="2117"/>
        <v>S45.03.31</v>
      </c>
      <c r="M5761" s="7">
        <v>40</v>
      </c>
      <c r="N5761" s="7">
        <v>1040540</v>
      </c>
      <c r="O5761" s="7">
        <v>1040539</v>
      </c>
      <c r="P5761" s="7">
        <v>0</v>
      </c>
      <c r="Q5761" s="7" t="str">
        <f t="shared" si="2106"/>
        <v>教育庁</v>
      </c>
      <c r="R5761" s="7" t="str">
        <f t="shared" si="2115"/>
        <v>園芸高等学校</v>
      </c>
    </row>
    <row r="5762" spans="1:18" s="1" customFormat="1" x14ac:dyDescent="0.45">
      <c r="A5762" s="7" t="str">
        <f t="shared" si="2112"/>
        <v>10470000000</v>
      </c>
      <c r="B5762" s="7" t="str">
        <f t="shared" si="2113"/>
        <v>園芸高等学校</v>
      </c>
      <c r="C5762" s="7" t="str">
        <f t="shared" si="2100"/>
        <v>行政財産</v>
      </c>
      <c r="D5762" s="7" t="str">
        <f t="shared" si="2116"/>
        <v>学校</v>
      </c>
      <c r="E5762" s="7" t="str">
        <f t="shared" si="2114"/>
        <v>大阪府池田市八王寺２丁目</v>
      </c>
      <c r="F5762" s="7"/>
      <c r="G5762" s="7" t="str">
        <f t="shared" si="2101"/>
        <v>事業用資産</v>
      </c>
      <c r="H5762" s="7" t="str">
        <f t="shared" si="2094"/>
        <v>棚卸以外</v>
      </c>
      <c r="I5762" s="7">
        <v>110</v>
      </c>
      <c r="J5762" s="7" t="str">
        <f>"果樹実習管理棟"</f>
        <v>果樹実習管理棟</v>
      </c>
      <c r="K5762" s="7" t="str">
        <f>"鉄筋コンクリート造"</f>
        <v>鉄筋コンクリート造</v>
      </c>
      <c r="L5762" s="7" t="str">
        <f t="shared" si="2117"/>
        <v>S45.03.31</v>
      </c>
      <c r="M5762" s="7">
        <v>344.1</v>
      </c>
      <c r="N5762" s="7">
        <v>18536078</v>
      </c>
      <c r="O5762" s="7">
        <v>16116756</v>
      </c>
      <c r="P5762" s="7">
        <v>0</v>
      </c>
      <c r="Q5762" s="7" t="str">
        <f t="shared" si="2106"/>
        <v>教育庁</v>
      </c>
      <c r="R5762" s="7" t="str">
        <f t="shared" si="2115"/>
        <v>園芸高等学校</v>
      </c>
    </row>
    <row r="5763" spans="1:18" s="1" customFormat="1" x14ac:dyDescent="0.45">
      <c r="A5763" s="7" t="str">
        <f t="shared" si="2112"/>
        <v>10470000000</v>
      </c>
      <c r="B5763" s="7" t="str">
        <f t="shared" si="2113"/>
        <v>園芸高等学校</v>
      </c>
      <c r="C5763" s="7" t="str">
        <f t="shared" si="2100"/>
        <v>行政財産</v>
      </c>
      <c r="D5763" s="7" t="str">
        <f t="shared" si="2116"/>
        <v>学校</v>
      </c>
      <c r="E5763" s="7" t="str">
        <f t="shared" si="2114"/>
        <v>大阪府池田市八王寺２丁目</v>
      </c>
      <c r="F5763" s="7"/>
      <c r="G5763" s="7" t="str">
        <f t="shared" si="2101"/>
        <v>事業用資産</v>
      </c>
      <c r="H5763" s="7" t="str">
        <f t="shared" si="2094"/>
        <v>棚卸以外</v>
      </c>
      <c r="I5763" s="7">
        <v>111</v>
      </c>
      <c r="J5763" s="7" t="str">
        <f>"果樹温室"</f>
        <v>果樹温室</v>
      </c>
      <c r="K5763" s="7" t="str">
        <f>"鉄骨造"</f>
        <v>鉄骨造</v>
      </c>
      <c r="L5763" s="7" t="str">
        <f t="shared" si="2117"/>
        <v>S45.03.31</v>
      </c>
      <c r="M5763" s="7">
        <v>198</v>
      </c>
      <c r="N5763" s="7">
        <v>9156196</v>
      </c>
      <c r="O5763" s="7">
        <v>9156195</v>
      </c>
      <c r="P5763" s="7">
        <v>0</v>
      </c>
      <c r="Q5763" s="7" t="str">
        <f t="shared" si="2106"/>
        <v>教育庁</v>
      </c>
      <c r="R5763" s="7" t="str">
        <f t="shared" si="2115"/>
        <v>園芸高等学校</v>
      </c>
    </row>
    <row r="5764" spans="1:18" s="1" customFormat="1" x14ac:dyDescent="0.45">
      <c r="A5764" s="7" t="str">
        <f t="shared" si="2112"/>
        <v>10470000000</v>
      </c>
      <c r="B5764" s="7" t="str">
        <f t="shared" si="2113"/>
        <v>園芸高等学校</v>
      </c>
      <c r="C5764" s="7" t="str">
        <f t="shared" si="2100"/>
        <v>行政財産</v>
      </c>
      <c r="D5764" s="7" t="str">
        <f t="shared" si="2116"/>
        <v>学校</v>
      </c>
      <c r="E5764" s="7" t="str">
        <f t="shared" si="2114"/>
        <v>大阪府池田市八王寺２丁目</v>
      </c>
      <c r="F5764" s="7"/>
      <c r="G5764" s="7" t="str">
        <f t="shared" si="2101"/>
        <v>事業用資産</v>
      </c>
      <c r="H5764" s="7" t="str">
        <f t="shared" ref="H5764:H5827" si="2118">"棚卸以外"</f>
        <v>棚卸以外</v>
      </c>
      <c r="I5764" s="7">
        <v>112</v>
      </c>
      <c r="J5764" s="7" t="str">
        <f>"果樹ボイラー室"</f>
        <v>果樹ボイラー室</v>
      </c>
      <c r="K5764" s="7" t="str">
        <f>"コンクリートブロック造"</f>
        <v>コンクリートブロック造</v>
      </c>
      <c r="L5764" s="7" t="str">
        <f t="shared" si="2117"/>
        <v>S45.03.31</v>
      </c>
      <c r="M5764" s="7">
        <v>20.100000000000001</v>
      </c>
      <c r="N5764" s="7">
        <v>2278672</v>
      </c>
      <c r="O5764" s="7">
        <v>2278671</v>
      </c>
      <c r="P5764" s="7">
        <v>0</v>
      </c>
      <c r="Q5764" s="7" t="str">
        <f t="shared" si="2106"/>
        <v>教育庁</v>
      </c>
      <c r="R5764" s="7" t="str">
        <f t="shared" si="2115"/>
        <v>園芸高等学校</v>
      </c>
    </row>
    <row r="5765" spans="1:18" s="1" customFormat="1" x14ac:dyDescent="0.45">
      <c r="A5765" s="7" t="str">
        <f t="shared" si="2112"/>
        <v>10470000000</v>
      </c>
      <c r="B5765" s="7" t="str">
        <f t="shared" si="2113"/>
        <v>園芸高等学校</v>
      </c>
      <c r="C5765" s="7" t="str">
        <f t="shared" si="2100"/>
        <v>行政財産</v>
      </c>
      <c r="D5765" s="7" t="str">
        <f t="shared" si="2116"/>
        <v>学校</v>
      </c>
      <c r="E5765" s="7" t="str">
        <f t="shared" si="2114"/>
        <v>大阪府池田市八王寺２丁目</v>
      </c>
      <c r="F5765" s="7"/>
      <c r="G5765" s="7" t="str">
        <f t="shared" si="2101"/>
        <v>事業用資産</v>
      </c>
      <c r="H5765" s="7" t="str">
        <f t="shared" si="2118"/>
        <v>棚卸以外</v>
      </c>
      <c r="I5765" s="7">
        <v>113</v>
      </c>
      <c r="J5765" s="7" t="str">
        <f>"堆肥化機械室"</f>
        <v>堆肥化機械室</v>
      </c>
      <c r="K5765" s="7" t="str">
        <f>"鉄骨造"</f>
        <v>鉄骨造</v>
      </c>
      <c r="L5765" s="7" t="str">
        <f t="shared" si="2117"/>
        <v>S45.03.31</v>
      </c>
      <c r="M5765" s="7">
        <v>50</v>
      </c>
      <c r="N5765" s="7">
        <v>1160675</v>
      </c>
      <c r="O5765" s="7">
        <v>1160674</v>
      </c>
      <c r="P5765" s="7">
        <v>0</v>
      </c>
      <c r="Q5765" s="7" t="str">
        <f t="shared" si="2106"/>
        <v>教育庁</v>
      </c>
      <c r="R5765" s="7" t="str">
        <f t="shared" si="2115"/>
        <v>園芸高等学校</v>
      </c>
    </row>
    <row r="5766" spans="1:18" s="1" customFormat="1" x14ac:dyDescent="0.45">
      <c r="A5766" s="7" t="str">
        <f t="shared" si="2112"/>
        <v>10470000000</v>
      </c>
      <c r="B5766" s="7" t="str">
        <f t="shared" si="2113"/>
        <v>園芸高等学校</v>
      </c>
      <c r="C5766" s="7" t="str">
        <f t="shared" si="2100"/>
        <v>行政財産</v>
      </c>
      <c r="D5766" s="7" t="str">
        <f t="shared" si="2116"/>
        <v>学校</v>
      </c>
      <c r="E5766" s="7" t="str">
        <f t="shared" si="2114"/>
        <v>大阪府池田市八王寺２丁目</v>
      </c>
      <c r="F5766" s="7"/>
      <c r="G5766" s="7" t="str">
        <f t="shared" si="2101"/>
        <v>事業用資産</v>
      </c>
      <c r="H5766" s="7" t="str">
        <f t="shared" si="2118"/>
        <v>棚卸以外</v>
      </c>
      <c r="I5766" s="7">
        <v>114</v>
      </c>
      <c r="J5766" s="7" t="str">
        <f>"草花温室"</f>
        <v>草花温室</v>
      </c>
      <c r="K5766" s="7" t="str">
        <f>"鉄骨造"</f>
        <v>鉄骨造</v>
      </c>
      <c r="L5766" s="7" t="str">
        <f t="shared" si="2117"/>
        <v>S45.03.31</v>
      </c>
      <c r="M5766" s="7">
        <v>493</v>
      </c>
      <c r="N5766" s="7">
        <v>21014292</v>
      </c>
      <c r="O5766" s="7">
        <v>21014291</v>
      </c>
      <c r="P5766" s="7">
        <v>0</v>
      </c>
      <c r="Q5766" s="7" t="str">
        <f t="shared" si="2106"/>
        <v>教育庁</v>
      </c>
      <c r="R5766" s="7" t="str">
        <f t="shared" si="2115"/>
        <v>園芸高等学校</v>
      </c>
    </row>
    <row r="5767" spans="1:18" s="1" customFormat="1" x14ac:dyDescent="0.45">
      <c r="A5767" s="7" t="str">
        <f t="shared" si="2112"/>
        <v>10470000000</v>
      </c>
      <c r="B5767" s="7" t="str">
        <f t="shared" si="2113"/>
        <v>園芸高等学校</v>
      </c>
      <c r="C5767" s="7" t="str">
        <f t="shared" si="2100"/>
        <v>行政財産</v>
      </c>
      <c r="D5767" s="7" t="str">
        <f t="shared" si="2116"/>
        <v>学校</v>
      </c>
      <c r="E5767" s="7" t="str">
        <f t="shared" si="2114"/>
        <v>大阪府池田市八王寺２丁目</v>
      </c>
      <c r="F5767" s="7"/>
      <c r="G5767" s="7" t="str">
        <f t="shared" si="2101"/>
        <v>事業用資産</v>
      </c>
      <c r="H5767" s="7" t="str">
        <f t="shared" si="2118"/>
        <v>棚卸以外</v>
      </c>
      <c r="I5767" s="7">
        <v>115</v>
      </c>
      <c r="J5767" s="7" t="str">
        <f>"草花ボイラー室"</f>
        <v>草花ボイラー室</v>
      </c>
      <c r="K5767" s="7" t="str">
        <f>"コンクリートブロック造"</f>
        <v>コンクリートブロック造</v>
      </c>
      <c r="L5767" s="7" t="str">
        <f t="shared" si="2117"/>
        <v>S45.03.31</v>
      </c>
      <c r="M5767" s="7">
        <v>35.9</v>
      </c>
      <c r="N5767" s="7">
        <v>3022808</v>
      </c>
      <c r="O5767" s="7">
        <v>3022807</v>
      </c>
      <c r="P5767" s="7">
        <v>0</v>
      </c>
      <c r="Q5767" s="7" t="str">
        <f t="shared" si="2106"/>
        <v>教育庁</v>
      </c>
      <c r="R5767" s="7" t="str">
        <f t="shared" si="2115"/>
        <v>園芸高等学校</v>
      </c>
    </row>
    <row r="5768" spans="1:18" s="1" customFormat="1" x14ac:dyDescent="0.45">
      <c r="A5768" s="7" t="str">
        <f t="shared" si="2112"/>
        <v>10470000000</v>
      </c>
      <c r="B5768" s="7" t="str">
        <f t="shared" si="2113"/>
        <v>園芸高等学校</v>
      </c>
      <c r="C5768" s="7" t="str">
        <f t="shared" si="2100"/>
        <v>行政財産</v>
      </c>
      <c r="D5768" s="7" t="str">
        <f t="shared" si="2116"/>
        <v>学校</v>
      </c>
      <c r="E5768" s="7" t="str">
        <f t="shared" si="2114"/>
        <v>大阪府池田市八王寺２丁目</v>
      </c>
      <c r="F5768" s="7"/>
      <c r="G5768" s="7" t="str">
        <f t="shared" si="2101"/>
        <v>事業用資産</v>
      </c>
      <c r="H5768" s="7" t="str">
        <f t="shared" si="2118"/>
        <v>棚卸以外</v>
      </c>
      <c r="I5768" s="7">
        <v>120</v>
      </c>
      <c r="J5768" s="7" t="str">
        <f>"附属棟"</f>
        <v>附属棟</v>
      </c>
      <c r="K5768" s="7" t="str">
        <f>"鉄筋コンクリート造"</f>
        <v>鉄筋コンクリート造</v>
      </c>
      <c r="L5768" s="7" t="str">
        <f t="shared" ref="L5768:L5777" si="2119">"S46.02.28"</f>
        <v>S46.02.28</v>
      </c>
      <c r="M5768" s="7">
        <v>3137.35</v>
      </c>
      <c r="N5768" s="7">
        <v>328725990</v>
      </c>
      <c r="O5768" s="7">
        <v>242157098</v>
      </c>
      <c r="P5768" s="7">
        <v>0</v>
      </c>
      <c r="Q5768" s="7" t="str">
        <f t="shared" si="2106"/>
        <v>教育庁</v>
      </c>
      <c r="R5768" s="7" t="str">
        <f t="shared" si="2115"/>
        <v>園芸高等学校</v>
      </c>
    </row>
    <row r="5769" spans="1:18" s="1" customFormat="1" x14ac:dyDescent="0.45">
      <c r="A5769" s="7" t="str">
        <f t="shared" si="2112"/>
        <v>10470000000</v>
      </c>
      <c r="B5769" s="7" t="str">
        <f t="shared" si="2113"/>
        <v>園芸高等学校</v>
      </c>
      <c r="C5769" s="7" t="str">
        <f t="shared" si="2100"/>
        <v>行政財産</v>
      </c>
      <c r="D5769" s="7" t="str">
        <f t="shared" si="2116"/>
        <v>学校</v>
      </c>
      <c r="E5769" s="7" t="str">
        <f t="shared" si="2114"/>
        <v>大阪府池田市八王寺２丁目</v>
      </c>
      <c r="F5769" s="7"/>
      <c r="G5769" s="7" t="str">
        <f t="shared" si="2101"/>
        <v>事業用資産</v>
      </c>
      <c r="H5769" s="7" t="str">
        <f t="shared" si="2118"/>
        <v>棚卸以外</v>
      </c>
      <c r="I5769" s="7">
        <v>121</v>
      </c>
      <c r="J5769" s="7" t="str">
        <f>"渡り廊下（Ｂ）"</f>
        <v>渡り廊下（Ｂ）</v>
      </c>
      <c r="K5769" s="7" t="str">
        <f>"鉄筋コンクリート造"</f>
        <v>鉄筋コンクリート造</v>
      </c>
      <c r="L5769" s="7" t="str">
        <f t="shared" si="2119"/>
        <v>S46.02.28</v>
      </c>
      <c r="M5769" s="7">
        <v>38.6</v>
      </c>
      <c r="N5769" s="7">
        <v>2054201</v>
      </c>
      <c r="O5769" s="7">
        <v>2054200</v>
      </c>
      <c r="P5769" s="7">
        <v>0</v>
      </c>
      <c r="Q5769" s="7" t="str">
        <f t="shared" si="2106"/>
        <v>教育庁</v>
      </c>
      <c r="R5769" s="7" t="str">
        <f t="shared" si="2115"/>
        <v>園芸高等学校</v>
      </c>
    </row>
    <row r="5770" spans="1:18" s="1" customFormat="1" x14ac:dyDescent="0.45">
      <c r="A5770" s="7" t="str">
        <f t="shared" si="2112"/>
        <v>10470000000</v>
      </c>
      <c r="B5770" s="7" t="str">
        <f t="shared" si="2113"/>
        <v>園芸高等学校</v>
      </c>
      <c r="C5770" s="7" t="str">
        <f t="shared" si="2100"/>
        <v>行政財産</v>
      </c>
      <c r="D5770" s="7" t="str">
        <f t="shared" si="2116"/>
        <v>学校</v>
      </c>
      <c r="E5770" s="7" t="str">
        <f t="shared" si="2114"/>
        <v>大阪府池田市八王寺２丁目</v>
      </c>
      <c r="F5770" s="7"/>
      <c r="G5770" s="7" t="str">
        <f t="shared" si="2101"/>
        <v>事業用資産</v>
      </c>
      <c r="H5770" s="7" t="str">
        <f t="shared" si="2118"/>
        <v>棚卸以外</v>
      </c>
      <c r="I5770" s="7">
        <v>122</v>
      </c>
      <c r="J5770" s="7" t="str">
        <f>"観葉温室"</f>
        <v>観葉温室</v>
      </c>
      <c r="K5770" s="7" t="str">
        <f>"鉄骨造"</f>
        <v>鉄骨造</v>
      </c>
      <c r="L5770" s="7" t="str">
        <f t="shared" si="2119"/>
        <v>S46.02.28</v>
      </c>
      <c r="M5770" s="7">
        <v>297.5</v>
      </c>
      <c r="N5770" s="7">
        <v>11095187</v>
      </c>
      <c r="O5770" s="7">
        <v>11095186</v>
      </c>
      <c r="P5770" s="7">
        <v>0</v>
      </c>
      <c r="Q5770" s="7" t="str">
        <f t="shared" si="2106"/>
        <v>教育庁</v>
      </c>
      <c r="R5770" s="7" t="str">
        <f t="shared" si="2115"/>
        <v>園芸高等学校</v>
      </c>
    </row>
    <row r="5771" spans="1:18" s="1" customFormat="1" x14ac:dyDescent="0.45">
      <c r="A5771" s="7" t="str">
        <f t="shared" si="2112"/>
        <v>10470000000</v>
      </c>
      <c r="B5771" s="7" t="str">
        <f t="shared" si="2113"/>
        <v>園芸高等学校</v>
      </c>
      <c r="C5771" s="7" t="str">
        <f t="shared" si="2100"/>
        <v>行政財産</v>
      </c>
      <c r="D5771" s="7" t="str">
        <f t="shared" si="2116"/>
        <v>学校</v>
      </c>
      <c r="E5771" s="7" t="str">
        <f t="shared" si="2114"/>
        <v>大阪府池田市八王寺２丁目</v>
      </c>
      <c r="F5771" s="7"/>
      <c r="G5771" s="7" t="str">
        <f t="shared" si="2101"/>
        <v>事業用資産</v>
      </c>
      <c r="H5771" s="7" t="str">
        <f t="shared" si="2118"/>
        <v>棚卸以外</v>
      </c>
      <c r="I5771" s="7">
        <v>123</v>
      </c>
      <c r="J5771" s="7" t="str">
        <f>"電照ミスト温室"</f>
        <v>電照ミスト温室</v>
      </c>
      <c r="K5771" s="7" t="str">
        <f>"鉄骨造"</f>
        <v>鉄骨造</v>
      </c>
      <c r="L5771" s="7" t="str">
        <f t="shared" si="2119"/>
        <v>S46.02.28</v>
      </c>
      <c r="M5771" s="7">
        <v>96</v>
      </c>
      <c r="N5771" s="7">
        <v>7109924</v>
      </c>
      <c r="O5771" s="7">
        <v>7109923</v>
      </c>
      <c r="P5771" s="7">
        <v>0</v>
      </c>
      <c r="Q5771" s="7" t="str">
        <f t="shared" si="2106"/>
        <v>教育庁</v>
      </c>
      <c r="R5771" s="7" t="str">
        <f t="shared" si="2115"/>
        <v>園芸高等学校</v>
      </c>
    </row>
    <row r="5772" spans="1:18" s="1" customFormat="1" x14ac:dyDescent="0.45">
      <c r="A5772" s="7" t="str">
        <f t="shared" si="2112"/>
        <v>10470000000</v>
      </c>
      <c r="B5772" s="7" t="str">
        <f t="shared" si="2113"/>
        <v>園芸高等学校</v>
      </c>
      <c r="C5772" s="7" t="str">
        <f t="shared" si="2100"/>
        <v>行政財産</v>
      </c>
      <c r="D5772" s="7" t="str">
        <f t="shared" si="2116"/>
        <v>学校</v>
      </c>
      <c r="E5772" s="7" t="str">
        <f t="shared" si="2114"/>
        <v>大阪府池田市八王寺２丁目</v>
      </c>
      <c r="F5772" s="7"/>
      <c r="G5772" s="7" t="str">
        <f t="shared" si="2101"/>
        <v>事業用資産</v>
      </c>
      <c r="H5772" s="7" t="str">
        <f t="shared" si="2118"/>
        <v>棚卸以外</v>
      </c>
      <c r="I5772" s="7">
        <v>124</v>
      </c>
      <c r="J5772" s="7" t="str">
        <f>"野菜育苗温室"</f>
        <v>野菜育苗温室</v>
      </c>
      <c r="K5772" s="7" t="str">
        <f>"鉄骨造"</f>
        <v>鉄骨造</v>
      </c>
      <c r="L5772" s="7" t="str">
        <f t="shared" si="2119"/>
        <v>S46.02.28</v>
      </c>
      <c r="M5772" s="7">
        <v>161.6</v>
      </c>
      <c r="N5772" s="7">
        <v>8893595</v>
      </c>
      <c r="O5772" s="7">
        <v>8893594</v>
      </c>
      <c r="P5772" s="7">
        <v>0</v>
      </c>
      <c r="Q5772" s="7" t="str">
        <f t="shared" si="2106"/>
        <v>教育庁</v>
      </c>
      <c r="R5772" s="7" t="str">
        <f t="shared" si="2115"/>
        <v>園芸高等学校</v>
      </c>
    </row>
    <row r="5773" spans="1:18" s="1" customFormat="1" x14ac:dyDescent="0.45">
      <c r="A5773" s="7" t="str">
        <f t="shared" si="2112"/>
        <v>10470000000</v>
      </c>
      <c r="B5773" s="7" t="str">
        <f t="shared" si="2113"/>
        <v>園芸高等学校</v>
      </c>
      <c r="C5773" s="7" t="str">
        <f t="shared" ref="C5773:C5836" si="2120">"行政財産"</f>
        <v>行政財産</v>
      </c>
      <c r="D5773" s="7" t="str">
        <f t="shared" si="2116"/>
        <v>学校</v>
      </c>
      <c r="E5773" s="7" t="str">
        <f t="shared" si="2114"/>
        <v>大阪府池田市八王寺２丁目</v>
      </c>
      <c r="F5773" s="7"/>
      <c r="G5773" s="7" t="str">
        <f t="shared" si="2101"/>
        <v>事業用資産</v>
      </c>
      <c r="H5773" s="7" t="str">
        <f t="shared" si="2118"/>
        <v>棚卸以外</v>
      </c>
      <c r="I5773" s="7">
        <v>125</v>
      </c>
      <c r="J5773" s="7" t="str">
        <f>"礫耕温室ボイラー室"</f>
        <v>礫耕温室ボイラー室</v>
      </c>
      <c r="K5773" s="7" t="str">
        <f>"コンクリートブロック造"</f>
        <v>コンクリートブロック造</v>
      </c>
      <c r="L5773" s="7" t="str">
        <f t="shared" si="2119"/>
        <v>S46.02.28</v>
      </c>
      <c r="M5773" s="7">
        <v>30.82</v>
      </c>
      <c r="N5773" s="7">
        <v>10199422</v>
      </c>
      <c r="O5773" s="7">
        <v>10199421</v>
      </c>
      <c r="P5773" s="7">
        <v>0</v>
      </c>
      <c r="Q5773" s="7" t="str">
        <f t="shared" si="2106"/>
        <v>教育庁</v>
      </c>
      <c r="R5773" s="7" t="str">
        <f t="shared" si="2115"/>
        <v>園芸高等学校</v>
      </c>
    </row>
    <row r="5774" spans="1:18" s="1" customFormat="1" x14ac:dyDescent="0.45">
      <c r="A5774" s="7" t="str">
        <f t="shared" si="2112"/>
        <v>10470000000</v>
      </c>
      <c r="B5774" s="7" t="str">
        <f t="shared" si="2113"/>
        <v>園芸高等学校</v>
      </c>
      <c r="C5774" s="7" t="str">
        <f t="shared" si="2120"/>
        <v>行政財産</v>
      </c>
      <c r="D5774" s="7" t="str">
        <f t="shared" si="2116"/>
        <v>学校</v>
      </c>
      <c r="E5774" s="7" t="str">
        <f t="shared" si="2114"/>
        <v>大阪府池田市八王寺２丁目</v>
      </c>
      <c r="F5774" s="7"/>
      <c r="G5774" s="7" t="str">
        <f t="shared" si="2101"/>
        <v>事業用資産</v>
      </c>
      <c r="H5774" s="7" t="str">
        <f t="shared" si="2118"/>
        <v>棚卸以外</v>
      </c>
      <c r="I5774" s="7">
        <v>126</v>
      </c>
      <c r="J5774" s="7" t="str">
        <f>"渡り廊下（Ａ）"</f>
        <v>渡り廊下（Ａ）</v>
      </c>
      <c r="K5774" s="7" t="str">
        <f>"鉄筋コンクリート造"</f>
        <v>鉄筋コンクリート造</v>
      </c>
      <c r="L5774" s="7" t="str">
        <f t="shared" si="2119"/>
        <v>S46.02.28</v>
      </c>
      <c r="M5774" s="7">
        <v>86.24</v>
      </c>
      <c r="N5774" s="7">
        <v>4558887</v>
      </c>
      <c r="O5774" s="7">
        <v>4558886</v>
      </c>
      <c r="P5774" s="7">
        <v>0</v>
      </c>
      <c r="Q5774" s="7" t="str">
        <f t="shared" si="2106"/>
        <v>教育庁</v>
      </c>
      <c r="R5774" s="7" t="str">
        <f t="shared" si="2115"/>
        <v>園芸高等学校</v>
      </c>
    </row>
    <row r="5775" spans="1:18" s="1" customFormat="1" x14ac:dyDescent="0.45">
      <c r="A5775" s="7" t="str">
        <f t="shared" si="2112"/>
        <v>10470000000</v>
      </c>
      <c r="B5775" s="7" t="str">
        <f t="shared" si="2113"/>
        <v>園芸高等学校</v>
      </c>
      <c r="C5775" s="7" t="str">
        <f t="shared" si="2120"/>
        <v>行政財産</v>
      </c>
      <c r="D5775" s="7" t="str">
        <f t="shared" si="2116"/>
        <v>学校</v>
      </c>
      <c r="E5775" s="7" t="str">
        <f t="shared" si="2114"/>
        <v>大阪府池田市八王寺２丁目</v>
      </c>
      <c r="F5775" s="7"/>
      <c r="G5775" s="7" t="str">
        <f t="shared" si="2101"/>
        <v>事業用資産</v>
      </c>
      <c r="H5775" s="7" t="str">
        <f t="shared" si="2118"/>
        <v>棚卸以外</v>
      </c>
      <c r="I5775" s="7">
        <v>127</v>
      </c>
      <c r="J5775" s="7" t="str">
        <f>"果樹温室"</f>
        <v>果樹温室</v>
      </c>
      <c r="K5775" s="7" t="str">
        <f>"鉄骨造"</f>
        <v>鉄骨造</v>
      </c>
      <c r="L5775" s="7" t="str">
        <f t="shared" si="2119"/>
        <v>S46.02.28</v>
      </c>
      <c r="M5775" s="7">
        <v>198</v>
      </c>
      <c r="N5775" s="7">
        <v>8285492</v>
      </c>
      <c r="O5775" s="7">
        <v>8285491</v>
      </c>
      <c r="P5775" s="7">
        <v>0</v>
      </c>
      <c r="Q5775" s="7" t="str">
        <f t="shared" si="2106"/>
        <v>教育庁</v>
      </c>
      <c r="R5775" s="7" t="str">
        <f t="shared" si="2115"/>
        <v>園芸高等学校</v>
      </c>
    </row>
    <row r="5776" spans="1:18" s="1" customFormat="1" x14ac:dyDescent="0.45">
      <c r="A5776" s="7" t="str">
        <f t="shared" si="2112"/>
        <v>10470000000</v>
      </c>
      <c r="B5776" s="7" t="str">
        <f t="shared" si="2113"/>
        <v>園芸高等学校</v>
      </c>
      <c r="C5776" s="7" t="str">
        <f t="shared" si="2120"/>
        <v>行政財産</v>
      </c>
      <c r="D5776" s="7" t="str">
        <f t="shared" si="2116"/>
        <v>学校</v>
      </c>
      <c r="E5776" s="7" t="str">
        <f t="shared" si="2114"/>
        <v>大阪府池田市八王寺２丁目</v>
      </c>
      <c r="F5776" s="7"/>
      <c r="G5776" s="7" t="str">
        <f t="shared" si="2101"/>
        <v>事業用資産</v>
      </c>
      <c r="H5776" s="7" t="str">
        <f t="shared" si="2118"/>
        <v>棚卸以外</v>
      </c>
      <c r="I5776" s="7">
        <v>128</v>
      </c>
      <c r="J5776" s="7" t="str">
        <f>"環境緑化科棟"</f>
        <v>環境緑化科棟</v>
      </c>
      <c r="K5776" s="7" t="str">
        <f>"鉄筋コンクリート造"</f>
        <v>鉄筋コンクリート造</v>
      </c>
      <c r="L5776" s="7" t="str">
        <f t="shared" si="2119"/>
        <v>S46.02.28</v>
      </c>
      <c r="M5776" s="7">
        <v>2332.31</v>
      </c>
      <c r="N5776" s="7">
        <v>140215389</v>
      </c>
      <c r="O5776" s="7">
        <v>126089057</v>
      </c>
      <c r="P5776" s="7">
        <v>0</v>
      </c>
      <c r="Q5776" s="7" t="str">
        <f t="shared" si="2106"/>
        <v>教育庁</v>
      </c>
      <c r="R5776" s="7" t="str">
        <f t="shared" si="2115"/>
        <v>園芸高等学校</v>
      </c>
    </row>
    <row r="5777" spans="1:18" s="1" customFormat="1" x14ac:dyDescent="0.45">
      <c r="A5777" s="7" t="str">
        <f t="shared" ref="A5777:A5796" si="2121">"10470000000"</f>
        <v>10470000000</v>
      </c>
      <c r="B5777" s="7" t="str">
        <f t="shared" ref="B5777:B5796" si="2122">"園芸高等学校"</f>
        <v>園芸高等学校</v>
      </c>
      <c r="C5777" s="7" t="str">
        <f t="shared" si="2120"/>
        <v>行政財産</v>
      </c>
      <c r="D5777" s="7" t="str">
        <f t="shared" si="2116"/>
        <v>学校</v>
      </c>
      <c r="E5777" s="7" t="str">
        <f t="shared" ref="E5777:E5796" si="2123">"大阪府池田市八王寺２丁目"</f>
        <v>大阪府池田市八王寺２丁目</v>
      </c>
      <c r="F5777" s="7"/>
      <c r="G5777" s="7" t="str">
        <f t="shared" si="2101"/>
        <v>事業用資産</v>
      </c>
      <c r="H5777" s="7" t="str">
        <f t="shared" si="2118"/>
        <v>棚卸以外</v>
      </c>
      <c r="I5777" s="7">
        <v>129</v>
      </c>
      <c r="J5777" s="7" t="str">
        <f>"果樹ポンプ室"</f>
        <v>果樹ポンプ室</v>
      </c>
      <c r="K5777" s="7" t="str">
        <f>"コンクリートブロック造"</f>
        <v>コンクリートブロック造</v>
      </c>
      <c r="L5777" s="7" t="str">
        <f t="shared" si="2119"/>
        <v>S46.02.28</v>
      </c>
      <c r="M5777" s="7">
        <v>15.5</v>
      </c>
      <c r="N5777" s="7">
        <v>3060000</v>
      </c>
      <c r="O5777" s="7">
        <v>3059999</v>
      </c>
      <c r="P5777" s="7">
        <v>0</v>
      </c>
      <c r="Q5777" s="7" t="str">
        <f t="shared" si="2106"/>
        <v>教育庁</v>
      </c>
      <c r="R5777" s="7" t="str">
        <f t="shared" ref="R5777:R5796" si="2124">"園芸高等学校"</f>
        <v>園芸高等学校</v>
      </c>
    </row>
    <row r="5778" spans="1:18" s="1" customFormat="1" x14ac:dyDescent="0.45">
      <c r="A5778" s="7" t="str">
        <f t="shared" si="2121"/>
        <v>10470000000</v>
      </c>
      <c r="B5778" s="7" t="str">
        <f t="shared" si="2122"/>
        <v>園芸高等学校</v>
      </c>
      <c r="C5778" s="7" t="str">
        <f t="shared" si="2120"/>
        <v>行政財産</v>
      </c>
      <c r="D5778" s="7" t="str">
        <f t="shared" si="2116"/>
        <v>学校</v>
      </c>
      <c r="E5778" s="7" t="str">
        <f t="shared" si="2123"/>
        <v>大阪府池田市八王寺２丁目</v>
      </c>
      <c r="F5778" s="7"/>
      <c r="G5778" s="7" t="str">
        <f t="shared" si="2101"/>
        <v>事業用資産</v>
      </c>
      <c r="H5778" s="7" t="str">
        <f t="shared" si="2118"/>
        <v>棚卸以外</v>
      </c>
      <c r="I5778" s="7">
        <v>130</v>
      </c>
      <c r="J5778" s="7" t="str">
        <f>"動力室"</f>
        <v>動力室</v>
      </c>
      <c r="K5778" s="7" t="str">
        <f>"コンクリートブロック造"</f>
        <v>コンクリートブロック造</v>
      </c>
      <c r="L5778" s="7" t="str">
        <f>"S46.03.29"</f>
        <v>S46.03.29</v>
      </c>
      <c r="M5778" s="7">
        <v>4</v>
      </c>
      <c r="N5778" s="7">
        <v>300000</v>
      </c>
      <c r="O5778" s="7">
        <v>299999</v>
      </c>
      <c r="P5778" s="7">
        <v>0</v>
      </c>
      <c r="Q5778" s="7" t="str">
        <f t="shared" si="2106"/>
        <v>教育庁</v>
      </c>
      <c r="R5778" s="7" t="str">
        <f t="shared" si="2124"/>
        <v>園芸高等学校</v>
      </c>
    </row>
    <row r="5779" spans="1:18" s="1" customFormat="1" x14ac:dyDescent="0.45">
      <c r="A5779" s="7" t="str">
        <f t="shared" si="2121"/>
        <v>10470000000</v>
      </c>
      <c r="B5779" s="7" t="str">
        <f t="shared" si="2122"/>
        <v>園芸高等学校</v>
      </c>
      <c r="C5779" s="7" t="str">
        <f t="shared" si="2120"/>
        <v>行政財産</v>
      </c>
      <c r="D5779" s="7" t="str">
        <f t="shared" si="2116"/>
        <v>学校</v>
      </c>
      <c r="E5779" s="7" t="str">
        <f t="shared" si="2123"/>
        <v>大阪府池田市八王寺２丁目</v>
      </c>
      <c r="F5779" s="7"/>
      <c r="G5779" s="7" t="str">
        <f t="shared" si="2101"/>
        <v>事業用資産</v>
      </c>
      <c r="H5779" s="7" t="str">
        <f t="shared" si="2118"/>
        <v>棚卸以外</v>
      </c>
      <c r="I5779" s="7">
        <v>131</v>
      </c>
      <c r="J5779" s="7" t="str">
        <f>"特別教室棟"</f>
        <v>特別教室棟</v>
      </c>
      <c r="K5779" s="7" t="str">
        <f>"鉄筋コンクリート造"</f>
        <v>鉄筋コンクリート造</v>
      </c>
      <c r="L5779" s="7" t="str">
        <f t="shared" ref="L5779:L5786" si="2125">"S47.03.15"</f>
        <v>S47.03.15</v>
      </c>
      <c r="M5779" s="7">
        <v>2960.02</v>
      </c>
      <c r="N5779" s="7">
        <v>218266794</v>
      </c>
      <c r="O5779" s="7">
        <v>191454007</v>
      </c>
      <c r="P5779" s="7">
        <v>0</v>
      </c>
      <c r="Q5779" s="7" t="str">
        <f t="shared" si="2106"/>
        <v>教育庁</v>
      </c>
      <c r="R5779" s="7" t="str">
        <f t="shared" si="2124"/>
        <v>園芸高等学校</v>
      </c>
    </row>
    <row r="5780" spans="1:18" s="1" customFormat="1" x14ac:dyDescent="0.45">
      <c r="A5780" s="7" t="str">
        <f t="shared" si="2121"/>
        <v>10470000000</v>
      </c>
      <c r="B5780" s="7" t="str">
        <f t="shared" si="2122"/>
        <v>園芸高等学校</v>
      </c>
      <c r="C5780" s="7" t="str">
        <f t="shared" si="2120"/>
        <v>行政財産</v>
      </c>
      <c r="D5780" s="7" t="str">
        <f t="shared" si="2116"/>
        <v>学校</v>
      </c>
      <c r="E5780" s="7" t="str">
        <f t="shared" si="2123"/>
        <v>大阪府池田市八王寺２丁目</v>
      </c>
      <c r="F5780" s="7"/>
      <c r="G5780" s="7" t="str">
        <f t="shared" si="2101"/>
        <v>事業用資産</v>
      </c>
      <c r="H5780" s="7" t="str">
        <f t="shared" si="2118"/>
        <v>棚卸以外</v>
      </c>
      <c r="I5780" s="7">
        <v>132</v>
      </c>
      <c r="J5780" s="7" t="str">
        <f>"渡り廊下"</f>
        <v>渡り廊下</v>
      </c>
      <c r="K5780" s="7" t="str">
        <f>"鉄筋コンクリート造"</f>
        <v>鉄筋コンクリート造</v>
      </c>
      <c r="L5780" s="7" t="str">
        <f t="shared" si="2125"/>
        <v>S47.03.15</v>
      </c>
      <c r="M5780" s="7">
        <v>83.6</v>
      </c>
      <c r="N5780" s="7">
        <v>6544000</v>
      </c>
      <c r="O5780" s="7">
        <v>6543999</v>
      </c>
      <c r="P5780" s="7">
        <v>0</v>
      </c>
      <c r="Q5780" s="7" t="str">
        <f t="shared" si="2106"/>
        <v>教育庁</v>
      </c>
      <c r="R5780" s="7" t="str">
        <f t="shared" si="2124"/>
        <v>園芸高等学校</v>
      </c>
    </row>
    <row r="5781" spans="1:18" s="1" customFormat="1" x14ac:dyDescent="0.45">
      <c r="A5781" s="7" t="str">
        <f t="shared" si="2121"/>
        <v>10470000000</v>
      </c>
      <c r="B5781" s="7" t="str">
        <f t="shared" si="2122"/>
        <v>園芸高等学校</v>
      </c>
      <c r="C5781" s="7" t="str">
        <f t="shared" si="2120"/>
        <v>行政財産</v>
      </c>
      <c r="D5781" s="7" t="str">
        <f t="shared" si="2116"/>
        <v>学校</v>
      </c>
      <c r="E5781" s="7" t="str">
        <f t="shared" si="2123"/>
        <v>大阪府池田市八王寺２丁目</v>
      </c>
      <c r="F5781" s="7"/>
      <c r="G5781" s="7" t="str">
        <f t="shared" si="2101"/>
        <v>事業用資産</v>
      </c>
      <c r="H5781" s="7" t="str">
        <f t="shared" si="2118"/>
        <v>棚卸以外</v>
      </c>
      <c r="I5781" s="7">
        <v>134</v>
      </c>
      <c r="J5781" s="7" t="str">
        <f>"農場管理棟"</f>
        <v>農場管理棟</v>
      </c>
      <c r="K5781" s="7" t="str">
        <f>"鉄筋コンクリート造"</f>
        <v>鉄筋コンクリート造</v>
      </c>
      <c r="L5781" s="7" t="str">
        <f t="shared" si="2125"/>
        <v>S47.03.15</v>
      </c>
      <c r="M5781" s="7">
        <v>972.95</v>
      </c>
      <c r="N5781" s="7">
        <v>55258785</v>
      </c>
      <c r="O5781" s="7">
        <v>54534605</v>
      </c>
      <c r="P5781" s="7">
        <v>0</v>
      </c>
      <c r="Q5781" s="7" t="str">
        <f t="shared" si="2106"/>
        <v>教育庁</v>
      </c>
      <c r="R5781" s="7" t="str">
        <f t="shared" si="2124"/>
        <v>園芸高等学校</v>
      </c>
    </row>
    <row r="5782" spans="1:18" s="1" customFormat="1" x14ac:dyDescent="0.45">
      <c r="A5782" s="7" t="str">
        <f t="shared" si="2121"/>
        <v>10470000000</v>
      </c>
      <c r="B5782" s="7" t="str">
        <f t="shared" si="2122"/>
        <v>園芸高等学校</v>
      </c>
      <c r="C5782" s="7" t="str">
        <f t="shared" si="2120"/>
        <v>行政財産</v>
      </c>
      <c r="D5782" s="7" t="str">
        <f t="shared" si="2116"/>
        <v>学校</v>
      </c>
      <c r="E5782" s="7" t="str">
        <f t="shared" si="2123"/>
        <v>大阪府池田市八王寺２丁目</v>
      </c>
      <c r="F5782" s="7"/>
      <c r="G5782" s="7" t="str">
        <f t="shared" si="2101"/>
        <v>事業用資産</v>
      </c>
      <c r="H5782" s="7" t="str">
        <f t="shared" si="2118"/>
        <v>棚卸以外</v>
      </c>
      <c r="I5782" s="7">
        <v>135</v>
      </c>
      <c r="J5782" s="7" t="str">
        <f>"農産加工工場棟"</f>
        <v>農産加工工場棟</v>
      </c>
      <c r="K5782" s="7" t="str">
        <f>"鉄筋コンクリート造"</f>
        <v>鉄筋コンクリート造</v>
      </c>
      <c r="L5782" s="7" t="str">
        <f t="shared" si="2125"/>
        <v>S47.03.15</v>
      </c>
      <c r="M5782" s="7">
        <v>562.73</v>
      </c>
      <c r="N5782" s="7">
        <v>34659141</v>
      </c>
      <c r="O5782" s="7">
        <v>31415137</v>
      </c>
      <c r="P5782" s="7">
        <v>0</v>
      </c>
      <c r="Q5782" s="7" t="str">
        <f t="shared" si="2106"/>
        <v>教育庁</v>
      </c>
      <c r="R5782" s="7" t="str">
        <f t="shared" si="2124"/>
        <v>園芸高等学校</v>
      </c>
    </row>
    <row r="5783" spans="1:18" s="1" customFormat="1" x14ac:dyDescent="0.45">
      <c r="A5783" s="7" t="str">
        <f t="shared" si="2121"/>
        <v>10470000000</v>
      </c>
      <c r="B5783" s="7" t="str">
        <f t="shared" si="2122"/>
        <v>園芸高等学校</v>
      </c>
      <c r="C5783" s="7" t="str">
        <f t="shared" si="2120"/>
        <v>行政財産</v>
      </c>
      <c r="D5783" s="7" t="str">
        <f t="shared" si="2116"/>
        <v>学校</v>
      </c>
      <c r="E5783" s="7" t="str">
        <f t="shared" si="2123"/>
        <v>大阪府池田市八王寺２丁目</v>
      </c>
      <c r="F5783" s="7"/>
      <c r="G5783" s="7" t="str">
        <f t="shared" ref="G5783:G5846" si="2126">"事業用資産"</f>
        <v>事業用資産</v>
      </c>
      <c r="H5783" s="7" t="str">
        <f t="shared" si="2118"/>
        <v>棚卸以外</v>
      </c>
      <c r="I5783" s="7">
        <v>136</v>
      </c>
      <c r="J5783" s="7" t="str">
        <f>"渡り廊下"</f>
        <v>渡り廊下</v>
      </c>
      <c r="K5783" s="7" t="str">
        <f>"鉄骨造"</f>
        <v>鉄骨造</v>
      </c>
      <c r="L5783" s="7" t="str">
        <f t="shared" si="2125"/>
        <v>S47.03.15</v>
      </c>
      <c r="M5783" s="7">
        <v>53.1</v>
      </c>
      <c r="N5783" s="7">
        <v>1299000</v>
      </c>
      <c r="O5783" s="7">
        <v>1298999</v>
      </c>
      <c r="P5783" s="7">
        <v>0</v>
      </c>
      <c r="Q5783" s="7" t="str">
        <f t="shared" si="2106"/>
        <v>教育庁</v>
      </c>
      <c r="R5783" s="7" t="str">
        <f t="shared" si="2124"/>
        <v>園芸高等学校</v>
      </c>
    </row>
    <row r="5784" spans="1:18" s="1" customFormat="1" x14ac:dyDescent="0.45">
      <c r="A5784" s="7" t="str">
        <f t="shared" si="2121"/>
        <v>10470000000</v>
      </c>
      <c r="B5784" s="7" t="str">
        <f t="shared" si="2122"/>
        <v>園芸高等学校</v>
      </c>
      <c r="C5784" s="7" t="str">
        <f t="shared" si="2120"/>
        <v>行政財産</v>
      </c>
      <c r="D5784" s="7" t="str">
        <f t="shared" si="2116"/>
        <v>学校</v>
      </c>
      <c r="E5784" s="7" t="str">
        <f t="shared" si="2123"/>
        <v>大阪府池田市八王寺２丁目</v>
      </c>
      <c r="F5784" s="7"/>
      <c r="G5784" s="7" t="str">
        <f t="shared" si="2126"/>
        <v>事業用資産</v>
      </c>
      <c r="H5784" s="7" t="str">
        <f t="shared" si="2118"/>
        <v>棚卸以外</v>
      </c>
      <c r="I5784" s="7">
        <v>137</v>
      </c>
      <c r="J5784" s="7" t="str">
        <f>"育苗温室"</f>
        <v>育苗温室</v>
      </c>
      <c r="K5784" s="7" t="str">
        <f>"鉄骨造"</f>
        <v>鉄骨造</v>
      </c>
      <c r="L5784" s="7" t="str">
        <f t="shared" si="2125"/>
        <v>S47.03.15</v>
      </c>
      <c r="M5784" s="7">
        <v>96</v>
      </c>
      <c r="N5784" s="7">
        <v>4576267</v>
      </c>
      <c r="O5784" s="7">
        <v>4576266</v>
      </c>
      <c r="P5784" s="7">
        <v>0</v>
      </c>
      <c r="Q5784" s="7" t="str">
        <f t="shared" si="2106"/>
        <v>教育庁</v>
      </c>
      <c r="R5784" s="7" t="str">
        <f t="shared" si="2124"/>
        <v>園芸高等学校</v>
      </c>
    </row>
    <row r="5785" spans="1:18" s="1" customFormat="1" x14ac:dyDescent="0.45">
      <c r="A5785" s="7" t="str">
        <f t="shared" si="2121"/>
        <v>10470000000</v>
      </c>
      <c r="B5785" s="7" t="str">
        <f t="shared" si="2122"/>
        <v>園芸高等学校</v>
      </c>
      <c r="C5785" s="7" t="str">
        <f t="shared" si="2120"/>
        <v>行政財産</v>
      </c>
      <c r="D5785" s="7" t="str">
        <f t="shared" si="2116"/>
        <v>学校</v>
      </c>
      <c r="E5785" s="7" t="str">
        <f t="shared" si="2123"/>
        <v>大阪府池田市八王寺２丁目</v>
      </c>
      <c r="F5785" s="7"/>
      <c r="G5785" s="7" t="str">
        <f t="shared" si="2126"/>
        <v>事業用資産</v>
      </c>
      <c r="H5785" s="7" t="str">
        <f t="shared" si="2118"/>
        <v>棚卸以外</v>
      </c>
      <c r="I5785" s="7">
        <v>138</v>
      </c>
      <c r="J5785" s="7" t="str">
        <f>"熱帯植物温室"</f>
        <v>熱帯植物温室</v>
      </c>
      <c r="K5785" s="7" t="str">
        <f>"鉄骨造"</f>
        <v>鉄骨造</v>
      </c>
      <c r="L5785" s="7" t="str">
        <f t="shared" si="2125"/>
        <v>S47.03.15</v>
      </c>
      <c r="M5785" s="7">
        <v>297.5</v>
      </c>
      <c r="N5785" s="7">
        <v>18241733</v>
      </c>
      <c r="O5785" s="7">
        <v>17328084</v>
      </c>
      <c r="P5785" s="7">
        <v>0</v>
      </c>
      <c r="Q5785" s="7" t="str">
        <f t="shared" si="2106"/>
        <v>教育庁</v>
      </c>
      <c r="R5785" s="7" t="str">
        <f t="shared" si="2124"/>
        <v>園芸高等学校</v>
      </c>
    </row>
    <row r="5786" spans="1:18" s="1" customFormat="1" x14ac:dyDescent="0.45">
      <c r="A5786" s="7" t="str">
        <f t="shared" si="2121"/>
        <v>10470000000</v>
      </c>
      <c r="B5786" s="7" t="str">
        <f t="shared" si="2122"/>
        <v>園芸高等学校</v>
      </c>
      <c r="C5786" s="7" t="str">
        <f t="shared" si="2120"/>
        <v>行政財産</v>
      </c>
      <c r="D5786" s="7" t="str">
        <f t="shared" si="2116"/>
        <v>学校</v>
      </c>
      <c r="E5786" s="7" t="str">
        <f t="shared" si="2123"/>
        <v>大阪府池田市八王寺２丁目</v>
      </c>
      <c r="F5786" s="7"/>
      <c r="G5786" s="7" t="str">
        <f t="shared" si="2126"/>
        <v>事業用資産</v>
      </c>
      <c r="H5786" s="7" t="str">
        <f t="shared" si="2118"/>
        <v>棚卸以外</v>
      </c>
      <c r="I5786" s="7">
        <v>139</v>
      </c>
      <c r="J5786" s="7" t="str">
        <f>"実験実習材料庫"</f>
        <v>実験実習材料庫</v>
      </c>
      <c r="K5786" s="7" t="str">
        <f>"鉄骨造"</f>
        <v>鉄骨造</v>
      </c>
      <c r="L5786" s="7" t="str">
        <f t="shared" si="2125"/>
        <v>S47.03.15</v>
      </c>
      <c r="M5786" s="7">
        <v>40</v>
      </c>
      <c r="N5786" s="7">
        <v>2137000</v>
      </c>
      <c r="O5786" s="7">
        <v>2136999</v>
      </c>
      <c r="P5786" s="7">
        <v>0</v>
      </c>
      <c r="Q5786" s="7" t="str">
        <f t="shared" si="2106"/>
        <v>教育庁</v>
      </c>
      <c r="R5786" s="7" t="str">
        <f t="shared" si="2124"/>
        <v>園芸高等学校</v>
      </c>
    </row>
    <row r="5787" spans="1:18" s="1" customFormat="1" x14ac:dyDescent="0.45">
      <c r="A5787" s="7" t="str">
        <f t="shared" si="2121"/>
        <v>10470000000</v>
      </c>
      <c r="B5787" s="7" t="str">
        <f t="shared" si="2122"/>
        <v>園芸高等学校</v>
      </c>
      <c r="C5787" s="7" t="str">
        <f t="shared" si="2120"/>
        <v>行政財産</v>
      </c>
      <c r="D5787" s="7" t="str">
        <f t="shared" si="2116"/>
        <v>学校</v>
      </c>
      <c r="E5787" s="7" t="str">
        <f t="shared" si="2123"/>
        <v>大阪府池田市八王寺２丁目</v>
      </c>
      <c r="F5787" s="7"/>
      <c r="G5787" s="7" t="str">
        <f t="shared" si="2126"/>
        <v>事業用資産</v>
      </c>
      <c r="H5787" s="7" t="str">
        <f t="shared" si="2118"/>
        <v>棚卸以外</v>
      </c>
      <c r="I5787" s="7">
        <v>142</v>
      </c>
      <c r="J5787" s="7" t="str">
        <f>"本館"</f>
        <v>本館</v>
      </c>
      <c r="K5787" s="7" t="str">
        <f>"鉄筋コンクリート造"</f>
        <v>鉄筋コンクリート造</v>
      </c>
      <c r="L5787" s="7" t="str">
        <f>"S48.02.28"</f>
        <v>S48.02.28</v>
      </c>
      <c r="M5787" s="7">
        <v>3553.16</v>
      </c>
      <c r="N5787" s="7">
        <v>291525713</v>
      </c>
      <c r="O5787" s="7">
        <v>272009323</v>
      </c>
      <c r="P5787" s="7">
        <v>0</v>
      </c>
      <c r="Q5787" s="7" t="str">
        <f t="shared" ref="Q5787:Q5850" si="2127">"教育庁"</f>
        <v>教育庁</v>
      </c>
      <c r="R5787" s="7" t="str">
        <f t="shared" si="2124"/>
        <v>園芸高等学校</v>
      </c>
    </row>
    <row r="5788" spans="1:18" s="1" customFormat="1" x14ac:dyDescent="0.45">
      <c r="A5788" s="7" t="str">
        <f t="shared" si="2121"/>
        <v>10470000000</v>
      </c>
      <c r="B5788" s="7" t="str">
        <f t="shared" si="2122"/>
        <v>園芸高等学校</v>
      </c>
      <c r="C5788" s="7" t="str">
        <f t="shared" si="2120"/>
        <v>行政財産</v>
      </c>
      <c r="D5788" s="7" t="str">
        <f t="shared" si="2116"/>
        <v>学校</v>
      </c>
      <c r="E5788" s="7" t="str">
        <f t="shared" si="2123"/>
        <v>大阪府池田市八王寺２丁目</v>
      </c>
      <c r="F5788" s="7"/>
      <c r="G5788" s="7" t="str">
        <f t="shared" si="2126"/>
        <v>事業用資産</v>
      </c>
      <c r="H5788" s="7" t="str">
        <f t="shared" si="2118"/>
        <v>棚卸以外</v>
      </c>
      <c r="I5788" s="7">
        <v>143</v>
      </c>
      <c r="J5788" s="7" t="str">
        <f>"渡り廊下（Ｂ′）"</f>
        <v>渡り廊下（Ｂ′）</v>
      </c>
      <c r="K5788" s="7" t="str">
        <f>"鉄筋コンクリート造"</f>
        <v>鉄筋コンクリート造</v>
      </c>
      <c r="L5788" s="7" t="str">
        <f>"S48.02.28"</f>
        <v>S48.02.28</v>
      </c>
      <c r="M5788" s="7">
        <v>116.44</v>
      </c>
      <c r="N5788" s="7">
        <v>8161000</v>
      </c>
      <c r="O5788" s="7">
        <v>8160999</v>
      </c>
      <c r="P5788" s="7">
        <v>0</v>
      </c>
      <c r="Q5788" s="7" t="str">
        <f t="shared" si="2127"/>
        <v>教育庁</v>
      </c>
      <c r="R5788" s="7" t="str">
        <f t="shared" si="2124"/>
        <v>園芸高等学校</v>
      </c>
    </row>
    <row r="5789" spans="1:18" s="1" customFormat="1" x14ac:dyDescent="0.45">
      <c r="A5789" s="7" t="str">
        <f t="shared" si="2121"/>
        <v>10470000000</v>
      </c>
      <c r="B5789" s="7" t="str">
        <f t="shared" si="2122"/>
        <v>園芸高等学校</v>
      </c>
      <c r="C5789" s="7" t="str">
        <f t="shared" si="2120"/>
        <v>行政財産</v>
      </c>
      <c r="D5789" s="7" t="str">
        <f t="shared" si="2116"/>
        <v>学校</v>
      </c>
      <c r="E5789" s="7" t="str">
        <f t="shared" si="2123"/>
        <v>大阪府池田市八王寺２丁目</v>
      </c>
      <c r="F5789" s="7"/>
      <c r="G5789" s="7" t="str">
        <f t="shared" si="2126"/>
        <v>事業用資産</v>
      </c>
      <c r="H5789" s="7" t="str">
        <f t="shared" si="2118"/>
        <v>棚卸以外</v>
      </c>
      <c r="I5789" s="7">
        <v>144</v>
      </c>
      <c r="J5789" s="7" t="str">
        <f>"渡り廊下（Ａ′）"</f>
        <v>渡り廊下（Ａ′）</v>
      </c>
      <c r="K5789" s="7" t="str">
        <f>"鉄筋コンクリート造"</f>
        <v>鉄筋コンクリート造</v>
      </c>
      <c r="L5789" s="7" t="str">
        <f>"S48.02.28"</f>
        <v>S48.02.28</v>
      </c>
      <c r="M5789" s="7">
        <v>136.24</v>
      </c>
      <c r="N5789" s="7">
        <v>11629000</v>
      </c>
      <c r="O5789" s="7">
        <v>11628999</v>
      </c>
      <c r="P5789" s="7">
        <v>0</v>
      </c>
      <c r="Q5789" s="7" t="str">
        <f t="shared" si="2127"/>
        <v>教育庁</v>
      </c>
      <c r="R5789" s="7" t="str">
        <f t="shared" si="2124"/>
        <v>園芸高等学校</v>
      </c>
    </row>
    <row r="5790" spans="1:18" s="1" customFormat="1" x14ac:dyDescent="0.45">
      <c r="A5790" s="7" t="str">
        <f t="shared" si="2121"/>
        <v>10470000000</v>
      </c>
      <c r="B5790" s="7" t="str">
        <f t="shared" si="2122"/>
        <v>園芸高等学校</v>
      </c>
      <c r="C5790" s="7" t="str">
        <f t="shared" si="2120"/>
        <v>行政財産</v>
      </c>
      <c r="D5790" s="7" t="str">
        <f t="shared" si="2116"/>
        <v>学校</v>
      </c>
      <c r="E5790" s="7" t="str">
        <f t="shared" si="2123"/>
        <v>大阪府池田市八王寺２丁目</v>
      </c>
      <c r="F5790" s="7"/>
      <c r="G5790" s="7" t="str">
        <f t="shared" si="2126"/>
        <v>事業用資産</v>
      </c>
      <c r="H5790" s="7" t="str">
        <f t="shared" si="2118"/>
        <v>棚卸以外</v>
      </c>
      <c r="I5790" s="7">
        <v>145</v>
      </c>
      <c r="J5790" s="7" t="str">
        <f>"燃料庫"</f>
        <v>燃料庫</v>
      </c>
      <c r="K5790" s="7" t="str">
        <f>"コンクリートブロック造"</f>
        <v>コンクリートブロック造</v>
      </c>
      <c r="L5790" s="7" t="str">
        <f>"S48.03.28"</f>
        <v>S48.03.28</v>
      </c>
      <c r="M5790" s="7">
        <v>32.58</v>
      </c>
      <c r="N5790" s="7">
        <v>1504000</v>
      </c>
      <c r="O5790" s="7">
        <v>1503999</v>
      </c>
      <c r="P5790" s="7">
        <v>0</v>
      </c>
      <c r="Q5790" s="7" t="str">
        <f t="shared" si="2127"/>
        <v>教育庁</v>
      </c>
      <c r="R5790" s="7" t="str">
        <f t="shared" si="2124"/>
        <v>園芸高等学校</v>
      </c>
    </row>
    <row r="5791" spans="1:18" s="1" customFormat="1" x14ac:dyDescent="0.45">
      <c r="A5791" s="7" t="str">
        <f t="shared" si="2121"/>
        <v>10470000000</v>
      </c>
      <c r="B5791" s="7" t="str">
        <f t="shared" si="2122"/>
        <v>園芸高等学校</v>
      </c>
      <c r="C5791" s="7" t="str">
        <f t="shared" si="2120"/>
        <v>行政財産</v>
      </c>
      <c r="D5791" s="7" t="str">
        <f t="shared" si="2116"/>
        <v>学校</v>
      </c>
      <c r="E5791" s="7" t="str">
        <f t="shared" si="2123"/>
        <v>大阪府池田市八王寺２丁目</v>
      </c>
      <c r="F5791" s="7"/>
      <c r="G5791" s="7" t="str">
        <f t="shared" si="2126"/>
        <v>事業用資産</v>
      </c>
      <c r="H5791" s="7" t="str">
        <f t="shared" si="2118"/>
        <v>棚卸以外</v>
      </c>
      <c r="I5791" s="7">
        <v>150</v>
      </c>
      <c r="J5791" s="7" t="str">
        <f>"ポンプ室"</f>
        <v>ポンプ室</v>
      </c>
      <c r="K5791" s="7" t="str">
        <f>"コンクリートブロック造"</f>
        <v>コンクリートブロック造</v>
      </c>
      <c r="L5791" s="7" t="str">
        <f>"S58.01.27"</f>
        <v>S58.01.27</v>
      </c>
      <c r="M5791" s="7">
        <v>11.22</v>
      </c>
      <c r="N5791" s="7">
        <v>8611000</v>
      </c>
      <c r="O5791" s="7">
        <v>8610999</v>
      </c>
      <c r="P5791" s="7">
        <v>0</v>
      </c>
      <c r="Q5791" s="7" t="str">
        <f t="shared" si="2127"/>
        <v>教育庁</v>
      </c>
      <c r="R5791" s="7" t="str">
        <f t="shared" si="2124"/>
        <v>園芸高等学校</v>
      </c>
    </row>
    <row r="5792" spans="1:18" s="1" customFormat="1" x14ac:dyDescent="0.45">
      <c r="A5792" s="7" t="str">
        <f t="shared" si="2121"/>
        <v>10470000000</v>
      </c>
      <c r="B5792" s="7" t="str">
        <f t="shared" si="2122"/>
        <v>園芸高等学校</v>
      </c>
      <c r="C5792" s="7" t="str">
        <f t="shared" si="2120"/>
        <v>行政財産</v>
      </c>
      <c r="D5792" s="7" t="str">
        <f t="shared" si="2116"/>
        <v>学校</v>
      </c>
      <c r="E5792" s="7" t="str">
        <f t="shared" si="2123"/>
        <v>大阪府池田市八王寺２丁目</v>
      </c>
      <c r="F5792" s="7"/>
      <c r="G5792" s="7" t="str">
        <f t="shared" si="2126"/>
        <v>事業用資産</v>
      </c>
      <c r="H5792" s="7" t="str">
        <f t="shared" si="2118"/>
        <v>棚卸以外</v>
      </c>
      <c r="I5792" s="7">
        <v>151</v>
      </c>
      <c r="J5792" s="7" t="str">
        <f>"温室（花鉢）"</f>
        <v>温室（花鉢）</v>
      </c>
      <c r="K5792" s="7" t="str">
        <f>"鉄骨造"</f>
        <v>鉄骨造</v>
      </c>
      <c r="L5792" s="7" t="str">
        <f>"S60.03.30"</f>
        <v>S60.03.30</v>
      </c>
      <c r="M5792" s="7">
        <v>226.8</v>
      </c>
      <c r="N5792" s="7">
        <v>22539000</v>
      </c>
      <c r="O5792" s="7">
        <v>22538999</v>
      </c>
      <c r="P5792" s="7">
        <v>0</v>
      </c>
      <c r="Q5792" s="7" t="str">
        <f t="shared" si="2127"/>
        <v>教育庁</v>
      </c>
      <c r="R5792" s="7" t="str">
        <f t="shared" si="2124"/>
        <v>園芸高等学校</v>
      </c>
    </row>
    <row r="5793" spans="1:18" s="1" customFormat="1" x14ac:dyDescent="0.45">
      <c r="A5793" s="7" t="str">
        <f t="shared" si="2121"/>
        <v>10470000000</v>
      </c>
      <c r="B5793" s="7" t="str">
        <f t="shared" si="2122"/>
        <v>園芸高等学校</v>
      </c>
      <c r="C5793" s="7" t="str">
        <f t="shared" si="2120"/>
        <v>行政財産</v>
      </c>
      <c r="D5793" s="7" t="str">
        <f t="shared" si="2116"/>
        <v>学校</v>
      </c>
      <c r="E5793" s="7" t="str">
        <f t="shared" si="2123"/>
        <v>大阪府池田市八王寺２丁目</v>
      </c>
      <c r="F5793" s="7"/>
      <c r="G5793" s="7" t="str">
        <f t="shared" si="2126"/>
        <v>事業用資産</v>
      </c>
      <c r="H5793" s="7" t="str">
        <f t="shared" si="2118"/>
        <v>棚卸以外</v>
      </c>
      <c r="I5793" s="7">
        <v>152</v>
      </c>
      <c r="J5793" s="7" t="str">
        <f>"草花礫耕温室"</f>
        <v>草花礫耕温室</v>
      </c>
      <c r="K5793" s="7" t="str">
        <f>"鉄骨造"</f>
        <v>鉄骨造</v>
      </c>
      <c r="L5793" s="7" t="str">
        <f>"S55.12.22"</f>
        <v>S55.12.22</v>
      </c>
      <c r="M5793" s="7">
        <v>198.77</v>
      </c>
      <c r="N5793" s="7">
        <v>18919000</v>
      </c>
      <c r="O5793" s="7">
        <v>18918999</v>
      </c>
      <c r="P5793" s="7">
        <v>0</v>
      </c>
      <c r="Q5793" s="7" t="str">
        <f t="shared" si="2127"/>
        <v>教育庁</v>
      </c>
      <c r="R5793" s="7" t="str">
        <f t="shared" si="2124"/>
        <v>園芸高等学校</v>
      </c>
    </row>
    <row r="5794" spans="1:18" s="1" customFormat="1" x14ac:dyDescent="0.45">
      <c r="A5794" s="7" t="str">
        <f t="shared" si="2121"/>
        <v>10470000000</v>
      </c>
      <c r="B5794" s="7" t="str">
        <f t="shared" si="2122"/>
        <v>園芸高等学校</v>
      </c>
      <c r="C5794" s="7" t="str">
        <f t="shared" si="2120"/>
        <v>行政財産</v>
      </c>
      <c r="D5794" s="7" t="str">
        <f t="shared" si="2116"/>
        <v>学校</v>
      </c>
      <c r="E5794" s="7" t="str">
        <f t="shared" si="2123"/>
        <v>大阪府池田市八王寺２丁目</v>
      </c>
      <c r="F5794" s="7"/>
      <c r="G5794" s="7" t="str">
        <f t="shared" si="2126"/>
        <v>事業用資産</v>
      </c>
      <c r="H5794" s="7" t="str">
        <f t="shared" si="2118"/>
        <v>棚卸以外</v>
      </c>
      <c r="I5794" s="7">
        <v>153</v>
      </c>
      <c r="J5794" s="7" t="str">
        <f>"フラワー・スタディ・ハウス"</f>
        <v>フラワー・スタディ・ハウス</v>
      </c>
      <c r="K5794" s="7" t="str">
        <f>"鉄骨造"</f>
        <v>鉄骨造</v>
      </c>
      <c r="L5794" s="7" t="str">
        <f>"H02.03.15"</f>
        <v>H02.03.15</v>
      </c>
      <c r="M5794" s="7">
        <v>400</v>
      </c>
      <c r="N5794" s="7">
        <v>50573000</v>
      </c>
      <c r="O5794" s="7">
        <v>50572999</v>
      </c>
      <c r="P5794" s="7">
        <v>0</v>
      </c>
      <c r="Q5794" s="7" t="str">
        <f t="shared" si="2127"/>
        <v>教育庁</v>
      </c>
      <c r="R5794" s="7" t="str">
        <f t="shared" si="2124"/>
        <v>園芸高等学校</v>
      </c>
    </row>
    <row r="5795" spans="1:18" s="1" customFormat="1" x14ac:dyDescent="0.45">
      <c r="A5795" s="7" t="str">
        <f t="shared" si="2121"/>
        <v>10470000000</v>
      </c>
      <c r="B5795" s="7" t="str">
        <f t="shared" si="2122"/>
        <v>園芸高等学校</v>
      </c>
      <c r="C5795" s="7" t="str">
        <f t="shared" si="2120"/>
        <v>行政財産</v>
      </c>
      <c r="D5795" s="7" t="str">
        <f t="shared" si="2116"/>
        <v>学校</v>
      </c>
      <c r="E5795" s="7" t="str">
        <f t="shared" si="2123"/>
        <v>大阪府池田市八王寺２丁目</v>
      </c>
      <c r="F5795" s="7"/>
      <c r="G5795" s="7" t="str">
        <f t="shared" si="2126"/>
        <v>事業用資産</v>
      </c>
      <c r="H5795" s="7" t="str">
        <f t="shared" si="2118"/>
        <v>棚卸以外</v>
      </c>
      <c r="I5795" s="7">
        <v>154</v>
      </c>
      <c r="J5795" s="7" t="str">
        <f>"ガラス温室"</f>
        <v>ガラス温室</v>
      </c>
      <c r="K5795" s="7" t="str">
        <f>"鉄骨造"</f>
        <v>鉄骨造</v>
      </c>
      <c r="L5795" s="7" t="str">
        <f>"H15.05.06"</f>
        <v>H15.05.06</v>
      </c>
      <c r="M5795" s="7">
        <v>174.25</v>
      </c>
      <c r="N5795" s="7">
        <v>21240000</v>
      </c>
      <c r="O5795" s="7">
        <v>13589086</v>
      </c>
      <c r="P5795" s="7">
        <v>0</v>
      </c>
      <c r="Q5795" s="7" t="str">
        <f t="shared" si="2127"/>
        <v>教育庁</v>
      </c>
      <c r="R5795" s="7" t="str">
        <f t="shared" si="2124"/>
        <v>園芸高等学校</v>
      </c>
    </row>
    <row r="5796" spans="1:18" s="1" customFormat="1" x14ac:dyDescent="0.45">
      <c r="A5796" s="7" t="str">
        <f t="shared" si="2121"/>
        <v>10470000000</v>
      </c>
      <c r="B5796" s="7" t="str">
        <f t="shared" si="2122"/>
        <v>園芸高等学校</v>
      </c>
      <c r="C5796" s="7" t="str">
        <f t="shared" si="2120"/>
        <v>行政財産</v>
      </c>
      <c r="D5796" s="7" t="str">
        <f t="shared" si="2116"/>
        <v>学校</v>
      </c>
      <c r="E5796" s="7" t="str">
        <f t="shared" si="2123"/>
        <v>大阪府池田市八王寺２丁目</v>
      </c>
      <c r="F5796" s="7"/>
      <c r="G5796" s="7" t="str">
        <f t="shared" si="2126"/>
        <v>事業用資産</v>
      </c>
      <c r="H5796" s="7" t="str">
        <f t="shared" si="2118"/>
        <v>棚卸以外</v>
      </c>
      <c r="I5796" s="7">
        <v>155</v>
      </c>
      <c r="J5796" s="7" t="str">
        <f>"堆肥"</f>
        <v>堆肥</v>
      </c>
      <c r="K5796" s="7" t="str">
        <f>"鉄骨造"</f>
        <v>鉄骨造</v>
      </c>
      <c r="L5796" s="7" t="str">
        <f>"H19.03.22"</f>
        <v>H19.03.22</v>
      </c>
      <c r="M5796" s="7">
        <v>96</v>
      </c>
      <c r="N5796" s="7">
        <v>6886000</v>
      </c>
      <c r="O5796" s="7">
        <v>3554112</v>
      </c>
      <c r="P5796" s="7">
        <v>0</v>
      </c>
      <c r="Q5796" s="7" t="str">
        <f t="shared" si="2127"/>
        <v>教育庁</v>
      </c>
      <c r="R5796" s="7" t="str">
        <f t="shared" si="2124"/>
        <v>園芸高等学校</v>
      </c>
    </row>
    <row r="5797" spans="1:18" s="1" customFormat="1" x14ac:dyDescent="0.45">
      <c r="A5797" s="7" t="str">
        <f t="shared" ref="A5797:A5828" si="2128">"10471000000"</f>
        <v>10471000000</v>
      </c>
      <c r="B5797" s="7" t="str">
        <f t="shared" ref="B5797:B5828" si="2129">"農芸高等学校"</f>
        <v>農芸高等学校</v>
      </c>
      <c r="C5797" s="7" t="str">
        <f t="shared" si="2120"/>
        <v>行政財産</v>
      </c>
      <c r="D5797" s="7" t="str">
        <f t="shared" si="2116"/>
        <v>学校</v>
      </c>
      <c r="E5797" s="7" t="str">
        <f t="shared" ref="E5797:E5828" si="2130">"大阪府堺市　美原区北余部"</f>
        <v>大阪府堺市　美原区北余部</v>
      </c>
      <c r="F5797" s="7"/>
      <c r="G5797" s="7" t="str">
        <f t="shared" si="2126"/>
        <v>事業用資産</v>
      </c>
      <c r="H5797" s="7" t="str">
        <f t="shared" si="2118"/>
        <v>棚卸以外</v>
      </c>
      <c r="I5797" s="7">
        <v>11</v>
      </c>
      <c r="J5797" s="7" t="str">
        <f>"鉄筋校舎"</f>
        <v>鉄筋校舎</v>
      </c>
      <c r="K5797" s="7" t="str">
        <f>"鉄筋コンクリート造"</f>
        <v>鉄筋コンクリート造</v>
      </c>
      <c r="L5797" s="7" t="str">
        <f>"S38.03.08"</f>
        <v>S38.03.08</v>
      </c>
      <c r="M5797" s="7">
        <v>605.85</v>
      </c>
      <c r="N5797" s="7">
        <v>21474289</v>
      </c>
      <c r="O5797" s="7">
        <v>16399241</v>
      </c>
      <c r="P5797" s="7">
        <v>0</v>
      </c>
      <c r="Q5797" s="7" t="str">
        <f t="shared" si="2127"/>
        <v>教育庁</v>
      </c>
      <c r="R5797" s="7" t="str">
        <f t="shared" ref="R5797:R5828" si="2131">"農芸高等学校"</f>
        <v>農芸高等学校</v>
      </c>
    </row>
    <row r="5798" spans="1:18" s="1" customFormat="1" x14ac:dyDescent="0.45">
      <c r="A5798" s="7" t="str">
        <f t="shared" si="2128"/>
        <v>10471000000</v>
      </c>
      <c r="B5798" s="7" t="str">
        <f t="shared" si="2129"/>
        <v>農芸高等学校</v>
      </c>
      <c r="C5798" s="7" t="str">
        <f t="shared" si="2120"/>
        <v>行政財産</v>
      </c>
      <c r="D5798" s="7" t="str">
        <f t="shared" si="2116"/>
        <v>学校</v>
      </c>
      <c r="E5798" s="7" t="str">
        <f t="shared" si="2130"/>
        <v>大阪府堺市　美原区北余部</v>
      </c>
      <c r="F5798" s="7"/>
      <c r="G5798" s="7" t="str">
        <f t="shared" si="2126"/>
        <v>事業用資産</v>
      </c>
      <c r="H5798" s="7" t="str">
        <f t="shared" si="2118"/>
        <v>棚卸以外</v>
      </c>
      <c r="I5798" s="7">
        <v>46</v>
      </c>
      <c r="J5798" s="7" t="str">
        <f>"乳加工室"</f>
        <v>乳加工室</v>
      </c>
      <c r="K5798" s="7" t="str">
        <f>"鉄骨造"</f>
        <v>鉄骨造</v>
      </c>
      <c r="L5798" s="7" t="str">
        <f>"S38.03.08"</f>
        <v>S38.03.08</v>
      </c>
      <c r="M5798" s="7">
        <v>99.57</v>
      </c>
      <c r="N5798" s="7">
        <v>3005494</v>
      </c>
      <c r="O5798" s="7">
        <v>2893381</v>
      </c>
      <c r="P5798" s="7">
        <v>0</v>
      </c>
      <c r="Q5798" s="7" t="str">
        <f t="shared" si="2127"/>
        <v>教育庁</v>
      </c>
      <c r="R5798" s="7" t="str">
        <f t="shared" si="2131"/>
        <v>農芸高等学校</v>
      </c>
    </row>
    <row r="5799" spans="1:18" s="1" customFormat="1" x14ac:dyDescent="0.45">
      <c r="A5799" s="7" t="str">
        <f t="shared" si="2128"/>
        <v>10471000000</v>
      </c>
      <c r="B5799" s="7" t="str">
        <f t="shared" si="2129"/>
        <v>農芸高等学校</v>
      </c>
      <c r="C5799" s="7" t="str">
        <f t="shared" si="2120"/>
        <v>行政財産</v>
      </c>
      <c r="D5799" s="7" t="str">
        <f t="shared" si="2116"/>
        <v>学校</v>
      </c>
      <c r="E5799" s="7" t="str">
        <f t="shared" si="2130"/>
        <v>大阪府堺市　美原区北余部</v>
      </c>
      <c r="F5799" s="7"/>
      <c r="G5799" s="7" t="str">
        <f t="shared" si="2126"/>
        <v>事業用資産</v>
      </c>
      <c r="H5799" s="7" t="str">
        <f t="shared" si="2118"/>
        <v>棚卸以外</v>
      </c>
      <c r="I5799" s="7">
        <v>47</v>
      </c>
      <c r="J5799" s="7" t="str">
        <f>"牛乳処理室"</f>
        <v>牛乳処理室</v>
      </c>
      <c r="K5799" s="7" t="str">
        <f>"鉄筋コンクリート造"</f>
        <v>鉄筋コンクリート造</v>
      </c>
      <c r="L5799" s="7" t="str">
        <f>"S38.03.08"</f>
        <v>S38.03.08</v>
      </c>
      <c r="M5799" s="7">
        <v>109.58</v>
      </c>
      <c r="N5799" s="7">
        <v>5978446</v>
      </c>
      <c r="O5799" s="7">
        <v>5978445</v>
      </c>
      <c r="P5799" s="7">
        <v>0</v>
      </c>
      <c r="Q5799" s="7" t="str">
        <f t="shared" si="2127"/>
        <v>教育庁</v>
      </c>
      <c r="R5799" s="7" t="str">
        <f t="shared" si="2131"/>
        <v>農芸高等学校</v>
      </c>
    </row>
    <row r="5800" spans="1:18" s="1" customFormat="1" x14ac:dyDescent="0.45">
      <c r="A5800" s="7" t="str">
        <f t="shared" si="2128"/>
        <v>10471000000</v>
      </c>
      <c r="B5800" s="7" t="str">
        <f t="shared" si="2129"/>
        <v>農芸高等学校</v>
      </c>
      <c r="C5800" s="7" t="str">
        <f t="shared" si="2120"/>
        <v>行政財産</v>
      </c>
      <c r="D5800" s="7" t="str">
        <f t="shared" si="2116"/>
        <v>学校</v>
      </c>
      <c r="E5800" s="7" t="str">
        <f t="shared" si="2130"/>
        <v>大阪府堺市　美原区北余部</v>
      </c>
      <c r="F5800" s="7"/>
      <c r="G5800" s="7" t="str">
        <f t="shared" si="2126"/>
        <v>事業用資産</v>
      </c>
      <c r="H5800" s="7" t="str">
        <f t="shared" si="2118"/>
        <v>棚卸以外</v>
      </c>
      <c r="I5800" s="7">
        <v>48</v>
      </c>
      <c r="J5800" s="7" t="str">
        <f>"牛衡室"</f>
        <v>牛衡室</v>
      </c>
      <c r="K5800" s="7" t="str">
        <f>"軽量鉄骨造"</f>
        <v>軽量鉄骨造</v>
      </c>
      <c r="L5800" s="7" t="str">
        <f>"S38.03.31"</f>
        <v>S38.03.31</v>
      </c>
      <c r="M5800" s="7">
        <v>19.43</v>
      </c>
      <c r="N5800" s="7">
        <v>588080</v>
      </c>
      <c r="O5800" s="7">
        <v>588079</v>
      </c>
      <c r="P5800" s="7">
        <v>0</v>
      </c>
      <c r="Q5800" s="7" t="str">
        <f t="shared" si="2127"/>
        <v>教育庁</v>
      </c>
      <c r="R5800" s="7" t="str">
        <f t="shared" si="2131"/>
        <v>農芸高等学校</v>
      </c>
    </row>
    <row r="5801" spans="1:18" s="1" customFormat="1" x14ac:dyDescent="0.45">
      <c r="A5801" s="7" t="str">
        <f t="shared" si="2128"/>
        <v>10471000000</v>
      </c>
      <c r="B5801" s="7" t="str">
        <f t="shared" si="2129"/>
        <v>農芸高等学校</v>
      </c>
      <c r="C5801" s="7" t="str">
        <f t="shared" si="2120"/>
        <v>行政財産</v>
      </c>
      <c r="D5801" s="7" t="str">
        <f t="shared" si="2116"/>
        <v>学校</v>
      </c>
      <c r="E5801" s="7" t="str">
        <f t="shared" si="2130"/>
        <v>大阪府堺市　美原区北余部</v>
      </c>
      <c r="F5801" s="7"/>
      <c r="G5801" s="7" t="str">
        <f t="shared" si="2126"/>
        <v>事業用資産</v>
      </c>
      <c r="H5801" s="7" t="str">
        <f t="shared" si="2118"/>
        <v>棚卸以外</v>
      </c>
      <c r="I5801" s="7">
        <v>49</v>
      </c>
      <c r="J5801" s="7" t="str">
        <f>"管理・育すう室"</f>
        <v>管理・育すう室</v>
      </c>
      <c r="K5801" s="7" t="str">
        <f>"軽量鉄骨造"</f>
        <v>軽量鉄骨造</v>
      </c>
      <c r="L5801" s="7" t="str">
        <f>"S38.03.31"</f>
        <v>S38.03.31</v>
      </c>
      <c r="M5801" s="7">
        <v>116.62</v>
      </c>
      <c r="N5801" s="7">
        <v>3228388</v>
      </c>
      <c r="O5801" s="7">
        <v>3228387</v>
      </c>
      <c r="P5801" s="7">
        <v>0</v>
      </c>
      <c r="Q5801" s="7" t="str">
        <f t="shared" si="2127"/>
        <v>教育庁</v>
      </c>
      <c r="R5801" s="7" t="str">
        <f t="shared" si="2131"/>
        <v>農芸高等学校</v>
      </c>
    </row>
    <row r="5802" spans="1:18" s="1" customFormat="1" x14ac:dyDescent="0.45">
      <c r="A5802" s="7" t="str">
        <f t="shared" si="2128"/>
        <v>10471000000</v>
      </c>
      <c r="B5802" s="7" t="str">
        <f t="shared" si="2129"/>
        <v>農芸高等学校</v>
      </c>
      <c r="C5802" s="7" t="str">
        <f t="shared" si="2120"/>
        <v>行政財産</v>
      </c>
      <c r="D5802" s="7" t="str">
        <f t="shared" si="2116"/>
        <v>学校</v>
      </c>
      <c r="E5802" s="7" t="str">
        <f t="shared" si="2130"/>
        <v>大阪府堺市　美原区北余部</v>
      </c>
      <c r="F5802" s="7"/>
      <c r="G5802" s="7" t="str">
        <f t="shared" si="2126"/>
        <v>事業用資産</v>
      </c>
      <c r="H5802" s="7" t="str">
        <f t="shared" si="2118"/>
        <v>棚卸以外</v>
      </c>
      <c r="I5802" s="7">
        <v>50</v>
      </c>
      <c r="J5802" s="7" t="str">
        <f>"種鶏舎"</f>
        <v>種鶏舎</v>
      </c>
      <c r="K5802" s="7" t="str">
        <f>"軽量鉄骨造"</f>
        <v>軽量鉄骨造</v>
      </c>
      <c r="L5802" s="7" t="str">
        <f>"S38.03.31"</f>
        <v>S38.03.31</v>
      </c>
      <c r="M5802" s="7">
        <v>97.19</v>
      </c>
      <c r="N5802" s="7">
        <v>2388149</v>
      </c>
      <c r="O5802" s="7">
        <v>2388148</v>
      </c>
      <c r="P5802" s="7">
        <v>0</v>
      </c>
      <c r="Q5802" s="7" t="str">
        <f t="shared" si="2127"/>
        <v>教育庁</v>
      </c>
      <c r="R5802" s="7" t="str">
        <f t="shared" si="2131"/>
        <v>農芸高等学校</v>
      </c>
    </row>
    <row r="5803" spans="1:18" s="1" customFormat="1" x14ac:dyDescent="0.45">
      <c r="A5803" s="7" t="str">
        <f t="shared" si="2128"/>
        <v>10471000000</v>
      </c>
      <c r="B5803" s="7" t="str">
        <f t="shared" si="2129"/>
        <v>農芸高等学校</v>
      </c>
      <c r="C5803" s="7" t="str">
        <f t="shared" si="2120"/>
        <v>行政財産</v>
      </c>
      <c r="D5803" s="7" t="str">
        <f t="shared" si="2116"/>
        <v>学校</v>
      </c>
      <c r="E5803" s="7" t="str">
        <f t="shared" si="2130"/>
        <v>大阪府堺市　美原区北余部</v>
      </c>
      <c r="F5803" s="7"/>
      <c r="G5803" s="7" t="str">
        <f t="shared" si="2126"/>
        <v>事業用資産</v>
      </c>
      <c r="H5803" s="7" t="str">
        <f t="shared" si="2118"/>
        <v>棚卸以外</v>
      </c>
      <c r="I5803" s="7">
        <v>51</v>
      </c>
      <c r="J5803" s="7" t="str">
        <f>"ケージ鶏舎"</f>
        <v>ケージ鶏舎</v>
      </c>
      <c r="K5803" s="7" t="str">
        <f>"軽量鉄骨造"</f>
        <v>軽量鉄骨造</v>
      </c>
      <c r="L5803" s="7" t="str">
        <f>"S38.03.31"</f>
        <v>S38.03.31</v>
      </c>
      <c r="M5803" s="7">
        <v>209.98</v>
      </c>
      <c r="N5803" s="7">
        <v>2611173</v>
      </c>
      <c r="O5803" s="7">
        <v>2611172</v>
      </c>
      <c r="P5803" s="7">
        <v>0</v>
      </c>
      <c r="Q5803" s="7" t="str">
        <f t="shared" si="2127"/>
        <v>教育庁</v>
      </c>
      <c r="R5803" s="7" t="str">
        <f t="shared" si="2131"/>
        <v>農芸高等学校</v>
      </c>
    </row>
    <row r="5804" spans="1:18" s="1" customFormat="1" x14ac:dyDescent="0.45">
      <c r="A5804" s="7" t="str">
        <f t="shared" si="2128"/>
        <v>10471000000</v>
      </c>
      <c r="B5804" s="7" t="str">
        <f t="shared" si="2129"/>
        <v>農芸高等学校</v>
      </c>
      <c r="C5804" s="7" t="str">
        <f t="shared" si="2120"/>
        <v>行政財産</v>
      </c>
      <c r="D5804" s="7" t="str">
        <f t="shared" si="2116"/>
        <v>学校</v>
      </c>
      <c r="E5804" s="7" t="str">
        <f t="shared" si="2130"/>
        <v>大阪府堺市　美原区北余部</v>
      </c>
      <c r="F5804" s="7"/>
      <c r="G5804" s="7" t="str">
        <f t="shared" si="2126"/>
        <v>事業用資産</v>
      </c>
      <c r="H5804" s="7" t="str">
        <f t="shared" si="2118"/>
        <v>棚卸以外</v>
      </c>
      <c r="I5804" s="7">
        <v>52</v>
      </c>
      <c r="J5804" s="7" t="str">
        <f>"油庫"</f>
        <v>油庫</v>
      </c>
      <c r="K5804" s="7" t="str">
        <f>"コンクリートブロック造"</f>
        <v>コンクリートブロック造</v>
      </c>
      <c r="L5804" s="7" t="str">
        <f>"S38.03.31"</f>
        <v>S38.03.31</v>
      </c>
      <c r="M5804" s="7">
        <v>8.85</v>
      </c>
      <c r="N5804" s="7">
        <v>272360</v>
      </c>
      <c r="O5804" s="7">
        <v>272359</v>
      </c>
      <c r="P5804" s="7">
        <v>0</v>
      </c>
      <c r="Q5804" s="7" t="str">
        <f t="shared" si="2127"/>
        <v>教育庁</v>
      </c>
      <c r="R5804" s="7" t="str">
        <f t="shared" si="2131"/>
        <v>農芸高等学校</v>
      </c>
    </row>
    <row r="5805" spans="1:18" s="1" customFormat="1" x14ac:dyDescent="0.45">
      <c r="A5805" s="7" t="str">
        <f t="shared" si="2128"/>
        <v>10471000000</v>
      </c>
      <c r="B5805" s="7" t="str">
        <f t="shared" si="2129"/>
        <v>農芸高等学校</v>
      </c>
      <c r="C5805" s="7" t="str">
        <f t="shared" si="2120"/>
        <v>行政財産</v>
      </c>
      <c r="D5805" s="7" t="str">
        <f t="shared" si="2116"/>
        <v>学校</v>
      </c>
      <c r="E5805" s="7" t="str">
        <f t="shared" si="2130"/>
        <v>大阪府堺市　美原区北余部</v>
      </c>
      <c r="F5805" s="7"/>
      <c r="G5805" s="7" t="str">
        <f t="shared" si="2126"/>
        <v>事業用資産</v>
      </c>
      <c r="H5805" s="7" t="str">
        <f t="shared" si="2118"/>
        <v>棚卸以外</v>
      </c>
      <c r="I5805" s="7">
        <v>53</v>
      </c>
      <c r="J5805" s="7" t="str">
        <f>"ブロイラー舎"</f>
        <v>ブロイラー舎</v>
      </c>
      <c r="K5805" s="7" t="str">
        <f>"鉄骨造"</f>
        <v>鉄骨造</v>
      </c>
      <c r="L5805" s="7" t="str">
        <f>"S39.03.31"</f>
        <v>S39.03.31</v>
      </c>
      <c r="M5805" s="7">
        <v>129.61000000000001</v>
      </c>
      <c r="N5805" s="7">
        <v>2937600</v>
      </c>
      <c r="O5805" s="7">
        <v>2937599</v>
      </c>
      <c r="P5805" s="7">
        <v>0</v>
      </c>
      <c r="Q5805" s="7" t="str">
        <f t="shared" si="2127"/>
        <v>教育庁</v>
      </c>
      <c r="R5805" s="7" t="str">
        <f t="shared" si="2131"/>
        <v>農芸高等学校</v>
      </c>
    </row>
    <row r="5806" spans="1:18" s="1" customFormat="1" x14ac:dyDescent="0.45">
      <c r="A5806" s="7" t="str">
        <f t="shared" si="2128"/>
        <v>10471000000</v>
      </c>
      <c r="B5806" s="7" t="str">
        <f t="shared" si="2129"/>
        <v>農芸高等学校</v>
      </c>
      <c r="C5806" s="7" t="str">
        <f t="shared" si="2120"/>
        <v>行政財産</v>
      </c>
      <c r="D5806" s="7" t="str">
        <f t="shared" si="2116"/>
        <v>学校</v>
      </c>
      <c r="E5806" s="7" t="str">
        <f t="shared" si="2130"/>
        <v>大阪府堺市　美原区北余部</v>
      </c>
      <c r="F5806" s="7"/>
      <c r="G5806" s="7" t="str">
        <f t="shared" si="2126"/>
        <v>事業用資産</v>
      </c>
      <c r="H5806" s="7" t="str">
        <f t="shared" si="2118"/>
        <v>棚卸以外</v>
      </c>
      <c r="I5806" s="7">
        <v>54</v>
      </c>
      <c r="J5806" s="7" t="str">
        <f>"育成舎"</f>
        <v>育成舎</v>
      </c>
      <c r="K5806" s="7" t="str">
        <f>"鉄骨造"</f>
        <v>鉄骨造</v>
      </c>
      <c r="L5806" s="7" t="str">
        <f>"S39.03.31"</f>
        <v>S39.03.31</v>
      </c>
      <c r="M5806" s="7">
        <v>129.61000000000001</v>
      </c>
      <c r="N5806" s="7">
        <v>2209370</v>
      </c>
      <c r="O5806" s="7">
        <v>2209369</v>
      </c>
      <c r="P5806" s="7">
        <v>0</v>
      </c>
      <c r="Q5806" s="7" t="str">
        <f t="shared" si="2127"/>
        <v>教育庁</v>
      </c>
      <c r="R5806" s="7" t="str">
        <f t="shared" si="2131"/>
        <v>農芸高等学校</v>
      </c>
    </row>
    <row r="5807" spans="1:18" s="1" customFormat="1" x14ac:dyDescent="0.45">
      <c r="A5807" s="7" t="str">
        <f t="shared" si="2128"/>
        <v>10471000000</v>
      </c>
      <c r="B5807" s="7" t="str">
        <f t="shared" si="2129"/>
        <v>農芸高等学校</v>
      </c>
      <c r="C5807" s="7" t="str">
        <f t="shared" si="2120"/>
        <v>行政財産</v>
      </c>
      <c r="D5807" s="7" t="str">
        <f t="shared" si="2116"/>
        <v>学校</v>
      </c>
      <c r="E5807" s="7" t="str">
        <f t="shared" si="2130"/>
        <v>大阪府堺市　美原区北余部</v>
      </c>
      <c r="F5807" s="7"/>
      <c r="G5807" s="7" t="str">
        <f t="shared" si="2126"/>
        <v>事業用資産</v>
      </c>
      <c r="H5807" s="7" t="str">
        <f t="shared" si="2118"/>
        <v>棚卸以外</v>
      </c>
      <c r="I5807" s="7">
        <v>73</v>
      </c>
      <c r="J5807" s="7" t="str">
        <f>"特別実験室"</f>
        <v>特別実験室</v>
      </c>
      <c r="K5807" s="7" t="str">
        <f>"レンガ、石積造"</f>
        <v>レンガ、石積造</v>
      </c>
      <c r="L5807" s="7" t="str">
        <f>"S33.09.08"</f>
        <v>S33.09.08</v>
      </c>
      <c r="M5807" s="7">
        <v>33.049999999999997</v>
      </c>
      <c r="N5807" s="7">
        <v>1622120</v>
      </c>
      <c r="O5807" s="7">
        <v>1374874</v>
      </c>
      <c r="P5807" s="7">
        <v>0</v>
      </c>
      <c r="Q5807" s="7" t="str">
        <f t="shared" si="2127"/>
        <v>教育庁</v>
      </c>
      <c r="R5807" s="7" t="str">
        <f t="shared" si="2131"/>
        <v>農芸高等学校</v>
      </c>
    </row>
    <row r="5808" spans="1:18" s="1" customFormat="1" x14ac:dyDescent="0.45">
      <c r="A5808" s="7" t="str">
        <f t="shared" si="2128"/>
        <v>10471000000</v>
      </c>
      <c r="B5808" s="7" t="str">
        <f t="shared" si="2129"/>
        <v>農芸高等学校</v>
      </c>
      <c r="C5808" s="7" t="str">
        <f t="shared" si="2120"/>
        <v>行政財産</v>
      </c>
      <c r="D5808" s="7" t="str">
        <f t="shared" si="2116"/>
        <v>学校</v>
      </c>
      <c r="E5808" s="7" t="str">
        <f t="shared" si="2130"/>
        <v>大阪府堺市　美原区北余部</v>
      </c>
      <c r="F5808" s="7"/>
      <c r="G5808" s="7" t="str">
        <f t="shared" si="2126"/>
        <v>事業用資産</v>
      </c>
      <c r="H5808" s="7" t="str">
        <f t="shared" si="2118"/>
        <v>棚卸以外</v>
      </c>
      <c r="I5808" s="7">
        <v>74</v>
      </c>
      <c r="J5808" s="7" t="str">
        <f>"実習解体室"</f>
        <v>実習解体室</v>
      </c>
      <c r="K5808" s="7" t="str">
        <f>"鉄骨造"</f>
        <v>鉄骨造</v>
      </c>
      <c r="L5808" s="7" t="str">
        <f>"S40.03.27"</f>
        <v>S40.03.27</v>
      </c>
      <c r="M5808" s="7">
        <v>97.22</v>
      </c>
      <c r="N5808" s="7">
        <v>2141328</v>
      </c>
      <c r="O5808" s="7">
        <v>2141327</v>
      </c>
      <c r="P5808" s="7">
        <v>0</v>
      </c>
      <c r="Q5808" s="7" t="str">
        <f t="shared" si="2127"/>
        <v>教育庁</v>
      </c>
      <c r="R5808" s="7" t="str">
        <f t="shared" si="2131"/>
        <v>農芸高等学校</v>
      </c>
    </row>
    <row r="5809" spans="1:18" s="1" customFormat="1" x14ac:dyDescent="0.45">
      <c r="A5809" s="7" t="str">
        <f t="shared" si="2128"/>
        <v>10471000000</v>
      </c>
      <c r="B5809" s="7" t="str">
        <f t="shared" si="2129"/>
        <v>農芸高等学校</v>
      </c>
      <c r="C5809" s="7" t="str">
        <f t="shared" si="2120"/>
        <v>行政財産</v>
      </c>
      <c r="D5809" s="7" t="str">
        <f t="shared" si="2116"/>
        <v>学校</v>
      </c>
      <c r="E5809" s="7" t="str">
        <f t="shared" si="2130"/>
        <v>大阪府堺市　美原区北余部</v>
      </c>
      <c r="F5809" s="7"/>
      <c r="G5809" s="7" t="str">
        <f t="shared" si="2126"/>
        <v>事業用資産</v>
      </c>
      <c r="H5809" s="7" t="str">
        <f t="shared" si="2118"/>
        <v>棚卸以外</v>
      </c>
      <c r="I5809" s="7">
        <v>75</v>
      </c>
      <c r="J5809" s="7" t="str">
        <f>"ゲージ鶏舎"</f>
        <v>ゲージ鶏舎</v>
      </c>
      <c r="K5809" s="7" t="str">
        <f>"鉄骨造"</f>
        <v>鉄骨造</v>
      </c>
      <c r="L5809" s="7" t="str">
        <f>"S40.03.27"</f>
        <v>S40.03.27</v>
      </c>
      <c r="M5809" s="7">
        <v>173.61</v>
      </c>
      <c r="N5809" s="7">
        <v>1348672</v>
      </c>
      <c r="O5809" s="7">
        <v>1348671</v>
      </c>
      <c r="P5809" s="7">
        <v>0</v>
      </c>
      <c r="Q5809" s="7" t="str">
        <f t="shared" si="2127"/>
        <v>教育庁</v>
      </c>
      <c r="R5809" s="7" t="str">
        <f t="shared" si="2131"/>
        <v>農芸高等学校</v>
      </c>
    </row>
    <row r="5810" spans="1:18" s="1" customFormat="1" x14ac:dyDescent="0.45">
      <c r="A5810" s="7" t="str">
        <f t="shared" si="2128"/>
        <v>10471000000</v>
      </c>
      <c r="B5810" s="7" t="str">
        <f t="shared" si="2129"/>
        <v>農芸高等学校</v>
      </c>
      <c r="C5810" s="7" t="str">
        <f t="shared" si="2120"/>
        <v>行政財産</v>
      </c>
      <c r="D5810" s="7" t="str">
        <f t="shared" si="2116"/>
        <v>学校</v>
      </c>
      <c r="E5810" s="7" t="str">
        <f t="shared" si="2130"/>
        <v>大阪府堺市　美原区北余部</v>
      </c>
      <c r="F5810" s="7"/>
      <c r="G5810" s="7" t="str">
        <f t="shared" si="2126"/>
        <v>事業用資産</v>
      </c>
      <c r="H5810" s="7" t="str">
        <f t="shared" si="2118"/>
        <v>棚卸以外</v>
      </c>
      <c r="I5810" s="7">
        <v>77</v>
      </c>
      <c r="J5810" s="7" t="str">
        <f>"ブドウ温室（１）"</f>
        <v>ブドウ温室（１）</v>
      </c>
      <c r="K5810" s="7" t="str">
        <f t="shared" ref="K5810:K5819" si="2132">"軽量鉄骨造"</f>
        <v>軽量鉄骨造</v>
      </c>
      <c r="L5810" s="7" t="str">
        <f t="shared" ref="L5810:L5815" si="2133">"S41.03.28"</f>
        <v>S41.03.28</v>
      </c>
      <c r="M5810" s="7">
        <v>99.39</v>
      </c>
      <c r="N5810" s="7">
        <v>2549000</v>
      </c>
      <c r="O5810" s="7">
        <v>1951793</v>
      </c>
      <c r="P5810" s="7">
        <v>0</v>
      </c>
      <c r="Q5810" s="7" t="str">
        <f t="shared" si="2127"/>
        <v>教育庁</v>
      </c>
      <c r="R5810" s="7" t="str">
        <f t="shared" si="2131"/>
        <v>農芸高等学校</v>
      </c>
    </row>
    <row r="5811" spans="1:18" s="1" customFormat="1" x14ac:dyDescent="0.45">
      <c r="A5811" s="7" t="str">
        <f t="shared" si="2128"/>
        <v>10471000000</v>
      </c>
      <c r="B5811" s="7" t="str">
        <f t="shared" si="2129"/>
        <v>農芸高等学校</v>
      </c>
      <c r="C5811" s="7" t="str">
        <f t="shared" si="2120"/>
        <v>行政財産</v>
      </c>
      <c r="D5811" s="7" t="str">
        <f t="shared" si="2116"/>
        <v>学校</v>
      </c>
      <c r="E5811" s="7" t="str">
        <f t="shared" si="2130"/>
        <v>大阪府堺市　美原区北余部</v>
      </c>
      <c r="F5811" s="7"/>
      <c r="G5811" s="7" t="str">
        <f t="shared" si="2126"/>
        <v>事業用資産</v>
      </c>
      <c r="H5811" s="7" t="str">
        <f t="shared" si="2118"/>
        <v>棚卸以外</v>
      </c>
      <c r="I5811" s="7">
        <v>78</v>
      </c>
      <c r="J5811" s="7" t="str">
        <f>"ブドウ温室（２）"</f>
        <v>ブドウ温室（２）</v>
      </c>
      <c r="K5811" s="7" t="str">
        <f t="shared" si="2132"/>
        <v>軽量鉄骨造</v>
      </c>
      <c r="L5811" s="7" t="str">
        <f t="shared" si="2133"/>
        <v>S41.03.28</v>
      </c>
      <c r="M5811" s="7">
        <v>99.39</v>
      </c>
      <c r="N5811" s="7">
        <v>1749000</v>
      </c>
      <c r="O5811" s="7">
        <v>1748999</v>
      </c>
      <c r="P5811" s="7">
        <v>0</v>
      </c>
      <c r="Q5811" s="7" t="str">
        <f t="shared" si="2127"/>
        <v>教育庁</v>
      </c>
      <c r="R5811" s="7" t="str">
        <f t="shared" si="2131"/>
        <v>農芸高等学校</v>
      </c>
    </row>
    <row r="5812" spans="1:18" s="1" customFormat="1" x14ac:dyDescent="0.45">
      <c r="A5812" s="7" t="str">
        <f t="shared" si="2128"/>
        <v>10471000000</v>
      </c>
      <c r="B5812" s="7" t="str">
        <f t="shared" si="2129"/>
        <v>農芸高等学校</v>
      </c>
      <c r="C5812" s="7" t="str">
        <f t="shared" si="2120"/>
        <v>行政財産</v>
      </c>
      <c r="D5812" s="7" t="str">
        <f t="shared" si="2116"/>
        <v>学校</v>
      </c>
      <c r="E5812" s="7" t="str">
        <f t="shared" si="2130"/>
        <v>大阪府堺市　美原区北余部</v>
      </c>
      <c r="F5812" s="7"/>
      <c r="G5812" s="7" t="str">
        <f t="shared" si="2126"/>
        <v>事業用資産</v>
      </c>
      <c r="H5812" s="7" t="str">
        <f t="shared" si="2118"/>
        <v>棚卸以外</v>
      </c>
      <c r="I5812" s="7">
        <v>79</v>
      </c>
      <c r="J5812" s="7" t="str">
        <f>"鉢物温室"</f>
        <v>鉢物温室</v>
      </c>
      <c r="K5812" s="7" t="str">
        <f t="shared" si="2132"/>
        <v>軽量鉄骨造</v>
      </c>
      <c r="L5812" s="7" t="str">
        <f t="shared" si="2133"/>
        <v>S41.03.28</v>
      </c>
      <c r="M5812" s="7">
        <v>100.14</v>
      </c>
      <c r="N5812" s="7">
        <v>1688000</v>
      </c>
      <c r="O5812" s="7">
        <v>1687999</v>
      </c>
      <c r="P5812" s="7">
        <v>0</v>
      </c>
      <c r="Q5812" s="7" t="str">
        <f t="shared" si="2127"/>
        <v>教育庁</v>
      </c>
      <c r="R5812" s="7" t="str">
        <f t="shared" si="2131"/>
        <v>農芸高等学校</v>
      </c>
    </row>
    <row r="5813" spans="1:18" s="1" customFormat="1" x14ac:dyDescent="0.45">
      <c r="A5813" s="7" t="str">
        <f t="shared" si="2128"/>
        <v>10471000000</v>
      </c>
      <c r="B5813" s="7" t="str">
        <f t="shared" si="2129"/>
        <v>農芸高等学校</v>
      </c>
      <c r="C5813" s="7" t="str">
        <f t="shared" si="2120"/>
        <v>行政財産</v>
      </c>
      <c r="D5813" s="7" t="str">
        <f t="shared" si="2116"/>
        <v>学校</v>
      </c>
      <c r="E5813" s="7" t="str">
        <f t="shared" si="2130"/>
        <v>大阪府堺市　美原区北余部</v>
      </c>
      <c r="F5813" s="7"/>
      <c r="G5813" s="7" t="str">
        <f t="shared" si="2126"/>
        <v>事業用資産</v>
      </c>
      <c r="H5813" s="7" t="str">
        <f t="shared" si="2118"/>
        <v>棚卸以外</v>
      </c>
      <c r="I5813" s="7">
        <v>80</v>
      </c>
      <c r="J5813" s="7" t="str">
        <f>"ラン温室"</f>
        <v>ラン温室</v>
      </c>
      <c r="K5813" s="7" t="str">
        <f t="shared" si="2132"/>
        <v>軽量鉄骨造</v>
      </c>
      <c r="L5813" s="7" t="str">
        <f t="shared" si="2133"/>
        <v>S41.03.28</v>
      </c>
      <c r="M5813" s="7">
        <v>47.18</v>
      </c>
      <c r="N5813" s="7">
        <v>926000</v>
      </c>
      <c r="O5813" s="7">
        <v>925999</v>
      </c>
      <c r="P5813" s="7">
        <v>0</v>
      </c>
      <c r="Q5813" s="7" t="str">
        <f t="shared" si="2127"/>
        <v>教育庁</v>
      </c>
      <c r="R5813" s="7" t="str">
        <f t="shared" si="2131"/>
        <v>農芸高等学校</v>
      </c>
    </row>
    <row r="5814" spans="1:18" s="1" customFormat="1" x14ac:dyDescent="0.45">
      <c r="A5814" s="7" t="str">
        <f t="shared" si="2128"/>
        <v>10471000000</v>
      </c>
      <c r="B5814" s="7" t="str">
        <f t="shared" si="2129"/>
        <v>農芸高等学校</v>
      </c>
      <c r="C5814" s="7" t="str">
        <f t="shared" si="2120"/>
        <v>行政財産</v>
      </c>
      <c r="D5814" s="7" t="str">
        <f t="shared" si="2116"/>
        <v>学校</v>
      </c>
      <c r="E5814" s="7" t="str">
        <f t="shared" si="2130"/>
        <v>大阪府堺市　美原区北余部</v>
      </c>
      <c r="F5814" s="7"/>
      <c r="G5814" s="7" t="str">
        <f t="shared" si="2126"/>
        <v>事業用資産</v>
      </c>
      <c r="H5814" s="7" t="str">
        <f t="shared" si="2118"/>
        <v>棚卸以外</v>
      </c>
      <c r="I5814" s="7">
        <v>81</v>
      </c>
      <c r="J5814" s="7" t="str">
        <f>"農場便所"</f>
        <v>農場便所</v>
      </c>
      <c r="K5814" s="7" t="str">
        <f t="shared" si="2132"/>
        <v>軽量鉄骨造</v>
      </c>
      <c r="L5814" s="7" t="str">
        <f t="shared" si="2133"/>
        <v>S41.03.28</v>
      </c>
      <c r="M5814" s="7">
        <v>24.43</v>
      </c>
      <c r="N5814" s="7">
        <v>5941000</v>
      </c>
      <c r="O5814" s="7">
        <v>4438761</v>
      </c>
      <c r="P5814" s="7">
        <v>0</v>
      </c>
      <c r="Q5814" s="7" t="str">
        <f t="shared" si="2127"/>
        <v>教育庁</v>
      </c>
      <c r="R5814" s="7" t="str">
        <f t="shared" si="2131"/>
        <v>農芸高等学校</v>
      </c>
    </row>
    <row r="5815" spans="1:18" s="1" customFormat="1" x14ac:dyDescent="0.45">
      <c r="A5815" s="7" t="str">
        <f t="shared" si="2128"/>
        <v>10471000000</v>
      </c>
      <c r="B5815" s="7" t="str">
        <f t="shared" si="2129"/>
        <v>農芸高等学校</v>
      </c>
      <c r="C5815" s="7" t="str">
        <f t="shared" si="2120"/>
        <v>行政財産</v>
      </c>
      <c r="D5815" s="7" t="str">
        <f t="shared" si="2116"/>
        <v>学校</v>
      </c>
      <c r="E5815" s="7" t="str">
        <f t="shared" si="2130"/>
        <v>大阪府堺市　美原区北余部</v>
      </c>
      <c r="F5815" s="7"/>
      <c r="G5815" s="7" t="str">
        <f t="shared" si="2126"/>
        <v>事業用資産</v>
      </c>
      <c r="H5815" s="7" t="str">
        <f t="shared" si="2118"/>
        <v>棚卸以外</v>
      </c>
      <c r="I5815" s="7">
        <v>82</v>
      </c>
      <c r="J5815" s="7" t="str">
        <f>"礫耕温室"</f>
        <v>礫耕温室</v>
      </c>
      <c r="K5815" s="7" t="str">
        <f t="shared" si="2132"/>
        <v>軽量鉄骨造</v>
      </c>
      <c r="L5815" s="7" t="str">
        <f t="shared" si="2133"/>
        <v>S41.03.28</v>
      </c>
      <c r="M5815" s="7">
        <v>100.14</v>
      </c>
      <c r="N5815" s="7">
        <v>1913000</v>
      </c>
      <c r="O5815" s="7">
        <v>1912999</v>
      </c>
      <c r="P5815" s="7">
        <v>0</v>
      </c>
      <c r="Q5815" s="7" t="str">
        <f t="shared" si="2127"/>
        <v>教育庁</v>
      </c>
      <c r="R5815" s="7" t="str">
        <f t="shared" si="2131"/>
        <v>農芸高等学校</v>
      </c>
    </row>
    <row r="5816" spans="1:18" s="1" customFormat="1" x14ac:dyDescent="0.45">
      <c r="A5816" s="7" t="str">
        <f t="shared" si="2128"/>
        <v>10471000000</v>
      </c>
      <c r="B5816" s="7" t="str">
        <f t="shared" si="2129"/>
        <v>農芸高等学校</v>
      </c>
      <c r="C5816" s="7" t="str">
        <f t="shared" si="2120"/>
        <v>行政財産</v>
      </c>
      <c r="D5816" s="7" t="str">
        <f t="shared" si="2116"/>
        <v>学校</v>
      </c>
      <c r="E5816" s="7" t="str">
        <f t="shared" si="2130"/>
        <v>大阪府堺市　美原区北余部</v>
      </c>
      <c r="F5816" s="7"/>
      <c r="G5816" s="7" t="str">
        <f t="shared" si="2126"/>
        <v>事業用資産</v>
      </c>
      <c r="H5816" s="7" t="str">
        <f t="shared" si="2118"/>
        <v>棚卸以外</v>
      </c>
      <c r="I5816" s="7">
        <v>83</v>
      </c>
      <c r="J5816" s="7" t="str">
        <f>"ミスト温室"</f>
        <v>ミスト温室</v>
      </c>
      <c r="K5816" s="7" t="str">
        <f t="shared" si="2132"/>
        <v>軽量鉄骨造</v>
      </c>
      <c r="L5816" s="7" t="str">
        <f>"S42.03.28"</f>
        <v>S42.03.28</v>
      </c>
      <c r="M5816" s="7">
        <v>32.9</v>
      </c>
      <c r="N5816" s="7">
        <v>913000</v>
      </c>
      <c r="O5816" s="7">
        <v>912999</v>
      </c>
      <c r="P5816" s="7">
        <v>0</v>
      </c>
      <c r="Q5816" s="7" t="str">
        <f t="shared" si="2127"/>
        <v>教育庁</v>
      </c>
      <c r="R5816" s="7" t="str">
        <f t="shared" si="2131"/>
        <v>農芸高等学校</v>
      </c>
    </row>
    <row r="5817" spans="1:18" s="1" customFormat="1" x14ac:dyDescent="0.45">
      <c r="A5817" s="7" t="str">
        <f t="shared" si="2128"/>
        <v>10471000000</v>
      </c>
      <c r="B5817" s="7" t="str">
        <f t="shared" si="2129"/>
        <v>農芸高等学校</v>
      </c>
      <c r="C5817" s="7" t="str">
        <f t="shared" si="2120"/>
        <v>行政財産</v>
      </c>
      <c r="D5817" s="7" t="str">
        <f t="shared" ref="D5817:D5880" si="2134">"学校"</f>
        <v>学校</v>
      </c>
      <c r="E5817" s="7" t="str">
        <f t="shared" si="2130"/>
        <v>大阪府堺市　美原区北余部</v>
      </c>
      <c r="F5817" s="7"/>
      <c r="G5817" s="7" t="str">
        <f t="shared" si="2126"/>
        <v>事業用資産</v>
      </c>
      <c r="H5817" s="7" t="str">
        <f t="shared" si="2118"/>
        <v>棚卸以外</v>
      </c>
      <c r="I5817" s="7">
        <v>84</v>
      </c>
      <c r="J5817" s="7" t="str">
        <f>"農芸管理室"</f>
        <v>農芸管理室</v>
      </c>
      <c r="K5817" s="7" t="str">
        <f t="shared" si="2132"/>
        <v>軽量鉄骨造</v>
      </c>
      <c r="L5817" s="7" t="str">
        <f>"S42.03.28"</f>
        <v>S42.03.28</v>
      </c>
      <c r="M5817" s="7">
        <v>32.200000000000003</v>
      </c>
      <c r="N5817" s="7">
        <v>1215351</v>
      </c>
      <c r="O5817" s="7">
        <v>1142877</v>
      </c>
      <c r="P5817" s="7">
        <v>0</v>
      </c>
      <c r="Q5817" s="7" t="str">
        <f t="shared" si="2127"/>
        <v>教育庁</v>
      </c>
      <c r="R5817" s="7" t="str">
        <f t="shared" si="2131"/>
        <v>農芸高等学校</v>
      </c>
    </row>
    <row r="5818" spans="1:18" s="1" customFormat="1" x14ac:dyDescent="0.45">
      <c r="A5818" s="7" t="str">
        <f t="shared" si="2128"/>
        <v>10471000000</v>
      </c>
      <c r="B5818" s="7" t="str">
        <f t="shared" si="2129"/>
        <v>農芸高等学校</v>
      </c>
      <c r="C5818" s="7" t="str">
        <f t="shared" si="2120"/>
        <v>行政財産</v>
      </c>
      <c r="D5818" s="7" t="str">
        <f t="shared" si="2134"/>
        <v>学校</v>
      </c>
      <c r="E5818" s="7" t="str">
        <f t="shared" si="2130"/>
        <v>大阪府堺市　美原区北余部</v>
      </c>
      <c r="F5818" s="7"/>
      <c r="G5818" s="7" t="str">
        <f t="shared" si="2126"/>
        <v>事業用資産</v>
      </c>
      <c r="H5818" s="7" t="str">
        <f t="shared" si="2118"/>
        <v>棚卸以外</v>
      </c>
      <c r="I5818" s="7">
        <v>85</v>
      </c>
      <c r="J5818" s="7" t="str">
        <f>"メロン温室"</f>
        <v>メロン温室</v>
      </c>
      <c r="K5818" s="7" t="str">
        <f t="shared" si="2132"/>
        <v>軽量鉄骨造</v>
      </c>
      <c r="L5818" s="7" t="str">
        <f>"S42.03.28"</f>
        <v>S42.03.28</v>
      </c>
      <c r="M5818" s="7">
        <v>100.15</v>
      </c>
      <c r="N5818" s="7">
        <v>2544000</v>
      </c>
      <c r="O5818" s="7">
        <v>2543999</v>
      </c>
      <c r="P5818" s="7">
        <v>0</v>
      </c>
      <c r="Q5818" s="7" t="str">
        <f t="shared" si="2127"/>
        <v>教育庁</v>
      </c>
      <c r="R5818" s="7" t="str">
        <f t="shared" si="2131"/>
        <v>農芸高等学校</v>
      </c>
    </row>
    <row r="5819" spans="1:18" s="1" customFormat="1" x14ac:dyDescent="0.45">
      <c r="A5819" s="7" t="str">
        <f t="shared" si="2128"/>
        <v>10471000000</v>
      </c>
      <c r="B5819" s="7" t="str">
        <f t="shared" si="2129"/>
        <v>農芸高等学校</v>
      </c>
      <c r="C5819" s="7" t="str">
        <f t="shared" si="2120"/>
        <v>行政財産</v>
      </c>
      <c r="D5819" s="7" t="str">
        <f t="shared" si="2134"/>
        <v>学校</v>
      </c>
      <c r="E5819" s="7" t="str">
        <f t="shared" si="2130"/>
        <v>大阪府堺市　美原区北余部</v>
      </c>
      <c r="F5819" s="7"/>
      <c r="G5819" s="7" t="str">
        <f t="shared" si="2126"/>
        <v>事業用資産</v>
      </c>
      <c r="H5819" s="7" t="str">
        <f t="shared" si="2118"/>
        <v>棚卸以外</v>
      </c>
      <c r="I5819" s="7">
        <v>86</v>
      </c>
      <c r="J5819" s="7" t="str">
        <f>"切花温室"</f>
        <v>切花温室</v>
      </c>
      <c r="K5819" s="7" t="str">
        <f t="shared" si="2132"/>
        <v>軽量鉄骨造</v>
      </c>
      <c r="L5819" s="7" t="str">
        <f>"S42.03.28"</f>
        <v>S42.03.28</v>
      </c>
      <c r="M5819" s="7">
        <v>196.99</v>
      </c>
      <c r="N5819" s="7">
        <v>6312000</v>
      </c>
      <c r="O5819" s="7">
        <v>4474503</v>
      </c>
      <c r="P5819" s="7">
        <v>0</v>
      </c>
      <c r="Q5819" s="7" t="str">
        <f t="shared" si="2127"/>
        <v>教育庁</v>
      </c>
      <c r="R5819" s="7" t="str">
        <f t="shared" si="2131"/>
        <v>農芸高等学校</v>
      </c>
    </row>
    <row r="5820" spans="1:18" s="1" customFormat="1" x14ac:dyDescent="0.45">
      <c r="A5820" s="7" t="str">
        <f t="shared" si="2128"/>
        <v>10471000000</v>
      </c>
      <c r="B5820" s="7" t="str">
        <f t="shared" si="2129"/>
        <v>農芸高等学校</v>
      </c>
      <c r="C5820" s="7" t="str">
        <f t="shared" si="2120"/>
        <v>行政財産</v>
      </c>
      <c r="D5820" s="7" t="str">
        <f t="shared" si="2134"/>
        <v>学校</v>
      </c>
      <c r="E5820" s="7" t="str">
        <f t="shared" si="2130"/>
        <v>大阪府堺市　美原区北余部</v>
      </c>
      <c r="F5820" s="7"/>
      <c r="G5820" s="7" t="str">
        <f t="shared" si="2126"/>
        <v>事業用資産</v>
      </c>
      <c r="H5820" s="7" t="str">
        <f t="shared" si="2118"/>
        <v>棚卸以外</v>
      </c>
      <c r="I5820" s="7">
        <v>87</v>
      </c>
      <c r="J5820" s="7" t="str">
        <f>"倉庫"</f>
        <v>倉庫</v>
      </c>
      <c r="K5820" s="7" t="str">
        <f>"コンクリートブロック造"</f>
        <v>コンクリートブロック造</v>
      </c>
      <c r="L5820" s="7" t="str">
        <f>"S41.03.28"</f>
        <v>S41.03.28</v>
      </c>
      <c r="M5820" s="7">
        <v>30</v>
      </c>
      <c r="N5820" s="7">
        <v>552000</v>
      </c>
      <c r="O5820" s="7">
        <v>551999</v>
      </c>
      <c r="P5820" s="7">
        <v>0</v>
      </c>
      <c r="Q5820" s="7" t="str">
        <f t="shared" si="2127"/>
        <v>教育庁</v>
      </c>
      <c r="R5820" s="7" t="str">
        <f t="shared" si="2131"/>
        <v>農芸高等学校</v>
      </c>
    </row>
    <row r="5821" spans="1:18" s="1" customFormat="1" x14ac:dyDescent="0.45">
      <c r="A5821" s="7" t="str">
        <f t="shared" si="2128"/>
        <v>10471000000</v>
      </c>
      <c r="B5821" s="7" t="str">
        <f t="shared" si="2129"/>
        <v>農芸高等学校</v>
      </c>
      <c r="C5821" s="7" t="str">
        <f t="shared" si="2120"/>
        <v>行政財産</v>
      </c>
      <c r="D5821" s="7" t="str">
        <f t="shared" si="2134"/>
        <v>学校</v>
      </c>
      <c r="E5821" s="7" t="str">
        <f t="shared" si="2130"/>
        <v>大阪府堺市　美原区北余部</v>
      </c>
      <c r="F5821" s="7"/>
      <c r="G5821" s="7" t="str">
        <f t="shared" si="2126"/>
        <v>事業用資産</v>
      </c>
      <c r="H5821" s="7" t="str">
        <f t="shared" si="2118"/>
        <v>棚卸以外</v>
      </c>
      <c r="I5821" s="7">
        <v>88</v>
      </c>
      <c r="J5821" s="7" t="str">
        <f>"図書館・記念館"</f>
        <v>図書館・記念館</v>
      </c>
      <c r="K5821" s="7" t="str">
        <f>"鉄筋コンクリート造"</f>
        <v>鉄筋コンクリート造</v>
      </c>
      <c r="L5821" s="7" t="str">
        <f>"S43.02.20"</f>
        <v>S43.02.20</v>
      </c>
      <c r="M5821" s="7">
        <v>449.92</v>
      </c>
      <c r="N5821" s="7">
        <v>34337686</v>
      </c>
      <c r="O5821" s="7">
        <v>21216591</v>
      </c>
      <c r="P5821" s="7">
        <v>0</v>
      </c>
      <c r="Q5821" s="7" t="str">
        <f t="shared" si="2127"/>
        <v>教育庁</v>
      </c>
      <c r="R5821" s="7" t="str">
        <f t="shared" si="2131"/>
        <v>農芸高等学校</v>
      </c>
    </row>
    <row r="5822" spans="1:18" s="1" customFormat="1" x14ac:dyDescent="0.45">
      <c r="A5822" s="7" t="str">
        <f t="shared" si="2128"/>
        <v>10471000000</v>
      </c>
      <c r="B5822" s="7" t="str">
        <f t="shared" si="2129"/>
        <v>農芸高等学校</v>
      </c>
      <c r="C5822" s="7" t="str">
        <f t="shared" si="2120"/>
        <v>行政財産</v>
      </c>
      <c r="D5822" s="7" t="str">
        <f t="shared" si="2134"/>
        <v>学校</v>
      </c>
      <c r="E5822" s="7" t="str">
        <f t="shared" si="2130"/>
        <v>大阪府堺市　美原区北余部</v>
      </c>
      <c r="F5822" s="7"/>
      <c r="G5822" s="7" t="str">
        <f t="shared" si="2126"/>
        <v>事業用資産</v>
      </c>
      <c r="H5822" s="7" t="str">
        <f t="shared" si="2118"/>
        <v>棚卸以外</v>
      </c>
      <c r="I5822" s="7">
        <v>89</v>
      </c>
      <c r="J5822" s="7" t="str">
        <f>"鶏舎ボイラ室"</f>
        <v>鶏舎ボイラ室</v>
      </c>
      <c r="K5822" s="7" t="str">
        <f>"コンクリートブロック造"</f>
        <v>コンクリートブロック造</v>
      </c>
      <c r="L5822" s="7" t="str">
        <f>"S42.05.12"</f>
        <v>S42.05.12</v>
      </c>
      <c r="M5822" s="7">
        <v>5.7</v>
      </c>
      <c r="N5822" s="7">
        <v>622000</v>
      </c>
      <c r="O5822" s="7">
        <v>621999</v>
      </c>
      <c r="P5822" s="7">
        <v>0</v>
      </c>
      <c r="Q5822" s="7" t="str">
        <f t="shared" si="2127"/>
        <v>教育庁</v>
      </c>
      <c r="R5822" s="7" t="str">
        <f t="shared" si="2131"/>
        <v>農芸高等学校</v>
      </c>
    </row>
    <row r="5823" spans="1:18" s="1" customFormat="1" x14ac:dyDescent="0.45">
      <c r="A5823" s="7" t="str">
        <f t="shared" si="2128"/>
        <v>10471000000</v>
      </c>
      <c r="B5823" s="7" t="str">
        <f t="shared" si="2129"/>
        <v>農芸高等学校</v>
      </c>
      <c r="C5823" s="7" t="str">
        <f t="shared" si="2120"/>
        <v>行政財産</v>
      </c>
      <c r="D5823" s="7" t="str">
        <f t="shared" si="2134"/>
        <v>学校</v>
      </c>
      <c r="E5823" s="7" t="str">
        <f t="shared" si="2130"/>
        <v>大阪府堺市　美原区北余部</v>
      </c>
      <c r="F5823" s="7"/>
      <c r="G5823" s="7" t="str">
        <f t="shared" si="2126"/>
        <v>事業用資産</v>
      </c>
      <c r="H5823" s="7" t="str">
        <f t="shared" si="2118"/>
        <v>棚卸以外</v>
      </c>
      <c r="I5823" s="7">
        <v>92</v>
      </c>
      <c r="J5823" s="7" t="str">
        <f>"実験実習棟"</f>
        <v>実験実習棟</v>
      </c>
      <c r="K5823" s="7" t="str">
        <f t="shared" ref="K5823:K5833" si="2135">"鉄筋コンクリート造"</f>
        <v>鉄筋コンクリート造</v>
      </c>
      <c r="L5823" s="7" t="str">
        <f>"S45.03.04"</f>
        <v>S45.03.04</v>
      </c>
      <c r="M5823" s="7">
        <v>4966.3999999999996</v>
      </c>
      <c r="N5823" s="7">
        <v>144717715</v>
      </c>
      <c r="O5823" s="7">
        <v>101475805</v>
      </c>
      <c r="P5823" s="7">
        <v>0</v>
      </c>
      <c r="Q5823" s="7" t="str">
        <f t="shared" si="2127"/>
        <v>教育庁</v>
      </c>
      <c r="R5823" s="7" t="str">
        <f t="shared" si="2131"/>
        <v>農芸高等学校</v>
      </c>
    </row>
    <row r="5824" spans="1:18" s="1" customFormat="1" x14ac:dyDescent="0.45">
      <c r="A5824" s="7" t="str">
        <f t="shared" si="2128"/>
        <v>10471000000</v>
      </c>
      <c r="B5824" s="7" t="str">
        <f t="shared" si="2129"/>
        <v>農芸高等学校</v>
      </c>
      <c r="C5824" s="7" t="str">
        <f t="shared" si="2120"/>
        <v>行政財産</v>
      </c>
      <c r="D5824" s="7" t="str">
        <f t="shared" si="2134"/>
        <v>学校</v>
      </c>
      <c r="E5824" s="7" t="str">
        <f t="shared" si="2130"/>
        <v>大阪府堺市　美原区北余部</v>
      </c>
      <c r="F5824" s="7"/>
      <c r="G5824" s="7" t="str">
        <f t="shared" si="2126"/>
        <v>事業用資産</v>
      </c>
      <c r="H5824" s="7" t="str">
        <f t="shared" si="2118"/>
        <v>棚卸以外</v>
      </c>
      <c r="I5824" s="7">
        <v>93</v>
      </c>
      <c r="J5824" s="7" t="str">
        <f>"豚舎"</f>
        <v>豚舎</v>
      </c>
      <c r="K5824" s="7" t="str">
        <f t="shared" si="2135"/>
        <v>鉄筋コンクリート造</v>
      </c>
      <c r="L5824" s="7" t="str">
        <f>"S45.03.23"</f>
        <v>S45.03.23</v>
      </c>
      <c r="M5824" s="7">
        <v>138.51</v>
      </c>
      <c r="N5824" s="7">
        <v>27759926</v>
      </c>
      <c r="O5824" s="7">
        <v>22133743</v>
      </c>
      <c r="P5824" s="7">
        <v>0</v>
      </c>
      <c r="Q5824" s="7" t="str">
        <f t="shared" si="2127"/>
        <v>教育庁</v>
      </c>
      <c r="R5824" s="7" t="str">
        <f t="shared" si="2131"/>
        <v>農芸高等学校</v>
      </c>
    </row>
    <row r="5825" spans="1:18" s="1" customFormat="1" x14ac:dyDescent="0.45">
      <c r="A5825" s="7" t="str">
        <f t="shared" si="2128"/>
        <v>10471000000</v>
      </c>
      <c r="B5825" s="7" t="str">
        <f t="shared" si="2129"/>
        <v>農芸高等学校</v>
      </c>
      <c r="C5825" s="7" t="str">
        <f t="shared" si="2120"/>
        <v>行政財産</v>
      </c>
      <c r="D5825" s="7" t="str">
        <f t="shared" si="2134"/>
        <v>学校</v>
      </c>
      <c r="E5825" s="7" t="str">
        <f t="shared" si="2130"/>
        <v>大阪府堺市　美原区北余部</v>
      </c>
      <c r="F5825" s="7"/>
      <c r="G5825" s="7" t="str">
        <f t="shared" si="2126"/>
        <v>事業用資産</v>
      </c>
      <c r="H5825" s="7" t="str">
        <f t="shared" si="2118"/>
        <v>棚卸以外</v>
      </c>
      <c r="I5825" s="7">
        <v>97</v>
      </c>
      <c r="J5825" s="7" t="str">
        <f>"畜産加工実習棟"</f>
        <v>畜産加工実習棟</v>
      </c>
      <c r="K5825" s="7" t="str">
        <f t="shared" si="2135"/>
        <v>鉄筋コンクリート造</v>
      </c>
      <c r="L5825" s="7" t="str">
        <f>"S47.11.04"</f>
        <v>S47.11.04</v>
      </c>
      <c r="M5825" s="7">
        <v>228</v>
      </c>
      <c r="N5825" s="7">
        <v>24719000</v>
      </c>
      <c r="O5825" s="7">
        <v>24718999</v>
      </c>
      <c r="P5825" s="7">
        <v>0</v>
      </c>
      <c r="Q5825" s="7" t="str">
        <f t="shared" si="2127"/>
        <v>教育庁</v>
      </c>
      <c r="R5825" s="7" t="str">
        <f t="shared" si="2131"/>
        <v>農芸高等学校</v>
      </c>
    </row>
    <row r="5826" spans="1:18" s="1" customFormat="1" x14ac:dyDescent="0.45">
      <c r="A5826" s="7" t="str">
        <f t="shared" si="2128"/>
        <v>10471000000</v>
      </c>
      <c r="B5826" s="7" t="str">
        <f t="shared" si="2129"/>
        <v>農芸高等学校</v>
      </c>
      <c r="C5826" s="7" t="str">
        <f t="shared" si="2120"/>
        <v>行政財産</v>
      </c>
      <c r="D5826" s="7" t="str">
        <f t="shared" si="2134"/>
        <v>学校</v>
      </c>
      <c r="E5826" s="7" t="str">
        <f t="shared" si="2130"/>
        <v>大阪府堺市　美原区北余部</v>
      </c>
      <c r="F5826" s="7"/>
      <c r="G5826" s="7" t="str">
        <f t="shared" si="2126"/>
        <v>事業用資産</v>
      </c>
      <c r="H5826" s="7" t="str">
        <f t="shared" si="2118"/>
        <v>棚卸以外</v>
      </c>
      <c r="I5826" s="7">
        <v>98</v>
      </c>
      <c r="J5826" s="7" t="str">
        <f>"本館"</f>
        <v>本館</v>
      </c>
      <c r="K5826" s="7" t="str">
        <f t="shared" si="2135"/>
        <v>鉄筋コンクリート造</v>
      </c>
      <c r="L5826" s="7" t="str">
        <f>"S47.06.30"</f>
        <v>S47.06.30</v>
      </c>
      <c r="M5826" s="7">
        <v>2648.21</v>
      </c>
      <c r="N5826" s="7">
        <v>221381603</v>
      </c>
      <c r="O5826" s="7">
        <v>173972310</v>
      </c>
      <c r="P5826" s="7">
        <v>0</v>
      </c>
      <c r="Q5826" s="7" t="str">
        <f t="shared" si="2127"/>
        <v>教育庁</v>
      </c>
      <c r="R5826" s="7" t="str">
        <f t="shared" si="2131"/>
        <v>農芸高等学校</v>
      </c>
    </row>
    <row r="5827" spans="1:18" s="1" customFormat="1" x14ac:dyDescent="0.45">
      <c r="A5827" s="7" t="str">
        <f t="shared" si="2128"/>
        <v>10471000000</v>
      </c>
      <c r="B5827" s="7" t="str">
        <f t="shared" si="2129"/>
        <v>農芸高等学校</v>
      </c>
      <c r="C5827" s="7" t="str">
        <f t="shared" si="2120"/>
        <v>行政財産</v>
      </c>
      <c r="D5827" s="7" t="str">
        <f t="shared" si="2134"/>
        <v>学校</v>
      </c>
      <c r="E5827" s="7" t="str">
        <f t="shared" si="2130"/>
        <v>大阪府堺市　美原区北余部</v>
      </c>
      <c r="F5827" s="7"/>
      <c r="G5827" s="7" t="str">
        <f t="shared" si="2126"/>
        <v>事業用資産</v>
      </c>
      <c r="H5827" s="7" t="str">
        <f t="shared" si="2118"/>
        <v>棚卸以外</v>
      </c>
      <c r="I5827" s="7">
        <v>99</v>
      </c>
      <c r="J5827" s="7" t="str">
        <f>"本館・鉄筋校舎渡り廊下"</f>
        <v>本館・鉄筋校舎渡り廊下</v>
      </c>
      <c r="K5827" s="7" t="str">
        <f t="shared" si="2135"/>
        <v>鉄筋コンクリート造</v>
      </c>
      <c r="L5827" s="7" t="str">
        <f>"S47.06.30"</f>
        <v>S47.06.30</v>
      </c>
      <c r="M5827" s="7">
        <v>51.38</v>
      </c>
      <c r="N5827" s="7">
        <v>4201000</v>
      </c>
      <c r="O5827" s="7">
        <v>4200999</v>
      </c>
      <c r="P5827" s="7">
        <v>0</v>
      </c>
      <c r="Q5827" s="7" t="str">
        <f t="shared" si="2127"/>
        <v>教育庁</v>
      </c>
      <c r="R5827" s="7" t="str">
        <f t="shared" si="2131"/>
        <v>農芸高等学校</v>
      </c>
    </row>
    <row r="5828" spans="1:18" s="1" customFormat="1" x14ac:dyDescent="0.45">
      <c r="A5828" s="7" t="str">
        <f t="shared" si="2128"/>
        <v>10471000000</v>
      </c>
      <c r="B5828" s="7" t="str">
        <f t="shared" si="2129"/>
        <v>農芸高等学校</v>
      </c>
      <c r="C5828" s="7" t="str">
        <f t="shared" si="2120"/>
        <v>行政財産</v>
      </c>
      <c r="D5828" s="7" t="str">
        <f t="shared" si="2134"/>
        <v>学校</v>
      </c>
      <c r="E5828" s="7" t="str">
        <f t="shared" si="2130"/>
        <v>大阪府堺市　美原区北余部</v>
      </c>
      <c r="F5828" s="7"/>
      <c r="G5828" s="7" t="str">
        <f t="shared" si="2126"/>
        <v>事業用資産</v>
      </c>
      <c r="H5828" s="7" t="str">
        <f t="shared" ref="H5828:H5891" si="2136">"棚卸以外"</f>
        <v>棚卸以外</v>
      </c>
      <c r="I5828" s="7">
        <v>100</v>
      </c>
      <c r="J5828" s="7" t="str">
        <f>"受水槽"</f>
        <v>受水槽</v>
      </c>
      <c r="K5828" s="7" t="str">
        <f t="shared" si="2135"/>
        <v>鉄筋コンクリート造</v>
      </c>
      <c r="L5828" s="7" t="str">
        <f>"S47.06.30"</f>
        <v>S47.06.30</v>
      </c>
      <c r="M5828" s="7">
        <v>32.25</v>
      </c>
      <c r="N5828" s="7">
        <v>1133000</v>
      </c>
      <c r="O5828" s="7">
        <v>1132999</v>
      </c>
      <c r="P5828" s="7">
        <v>0</v>
      </c>
      <c r="Q5828" s="7" t="str">
        <f t="shared" si="2127"/>
        <v>教育庁</v>
      </c>
      <c r="R5828" s="7" t="str">
        <f t="shared" si="2131"/>
        <v>農芸高等学校</v>
      </c>
    </row>
    <row r="5829" spans="1:18" s="1" customFormat="1" x14ac:dyDescent="0.45">
      <c r="A5829" s="7" t="str">
        <f t="shared" ref="A5829:A5860" si="2137">"10471000000"</f>
        <v>10471000000</v>
      </c>
      <c r="B5829" s="7" t="str">
        <f t="shared" ref="B5829:B5860" si="2138">"農芸高等学校"</f>
        <v>農芸高等学校</v>
      </c>
      <c r="C5829" s="7" t="str">
        <f t="shared" si="2120"/>
        <v>行政財産</v>
      </c>
      <c r="D5829" s="7" t="str">
        <f t="shared" si="2134"/>
        <v>学校</v>
      </c>
      <c r="E5829" s="7" t="str">
        <f t="shared" ref="E5829:E5860" si="2139">"大阪府堺市　美原区北余部"</f>
        <v>大阪府堺市　美原区北余部</v>
      </c>
      <c r="F5829" s="7"/>
      <c r="G5829" s="7" t="str">
        <f t="shared" si="2126"/>
        <v>事業用資産</v>
      </c>
      <c r="H5829" s="7" t="str">
        <f t="shared" si="2136"/>
        <v>棚卸以外</v>
      </c>
      <c r="I5829" s="7">
        <v>101</v>
      </c>
      <c r="J5829" s="7" t="str">
        <f>"動物用井水ポンプ室"</f>
        <v>動物用井水ポンプ室</v>
      </c>
      <c r="K5829" s="7" t="str">
        <f t="shared" si="2135"/>
        <v>鉄筋コンクリート造</v>
      </c>
      <c r="L5829" s="7" t="str">
        <f>"S47.06.30"</f>
        <v>S47.06.30</v>
      </c>
      <c r="M5829" s="7">
        <v>24.36</v>
      </c>
      <c r="N5829" s="7">
        <v>4874000</v>
      </c>
      <c r="O5829" s="7">
        <v>4187019</v>
      </c>
      <c r="P5829" s="7">
        <v>0</v>
      </c>
      <c r="Q5829" s="7" t="str">
        <f t="shared" si="2127"/>
        <v>教育庁</v>
      </c>
      <c r="R5829" s="7" t="str">
        <f t="shared" ref="R5829:R5860" si="2140">"農芸高等学校"</f>
        <v>農芸高等学校</v>
      </c>
    </row>
    <row r="5830" spans="1:18" s="1" customFormat="1" x14ac:dyDescent="0.45">
      <c r="A5830" s="7" t="str">
        <f t="shared" si="2137"/>
        <v>10471000000</v>
      </c>
      <c r="B5830" s="7" t="str">
        <f t="shared" si="2138"/>
        <v>農芸高等学校</v>
      </c>
      <c r="C5830" s="7" t="str">
        <f t="shared" si="2120"/>
        <v>行政財産</v>
      </c>
      <c r="D5830" s="7" t="str">
        <f t="shared" si="2134"/>
        <v>学校</v>
      </c>
      <c r="E5830" s="7" t="str">
        <f t="shared" si="2139"/>
        <v>大阪府堺市　美原区北余部</v>
      </c>
      <c r="F5830" s="7"/>
      <c r="G5830" s="7" t="str">
        <f t="shared" si="2126"/>
        <v>事業用資産</v>
      </c>
      <c r="H5830" s="7" t="str">
        <f t="shared" si="2136"/>
        <v>棚卸以外</v>
      </c>
      <c r="I5830" s="7">
        <v>102</v>
      </c>
      <c r="J5830" s="7" t="str">
        <f>"特別教室棟"</f>
        <v>特別教室棟</v>
      </c>
      <c r="K5830" s="7" t="str">
        <f t="shared" si="2135"/>
        <v>鉄筋コンクリート造</v>
      </c>
      <c r="L5830" s="7" t="str">
        <f>"S48.10.30"</f>
        <v>S48.10.30</v>
      </c>
      <c r="M5830" s="7">
        <v>5737.84</v>
      </c>
      <c r="N5830" s="7">
        <v>491906105</v>
      </c>
      <c r="O5830" s="7">
        <v>411235034</v>
      </c>
      <c r="P5830" s="7">
        <v>0</v>
      </c>
      <c r="Q5830" s="7" t="str">
        <f t="shared" si="2127"/>
        <v>教育庁</v>
      </c>
      <c r="R5830" s="7" t="str">
        <f t="shared" si="2140"/>
        <v>農芸高等学校</v>
      </c>
    </row>
    <row r="5831" spans="1:18" s="1" customFormat="1" x14ac:dyDescent="0.45">
      <c r="A5831" s="7" t="str">
        <f t="shared" si="2137"/>
        <v>10471000000</v>
      </c>
      <c r="B5831" s="7" t="str">
        <f t="shared" si="2138"/>
        <v>農芸高等学校</v>
      </c>
      <c r="C5831" s="7" t="str">
        <f t="shared" si="2120"/>
        <v>行政財産</v>
      </c>
      <c r="D5831" s="7" t="str">
        <f t="shared" si="2134"/>
        <v>学校</v>
      </c>
      <c r="E5831" s="7" t="str">
        <f t="shared" si="2139"/>
        <v>大阪府堺市　美原区北余部</v>
      </c>
      <c r="F5831" s="7"/>
      <c r="G5831" s="7" t="str">
        <f t="shared" si="2126"/>
        <v>事業用資産</v>
      </c>
      <c r="H5831" s="7" t="str">
        <f t="shared" si="2136"/>
        <v>棚卸以外</v>
      </c>
      <c r="I5831" s="7">
        <v>103</v>
      </c>
      <c r="J5831" s="7" t="str">
        <f>"特別教室棟・実習棟中渡り廊下"</f>
        <v>特別教室棟・実習棟中渡り廊下</v>
      </c>
      <c r="K5831" s="7" t="str">
        <f t="shared" si="2135"/>
        <v>鉄筋コンクリート造</v>
      </c>
      <c r="L5831" s="7" t="str">
        <f>"S48.10.30"</f>
        <v>S48.10.30</v>
      </c>
      <c r="M5831" s="7">
        <v>89.36</v>
      </c>
      <c r="N5831" s="7">
        <v>6504000</v>
      </c>
      <c r="O5831" s="7">
        <v>6503999</v>
      </c>
      <c r="P5831" s="7">
        <v>0</v>
      </c>
      <c r="Q5831" s="7" t="str">
        <f t="shared" si="2127"/>
        <v>教育庁</v>
      </c>
      <c r="R5831" s="7" t="str">
        <f t="shared" si="2140"/>
        <v>農芸高等学校</v>
      </c>
    </row>
    <row r="5832" spans="1:18" s="1" customFormat="1" x14ac:dyDescent="0.45">
      <c r="A5832" s="7" t="str">
        <f t="shared" si="2137"/>
        <v>10471000000</v>
      </c>
      <c r="B5832" s="7" t="str">
        <f t="shared" si="2138"/>
        <v>農芸高等学校</v>
      </c>
      <c r="C5832" s="7" t="str">
        <f t="shared" si="2120"/>
        <v>行政財産</v>
      </c>
      <c r="D5832" s="7" t="str">
        <f t="shared" si="2134"/>
        <v>学校</v>
      </c>
      <c r="E5832" s="7" t="str">
        <f t="shared" si="2139"/>
        <v>大阪府堺市　美原区北余部</v>
      </c>
      <c r="F5832" s="7"/>
      <c r="G5832" s="7" t="str">
        <f t="shared" si="2126"/>
        <v>事業用資産</v>
      </c>
      <c r="H5832" s="7" t="str">
        <f t="shared" si="2136"/>
        <v>棚卸以外</v>
      </c>
      <c r="I5832" s="7">
        <v>105</v>
      </c>
      <c r="J5832" s="7" t="str">
        <f>"体育館兼講堂"</f>
        <v>体育館兼講堂</v>
      </c>
      <c r="K5832" s="7" t="str">
        <f t="shared" si="2135"/>
        <v>鉄筋コンクリート造</v>
      </c>
      <c r="L5832" s="7" t="str">
        <f>"S50.01.31"</f>
        <v>S50.01.31</v>
      </c>
      <c r="M5832" s="7">
        <v>1018</v>
      </c>
      <c r="N5832" s="7">
        <v>119378229</v>
      </c>
      <c r="O5832" s="7">
        <v>110065992</v>
      </c>
      <c r="P5832" s="7">
        <v>0</v>
      </c>
      <c r="Q5832" s="7" t="str">
        <f t="shared" si="2127"/>
        <v>教育庁</v>
      </c>
      <c r="R5832" s="7" t="str">
        <f t="shared" si="2140"/>
        <v>農芸高等学校</v>
      </c>
    </row>
    <row r="5833" spans="1:18" s="1" customFormat="1" x14ac:dyDescent="0.45">
      <c r="A5833" s="7" t="str">
        <f t="shared" si="2137"/>
        <v>10471000000</v>
      </c>
      <c r="B5833" s="7" t="str">
        <f t="shared" si="2138"/>
        <v>農芸高等学校</v>
      </c>
      <c r="C5833" s="7" t="str">
        <f t="shared" si="2120"/>
        <v>行政財産</v>
      </c>
      <c r="D5833" s="7" t="str">
        <f t="shared" si="2134"/>
        <v>学校</v>
      </c>
      <c r="E5833" s="7" t="str">
        <f t="shared" si="2139"/>
        <v>大阪府堺市　美原区北余部</v>
      </c>
      <c r="F5833" s="7"/>
      <c r="G5833" s="7" t="str">
        <f t="shared" si="2126"/>
        <v>事業用資産</v>
      </c>
      <c r="H5833" s="7" t="str">
        <f t="shared" si="2136"/>
        <v>棚卸以外</v>
      </c>
      <c r="I5833" s="7">
        <v>107</v>
      </c>
      <c r="J5833" s="7" t="str">
        <f>"本館・特別教室棟中渡り廊下"</f>
        <v>本館・特別教室棟中渡り廊下</v>
      </c>
      <c r="K5833" s="7" t="str">
        <f t="shared" si="2135"/>
        <v>鉄筋コンクリート造</v>
      </c>
      <c r="L5833" s="7" t="str">
        <f>"S48.10.30"</f>
        <v>S48.10.30</v>
      </c>
      <c r="M5833" s="7">
        <v>83.56</v>
      </c>
      <c r="N5833" s="7">
        <v>6219252</v>
      </c>
      <c r="O5833" s="7">
        <v>6156919</v>
      </c>
      <c r="P5833" s="7">
        <v>0</v>
      </c>
      <c r="Q5833" s="7" t="str">
        <f t="shared" si="2127"/>
        <v>教育庁</v>
      </c>
      <c r="R5833" s="7" t="str">
        <f t="shared" si="2140"/>
        <v>農芸高等学校</v>
      </c>
    </row>
    <row r="5834" spans="1:18" s="1" customFormat="1" x14ac:dyDescent="0.45">
      <c r="A5834" s="7" t="str">
        <f t="shared" si="2137"/>
        <v>10471000000</v>
      </c>
      <c r="B5834" s="7" t="str">
        <f t="shared" si="2138"/>
        <v>農芸高等学校</v>
      </c>
      <c r="C5834" s="7" t="str">
        <f t="shared" si="2120"/>
        <v>行政財産</v>
      </c>
      <c r="D5834" s="7" t="str">
        <f t="shared" si="2134"/>
        <v>学校</v>
      </c>
      <c r="E5834" s="7" t="str">
        <f t="shared" si="2139"/>
        <v>大阪府堺市　美原区北余部</v>
      </c>
      <c r="F5834" s="7"/>
      <c r="G5834" s="7" t="str">
        <f t="shared" si="2126"/>
        <v>事業用資産</v>
      </c>
      <c r="H5834" s="7" t="str">
        <f t="shared" si="2136"/>
        <v>棚卸以外</v>
      </c>
      <c r="I5834" s="7">
        <v>109</v>
      </c>
      <c r="J5834" s="7" t="str">
        <f>"畜舎汚水処理機械室"</f>
        <v>畜舎汚水処理機械室</v>
      </c>
      <c r="K5834" s="7" t="str">
        <f>"コンクリートブロック造"</f>
        <v>コンクリートブロック造</v>
      </c>
      <c r="L5834" s="7" t="str">
        <f>"S48.03.28"</f>
        <v>S48.03.28</v>
      </c>
      <c r="M5834" s="7">
        <v>36.880000000000003</v>
      </c>
      <c r="N5834" s="7">
        <v>74349000</v>
      </c>
      <c r="O5834" s="7">
        <v>74348999</v>
      </c>
      <c r="P5834" s="7">
        <v>0</v>
      </c>
      <c r="Q5834" s="7" t="str">
        <f t="shared" si="2127"/>
        <v>教育庁</v>
      </c>
      <c r="R5834" s="7" t="str">
        <f t="shared" si="2140"/>
        <v>農芸高等学校</v>
      </c>
    </row>
    <row r="5835" spans="1:18" s="1" customFormat="1" x14ac:dyDescent="0.45">
      <c r="A5835" s="7" t="str">
        <f t="shared" si="2137"/>
        <v>10471000000</v>
      </c>
      <c r="B5835" s="7" t="str">
        <f t="shared" si="2138"/>
        <v>農芸高等学校</v>
      </c>
      <c r="C5835" s="7" t="str">
        <f t="shared" si="2120"/>
        <v>行政財産</v>
      </c>
      <c r="D5835" s="7" t="str">
        <f t="shared" si="2134"/>
        <v>学校</v>
      </c>
      <c r="E5835" s="7" t="str">
        <f t="shared" si="2139"/>
        <v>大阪府堺市　美原区北余部</v>
      </c>
      <c r="F5835" s="7"/>
      <c r="G5835" s="7" t="str">
        <f t="shared" si="2126"/>
        <v>事業用資産</v>
      </c>
      <c r="H5835" s="7" t="str">
        <f t="shared" si="2136"/>
        <v>棚卸以外</v>
      </c>
      <c r="I5835" s="7">
        <v>111</v>
      </c>
      <c r="J5835" s="7" t="str">
        <f>"プール機械室"</f>
        <v>プール機械室</v>
      </c>
      <c r="K5835" s="7" t="str">
        <f>"レンガ、石積造"</f>
        <v>レンガ、石積造</v>
      </c>
      <c r="L5835" s="7" t="str">
        <f>"S41.08.04"</f>
        <v>S41.08.04</v>
      </c>
      <c r="M5835" s="7">
        <v>17.73</v>
      </c>
      <c r="N5835" s="7">
        <v>14554440</v>
      </c>
      <c r="O5835" s="7">
        <v>9426251</v>
      </c>
      <c r="P5835" s="7">
        <v>0</v>
      </c>
      <c r="Q5835" s="7" t="str">
        <f t="shared" si="2127"/>
        <v>教育庁</v>
      </c>
      <c r="R5835" s="7" t="str">
        <f t="shared" si="2140"/>
        <v>農芸高等学校</v>
      </c>
    </row>
    <row r="5836" spans="1:18" s="1" customFormat="1" x14ac:dyDescent="0.45">
      <c r="A5836" s="7" t="str">
        <f t="shared" si="2137"/>
        <v>10471000000</v>
      </c>
      <c r="B5836" s="7" t="str">
        <f t="shared" si="2138"/>
        <v>農芸高等学校</v>
      </c>
      <c r="C5836" s="7" t="str">
        <f t="shared" si="2120"/>
        <v>行政財産</v>
      </c>
      <c r="D5836" s="7" t="str">
        <f t="shared" si="2134"/>
        <v>学校</v>
      </c>
      <c r="E5836" s="7" t="str">
        <f t="shared" si="2139"/>
        <v>大阪府堺市　美原区北余部</v>
      </c>
      <c r="F5836" s="7"/>
      <c r="G5836" s="7" t="str">
        <f t="shared" si="2126"/>
        <v>事業用資産</v>
      </c>
      <c r="H5836" s="7" t="str">
        <f t="shared" si="2136"/>
        <v>棚卸以外</v>
      </c>
      <c r="I5836" s="7">
        <v>112</v>
      </c>
      <c r="J5836" s="7" t="str">
        <f>"用土肥料室"</f>
        <v>用土肥料室</v>
      </c>
      <c r="K5836" s="7" t="str">
        <f t="shared" ref="K5836:K5843" si="2141">"鉄骨造"</f>
        <v>鉄骨造</v>
      </c>
      <c r="L5836" s="7" t="str">
        <f t="shared" ref="L5836:L5844" si="2142">"S51.05.15"</f>
        <v>S51.05.15</v>
      </c>
      <c r="M5836" s="7">
        <v>219.6</v>
      </c>
      <c r="N5836" s="7">
        <v>15498000</v>
      </c>
      <c r="O5836" s="7">
        <v>15497999</v>
      </c>
      <c r="P5836" s="7">
        <v>0</v>
      </c>
      <c r="Q5836" s="7" t="str">
        <f t="shared" si="2127"/>
        <v>教育庁</v>
      </c>
      <c r="R5836" s="7" t="str">
        <f t="shared" si="2140"/>
        <v>農芸高等学校</v>
      </c>
    </row>
    <row r="5837" spans="1:18" s="1" customFormat="1" x14ac:dyDescent="0.45">
      <c r="A5837" s="7" t="str">
        <f t="shared" si="2137"/>
        <v>10471000000</v>
      </c>
      <c r="B5837" s="7" t="str">
        <f t="shared" si="2138"/>
        <v>農芸高等学校</v>
      </c>
      <c r="C5837" s="7" t="str">
        <f t="shared" ref="C5837:C5900" si="2143">"行政財産"</f>
        <v>行政財産</v>
      </c>
      <c r="D5837" s="7" t="str">
        <f t="shared" si="2134"/>
        <v>学校</v>
      </c>
      <c r="E5837" s="7" t="str">
        <f t="shared" si="2139"/>
        <v>大阪府堺市　美原区北余部</v>
      </c>
      <c r="F5837" s="7"/>
      <c r="G5837" s="7" t="str">
        <f t="shared" si="2126"/>
        <v>事業用資産</v>
      </c>
      <c r="H5837" s="7" t="str">
        <f t="shared" si="2136"/>
        <v>棚卸以外</v>
      </c>
      <c r="I5837" s="7">
        <v>113</v>
      </c>
      <c r="J5837" s="7" t="str">
        <f>"園芸管理室"</f>
        <v>園芸管理室</v>
      </c>
      <c r="K5837" s="7" t="str">
        <f t="shared" si="2141"/>
        <v>鉄骨造</v>
      </c>
      <c r="L5837" s="7" t="str">
        <f t="shared" si="2142"/>
        <v>S51.05.15</v>
      </c>
      <c r="M5837" s="7">
        <v>28.75</v>
      </c>
      <c r="N5837" s="7">
        <v>3989515</v>
      </c>
      <c r="O5837" s="7">
        <v>3926656</v>
      </c>
      <c r="P5837" s="7">
        <v>0</v>
      </c>
      <c r="Q5837" s="7" t="str">
        <f t="shared" si="2127"/>
        <v>教育庁</v>
      </c>
      <c r="R5837" s="7" t="str">
        <f t="shared" si="2140"/>
        <v>農芸高等学校</v>
      </c>
    </row>
    <row r="5838" spans="1:18" s="1" customFormat="1" x14ac:dyDescent="0.45">
      <c r="A5838" s="7" t="str">
        <f t="shared" si="2137"/>
        <v>10471000000</v>
      </c>
      <c r="B5838" s="7" t="str">
        <f t="shared" si="2138"/>
        <v>農芸高等学校</v>
      </c>
      <c r="C5838" s="7" t="str">
        <f t="shared" si="2143"/>
        <v>行政財産</v>
      </c>
      <c r="D5838" s="7" t="str">
        <f t="shared" si="2134"/>
        <v>学校</v>
      </c>
      <c r="E5838" s="7" t="str">
        <f t="shared" si="2139"/>
        <v>大阪府堺市　美原区北余部</v>
      </c>
      <c r="F5838" s="7"/>
      <c r="G5838" s="7" t="str">
        <f t="shared" si="2126"/>
        <v>事業用資産</v>
      </c>
      <c r="H5838" s="7" t="str">
        <f t="shared" si="2136"/>
        <v>棚卸以外</v>
      </c>
      <c r="I5838" s="7">
        <v>114</v>
      </c>
      <c r="J5838" s="7" t="str">
        <f>"野菜実習室"</f>
        <v>野菜実習室</v>
      </c>
      <c r="K5838" s="7" t="str">
        <f t="shared" si="2141"/>
        <v>鉄骨造</v>
      </c>
      <c r="L5838" s="7" t="str">
        <f t="shared" si="2142"/>
        <v>S51.05.15</v>
      </c>
      <c r="M5838" s="7">
        <v>320</v>
      </c>
      <c r="N5838" s="7">
        <v>25051000</v>
      </c>
      <c r="O5838" s="7">
        <v>25050999</v>
      </c>
      <c r="P5838" s="7">
        <v>0</v>
      </c>
      <c r="Q5838" s="7" t="str">
        <f t="shared" si="2127"/>
        <v>教育庁</v>
      </c>
      <c r="R5838" s="7" t="str">
        <f t="shared" si="2140"/>
        <v>農芸高等学校</v>
      </c>
    </row>
    <row r="5839" spans="1:18" s="1" customFormat="1" x14ac:dyDescent="0.45">
      <c r="A5839" s="7" t="str">
        <f t="shared" si="2137"/>
        <v>10471000000</v>
      </c>
      <c r="B5839" s="7" t="str">
        <f t="shared" si="2138"/>
        <v>農芸高等学校</v>
      </c>
      <c r="C5839" s="7" t="str">
        <f t="shared" si="2143"/>
        <v>行政財産</v>
      </c>
      <c r="D5839" s="7" t="str">
        <f t="shared" si="2134"/>
        <v>学校</v>
      </c>
      <c r="E5839" s="7" t="str">
        <f t="shared" si="2139"/>
        <v>大阪府堺市　美原区北余部</v>
      </c>
      <c r="F5839" s="7"/>
      <c r="G5839" s="7" t="str">
        <f t="shared" si="2126"/>
        <v>事業用資産</v>
      </c>
      <c r="H5839" s="7" t="str">
        <f t="shared" si="2136"/>
        <v>棚卸以外</v>
      </c>
      <c r="I5839" s="7">
        <v>115</v>
      </c>
      <c r="J5839" s="7" t="str">
        <f>"果樹実習室"</f>
        <v>果樹実習室</v>
      </c>
      <c r="K5839" s="7" t="str">
        <f t="shared" si="2141"/>
        <v>鉄骨造</v>
      </c>
      <c r="L5839" s="7" t="str">
        <f t="shared" si="2142"/>
        <v>S51.05.15</v>
      </c>
      <c r="M5839" s="7">
        <v>132</v>
      </c>
      <c r="N5839" s="7">
        <v>8786000</v>
      </c>
      <c r="O5839" s="7">
        <v>8785999</v>
      </c>
      <c r="P5839" s="7">
        <v>0</v>
      </c>
      <c r="Q5839" s="7" t="str">
        <f t="shared" si="2127"/>
        <v>教育庁</v>
      </c>
      <c r="R5839" s="7" t="str">
        <f t="shared" si="2140"/>
        <v>農芸高等学校</v>
      </c>
    </row>
    <row r="5840" spans="1:18" s="1" customFormat="1" x14ac:dyDescent="0.45">
      <c r="A5840" s="7" t="str">
        <f t="shared" si="2137"/>
        <v>10471000000</v>
      </c>
      <c r="B5840" s="7" t="str">
        <f t="shared" si="2138"/>
        <v>農芸高等学校</v>
      </c>
      <c r="C5840" s="7" t="str">
        <f t="shared" si="2143"/>
        <v>行政財産</v>
      </c>
      <c r="D5840" s="7" t="str">
        <f t="shared" si="2134"/>
        <v>学校</v>
      </c>
      <c r="E5840" s="7" t="str">
        <f t="shared" si="2139"/>
        <v>大阪府堺市　美原区北余部</v>
      </c>
      <c r="F5840" s="7"/>
      <c r="G5840" s="7" t="str">
        <f t="shared" si="2126"/>
        <v>事業用資産</v>
      </c>
      <c r="H5840" s="7" t="str">
        <f t="shared" si="2136"/>
        <v>棚卸以外</v>
      </c>
      <c r="I5840" s="7">
        <v>116</v>
      </c>
      <c r="J5840" s="7" t="str">
        <f>"宿泊実習室"</f>
        <v>宿泊実習室</v>
      </c>
      <c r="K5840" s="7" t="str">
        <f t="shared" si="2141"/>
        <v>鉄骨造</v>
      </c>
      <c r="L5840" s="7" t="str">
        <f t="shared" si="2142"/>
        <v>S51.05.15</v>
      </c>
      <c r="M5840" s="7">
        <v>107.36</v>
      </c>
      <c r="N5840" s="7">
        <v>15636910</v>
      </c>
      <c r="O5840" s="7">
        <v>12130580</v>
      </c>
      <c r="P5840" s="7">
        <v>0</v>
      </c>
      <c r="Q5840" s="7" t="str">
        <f t="shared" si="2127"/>
        <v>教育庁</v>
      </c>
      <c r="R5840" s="7" t="str">
        <f t="shared" si="2140"/>
        <v>農芸高等学校</v>
      </c>
    </row>
    <row r="5841" spans="1:18" s="1" customFormat="1" x14ac:dyDescent="0.45">
      <c r="A5841" s="7" t="str">
        <f t="shared" si="2137"/>
        <v>10471000000</v>
      </c>
      <c r="B5841" s="7" t="str">
        <f t="shared" si="2138"/>
        <v>農芸高等学校</v>
      </c>
      <c r="C5841" s="7" t="str">
        <f t="shared" si="2143"/>
        <v>行政財産</v>
      </c>
      <c r="D5841" s="7" t="str">
        <f t="shared" si="2134"/>
        <v>学校</v>
      </c>
      <c r="E5841" s="7" t="str">
        <f t="shared" si="2139"/>
        <v>大阪府堺市　美原区北余部</v>
      </c>
      <c r="F5841" s="7"/>
      <c r="G5841" s="7" t="str">
        <f t="shared" si="2126"/>
        <v>事業用資産</v>
      </c>
      <c r="H5841" s="7" t="str">
        <f t="shared" si="2136"/>
        <v>棚卸以外</v>
      </c>
      <c r="I5841" s="7">
        <v>117</v>
      </c>
      <c r="J5841" s="7" t="str">
        <f>"畜産実習室"</f>
        <v>畜産実習室</v>
      </c>
      <c r="K5841" s="7" t="str">
        <f t="shared" si="2141"/>
        <v>鉄骨造</v>
      </c>
      <c r="L5841" s="7" t="str">
        <f t="shared" si="2142"/>
        <v>S51.05.15</v>
      </c>
      <c r="M5841" s="7">
        <v>138</v>
      </c>
      <c r="N5841" s="7">
        <v>11878000</v>
      </c>
      <c r="O5841" s="7">
        <v>11397369</v>
      </c>
      <c r="P5841" s="7">
        <v>0</v>
      </c>
      <c r="Q5841" s="7" t="str">
        <f t="shared" si="2127"/>
        <v>教育庁</v>
      </c>
      <c r="R5841" s="7" t="str">
        <f t="shared" si="2140"/>
        <v>農芸高等学校</v>
      </c>
    </row>
    <row r="5842" spans="1:18" s="1" customFormat="1" x14ac:dyDescent="0.45">
      <c r="A5842" s="7" t="str">
        <f t="shared" si="2137"/>
        <v>10471000000</v>
      </c>
      <c r="B5842" s="7" t="str">
        <f t="shared" si="2138"/>
        <v>農芸高等学校</v>
      </c>
      <c r="C5842" s="7" t="str">
        <f t="shared" si="2143"/>
        <v>行政財産</v>
      </c>
      <c r="D5842" s="7" t="str">
        <f t="shared" si="2134"/>
        <v>学校</v>
      </c>
      <c r="E5842" s="7" t="str">
        <f t="shared" si="2139"/>
        <v>大阪府堺市　美原区北余部</v>
      </c>
      <c r="F5842" s="7"/>
      <c r="G5842" s="7" t="str">
        <f t="shared" si="2126"/>
        <v>事業用資産</v>
      </c>
      <c r="H5842" s="7" t="str">
        <f t="shared" si="2136"/>
        <v>棚卸以外</v>
      </c>
      <c r="I5842" s="7">
        <v>118</v>
      </c>
      <c r="J5842" s="7" t="str">
        <f>"飼料作物室実習室"</f>
        <v>飼料作物室実習室</v>
      </c>
      <c r="K5842" s="7" t="str">
        <f t="shared" si="2141"/>
        <v>鉄骨造</v>
      </c>
      <c r="L5842" s="7" t="str">
        <f t="shared" si="2142"/>
        <v>S51.05.15</v>
      </c>
      <c r="M5842" s="7">
        <v>112</v>
      </c>
      <c r="N5842" s="7">
        <v>10856000</v>
      </c>
      <c r="O5842" s="7">
        <v>10776314</v>
      </c>
      <c r="P5842" s="7">
        <v>0</v>
      </c>
      <c r="Q5842" s="7" t="str">
        <f t="shared" si="2127"/>
        <v>教育庁</v>
      </c>
      <c r="R5842" s="7" t="str">
        <f t="shared" si="2140"/>
        <v>農芸高等学校</v>
      </c>
    </row>
    <row r="5843" spans="1:18" s="1" customFormat="1" x14ac:dyDescent="0.45">
      <c r="A5843" s="7" t="str">
        <f t="shared" si="2137"/>
        <v>10471000000</v>
      </c>
      <c r="B5843" s="7" t="str">
        <f t="shared" si="2138"/>
        <v>農芸高等学校</v>
      </c>
      <c r="C5843" s="7" t="str">
        <f t="shared" si="2143"/>
        <v>行政財産</v>
      </c>
      <c r="D5843" s="7" t="str">
        <f t="shared" si="2134"/>
        <v>学校</v>
      </c>
      <c r="E5843" s="7" t="str">
        <f t="shared" si="2139"/>
        <v>大阪府堺市　美原区北余部</v>
      </c>
      <c r="F5843" s="7"/>
      <c r="G5843" s="7" t="str">
        <f t="shared" si="2126"/>
        <v>事業用資産</v>
      </c>
      <c r="H5843" s="7" t="str">
        <f t="shared" si="2136"/>
        <v>棚卸以外</v>
      </c>
      <c r="I5843" s="7">
        <v>119</v>
      </c>
      <c r="J5843" s="7" t="str">
        <f>"肉豚舎"</f>
        <v>肉豚舎</v>
      </c>
      <c r="K5843" s="7" t="str">
        <f t="shared" si="2141"/>
        <v>鉄骨造</v>
      </c>
      <c r="L5843" s="7" t="str">
        <f t="shared" si="2142"/>
        <v>S51.05.15</v>
      </c>
      <c r="M5843" s="7">
        <v>207</v>
      </c>
      <c r="N5843" s="7">
        <v>28051247</v>
      </c>
      <c r="O5843" s="7">
        <v>19118588</v>
      </c>
      <c r="P5843" s="7">
        <v>0</v>
      </c>
      <c r="Q5843" s="7" t="str">
        <f t="shared" si="2127"/>
        <v>教育庁</v>
      </c>
      <c r="R5843" s="7" t="str">
        <f t="shared" si="2140"/>
        <v>農芸高等学校</v>
      </c>
    </row>
    <row r="5844" spans="1:18" s="1" customFormat="1" x14ac:dyDescent="0.45">
      <c r="A5844" s="7" t="str">
        <f t="shared" si="2137"/>
        <v>10471000000</v>
      </c>
      <c r="B5844" s="7" t="str">
        <f t="shared" si="2138"/>
        <v>農芸高等学校</v>
      </c>
      <c r="C5844" s="7" t="str">
        <f t="shared" si="2143"/>
        <v>行政財産</v>
      </c>
      <c r="D5844" s="7" t="str">
        <f t="shared" si="2134"/>
        <v>学校</v>
      </c>
      <c r="E5844" s="7" t="str">
        <f t="shared" si="2139"/>
        <v>大阪府堺市　美原区北余部</v>
      </c>
      <c r="F5844" s="7"/>
      <c r="G5844" s="7" t="str">
        <f t="shared" si="2126"/>
        <v>事業用資産</v>
      </c>
      <c r="H5844" s="7" t="str">
        <f t="shared" si="2136"/>
        <v>棚卸以外</v>
      </c>
      <c r="I5844" s="7">
        <v>120</v>
      </c>
      <c r="J5844" s="7" t="str">
        <f>"資源動物科ボイラ室"</f>
        <v>資源動物科ボイラ室</v>
      </c>
      <c r="K5844" s="7" t="str">
        <f>"コンクリートブロック造"</f>
        <v>コンクリートブロック造</v>
      </c>
      <c r="L5844" s="7" t="str">
        <f t="shared" si="2142"/>
        <v>S51.05.15</v>
      </c>
      <c r="M5844" s="7">
        <v>9.4499999999999993</v>
      </c>
      <c r="N5844" s="7">
        <v>1529000</v>
      </c>
      <c r="O5844" s="7">
        <v>1528999</v>
      </c>
      <c r="P5844" s="7">
        <v>0</v>
      </c>
      <c r="Q5844" s="7" t="str">
        <f t="shared" si="2127"/>
        <v>教育庁</v>
      </c>
      <c r="R5844" s="7" t="str">
        <f t="shared" si="2140"/>
        <v>農芸高等学校</v>
      </c>
    </row>
    <row r="5845" spans="1:18" s="1" customFormat="1" x14ac:dyDescent="0.45">
      <c r="A5845" s="7" t="str">
        <f t="shared" si="2137"/>
        <v>10471000000</v>
      </c>
      <c r="B5845" s="7" t="str">
        <f t="shared" si="2138"/>
        <v>農芸高等学校</v>
      </c>
      <c r="C5845" s="7" t="str">
        <f t="shared" si="2143"/>
        <v>行政財産</v>
      </c>
      <c r="D5845" s="7" t="str">
        <f t="shared" si="2134"/>
        <v>学校</v>
      </c>
      <c r="E5845" s="7" t="str">
        <f t="shared" si="2139"/>
        <v>大阪府堺市　美原区北余部</v>
      </c>
      <c r="F5845" s="7"/>
      <c r="G5845" s="7" t="str">
        <f t="shared" si="2126"/>
        <v>事業用資産</v>
      </c>
      <c r="H5845" s="7" t="str">
        <f t="shared" si="2136"/>
        <v>棚卸以外</v>
      </c>
      <c r="I5845" s="7">
        <v>121</v>
      </c>
      <c r="J5845" s="7" t="str">
        <f>"農場井水汲上げポンプ室"</f>
        <v>農場井水汲上げポンプ室</v>
      </c>
      <c r="K5845" s="7" t="str">
        <f>"コンクリートブロック造"</f>
        <v>コンクリートブロック造</v>
      </c>
      <c r="L5845" s="7" t="str">
        <f>"S51.12.21"</f>
        <v>S51.12.21</v>
      </c>
      <c r="M5845" s="7">
        <v>4.84</v>
      </c>
      <c r="N5845" s="7">
        <v>13182000</v>
      </c>
      <c r="O5845" s="7">
        <v>13181999</v>
      </c>
      <c r="P5845" s="7">
        <v>0</v>
      </c>
      <c r="Q5845" s="7" t="str">
        <f t="shared" si="2127"/>
        <v>教育庁</v>
      </c>
      <c r="R5845" s="7" t="str">
        <f t="shared" si="2140"/>
        <v>農芸高等学校</v>
      </c>
    </row>
    <row r="5846" spans="1:18" s="1" customFormat="1" x14ac:dyDescent="0.45">
      <c r="A5846" s="7" t="str">
        <f t="shared" si="2137"/>
        <v>10471000000</v>
      </c>
      <c r="B5846" s="7" t="str">
        <f t="shared" si="2138"/>
        <v>農芸高等学校</v>
      </c>
      <c r="C5846" s="7" t="str">
        <f t="shared" si="2143"/>
        <v>行政財産</v>
      </c>
      <c r="D5846" s="7" t="str">
        <f t="shared" si="2134"/>
        <v>学校</v>
      </c>
      <c r="E5846" s="7" t="str">
        <f t="shared" si="2139"/>
        <v>大阪府堺市　美原区北余部</v>
      </c>
      <c r="F5846" s="7"/>
      <c r="G5846" s="7" t="str">
        <f t="shared" si="2126"/>
        <v>事業用資産</v>
      </c>
      <c r="H5846" s="7" t="str">
        <f t="shared" si="2136"/>
        <v>棚卸以外</v>
      </c>
      <c r="I5846" s="7">
        <v>122</v>
      </c>
      <c r="J5846" s="7" t="str">
        <f>"クラブ倉庫"</f>
        <v>クラブ倉庫</v>
      </c>
      <c r="K5846" s="7" t="str">
        <f>"鉄骨造"</f>
        <v>鉄骨造</v>
      </c>
      <c r="L5846" s="7" t="str">
        <f>"S52.12.05"</f>
        <v>S52.12.05</v>
      </c>
      <c r="M5846" s="7">
        <v>100</v>
      </c>
      <c r="N5846" s="7">
        <v>4813000</v>
      </c>
      <c r="O5846" s="7">
        <v>4812999</v>
      </c>
      <c r="P5846" s="7">
        <v>0</v>
      </c>
      <c r="Q5846" s="7" t="str">
        <f t="shared" si="2127"/>
        <v>教育庁</v>
      </c>
      <c r="R5846" s="7" t="str">
        <f t="shared" si="2140"/>
        <v>農芸高等学校</v>
      </c>
    </row>
    <row r="5847" spans="1:18" s="1" customFormat="1" x14ac:dyDescent="0.45">
      <c r="A5847" s="7" t="str">
        <f t="shared" si="2137"/>
        <v>10471000000</v>
      </c>
      <c r="B5847" s="7" t="str">
        <f t="shared" si="2138"/>
        <v>農芸高等学校</v>
      </c>
      <c r="C5847" s="7" t="str">
        <f t="shared" si="2143"/>
        <v>行政財産</v>
      </c>
      <c r="D5847" s="7" t="str">
        <f t="shared" si="2134"/>
        <v>学校</v>
      </c>
      <c r="E5847" s="7" t="str">
        <f t="shared" si="2139"/>
        <v>大阪府堺市　美原区北余部</v>
      </c>
      <c r="F5847" s="7"/>
      <c r="G5847" s="7" t="str">
        <f t="shared" ref="G5847:G5910" si="2144">"事業用資産"</f>
        <v>事業用資産</v>
      </c>
      <c r="H5847" s="7" t="str">
        <f t="shared" si="2136"/>
        <v>棚卸以外</v>
      </c>
      <c r="I5847" s="7">
        <v>123</v>
      </c>
      <c r="J5847" s="7" t="str">
        <f>"塵芥集積所"</f>
        <v>塵芥集積所</v>
      </c>
      <c r="K5847" s="7" t="str">
        <f>"コンクリートブロック造"</f>
        <v>コンクリートブロック造</v>
      </c>
      <c r="L5847" s="7" t="str">
        <f>"S52.12.05"</f>
        <v>S52.12.05</v>
      </c>
      <c r="M5847" s="7">
        <v>16.29</v>
      </c>
      <c r="N5847" s="7">
        <v>555000</v>
      </c>
      <c r="O5847" s="7">
        <v>554999</v>
      </c>
      <c r="P5847" s="7">
        <v>0</v>
      </c>
      <c r="Q5847" s="7" t="str">
        <f t="shared" si="2127"/>
        <v>教育庁</v>
      </c>
      <c r="R5847" s="7" t="str">
        <f t="shared" si="2140"/>
        <v>農芸高等学校</v>
      </c>
    </row>
    <row r="5848" spans="1:18" s="1" customFormat="1" x14ac:dyDescent="0.45">
      <c r="A5848" s="7" t="str">
        <f t="shared" si="2137"/>
        <v>10471000000</v>
      </c>
      <c r="B5848" s="7" t="str">
        <f t="shared" si="2138"/>
        <v>農芸高等学校</v>
      </c>
      <c r="C5848" s="7" t="str">
        <f t="shared" si="2143"/>
        <v>行政財産</v>
      </c>
      <c r="D5848" s="7" t="str">
        <f t="shared" si="2134"/>
        <v>学校</v>
      </c>
      <c r="E5848" s="7" t="str">
        <f t="shared" si="2139"/>
        <v>大阪府堺市　美原区北余部</v>
      </c>
      <c r="F5848" s="7"/>
      <c r="G5848" s="7" t="str">
        <f t="shared" si="2144"/>
        <v>事業用資産</v>
      </c>
      <c r="H5848" s="7" t="str">
        <f t="shared" si="2136"/>
        <v>棚卸以外</v>
      </c>
      <c r="I5848" s="7">
        <v>124</v>
      </c>
      <c r="J5848" s="7" t="str">
        <f>"焼却場"</f>
        <v>焼却場</v>
      </c>
      <c r="K5848" s="7" t="str">
        <f>"コンクリートブロック造"</f>
        <v>コンクリートブロック造</v>
      </c>
      <c r="L5848" s="7" t="str">
        <f>"S52.12.03"</f>
        <v>S52.12.03</v>
      </c>
      <c r="M5848" s="7">
        <v>9.2100000000000009</v>
      </c>
      <c r="N5848" s="7">
        <v>480000</v>
      </c>
      <c r="O5848" s="7">
        <v>479999</v>
      </c>
      <c r="P5848" s="7">
        <v>0</v>
      </c>
      <c r="Q5848" s="7" t="str">
        <f t="shared" si="2127"/>
        <v>教育庁</v>
      </c>
      <c r="R5848" s="7" t="str">
        <f t="shared" si="2140"/>
        <v>農芸高等学校</v>
      </c>
    </row>
    <row r="5849" spans="1:18" s="1" customFormat="1" x14ac:dyDescent="0.45">
      <c r="A5849" s="7" t="str">
        <f t="shared" si="2137"/>
        <v>10471000000</v>
      </c>
      <c r="B5849" s="7" t="str">
        <f t="shared" si="2138"/>
        <v>農芸高等学校</v>
      </c>
      <c r="C5849" s="7" t="str">
        <f t="shared" si="2143"/>
        <v>行政財産</v>
      </c>
      <c r="D5849" s="7" t="str">
        <f t="shared" si="2134"/>
        <v>学校</v>
      </c>
      <c r="E5849" s="7" t="str">
        <f t="shared" si="2139"/>
        <v>大阪府堺市　美原区北余部</v>
      </c>
      <c r="F5849" s="7"/>
      <c r="G5849" s="7" t="str">
        <f t="shared" si="2144"/>
        <v>事業用資産</v>
      </c>
      <c r="H5849" s="7" t="str">
        <f t="shared" si="2136"/>
        <v>棚卸以外</v>
      </c>
      <c r="I5849" s="7">
        <v>125</v>
      </c>
      <c r="J5849" s="7" t="str">
        <f>"倉庫"</f>
        <v>倉庫</v>
      </c>
      <c r="K5849" s="7" t="str">
        <f>"コンクリートブロック造"</f>
        <v>コンクリートブロック造</v>
      </c>
      <c r="L5849" s="7" t="str">
        <f>"S53.11.02"</f>
        <v>S53.11.02</v>
      </c>
      <c r="M5849" s="7">
        <v>9.75</v>
      </c>
      <c r="N5849" s="7">
        <v>850000</v>
      </c>
      <c r="O5849" s="7">
        <v>849999</v>
      </c>
      <c r="P5849" s="7">
        <v>0</v>
      </c>
      <c r="Q5849" s="7" t="str">
        <f t="shared" si="2127"/>
        <v>教育庁</v>
      </c>
      <c r="R5849" s="7" t="str">
        <f t="shared" si="2140"/>
        <v>農芸高等学校</v>
      </c>
    </row>
    <row r="5850" spans="1:18" s="1" customFormat="1" x14ac:dyDescent="0.45">
      <c r="A5850" s="7" t="str">
        <f t="shared" si="2137"/>
        <v>10471000000</v>
      </c>
      <c r="B5850" s="7" t="str">
        <f t="shared" si="2138"/>
        <v>農芸高等学校</v>
      </c>
      <c r="C5850" s="7" t="str">
        <f t="shared" si="2143"/>
        <v>行政財産</v>
      </c>
      <c r="D5850" s="7" t="str">
        <f t="shared" si="2134"/>
        <v>学校</v>
      </c>
      <c r="E5850" s="7" t="str">
        <f t="shared" si="2139"/>
        <v>大阪府堺市　美原区北余部</v>
      </c>
      <c r="F5850" s="7"/>
      <c r="G5850" s="7" t="str">
        <f t="shared" si="2144"/>
        <v>事業用資産</v>
      </c>
      <c r="H5850" s="7" t="str">
        <f t="shared" si="2136"/>
        <v>棚卸以外</v>
      </c>
      <c r="I5850" s="7">
        <v>126</v>
      </c>
      <c r="J5850" s="7" t="str">
        <f>"農場井水送水ポンプ室"</f>
        <v>農場井水送水ポンプ室</v>
      </c>
      <c r="K5850" s="7" t="str">
        <f>"コンクリートブロック造"</f>
        <v>コンクリートブロック造</v>
      </c>
      <c r="L5850" s="7" t="str">
        <f>"S53.12.29"</f>
        <v>S53.12.29</v>
      </c>
      <c r="M5850" s="7">
        <v>20.59</v>
      </c>
      <c r="N5850" s="7">
        <v>6471000</v>
      </c>
      <c r="O5850" s="7">
        <v>6470999</v>
      </c>
      <c r="P5850" s="7">
        <v>0</v>
      </c>
      <c r="Q5850" s="7" t="str">
        <f t="shared" si="2127"/>
        <v>教育庁</v>
      </c>
      <c r="R5850" s="7" t="str">
        <f t="shared" si="2140"/>
        <v>農芸高等学校</v>
      </c>
    </row>
    <row r="5851" spans="1:18" s="1" customFormat="1" x14ac:dyDescent="0.45">
      <c r="A5851" s="7" t="str">
        <f t="shared" si="2137"/>
        <v>10471000000</v>
      </c>
      <c r="B5851" s="7" t="str">
        <f t="shared" si="2138"/>
        <v>農芸高等学校</v>
      </c>
      <c r="C5851" s="7" t="str">
        <f t="shared" si="2143"/>
        <v>行政財産</v>
      </c>
      <c r="D5851" s="7" t="str">
        <f t="shared" si="2134"/>
        <v>学校</v>
      </c>
      <c r="E5851" s="7" t="str">
        <f t="shared" si="2139"/>
        <v>大阪府堺市　美原区北余部</v>
      </c>
      <c r="F5851" s="7"/>
      <c r="G5851" s="7" t="str">
        <f t="shared" si="2144"/>
        <v>事業用資産</v>
      </c>
      <c r="H5851" s="7" t="str">
        <f t="shared" si="2136"/>
        <v>棚卸以外</v>
      </c>
      <c r="I5851" s="7">
        <v>127</v>
      </c>
      <c r="J5851" s="7" t="str">
        <f>"プール附属棟"</f>
        <v>プール附属棟</v>
      </c>
      <c r="K5851" s="7" t="str">
        <f>"鉄筋コンクリート造"</f>
        <v>鉄筋コンクリート造</v>
      </c>
      <c r="L5851" s="7" t="str">
        <f>"S56.03.31"</f>
        <v>S56.03.31</v>
      </c>
      <c r="M5851" s="7">
        <v>165.6</v>
      </c>
      <c r="N5851" s="7">
        <v>30195000</v>
      </c>
      <c r="O5851" s="7">
        <v>30194999</v>
      </c>
      <c r="P5851" s="7">
        <v>0</v>
      </c>
      <c r="Q5851" s="7" t="str">
        <f t="shared" ref="Q5851:Q5914" si="2145">"教育庁"</f>
        <v>教育庁</v>
      </c>
      <c r="R5851" s="7" t="str">
        <f t="shared" si="2140"/>
        <v>農芸高等学校</v>
      </c>
    </row>
    <row r="5852" spans="1:18" s="1" customFormat="1" x14ac:dyDescent="0.45">
      <c r="A5852" s="7" t="str">
        <f t="shared" si="2137"/>
        <v>10471000000</v>
      </c>
      <c r="B5852" s="7" t="str">
        <f t="shared" si="2138"/>
        <v>農芸高等学校</v>
      </c>
      <c r="C5852" s="7" t="str">
        <f t="shared" si="2143"/>
        <v>行政財産</v>
      </c>
      <c r="D5852" s="7" t="str">
        <f t="shared" si="2134"/>
        <v>学校</v>
      </c>
      <c r="E5852" s="7" t="str">
        <f t="shared" si="2139"/>
        <v>大阪府堺市　美原区北余部</v>
      </c>
      <c r="F5852" s="7"/>
      <c r="G5852" s="7" t="str">
        <f t="shared" si="2144"/>
        <v>事業用資産</v>
      </c>
      <c r="H5852" s="7" t="str">
        <f t="shared" si="2136"/>
        <v>棚卸以外</v>
      </c>
      <c r="I5852" s="7">
        <v>128</v>
      </c>
      <c r="J5852" s="7" t="str">
        <f>"観葉温室"</f>
        <v>観葉温室</v>
      </c>
      <c r="K5852" s="7" t="str">
        <f>"軽量鉄骨造"</f>
        <v>軽量鉄骨造</v>
      </c>
      <c r="L5852" s="7" t="str">
        <f>"S58.01.16"</f>
        <v>S58.01.16</v>
      </c>
      <c r="M5852" s="7">
        <v>160</v>
      </c>
      <c r="N5852" s="7">
        <v>24975000</v>
      </c>
      <c r="O5852" s="7">
        <v>24974999</v>
      </c>
      <c r="P5852" s="7">
        <v>0</v>
      </c>
      <c r="Q5852" s="7" t="str">
        <f t="shared" si="2145"/>
        <v>教育庁</v>
      </c>
      <c r="R5852" s="7" t="str">
        <f t="shared" si="2140"/>
        <v>農芸高等学校</v>
      </c>
    </row>
    <row r="5853" spans="1:18" s="1" customFormat="1" x14ac:dyDescent="0.45">
      <c r="A5853" s="7" t="str">
        <f t="shared" si="2137"/>
        <v>10471000000</v>
      </c>
      <c r="B5853" s="7" t="str">
        <f t="shared" si="2138"/>
        <v>農芸高等学校</v>
      </c>
      <c r="C5853" s="7" t="str">
        <f t="shared" si="2143"/>
        <v>行政財産</v>
      </c>
      <c r="D5853" s="7" t="str">
        <f t="shared" si="2134"/>
        <v>学校</v>
      </c>
      <c r="E5853" s="7" t="str">
        <f t="shared" si="2139"/>
        <v>大阪府堺市　美原区北余部</v>
      </c>
      <c r="F5853" s="7"/>
      <c r="G5853" s="7" t="str">
        <f t="shared" si="2144"/>
        <v>事業用資産</v>
      </c>
      <c r="H5853" s="7" t="str">
        <f t="shared" si="2136"/>
        <v>棚卸以外</v>
      </c>
      <c r="I5853" s="7">
        <v>129</v>
      </c>
      <c r="J5853" s="7" t="str">
        <f>"中小家畜舎"</f>
        <v>中小家畜舎</v>
      </c>
      <c r="K5853" s="7" t="str">
        <f>"木造"</f>
        <v>木造</v>
      </c>
      <c r="L5853" s="7" t="str">
        <f>"S62.03.31"</f>
        <v>S62.03.31</v>
      </c>
      <c r="M5853" s="7">
        <v>48</v>
      </c>
      <c r="N5853" s="7">
        <v>9910000</v>
      </c>
      <c r="O5853" s="7">
        <v>9909999</v>
      </c>
      <c r="P5853" s="7">
        <v>0</v>
      </c>
      <c r="Q5853" s="7" t="str">
        <f t="shared" si="2145"/>
        <v>教育庁</v>
      </c>
      <c r="R5853" s="7" t="str">
        <f t="shared" si="2140"/>
        <v>農芸高等学校</v>
      </c>
    </row>
    <row r="5854" spans="1:18" s="1" customFormat="1" x14ac:dyDescent="0.45">
      <c r="A5854" s="7" t="str">
        <f t="shared" si="2137"/>
        <v>10471000000</v>
      </c>
      <c r="B5854" s="7" t="str">
        <f t="shared" si="2138"/>
        <v>農芸高等学校</v>
      </c>
      <c r="C5854" s="7" t="str">
        <f t="shared" si="2143"/>
        <v>行政財産</v>
      </c>
      <c r="D5854" s="7" t="str">
        <f t="shared" si="2134"/>
        <v>学校</v>
      </c>
      <c r="E5854" s="7" t="str">
        <f t="shared" si="2139"/>
        <v>大阪府堺市　美原区北余部</v>
      </c>
      <c r="F5854" s="7"/>
      <c r="G5854" s="7" t="str">
        <f t="shared" si="2144"/>
        <v>事業用資産</v>
      </c>
      <c r="H5854" s="7" t="str">
        <f t="shared" si="2136"/>
        <v>棚卸以外</v>
      </c>
      <c r="I5854" s="7">
        <v>130</v>
      </c>
      <c r="J5854" s="7" t="str">
        <f>"畜産実験実習室（牛舎）"</f>
        <v>畜産実験実習室（牛舎）</v>
      </c>
      <c r="K5854" s="7" t="str">
        <f>"鉄筋コンクリート造"</f>
        <v>鉄筋コンクリート造</v>
      </c>
      <c r="L5854" s="7" t="str">
        <f>"S63.02.29"</f>
        <v>S63.02.29</v>
      </c>
      <c r="M5854" s="7">
        <v>474.86</v>
      </c>
      <c r="N5854" s="7">
        <v>54360000</v>
      </c>
      <c r="O5854" s="7">
        <v>50187831</v>
      </c>
      <c r="P5854" s="7">
        <v>0</v>
      </c>
      <c r="Q5854" s="7" t="str">
        <f t="shared" si="2145"/>
        <v>教育庁</v>
      </c>
      <c r="R5854" s="7" t="str">
        <f t="shared" si="2140"/>
        <v>農芸高等学校</v>
      </c>
    </row>
    <row r="5855" spans="1:18" s="1" customFormat="1" x14ac:dyDescent="0.45">
      <c r="A5855" s="7" t="str">
        <f t="shared" si="2137"/>
        <v>10471000000</v>
      </c>
      <c r="B5855" s="7" t="str">
        <f t="shared" si="2138"/>
        <v>農芸高等学校</v>
      </c>
      <c r="C5855" s="7" t="str">
        <f t="shared" si="2143"/>
        <v>行政財産</v>
      </c>
      <c r="D5855" s="7" t="str">
        <f t="shared" si="2134"/>
        <v>学校</v>
      </c>
      <c r="E5855" s="7" t="str">
        <f t="shared" si="2139"/>
        <v>大阪府堺市　美原区北余部</v>
      </c>
      <c r="F5855" s="7"/>
      <c r="G5855" s="7" t="str">
        <f t="shared" si="2144"/>
        <v>事業用資産</v>
      </c>
      <c r="H5855" s="7" t="str">
        <f t="shared" si="2136"/>
        <v>棚卸以外</v>
      </c>
      <c r="I5855" s="7">
        <v>131</v>
      </c>
      <c r="J5855" s="7" t="str">
        <f>"堆肥舎"</f>
        <v>堆肥舎</v>
      </c>
      <c r="K5855" s="7" t="str">
        <f>"鉄骨造"</f>
        <v>鉄骨造</v>
      </c>
      <c r="L5855" s="7" t="str">
        <f>"S63.02.29"</f>
        <v>S63.02.29</v>
      </c>
      <c r="M5855" s="7">
        <v>162</v>
      </c>
      <c r="N5855" s="7">
        <v>5640000</v>
      </c>
      <c r="O5855" s="7">
        <v>5639999</v>
      </c>
      <c r="P5855" s="7">
        <v>0</v>
      </c>
      <c r="Q5855" s="7" t="str">
        <f t="shared" si="2145"/>
        <v>教育庁</v>
      </c>
      <c r="R5855" s="7" t="str">
        <f t="shared" si="2140"/>
        <v>農芸高等学校</v>
      </c>
    </row>
    <row r="5856" spans="1:18" s="1" customFormat="1" x14ac:dyDescent="0.45">
      <c r="A5856" s="7" t="str">
        <f t="shared" si="2137"/>
        <v>10471000000</v>
      </c>
      <c r="B5856" s="7" t="str">
        <f t="shared" si="2138"/>
        <v>農芸高等学校</v>
      </c>
      <c r="C5856" s="7" t="str">
        <f t="shared" si="2143"/>
        <v>行政財産</v>
      </c>
      <c r="D5856" s="7" t="str">
        <f t="shared" si="2134"/>
        <v>学校</v>
      </c>
      <c r="E5856" s="7" t="str">
        <f t="shared" si="2139"/>
        <v>大阪府堺市　美原区北余部</v>
      </c>
      <c r="F5856" s="7"/>
      <c r="G5856" s="7" t="str">
        <f t="shared" si="2144"/>
        <v>事業用資産</v>
      </c>
      <c r="H5856" s="7" t="str">
        <f t="shared" si="2136"/>
        <v>棚卸以外</v>
      </c>
      <c r="I5856" s="7">
        <v>132</v>
      </c>
      <c r="J5856" s="7" t="str">
        <f>"倉庫"</f>
        <v>倉庫</v>
      </c>
      <c r="K5856" s="7" t="str">
        <f>"鉄骨造"</f>
        <v>鉄骨造</v>
      </c>
      <c r="L5856" s="7" t="str">
        <f>"S63.02.29"</f>
        <v>S63.02.29</v>
      </c>
      <c r="M5856" s="7">
        <v>100</v>
      </c>
      <c r="N5856" s="7">
        <v>10070000</v>
      </c>
      <c r="O5856" s="7">
        <v>10069999</v>
      </c>
      <c r="P5856" s="7">
        <v>0</v>
      </c>
      <c r="Q5856" s="7" t="str">
        <f t="shared" si="2145"/>
        <v>教育庁</v>
      </c>
      <c r="R5856" s="7" t="str">
        <f t="shared" si="2140"/>
        <v>農芸高等学校</v>
      </c>
    </row>
    <row r="5857" spans="1:18" s="1" customFormat="1" x14ac:dyDescent="0.45">
      <c r="A5857" s="7" t="str">
        <f t="shared" si="2137"/>
        <v>10471000000</v>
      </c>
      <c r="B5857" s="7" t="str">
        <f t="shared" si="2138"/>
        <v>農芸高等学校</v>
      </c>
      <c r="C5857" s="7" t="str">
        <f t="shared" si="2143"/>
        <v>行政財産</v>
      </c>
      <c r="D5857" s="7" t="str">
        <f t="shared" si="2134"/>
        <v>学校</v>
      </c>
      <c r="E5857" s="7" t="str">
        <f t="shared" si="2139"/>
        <v>大阪府堺市　美原区北余部</v>
      </c>
      <c r="F5857" s="7"/>
      <c r="G5857" s="7" t="str">
        <f t="shared" si="2144"/>
        <v>事業用資産</v>
      </c>
      <c r="H5857" s="7" t="str">
        <f t="shared" si="2136"/>
        <v>棚卸以外</v>
      </c>
      <c r="I5857" s="7">
        <v>133</v>
      </c>
      <c r="J5857" s="7" t="str">
        <f>"園芸実習室"</f>
        <v>園芸実習室</v>
      </c>
      <c r="K5857" s="7" t="str">
        <f>"軽量鉄骨造"</f>
        <v>軽量鉄骨造</v>
      </c>
      <c r="L5857" s="7" t="str">
        <f>"H02.03.15"</f>
        <v>H02.03.15</v>
      </c>
      <c r="M5857" s="7">
        <v>183.37</v>
      </c>
      <c r="N5857" s="7">
        <v>23379000</v>
      </c>
      <c r="O5857" s="7">
        <v>23378999</v>
      </c>
      <c r="P5857" s="7">
        <v>0</v>
      </c>
      <c r="Q5857" s="7" t="str">
        <f t="shared" si="2145"/>
        <v>教育庁</v>
      </c>
      <c r="R5857" s="7" t="str">
        <f t="shared" si="2140"/>
        <v>農芸高等学校</v>
      </c>
    </row>
    <row r="5858" spans="1:18" s="1" customFormat="1" x14ac:dyDescent="0.45">
      <c r="A5858" s="7" t="str">
        <f t="shared" si="2137"/>
        <v>10471000000</v>
      </c>
      <c r="B5858" s="7" t="str">
        <f t="shared" si="2138"/>
        <v>農芸高等学校</v>
      </c>
      <c r="C5858" s="7" t="str">
        <f t="shared" si="2143"/>
        <v>行政財産</v>
      </c>
      <c r="D5858" s="7" t="str">
        <f t="shared" si="2134"/>
        <v>学校</v>
      </c>
      <c r="E5858" s="7" t="str">
        <f t="shared" si="2139"/>
        <v>大阪府堺市　美原区北余部</v>
      </c>
      <c r="F5858" s="7"/>
      <c r="G5858" s="7" t="str">
        <f t="shared" si="2144"/>
        <v>事業用資産</v>
      </c>
      <c r="H5858" s="7" t="str">
        <f t="shared" si="2136"/>
        <v>棚卸以外</v>
      </c>
      <c r="I5858" s="7">
        <v>134</v>
      </c>
      <c r="J5858" s="7" t="str">
        <f>"植物生産工場温室（１）"</f>
        <v>植物生産工場温室（１）</v>
      </c>
      <c r="K5858" s="7" t="str">
        <f>"軽量鉄骨造"</f>
        <v>軽量鉄骨造</v>
      </c>
      <c r="L5858" s="7" t="str">
        <f>"H02.03.15"</f>
        <v>H02.03.15</v>
      </c>
      <c r="M5858" s="7">
        <v>113.4</v>
      </c>
      <c r="N5858" s="7">
        <v>15186000</v>
      </c>
      <c r="O5858" s="7">
        <v>15185999</v>
      </c>
      <c r="P5858" s="7">
        <v>0</v>
      </c>
      <c r="Q5858" s="7" t="str">
        <f t="shared" si="2145"/>
        <v>教育庁</v>
      </c>
      <c r="R5858" s="7" t="str">
        <f t="shared" si="2140"/>
        <v>農芸高等学校</v>
      </c>
    </row>
    <row r="5859" spans="1:18" s="1" customFormat="1" x14ac:dyDescent="0.45">
      <c r="A5859" s="7" t="str">
        <f t="shared" si="2137"/>
        <v>10471000000</v>
      </c>
      <c r="B5859" s="7" t="str">
        <f t="shared" si="2138"/>
        <v>農芸高等学校</v>
      </c>
      <c r="C5859" s="7" t="str">
        <f t="shared" si="2143"/>
        <v>行政財産</v>
      </c>
      <c r="D5859" s="7" t="str">
        <f t="shared" si="2134"/>
        <v>学校</v>
      </c>
      <c r="E5859" s="7" t="str">
        <f t="shared" si="2139"/>
        <v>大阪府堺市　美原区北余部</v>
      </c>
      <c r="F5859" s="7"/>
      <c r="G5859" s="7" t="str">
        <f t="shared" si="2144"/>
        <v>事業用資産</v>
      </c>
      <c r="H5859" s="7" t="str">
        <f t="shared" si="2136"/>
        <v>棚卸以外</v>
      </c>
      <c r="I5859" s="7">
        <v>135</v>
      </c>
      <c r="J5859" s="7" t="str">
        <f>"植物生産工場温室（２）"</f>
        <v>植物生産工場温室（２）</v>
      </c>
      <c r="K5859" s="7" t="str">
        <f>"軽量鉄骨造"</f>
        <v>軽量鉄骨造</v>
      </c>
      <c r="L5859" s="7" t="str">
        <f>"H02.03.15"</f>
        <v>H02.03.15</v>
      </c>
      <c r="M5859" s="7">
        <v>113.4</v>
      </c>
      <c r="N5859" s="7">
        <v>14138000</v>
      </c>
      <c r="O5859" s="7">
        <v>14137999</v>
      </c>
      <c r="P5859" s="7">
        <v>0</v>
      </c>
      <c r="Q5859" s="7" t="str">
        <f t="shared" si="2145"/>
        <v>教育庁</v>
      </c>
      <c r="R5859" s="7" t="str">
        <f t="shared" si="2140"/>
        <v>農芸高等学校</v>
      </c>
    </row>
    <row r="5860" spans="1:18" s="1" customFormat="1" x14ac:dyDescent="0.45">
      <c r="A5860" s="7" t="str">
        <f t="shared" si="2137"/>
        <v>10471000000</v>
      </c>
      <c r="B5860" s="7" t="str">
        <f t="shared" si="2138"/>
        <v>農芸高等学校</v>
      </c>
      <c r="C5860" s="7" t="str">
        <f t="shared" si="2143"/>
        <v>行政財産</v>
      </c>
      <c r="D5860" s="7" t="str">
        <f t="shared" si="2134"/>
        <v>学校</v>
      </c>
      <c r="E5860" s="7" t="str">
        <f t="shared" si="2139"/>
        <v>大阪府堺市　美原区北余部</v>
      </c>
      <c r="F5860" s="7"/>
      <c r="G5860" s="7" t="str">
        <f t="shared" si="2144"/>
        <v>事業用資産</v>
      </c>
      <c r="H5860" s="7" t="str">
        <f t="shared" si="2136"/>
        <v>棚卸以外</v>
      </c>
      <c r="I5860" s="7">
        <v>136</v>
      </c>
      <c r="J5860" s="7" t="str">
        <f>"雨水槽機械室"</f>
        <v>雨水槽機械室</v>
      </c>
      <c r="K5860" s="7" t="str">
        <f>"鉄筋コンクリート造"</f>
        <v>鉄筋コンクリート造</v>
      </c>
      <c r="L5860" s="7" t="str">
        <f>"S48.09.30"</f>
        <v>S48.09.30</v>
      </c>
      <c r="M5860" s="7">
        <v>15.64</v>
      </c>
      <c r="N5860" s="7">
        <v>20053000</v>
      </c>
      <c r="O5860" s="7">
        <v>17423804</v>
      </c>
      <c r="P5860" s="7">
        <v>0</v>
      </c>
      <c r="Q5860" s="7" t="str">
        <f t="shared" si="2145"/>
        <v>教育庁</v>
      </c>
      <c r="R5860" s="7" t="str">
        <f t="shared" si="2140"/>
        <v>農芸高等学校</v>
      </c>
    </row>
    <row r="5861" spans="1:18" s="1" customFormat="1" x14ac:dyDescent="0.45">
      <c r="A5861" s="7" t="str">
        <f t="shared" ref="A5861:A5870" si="2146">"10471000000"</f>
        <v>10471000000</v>
      </c>
      <c r="B5861" s="7" t="str">
        <f t="shared" ref="B5861:B5870" si="2147">"農芸高等学校"</f>
        <v>農芸高等学校</v>
      </c>
      <c r="C5861" s="7" t="str">
        <f t="shared" si="2143"/>
        <v>行政財産</v>
      </c>
      <c r="D5861" s="7" t="str">
        <f t="shared" si="2134"/>
        <v>学校</v>
      </c>
      <c r="E5861" s="7" t="str">
        <f t="shared" ref="E5861:E5870" si="2148">"大阪府堺市　美原区北余部"</f>
        <v>大阪府堺市　美原区北余部</v>
      </c>
      <c r="F5861" s="7"/>
      <c r="G5861" s="7" t="str">
        <f t="shared" si="2144"/>
        <v>事業用資産</v>
      </c>
      <c r="H5861" s="7" t="str">
        <f t="shared" si="2136"/>
        <v>棚卸以外</v>
      </c>
      <c r="I5861" s="7">
        <v>137</v>
      </c>
      <c r="J5861" s="7" t="str">
        <f>"体育倉庫（１）"</f>
        <v>体育倉庫（１）</v>
      </c>
      <c r="K5861" s="7" t="str">
        <f>"土蔵造(簡易建物)"</f>
        <v>土蔵造(簡易建物)</v>
      </c>
      <c r="L5861" s="7" t="str">
        <f>"H15.03.31"</f>
        <v>H15.03.31</v>
      </c>
      <c r="M5861" s="7">
        <v>8.0399999999999991</v>
      </c>
      <c r="N5861" s="7">
        <v>330000</v>
      </c>
      <c r="O5861" s="7">
        <v>275040</v>
      </c>
      <c r="P5861" s="7">
        <v>0</v>
      </c>
      <c r="Q5861" s="7" t="str">
        <f t="shared" si="2145"/>
        <v>教育庁</v>
      </c>
      <c r="R5861" s="7" t="str">
        <f t="shared" ref="R5861:R5870" si="2149">"農芸高等学校"</f>
        <v>農芸高等学校</v>
      </c>
    </row>
    <row r="5862" spans="1:18" s="1" customFormat="1" x14ac:dyDescent="0.45">
      <c r="A5862" s="7" t="str">
        <f t="shared" si="2146"/>
        <v>10471000000</v>
      </c>
      <c r="B5862" s="7" t="str">
        <f t="shared" si="2147"/>
        <v>農芸高等学校</v>
      </c>
      <c r="C5862" s="7" t="str">
        <f t="shared" si="2143"/>
        <v>行政財産</v>
      </c>
      <c r="D5862" s="7" t="str">
        <f t="shared" si="2134"/>
        <v>学校</v>
      </c>
      <c r="E5862" s="7" t="str">
        <f t="shared" si="2148"/>
        <v>大阪府堺市　美原区北余部</v>
      </c>
      <c r="F5862" s="7"/>
      <c r="G5862" s="7" t="str">
        <f t="shared" si="2144"/>
        <v>事業用資産</v>
      </c>
      <c r="H5862" s="7" t="str">
        <f t="shared" si="2136"/>
        <v>棚卸以外</v>
      </c>
      <c r="I5862" s="7">
        <v>138</v>
      </c>
      <c r="J5862" s="7" t="str">
        <f>"体育倉庫（２）"</f>
        <v>体育倉庫（２）</v>
      </c>
      <c r="K5862" s="7" t="str">
        <f>"土蔵造(簡易建物)"</f>
        <v>土蔵造(簡易建物)</v>
      </c>
      <c r="L5862" s="7" t="str">
        <f>"H15.03.31"</f>
        <v>H15.03.31</v>
      </c>
      <c r="M5862" s="7">
        <v>8.0399999999999991</v>
      </c>
      <c r="N5862" s="7">
        <v>330000</v>
      </c>
      <c r="O5862" s="7">
        <v>275040</v>
      </c>
      <c r="P5862" s="7">
        <v>0</v>
      </c>
      <c r="Q5862" s="7" t="str">
        <f t="shared" si="2145"/>
        <v>教育庁</v>
      </c>
      <c r="R5862" s="7" t="str">
        <f t="shared" si="2149"/>
        <v>農芸高等学校</v>
      </c>
    </row>
    <row r="5863" spans="1:18" s="1" customFormat="1" x14ac:dyDescent="0.45">
      <c r="A5863" s="7" t="str">
        <f t="shared" si="2146"/>
        <v>10471000000</v>
      </c>
      <c r="B5863" s="7" t="str">
        <f t="shared" si="2147"/>
        <v>農芸高等学校</v>
      </c>
      <c r="C5863" s="7" t="str">
        <f t="shared" si="2143"/>
        <v>行政財産</v>
      </c>
      <c r="D5863" s="7" t="str">
        <f t="shared" si="2134"/>
        <v>学校</v>
      </c>
      <c r="E5863" s="7" t="str">
        <f t="shared" si="2148"/>
        <v>大阪府堺市　美原区北余部</v>
      </c>
      <c r="F5863" s="7"/>
      <c r="G5863" s="7" t="str">
        <f t="shared" si="2144"/>
        <v>事業用資産</v>
      </c>
      <c r="H5863" s="7" t="str">
        <f t="shared" si="2136"/>
        <v>棚卸以外</v>
      </c>
      <c r="I5863" s="7">
        <v>139</v>
      </c>
      <c r="J5863" s="7" t="str">
        <f>"体育倉庫（３）"</f>
        <v>体育倉庫（３）</v>
      </c>
      <c r="K5863" s="7" t="str">
        <f>"土蔵造(簡易建物)"</f>
        <v>土蔵造(簡易建物)</v>
      </c>
      <c r="L5863" s="7" t="str">
        <f>"H15.03.31"</f>
        <v>H15.03.31</v>
      </c>
      <c r="M5863" s="7">
        <v>8.0399999999999991</v>
      </c>
      <c r="N5863" s="7">
        <v>330000</v>
      </c>
      <c r="O5863" s="7">
        <v>275040</v>
      </c>
      <c r="P5863" s="7">
        <v>0</v>
      </c>
      <c r="Q5863" s="7" t="str">
        <f t="shared" si="2145"/>
        <v>教育庁</v>
      </c>
      <c r="R5863" s="7" t="str">
        <f t="shared" si="2149"/>
        <v>農芸高等学校</v>
      </c>
    </row>
    <row r="5864" spans="1:18" s="1" customFormat="1" x14ac:dyDescent="0.45">
      <c r="A5864" s="7" t="str">
        <f t="shared" si="2146"/>
        <v>10471000000</v>
      </c>
      <c r="B5864" s="7" t="str">
        <f t="shared" si="2147"/>
        <v>農芸高等学校</v>
      </c>
      <c r="C5864" s="7" t="str">
        <f t="shared" si="2143"/>
        <v>行政財産</v>
      </c>
      <c r="D5864" s="7" t="str">
        <f t="shared" si="2134"/>
        <v>学校</v>
      </c>
      <c r="E5864" s="7" t="str">
        <f t="shared" si="2148"/>
        <v>大阪府堺市　美原区北余部</v>
      </c>
      <c r="F5864" s="7"/>
      <c r="G5864" s="7" t="str">
        <f t="shared" si="2144"/>
        <v>事業用資産</v>
      </c>
      <c r="H5864" s="7" t="str">
        <f t="shared" si="2136"/>
        <v>棚卸以外</v>
      </c>
      <c r="I5864" s="7">
        <v>140</v>
      </c>
      <c r="J5864" s="7" t="str">
        <f>"武道場"</f>
        <v>武道場</v>
      </c>
      <c r="K5864" s="7" t="str">
        <f>"鉄骨造"</f>
        <v>鉄骨造</v>
      </c>
      <c r="L5864" s="7" t="str">
        <f>"H16.12.20"</f>
        <v>H16.12.20</v>
      </c>
      <c r="M5864" s="7">
        <v>524.70000000000005</v>
      </c>
      <c r="N5864" s="7">
        <v>22579431</v>
      </c>
      <c r="O5864" s="7">
        <v>9598446</v>
      </c>
      <c r="P5864" s="7">
        <v>0</v>
      </c>
      <c r="Q5864" s="7" t="str">
        <f t="shared" si="2145"/>
        <v>教育庁</v>
      </c>
      <c r="R5864" s="7" t="str">
        <f t="shared" si="2149"/>
        <v>農芸高等学校</v>
      </c>
    </row>
    <row r="5865" spans="1:18" s="1" customFormat="1" x14ac:dyDescent="0.45">
      <c r="A5865" s="7" t="str">
        <f t="shared" si="2146"/>
        <v>10471000000</v>
      </c>
      <c r="B5865" s="7" t="str">
        <f t="shared" si="2147"/>
        <v>農芸高等学校</v>
      </c>
      <c r="C5865" s="7" t="str">
        <f t="shared" si="2143"/>
        <v>行政財産</v>
      </c>
      <c r="D5865" s="7" t="str">
        <f t="shared" si="2134"/>
        <v>学校</v>
      </c>
      <c r="E5865" s="7" t="str">
        <f t="shared" si="2148"/>
        <v>大阪府堺市　美原区北余部</v>
      </c>
      <c r="F5865" s="7"/>
      <c r="G5865" s="7" t="str">
        <f t="shared" si="2144"/>
        <v>事業用資産</v>
      </c>
      <c r="H5865" s="7" t="str">
        <f t="shared" si="2136"/>
        <v>棚卸以外</v>
      </c>
      <c r="I5865" s="7">
        <v>141</v>
      </c>
      <c r="J5865" s="7" t="str">
        <f>"体育倉庫（４）"</f>
        <v>体育倉庫（４）</v>
      </c>
      <c r="K5865" s="7" t="str">
        <f>"土蔵造(簡易建物)"</f>
        <v>土蔵造(簡易建物)</v>
      </c>
      <c r="L5865" s="7" t="str">
        <f>"H17.03.31"</f>
        <v>H17.03.31</v>
      </c>
      <c r="M5865" s="7">
        <v>9.3000000000000007</v>
      </c>
      <c r="N5865" s="7">
        <v>458000</v>
      </c>
      <c r="O5865" s="7">
        <v>343656</v>
      </c>
      <c r="P5865" s="7">
        <v>0</v>
      </c>
      <c r="Q5865" s="7" t="str">
        <f t="shared" si="2145"/>
        <v>教育庁</v>
      </c>
      <c r="R5865" s="7" t="str">
        <f t="shared" si="2149"/>
        <v>農芸高等学校</v>
      </c>
    </row>
    <row r="5866" spans="1:18" s="1" customFormat="1" x14ac:dyDescent="0.45">
      <c r="A5866" s="7" t="str">
        <f t="shared" si="2146"/>
        <v>10471000000</v>
      </c>
      <c r="B5866" s="7" t="str">
        <f t="shared" si="2147"/>
        <v>農芸高等学校</v>
      </c>
      <c r="C5866" s="7" t="str">
        <f t="shared" si="2143"/>
        <v>行政財産</v>
      </c>
      <c r="D5866" s="7" t="str">
        <f t="shared" si="2134"/>
        <v>学校</v>
      </c>
      <c r="E5866" s="7" t="str">
        <f t="shared" si="2148"/>
        <v>大阪府堺市　美原区北余部</v>
      </c>
      <c r="F5866" s="7"/>
      <c r="G5866" s="7" t="str">
        <f t="shared" si="2144"/>
        <v>事業用資産</v>
      </c>
      <c r="H5866" s="7" t="str">
        <f t="shared" si="2136"/>
        <v>棚卸以外</v>
      </c>
      <c r="I5866" s="7">
        <v>142</v>
      </c>
      <c r="J5866" s="7" t="str">
        <f>"体育倉庫（５）"</f>
        <v>体育倉庫（５）</v>
      </c>
      <c r="K5866" s="7" t="str">
        <f>"土蔵造(簡易建物)"</f>
        <v>土蔵造(簡易建物)</v>
      </c>
      <c r="L5866" s="7" t="str">
        <f>"H17.03.31"</f>
        <v>H17.03.31</v>
      </c>
      <c r="M5866" s="7">
        <v>9.3000000000000007</v>
      </c>
      <c r="N5866" s="7">
        <v>458000</v>
      </c>
      <c r="O5866" s="7">
        <v>343656</v>
      </c>
      <c r="P5866" s="7">
        <v>0</v>
      </c>
      <c r="Q5866" s="7" t="str">
        <f t="shared" si="2145"/>
        <v>教育庁</v>
      </c>
      <c r="R5866" s="7" t="str">
        <f t="shared" si="2149"/>
        <v>農芸高等学校</v>
      </c>
    </row>
    <row r="5867" spans="1:18" s="1" customFormat="1" x14ac:dyDescent="0.45">
      <c r="A5867" s="7" t="str">
        <f t="shared" si="2146"/>
        <v>10471000000</v>
      </c>
      <c r="B5867" s="7" t="str">
        <f t="shared" si="2147"/>
        <v>農芸高等学校</v>
      </c>
      <c r="C5867" s="7" t="str">
        <f t="shared" si="2143"/>
        <v>行政財産</v>
      </c>
      <c r="D5867" s="7" t="str">
        <f t="shared" si="2134"/>
        <v>学校</v>
      </c>
      <c r="E5867" s="7" t="str">
        <f t="shared" si="2148"/>
        <v>大阪府堺市　美原区北余部</v>
      </c>
      <c r="F5867" s="7"/>
      <c r="G5867" s="7" t="str">
        <f t="shared" si="2144"/>
        <v>事業用資産</v>
      </c>
      <c r="H5867" s="7" t="str">
        <f t="shared" si="2136"/>
        <v>棚卸以外</v>
      </c>
      <c r="I5867" s="7">
        <v>143</v>
      </c>
      <c r="J5867" s="7" t="str">
        <f>"販売所"</f>
        <v>販売所</v>
      </c>
      <c r="K5867" s="7" t="str">
        <f>"鉄骨造"</f>
        <v>鉄骨造</v>
      </c>
      <c r="L5867" s="7" t="str">
        <f>"H19.03.12"</f>
        <v>H19.03.12</v>
      </c>
      <c r="M5867" s="7">
        <v>27.36</v>
      </c>
      <c r="N5867" s="7">
        <v>4833000</v>
      </c>
      <c r="O5867" s="7">
        <v>2274432</v>
      </c>
      <c r="P5867" s="7">
        <v>0</v>
      </c>
      <c r="Q5867" s="7" t="str">
        <f t="shared" si="2145"/>
        <v>教育庁</v>
      </c>
      <c r="R5867" s="7" t="str">
        <f t="shared" si="2149"/>
        <v>農芸高等学校</v>
      </c>
    </row>
    <row r="5868" spans="1:18" s="1" customFormat="1" x14ac:dyDescent="0.45">
      <c r="A5868" s="7" t="str">
        <f t="shared" si="2146"/>
        <v>10471000000</v>
      </c>
      <c r="B5868" s="7" t="str">
        <f t="shared" si="2147"/>
        <v>農芸高等学校</v>
      </c>
      <c r="C5868" s="7" t="str">
        <f t="shared" si="2143"/>
        <v>行政財産</v>
      </c>
      <c r="D5868" s="7" t="str">
        <f t="shared" si="2134"/>
        <v>学校</v>
      </c>
      <c r="E5868" s="7" t="str">
        <f t="shared" si="2148"/>
        <v>大阪府堺市　美原区北余部</v>
      </c>
      <c r="F5868" s="7"/>
      <c r="G5868" s="7" t="str">
        <f t="shared" si="2144"/>
        <v>事業用資産</v>
      </c>
      <c r="H5868" s="7" t="str">
        <f t="shared" si="2136"/>
        <v>棚卸以外</v>
      </c>
      <c r="I5868" s="7">
        <v>144</v>
      </c>
      <c r="J5868" s="7" t="str">
        <f>"水禽舎"</f>
        <v>水禽舎</v>
      </c>
      <c r="K5868" s="7" t="str">
        <f>"軽量鉄骨造"</f>
        <v>軽量鉄骨造</v>
      </c>
      <c r="L5868" s="7" t="str">
        <f>"R04.03.03"</f>
        <v>R04.03.03</v>
      </c>
      <c r="M5868" s="7">
        <v>522.91</v>
      </c>
      <c r="N5868" s="7">
        <v>217675515</v>
      </c>
      <c r="O5868" s="7">
        <v>9069816</v>
      </c>
      <c r="P5868" s="7">
        <v>0</v>
      </c>
      <c r="Q5868" s="7" t="str">
        <f t="shared" si="2145"/>
        <v>教育庁</v>
      </c>
      <c r="R5868" s="7" t="str">
        <f t="shared" si="2149"/>
        <v>農芸高等学校</v>
      </c>
    </row>
    <row r="5869" spans="1:18" s="1" customFormat="1" x14ac:dyDescent="0.45">
      <c r="A5869" s="7" t="str">
        <f t="shared" si="2146"/>
        <v>10471000000</v>
      </c>
      <c r="B5869" s="7" t="str">
        <f t="shared" si="2147"/>
        <v>農芸高等学校</v>
      </c>
      <c r="C5869" s="7" t="str">
        <f t="shared" si="2143"/>
        <v>行政財産</v>
      </c>
      <c r="D5869" s="7" t="str">
        <f t="shared" si="2134"/>
        <v>学校</v>
      </c>
      <c r="E5869" s="7" t="str">
        <f t="shared" si="2148"/>
        <v>大阪府堺市　美原区北余部</v>
      </c>
      <c r="F5869" s="7"/>
      <c r="G5869" s="7" t="str">
        <f t="shared" si="2144"/>
        <v>事業用資産</v>
      </c>
      <c r="H5869" s="7" t="str">
        <f t="shared" si="2136"/>
        <v>棚卸以外</v>
      </c>
      <c r="I5869" s="7">
        <v>145</v>
      </c>
      <c r="J5869" s="7" t="str">
        <f>"鶏舎"</f>
        <v>鶏舎</v>
      </c>
      <c r="K5869" s="7" t="str">
        <f>"軽量鉄骨造"</f>
        <v>軽量鉄骨造</v>
      </c>
      <c r="L5869" s="7" t="str">
        <f>"R04.03.03"</f>
        <v>R04.03.03</v>
      </c>
      <c r="M5869" s="7">
        <v>152.55000000000001</v>
      </c>
      <c r="N5869" s="7">
        <v>62461988</v>
      </c>
      <c r="O5869" s="7">
        <v>2602584</v>
      </c>
      <c r="P5869" s="7">
        <v>0</v>
      </c>
      <c r="Q5869" s="7" t="str">
        <f t="shared" si="2145"/>
        <v>教育庁</v>
      </c>
      <c r="R5869" s="7" t="str">
        <f t="shared" si="2149"/>
        <v>農芸高等学校</v>
      </c>
    </row>
    <row r="5870" spans="1:18" s="1" customFormat="1" x14ac:dyDescent="0.45">
      <c r="A5870" s="7" t="str">
        <f t="shared" si="2146"/>
        <v>10471000000</v>
      </c>
      <c r="B5870" s="7" t="str">
        <f t="shared" si="2147"/>
        <v>農芸高等学校</v>
      </c>
      <c r="C5870" s="7" t="str">
        <f t="shared" si="2143"/>
        <v>行政財産</v>
      </c>
      <c r="D5870" s="7" t="str">
        <f t="shared" si="2134"/>
        <v>学校</v>
      </c>
      <c r="E5870" s="7" t="str">
        <f t="shared" si="2148"/>
        <v>大阪府堺市　美原区北余部</v>
      </c>
      <c r="F5870" s="7"/>
      <c r="G5870" s="7" t="str">
        <f t="shared" si="2144"/>
        <v>事業用資産</v>
      </c>
      <c r="H5870" s="7" t="str">
        <f t="shared" si="2136"/>
        <v>棚卸以外</v>
      </c>
      <c r="I5870" s="7">
        <v>146</v>
      </c>
      <c r="J5870" s="7" t="str">
        <f>"多目的トイレ"</f>
        <v>多目的トイレ</v>
      </c>
      <c r="K5870" s="7" t="str">
        <f>"軽量鉄骨造"</f>
        <v>軽量鉄骨造</v>
      </c>
      <c r="L5870" s="7" t="str">
        <f>"R04.03.03"</f>
        <v>R04.03.03</v>
      </c>
      <c r="M5870" s="7">
        <v>4.18</v>
      </c>
      <c r="N5870" s="7">
        <v>4018386</v>
      </c>
      <c r="O5870" s="7">
        <v>167436</v>
      </c>
      <c r="P5870" s="7">
        <v>0</v>
      </c>
      <c r="Q5870" s="7" t="str">
        <f t="shared" si="2145"/>
        <v>教育庁</v>
      </c>
      <c r="R5870" s="7" t="str">
        <f t="shared" si="2149"/>
        <v>農芸高等学校</v>
      </c>
    </row>
    <row r="5871" spans="1:18" s="1" customFormat="1" x14ac:dyDescent="0.45">
      <c r="A5871" s="7" t="str">
        <f t="shared" ref="A5871:A5882" si="2150">"10485000000"</f>
        <v>10485000000</v>
      </c>
      <c r="B5871" s="7" t="str">
        <f t="shared" ref="B5871:B5882" si="2151">"門真なみはや高校"</f>
        <v>門真なみはや高校</v>
      </c>
      <c r="C5871" s="7" t="str">
        <f t="shared" si="2143"/>
        <v>行政財産</v>
      </c>
      <c r="D5871" s="7" t="str">
        <f t="shared" si="2134"/>
        <v>学校</v>
      </c>
      <c r="E5871" s="7" t="str">
        <f t="shared" ref="E5871:E5882" si="2152">"大阪府門真市島頭４丁目"</f>
        <v>大阪府門真市島頭４丁目</v>
      </c>
      <c r="F5871" s="7"/>
      <c r="G5871" s="7" t="str">
        <f t="shared" si="2144"/>
        <v>事業用資産</v>
      </c>
      <c r="H5871" s="7" t="str">
        <f t="shared" si="2136"/>
        <v>棚卸以外</v>
      </c>
      <c r="I5871" s="7">
        <v>1</v>
      </c>
      <c r="J5871" s="7" t="str">
        <f>"普通教室棟（第１棟）"</f>
        <v>普通教室棟（第１棟）</v>
      </c>
      <c r="K5871" s="7" t="str">
        <f>"鉄筋コンクリート造"</f>
        <v>鉄筋コンクリート造</v>
      </c>
      <c r="L5871" s="7" t="str">
        <f>"S46.04.01"</f>
        <v>S46.04.01</v>
      </c>
      <c r="M5871" s="7">
        <v>2059.86</v>
      </c>
      <c r="N5871" s="7">
        <v>199347737</v>
      </c>
      <c r="O5871" s="7">
        <v>137998373</v>
      </c>
      <c r="P5871" s="7">
        <v>0</v>
      </c>
      <c r="Q5871" s="7" t="str">
        <f t="shared" si="2145"/>
        <v>教育庁</v>
      </c>
      <c r="R5871" s="7" t="str">
        <f t="shared" ref="R5871:R5882" si="2153">"門真なみはや高等学校"</f>
        <v>門真なみはや高等学校</v>
      </c>
    </row>
    <row r="5872" spans="1:18" s="1" customFormat="1" x14ac:dyDescent="0.45">
      <c r="A5872" s="7" t="str">
        <f t="shared" si="2150"/>
        <v>10485000000</v>
      </c>
      <c r="B5872" s="7" t="str">
        <f t="shared" si="2151"/>
        <v>門真なみはや高校</v>
      </c>
      <c r="C5872" s="7" t="str">
        <f t="shared" si="2143"/>
        <v>行政財産</v>
      </c>
      <c r="D5872" s="7" t="str">
        <f t="shared" si="2134"/>
        <v>学校</v>
      </c>
      <c r="E5872" s="7" t="str">
        <f t="shared" si="2152"/>
        <v>大阪府門真市島頭４丁目</v>
      </c>
      <c r="F5872" s="7"/>
      <c r="G5872" s="7" t="str">
        <f t="shared" si="2144"/>
        <v>事業用資産</v>
      </c>
      <c r="H5872" s="7" t="str">
        <f t="shared" si="2136"/>
        <v>棚卸以外</v>
      </c>
      <c r="I5872" s="7">
        <v>2</v>
      </c>
      <c r="J5872" s="7" t="str">
        <f>"設備棟"</f>
        <v>設備棟</v>
      </c>
      <c r="K5872" s="7" t="str">
        <f>"鉄筋コンクリート造"</f>
        <v>鉄筋コンクリート造</v>
      </c>
      <c r="L5872" s="7" t="str">
        <f>"S46.04.01"</f>
        <v>S46.04.01</v>
      </c>
      <c r="M5872" s="7">
        <v>93</v>
      </c>
      <c r="N5872" s="7">
        <v>18097701</v>
      </c>
      <c r="O5872" s="7">
        <v>17200100</v>
      </c>
      <c r="P5872" s="7">
        <v>0</v>
      </c>
      <c r="Q5872" s="7" t="str">
        <f t="shared" si="2145"/>
        <v>教育庁</v>
      </c>
      <c r="R5872" s="7" t="str">
        <f t="shared" si="2153"/>
        <v>門真なみはや高等学校</v>
      </c>
    </row>
    <row r="5873" spans="1:18" s="1" customFormat="1" x14ac:dyDescent="0.45">
      <c r="A5873" s="7" t="str">
        <f t="shared" si="2150"/>
        <v>10485000000</v>
      </c>
      <c r="B5873" s="7" t="str">
        <f t="shared" si="2151"/>
        <v>門真なみはや高校</v>
      </c>
      <c r="C5873" s="7" t="str">
        <f t="shared" si="2143"/>
        <v>行政財産</v>
      </c>
      <c r="D5873" s="7" t="str">
        <f t="shared" si="2134"/>
        <v>学校</v>
      </c>
      <c r="E5873" s="7" t="str">
        <f t="shared" si="2152"/>
        <v>大阪府門真市島頭４丁目</v>
      </c>
      <c r="F5873" s="7"/>
      <c r="G5873" s="7" t="str">
        <f t="shared" si="2144"/>
        <v>事業用資産</v>
      </c>
      <c r="H5873" s="7" t="str">
        <f t="shared" si="2136"/>
        <v>棚卸以外</v>
      </c>
      <c r="I5873" s="7">
        <v>4</v>
      </c>
      <c r="J5873" s="7" t="str">
        <f>"生徒更衣室"</f>
        <v>生徒更衣室</v>
      </c>
      <c r="K5873" s="7" t="str">
        <f>"軽量鉄骨造"</f>
        <v>軽量鉄骨造</v>
      </c>
      <c r="L5873" s="7" t="str">
        <f>"S46.04.01"</f>
        <v>S46.04.01</v>
      </c>
      <c r="M5873" s="7">
        <v>100</v>
      </c>
      <c r="N5873" s="7">
        <v>2312000</v>
      </c>
      <c r="O5873" s="7">
        <v>2311999</v>
      </c>
      <c r="P5873" s="7">
        <v>0</v>
      </c>
      <c r="Q5873" s="7" t="str">
        <f t="shared" si="2145"/>
        <v>教育庁</v>
      </c>
      <c r="R5873" s="7" t="str">
        <f t="shared" si="2153"/>
        <v>門真なみはや高等学校</v>
      </c>
    </row>
    <row r="5874" spans="1:18" s="1" customFormat="1" x14ac:dyDescent="0.45">
      <c r="A5874" s="7" t="str">
        <f t="shared" si="2150"/>
        <v>10485000000</v>
      </c>
      <c r="B5874" s="7" t="str">
        <f t="shared" si="2151"/>
        <v>門真なみはや高校</v>
      </c>
      <c r="C5874" s="7" t="str">
        <f t="shared" si="2143"/>
        <v>行政財産</v>
      </c>
      <c r="D5874" s="7" t="str">
        <f t="shared" si="2134"/>
        <v>学校</v>
      </c>
      <c r="E5874" s="7" t="str">
        <f t="shared" si="2152"/>
        <v>大阪府門真市島頭４丁目</v>
      </c>
      <c r="F5874" s="7"/>
      <c r="G5874" s="7" t="str">
        <f t="shared" si="2144"/>
        <v>事業用資産</v>
      </c>
      <c r="H5874" s="7" t="str">
        <f t="shared" si="2136"/>
        <v>棚卸以外</v>
      </c>
      <c r="I5874" s="7">
        <v>5</v>
      </c>
      <c r="J5874" s="7" t="str">
        <f>"門衛棟"</f>
        <v>門衛棟</v>
      </c>
      <c r="K5874" s="7" t="str">
        <f>"鉄筋コンクリート造"</f>
        <v>鉄筋コンクリート造</v>
      </c>
      <c r="L5874" s="7" t="str">
        <f>"S46.04.01"</f>
        <v>S46.04.01</v>
      </c>
      <c r="M5874" s="7">
        <v>10.24</v>
      </c>
      <c r="N5874" s="7">
        <v>1347000</v>
      </c>
      <c r="O5874" s="7">
        <v>1346999</v>
      </c>
      <c r="P5874" s="7">
        <v>0</v>
      </c>
      <c r="Q5874" s="7" t="str">
        <f t="shared" si="2145"/>
        <v>教育庁</v>
      </c>
      <c r="R5874" s="7" t="str">
        <f t="shared" si="2153"/>
        <v>門真なみはや高等学校</v>
      </c>
    </row>
    <row r="5875" spans="1:18" s="1" customFormat="1" x14ac:dyDescent="0.45">
      <c r="A5875" s="7" t="str">
        <f t="shared" si="2150"/>
        <v>10485000000</v>
      </c>
      <c r="B5875" s="7" t="str">
        <f t="shared" si="2151"/>
        <v>門真なみはや高校</v>
      </c>
      <c r="C5875" s="7" t="str">
        <f t="shared" si="2143"/>
        <v>行政財産</v>
      </c>
      <c r="D5875" s="7" t="str">
        <f t="shared" si="2134"/>
        <v>学校</v>
      </c>
      <c r="E5875" s="7" t="str">
        <f t="shared" si="2152"/>
        <v>大阪府門真市島頭４丁目</v>
      </c>
      <c r="F5875" s="7"/>
      <c r="G5875" s="7" t="str">
        <f t="shared" si="2144"/>
        <v>事業用資産</v>
      </c>
      <c r="H5875" s="7" t="str">
        <f t="shared" si="2136"/>
        <v>棚卸以外</v>
      </c>
      <c r="I5875" s="7">
        <v>6</v>
      </c>
      <c r="J5875" s="7" t="str">
        <f>"普通教室棟（第２棟）"</f>
        <v>普通教室棟（第２棟）</v>
      </c>
      <c r="K5875" s="7" t="str">
        <f>"鉄筋コンクリート造"</f>
        <v>鉄筋コンクリート造</v>
      </c>
      <c r="L5875" s="7" t="str">
        <f>"S47.04.01"</f>
        <v>S47.04.01</v>
      </c>
      <c r="M5875" s="7">
        <v>2207.65</v>
      </c>
      <c r="N5875" s="7">
        <v>270458988</v>
      </c>
      <c r="O5875" s="7">
        <v>154300847</v>
      </c>
      <c r="P5875" s="7">
        <v>0</v>
      </c>
      <c r="Q5875" s="7" t="str">
        <f t="shared" si="2145"/>
        <v>教育庁</v>
      </c>
      <c r="R5875" s="7" t="str">
        <f t="shared" si="2153"/>
        <v>門真なみはや高等学校</v>
      </c>
    </row>
    <row r="5876" spans="1:18" s="1" customFormat="1" x14ac:dyDescent="0.45">
      <c r="A5876" s="7" t="str">
        <f t="shared" si="2150"/>
        <v>10485000000</v>
      </c>
      <c r="B5876" s="7" t="str">
        <f t="shared" si="2151"/>
        <v>門真なみはや高校</v>
      </c>
      <c r="C5876" s="7" t="str">
        <f t="shared" si="2143"/>
        <v>行政財産</v>
      </c>
      <c r="D5876" s="7" t="str">
        <f t="shared" si="2134"/>
        <v>学校</v>
      </c>
      <c r="E5876" s="7" t="str">
        <f t="shared" si="2152"/>
        <v>大阪府門真市島頭４丁目</v>
      </c>
      <c r="F5876" s="7"/>
      <c r="G5876" s="7" t="str">
        <f t="shared" si="2144"/>
        <v>事業用資産</v>
      </c>
      <c r="H5876" s="7" t="str">
        <f t="shared" si="2136"/>
        <v>棚卸以外</v>
      </c>
      <c r="I5876" s="7">
        <v>7</v>
      </c>
      <c r="J5876" s="7" t="str">
        <f>"特別教室棟（第３棟）"</f>
        <v>特別教室棟（第３棟）</v>
      </c>
      <c r="K5876" s="7" t="str">
        <f>"鉄筋コンクリート造"</f>
        <v>鉄筋コンクリート造</v>
      </c>
      <c r="L5876" s="7" t="str">
        <f>"S47.04.01"</f>
        <v>S47.04.01</v>
      </c>
      <c r="M5876" s="7">
        <v>3238.38</v>
      </c>
      <c r="N5876" s="7">
        <v>249404157</v>
      </c>
      <c r="O5876" s="7">
        <v>203385316</v>
      </c>
      <c r="P5876" s="7">
        <v>0</v>
      </c>
      <c r="Q5876" s="7" t="str">
        <f t="shared" si="2145"/>
        <v>教育庁</v>
      </c>
      <c r="R5876" s="7" t="str">
        <f t="shared" si="2153"/>
        <v>門真なみはや高等学校</v>
      </c>
    </row>
    <row r="5877" spans="1:18" s="1" customFormat="1" x14ac:dyDescent="0.45">
      <c r="A5877" s="7" t="str">
        <f t="shared" si="2150"/>
        <v>10485000000</v>
      </c>
      <c r="B5877" s="7" t="str">
        <f t="shared" si="2151"/>
        <v>門真なみはや高校</v>
      </c>
      <c r="C5877" s="7" t="str">
        <f t="shared" si="2143"/>
        <v>行政財産</v>
      </c>
      <c r="D5877" s="7" t="str">
        <f t="shared" si="2134"/>
        <v>学校</v>
      </c>
      <c r="E5877" s="7" t="str">
        <f t="shared" si="2152"/>
        <v>大阪府門真市島頭４丁目</v>
      </c>
      <c r="F5877" s="7"/>
      <c r="G5877" s="7" t="str">
        <f t="shared" si="2144"/>
        <v>事業用資産</v>
      </c>
      <c r="H5877" s="7" t="str">
        <f t="shared" si="2136"/>
        <v>棚卸以外</v>
      </c>
      <c r="I5877" s="7">
        <v>10</v>
      </c>
      <c r="J5877" s="7" t="str">
        <f>"体育館"</f>
        <v>体育館</v>
      </c>
      <c r="K5877" s="7" t="str">
        <f>"鉄筋コンクリート造"</f>
        <v>鉄筋コンクリート造</v>
      </c>
      <c r="L5877" s="7" t="str">
        <f>"S47.07.31"</f>
        <v>S47.07.31</v>
      </c>
      <c r="M5877" s="7">
        <v>2417.9499999999998</v>
      </c>
      <c r="N5877" s="7">
        <v>205460296</v>
      </c>
      <c r="O5877" s="7">
        <v>153440423</v>
      </c>
      <c r="P5877" s="7">
        <v>0</v>
      </c>
      <c r="Q5877" s="7" t="str">
        <f t="shared" si="2145"/>
        <v>教育庁</v>
      </c>
      <c r="R5877" s="7" t="str">
        <f t="shared" si="2153"/>
        <v>門真なみはや高等学校</v>
      </c>
    </row>
    <row r="5878" spans="1:18" s="1" customFormat="1" x14ac:dyDescent="0.45">
      <c r="A5878" s="7" t="str">
        <f t="shared" si="2150"/>
        <v>10485000000</v>
      </c>
      <c r="B5878" s="7" t="str">
        <f t="shared" si="2151"/>
        <v>門真なみはや高校</v>
      </c>
      <c r="C5878" s="7" t="str">
        <f t="shared" si="2143"/>
        <v>行政財産</v>
      </c>
      <c r="D5878" s="7" t="str">
        <f t="shared" si="2134"/>
        <v>学校</v>
      </c>
      <c r="E5878" s="7" t="str">
        <f t="shared" si="2152"/>
        <v>大阪府門真市島頭４丁目</v>
      </c>
      <c r="F5878" s="7"/>
      <c r="G5878" s="7" t="str">
        <f t="shared" si="2144"/>
        <v>事業用資産</v>
      </c>
      <c r="H5878" s="7" t="str">
        <f t="shared" si="2136"/>
        <v>棚卸以外</v>
      </c>
      <c r="I5878" s="7">
        <v>11</v>
      </c>
      <c r="J5878" s="7" t="str">
        <f>"附属棟"</f>
        <v>附属棟</v>
      </c>
      <c r="K5878" s="7" t="str">
        <f>"無筋コンクリート造"</f>
        <v>無筋コンクリート造</v>
      </c>
      <c r="L5878" s="7" t="str">
        <f>"S47.08.10"</f>
        <v>S47.08.10</v>
      </c>
      <c r="M5878" s="7">
        <v>128.4</v>
      </c>
      <c r="N5878" s="7">
        <v>16123000</v>
      </c>
      <c r="O5878" s="7">
        <v>16122999</v>
      </c>
      <c r="P5878" s="7">
        <v>0</v>
      </c>
      <c r="Q5878" s="7" t="str">
        <f t="shared" si="2145"/>
        <v>教育庁</v>
      </c>
      <c r="R5878" s="7" t="str">
        <f t="shared" si="2153"/>
        <v>門真なみはや高等学校</v>
      </c>
    </row>
    <row r="5879" spans="1:18" s="1" customFormat="1" x14ac:dyDescent="0.45">
      <c r="A5879" s="7" t="str">
        <f t="shared" si="2150"/>
        <v>10485000000</v>
      </c>
      <c r="B5879" s="7" t="str">
        <f t="shared" si="2151"/>
        <v>門真なみはや高校</v>
      </c>
      <c r="C5879" s="7" t="str">
        <f t="shared" si="2143"/>
        <v>行政財産</v>
      </c>
      <c r="D5879" s="7" t="str">
        <f t="shared" si="2134"/>
        <v>学校</v>
      </c>
      <c r="E5879" s="7" t="str">
        <f t="shared" si="2152"/>
        <v>大阪府門真市島頭４丁目</v>
      </c>
      <c r="F5879" s="7"/>
      <c r="G5879" s="7" t="str">
        <f t="shared" si="2144"/>
        <v>事業用資産</v>
      </c>
      <c r="H5879" s="7" t="str">
        <f t="shared" si="2136"/>
        <v>棚卸以外</v>
      </c>
      <c r="I5879" s="7">
        <v>12</v>
      </c>
      <c r="J5879" s="7" t="str">
        <f>"特別教室棟（第４棟）"</f>
        <v>特別教室棟（第４棟）</v>
      </c>
      <c r="K5879" s="7" t="str">
        <f>"鉄筋コンクリート造"</f>
        <v>鉄筋コンクリート造</v>
      </c>
      <c r="L5879" s="7" t="str">
        <f>"S48.02.28"</f>
        <v>S48.02.28</v>
      </c>
      <c r="M5879" s="7">
        <v>3256.26</v>
      </c>
      <c r="N5879" s="7">
        <v>258533809</v>
      </c>
      <c r="O5879" s="7">
        <v>184804954</v>
      </c>
      <c r="P5879" s="7">
        <v>0</v>
      </c>
      <c r="Q5879" s="7" t="str">
        <f t="shared" si="2145"/>
        <v>教育庁</v>
      </c>
      <c r="R5879" s="7" t="str">
        <f t="shared" si="2153"/>
        <v>門真なみはや高等学校</v>
      </c>
    </row>
    <row r="5880" spans="1:18" s="1" customFormat="1" x14ac:dyDescent="0.45">
      <c r="A5880" s="7" t="str">
        <f t="shared" si="2150"/>
        <v>10485000000</v>
      </c>
      <c r="B5880" s="7" t="str">
        <f t="shared" si="2151"/>
        <v>門真なみはや高校</v>
      </c>
      <c r="C5880" s="7" t="str">
        <f t="shared" si="2143"/>
        <v>行政財産</v>
      </c>
      <c r="D5880" s="7" t="str">
        <f t="shared" si="2134"/>
        <v>学校</v>
      </c>
      <c r="E5880" s="7" t="str">
        <f t="shared" si="2152"/>
        <v>大阪府門真市島頭４丁目</v>
      </c>
      <c r="F5880" s="7"/>
      <c r="G5880" s="7" t="str">
        <f t="shared" si="2144"/>
        <v>事業用資産</v>
      </c>
      <c r="H5880" s="7" t="str">
        <f t="shared" si="2136"/>
        <v>棚卸以外</v>
      </c>
      <c r="I5880" s="7">
        <v>13</v>
      </c>
      <c r="J5880" s="7" t="str">
        <f>"食堂棟"</f>
        <v>食堂棟</v>
      </c>
      <c r="K5880" s="7" t="str">
        <f>"鉄骨造"</f>
        <v>鉄骨造</v>
      </c>
      <c r="L5880" s="7" t="str">
        <f>"S48.02.28"</f>
        <v>S48.02.28</v>
      </c>
      <c r="M5880" s="7">
        <v>307.2</v>
      </c>
      <c r="N5880" s="7">
        <v>35152000</v>
      </c>
      <c r="O5880" s="7">
        <v>31952702</v>
      </c>
      <c r="P5880" s="7">
        <v>0</v>
      </c>
      <c r="Q5880" s="7" t="str">
        <f t="shared" si="2145"/>
        <v>教育庁</v>
      </c>
      <c r="R5880" s="7" t="str">
        <f t="shared" si="2153"/>
        <v>門真なみはや高等学校</v>
      </c>
    </row>
    <row r="5881" spans="1:18" s="1" customFormat="1" x14ac:dyDescent="0.45">
      <c r="A5881" s="7" t="str">
        <f t="shared" si="2150"/>
        <v>10485000000</v>
      </c>
      <c r="B5881" s="7" t="str">
        <f t="shared" si="2151"/>
        <v>門真なみはや高校</v>
      </c>
      <c r="C5881" s="7" t="str">
        <f t="shared" si="2143"/>
        <v>行政財産</v>
      </c>
      <c r="D5881" s="7" t="str">
        <f t="shared" ref="D5881:D5944" si="2154">"学校"</f>
        <v>学校</v>
      </c>
      <c r="E5881" s="7" t="str">
        <f t="shared" si="2152"/>
        <v>大阪府門真市島頭４丁目</v>
      </c>
      <c r="F5881" s="7"/>
      <c r="G5881" s="7" t="str">
        <f t="shared" si="2144"/>
        <v>事業用資産</v>
      </c>
      <c r="H5881" s="7" t="str">
        <f t="shared" si="2136"/>
        <v>棚卸以外</v>
      </c>
      <c r="I5881" s="7">
        <v>16</v>
      </c>
      <c r="J5881" s="7" t="str">
        <f>"普通教室棟（第５棟）"</f>
        <v>普通教室棟（第５棟）</v>
      </c>
      <c r="K5881" s="7" t="str">
        <f>"鉄筋コンクリート造"</f>
        <v>鉄筋コンクリート造</v>
      </c>
      <c r="L5881" s="7" t="str">
        <f>"S55.04.30"</f>
        <v>S55.04.30</v>
      </c>
      <c r="M5881" s="7">
        <v>682.5</v>
      </c>
      <c r="N5881" s="7">
        <v>122125240</v>
      </c>
      <c r="O5881" s="7">
        <v>93843631</v>
      </c>
      <c r="P5881" s="7">
        <v>0</v>
      </c>
      <c r="Q5881" s="7" t="str">
        <f t="shared" si="2145"/>
        <v>教育庁</v>
      </c>
      <c r="R5881" s="7" t="str">
        <f t="shared" si="2153"/>
        <v>門真なみはや高等学校</v>
      </c>
    </row>
    <row r="5882" spans="1:18" s="1" customFormat="1" x14ac:dyDescent="0.45">
      <c r="A5882" s="7" t="str">
        <f t="shared" si="2150"/>
        <v>10485000000</v>
      </c>
      <c r="B5882" s="7" t="str">
        <f t="shared" si="2151"/>
        <v>門真なみはや高校</v>
      </c>
      <c r="C5882" s="7" t="str">
        <f t="shared" si="2143"/>
        <v>行政財産</v>
      </c>
      <c r="D5882" s="7" t="str">
        <f t="shared" si="2154"/>
        <v>学校</v>
      </c>
      <c r="E5882" s="7" t="str">
        <f t="shared" si="2152"/>
        <v>大阪府門真市島頭４丁目</v>
      </c>
      <c r="F5882" s="7"/>
      <c r="G5882" s="7" t="str">
        <f t="shared" si="2144"/>
        <v>事業用資産</v>
      </c>
      <c r="H5882" s="7" t="str">
        <f t="shared" si="2136"/>
        <v>棚卸以外</v>
      </c>
      <c r="I5882" s="7">
        <v>19</v>
      </c>
      <c r="J5882" s="7" t="str">
        <f>"倉庫棟（クラブ棟）"</f>
        <v>倉庫棟（クラブ棟）</v>
      </c>
      <c r="K5882" s="7" t="str">
        <f>"鉄骨造"</f>
        <v>鉄骨造</v>
      </c>
      <c r="L5882" s="7" t="str">
        <f>"H18.03.31"</f>
        <v>H18.03.31</v>
      </c>
      <c r="M5882" s="7">
        <v>97.2</v>
      </c>
      <c r="N5882" s="7">
        <v>14642000</v>
      </c>
      <c r="O5882" s="7">
        <v>7321152</v>
      </c>
      <c r="P5882" s="7">
        <v>0</v>
      </c>
      <c r="Q5882" s="7" t="str">
        <f t="shared" si="2145"/>
        <v>教育庁</v>
      </c>
      <c r="R5882" s="7" t="str">
        <f t="shared" si="2153"/>
        <v>門真なみはや高等学校</v>
      </c>
    </row>
    <row r="5883" spans="1:18" s="1" customFormat="1" x14ac:dyDescent="0.45">
      <c r="A5883" s="7" t="str">
        <f t="shared" ref="A5883:A5906" si="2155">"10486000018"</f>
        <v>10486000018</v>
      </c>
      <c r="B5883" s="7" t="str">
        <f t="shared" ref="B5883:B5906" si="2156">"枚岡樟風高等学校"</f>
        <v>枚岡樟風高等学校</v>
      </c>
      <c r="C5883" s="7" t="str">
        <f t="shared" si="2143"/>
        <v>行政財産</v>
      </c>
      <c r="D5883" s="7" t="str">
        <f t="shared" si="2154"/>
        <v>学校</v>
      </c>
      <c r="E5883" s="7" t="str">
        <f t="shared" ref="E5883:E5906" si="2157">"大阪府東大阪市鷹殿町"</f>
        <v>大阪府東大阪市鷹殿町</v>
      </c>
      <c r="F5883" s="7"/>
      <c r="G5883" s="7" t="str">
        <f t="shared" si="2144"/>
        <v>事業用資産</v>
      </c>
      <c r="H5883" s="7" t="str">
        <f t="shared" si="2136"/>
        <v>棚卸以外</v>
      </c>
      <c r="I5883" s="7">
        <v>4</v>
      </c>
      <c r="J5883" s="7" t="str">
        <f>"２号館（元実験棟）"</f>
        <v>２号館（元実験棟）</v>
      </c>
      <c r="K5883" s="7" t="str">
        <f t="shared" ref="K5883:K5889" si="2158">"鉄筋コンクリート造"</f>
        <v>鉄筋コンクリート造</v>
      </c>
      <c r="L5883" s="7" t="str">
        <f t="shared" ref="L5883:L5899" si="2159">"S25.01.01"</f>
        <v>S25.01.01</v>
      </c>
      <c r="M5883" s="7">
        <v>3394.32</v>
      </c>
      <c r="N5883" s="7">
        <v>212896610</v>
      </c>
      <c r="O5883" s="7">
        <v>160278738</v>
      </c>
      <c r="P5883" s="7">
        <v>0</v>
      </c>
      <c r="Q5883" s="7" t="str">
        <f t="shared" si="2145"/>
        <v>教育庁</v>
      </c>
      <c r="R5883" s="7" t="str">
        <f t="shared" ref="R5883:R5906" si="2160">"枚岡樟風高等学校"</f>
        <v>枚岡樟風高等学校</v>
      </c>
    </row>
    <row r="5884" spans="1:18" s="1" customFormat="1" x14ac:dyDescent="0.45">
      <c r="A5884" s="7" t="str">
        <f t="shared" si="2155"/>
        <v>10486000018</v>
      </c>
      <c r="B5884" s="7" t="str">
        <f t="shared" si="2156"/>
        <v>枚岡樟風高等学校</v>
      </c>
      <c r="C5884" s="7" t="str">
        <f t="shared" si="2143"/>
        <v>行政財産</v>
      </c>
      <c r="D5884" s="7" t="str">
        <f t="shared" si="2154"/>
        <v>学校</v>
      </c>
      <c r="E5884" s="7" t="str">
        <f t="shared" si="2157"/>
        <v>大阪府東大阪市鷹殿町</v>
      </c>
      <c r="F5884" s="7"/>
      <c r="G5884" s="7" t="str">
        <f t="shared" si="2144"/>
        <v>事業用資産</v>
      </c>
      <c r="H5884" s="7" t="str">
        <f t="shared" si="2136"/>
        <v>棚卸以外</v>
      </c>
      <c r="I5884" s="7">
        <v>8</v>
      </c>
      <c r="J5884" s="7" t="str">
        <f>"３号館（元機械保蔵棟）"</f>
        <v>３号館（元機械保蔵棟）</v>
      </c>
      <c r="K5884" s="7" t="str">
        <f t="shared" si="2158"/>
        <v>鉄筋コンクリート造</v>
      </c>
      <c r="L5884" s="7" t="str">
        <f t="shared" si="2159"/>
        <v>S25.01.01</v>
      </c>
      <c r="M5884" s="7">
        <v>3519.45</v>
      </c>
      <c r="N5884" s="7">
        <v>271413785</v>
      </c>
      <c r="O5884" s="7">
        <v>190409032</v>
      </c>
      <c r="P5884" s="7">
        <v>0</v>
      </c>
      <c r="Q5884" s="7" t="str">
        <f t="shared" si="2145"/>
        <v>教育庁</v>
      </c>
      <c r="R5884" s="7" t="str">
        <f t="shared" si="2160"/>
        <v>枚岡樟風高等学校</v>
      </c>
    </row>
    <row r="5885" spans="1:18" s="1" customFormat="1" x14ac:dyDescent="0.45">
      <c r="A5885" s="7" t="str">
        <f t="shared" si="2155"/>
        <v>10486000018</v>
      </c>
      <c r="B5885" s="7" t="str">
        <f t="shared" si="2156"/>
        <v>枚岡樟風高等学校</v>
      </c>
      <c r="C5885" s="7" t="str">
        <f t="shared" si="2143"/>
        <v>行政財産</v>
      </c>
      <c r="D5885" s="7" t="str">
        <f t="shared" si="2154"/>
        <v>学校</v>
      </c>
      <c r="E5885" s="7" t="str">
        <f t="shared" si="2157"/>
        <v>大阪府東大阪市鷹殿町</v>
      </c>
      <c r="F5885" s="7"/>
      <c r="G5885" s="7" t="str">
        <f t="shared" si="2144"/>
        <v>事業用資産</v>
      </c>
      <c r="H5885" s="7" t="str">
        <f t="shared" si="2136"/>
        <v>棚卸以外</v>
      </c>
      <c r="I5885" s="7">
        <v>9</v>
      </c>
      <c r="J5885" s="7" t="str">
        <f>"渡り廊下"</f>
        <v>渡り廊下</v>
      </c>
      <c r="K5885" s="7" t="str">
        <f t="shared" si="2158"/>
        <v>鉄筋コンクリート造</v>
      </c>
      <c r="L5885" s="7" t="str">
        <f t="shared" si="2159"/>
        <v>S25.01.01</v>
      </c>
      <c r="M5885" s="7">
        <v>148.32</v>
      </c>
      <c r="N5885" s="7">
        <v>5817000</v>
      </c>
      <c r="O5885" s="7">
        <v>4836555</v>
      </c>
      <c r="P5885" s="7">
        <v>0</v>
      </c>
      <c r="Q5885" s="7" t="str">
        <f t="shared" si="2145"/>
        <v>教育庁</v>
      </c>
      <c r="R5885" s="7" t="str">
        <f t="shared" si="2160"/>
        <v>枚岡樟風高等学校</v>
      </c>
    </row>
    <row r="5886" spans="1:18" s="1" customFormat="1" x14ac:dyDescent="0.45">
      <c r="A5886" s="7" t="str">
        <f t="shared" si="2155"/>
        <v>10486000018</v>
      </c>
      <c r="B5886" s="7" t="str">
        <f t="shared" si="2156"/>
        <v>枚岡樟風高等学校</v>
      </c>
      <c r="C5886" s="7" t="str">
        <f t="shared" si="2143"/>
        <v>行政財産</v>
      </c>
      <c r="D5886" s="7" t="str">
        <f t="shared" si="2154"/>
        <v>学校</v>
      </c>
      <c r="E5886" s="7" t="str">
        <f t="shared" si="2157"/>
        <v>大阪府東大阪市鷹殿町</v>
      </c>
      <c r="F5886" s="7"/>
      <c r="G5886" s="7" t="str">
        <f t="shared" si="2144"/>
        <v>事業用資産</v>
      </c>
      <c r="H5886" s="7" t="str">
        <f t="shared" si="2136"/>
        <v>棚卸以外</v>
      </c>
      <c r="I5886" s="7">
        <v>10</v>
      </c>
      <c r="J5886" s="7" t="str">
        <f>"１号館（元管理棟）"</f>
        <v>１号館（元管理棟）</v>
      </c>
      <c r="K5886" s="7" t="str">
        <f t="shared" si="2158"/>
        <v>鉄筋コンクリート造</v>
      </c>
      <c r="L5886" s="7" t="str">
        <f t="shared" si="2159"/>
        <v>S25.01.01</v>
      </c>
      <c r="M5886" s="7">
        <v>3389.47</v>
      </c>
      <c r="N5886" s="7">
        <v>323688953</v>
      </c>
      <c r="O5886" s="7">
        <v>195842770</v>
      </c>
      <c r="P5886" s="7">
        <v>0</v>
      </c>
      <c r="Q5886" s="7" t="str">
        <f t="shared" si="2145"/>
        <v>教育庁</v>
      </c>
      <c r="R5886" s="7" t="str">
        <f t="shared" si="2160"/>
        <v>枚岡樟風高等学校</v>
      </c>
    </row>
    <row r="5887" spans="1:18" s="1" customFormat="1" x14ac:dyDescent="0.45">
      <c r="A5887" s="7" t="str">
        <f t="shared" si="2155"/>
        <v>10486000018</v>
      </c>
      <c r="B5887" s="7" t="str">
        <f t="shared" si="2156"/>
        <v>枚岡樟風高等学校</v>
      </c>
      <c r="C5887" s="7" t="str">
        <f t="shared" si="2143"/>
        <v>行政財産</v>
      </c>
      <c r="D5887" s="7" t="str">
        <f t="shared" si="2154"/>
        <v>学校</v>
      </c>
      <c r="E5887" s="7" t="str">
        <f t="shared" si="2157"/>
        <v>大阪府東大阪市鷹殿町</v>
      </c>
      <c r="F5887" s="7"/>
      <c r="G5887" s="7" t="str">
        <f t="shared" si="2144"/>
        <v>事業用資産</v>
      </c>
      <c r="H5887" s="7" t="str">
        <f t="shared" si="2136"/>
        <v>棚卸以外</v>
      </c>
      <c r="I5887" s="7">
        <v>11</v>
      </c>
      <c r="J5887" s="7" t="str">
        <f>"渡り廊下"</f>
        <v>渡り廊下</v>
      </c>
      <c r="K5887" s="7" t="str">
        <f t="shared" si="2158"/>
        <v>鉄筋コンクリート造</v>
      </c>
      <c r="L5887" s="7" t="str">
        <f t="shared" si="2159"/>
        <v>S25.01.01</v>
      </c>
      <c r="M5887" s="7">
        <v>160</v>
      </c>
      <c r="N5887" s="7">
        <v>6322800</v>
      </c>
      <c r="O5887" s="7">
        <v>5116215</v>
      </c>
      <c r="P5887" s="7">
        <v>0</v>
      </c>
      <c r="Q5887" s="7" t="str">
        <f t="shared" si="2145"/>
        <v>教育庁</v>
      </c>
      <c r="R5887" s="7" t="str">
        <f t="shared" si="2160"/>
        <v>枚岡樟風高等学校</v>
      </c>
    </row>
    <row r="5888" spans="1:18" s="1" customFormat="1" x14ac:dyDescent="0.45">
      <c r="A5888" s="7" t="str">
        <f t="shared" si="2155"/>
        <v>10486000018</v>
      </c>
      <c r="B5888" s="7" t="str">
        <f t="shared" si="2156"/>
        <v>枚岡樟風高等学校</v>
      </c>
      <c r="C5888" s="7" t="str">
        <f t="shared" si="2143"/>
        <v>行政財産</v>
      </c>
      <c r="D5888" s="7" t="str">
        <f t="shared" si="2154"/>
        <v>学校</v>
      </c>
      <c r="E5888" s="7" t="str">
        <f t="shared" si="2157"/>
        <v>大阪府東大阪市鷹殿町</v>
      </c>
      <c r="F5888" s="7"/>
      <c r="G5888" s="7" t="str">
        <f t="shared" si="2144"/>
        <v>事業用資産</v>
      </c>
      <c r="H5888" s="7" t="str">
        <f t="shared" si="2136"/>
        <v>棚卸以外</v>
      </c>
      <c r="I5888" s="7">
        <v>12</v>
      </c>
      <c r="J5888" s="7" t="str">
        <f>"４号館（元製造棟）"</f>
        <v>４号館（元製造棟）</v>
      </c>
      <c r="K5888" s="7" t="str">
        <f t="shared" si="2158"/>
        <v>鉄筋コンクリート造</v>
      </c>
      <c r="L5888" s="7" t="str">
        <f t="shared" si="2159"/>
        <v>S25.01.01</v>
      </c>
      <c r="M5888" s="7">
        <v>2422.4</v>
      </c>
      <c r="N5888" s="7">
        <v>190155997</v>
      </c>
      <c r="O5888" s="7">
        <v>152563710</v>
      </c>
      <c r="P5888" s="7">
        <v>0</v>
      </c>
      <c r="Q5888" s="7" t="str">
        <f t="shared" si="2145"/>
        <v>教育庁</v>
      </c>
      <c r="R5888" s="7" t="str">
        <f t="shared" si="2160"/>
        <v>枚岡樟風高等学校</v>
      </c>
    </row>
    <row r="5889" spans="1:18" s="1" customFormat="1" x14ac:dyDescent="0.45">
      <c r="A5889" s="7" t="str">
        <f t="shared" si="2155"/>
        <v>10486000018</v>
      </c>
      <c r="B5889" s="7" t="str">
        <f t="shared" si="2156"/>
        <v>枚岡樟風高等学校</v>
      </c>
      <c r="C5889" s="7" t="str">
        <f t="shared" si="2143"/>
        <v>行政財産</v>
      </c>
      <c r="D5889" s="7" t="str">
        <f t="shared" si="2154"/>
        <v>学校</v>
      </c>
      <c r="E5889" s="7" t="str">
        <f t="shared" si="2157"/>
        <v>大阪府東大阪市鷹殿町</v>
      </c>
      <c r="F5889" s="7"/>
      <c r="G5889" s="7" t="str">
        <f t="shared" si="2144"/>
        <v>事業用資産</v>
      </c>
      <c r="H5889" s="7" t="str">
        <f t="shared" si="2136"/>
        <v>棚卸以外</v>
      </c>
      <c r="I5889" s="7">
        <v>13</v>
      </c>
      <c r="J5889" s="7" t="str">
        <f>"渡り廊下"</f>
        <v>渡り廊下</v>
      </c>
      <c r="K5889" s="7" t="str">
        <f t="shared" si="2158"/>
        <v>鉄筋コンクリート造</v>
      </c>
      <c r="L5889" s="7" t="str">
        <f t="shared" si="2159"/>
        <v>S25.01.01</v>
      </c>
      <c r="M5889" s="7">
        <v>133</v>
      </c>
      <c r="N5889" s="7">
        <v>3269200</v>
      </c>
      <c r="O5889" s="7">
        <v>3269199</v>
      </c>
      <c r="P5889" s="7">
        <v>0</v>
      </c>
      <c r="Q5889" s="7" t="str">
        <f t="shared" si="2145"/>
        <v>教育庁</v>
      </c>
      <c r="R5889" s="7" t="str">
        <f t="shared" si="2160"/>
        <v>枚岡樟風高等学校</v>
      </c>
    </row>
    <row r="5890" spans="1:18" s="1" customFormat="1" x14ac:dyDescent="0.45">
      <c r="A5890" s="7" t="str">
        <f t="shared" si="2155"/>
        <v>10486000018</v>
      </c>
      <c r="B5890" s="7" t="str">
        <f t="shared" si="2156"/>
        <v>枚岡樟風高等学校</v>
      </c>
      <c r="C5890" s="7" t="str">
        <f t="shared" si="2143"/>
        <v>行政財産</v>
      </c>
      <c r="D5890" s="7" t="str">
        <f t="shared" si="2154"/>
        <v>学校</v>
      </c>
      <c r="E5890" s="7" t="str">
        <f t="shared" si="2157"/>
        <v>大阪府東大阪市鷹殿町</v>
      </c>
      <c r="F5890" s="7"/>
      <c r="G5890" s="7" t="str">
        <f t="shared" si="2144"/>
        <v>事業用資産</v>
      </c>
      <c r="H5890" s="7" t="str">
        <f t="shared" si="2136"/>
        <v>棚卸以外</v>
      </c>
      <c r="I5890" s="7">
        <v>14</v>
      </c>
      <c r="J5890" s="7" t="str">
        <f>"デスポーザー室"</f>
        <v>デスポーザー室</v>
      </c>
      <c r="K5890" s="7" t="str">
        <f>"コンクリートブロック造"</f>
        <v>コンクリートブロック造</v>
      </c>
      <c r="L5890" s="7" t="str">
        <f t="shared" si="2159"/>
        <v>S25.01.01</v>
      </c>
      <c r="M5890" s="7">
        <v>6.63</v>
      </c>
      <c r="N5890" s="7">
        <v>100000</v>
      </c>
      <c r="O5890" s="7">
        <v>99999</v>
      </c>
      <c r="P5890" s="7">
        <v>0</v>
      </c>
      <c r="Q5890" s="7" t="str">
        <f t="shared" si="2145"/>
        <v>教育庁</v>
      </c>
      <c r="R5890" s="7" t="str">
        <f t="shared" si="2160"/>
        <v>枚岡樟風高等学校</v>
      </c>
    </row>
    <row r="5891" spans="1:18" s="1" customFormat="1" x14ac:dyDescent="0.45">
      <c r="A5891" s="7" t="str">
        <f t="shared" si="2155"/>
        <v>10486000018</v>
      </c>
      <c r="B5891" s="7" t="str">
        <f t="shared" si="2156"/>
        <v>枚岡樟風高等学校</v>
      </c>
      <c r="C5891" s="7" t="str">
        <f t="shared" si="2143"/>
        <v>行政財産</v>
      </c>
      <c r="D5891" s="7" t="str">
        <f t="shared" si="2154"/>
        <v>学校</v>
      </c>
      <c r="E5891" s="7" t="str">
        <f t="shared" si="2157"/>
        <v>大阪府東大阪市鷹殿町</v>
      </c>
      <c r="F5891" s="7"/>
      <c r="G5891" s="7" t="str">
        <f t="shared" si="2144"/>
        <v>事業用資産</v>
      </c>
      <c r="H5891" s="7" t="str">
        <f t="shared" si="2136"/>
        <v>棚卸以外</v>
      </c>
      <c r="I5891" s="7">
        <v>15</v>
      </c>
      <c r="J5891" s="7" t="str">
        <f>"ポンプ室"</f>
        <v>ポンプ室</v>
      </c>
      <c r="K5891" s="7" t="str">
        <f>"鉄筋コンクリート造"</f>
        <v>鉄筋コンクリート造</v>
      </c>
      <c r="L5891" s="7" t="str">
        <f t="shared" si="2159"/>
        <v>S25.01.01</v>
      </c>
      <c r="M5891" s="7">
        <v>53.11</v>
      </c>
      <c r="N5891" s="7">
        <v>6749600</v>
      </c>
      <c r="O5891" s="7">
        <v>6749599</v>
      </c>
      <c r="P5891" s="7">
        <v>0</v>
      </c>
      <c r="Q5891" s="7" t="str">
        <f t="shared" si="2145"/>
        <v>教育庁</v>
      </c>
      <c r="R5891" s="7" t="str">
        <f t="shared" si="2160"/>
        <v>枚岡樟風高等学校</v>
      </c>
    </row>
    <row r="5892" spans="1:18" s="1" customFormat="1" x14ac:dyDescent="0.45">
      <c r="A5892" s="7" t="str">
        <f t="shared" si="2155"/>
        <v>10486000018</v>
      </c>
      <c r="B5892" s="7" t="str">
        <f t="shared" si="2156"/>
        <v>枚岡樟風高等学校</v>
      </c>
      <c r="C5892" s="7" t="str">
        <f t="shared" si="2143"/>
        <v>行政財産</v>
      </c>
      <c r="D5892" s="7" t="str">
        <f t="shared" si="2154"/>
        <v>学校</v>
      </c>
      <c r="E5892" s="7" t="str">
        <f t="shared" si="2157"/>
        <v>大阪府東大阪市鷹殿町</v>
      </c>
      <c r="F5892" s="7"/>
      <c r="G5892" s="7" t="str">
        <f t="shared" si="2144"/>
        <v>事業用資産</v>
      </c>
      <c r="H5892" s="7" t="str">
        <f t="shared" ref="H5892:H5955" si="2161">"棚卸以外"</f>
        <v>棚卸以外</v>
      </c>
      <c r="I5892" s="7">
        <v>16</v>
      </c>
      <c r="J5892" s="7" t="str">
        <f>"体育館"</f>
        <v>体育館</v>
      </c>
      <c r="K5892" s="7" t="str">
        <f>"鉄筋コンクリート造"</f>
        <v>鉄筋コンクリート造</v>
      </c>
      <c r="L5892" s="7" t="str">
        <f t="shared" si="2159"/>
        <v>S25.01.01</v>
      </c>
      <c r="M5892" s="7">
        <v>2050.02</v>
      </c>
      <c r="N5892" s="7">
        <v>209773543</v>
      </c>
      <c r="O5892" s="7">
        <v>125702820</v>
      </c>
      <c r="P5892" s="7">
        <v>0</v>
      </c>
      <c r="Q5892" s="7" t="str">
        <f t="shared" si="2145"/>
        <v>教育庁</v>
      </c>
      <c r="R5892" s="7" t="str">
        <f t="shared" si="2160"/>
        <v>枚岡樟風高等学校</v>
      </c>
    </row>
    <row r="5893" spans="1:18" s="1" customFormat="1" x14ac:dyDescent="0.45">
      <c r="A5893" s="7" t="str">
        <f t="shared" si="2155"/>
        <v>10486000018</v>
      </c>
      <c r="B5893" s="7" t="str">
        <f t="shared" si="2156"/>
        <v>枚岡樟風高等学校</v>
      </c>
      <c r="C5893" s="7" t="str">
        <f t="shared" si="2143"/>
        <v>行政財産</v>
      </c>
      <c r="D5893" s="7" t="str">
        <f t="shared" si="2154"/>
        <v>学校</v>
      </c>
      <c r="E5893" s="7" t="str">
        <f t="shared" si="2157"/>
        <v>大阪府東大阪市鷹殿町</v>
      </c>
      <c r="F5893" s="7"/>
      <c r="G5893" s="7" t="str">
        <f t="shared" si="2144"/>
        <v>事業用資産</v>
      </c>
      <c r="H5893" s="7" t="str">
        <f t="shared" si="2161"/>
        <v>棚卸以外</v>
      </c>
      <c r="I5893" s="7">
        <v>17</v>
      </c>
      <c r="J5893" s="7" t="str">
        <f>"渡り廊下"</f>
        <v>渡り廊下</v>
      </c>
      <c r="K5893" s="7" t="str">
        <f>"鉄筋コンクリート造"</f>
        <v>鉄筋コンクリート造</v>
      </c>
      <c r="L5893" s="7" t="str">
        <f t="shared" si="2159"/>
        <v>S25.01.01</v>
      </c>
      <c r="M5893" s="7">
        <v>101.6</v>
      </c>
      <c r="N5893" s="7">
        <v>4462065</v>
      </c>
      <c r="O5893" s="7">
        <v>4462064</v>
      </c>
      <c r="P5893" s="7">
        <v>0</v>
      </c>
      <c r="Q5893" s="7" t="str">
        <f t="shared" si="2145"/>
        <v>教育庁</v>
      </c>
      <c r="R5893" s="7" t="str">
        <f t="shared" si="2160"/>
        <v>枚岡樟風高等学校</v>
      </c>
    </row>
    <row r="5894" spans="1:18" s="1" customFormat="1" x14ac:dyDescent="0.45">
      <c r="A5894" s="7" t="str">
        <f t="shared" si="2155"/>
        <v>10486000018</v>
      </c>
      <c r="B5894" s="7" t="str">
        <f t="shared" si="2156"/>
        <v>枚岡樟風高等学校</v>
      </c>
      <c r="C5894" s="7" t="str">
        <f t="shared" si="2143"/>
        <v>行政財産</v>
      </c>
      <c r="D5894" s="7" t="str">
        <f t="shared" si="2154"/>
        <v>学校</v>
      </c>
      <c r="E5894" s="7" t="str">
        <f t="shared" si="2157"/>
        <v>大阪府東大阪市鷹殿町</v>
      </c>
      <c r="F5894" s="7"/>
      <c r="G5894" s="7" t="str">
        <f t="shared" si="2144"/>
        <v>事業用資産</v>
      </c>
      <c r="H5894" s="7" t="str">
        <f t="shared" si="2161"/>
        <v>棚卸以外</v>
      </c>
      <c r="I5894" s="7">
        <v>18</v>
      </c>
      <c r="J5894" s="7" t="str">
        <f>"プール附属屋"</f>
        <v>プール附属屋</v>
      </c>
      <c r="K5894" s="7" t="str">
        <f>"コンクリートブロック造"</f>
        <v>コンクリートブロック造</v>
      </c>
      <c r="L5894" s="7" t="str">
        <f t="shared" si="2159"/>
        <v>S25.01.01</v>
      </c>
      <c r="M5894" s="7">
        <v>134.4</v>
      </c>
      <c r="N5894" s="7">
        <v>13049355</v>
      </c>
      <c r="O5894" s="7">
        <v>12939257</v>
      </c>
      <c r="P5894" s="7">
        <v>0</v>
      </c>
      <c r="Q5894" s="7" t="str">
        <f t="shared" si="2145"/>
        <v>教育庁</v>
      </c>
      <c r="R5894" s="7" t="str">
        <f t="shared" si="2160"/>
        <v>枚岡樟風高等学校</v>
      </c>
    </row>
    <row r="5895" spans="1:18" s="1" customFormat="1" x14ac:dyDescent="0.45">
      <c r="A5895" s="7" t="str">
        <f t="shared" si="2155"/>
        <v>10486000018</v>
      </c>
      <c r="B5895" s="7" t="str">
        <f t="shared" si="2156"/>
        <v>枚岡樟風高等学校</v>
      </c>
      <c r="C5895" s="7" t="str">
        <f t="shared" si="2143"/>
        <v>行政財産</v>
      </c>
      <c r="D5895" s="7" t="str">
        <f t="shared" si="2154"/>
        <v>学校</v>
      </c>
      <c r="E5895" s="7" t="str">
        <f t="shared" si="2157"/>
        <v>大阪府東大阪市鷹殿町</v>
      </c>
      <c r="F5895" s="7"/>
      <c r="G5895" s="7" t="str">
        <f t="shared" si="2144"/>
        <v>事業用資産</v>
      </c>
      <c r="H5895" s="7" t="str">
        <f t="shared" si="2161"/>
        <v>棚卸以外</v>
      </c>
      <c r="I5895" s="7">
        <v>19</v>
      </c>
      <c r="J5895" s="7" t="str">
        <f>"ボイラー室"</f>
        <v>ボイラー室</v>
      </c>
      <c r="K5895" s="7" t="str">
        <f>"コンクリートブロック造"</f>
        <v>コンクリートブロック造</v>
      </c>
      <c r="L5895" s="7" t="str">
        <f t="shared" si="2159"/>
        <v>S25.01.01</v>
      </c>
      <c r="M5895" s="7">
        <v>18</v>
      </c>
      <c r="N5895" s="7">
        <v>479000</v>
      </c>
      <c r="O5895" s="7">
        <v>478999</v>
      </c>
      <c r="P5895" s="7">
        <v>0</v>
      </c>
      <c r="Q5895" s="7" t="str">
        <f t="shared" si="2145"/>
        <v>教育庁</v>
      </c>
      <c r="R5895" s="7" t="str">
        <f t="shared" si="2160"/>
        <v>枚岡樟風高等学校</v>
      </c>
    </row>
    <row r="5896" spans="1:18" s="1" customFormat="1" x14ac:dyDescent="0.45">
      <c r="A5896" s="7" t="str">
        <f t="shared" si="2155"/>
        <v>10486000018</v>
      </c>
      <c r="B5896" s="7" t="str">
        <f t="shared" si="2156"/>
        <v>枚岡樟風高等学校</v>
      </c>
      <c r="C5896" s="7" t="str">
        <f t="shared" si="2143"/>
        <v>行政財産</v>
      </c>
      <c r="D5896" s="7" t="str">
        <f t="shared" si="2154"/>
        <v>学校</v>
      </c>
      <c r="E5896" s="7" t="str">
        <f t="shared" si="2157"/>
        <v>大阪府東大阪市鷹殿町</v>
      </c>
      <c r="F5896" s="7"/>
      <c r="G5896" s="7" t="str">
        <f t="shared" si="2144"/>
        <v>事業用資産</v>
      </c>
      <c r="H5896" s="7" t="str">
        <f t="shared" si="2161"/>
        <v>棚卸以外</v>
      </c>
      <c r="I5896" s="7">
        <v>20</v>
      </c>
      <c r="J5896" s="7" t="str">
        <f>"雑倉庫"</f>
        <v>雑倉庫</v>
      </c>
      <c r="K5896" s="7" t="str">
        <f>"コンクリートブロック造"</f>
        <v>コンクリートブロック造</v>
      </c>
      <c r="L5896" s="7" t="str">
        <f t="shared" si="2159"/>
        <v>S25.01.01</v>
      </c>
      <c r="M5896" s="7">
        <v>20</v>
      </c>
      <c r="N5896" s="7">
        <v>492850</v>
      </c>
      <c r="O5896" s="7">
        <v>492849</v>
      </c>
      <c r="P5896" s="7">
        <v>0</v>
      </c>
      <c r="Q5896" s="7" t="str">
        <f t="shared" si="2145"/>
        <v>教育庁</v>
      </c>
      <c r="R5896" s="7" t="str">
        <f t="shared" si="2160"/>
        <v>枚岡樟風高等学校</v>
      </c>
    </row>
    <row r="5897" spans="1:18" s="1" customFormat="1" x14ac:dyDescent="0.45">
      <c r="A5897" s="7" t="str">
        <f t="shared" si="2155"/>
        <v>10486000018</v>
      </c>
      <c r="B5897" s="7" t="str">
        <f t="shared" si="2156"/>
        <v>枚岡樟風高等学校</v>
      </c>
      <c r="C5897" s="7" t="str">
        <f t="shared" si="2143"/>
        <v>行政財産</v>
      </c>
      <c r="D5897" s="7" t="str">
        <f t="shared" si="2154"/>
        <v>学校</v>
      </c>
      <c r="E5897" s="7" t="str">
        <f t="shared" si="2157"/>
        <v>大阪府東大阪市鷹殿町</v>
      </c>
      <c r="F5897" s="7"/>
      <c r="G5897" s="7" t="str">
        <f t="shared" si="2144"/>
        <v>事業用資産</v>
      </c>
      <c r="H5897" s="7" t="str">
        <f t="shared" si="2161"/>
        <v>棚卸以外</v>
      </c>
      <c r="I5897" s="7">
        <v>21</v>
      </c>
      <c r="J5897" s="7" t="str">
        <f>"油倉庫"</f>
        <v>油倉庫</v>
      </c>
      <c r="K5897" s="7" t="str">
        <f>"コンクリートブロック造"</f>
        <v>コンクリートブロック造</v>
      </c>
      <c r="L5897" s="7" t="str">
        <f t="shared" si="2159"/>
        <v>S25.01.01</v>
      </c>
      <c r="M5897" s="7">
        <v>20</v>
      </c>
      <c r="N5897" s="7">
        <v>723768</v>
      </c>
      <c r="O5897" s="7">
        <v>723767</v>
      </c>
      <c r="P5897" s="7">
        <v>0</v>
      </c>
      <c r="Q5897" s="7" t="str">
        <f t="shared" si="2145"/>
        <v>教育庁</v>
      </c>
      <c r="R5897" s="7" t="str">
        <f t="shared" si="2160"/>
        <v>枚岡樟風高等学校</v>
      </c>
    </row>
    <row r="5898" spans="1:18" s="1" customFormat="1" x14ac:dyDescent="0.45">
      <c r="A5898" s="7" t="str">
        <f t="shared" si="2155"/>
        <v>10486000018</v>
      </c>
      <c r="B5898" s="7" t="str">
        <f t="shared" si="2156"/>
        <v>枚岡樟風高等学校</v>
      </c>
      <c r="C5898" s="7" t="str">
        <f t="shared" si="2143"/>
        <v>行政財産</v>
      </c>
      <c r="D5898" s="7" t="str">
        <f t="shared" si="2154"/>
        <v>学校</v>
      </c>
      <c r="E5898" s="7" t="str">
        <f t="shared" si="2157"/>
        <v>大阪府東大阪市鷹殿町</v>
      </c>
      <c r="F5898" s="7"/>
      <c r="G5898" s="7" t="str">
        <f t="shared" si="2144"/>
        <v>事業用資産</v>
      </c>
      <c r="H5898" s="7" t="str">
        <f t="shared" si="2161"/>
        <v>棚卸以外</v>
      </c>
      <c r="I5898" s="7">
        <v>22</v>
      </c>
      <c r="J5898" s="7" t="str">
        <f>"トレーニング室（元剣道場）"</f>
        <v>トレーニング室（元剣道場）</v>
      </c>
      <c r="K5898" s="7" t="str">
        <f>"軽量鉄骨造"</f>
        <v>軽量鉄骨造</v>
      </c>
      <c r="L5898" s="7" t="str">
        <f t="shared" si="2159"/>
        <v>S25.01.01</v>
      </c>
      <c r="M5898" s="7">
        <v>163.80000000000001</v>
      </c>
      <c r="N5898" s="7">
        <v>11171000</v>
      </c>
      <c r="O5898" s="7">
        <v>11170999</v>
      </c>
      <c r="P5898" s="7">
        <v>0</v>
      </c>
      <c r="Q5898" s="7" t="str">
        <f t="shared" si="2145"/>
        <v>教育庁</v>
      </c>
      <c r="R5898" s="7" t="str">
        <f t="shared" si="2160"/>
        <v>枚岡樟風高等学校</v>
      </c>
    </row>
    <row r="5899" spans="1:18" s="1" customFormat="1" x14ac:dyDescent="0.45">
      <c r="A5899" s="7" t="str">
        <f t="shared" si="2155"/>
        <v>10486000018</v>
      </c>
      <c r="B5899" s="7" t="str">
        <f t="shared" si="2156"/>
        <v>枚岡樟風高等学校</v>
      </c>
      <c r="C5899" s="7" t="str">
        <f t="shared" si="2143"/>
        <v>行政財産</v>
      </c>
      <c r="D5899" s="7" t="str">
        <f t="shared" si="2154"/>
        <v>学校</v>
      </c>
      <c r="E5899" s="7" t="str">
        <f t="shared" si="2157"/>
        <v>大阪府東大阪市鷹殿町</v>
      </c>
      <c r="F5899" s="7"/>
      <c r="G5899" s="7" t="str">
        <f t="shared" si="2144"/>
        <v>事業用資産</v>
      </c>
      <c r="H5899" s="7" t="str">
        <f t="shared" si="2161"/>
        <v>棚卸以外</v>
      </c>
      <c r="I5899" s="7">
        <v>23</v>
      </c>
      <c r="J5899" s="7" t="str">
        <f>"卓球場（元第三講義室）"</f>
        <v>卓球場（元第三講義室）</v>
      </c>
      <c r="K5899" s="7" t="str">
        <f>"軽量鉄骨造"</f>
        <v>軽量鉄骨造</v>
      </c>
      <c r="L5899" s="7" t="str">
        <f t="shared" si="2159"/>
        <v>S25.01.01</v>
      </c>
      <c r="M5899" s="7">
        <v>101.25</v>
      </c>
      <c r="N5899" s="7">
        <v>7460000</v>
      </c>
      <c r="O5899" s="7">
        <v>7459999</v>
      </c>
      <c r="P5899" s="7">
        <v>0</v>
      </c>
      <c r="Q5899" s="7" t="str">
        <f t="shared" si="2145"/>
        <v>教育庁</v>
      </c>
      <c r="R5899" s="7" t="str">
        <f t="shared" si="2160"/>
        <v>枚岡樟風高等学校</v>
      </c>
    </row>
    <row r="5900" spans="1:18" s="1" customFormat="1" x14ac:dyDescent="0.45">
      <c r="A5900" s="7" t="str">
        <f t="shared" si="2155"/>
        <v>10486000018</v>
      </c>
      <c r="B5900" s="7" t="str">
        <f t="shared" si="2156"/>
        <v>枚岡樟風高等学校</v>
      </c>
      <c r="C5900" s="7" t="str">
        <f t="shared" si="2143"/>
        <v>行政財産</v>
      </c>
      <c r="D5900" s="7" t="str">
        <f t="shared" si="2154"/>
        <v>学校</v>
      </c>
      <c r="E5900" s="7" t="str">
        <f t="shared" si="2157"/>
        <v>大阪府東大阪市鷹殿町</v>
      </c>
      <c r="F5900" s="7"/>
      <c r="G5900" s="7" t="str">
        <f t="shared" si="2144"/>
        <v>事業用資産</v>
      </c>
      <c r="H5900" s="7" t="str">
        <f t="shared" si="2161"/>
        <v>棚卸以外</v>
      </c>
      <c r="I5900" s="7">
        <v>24</v>
      </c>
      <c r="J5900" s="7" t="str">
        <f>"倉庫"</f>
        <v>倉庫</v>
      </c>
      <c r="K5900" s="7" t="str">
        <f>"土蔵造(簡易建物)"</f>
        <v>土蔵造(簡易建物)</v>
      </c>
      <c r="L5900" s="7" t="str">
        <f>"H10.10.14"</f>
        <v>H10.10.14</v>
      </c>
      <c r="M5900" s="7">
        <v>30.8</v>
      </c>
      <c r="N5900" s="7">
        <v>1000000</v>
      </c>
      <c r="O5900" s="7">
        <v>999999</v>
      </c>
      <c r="P5900" s="7">
        <v>0</v>
      </c>
      <c r="Q5900" s="7" t="str">
        <f t="shared" si="2145"/>
        <v>教育庁</v>
      </c>
      <c r="R5900" s="7" t="str">
        <f t="shared" si="2160"/>
        <v>枚岡樟風高等学校</v>
      </c>
    </row>
    <row r="5901" spans="1:18" s="1" customFormat="1" x14ac:dyDescent="0.45">
      <c r="A5901" s="7" t="str">
        <f t="shared" si="2155"/>
        <v>10486000018</v>
      </c>
      <c r="B5901" s="7" t="str">
        <f t="shared" si="2156"/>
        <v>枚岡樟風高等学校</v>
      </c>
      <c r="C5901" s="7" t="str">
        <f t="shared" ref="C5901:C5964" si="2162">"行政財産"</f>
        <v>行政財産</v>
      </c>
      <c r="D5901" s="7" t="str">
        <f t="shared" si="2154"/>
        <v>学校</v>
      </c>
      <c r="E5901" s="7" t="str">
        <f t="shared" si="2157"/>
        <v>大阪府東大阪市鷹殿町</v>
      </c>
      <c r="F5901" s="7"/>
      <c r="G5901" s="7" t="str">
        <f t="shared" si="2144"/>
        <v>事業用資産</v>
      </c>
      <c r="H5901" s="7" t="str">
        <f t="shared" si="2161"/>
        <v>棚卸以外</v>
      </c>
      <c r="I5901" s="7">
        <v>25</v>
      </c>
      <c r="J5901" s="7" t="str">
        <f>"ゴミ置場"</f>
        <v>ゴミ置場</v>
      </c>
      <c r="K5901" s="7" t="str">
        <f>"土蔵造(簡易建物)"</f>
        <v>土蔵造(簡易建物)</v>
      </c>
      <c r="L5901" s="7" t="str">
        <f>"H10.03.19"</f>
        <v>H10.03.19</v>
      </c>
      <c r="M5901" s="7">
        <v>12.32</v>
      </c>
      <c r="N5901" s="7">
        <v>944000</v>
      </c>
      <c r="O5901" s="7">
        <v>943999</v>
      </c>
      <c r="P5901" s="7">
        <v>0</v>
      </c>
      <c r="Q5901" s="7" t="str">
        <f t="shared" si="2145"/>
        <v>教育庁</v>
      </c>
      <c r="R5901" s="7" t="str">
        <f t="shared" si="2160"/>
        <v>枚岡樟風高等学校</v>
      </c>
    </row>
    <row r="5902" spans="1:18" s="1" customFormat="1" x14ac:dyDescent="0.45">
      <c r="A5902" s="7" t="str">
        <f t="shared" si="2155"/>
        <v>10486000018</v>
      </c>
      <c r="B5902" s="7" t="str">
        <f t="shared" si="2156"/>
        <v>枚岡樟風高等学校</v>
      </c>
      <c r="C5902" s="7" t="str">
        <f t="shared" si="2162"/>
        <v>行政財産</v>
      </c>
      <c r="D5902" s="7" t="str">
        <f t="shared" si="2154"/>
        <v>学校</v>
      </c>
      <c r="E5902" s="7" t="str">
        <f t="shared" si="2157"/>
        <v>大阪府東大阪市鷹殿町</v>
      </c>
      <c r="F5902" s="7"/>
      <c r="G5902" s="7" t="str">
        <f t="shared" si="2144"/>
        <v>事業用資産</v>
      </c>
      <c r="H5902" s="7" t="str">
        <f t="shared" si="2161"/>
        <v>棚卸以外</v>
      </c>
      <c r="I5902" s="7">
        <v>26</v>
      </c>
      <c r="J5902" s="7" t="str">
        <f>"教科外倉庫"</f>
        <v>教科外倉庫</v>
      </c>
      <c r="K5902" s="7" t="str">
        <f>"コンクリートブロック造"</f>
        <v>コンクリートブロック造</v>
      </c>
      <c r="L5902" s="7" t="str">
        <f>"H11.05.10"</f>
        <v>H11.05.10</v>
      </c>
      <c r="M5902" s="7">
        <v>2.73</v>
      </c>
      <c r="N5902" s="7">
        <v>607000</v>
      </c>
      <c r="O5902" s="7">
        <v>425568</v>
      </c>
      <c r="P5902" s="7">
        <v>0</v>
      </c>
      <c r="Q5902" s="7" t="str">
        <f t="shared" si="2145"/>
        <v>教育庁</v>
      </c>
      <c r="R5902" s="7" t="str">
        <f t="shared" si="2160"/>
        <v>枚岡樟風高等学校</v>
      </c>
    </row>
    <row r="5903" spans="1:18" s="1" customFormat="1" x14ac:dyDescent="0.45">
      <c r="A5903" s="7" t="str">
        <f t="shared" si="2155"/>
        <v>10486000018</v>
      </c>
      <c r="B5903" s="7" t="str">
        <f t="shared" si="2156"/>
        <v>枚岡樟風高等学校</v>
      </c>
      <c r="C5903" s="7" t="str">
        <f t="shared" si="2162"/>
        <v>行政財産</v>
      </c>
      <c r="D5903" s="7" t="str">
        <f t="shared" si="2154"/>
        <v>学校</v>
      </c>
      <c r="E5903" s="7" t="str">
        <f t="shared" si="2157"/>
        <v>大阪府東大阪市鷹殿町</v>
      </c>
      <c r="F5903" s="7"/>
      <c r="G5903" s="7" t="str">
        <f t="shared" si="2144"/>
        <v>事業用資産</v>
      </c>
      <c r="H5903" s="7" t="str">
        <f t="shared" si="2161"/>
        <v>棚卸以外</v>
      </c>
      <c r="I5903" s="7">
        <v>27</v>
      </c>
      <c r="J5903" s="7" t="str">
        <f>"部活動器具倉庫"</f>
        <v>部活動器具倉庫</v>
      </c>
      <c r="K5903" s="7" t="str">
        <f>"レンガ、石積造"</f>
        <v>レンガ、石積造</v>
      </c>
      <c r="L5903" s="7" t="str">
        <f>"H11.05.10"</f>
        <v>H11.05.10</v>
      </c>
      <c r="M5903" s="7">
        <v>10.08</v>
      </c>
      <c r="N5903" s="7">
        <v>1312000</v>
      </c>
      <c r="O5903" s="7">
        <v>919776</v>
      </c>
      <c r="P5903" s="7">
        <v>0</v>
      </c>
      <c r="Q5903" s="7" t="str">
        <f t="shared" si="2145"/>
        <v>教育庁</v>
      </c>
      <c r="R5903" s="7" t="str">
        <f t="shared" si="2160"/>
        <v>枚岡樟風高等学校</v>
      </c>
    </row>
    <row r="5904" spans="1:18" s="1" customFormat="1" x14ac:dyDescent="0.45">
      <c r="A5904" s="7" t="str">
        <f t="shared" si="2155"/>
        <v>10486000018</v>
      </c>
      <c r="B5904" s="7" t="str">
        <f t="shared" si="2156"/>
        <v>枚岡樟風高等学校</v>
      </c>
      <c r="C5904" s="7" t="str">
        <f t="shared" si="2162"/>
        <v>行政財産</v>
      </c>
      <c r="D5904" s="7" t="str">
        <f t="shared" si="2154"/>
        <v>学校</v>
      </c>
      <c r="E5904" s="7" t="str">
        <f t="shared" si="2157"/>
        <v>大阪府東大阪市鷹殿町</v>
      </c>
      <c r="F5904" s="7"/>
      <c r="G5904" s="7" t="str">
        <f t="shared" si="2144"/>
        <v>事業用資産</v>
      </c>
      <c r="H5904" s="7" t="str">
        <f t="shared" si="2161"/>
        <v>棚卸以外</v>
      </c>
      <c r="I5904" s="7">
        <v>28</v>
      </c>
      <c r="J5904" s="7" t="str">
        <f>"芸術棟"</f>
        <v>芸術棟</v>
      </c>
      <c r="K5904" s="7" t="str">
        <f>"鉄骨造"</f>
        <v>鉄骨造</v>
      </c>
      <c r="L5904" s="7" t="str">
        <f>"H14.02.20"</f>
        <v>H14.02.20</v>
      </c>
      <c r="M5904" s="7">
        <v>713.5</v>
      </c>
      <c r="N5904" s="7">
        <v>208564400</v>
      </c>
      <c r="O5904" s="7">
        <v>128530247</v>
      </c>
      <c r="P5904" s="7">
        <v>0</v>
      </c>
      <c r="Q5904" s="7" t="str">
        <f t="shared" si="2145"/>
        <v>教育庁</v>
      </c>
      <c r="R5904" s="7" t="str">
        <f t="shared" si="2160"/>
        <v>枚岡樟風高等学校</v>
      </c>
    </row>
    <row r="5905" spans="1:18" s="1" customFormat="1" x14ac:dyDescent="0.45">
      <c r="A5905" s="7" t="str">
        <f t="shared" si="2155"/>
        <v>10486000018</v>
      </c>
      <c r="B5905" s="7" t="str">
        <f t="shared" si="2156"/>
        <v>枚岡樟風高等学校</v>
      </c>
      <c r="C5905" s="7" t="str">
        <f t="shared" si="2162"/>
        <v>行政財産</v>
      </c>
      <c r="D5905" s="7" t="str">
        <f t="shared" si="2154"/>
        <v>学校</v>
      </c>
      <c r="E5905" s="7" t="str">
        <f t="shared" si="2157"/>
        <v>大阪府東大阪市鷹殿町</v>
      </c>
      <c r="F5905" s="7"/>
      <c r="G5905" s="7" t="str">
        <f t="shared" si="2144"/>
        <v>事業用資産</v>
      </c>
      <c r="H5905" s="7" t="str">
        <f t="shared" si="2161"/>
        <v>棚卸以外</v>
      </c>
      <c r="I5905" s="7">
        <v>30</v>
      </c>
      <c r="J5905" s="7" t="str">
        <f>"エレベータ棟"</f>
        <v>エレベータ棟</v>
      </c>
      <c r="K5905" s="7" t="str">
        <f>"鉄骨造"</f>
        <v>鉄骨造</v>
      </c>
      <c r="L5905" s="7" t="str">
        <f>"H16.03.31"</f>
        <v>H16.03.31</v>
      </c>
      <c r="M5905" s="7">
        <v>19.920000000000002</v>
      </c>
      <c r="N5905" s="7">
        <v>19566000</v>
      </c>
      <c r="O5905" s="7">
        <v>11992116</v>
      </c>
      <c r="P5905" s="7">
        <v>0</v>
      </c>
      <c r="Q5905" s="7" t="str">
        <f t="shared" si="2145"/>
        <v>教育庁</v>
      </c>
      <c r="R5905" s="7" t="str">
        <f t="shared" si="2160"/>
        <v>枚岡樟風高等学校</v>
      </c>
    </row>
    <row r="5906" spans="1:18" s="1" customFormat="1" x14ac:dyDescent="0.45">
      <c r="A5906" s="7" t="str">
        <f t="shared" si="2155"/>
        <v>10486000018</v>
      </c>
      <c r="B5906" s="7" t="str">
        <f t="shared" si="2156"/>
        <v>枚岡樟風高等学校</v>
      </c>
      <c r="C5906" s="7" t="str">
        <f t="shared" si="2162"/>
        <v>行政財産</v>
      </c>
      <c r="D5906" s="7" t="str">
        <f t="shared" si="2154"/>
        <v>学校</v>
      </c>
      <c r="E5906" s="7" t="str">
        <f t="shared" si="2157"/>
        <v>大阪府東大阪市鷹殿町</v>
      </c>
      <c r="F5906" s="7"/>
      <c r="G5906" s="7" t="str">
        <f t="shared" si="2144"/>
        <v>事業用資産</v>
      </c>
      <c r="H5906" s="7" t="str">
        <f t="shared" si="2161"/>
        <v>棚卸以外</v>
      </c>
      <c r="I5906" s="7">
        <v>31</v>
      </c>
      <c r="J5906" s="7" t="str">
        <f>"アルミミニ温室"</f>
        <v>アルミミニ温室</v>
      </c>
      <c r="K5906" s="7" t="str">
        <f>"軽量鉄骨造"</f>
        <v>軽量鉄骨造</v>
      </c>
      <c r="L5906" s="7" t="str">
        <f>"H19.10.19"</f>
        <v>H19.10.19</v>
      </c>
      <c r="M5906" s="7">
        <v>27</v>
      </c>
      <c r="N5906" s="7">
        <v>1680000</v>
      </c>
      <c r="O5906" s="7">
        <v>1079290</v>
      </c>
      <c r="P5906" s="7">
        <v>0</v>
      </c>
      <c r="Q5906" s="7" t="str">
        <f t="shared" si="2145"/>
        <v>教育庁</v>
      </c>
      <c r="R5906" s="7" t="str">
        <f t="shared" si="2160"/>
        <v>枚岡樟風高等学校</v>
      </c>
    </row>
    <row r="5907" spans="1:18" s="1" customFormat="1" x14ac:dyDescent="0.45">
      <c r="A5907" s="7" t="str">
        <f t="shared" ref="A5907:A5913" si="2163">"10487000019"</f>
        <v>10487000019</v>
      </c>
      <c r="B5907" s="7" t="str">
        <f t="shared" ref="B5907:B5913" si="2164">"芦間高等学校"</f>
        <v>芦間高等学校</v>
      </c>
      <c r="C5907" s="7" t="str">
        <f t="shared" si="2162"/>
        <v>行政財産</v>
      </c>
      <c r="D5907" s="7" t="str">
        <f t="shared" si="2154"/>
        <v>学校</v>
      </c>
      <c r="E5907" s="7" t="str">
        <f t="shared" ref="E5907:E5913" si="2165">"大阪府守口市外島町"</f>
        <v>大阪府守口市外島町</v>
      </c>
      <c r="F5907" s="7"/>
      <c r="G5907" s="7" t="str">
        <f t="shared" si="2144"/>
        <v>事業用資産</v>
      </c>
      <c r="H5907" s="7" t="str">
        <f t="shared" si="2161"/>
        <v>棚卸以外</v>
      </c>
      <c r="I5907" s="7">
        <v>1</v>
      </c>
      <c r="J5907" s="7" t="str">
        <f>"校舎棟"</f>
        <v>校舎棟</v>
      </c>
      <c r="K5907" s="7" t="str">
        <f>"鉄筋コンクリート造"</f>
        <v>鉄筋コンクリート造</v>
      </c>
      <c r="L5907" s="7" t="str">
        <f>"S53.07.10"</f>
        <v>S53.07.10</v>
      </c>
      <c r="M5907" s="7">
        <v>11248.19</v>
      </c>
      <c r="N5907" s="7">
        <v>1482591852</v>
      </c>
      <c r="O5907" s="7">
        <v>838257038</v>
      </c>
      <c r="P5907" s="7">
        <v>0</v>
      </c>
      <c r="Q5907" s="7" t="str">
        <f t="shared" si="2145"/>
        <v>教育庁</v>
      </c>
      <c r="R5907" s="7" t="str">
        <f t="shared" ref="R5907:R5913" si="2166">"芦間高等学校"</f>
        <v>芦間高等学校</v>
      </c>
    </row>
    <row r="5908" spans="1:18" s="1" customFormat="1" x14ac:dyDescent="0.45">
      <c r="A5908" s="7" t="str">
        <f t="shared" si="2163"/>
        <v>10487000019</v>
      </c>
      <c r="B5908" s="7" t="str">
        <f t="shared" si="2164"/>
        <v>芦間高等学校</v>
      </c>
      <c r="C5908" s="7" t="str">
        <f t="shared" si="2162"/>
        <v>行政財産</v>
      </c>
      <c r="D5908" s="7" t="str">
        <f t="shared" si="2154"/>
        <v>学校</v>
      </c>
      <c r="E5908" s="7" t="str">
        <f t="shared" si="2165"/>
        <v>大阪府守口市外島町</v>
      </c>
      <c r="F5908" s="7"/>
      <c r="G5908" s="7" t="str">
        <f t="shared" si="2144"/>
        <v>事業用資産</v>
      </c>
      <c r="H5908" s="7" t="str">
        <f t="shared" si="2161"/>
        <v>棚卸以外</v>
      </c>
      <c r="I5908" s="7">
        <v>3</v>
      </c>
      <c r="J5908" s="7" t="str">
        <f>"体育館"</f>
        <v>体育館</v>
      </c>
      <c r="K5908" s="7" t="str">
        <f>"鉄筋コンクリート造"</f>
        <v>鉄筋コンクリート造</v>
      </c>
      <c r="L5908" s="7" t="str">
        <f>"S54.09.13"</f>
        <v>S54.09.13</v>
      </c>
      <c r="M5908" s="7">
        <v>3054.89</v>
      </c>
      <c r="N5908" s="7">
        <v>454910604</v>
      </c>
      <c r="O5908" s="7">
        <v>288415304</v>
      </c>
      <c r="P5908" s="7">
        <v>0</v>
      </c>
      <c r="Q5908" s="7" t="str">
        <f t="shared" si="2145"/>
        <v>教育庁</v>
      </c>
      <c r="R5908" s="7" t="str">
        <f t="shared" si="2166"/>
        <v>芦間高等学校</v>
      </c>
    </row>
    <row r="5909" spans="1:18" s="1" customFormat="1" x14ac:dyDescent="0.45">
      <c r="A5909" s="7" t="str">
        <f t="shared" si="2163"/>
        <v>10487000019</v>
      </c>
      <c r="B5909" s="7" t="str">
        <f t="shared" si="2164"/>
        <v>芦間高等学校</v>
      </c>
      <c r="C5909" s="7" t="str">
        <f t="shared" si="2162"/>
        <v>行政財産</v>
      </c>
      <c r="D5909" s="7" t="str">
        <f t="shared" si="2154"/>
        <v>学校</v>
      </c>
      <c r="E5909" s="7" t="str">
        <f t="shared" si="2165"/>
        <v>大阪府守口市外島町</v>
      </c>
      <c r="F5909" s="7"/>
      <c r="G5909" s="7" t="str">
        <f t="shared" si="2144"/>
        <v>事業用資産</v>
      </c>
      <c r="H5909" s="7" t="str">
        <f t="shared" si="2161"/>
        <v>棚卸以外</v>
      </c>
      <c r="I5909" s="7">
        <v>4</v>
      </c>
      <c r="J5909" s="7" t="str">
        <f>"倉庫"</f>
        <v>倉庫</v>
      </c>
      <c r="K5909" s="7" t="str">
        <f>"鉄骨造"</f>
        <v>鉄骨造</v>
      </c>
      <c r="L5909" s="7" t="str">
        <f>"S55.03.05"</f>
        <v>S55.03.05</v>
      </c>
      <c r="M5909" s="7">
        <v>100</v>
      </c>
      <c r="N5909" s="7">
        <v>7632000</v>
      </c>
      <c r="O5909" s="7">
        <v>7631999</v>
      </c>
      <c r="P5909" s="7">
        <v>0</v>
      </c>
      <c r="Q5909" s="7" t="str">
        <f t="shared" si="2145"/>
        <v>教育庁</v>
      </c>
      <c r="R5909" s="7" t="str">
        <f t="shared" si="2166"/>
        <v>芦間高等学校</v>
      </c>
    </row>
    <row r="5910" spans="1:18" s="1" customFormat="1" x14ac:dyDescent="0.45">
      <c r="A5910" s="7" t="str">
        <f t="shared" si="2163"/>
        <v>10487000019</v>
      </c>
      <c r="B5910" s="7" t="str">
        <f t="shared" si="2164"/>
        <v>芦間高等学校</v>
      </c>
      <c r="C5910" s="7" t="str">
        <f t="shared" si="2162"/>
        <v>行政財産</v>
      </c>
      <c r="D5910" s="7" t="str">
        <f t="shared" si="2154"/>
        <v>学校</v>
      </c>
      <c r="E5910" s="7" t="str">
        <f t="shared" si="2165"/>
        <v>大阪府守口市外島町</v>
      </c>
      <c r="F5910" s="7"/>
      <c r="G5910" s="7" t="str">
        <f t="shared" si="2144"/>
        <v>事業用資産</v>
      </c>
      <c r="H5910" s="7" t="str">
        <f t="shared" si="2161"/>
        <v>棚卸以外</v>
      </c>
      <c r="I5910" s="7">
        <v>5</v>
      </c>
      <c r="J5910" s="7" t="str">
        <f>"ゴミ置場"</f>
        <v>ゴミ置場</v>
      </c>
      <c r="K5910" s="7" t="str">
        <f>"鉄骨造"</f>
        <v>鉄骨造</v>
      </c>
      <c r="L5910" s="7" t="str">
        <f>"S55.06.28"</f>
        <v>S55.06.28</v>
      </c>
      <c r="M5910" s="7">
        <v>16.920000000000002</v>
      </c>
      <c r="N5910" s="7">
        <v>485000</v>
      </c>
      <c r="O5910" s="7">
        <v>361208</v>
      </c>
      <c r="P5910" s="7">
        <v>0</v>
      </c>
      <c r="Q5910" s="7" t="str">
        <f t="shared" si="2145"/>
        <v>教育庁</v>
      </c>
      <c r="R5910" s="7" t="str">
        <f t="shared" si="2166"/>
        <v>芦間高等学校</v>
      </c>
    </row>
    <row r="5911" spans="1:18" s="1" customFormat="1" x14ac:dyDescent="0.45">
      <c r="A5911" s="7" t="str">
        <f t="shared" si="2163"/>
        <v>10487000019</v>
      </c>
      <c r="B5911" s="7" t="str">
        <f t="shared" si="2164"/>
        <v>芦間高等学校</v>
      </c>
      <c r="C5911" s="7" t="str">
        <f t="shared" si="2162"/>
        <v>行政財産</v>
      </c>
      <c r="D5911" s="7" t="str">
        <f t="shared" si="2154"/>
        <v>学校</v>
      </c>
      <c r="E5911" s="7" t="str">
        <f t="shared" si="2165"/>
        <v>大阪府守口市外島町</v>
      </c>
      <c r="F5911" s="7"/>
      <c r="G5911" s="7" t="str">
        <f t="shared" ref="G5911:G5974" si="2167">"事業用資産"</f>
        <v>事業用資産</v>
      </c>
      <c r="H5911" s="7" t="str">
        <f t="shared" si="2161"/>
        <v>棚卸以外</v>
      </c>
      <c r="I5911" s="7">
        <v>6</v>
      </c>
      <c r="J5911" s="7" t="str">
        <f>"実習棟"</f>
        <v>実習棟</v>
      </c>
      <c r="K5911" s="7" t="str">
        <f>"鉄骨造"</f>
        <v>鉄骨造</v>
      </c>
      <c r="L5911" s="7" t="str">
        <f>"H15.03.24"</f>
        <v>H15.03.24</v>
      </c>
      <c r="M5911" s="7">
        <v>624.48</v>
      </c>
      <c r="N5911" s="7">
        <v>169910173</v>
      </c>
      <c r="O5911" s="7">
        <v>99935421</v>
      </c>
      <c r="P5911" s="7">
        <v>0</v>
      </c>
      <c r="Q5911" s="7" t="str">
        <f t="shared" si="2145"/>
        <v>教育庁</v>
      </c>
      <c r="R5911" s="7" t="str">
        <f t="shared" si="2166"/>
        <v>芦間高等学校</v>
      </c>
    </row>
    <row r="5912" spans="1:18" s="1" customFormat="1" x14ac:dyDescent="0.45">
      <c r="A5912" s="7" t="str">
        <f t="shared" si="2163"/>
        <v>10487000019</v>
      </c>
      <c r="B5912" s="7" t="str">
        <f t="shared" si="2164"/>
        <v>芦間高等学校</v>
      </c>
      <c r="C5912" s="7" t="str">
        <f t="shared" si="2162"/>
        <v>行政財産</v>
      </c>
      <c r="D5912" s="7" t="str">
        <f t="shared" si="2154"/>
        <v>学校</v>
      </c>
      <c r="E5912" s="7" t="str">
        <f t="shared" si="2165"/>
        <v>大阪府守口市外島町</v>
      </c>
      <c r="F5912" s="7"/>
      <c r="G5912" s="7" t="str">
        <f t="shared" si="2167"/>
        <v>事業用資産</v>
      </c>
      <c r="H5912" s="7" t="str">
        <f t="shared" si="2161"/>
        <v>棚卸以外</v>
      </c>
      <c r="I5912" s="7">
        <v>7</v>
      </c>
      <c r="J5912" s="7" t="str">
        <f>"焼成室棟"</f>
        <v>焼成室棟</v>
      </c>
      <c r="K5912" s="7" t="str">
        <f>"鉄骨造"</f>
        <v>鉄骨造</v>
      </c>
      <c r="L5912" s="7" t="str">
        <f>"H15.03.24"</f>
        <v>H15.03.24</v>
      </c>
      <c r="M5912" s="7">
        <v>62.4</v>
      </c>
      <c r="N5912" s="7">
        <v>19973000</v>
      </c>
      <c r="O5912" s="7">
        <v>11748960</v>
      </c>
      <c r="P5912" s="7">
        <v>0</v>
      </c>
      <c r="Q5912" s="7" t="str">
        <f t="shared" si="2145"/>
        <v>教育庁</v>
      </c>
      <c r="R5912" s="7" t="str">
        <f t="shared" si="2166"/>
        <v>芦間高等学校</v>
      </c>
    </row>
    <row r="5913" spans="1:18" s="1" customFormat="1" x14ac:dyDescent="0.45">
      <c r="A5913" s="7" t="str">
        <f t="shared" si="2163"/>
        <v>10487000019</v>
      </c>
      <c r="B5913" s="7" t="str">
        <f t="shared" si="2164"/>
        <v>芦間高等学校</v>
      </c>
      <c r="C5913" s="7" t="str">
        <f t="shared" si="2162"/>
        <v>行政財産</v>
      </c>
      <c r="D5913" s="7" t="str">
        <f t="shared" si="2154"/>
        <v>学校</v>
      </c>
      <c r="E5913" s="7" t="str">
        <f t="shared" si="2165"/>
        <v>大阪府守口市外島町</v>
      </c>
      <c r="F5913" s="7"/>
      <c r="G5913" s="7" t="str">
        <f t="shared" si="2167"/>
        <v>事業用資産</v>
      </c>
      <c r="H5913" s="7" t="str">
        <f t="shared" si="2161"/>
        <v>棚卸以外</v>
      </c>
      <c r="I5913" s="7">
        <v>8</v>
      </c>
      <c r="J5913" s="7" t="str">
        <f>"倉庫"</f>
        <v>倉庫</v>
      </c>
      <c r="K5913" s="7" t="str">
        <f>"鉄骨造"</f>
        <v>鉄骨造</v>
      </c>
      <c r="L5913" s="7" t="str">
        <f>"H15.03.24"</f>
        <v>H15.03.24</v>
      </c>
      <c r="M5913" s="7">
        <v>100</v>
      </c>
      <c r="N5913" s="7">
        <v>10048000</v>
      </c>
      <c r="O5913" s="7">
        <v>6482640</v>
      </c>
      <c r="P5913" s="7">
        <v>0</v>
      </c>
      <c r="Q5913" s="7" t="str">
        <f t="shared" si="2145"/>
        <v>教育庁</v>
      </c>
      <c r="R5913" s="7" t="str">
        <f t="shared" si="2166"/>
        <v>芦間高等学校</v>
      </c>
    </row>
    <row r="5914" spans="1:18" s="1" customFormat="1" x14ac:dyDescent="0.45">
      <c r="A5914" s="7" t="str">
        <f t="shared" ref="A5914:A5927" si="2168">"10488000021"</f>
        <v>10488000021</v>
      </c>
      <c r="B5914" s="7" t="str">
        <f t="shared" ref="B5914:B5927" si="2169">"八尾翠翔高等学校"</f>
        <v>八尾翠翔高等学校</v>
      </c>
      <c r="C5914" s="7" t="str">
        <f t="shared" si="2162"/>
        <v>行政財産</v>
      </c>
      <c r="D5914" s="7" t="str">
        <f t="shared" si="2154"/>
        <v>学校</v>
      </c>
      <c r="E5914" s="7" t="str">
        <f t="shared" ref="E5914:E5927" si="2170">"大阪府八尾市大字神宮寺"</f>
        <v>大阪府八尾市大字神宮寺</v>
      </c>
      <c r="F5914" s="7"/>
      <c r="G5914" s="7" t="str">
        <f t="shared" si="2167"/>
        <v>事業用資産</v>
      </c>
      <c r="H5914" s="7" t="str">
        <f t="shared" si="2161"/>
        <v>棚卸以外</v>
      </c>
      <c r="I5914" s="7">
        <v>1</v>
      </c>
      <c r="J5914" s="7" t="str">
        <f>"普通教室棟"</f>
        <v>普通教室棟</v>
      </c>
      <c r="K5914" s="7" t="str">
        <f>"鉄筋コンクリート造"</f>
        <v>鉄筋コンクリート造</v>
      </c>
      <c r="L5914" s="7" t="str">
        <f>"S48.03.15"</f>
        <v>S48.03.15</v>
      </c>
      <c r="M5914" s="7">
        <v>2480.77</v>
      </c>
      <c r="N5914" s="7">
        <v>243902206</v>
      </c>
      <c r="O5914" s="7">
        <v>211148979</v>
      </c>
      <c r="P5914" s="7">
        <v>0</v>
      </c>
      <c r="Q5914" s="7" t="str">
        <f t="shared" si="2145"/>
        <v>教育庁</v>
      </c>
      <c r="R5914" s="7" t="str">
        <f t="shared" ref="R5914:R5927" si="2171">"八尾翠翔高等学校"</f>
        <v>八尾翠翔高等学校</v>
      </c>
    </row>
    <row r="5915" spans="1:18" s="1" customFormat="1" x14ac:dyDescent="0.45">
      <c r="A5915" s="7" t="str">
        <f t="shared" si="2168"/>
        <v>10488000021</v>
      </c>
      <c r="B5915" s="7" t="str">
        <f t="shared" si="2169"/>
        <v>八尾翠翔高等学校</v>
      </c>
      <c r="C5915" s="7" t="str">
        <f t="shared" si="2162"/>
        <v>行政財産</v>
      </c>
      <c r="D5915" s="7" t="str">
        <f t="shared" si="2154"/>
        <v>学校</v>
      </c>
      <c r="E5915" s="7" t="str">
        <f t="shared" si="2170"/>
        <v>大阪府八尾市大字神宮寺</v>
      </c>
      <c r="F5915" s="7"/>
      <c r="G5915" s="7" t="str">
        <f t="shared" si="2167"/>
        <v>事業用資産</v>
      </c>
      <c r="H5915" s="7" t="str">
        <f t="shared" si="2161"/>
        <v>棚卸以外</v>
      </c>
      <c r="I5915" s="7">
        <v>2</v>
      </c>
      <c r="J5915" s="7" t="str">
        <f>"特別教室棟"</f>
        <v>特別教室棟</v>
      </c>
      <c r="K5915" s="7" t="str">
        <f>"鉄筋コンクリート造"</f>
        <v>鉄筋コンクリート造</v>
      </c>
      <c r="L5915" s="7" t="str">
        <f>"S48.03.15"</f>
        <v>S48.03.15</v>
      </c>
      <c r="M5915" s="7">
        <v>2114.75</v>
      </c>
      <c r="N5915" s="7">
        <v>276063232</v>
      </c>
      <c r="O5915" s="7">
        <v>235512469</v>
      </c>
      <c r="P5915" s="7">
        <v>0</v>
      </c>
      <c r="Q5915" s="7" t="str">
        <f t="shared" ref="Q5915:Q5978" si="2172">"教育庁"</f>
        <v>教育庁</v>
      </c>
      <c r="R5915" s="7" t="str">
        <f t="shared" si="2171"/>
        <v>八尾翠翔高等学校</v>
      </c>
    </row>
    <row r="5916" spans="1:18" s="1" customFormat="1" x14ac:dyDescent="0.45">
      <c r="A5916" s="7" t="str">
        <f t="shared" si="2168"/>
        <v>10488000021</v>
      </c>
      <c r="B5916" s="7" t="str">
        <f t="shared" si="2169"/>
        <v>八尾翠翔高等学校</v>
      </c>
      <c r="C5916" s="7" t="str">
        <f t="shared" si="2162"/>
        <v>行政財産</v>
      </c>
      <c r="D5916" s="7" t="str">
        <f t="shared" si="2154"/>
        <v>学校</v>
      </c>
      <c r="E5916" s="7" t="str">
        <f t="shared" si="2170"/>
        <v>大阪府八尾市大字神宮寺</v>
      </c>
      <c r="F5916" s="7"/>
      <c r="G5916" s="7" t="str">
        <f t="shared" si="2167"/>
        <v>事業用資産</v>
      </c>
      <c r="H5916" s="7" t="str">
        <f t="shared" si="2161"/>
        <v>棚卸以外</v>
      </c>
      <c r="I5916" s="7">
        <v>3</v>
      </c>
      <c r="J5916" s="7" t="str">
        <f>"渡り廊下"</f>
        <v>渡り廊下</v>
      </c>
      <c r="K5916" s="7" t="str">
        <f>"鉄筋コンクリート造"</f>
        <v>鉄筋コンクリート造</v>
      </c>
      <c r="L5916" s="7" t="str">
        <f>"S48.03.15"</f>
        <v>S48.03.15</v>
      </c>
      <c r="M5916" s="7">
        <v>375.15</v>
      </c>
      <c r="N5916" s="7">
        <v>21443749</v>
      </c>
      <c r="O5916" s="7">
        <v>20043533</v>
      </c>
      <c r="P5916" s="7">
        <v>0</v>
      </c>
      <c r="Q5916" s="7" t="str">
        <f t="shared" si="2172"/>
        <v>教育庁</v>
      </c>
      <c r="R5916" s="7" t="str">
        <f t="shared" si="2171"/>
        <v>八尾翠翔高等学校</v>
      </c>
    </row>
    <row r="5917" spans="1:18" s="1" customFormat="1" x14ac:dyDescent="0.45">
      <c r="A5917" s="7" t="str">
        <f t="shared" si="2168"/>
        <v>10488000021</v>
      </c>
      <c r="B5917" s="7" t="str">
        <f t="shared" si="2169"/>
        <v>八尾翠翔高等学校</v>
      </c>
      <c r="C5917" s="7" t="str">
        <f t="shared" si="2162"/>
        <v>行政財産</v>
      </c>
      <c r="D5917" s="7" t="str">
        <f t="shared" si="2154"/>
        <v>学校</v>
      </c>
      <c r="E5917" s="7" t="str">
        <f t="shared" si="2170"/>
        <v>大阪府八尾市大字神宮寺</v>
      </c>
      <c r="F5917" s="7"/>
      <c r="G5917" s="7" t="str">
        <f t="shared" si="2167"/>
        <v>事業用資産</v>
      </c>
      <c r="H5917" s="7" t="str">
        <f t="shared" si="2161"/>
        <v>棚卸以外</v>
      </c>
      <c r="I5917" s="7">
        <v>4</v>
      </c>
      <c r="J5917" s="7" t="str">
        <f>"倉庫"</f>
        <v>倉庫</v>
      </c>
      <c r="K5917" s="7" t="str">
        <f>"鉄骨造"</f>
        <v>鉄骨造</v>
      </c>
      <c r="L5917" s="7" t="str">
        <f>"S48.03.15"</f>
        <v>S48.03.15</v>
      </c>
      <c r="M5917" s="7">
        <v>50</v>
      </c>
      <c r="N5917" s="7">
        <v>2037000</v>
      </c>
      <c r="O5917" s="7">
        <v>2036999</v>
      </c>
      <c r="P5917" s="7">
        <v>0</v>
      </c>
      <c r="Q5917" s="7" t="str">
        <f t="shared" si="2172"/>
        <v>教育庁</v>
      </c>
      <c r="R5917" s="7" t="str">
        <f t="shared" si="2171"/>
        <v>八尾翠翔高等学校</v>
      </c>
    </row>
    <row r="5918" spans="1:18" s="1" customFormat="1" x14ac:dyDescent="0.45">
      <c r="A5918" s="7" t="str">
        <f t="shared" si="2168"/>
        <v>10488000021</v>
      </c>
      <c r="B5918" s="7" t="str">
        <f t="shared" si="2169"/>
        <v>八尾翠翔高等学校</v>
      </c>
      <c r="C5918" s="7" t="str">
        <f t="shared" si="2162"/>
        <v>行政財産</v>
      </c>
      <c r="D5918" s="7" t="str">
        <f t="shared" si="2154"/>
        <v>学校</v>
      </c>
      <c r="E5918" s="7" t="str">
        <f t="shared" si="2170"/>
        <v>大阪府八尾市大字神宮寺</v>
      </c>
      <c r="F5918" s="7"/>
      <c r="G5918" s="7" t="str">
        <f t="shared" si="2167"/>
        <v>事業用資産</v>
      </c>
      <c r="H5918" s="7" t="str">
        <f t="shared" si="2161"/>
        <v>棚卸以外</v>
      </c>
      <c r="I5918" s="7">
        <v>5</v>
      </c>
      <c r="J5918" s="7" t="str">
        <f>"設備棟"</f>
        <v>設備棟</v>
      </c>
      <c r="K5918" s="7" t="str">
        <f>"鉄筋コンクリート造"</f>
        <v>鉄筋コンクリート造</v>
      </c>
      <c r="L5918" s="7" t="str">
        <f>"S48.03.15"</f>
        <v>S48.03.15</v>
      </c>
      <c r="M5918" s="7">
        <v>91.26</v>
      </c>
      <c r="N5918" s="7">
        <v>19455094</v>
      </c>
      <c r="O5918" s="7">
        <v>13983604</v>
      </c>
      <c r="P5918" s="7">
        <v>0</v>
      </c>
      <c r="Q5918" s="7" t="str">
        <f t="shared" si="2172"/>
        <v>教育庁</v>
      </c>
      <c r="R5918" s="7" t="str">
        <f t="shared" si="2171"/>
        <v>八尾翠翔高等学校</v>
      </c>
    </row>
    <row r="5919" spans="1:18" s="1" customFormat="1" x14ac:dyDescent="0.45">
      <c r="A5919" s="7" t="str">
        <f t="shared" si="2168"/>
        <v>10488000021</v>
      </c>
      <c r="B5919" s="7" t="str">
        <f t="shared" si="2169"/>
        <v>八尾翠翔高等学校</v>
      </c>
      <c r="C5919" s="7" t="str">
        <f t="shared" si="2162"/>
        <v>行政財産</v>
      </c>
      <c r="D5919" s="7" t="str">
        <f t="shared" si="2154"/>
        <v>学校</v>
      </c>
      <c r="E5919" s="7" t="str">
        <f t="shared" si="2170"/>
        <v>大阪府八尾市大字神宮寺</v>
      </c>
      <c r="F5919" s="7"/>
      <c r="G5919" s="7" t="str">
        <f t="shared" si="2167"/>
        <v>事業用資産</v>
      </c>
      <c r="H5919" s="7" t="str">
        <f t="shared" si="2161"/>
        <v>棚卸以外</v>
      </c>
      <c r="I5919" s="7">
        <v>7</v>
      </c>
      <c r="J5919" s="7" t="str">
        <f>"普通教室棟"</f>
        <v>普通教室棟</v>
      </c>
      <c r="K5919" s="7" t="str">
        <f>"鉄筋コンクリート造"</f>
        <v>鉄筋コンクリート造</v>
      </c>
      <c r="L5919" s="7" t="str">
        <f>"S49.03.28"</f>
        <v>S49.03.28</v>
      </c>
      <c r="M5919" s="7">
        <v>697.2</v>
      </c>
      <c r="N5919" s="7">
        <v>100940141</v>
      </c>
      <c r="O5919" s="7">
        <v>58695230</v>
      </c>
      <c r="P5919" s="7">
        <v>0</v>
      </c>
      <c r="Q5919" s="7" t="str">
        <f t="shared" si="2172"/>
        <v>教育庁</v>
      </c>
      <c r="R5919" s="7" t="str">
        <f t="shared" si="2171"/>
        <v>八尾翠翔高等学校</v>
      </c>
    </row>
    <row r="5920" spans="1:18" s="1" customFormat="1" x14ac:dyDescent="0.45">
      <c r="A5920" s="7" t="str">
        <f t="shared" si="2168"/>
        <v>10488000021</v>
      </c>
      <c r="B5920" s="7" t="str">
        <f t="shared" si="2169"/>
        <v>八尾翠翔高等学校</v>
      </c>
      <c r="C5920" s="7" t="str">
        <f t="shared" si="2162"/>
        <v>行政財産</v>
      </c>
      <c r="D5920" s="7" t="str">
        <f t="shared" si="2154"/>
        <v>学校</v>
      </c>
      <c r="E5920" s="7" t="str">
        <f t="shared" si="2170"/>
        <v>大阪府八尾市大字神宮寺</v>
      </c>
      <c r="F5920" s="7"/>
      <c r="G5920" s="7" t="str">
        <f t="shared" si="2167"/>
        <v>事業用資産</v>
      </c>
      <c r="H5920" s="7" t="str">
        <f t="shared" si="2161"/>
        <v>棚卸以外</v>
      </c>
      <c r="I5920" s="7">
        <v>8</v>
      </c>
      <c r="J5920" s="7" t="str">
        <f>"特別教室棟"</f>
        <v>特別教室棟</v>
      </c>
      <c r="K5920" s="7" t="str">
        <f>"鉄筋コンクリート造"</f>
        <v>鉄筋コンクリート造</v>
      </c>
      <c r="L5920" s="7" t="str">
        <f>"S49.03.28"</f>
        <v>S49.03.28</v>
      </c>
      <c r="M5920" s="7">
        <v>3270</v>
      </c>
      <c r="N5920" s="7">
        <v>315944429</v>
      </c>
      <c r="O5920" s="7">
        <v>258173945</v>
      </c>
      <c r="P5920" s="7">
        <v>0</v>
      </c>
      <c r="Q5920" s="7" t="str">
        <f t="shared" si="2172"/>
        <v>教育庁</v>
      </c>
      <c r="R5920" s="7" t="str">
        <f t="shared" si="2171"/>
        <v>八尾翠翔高等学校</v>
      </c>
    </row>
    <row r="5921" spans="1:18" s="1" customFormat="1" x14ac:dyDescent="0.45">
      <c r="A5921" s="7" t="str">
        <f t="shared" si="2168"/>
        <v>10488000021</v>
      </c>
      <c r="B5921" s="7" t="str">
        <f t="shared" si="2169"/>
        <v>八尾翠翔高等学校</v>
      </c>
      <c r="C5921" s="7" t="str">
        <f t="shared" si="2162"/>
        <v>行政財産</v>
      </c>
      <c r="D5921" s="7" t="str">
        <f t="shared" si="2154"/>
        <v>学校</v>
      </c>
      <c r="E5921" s="7" t="str">
        <f t="shared" si="2170"/>
        <v>大阪府八尾市大字神宮寺</v>
      </c>
      <c r="F5921" s="7"/>
      <c r="G5921" s="7" t="str">
        <f t="shared" si="2167"/>
        <v>事業用資産</v>
      </c>
      <c r="H5921" s="7" t="str">
        <f t="shared" si="2161"/>
        <v>棚卸以外</v>
      </c>
      <c r="I5921" s="7">
        <v>9</v>
      </c>
      <c r="J5921" s="7" t="str">
        <f>"プール附属棟"</f>
        <v>プール附属棟</v>
      </c>
      <c r="K5921" s="7" t="str">
        <f>"コンクリートブロック造"</f>
        <v>コンクリートブロック造</v>
      </c>
      <c r="L5921" s="7" t="str">
        <f>"S49.07.31"</f>
        <v>S49.07.31</v>
      </c>
      <c r="M5921" s="7">
        <v>127</v>
      </c>
      <c r="N5921" s="7">
        <v>23190946</v>
      </c>
      <c r="O5921" s="7">
        <v>20682737</v>
      </c>
      <c r="P5921" s="7">
        <v>0</v>
      </c>
      <c r="Q5921" s="7" t="str">
        <f t="shared" si="2172"/>
        <v>教育庁</v>
      </c>
      <c r="R5921" s="7" t="str">
        <f t="shared" si="2171"/>
        <v>八尾翠翔高等学校</v>
      </c>
    </row>
    <row r="5922" spans="1:18" s="1" customFormat="1" x14ac:dyDescent="0.45">
      <c r="A5922" s="7" t="str">
        <f t="shared" si="2168"/>
        <v>10488000021</v>
      </c>
      <c r="B5922" s="7" t="str">
        <f t="shared" si="2169"/>
        <v>八尾翠翔高等学校</v>
      </c>
      <c r="C5922" s="7" t="str">
        <f t="shared" si="2162"/>
        <v>行政財産</v>
      </c>
      <c r="D5922" s="7" t="str">
        <f t="shared" si="2154"/>
        <v>学校</v>
      </c>
      <c r="E5922" s="7" t="str">
        <f t="shared" si="2170"/>
        <v>大阪府八尾市大字神宮寺</v>
      </c>
      <c r="F5922" s="7"/>
      <c r="G5922" s="7" t="str">
        <f t="shared" si="2167"/>
        <v>事業用資産</v>
      </c>
      <c r="H5922" s="7" t="str">
        <f t="shared" si="2161"/>
        <v>棚卸以外</v>
      </c>
      <c r="I5922" s="7">
        <v>10</v>
      </c>
      <c r="J5922" s="7" t="str">
        <f>"体育館"</f>
        <v>体育館</v>
      </c>
      <c r="K5922" s="7" t="str">
        <f>"鉄筋コンクリート造"</f>
        <v>鉄筋コンクリート造</v>
      </c>
      <c r="L5922" s="7" t="str">
        <f>"S49.08.15"</f>
        <v>S49.08.15</v>
      </c>
      <c r="M5922" s="7">
        <v>2780.45</v>
      </c>
      <c r="N5922" s="7">
        <v>286442376</v>
      </c>
      <c r="O5922" s="7">
        <v>224760062</v>
      </c>
      <c r="P5922" s="7">
        <v>0</v>
      </c>
      <c r="Q5922" s="7" t="str">
        <f t="shared" si="2172"/>
        <v>教育庁</v>
      </c>
      <c r="R5922" s="7" t="str">
        <f t="shared" si="2171"/>
        <v>八尾翠翔高等学校</v>
      </c>
    </row>
    <row r="5923" spans="1:18" s="1" customFormat="1" x14ac:dyDescent="0.45">
      <c r="A5923" s="7" t="str">
        <f t="shared" si="2168"/>
        <v>10488000021</v>
      </c>
      <c r="B5923" s="7" t="str">
        <f t="shared" si="2169"/>
        <v>八尾翠翔高等学校</v>
      </c>
      <c r="C5923" s="7" t="str">
        <f t="shared" si="2162"/>
        <v>行政財産</v>
      </c>
      <c r="D5923" s="7" t="str">
        <f t="shared" si="2154"/>
        <v>学校</v>
      </c>
      <c r="E5923" s="7" t="str">
        <f t="shared" si="2170"/>
        <v>大阪府八尾市大字神宮寺</v>
      </c>
      <c r="F5923" s="7"/>
      <c r="G5923" s="7" t="str">
        <f t="shared" si="2167"/>
        <v>事業用資産</v>
      </c>
      <c r="H5923" s="7" t="str">
        <f t="shared" si="2161"/>
        <v>棚卸以外</v>
      </c>
      <c r="I5923" s="7">
        <v>11</v>
      </c>
      <c r="J5923" s="7" t="str">
        <f>"食堂"</f>
        <v>食堂</v>
      </c>
      <c r="K5923" s="7" t="str">
        <f>"鉄筋コンクリート造"</f>
        <v>鉄筋コンクリート造</v>
      </c>
      <c r="L5923" s="7" t="str">
        <f>"S49.11.30"</f>
        <v>S49.11.30</v>
      </c>
      <c r="M5923" s="7">
        <v>319.72000000000003</v>
      </c>
      <c r="N5923" s="7">
        <v>35651722</v>
      </c>
      <c r="O5923" s="7">
        <v>34143370</v>
      </c>
      <c r="P5923" s="7">
        <v>0</v>
      </c>
      <c r="Q5923" s="7" t="str">
        <f t="shared" si="2172"/>
        <v>教育庁</v>
      </c>
      <c r="R5923" s="7" t="str">
        <f t="shared" si="2171"/>
        <v>八尾翠翔高等学校</v>
      </c>
    </row>
    <row r="5924" spans="1:18" s="1" customFormat="1" x14ac:dyDescent="0.45">
      <c r="A5924" s="7" t="str">
        <f t="shared" si="2168"/>
        <v>10488000021</v>
      </c>
      <c r="B5924" s="7" t="str">
        <f t="shared" si="2169"/>
        <v>八尾翠翔高等学校</v>
      </c>
      <c r="C5924" s="7" t="str">
        <f t="shared" si="2162"/>
        <v>行政財産</v>
      </c>
      <c r="D5924" s="7" t="str">
        <f t="shared" si="2154"/>
        <v>学校</v>
      </c>
      <c r="E5924" s="7" t="str">
        <f t="shared" si="2170"/>
        <v>大阪府八尾市大字神宮寺</v>
      </c>
      <c r="F5924" s="7"/>
      <c r="G5924" s="7" t="str">
        <f t="shared" si="2167"/>
        <v>事業用資産</v>
      </c>
      <c r="H5924" s="7" t="str">
        <f t="shared" si="2161"/>
        <v>棚卸以外</v>
      </c>
      <c r="I5924" s="7">
        <v>13</v>
      </c>
      <c r="J5924" s="7" t="str">
        <f>"普通教室棟"</f>
        <v>普通教室棟</v>
      </c>
      <c r="K5924" s="7" t="str">
        <f>"鉄筋コンクリート造"</f>
        <v>鉄筋コンクリート造</v>
      </c>
      <c r="L5924" s="7" t="str">
        <f>"S50.03.12"</f>
        <v>S50.03.12</v>
      </c>
      <c r="M5924" s="7">
        <v>2910.95</v>
      </c>
      <c r="N5924" s="7">
        <v>257658220</v>
      </c>
      <c r="O5924" s="7">
        <v>237076704</v>
      </c>
      <c r="P5924" s="7">
        <v>0</v>
      </c>
      <c r="Q5924" s="7" t="str">
        <f t="shared" si="2172"/>
        <v>教育庁</v>
      </c>
      <c r="R5924" s="7" t="str">
        <f t="shared" si="2171"/>
        <v>八尾翠翔高等学校</v>
      </c>
    </row>
    <row r="5925" spans="1:18" s="1" customFormat="1" x14ac:dyDescent="0.45">
      <c r="A5925" s="7" t="str">
        <f t="shared" si="2168"/>
        <v>10488000021</v>
      </c>
      <c r="B5925" s="7" t="str">
        <f t="shared" si="2169"/>
        <v>八尾翠翔高等学校</v>
      </c>
      <c r="C5925" s="7" t="str">
        <f t="shared" si="2162"/>
        <v>行政財産</v>
      </c>
      <c r="D5925" s="7" t="str">
        <f t="shared" si="2154"/>
        <v>学校</v>
      </c>
      <c r="E5925" s="7" t="str">
        <f t="shared" si="2170"/>
        <v>大阪府八尾市大字神宮寺</v>
      </c>
      <c r="F5925" s="7"/>
      <c r="G5925" s="7" t="str">
        <f t="shared" si="2167"/>
        <v>事業用資産</v>
      </c>
      <c r="H5925" s="7" t="str">
        <f t="shared" si="2161"/>
        <v>棚卸以外</v>
      </c>
      <c r="I5925" s="7">
        <v>14</v>
      </c>
      <c r="J5925" s="7" t="str">
        <f>"渡り廊下"</f>
        <v>渡り廊下</v>
      </c>
      <c r="K5925" s="7" t="str">
        <f>"鉄筋コンクリート造"</f>
        <v>鉄筋コンクリート造</v>
      </c>
      <c r="L5925" s="7" t="str">
        <f>"S50.03.12"</f>
        <v>S50.03.12</v>
      </c>
      <c r="M5925" s="7">
        <v>351</v>
      </c>
      <c r="N5925" s="7">
        <v>36575985</v>
      </c>
      <c r="O5925" s="7">
        <v>29665624</v>
      </c>
      <c r="P5925" s="7">
        <v>0</v>
      </c>
      <c r="Q5925" s="7" t="str">
        <f t="shared" si="2172"/>
        <v>教育庁</v>
      </c>
      <c r="R5925" s="7" t="str">
        <f t="shared" si="2171"/>
        <v>八尾翠翔高等学校</v>
      </c>
    </row>
    <row r="5926" spans="1:18" s="1" customFormat="1" x14ac:dyDescent="0.45">
      <c r="A5926" s="7" t="str">
        <f t="shared" si="2168"/>
        <v>10488000021</v>
      </c>
      <c r="B5926" s="7" t="str">
        <f t="shared" si="2169"/>
        <v>八尾翠翔高等学校</v>
      </c>
      <c r="C5926" s="7" t="str">
        <f t="shared" si="2162"/>
        <v>行政財産</v>
      </c>
      <c r="D5926" s="7" t="str">
        <f t="shared" si="2154"/>
        <v>学校</v>
      </c>
      <c r="E5926" s="7" t="str">
        <f t="shared" si="2170"/>
        <v>大阪府八尾市大字神宮寺</v>
      </c>
      <c r="F5926" s="7"/>
      <c r="G5926" s="7" t="str">
        <f t="shared" si="2167"/>
        <v>事業用資産</v>
      </c>
      <c r="H5926" s="7" t="str">
        <f t="shared" si="2161"/>
        <v>棚卸以外</v>
      </c>
      <c r="I5926" s="7">
        <v>15</v>
      </c>
      <c r="J5926" s="7" t="str">
        <f>"運動場倉庫"</f>
        <v>運動場倉庫</v>
      </c>
      <c r="K5926" s="7" t="str">
        <f>"土蔵造(簡易建物)"</f>
        <v>土蔵造(簡易建物)</v>
      </c>
      <c r="L5926" s="7" t="str">
        <f>"S60.02.08"</f>
        <v>S60.02.08</v>
      </c>
      <c r="M5926" s="7">
        <v>151.86000000000001</v>
      </c>
      <c r="N5926" s="7">
        <v>10870000</v>
      </c>
      <c r="O5926" s="7">
        <v>10869999</v>
      </c>
      <c r="P5926" s="7">
        <v>0</v>
      </c>
      <c r="Q5926" s="7" t="str">
        <f t="shared" si="2172"/>
        <v>教育庁</v>
      </c>
      <c r="R5926" s="7" t="str">
        <f t="shared" si="2171"/>
        <v>八尾翠翔高等学校</v>
      </c>
    </row>
    <row r="5927" spans="1:18" s="1" customFormat="1" x14ac:dyDescent="0.45">
      <c r="A5927" s="7" t="str">
        <f t="shared" si="2168"/>
        <v>10488000021</v>
      </c>
      <c r="B5927" s="7" t="str">
        <f t="shared" si="2169"/>
        <v>八尾翠翔高等学校</v>
      </c>
      <c r="C5927" s="7" t="str">
        <f t="shared" si="2162"/>
        <v>行政財産</v>
      </c>
      <c r="D5927" s="7" t="str">
        <f t="shared" si="2154"/>
        <v>学校</v>
      </c>
      <c r="E5927" s="7" t="str">
        <f t="shared" si="2170"/>
        <v>大阪府八尾市大字神宮寺</v>
      </c>
      <c r="F5927" s="7"/>
      <c r="G5927" s="7" t="str">
        <f t="shared" si="2167"/>
        <v>事業用資産</v>
      </c>
      <c r="H5927" s="7" t="str">
        <f t="shared" si="2161"/>
        <v>棚卸以外</v>
      </c>
      <c r="I5927" s="7">
        <v>16</v>
      </c>
      <c r="J5927" s="7" t="str">
        <f>"エレベーター棟"</f>
        <v>エレベーター棟</v>
      </c>
      <c r="K5927" s="7" t="str">
        <f>"鉄骨造"</f>
        <v>鉄骨造</v>
      </c>
      <c r="L5927" s="7" t="str">
        <f>"H19.01.30"</f>
        <v>H19.01.30</v>
      </c>
      <c r="M5927" s="7">
        <v>30.76</v>
      </c>
      <c r="N5927" s="7">
        <v>20968000</v>
      </c>
      <c r="O5927" s="7">
        <v>9970242</v>
      </c>
      <c r="P5927" s="7">
        <v>0</v>
      </c>
      <c r="Q5927" s="7" t="str">
        <f t="shared" si="2172"/>
        <v>教育庁</v>
      </c>
      <c r="R5927" s="7" t="str">
        <f t="shared" si="2171"/>
        <v>八尾翠翔高等学校</v>
      </c>
    </row>
    <row r="5928" spans="1:18" s="1" customFormat="1" x14ac:dyDescent="0.45">
      <c r="A5928" s="7" t="str">
        <f t="shared" ref="A5928:A5936" si="2173">"10490000500"</f>
        <v>10490000500</v>
      </c>
      <c r="B5928" s="7" t="str">
        <f t="shared" ref="B5928:B5936" si="2174">"港南造形高校"</f>
        <v>港南造形高校</v>
      </c>
      <c r="C5928" s="7" t="str">
        <f t="shared" si="2162"/>
        <v>行政財産</v>
      </c>
      <c r="D5928" s="7" t="str">
        <f t="shared" si="2154"/>
        <v>学校</v>
      </c>
      <c r="E5928" s="7" t="str">
        <f t="shared" ref="E5928:E5936" si="2175">"大阪府大阪市　住之江区南港東２丁目"</f>
        <v>大阪府大阪市　住之江区南港東２丁目</v>
      </c>
      <c r="F5928" s="7"/>
      <c r="G5928" s="7" t="str">
        <f t="shared" si="2167"/>
        <v>事業用資産</v>
      </c>
      <c r="H5928" s="7" t="str">
        <f t="shared" si="2161"/>
        <v>棚卸以外</v>
      </c>
      <c r="I5928" s="7">
        <v>1</v>
      </c>
      <c r="J5928" s="7" t="str">
        <f>"校舎棟"</f>
        <v>校舎棟</v>
      </c>
      <c r="K5928" s="7" t="str">
        <f>"鉄筋コンクリート造"</f>
        <v>鉄筋コンクリート造</v>
      </c>
      <c r="L5928" s="7" t="str">
        <f>"S59.02.22"</f>
        <v>S59.02.22</v>
      </c>
      <c r="M5928" s="7">
        <v>9570.33</v>
      </c>
      <c r="N5928" s="7">
        <v>1778729711</v>
      </c>
      <c r="O5928" s="7">
        <v>1334762496</v>
      </c>
      <c r="P5928" s="7">
        <v>0</v>
      </c>
      <c r="Q5928" s="7" t="str">
        <f t="shared" si="2172"/>
        <v>教育庁</v>
      </c>
      <c r="R5928" s="7" t="str">
        <f t="shared" ref="R5928:R5936" si="2176">"港南造形高等学校"</f>
        <v>港南造形高等学校</v>
      </c>
    </row>
    <row r="5929" spans="1:18" s="1" customFormat="1" x14ac:dyDescent="0.45">
      <c r="A5929" s="7" t="str">
        <f t="shared" si="2173"/>
        <v>10490000500</v>
      </c>
      <c r="B5929" s="7" t="str">
        <f t="shared" si="2174"/>
        <v>港南造形高校</v>
      </c>
      <c r="C5929" s="7" t="str">
        <f t="shared" si="2162"/>
        <v>行政財産</v>
      </c>
      <c r="D5929" s="7" t="str">
        <f t="shared" si="2154"/>
        <v>学校</v>
      </c>
      <c r="E5929" s="7" t="str">
        <f t="shared" si="2175"/>
        <v>大阪府大阪市　住之江区南港東２丁目</v>
      </c>
      <c r="F5929" s="7"/>
      <c r="G5929" s="7" t="str">
        <f t="shared" si="2167"/>
        <v>事業用資産</v>
      </c>
      <c r="H5929" s="7" t="str">
        <f t="shared" si="2161"/>
        <v>棚卸以外</v>
      </c>
      <c r="I5929" s="7">
        <v>2</v>
      </c>
      <c r="J5929" s="7" t="str">
        <f>"実習棟"</f>
        <v>実習棟</v>
      </c>
      <c r="K5929" s="7" t="str">
        <f>"鉄筋コンクリート造"</f>
        <v>鉄筋コンクリート造</v>
      </c>
      <c r="L5929" s="7" t="str">
        <f>"S59.03.15"</f>
        <v>S59.03.15</v>
      </c>
      <c r="M5929" s="7">
        <v>5354.5</v>
      </c>
      <c r="N5929" s="7">
        <v>1680005763</v>
      </c>
      <c r="O5929" s="7">
        <v>1381826161</v>
      </c>
      <c r="P5929" s="7">
        <v>0</v>
      </c>
      <c r="Q5929" s="7" t="str">
        <f t="shared" si="2172"/>
        <v>教育庁</v>
      </c>
      <c r="R5929" s="7" t="str">
        <f t="shared" si="2176"/>
        <v>港南造形高等学校</v>
      </c>
    </row>
    <row r="5930" spans="1:18" s="1" customFormat="1" x14ac:dyDescent="0.45">
      <c r="A5930" s="7" t="str">
        <f t="shared" si="2173"/>
        <v>10490000500</v>
      </c>
      <c r="B5930" s="7" t="str">
        <f t="shared" si="2174"/>
        <v>港南造形高校</v>
      </c>
      <c r="C5930" s="7" t="str">
        <f t="shared" si="2162"/>
        <v>行政財産</v>
      </c>
      <c r="D5930" s="7" t="str">
        <f t="shared" si="2154"/>
        <v>学校</v>
      </c>
      <c r="E5930" s="7" t="str">
        <f t="shared" si="2175"/>
        <v>大阪府大阪市　住之江区南港東２丁目</v>
      </c>
      <c r="F5930" s="7"/>
      <c r="G5930" s="7" t="str">
        <f t="shared" si="2167"/>
        <v>事業用資産</v>
      </c>
      <c r="H5930" s="7" t="str">
        <f t="shared" si="2161"/>
        <v>棚卸以外</v>
      </c>
      <c r="I5930" s="7">
        <v>3</v>
      </c>
      <c r="J5930" s="7" t="str">
        <f>"焼成室"</f>
        <v>焼成室</v>
      </c>
      <c r="K5930" s="7" t="str">
        <f>"鉄筋コンクリート造"</f>
        <v>鉄筋コンクリート造</v>
      </c>
      <c r="L5930" s="7" t="str">
        <f>"S59.03.15"</f>
        <v>S59.03.15</v>
      </c>
      <c r="M5930" s="7">
        <v>102</v>
      </c>
      <c r="N5930" s="7">
        <v>13310000</v>
      </c>
      <c r="O5930" s="7">
        <v>13309999</v>
      </c>
      <c r="P5930" s="7">
        <v>0</v>
      </c>
      <c r="Q5930" s="7" t="str">
        <f t="shared" si="2172"/>
        <v>教育庁</v>
      </c>
      <c r="R5930" s="7" t="str">
        <f t="shared" si="2176"/>
        <v>港南造形高等学校</v>
      </c>
    </row>
    <row r="5931" spans="1:18" s="1" customFormat="1" x14ac:dyDescent="0.45">
      <c r="A5931" s="7" t="str">
        <f t="shared" si="2173"/>
        <v>10490000500</v>
      </c>
      <c r="B5931" s="7" t="str">
        <f t="shared" si="2174"/>
        <v>港南造形高校</v>
      </c>
      <c r="C5931" s="7" t="str">
        <f t="shared" si="2162"/>
        <v>行政財産</v>
      </c>
      <c r="D5931" s="7" t="str">
        <f t="shared" si="2154"/>
        <v>学校</v>
      </c>
      <c r="E5931" s="7" t="str">
        <f t="shared" si="2175"/>
        <v>大阪府大阪市　住之江区南港東２丁目</v>
      </c>
      <c r="F5931" s="7"/>
      <c r="G5931" s="7" t="str">
        <f t="shared" si="2167"/>
        <v>事業用資産</v>
      </c>
      <c r="H5931" s="7" t="str">
        <f t="shared" si="2161"/>
        <v>棚卸以外</v>
      </c>
      <c r="I5931" s="7">
        <v>4</v>
      </c>
      <c r="J5931" s="7" t="str">
        <f>"倉庫"</f>
        <v>倉庫</v>
      </c>
      <c r="K5931" s="7" t="str">
        <f>"鉄骨造"</f>
        <v>鉄骨造</v>
      </c>
      <c r="L5931" s="7" t="str">
        <f>"S59.03.15"</f>
        <v>S59.03.15</v>
      </c>
      <c r="M5931" s="7">
        <v>100</v>
      </c>
      <c r="N5931" s="7">
        <v>8801000</v>
      </c>
      <c r="O5931" s="7">
        <v>8800999</v>
      </c>
      <c r="P5931" s="7">
        <v>0</v>
      </c>
      <c r="Q5931" s="7" t="str">
        <f t="shared" si="2172"/>
        <v>教育庁</v>
      </c>
      <c r="R5931" s="7" t="str">
        <f t="shared" si="2176"/>
        <v>港南造形高等学校</v>
      </c>
    </row>
    <row r="5932" spans="1:18" s="1" customFormat="1" x14ac:dyDescent="0.45">
      <c r="A5932" s="7" t="str">
        <f t="shared" si="2173"/>
        <v>10490000500</v>
      </c>
      <c r="B5932" s="7" t="str">
        <f t="shared" si="2174"/>
        <v>港南造形高校</v>
      </c>
      <c r="C5932" s="7" t="str">
        <f t="shared" si="2162"/>
        <v>行政財産</v>
      </c>
      <c r="D5932" s="7" t="str">
        <f t="shared" si="2154"/>
        <v>学校</v>
      </c>
      <c r="E5932" s="7" t="str">
        <f t="shared" si="2175"/>
        <v>大阪府大阪市　住之江区南港東２丁目</v>
      </c>
      <c r="F5932" s="7"/>
      <c r="G5932" s="7" t="str">
        <f t="shared" si="2167"/>
        <v>事業用資産</v>
      </c>
      <c r="H5932" s="7" t="str">
        <f t="shared" si="2161"/>
        <v>棚卸以外</v>
      </c>
      <c r="I5932" s="7">
        <v>5</v>
      </c>
      <c r="J5932" s="7" t="str">
        <f>"体育館"</f>
        <v>体育館</v>
      </c>
      <c r="K5932" s="7" t="str">
        <f>"鉄筋コンクリート造"</f>
        <v>鉄筋コンクリート造</v>
      </c>
      <c r="L5932" s="7" t="str">
        <f>"S60.02.07"</f>
        <v>S60.02.07</v>
      </c>
      <c r="M5932" s="7">
        <v>3031.68</v>
      </c>
      <c r="N5932" s="7">
        <v>140319169</v>
      </c>
      <c r="O5932" s="7">
        <v>59936108</v>
      </c>
      <c r="P5932" s="7">
        <v>0</v>
      </c>
      <c r="Q5932" s="7" t="str">
        <f t="shared" si="2172"/>
        <v>教育庁</v>
      </c>
      <c r="R5932" s="7" t="str">
        <f t="shared" si="2176"/>
        <v>港南造形高等学校</v>
      </c>
    </row>
    <row r="5933" spans="1:18" s="1" customFormat="1" x14ac:dyDescent="0.45">
      <c r="A5933" s="7" t="str">
        <f t="shared" si="2173"/>
        <v>10490000500</v>
      </c>
      <c r="B5933" s="7" t="str">
        <f t="shared" si="2174"/>
        <v>港南造形高校</v>
      </c>
      <c r="C5933" s="7" t="str">
        <f t="shared" si="2162"/>
        <v>行政財産</v>
      </c>
      <c r="D5933" s="7" t="str">
        <f t="shared" si="2154"/>
        <v>学校</v>
      </c>
      <c r="E5933" s="7" t="str">
        <f t="shared" si="2175"/>
        <v>大阪府大阪市　住之江区南港東２丁目</v>
      </c>
      <c r="F5933" s="7"/>
      <c r="G5933" s="7" t="str">
        <f t="shared" si="2167"/>
        <v>事業用資産</v>
      </c>
      <c r="H5933" s="7" t="str">
        <f t="shared" si="2161"/>
        <v>棚卸以外</v>
      </c>
      <c r="I5933" s="7">
        <v>7</v>
      </c>
      <c r="J5933" s="7" t="str">
        <f>"プ－ル棟"</f>
        <v>プ－ル棟</v>
      </c>
      <c r="K5933" s="7" t="str">
        <f>"鉄筋コンクリート造"</f>
        <v>鉄筋コンクリート造</v>
      </c>
      <c r="L5933" s="7" t="str">
        <f>"S60.06.04"</f>
        <v>S60.06.04</v>
      </c>
      <c r="M5933" s="7">
        <v>138</v>
      </c>
      <c r="N5933" s="7">
        <v>39450830</v>
      </c>
      <c r="O5933" s="7">
        <v>29845270</v>
      </c>
      <c r="P5933" s="7">
        <v>0</v>
      </c>
      <c r="Q5933" s="7" t="str">
        <f t="shared" si="2172"/>
        <v>教育庁</v>
      </c>
      <c r="R5933" s="7" t="str">
        <f t="shared" si="2176"/>
        <v>港南造形高等学校</v>
      </c>
    </row>
    <row r="5934" spans="1:18" s="1" customFormat="1" x14ac:dyDescent="0.45">
      <c r="A5934" s="7" t="str">
        <f t="shared" si="2173"/>
        <v>10490000500</v>
      </c>
      <c r="B5934" s="7" t="str">
        <f t="shared" si="2174"/>
        <v>港南造形高校</v>
      </c>
      <c r="C5934" s="7" t="str">
        <f t="shared" si="2162"/>
        <v>行政財産</v>
      </c>
      <c r="D5934" s="7" t="str">
        <f t="shared" si="2154"/>
        <v>学校</v>
      </c>
      <c r="E5934" s="7" t="str">
        <f t="shared" si="2175"/>
        <v>大阪府大阪市　住之江区南港東２丁目</v>
      </c>
      <c r="F5934" s="7"/>
      <c r="G5934" s="7" t="str">
        <f t="shared" si="2167"/>
        <v>事業用資産</v>
      </c>
      <c r="H5934" s="7" t="str">
        <f t="shared" si="2161"/>
        <v>棚卸以外</v>
      </c>
      <c r="I5934" s="7">
        <v>8</v>
      </c>
      <c r="J5934" s="7" t="str">
        <f>"倉庫Ｂ"</f>
        <v>倉庫Ｂ</v>
      </c>
      <c r="K5934" s="7" t="str">
        <f>"鉄骨造"</f>
        <v>鉄骨造</v>
      </c>
      <c r="L5934" s="7" t="str">
        <f>"S61.03.31"</f>
        <v>S61.03.31</v>
      </c>
      <c r="M5934" s="7">
        <v>100</v>
      </c>
      <c r="N5934" s="7">
        <v>986300</v>
      </c>
      <c r="O5934" s="7">
        <v>986299</v>
      </c>
      <c r="P5934" s="7">
        <v>0</v>
      </c>
      <c r="Q5934" s="7" t="str">
        <f t="shared" si="2172"/>
        <v>教育庁</v>
      </c>
      <c r="R5934" s="7" t="str">
        <f t="shared" si="2176"/>
        <v>港南造形高等学校</v>
      </c>
    </row>
    <row r="5935" spans="1:18" s="1" customFormat="1" x14ac:dyDescent="0.45">
      <c r="A5935" s="7" t="str">
        <f t="shared" si="2173"/>
        <v>10490000500</v>
      </c>
      <c r="B5935" s="7" t="str">
        <f t="shared" si="2174"/>
        <v>港南造形高校</v>
      </c>
      <c r="C5935" s="7" t="str">
        <f t="shared" si="2162"/>
        <v>行政財産</v>
      </c>
      <c r="D5935" s="7" t="str">
        <f t="shared" si="2154"/>
        <v>学校</v>
      </c>
      <c r="E5935" s="7" t="str">
        <f t="shared" si="2175"/>
        <v>大阪府大阪市　住之江区南港東２丁目</v>
      </c>
      <c r="F5935" s="7"/>
      <c r="G5935" s="7" t="str">
        <f t="shared" si="2167"/>
        <v>事業用資産</v>
      </c>
      <c r="H5935" s="7" t="str">
        <f t="shared" si="2161"/>
        <v>棚卸以外</v>
      </c>
      <c r="I5935" s="7">
        <v>9</v>
      </c>
      <c r="J5935" s="7" t="str">
        <f>"石灰置場"</f>
        <v>石灰置場</v>
      </c>
      <c r="K5935" s="7" t="str">
        <f>"鉄骨造"</f>
        <v>鉄骨造</v>
      </c>
      <c r="L5935" s="7" t="str">
        <f>"S61.03.31"</f>
        <v>S61.03.31</v>
      </c>
      <c r="M5935" s="7">
        <v>4.41</v>
      </c>
      <c r="N5935" s="7">
        <v>679000</v>
      </c>
      <c r="O5935" s="7">
        <v>678999</v>
      </c>
      <c r="P5935" s="7">
        <v>0</v>
      </c>
      <c r="Q5935" s="7" t="str">
        <f t="shared" si="2172"/>
        <v>教育庁</v>
      </c>
      <c r="R5935" s="7" t="str">
        <f t="shared" si="2176"/>
        <v>港南造形高等学校</v>
      </c>
    </row>
    <row r="5936" spans="1:18" s="1" customFormat="1" x14ac:dyDescent="0.45">
      <c r="A5936" s="7" t="str">
        <f t="shared" si="2173"/>
        <v>10490000500</v>
      </c>
      <c r="B5936" s="7" t="str">
        <f t="shared" si="2174"/>
        <v>港南造形高校</v>
      </c>
      <c r="C5936" s="7" t="str">
        <f t="shared" si="2162"/>
        <v>行政財産</v>
      </c>
      <c r="D5936" s="7" t="str">
        <f t="shared" si="2154"/>
        <v>学校</v>
      </c>
      <c r="E5936" s="7" t="str">
        <f t="shared" si="2175"/>
        <v>大阪府大阪市　住之江区南港東２丁目</v>
      </c>
      <c r="F5936" s="7"/>
      <c r="G5936" s="7" t="str">
        <f t="shared" si="2167"/>
        <v>事業用資産</v>
      </c>
      <c r="H5936" s="7" t="str">
        <f t="shared" si="2161"/>
        <v>棚卸以外</v>
      </c>
      <c r="I5936" s="7">
        <v>10</v>
      </c>
      <c r="J5936" s="7" t="str">
        <f>"造形棟南館"</f>
        <v>造形棟南館</v>
      </c>
      <c r="K5936" s="7" t="str">
        <f>"鉄骨造"</f>
        <v>鉄骨造</v>
      </c>
      <c r="L5936" s="7" t="str">
        <f>"H16.03.31"</f>
        <v>H16.03.31</v>
      </c>
      <c r="M5936" s="7">
        <v>1766.84</v>
      </c>
      <c r="N5936" s="7">
        <v>355893141</v>
      </c>
      <c r="O5936" s="7">
        <v>198725412</v>
      </c>
      <c r="P5936" s="7">
        <v>0</v>
      </c>
      <c r="Q5936" s="7" t="str">
        <f t="shared" si="2172"/>
        <v>教育庁</v>
      </c>
      <c r="R5936" s="7" t="str">
        <f t="shared" si="2176"/>
        <v>港南造形高等学校</v>
      </c>
    </row>
    <row r="5937" spans="1:18" s="1" customFormat="1" x14ac:dyDescent="0.45">
      <c r="A5937" s="7" t="str">
        <f t="shared" ref="A5937:A5951" si="2177">"10491000000"</f>
        <v>10491000000</v>
      </c>
      <c r="B5937" s="7" t="str">
        <f t="shared" ref="B5937:B5951" si="2178">"槻の木高等学校"</f>
        <v>槻の木高等学校</v>
      </c>
      <c r="C5937" s="7" t="str">
        <f t="shared" si="2162"/>
        <v>行政財産</v>
      </c>
      <c r="D5937" s="7" t="str">
        <f t="shared" si="2154"/>
        <v>学校</v>
      </c>
      <c r="E5937" s="7" t="str">
        <f t="shared" ref="E5937:E5951" si="2179">"大阪府高槻市城内町"</f>
        <v>大阪府高槻市城内町</v>
      </c>
      <c r="F5937" s="7"/>
      <c r="G5937" s="7" t="str">
        <f t="shared" si="2167"/>
        <v>事業用資産</v>
      </c>
      <c r="H5937" s="7" t="str">
        <f t="shared" si="2161"/>
        <v>棚卸以外</v>
      </c>
      <c r="I5937" s="7">
        <v>11</v>
      </c>
      <c r="J5937" s="7" t="str">
        <f>"本館"</f>
        <v>本館</v>
      </c>
      <c r="K5937" s="7" t="str">
        <f>"鉄筋コンクリート造"</f>
        <v>鉄筋コンクリート造</v>
      </c>
      <c r="L5937" s="7" t="str">
        <f>"S29.03.31"</f>
        <v>S29.03.31</v>
      </c>
      <c r="M5937" s="7">
        <v>3456.95</v>
      </c>
      <c r="N5937" s="7">
        <v>247348001</v>
      </c>
      <c r="O5937" s="7">
        <v>156753428</v>
      </c>
      <c r="P5937" s="7">
        <v>0</v>
      </c>
      <c r="Q5937" s="7" t="str">
        <f t="shared" si="2172"/>
        <v>教育庁</v>
      </c>
      <c r="R5937" s="7" t="str">
        <f t="shared" ref="R5937:R5951" si="2180">"槻の木高等学校"</f>
        <v>槻の木高等学校</v>
      </c>
    </row>
    <row r="5938" spans="1:18" s="1" customFormat="1" x14ac:dyDescent="0.45">
      <c r="A5938" s="7" t="str">
        <f t="shared" si="2177"/>
        <v>10491000000</v>
      </c>
      <c r="B5938" s="7" t="str">
        <f t="shared" si="2178"/>
        <v>槻の木高等学校</v>
      </c>
      <c r="C5938" s="7" t="str">
        <f t="shared" si="2162"/>
        <v>行政財産</v>
      </c>
      <c r="D5938" s="7" t="str">
        <f t="shared" si="2154"/>
        <v>学校</v>
      </c>
      <c r="E5938" s="7" t="str">
        <f t="shared" si="2179"/>
        <v>大阪府高槻市城内町</v>
      </c>
      <c r="F5938" s="7"/>
      <c r="G5938" s="7" t="str">
        <f t="shared" si="2167"/>
        <v>事業用資産</v>
      </c>
      <c r="H5938" s="7" t="str">
        <f t="shared" si="2161"/>
        <v>棚卸以外</v>
      </c>
      <c r="I5938" s="7">
        <v>21</v>
      </c>
      <c r="J5938" s="7" t="str">
        <f>"別館"</f>
        <v>別館</v>
      </c>
      <c r="K5938" s="7" t="str">
        <f>"鉄筋コンクリート造"</f>
        <v>鉄筋コンクリート造</v>
      </c>
      <c r="L5938" s="7" t="str">
        <f>"S38.01.18"</f>
        <v>S38.01.18</v>
      </c>
      <c r="M5938" s="7">
        <v>4655.6400000000003</v>
      </c>
      <c r="N5938" s="7">
        <v>400661270</v>
      </c>
      <c r="O5938" s="7">
        <v>285756429</v>
      </c>
      <c r="P5938" s="7">
        <v>0</v>
      </c>
      <c r="Q5938" s="7" t="str">
        <f t="shared" si="2172"/>
        <v>教育庁</v>
      </c>
      <c r="R5938" s="7" t="str">
        <f t="shared" si="2180"/>
        <v>槻の木高等学校</v>
      </c>
    </row>
    <row r="5939" spans="1:18" s="1" customFormat="1" x14ac:dyDescent="0.45">
      <c r="A5939" s="7" t="str">
        <f t="shared" si="2177"/>
        <v>10491000000</v>
      </c>
      <c r="B5939" s="7" t="str">
        <f t="shared" si="2178"/>
        <v>槻の木高等学校</v>
      </c>
      <c r="C5939" s="7" t="str">
        <f t="shared" si="2162"/>
        <v>行政財産</v>
      </c>
      <c r="D5939" s="7" t="str">
        <f t="shared" si="2154"/>
        <v>学校</v>
      </c>
      <c r="E5939" s="7" t="str">
        <f t="shared" si="2179"/>
        <v>大阪府高槻市城内町</v>
      </c>
      <c r="F5939" s="7"/>
      <c r="G5939" s="7" t="str">
        <f t="shared" si="2167"/>
        <v>事業用資産</v>
      </c>
      <c r="H5939" s="7" t="str">
        <f t="shared" si="2161"/>
        <v>棚卸以外</v>
      </c>
      <c r="I5939" s="7">
        <v>32</v>
      </c>
      <c r="J5939" s="7" t="str">
        <f>"渡り廊下"</f>
        <v>渡り廊下</v>
      </c>
      <c r="K5939" s="7" t="str">
        <f>"軽量鉄骨造"</f>
        <v>軽量鉄骨造</v>
      </c>
      <c r="L5939" s="7" t="str">
        <f>"S39.02.29"</f>
        <v>S39.02.29</v>
      </c>
      <c r="M5939" s="7">
        <v>29.22</v>
      </c>
      <c r="N5939" s="7">
        <v>300530</v>
      </c>
      <c r="O5939" s="7">
        <v>300529</v>
      </c>
      <c r="P5939" s="7">
        <v>0</v>
      </c>
      <c r="Q5939" s="7" t="str">
        <f t="shared" si="2172"/>
        <v>教育庁</v>
      </c>
      <c r="R5939" s="7" t="str">
        <f t="shared" si="2180"/>
        <v>槻の木高等学校</v>
      </c>
    </row>
    <row r="5940" spans="1:18" s="1" customFormat="1" x14ac:dyDescent="0.45">
      <c r="A5940" s="7" t="str">
        <f t="shared" si="2177"/>
        <v>10491000000</v>
      </c>
      <c r="B5940" s="7" t="str">
        <f t="shared" si="2178"/>
        <v>槻の木高等学校</v>
      </c>
      <c r="C5940" s="7" t="str">
        <f t="shared" si="2162"/>
        <v>行政財産</v>
      </c>
      <c r="D5940" s="7" t="str">
        <f t="shared" si="2154"/>
        <v>学校</v>
      </c>
      <c r="E5940" s="7" t="str">
        <f t="shared" si="2179"/>
        <v>大阪府高槻市城内町</v>
      </c>
      <c r="F5940" s="7"/>
      <c r="G5940" s="7" t="str">
        <f t="shared" si="2167"/>
        <v>事業用資産</v>
      </c>
      <c r="H5940" s="7" t="str">
        <f t="shared" si="2161"/>
        <v>棚卸以外</v>
      </c>
      <c r="I5940" s="7">
        <v>36</v>
      </c>
      <c r="J5940" s="7" t="str">
        <f>"倉庫"</f>
        <v>倉庫</v>
      </c>
      <c r="K5940" s="7" t="str">
        <f>"コンクリートブロック造"</f>
        <v>コンクリートブロック造</v>
      </c>
      <c r="L5940" s="7" t="str">
        <f>"S42.03.20"</f>
        <v>S42.03.20</v>
      </c>
      <c r="M5940" s="7">
        <v>22.91</v>
      </c>
      <c r="N5940" s="7">
        <v>300000</v>
      </c>
      <c r="O5940" s="7">
        <v>299999</v>
      </c>
      <c r="P5940" s="7">
        <v>0</v>
      </c>
      <c r="Q5940" s="7" t="str">
        <f t="shared" si="2172"/>
        <v>教育庁</v>
      </c>
      <c r="R5940" s="7" t="str">
        <f t="shared" si="2180"/>
        <v>槻の木高等学校</v>
      </c>
    </row>
    <row r="5941" spans="1:18" s="1" customFormat="1" x14ac:dyDescent="0.45">
      <c r="A5941" s="7" t="str">
        <f t="shared" si="2177"/>
        <v>10491000000</v>
      </c>
      <c r="B5941" s="7" t="str">
        <f t="shared" si="2178"/>
        <v>槻の木高等学校</v>
      </c>
      <c r="C5941" s="7" t="str">
        <f t="shared" si="2162"/>
        <v>行政財産</v>
      </c>
      <c r="D5941" s="7" t="str">
        <f t="shared" si="2154"/>
        <v>学校</v>
      </c>
      <c r="E5941" s="7" t="str">
        <f t="shared" si="2179"/>
        <v>大阪府高槻市城内町</v>
      </c>
      <c r="F5941" s="7"/>
      <c r="G5941" s="7" t="str">
        <f t="shared" si="2167"/>
        <v>事業用資産</v>
      </c>
      <c r="H5941" s="7" t="str">
        <f t="shared" si="2161"/>
        <v>棚卸以外</v>
      </c>
      <c r="I5941" s="7">
        <v>41</v>
      </c>
      <c r="J5941" s="7" t="str">
        <f>"音楽室"</f>
        <v>音楽室</v>
      </c>
      <c r="K5941" s="7" t="str">
        <f>"鉄骨造"</f>
        <v>鉄骨造</v>
      </c>
      <c r="L5941" s="7" t="str">
        <f>"S43.10.31"</f>
        <v>S43.10.31</v>
      </c>
      <c r="M5941" s="7">
        <v>158.12</v>
      </c>
      <c r="N5941" s="7">
        <v>15280211</v>
      </c>
      <c r="O5941" s="7">
        <v>14353485</v>
      </c>
      <c r="P5941" s="7">
        <v>0</v>
      </c>
      <c r="Q5941" s="7" t="str">
        <f t="shared" si="2172"/>
        <v>教育庁</v>
      </c>
      <c r="R5941" s="7" t="str">
        <f t="shared" si="2180"/>
        <v>槻の木高等学校</v>
      </c>
    </row>
    <row r="5942" spans="1:18" s="1" customFormat="1" x14ac:dyDescent="0.45">
      <c r="A5942" s="7" t="str">
        <f t="shared" si="2177"/>
        <v>10491000000</v>
      </c>
      <c r="B5942" s="7" t="str">
        <f t="shared" si="2178"/>
        <v>槻の木高等学校</v>
      </c>
      <c r="C5942" s="7" t="str">
        <f t="shared" si="2162"/>
        <v>行政財産</v>
      </c>
      <c r="D5942" s="7" t="str">
        <f t="shared" si="2154"/>
        <v>学校</v>
      </c>
      <c r="E5942" s="7" t="str">
        <f t="shared" si="2179"/>
        <v>大阪府高槻市城内町</v>
      </c>
      <c r="F5942" s="7"/>
      <c r="G5942" s="7" t="str">
        <f t="shared" si="2167"/>
        <v>事業用資産</v>
      </c>
      <c r="H5942" s="7" t="str">
        <f t="shared" si="2161"/>
        <v>棚卸以外</v>
      </c>
      <c r="I5942" s="7">
        <v>42</v>
      </c>
      <c r="J5942" s="7" t="str">
        <f>"電気室"</f>
        <v>電気室</v>
      </c>
      <c r="K5942" s="7" t="str">
        <f>"鉄筋コンクリート造"</f>
        <v>鉄筋コンクリート造</v>
      </c>
      <c r="L5942" s="7" t="str">
        <f>"S45.03.28"</f>
        <v>S45.03.28</v>
      </c>
      <c r="M5942" s="7">
        <v>24.52</v>
      </c>
      <c r="N5942" s="7">
        <v>3768000</v>
      </c>
      <c r="O5942" s="7">
        <v>3767999</v>
      </c>
      <c r="P5942" s="7">
        <v>0</v>
      </c>
      <c r="Q5942" s="7" t="str">
        <f t="shared" si="2172"/>
        <v>教育庁</v>
      </c>
      <c r="R5942" s="7" t="str">
        <f t="shared" si="2180"/>
        <v>槻の木高等学校</v>
      </c>
    </row>
    <row r="5943" spans="1:18" s="1" customFormat="1" x14ac:dyDescent="0.45">
      <c r="A5943" s="7" t="str">
        <f t="shared" si="2177"/>
        <v>10491000000</v>
      </c>
      <c r="B5943" s="7" t="str">
        <f t="shared" si="2178"/>
        <v>槻の木高等学校</v>
      </c>
      <c r="C5943" s="7" t="str">
        <f t="shared" si="2162"/>
        <v>行政財産</v>
      </c>
      <c r="D5943" s="7" t="str">
        <f t="shared" si="2154"/>
        <v>学校</v>
      </c>
      <c r="E5943" s="7" t="str">
        <f t="shared" si="2179"/>
        <v>大阪府高槻市城内町</v>
      </c>
      <c r="F5943" s="7"/>
      <c r="G5943" s="7" t="str">
        <f t="shared" si="2167"/>
        <v>事業用資産</v>
      </c>
      <c r="H5943" s="7" t="str">
        <f t="shared" si="2161"/>
        <v>棚卸以外</v>
      </c>
      <c r="I5943" s="7">
        <v>43</v>
      </c>
      <c r="J5943" s="7" t="str">
        <f>"受水槽"</f>
        <v>受水槽</v>
      </c>
      <c r="K5943" s="7" t="str">
        <f>"鉄筋コンクリート造"</f>
        <v>鉄筋コンクリート造</v>
      </c>
      <c r="L5943" s="7" t="str">
        <f>"S45.03.28"</f>
        <v>S45.03.28</v>
      </c>
      <c r="M5943" s="7">
        <v>24.52</v>
      </c>
      <c r="N5943" s="7">
        <v>2789023</v>
      </c>
      <c r="O5943" s="7">
        <v>2429303</v>
      </c>
      <c r="P5943" s="7">
        <v>0</v>
      </c>
      <c r="Q5943" s="7" t="str">
        <f t="shared" si="2172"/>
        <v>教育庁</v>
      </c>
      <c r="R5943" s="7" t="str">
        <f t="shared" si="2180"/>
        <v>槻の木高等学校</v>
      </c>
    </row>
    <row r="5944" spans="1:18" s="1" customFormat="1" x14ac:dyDescent="0.45">
      <c r="A5944" s="7" t="str">
        <f t="shared" si="2177"/>
        <v>10491000000</v>
      </c>
      <c r="B5944" s="7" t="str">
        <f t="shared" si="2178"/>
        <v>槻の木高等学校</v>
      </c>
      <c r="C5944" s="7" t="str">
        <f t="shared" si="2162"/>
        <v>行政財産</v>
      </c>
      <c r="D5944" s="7" t="str">
        <f t="shared" si="2154"/>
        <v>学校</v>
      </c>
      <c r="E5944" s="7" t="str">
        <f t="shared" si="2179"/>
        <v>大阪府高槻市城内町</v>
      </c>
      <c r="F5944" s="7"/>
      <c r="G5944" s="7" t="str">
        <f t="shared" si="2167"/>
        <v>事業用資産</v>
      </c>
      <c r="H5944" s="7" t="str">
        <f t="shared" si="2161"/>
        <v>棚卸以外</v>
      </c>
      <c r="I5944" s="7">
        <v>44</v>
      </c>
      <c r="J5944" s="7" t="str">
        <f>"プール附属室"</f>
        <v>プール附属室</v>
      </c>
      <c r="K5944" s="7" t="str">
        <f>"コンクリートブロック造"</f>
        <v>コンクリートブロック造</v>
      </c>
      <c r="L5944" s="7" t="str">
        <f>"S45.07.27"</f>
        <v>S45.07.27</v>
      </c>
      <c r="M5944" s="7">
        <v>16.8</v>
      </c>
      <c r="N5944" s="7">
        <v>500000</v>
      </c>
      <c r="O5944" s="7">
        <v>499999</v>
      </c>
      <c r="P5944" s="7">
        <v>0</v>
      </c>
      <c r="Q5944" s="7" t="str">
        <f t="shared" si="2172"/>
        <v>教育庁</v>
      </c>
      <c r="R5944" s="7" t="str">
        <f t="shared" si="2180"/>
        <v>槻の木高等学校</v>
      </c>
    </row>
    <row r="5945" spans="1:18" s="1" customFormat="1" x14ac:dyDescent="0.45">
      <c r="A5945" s="7" t="str">
        <f t="shared" si="2177"/>
        <v>10491000000</v>
      </c>
      <c r="B5945" s="7" t="str">
        <f t="shared" si="2178"/>
        <v>槻の木高等学校</v>
      </c>
      <c r="C5945" s="7" t="str">
        <f t="shared" si="2162"/>
        <v>行政財産</v>
      </c>
      <c r="D5945" s="7" t="str">
        <f t="shared" ref="D5945:D6008" si="2181">"学校"</f>
        <v>学校</v>
      </c>
      <c r="E5945" s="7" t="str">
        <f t="shared" si="2179"/>
        <v>大阪府高槻市城内町</v>
      </c>
      <c r="F5945" s="7"/>
      <c r="G5945" s="7" t="str">
        <f t="shared" si="2167"/>
        <v>事業用資産</v>
      </c>
      <c r="H5945" s="7" t="str">
        <f t="shared" si="2161"/>
        <v>棚卸以外</v>
      </c>
      <c r="I5945" s="7">
        <v>46</v>
      </c>
      <c r="J5945" s="7" t="str">
        <f>"渡り廊下"</f>
        <v>渡り廊下</v>
      </c>
      <c r="K5945" s="7" t="str">
        <f>"鉄筋コンクリート造"</f>
        <v>鉄筋コンクリート造</v>
      </c>
      <c r="L5945" s="7" t="str">
        <f>"S47.03.28"</f>
        <v>S47.03.28</v>
      </c>
      <c r="M5945" s="7">
        <v>279.22000000000003</v>
      </c>
      <c r="N5945" s="7">
        <v>9600000</v>
      </c>
      <c r="O5945" s="7">
        <v>9599999</v>
      </c>
      <c r="P5945" s="7">
        <v>0</v>
      </c>
      <c r="Q5945" s="7" t="str">
        <f t="shared" si="2172"/>
        <v>教育庁</v>
      </c>
      <c r="R5945" s="7" t="str">
        <f t="shared" si="2180"/>
        <v>槻の木高等学校</v>
      </c>
    </row>
    <row r="5946" spans="1:18" s="1" customFormat="1" x14ac:dyDescent="0.45">
      <c r="A5946" s="7" t="str">
        <f t="shared" si="2177"/>
        <v>10491000000</v>
      </c>
      <c r="B5946" s="7" t="str">
        <f t="shared" si="2178"/>
        <v>槻の木高等学校</v>
      </c>
      <c r="C5946" s="7" t="str">
        <f t="shared" si="2162"/>
        <v>行政財産</v>
      </c>
      <c r="D5946" s="7" t="str">
        <f t="shared" si="2181"/>
        <v>学校</v>
      </c>
      <c r="E5946" s="7" t="str">
        <f t="shared" si="2179"/>
        <v>大阪府高槻市城内町</v>
      </c>
      <c r="F5946" s="7"/>
      <c r="G5946" s="7" t="str">
        <f t="shared" si="2167"/>
        <v>事業用資産</v>
      </c>
      <c r="H5946" s="7" t="str">
        <f t="shared" si="2161"/>
        <v>棚卸以外</v>
      </c>
      <c r="I5946" s="7">
        <v>49</v>
      </c>
      <c r="J5946" s="7" t="str">
        <f>"体育館"</f>
        <v>体育館</v>
      </c>
      <c r="K5946" s="7" t="str">
        <f>"鉄筋コンクリート造"</f>
        <v>鉄筋コンクリート造</v>
      </c>
      <c r="L5946" s="7" t="str">
        <f>"S51.11.30"</f>
        <v>S51.11.30</v>
      </c>
      <c r="M5946" s="7">
        <v>3065.96</v>
      </c>
      <c r="N5946" s="7">
        <v>358358236</v>
      </c>
      <c r="O5946" s="7">
        <v>276293623</v>
      </c>
      <c r="P5946" s="7">
        <v>0</v>
      </c>
      <c r="Q5946" s="7" t="str">
        <f t="shared" si="2172"/>
        <v>教育庁</v>
      </c>
      <c r="R5946" s="7" t="str">
        <f t="shared" si="2180"/>
        <v>槻の木高等学校</v>
      </c>
    </row>
    <row r="5947" spans="1:18" s="1" customFormat="1" x14ac:dyDescent="0.45">
      <c r="A5947" s="7" t="str">
        <f t="shared" si="2177"/>
        <v>10491000000</v>
      </c>
      <c r="B5947" s="7" t="str">
        <f t="shared" si="2178"/>
        <v>槻の木高等学校</v>
      </c>
      <c r="C5947" s="7" t="str">
        <f t="shared" si="2162"/>
        <v>行政財産</v>
      </c>
      <c r="D5947" s="7" t="str">
        <f t="shared" si="2181"/>
        <v>学校</v>
      </c>
      <c r="E5947" s="7" t="str">
        <f t="shared" si="2179"/>
        <v>大阪府高槻市城内町</v>
      </c>
      <c r="F5947" s="7"/>
      <c r="G5947" s="7" t="str">
        <f t="shared" si="2167"/>
        <v>事業用資産</v>
      </c>
      <c r="H5947" s="7" t="str">
        <f t="shared" si="2161"/>
        <v>棚卸以外</v>
      </c>
      <c r="I5947" s="7">
        <v>50</v>
      </c>
      <c r="J5947" s="7" t="str">
        <f>"渡り廊下"</f>
        <v>渡り廊下</v>
      </c>
      <c r="K5947" s="7" t="str">
        <f>"鉄筋コンクリート造"</f>
        <v>鉄筋コンクリート造</v>
      </c>
      <c r="L5947" s="7" t="str">
        <f>"S51.11.30"</f>
        <v>S51.11.30</v>
      </c>
      <c r="M5947" s="7">
        <v>71.55</v>
      </c>
      <c r="N5947" s="7">
        <v>5293000</v>
      </c>
      <c r="O5947" s="7">
        <v>5292999</v>
      </c>
      <c r="P5947" s="7">
        <v>0</v>
      </c>
      <c r="Q5947" s="7" t="str">
        <f t="shared" si="2172"/>
        <v>教育庁</v>
      </c>
      <c r="R5947" s="7" t="str">
        <f t="shared" si="2180"/>
        <v>槻の木高等学校</v>
      </c>
    </row>
    <row r="5948" spans="1:18" s="1" customFormat="1" x14ac:dyDescent="0.45">
      <c r="A5948" s="7" t="str">
        <f t="shared" si="2177"/>
        <v>10491000000</v>
      </c>
      <c r="B5948" s="7" t="str">
        <f t="shared" si="2178"/>
        <v>槻の木高等学校</v>
      </c>
      <c r="C5948" s="7" t="str">
        <f t="shared" si="2162"/>
        <v>行政財産</v>
      </c>
      <c r="D5948" s="7" t="str">
        <f t="shared" si="2181"/>
        <v>学校</v>
      </c>
      <c r="E5948" s="7" t="str">
        <f t="shared" si="2179"/>
        <v>大阪府高槻市城内町</v>
      </c>
      <c r="F5948" s="7"/>
      <c r="G5948" s="7" t="str">
        <f t="shared" si="2167"/>
        <v>事業用資産</v>
      </c>
      <c r="H5948" s="7" t="str">
        <f t="shared" si="2161"/>
        <v>棚卸以外</v>
      </c>
      <c r="I5948" s="7">
        <v>51</v>
      </c>
      <c r="J5948" s="7" t="str">
        <f>"渡り廊下"</f>
        <v>渡り廊下</v>
      </c>
      <c r="K5948" s="7" t="str">
        <f>"鉄骨造"</f>
        <v>鉄骨造</v>
      </c>
      <c r="L5948" s="7" t="str">
        <f>"S54.03.31"</f>
        <v>S54.03.31</v>
      </c>
      <c r="M5948" s="7">
        <v>100.81</v>
      </c>
      <c r="N5948" s="7">
        <v>3153000</v>
      </c>
      <c r="O5948" s="7">
        <v>3152999</v>
      </c>
      <c r="P5948" s="7">
        <v>0</v>
      </c>
      <c r="Q5948" s="7" t="str">
        <f t="shared" si="2172"/>
        <v>教育庁</v>
      </c>
      <c r="R5948" s="7" t="str">
        <f t="shared" si="2180"/>
        <v>槻の木高等学校</v>
      </c>
    </row>
    <row r="5949" spans="1:18" s="1" customFormat="1" x14ac:dyDescent="0.45">
      <c r="A5949" s="7" t="str">
        <f t="shared" si="2177"/>
        <v>10491000000</v>
      </c>
      <c r="B5949" s="7" t="str">
        <f t="shared" si="2178"/>
        <v>槻の木高等学校</v>
      </c>
      <c r="C5949" s="7" t="str">
        <f t="shared" si="2162"/>
        <v>行政財産</v>
      </c>
      <c r="D5949" s="7" t="str">
        <f t="shared" si="2181"/>
        <v>学校</v>
      </c>
      <c r="E5949" s="7" t="str">
        <f t="shared" si="2179"/>
        <v>大阪府高槻市城内町</v>
      </c>
      <c r="F5949" s="7"/>
      <c r="G5949" s="7" t="str">
        <f t="shared" si="2167"/>
        <v>事業用資産</v>
      </c>
      <c r="H5949" s="7" t="str">
        <f t="shared" si="2161"/>
        <v>棚卸以外</v>
      </c>
      <c r="I5949" s="7">
        <v>52</v>
      </c>
      <c r="J5949" s="7" t="str">
        <f>"食堂"</f>
        <v>食堂</v>
      </c>
      <c r="K5949" s="7" t="str">
        <f>"鉄骨造"</f>
        <v>鉄骨造</v>
      </c>
      <c r="L5949" s="7" t="str">
        <f>"H03.03.25"</f>
        <v>H03.03.25</v>
      </c>
      <c r="M5949" s="7">
        <v>310.95999999999998</v>
      </c>
      <c r="N5949" s="7">
        <v>61563459</v>
      </c>
      <c r="O5949" s="7">
        <v>61353887</v>
      </c>
      <c r="P5949" s="7">
        <v>0</v>
      </c>
      <c r="Q5949" s="7" t="str">
        <f t="shared" si="2172"/>
        <v>教育庁</v>
      </c>
      <c r="R5949" s="7" t="str">
        <f t="shared" si="2180"/>
        <v>槻の木高等学校</v>
      </c>
    </row>
    <row r="5950" spans="1:18" s="1" customFormat="1" x14ac:dyDescent="0.45">
      <c r="A5950" s="7" t="str">
        <f t="shared" si="2177"/>
        <v>10491000000</v>
      </c>
      <c r="B5950" s="7" t="str">
        <f t="shared" si="2178"/>
        <v>槻の木高等学校</v>
      </c>
      <c r="C5950" s="7" t="str">
        <f t="shared" si="2162"/>
        <v>行政財産</v>
      </c>
      <c r="D5950" s="7" t="str">
        <f t="shared" si="2181"/>
        <v>学校</v>
      </c>
      <c r="E5950" s="7" t="str">
        <f t="shared" si="2179"/>
        <v>大阪府高槻市城内町</v>
      </c>
      <c r="F5950" s="7"/>
      <c r="G5950" s="7" t="str">
        <f t="shared" si="2167"/>
        <v>事業用資産</v>
      </c>
      <c r="H5950" s="7" t="str">
        <f t="shared" si="2161"/>
        <v>棚卸以外</v>
      </c>
      <c r="I5950" s="7">
        <v>54</v>
      </c>
      <c r="J5950" s="7" t="str">
        <f>"下足室"</f>
        <v>下足室</v>
      </c>
      <c r="K5950" s="7" t="str">
        <f>"鉄骨造"</f>
        <v>鉄骨造</v>
      </c>
      <c r="L5950" s="7" t="str">
        <f>"H16.03.26"</f>
        <v>H16.03.26</v>
      </c>
      <c r="M5950" s="7">
        <v>38.29</v>
      </c>
      <c r="N5950" s="7">
        <v>3702000</v>
      </c>
      <c r="O5950" s="7">
        <v>2269056</v>
      </c>
      <c r="P5950" s="7">
        <v>0</v>
      </c>
      <c r="Q5950" s="7" t="str">
        <f t="shared" si="2172"/>
        <v>教育庁</v>
      </c>
      <c r="R5950" s="7" t="str">
        <f t="shared" si="2180"/>
        <v>槻の木高等学校</v>
      </c>
    </row>
    <row r="5951" spans="1:18" s="1" customFormat="1" x14ac:dyDescent="0.45">
      <c r="A5951" s="7" t="str">
        <f t="shared" si="2177"/>
        <v>10491000000</v>
      </c>
      <c r="B5951" s="7" t="str">
        <f t="shared" si="2178"/>
        <v>槻の木高等学校</v>
      </c>
      <c r="C5951" s="7" t="str">
        <f t="shared" si="2162"/>
        <v>行政財産</v>
      </c>
      <c r="D5951" s="7" t="str">
        <f t="shared" si="2181"/>
        <v>学校</v>
      </c>
      <c r="E5951" s="7" t="str">
        <f t="shared" si="2179"/>
        <v>大阪府高槻市城内町</v>
      </c>
      <c r="F5951" s="7"/>
      <c r="G5951" s="7" t="str">
        <f t="shared" si="2167"/>
        <v>事業用資産</v>
      </c>
      <c r="H5951" s="7" t="str">
        <f t="shared" si="2161"/>
        <v>棚卸以外</v>
      </c>
      <c r="I5951" s="7">
        <v>55</v>
      </c>
      <c r="J5951" s="7" t="str">
        <f>"音楽棟"</f>
        <v>音楽棟</v>
      </c>
      <c r="K5951" s="7" t="str">
        <f>"鉄骨造"</f>
        <v>鉄骨造</v>
      </c>
      <c r="L5951" s="7" t="str">
        <f>"H17.01.28"</f>
        <v>H17.01.28</v>
      </c>
      <c r="M5951" s="7">
        <v>327.66000000000003</v>
      </c>
      <c r="N5951" s="7">
        <v>53609466</v>
      </c>
      <c r="O5951" s="7">
        <v>28775231</v>
      </c>
      <c r="P5951" s="7">
        <v>0</v>
      </c>
      <c r="Q5951" s="7" t="str">
        <f t="shared" si="2172"/>
        <v>教育庁</v>
      </c>
      <c r="R5951" s="7" t="str">
        <f t="shared" si="2180"/>
        <v>槻の木高等学校</v>
      </c>
    </row>
    <row r="5952" spans="1:18" s="1" customFormat="1" x14ac:dyDescent="0.45">
      <c r="A5952" s="7" t="str">
        <f>"10492000000"</f>
        <v>10492000000</v>
      </c>
      <c r="B5952" s="7" t="str">
        <f>"成美高等学校"</f>
        <v>成美高等学校</v>
      </c>
      <c r="C5952" s="7" t="str">
        <f t="shared" si="2162"/>
        <v>行政財産</v>
      </c>
      <c r="D5952" s="7" t="str">
        <f t="shared" si="2181"/>
        <v>学校</v>
      </c>
      <c r="E5952" s="7" t="str">
        <f>"大阪府堺市　南区城山台４丁"</f>
        <v>大阪府堺市　南区城山台４丁</v>
      </c>
      <c r="F5952" s="7"/>
      <c r="G5952" s="7" t="str">
        <f t="shared" si="2167"/>
        <v>事業用資産</v>
      </c>
      <c r="H5952" s="7" t="str">
        <f t="shared" si="2161"/>
        <v>棚卸以外</v>
      </c>
      <c r="I5952" s="7">
        <v>1</v>
      </c>
      <c r="J5952" s="7" t="str">
        <f>"校舎"</f>
        <v>校舎</v>
      </c>
      <c r="K5952" s="7" t="str">
        <f>"鉄筋コンクリート造"</f>
        <v>鉄筋コンクリート造</v>
      </c>
      <c r="L5952" s="7" t="str">
        <f>"S55.04.01"</f>
        <v>S55.04.01</v>
      </c>
      <c r="M5952" s="7">
        <v>10952.36</v>
      </c>
      <c r="N5952" s="7">
        <v>1406588608</v>
      </c>
      <c r="O5952" s="7">
        <v>1121581832</v>
      </c>
      <c r="P5952" s="7">
        <v>0</v>
      </c>
      <c r="Q5952" s="7" t="str">
        <f t="shared" si="2172"/>
        <v>教育庁</v>
      </c>
      <c r="R5952" s="7" t="str">
        <f>"成美高等学校"</f>
        <v>成美高等学校</v>
      </c>
    </row>
    <row r="5953" spans="1:18" s="1" customFormat="1" x14ac:dyDescent="0.45">
      <c r="A5953" s="7" t="str">
        <f>"10492000000"</f>
        <v>10492000000</v>
      </c>
      <c r="B5953" s="7" t="str">
        <f>"成美高等学校"</f>
        <v>成美高等学校</v>
      </c>
      <c r="C5953" s="7" t="str">
        <f t="shared" si="2162"/>
        <v>行政財産</v>
      </c>
      <c r="D5953" s="7" t="str">
        <f t="shared" si="2181"/>
        <v>学校</v>
      </c>
      <c r="E5953" s="7" t="str">
        <f>"大阪府堺市　南区城山台４丁"</f>
        <v>大阪府堺市　南区城山台４丁</v>
      </c>
      <c r="F5953" s="7"/>
      <c r="G5953" s="7" t="str">
        <f t="shared" si="2167"/>
        <v>事業用資産</v>
      </c>
      <c r="H5953" s="7" t="str">
        <f t="shared" si="2161"/>
        <v>棚卸以外</v>
      </c>
      <c r="I5953" s="7">
        <v>2</v>
      </c>
      <c r="J5953" s="7" t="str">
        <f>"体育館"</f>
        <v>体育館</v>
      </c>
      <c r="K5953" s="7" t="str">
        <f>"鉄筋コンクリート造"</f>
        <v>鉄筋コンクリート造</v>
      </c>
      <c r="L5953" s="7" t="str">
        <f>"S56.03.19"</f>
        <v>S56.03.19</v>
      </c>
      <c r="M5953" s="7">
        <v>3031.24</v>
      </c>
      <c r="N5953" s="7">
        <v>410494593</v>
      </c>
      <c r="O5953" s="7">
        <v>308762360</v>
      </c>
      <c r="P5953" s="7">
        <v>0</v>
      </c>
      <c r="Q5953" s="7" t="str">
        <f t="shared" si="2172"/>
        <v>教育庁</v>
      </c>
      <c r="R5953" s="7" t="str">
        <f>"成美高等学校"</f>
        <v>成美高等学校</v>
      </c>
    </row>
    <row r="5954" spans="1:18" s="1" customFormat="1" x14ac:dyDescent="0.45">
      <c r="A5954" s="7" t="str">
        <f>"10492000000"</f>
        <v>10492000000</v>
      </c>
      <c r="B5954" s="7" t="str">
        <f>"成美高等学校"</f>
        <v>成美高等学校</v>
      </c>
      <c r="C5954" s="7" t="str">
        <f t="shared" si="2162"/>
        <v>行政財産</v>
      </c>
      <c r="D5954" s="7" t="str">
        <f t="shared" si="2181"/>
        <v>学校</v>
      </c>
      <c r="E5954" s="7" t="str">
        <f>"大阪府堺市　南区城山台４丁"</f>
        <v>大阪府堺市　南区城山台４丁</v>
      </c>
      <c r="F5954" s="7"/>
      <c r="G5954" s="7" t="str">
        <f t="shared" si="2167"/>
        <v>事業用資産</v>
      </c>
      <c r="H5954" s="7" t="str">
        <f t="shared" si="2161"/>
        <v>棚卸以外</v>
      </c>
      <c r="I5954" s="7">
        <v>3</v>
      </c>
      <c r="J5954" s="7" t="str">
        <f>"倉庫"</f>
        <v>倉庫</v>
      </c>
      <c r="K5954" s="7" t="str">
        <f>"軽量鉄骨造"</f>
        <v>軽量鉄骨造</v>
      </c>
      <c r="L5954" s="7" t="str">
        <f>"S56.03.31"</f>
        <v>S56.03.31</v>
      </c>
      <c r="M5954" s="7">
        <v>245.7</v>
      </c>
      <c r="N5954" s="7">
        <v>3183000</v>
      </c>
      <c r="O5954" s="7">
        <v>3182999</v>
      </c>
      <c r="P5954" s="7">
        <v>0</v>
      </c>
      <c r="Q5954" s="7" t="str">
        <f t="shared" si="2172"/>
        <v>教育庁</v>
      </c>
      <c r="R5954" s="7" t="str">
        <f>"成美高等学校"</f>
        <v>成美高等学校</v>
      </c>
    </row>
    <row r="5955" spans="1:18" s="1" customFormat="1" x14ac:dyDescent="0.45">
      <c r="A5955" s="7" t="str">
        <f>"10492000000"</f>
        <v>10492000000</v>
      </c>
      <c r="B5955" s="7" t="str">
        <f>"成美高等学校"</f>
        <v>成美高等学校</v>
      </c>
      <c r="C5955" s="7" t="str">
        <f t="shared" si="2162"/>
        <v>行政財産</v>
      </c>
      <c r="D5955" s="7" t="str">
        <f t="shared" si="2181"/>
        <v>学校</v>
      </c>
      <c r="E5955" s="7" t="str">
        <f>"大阪府堺市　南区城山台４丁"</f>
        <v>大阪府堺市　南区城山台４丁</v>
      </c>
      <c r="F5955" s="7"/>
      <c r="G5955" s="7" t="str">
        <f t="shared" si="2167"/>
        <v>事業用資産</v>
      </c>
      <c r="H5955" s="7" t="str">
        <f t="shared" si="2161"/>
        <v>棚卸以外</v>
      </c>
      <c r="I5955" s="7">
        <v>4</v>
      </c>
      <c r="J5955" s="7" t="str">
        <f>"プール附属棟"</f>
        <v>プール附属棟</v>
      </c>
      <c r="K5955" s="7" t="str">
        <f>"鉄筋コンクリート造"</f>
        <v>鉄筋コンクリート造</v>
      </c>
      <c r="L5955" s="7" t="str">
        <f>"S56.05.16"</f>
        <v>S56.05.16</v>
      </c>
      <c r="M5955" s="7">
        <v>138</v>
      </c>
      <c r="N5955" s="7">
        <v>33200600</v>
      </c>
      <c r="O5955" s="7">
        <v>27623852</v>
      </c>
      <c r="P5955" s="7">
        <v>0</v>
      </c>
      <c r="Q5955" s="7" t="str">
        <f t="shared" si="2172"/>
        <v>教育庁</v>
      </c>
      <c r="R5955" s="7" t="str">
        <f>"成美高等学校"</f>
        <v>成美高等学校</v>
      </c>
    </row>
    <row r="5956" spans="1:18" s="1" customFormat="1" x14ac:dyDescent="0.45">
      <c r="A5956" s="7" t="str">
        <f>"10492000000"</f>
        <v>10492000000</v>
      </c>
      <c r="B5956" s="7" t="str">
        <f>"成美高等学校"</f>
        <v>成美高等学校</v>
      </c>
      <c r="C5956" s="7" t="str">
        <f t="shared" si="2162"/>
        <v>行政財産</v>
      </c>
      <c r="D5956" s="7" t="str">
        <f t="shared" si="2181"/>
        <v>学校</v>
      </c>
      <c r="E5956" s="7" t="str">
        <f>"大阪府堺市　南区城山台４丁"</f>
        <v>大阪府堺市　南区城山台４丁</v>
      </c>
      <c r="F5956" s="7"/>
      <c r="G5956" s="7" t="str">
        <f t="shared" si="2167"/>
        <v>事業用資産</v>
      </c>
      <c r="H5956" s="7" t="str">
        <f t="shared" ref="H5956:H6019" si="2182">"棚卸以外"</f>
        <v>棚卸以外</v>
      </c>
      <c r="I5956" s="7">
        <v>5</v>
      </c>
      <c r="J5956" s="7" t="str">
        <f>"石灰小屋"</f>
        <v>石灰小屋</v>
      </c>
      <c r="K5956" s="7" t="str">
        <f>"コンクリートブロック造"</f>
        <v>コンクリートブロック造</v>
      </c>
      <c r="L5956" s="7" t="str">
        <f>"S58.03.15"</f>
        <v>S58.03.15</v>
      </c>
      <c r="M5956" s="7">
        <v>4.84</v>
      </c>
      <c r="N5956" s="7">
        <v>477000</v>
      </c>
      <c r="O5956" s="7">
        <v>476999</v>
      </c>
      <c r="P5956" s="7">
        <v>0</v>
      </c>
      <c r="Q5956" s="7" t="str">
        <f t="shared" si="2172"/>
        <v>教育庁</v>
      </c>
      <c r="R5956" s="7" t="str">
        <f>"成美高等学校"</f>
        <v>成美高等学校</v>
      </c>
    </row>
    <row r="5957" spans="1:18" s="1" customFormat="1" x14ac:dyDescent="0.45">
      <c r="A5957" s="7" t="str">
        <f t="shared" ref="A5957:A5964" si="2183">"10493000000"</f>
        <v>10493000000</v>
      </c>
      <c r="B5957" s="7" t="str">
        <f t="shared" ref="B5957:B5964" si="2184">"桃谷高等学校"</f>
        <v>桃谷高等学校</v>
      </c>
      <c r="C5957" s="7" t="str">
        <f t="shared" si="2162"/>
        <v>行政財産</v>
      </c>
      <c r="D5957" s="7" t="str">
        <f t="shared" si="2181"/>
        <v>学校</v>
      </c>
      <c r="E5957" s="7" t="str">
        <f t="shared" ref="E5957:E5964" si="2185">"大阪府大阪市　生野区勝山南３丁目"</f>
        <v>大阪府大阪市　生野区勝山南３丁目</v>
      </c>
      <c r="F5957" s="7"/>
      <c r="G5957" s="7" t="str">
        <f t="shared" si="2167"/>
        <v>事業用資産</v>
      </c>
      <c r="H5957" s="7" t="str">
        <f t="shared" si="2182"/>
        <v>棚卸以外</v>
      </c>
      <c r="I5957" s="7">
        <v>44</v>
      </c>
      <c r="J5957" s="7" t="str">
        <f>"新館（南館）"</f>
        <v>新館（南館）</v>
      </c>
      <c r="K5957" s="7" t="str">
        <f>"鉄筋コンクリート造"</f>
        <v>鉄筋コンクリート造</v>
      </c>
      <c r="L5957" s="7" t="str">
        <f>"S58.08.08"</f>
        <v>S58.08.08</v>
      </c>
      <c r="M5957" s="7">
        <v>1461.79</v>
      </c>
      <c r="N5957" s="7">
        <v>220810241</v>
      </c>
      <c r="O5957" s="7">
        <v>173778120</v>
      </c>
      <c r="P5957" s="7">
        <v>0</v>
      </c>
      <c r="Q5957" s="7" t="str">
        <f t="shared" si="2172"/>
        <v>教育庁</v>
      </c>
      <c r="R5957" s="7" t="str">
        <f t="shared" ref="R5957:R5964" si="2186">"桃谷高等学校"</f>
        <v>桃谷高等学校</v>
      </c>
    </row>
    <row r="5958" spans="1:18" s="1" customFormat="1" x14ac:dyDescent="0.45">
      <c r="A5958" s="7" t="str">
        <f t="shared" si="2183"/>
        <v>10493000000</v>
      </c>
      <c r="B5958" s="7" t="str">
        <f t="shared" si="2184"/>
        <v>桃谷高等学校</v>
      </c>
      <c r="C5958" s="7" t="str">
        <f t="shared" si="2162"/>
        <v>行政財産</v>
      </c>
      <c r="D5958" s="7" t="str">
        <f t="shared" si="2181"/>
        <v>学校</v>
      </c>
      <c r="E5958" s="7" t="str">
        <f t="shared" si="2185"/>
        <v>大阪府大阪市　生野区勝山南３丁目</v>
      </c>
      <c r="F5958" s="7"/>
      <c r="G5958" s="7" t="str">
        <f t="shared" si="2167"/>
        <v>事業用資産</v>
      </c>
      <c r="H5958" s="7" t="str">
        <f t="shared" si="2182"/>
        <v>棚卸以外</v>
      </c>
      <c r="I5958" s="7">
        <v>47</v>
      </c>
      <c r="J5958" s="7" t="str">
        <f>"講堂"</f>
        <v>講堂</v>
      </c>
      <c r="K5958" s="7" t="str">
        <f>"鉄骨造"</f>
        <v>鉄骨造</v>
      </c>
      <c r="L5958" s="7" t="str">
        <f>"S60.03.30"</f>
        <v>S60.03.30</v>
      </c>
      <c r="M5958" s="7">
        <v>353.94</v>
      </c>
      <c r="N5958" s="7">
        <v>99381324</v>
      </c>
      <c r="O5958" s="7">
        <v>90995672</v>
      </c>
      <c r="P5958" s="7">
        <v>0</v>
      </c>
      <c r="Q5958" s="7" t="str">
        <f t="shared" si="2172"/>
        <v>教育庁</v>
      </c>
      <c r="R5958" s="7" t="str">
        <f t="shared" si="2186"/>
        <v>桃谷高等学校</v>
      </c>
    </row>
    <row r="5959" spans="1:18" s="1" customFormat="1" x14ac:dyDescent="0.45">
      <c r="A5959" s="7" t="str">
        <f t="shared" si="2183"/>
        <v>10493000000</v>
      </c>
      <c r="B5959" s="7" t="str">
        <f t="shared" si="2184"/>
        <v>桃谷高等学校</v>
      </c>
      <c r="C5959" s="7" t="str">
        <f t="shared" si="2162"/>
        <v>行政財産</v>
      </c>
      <c r="D5959" s="7" t="str">
        <f t="shared" si="2181"/>
        <v>学校</v>
      </c>
      <c r="E5959" s="7" t="str">
        <f t="shared" si="2185"/>
        <v>大阪府大阪市　生野区勝山南３丁目</v>
      </c>
      <c r="F5959" s="7"/>
      <c r="G5959" s="7" t="str">
        <f t="shared" si="2167"/>
        <v>事業用資産</v>
      </c>
      <c r="H5959" s="7" t="str">
        <f t="shared" si="2182"/>
        <v>棚卸以外</v>
      </c>
      <c r="I5959" s="7">
        <v>48</v>
      </c>
      <c r="J5959" s="7" t="str">
        <f>"プール附属棟"</f>
        <v>プール附属棟</v>
      </c>
      <c r="K5959" s="7" t="str">
        <f>"鉄筋コンクリート造"</f>
        <v>鉄筋コンクリート造</v>
      </c>
      <c r="L5959" s="7" t="str">
        <f>"H02.03.31"</f>
        <v>H02.03.31</v>
      </c>
      <c r="M5959" s="7">
        <v>138</v>
      </c>
      <c r="N5959" s="7">
        <v>49318000</v>
      </c>
      <c r="O5959" s="7">
        <v>34489378</v>
      </c>
      <c r="P5959" s="7">
        <v>0</v>
      </c>
      <c r="Q5959" s="7" t="str">
        <f t="shared" si="2172"/>
        <v>教育庁</v>
      </c>
      <c r="R5959" s="7" t="str">
        <f t="shared" si="2186"/>
        <v>桃谷高等学校</v>
      </c>
    </row>
    <row r="5960" spans="1:18" s="1" customFormat="1" ht="26.4" x14ac:dyDescent="0.45">
      <c r="A5960" s="7" t="str">
        <f t="shared" si="2183"/>
        <v>10493000000</v>
      </c>
      <c r="B5960" s="7" t="str">
        <f t="shared" si="2184"/>
        <v>桃谷高等学校</v>
      </c>
      <c r="C5960" s="7" t="str">
        <f t="shared" si="2162"/>
        <v>行政財産</v>
      </c>
      <c r="D5960" s="7" t="str">
        <f t="shared" si="2181"/>
        <v>学校</v>
      </c>
      <c r="E5960" s="7" t="str">
        <f t="shared" si="2185"/>
        <v>大阪府大阪市　生野区勝山南３丁目</v>
      </c>
      <c r="F5960" s="7"/>
      <c r="G5960" s="7" t="str">
        <f t="shared" si="2167"/>
        <v>事業用資産</v>
      </c>
      <c r="H5960" s="7" t="str">
        <f t="shared" si="2182"/>
        <v>棚卸以外</v>
      </c>
      <c r="I5960" s="7">
        <v>50</v>
      </c>
      <c r="J5960" s="7" t="str">
        <f>"本館（東西館）"</f>
        <v>本館（東西館）</v>
      </c>
      <c r="K5960" s="7" t="str">
        <f>"鉄骨鉄筋コンクリート造"</f>
        <v>鉄骨鉄筋コンクリート造</v>
      </c>
      <c r="L5960" s="7" t="str">
        <f>"H07.06.15"</f>
        <v>H07.06.15</v>
      </c>
      <c r="M5960" s="7">
        <v>9243.2199999999993</v>
      </c>
      <c r="N5960" s="7">
        <v>2572560703</v>
      </c>
      <c r="O5960" s="7">
        <v>1444729555</v>
      </c>
      <c r="P5960" s="7">
        <v>0</v>
      </c>
      <c r="Q5960" s="7" t="str">
        <f t="shared" si="2172"/>
        <v>教育庁</v>
      </c>
      <c r="R5960" s="7" t="str">
        <f t="shared" si="2186"/>
        <v>桃谷高等学校</v>
      </c>
    </row>
    <row r="5961" spans="1:18" s="1" customFormat="1" x14ac:dyDescent="0.45">
      <c r="A5961" s="7" t="str">
        <f t="shared" si="2183"/>
        <v>10493000000</v>
      </c>
      <c r="B5961" s="7" t="str">
        <f t="shared" si="2184"/>
        <v>桃谷高等学校</v>
      </c>
      <c r="C5961" s="7" t="str">
        <f t="shared" si="2162"/>
        <v>行政財産</v>
      </c>
      <c r="D5961" s="7" t="str">
        <f t="shared" si="2181"/>
        <v>学校</v>
      </c>
      <c r="E5961" s="7" t="str">
        <f t="shared" si="2185"/>
        <v>大阪府大阪市　生野区勝山南３丁目</v>
      </c>
      <c r="F5961" s="7"/>
      <c r="G5961" s="7" t="str">
        <f t="shared" si="2167"/>
        <v>事業用資産</v>
      </c>
      <c r="H5961" s="7" t="str">
        <f t="shared" si="2182"/>
        <v>棚卸以外</v>
      </c>
      <c r="I5961" s="7">
        <v>51</v>
      </c>
      <c r="J5961" s="7" t="str">
        <f>"設備棟"</f>
        <v>設備棟</v>
      </c>
      <c r="K5961" s="7" t="str">
        <f>"鉄筋コンクリート造"</f>
        <v>鉄筋コンクリート造</v>
      </c>
      <c r="L5961" s="7" t="str">
        <f>"H07.06.15"</f>
        <v>H07.06.15</v>
      </c>
      <c r="M5961" s="7">
        <v>75</v>
      </c>
      <c r="N5961" s="7">
        <v>29052000</v>
      </c>
      <c r="O5961" s="7">
        <v>21215763</v>
      </c>
      <c r="P5961" s="7">
        <v>0</v>
      </c>
      <c r="Q5961" s="7" t="str">
        <f t="shared" si="2172"/>
        <v>教育庁</v>
      </c>
      <c r="R5961" s="7" t="str">
        <f t="shared" si="2186"/>
        <v>桃谷高等学校</v>
      </c>
    </row>
    <row r="5962" spans="1:18" s="1" customFormat="1" x14ac:dyDescent="0.45">
      <c r="A5962" s="7" t="str">
        <f t="shared" si="2183"/>
        <v>10493000000</v>
      </c>
      <c r="B5962" s="7" t="str">
        <f t="shared" si="2184"/>
        <v>桃谷高等学校</v>
      </c>
      <c r="C5962" s="7" t="str">
        <f t="shared" si="2162"/>
        <v>行政財産</v>
      </c>
      <c r="D5962" s="7" t="str">
        <f t="shared" si="2181"/>
        <v>学校</v>
      </c>
      <c r="E5962" s="7" t="str">
        <f t="shared" si="2185"/>
        <v>大阪府大阪市　生野区勝山南３丁目</v>
      </c>
      <c r="F5962" s="7"/>
      <c r="G5962" s="7" t="str">
        <f t="shared" si="2167"/>
        <v>事業用資産</v>
      </c>
      <c r="H5962" s="7" t="str">
        <f t="shared" si="2182"/>
        <v>棚卸以外</v>
      </c>
      <c r="I5962" s="7">
        <v>52</v>
      </c>
      <c r="J5962" s="7" t="str">
        <f>"体育館"</f>
        <v>体育館</v>
      </c>
      <c r="K5962" s="7" t="str">
        <f>"鉄筋コンクリート造"</f>
        <v>鉄筋コンクリート造</v>
      </c>
      <c r="L5962" s="7" t="str">
        <f>"H09.10.23"</f>
        <v>H09.10.23</v>
      </c>
      <c r="M5962" s="7">
        <v>2952.94</v>
      </c>
      <c r="N5962" s="7">
        <v>787310975</v>
      </c>
      <c r="O5962" s="7">
        <v>416720542</v>
      </c>
      <c r="P5962" s="7">
        <v>0</v>
      </c>
      <c r="Q5962" s="7" t="str">
        <f t="shared" si="2172"/>
        <v>教育庁</v>
      </c>
      <c r="R5962" s="7" t="str">
        <f t="shared" si="2186"/>
        <v>桃谷高等学校</v>
      </c>
    </row>
    <row r="5963" spans="1:18" s="1" customFormat="1" x14ac:dyDescent="0.45">
      <c r="A5963" s="7" t="str">
        <f t="shared" si="2183"/>
        <v>10493000000</v>
      </c>
      <c r="B5963" s="7" t="str">
        <f t="shared" si="2184"/>
        <v>桃谷高等学校</v>
      </c>
      <c r="C5963" s="7" t="str">
        <f t="shared" si="2162"/>
        <v>行政財産</v>
      </c>
      <c r="D5963" s="7" t="str">
        <f t="shared" si="2181"/>
        <v>学校</v>
      </c>
      <c r="E5963" s="7" t="str">
        <f t="shared" si="2185"/>
        <v>大阪府大阪市　生野区勝山南３丁目</v>
      </c>
      <c r="F5963" s="7"/>
      <c r="G5963" s="7" t="str">
        <f t="shared" si="2167"/>
        <v>事業用資産</v>
      </c>
      <c r="H5963" s="7" t="str">
        <f t="shared" si="2182"/>
        <v>棚卸以外</v>
      </c>
      <c r="I5963" s="7">
        <v>53</v>
      </c>
      <c r="J5963" s="7" t="str">
        <f>"新南館"</f>
        <v>新南館</v>
      </c>
      <c r="K5963" s="7" t="str">
        <f>"鉄筋コンクリート造"</f>
        <v>鉄筋コンクリート造</v>
      </c>
      <c r="L5963" s="7" t="str">
        <f>"H18.07.31"</f>
        <v>H18.07.31</v>
      </c>
      <c r="M5963" s="7">
        <v>447.68</v>
      </c>
      <c r="N5963" s="7">
        <v>93779691</v>
      </c>
      <c r="O5963" s="7">
        <v>33246092</v>
      </c>
      <c r="P5963" s="7">
        <v>0</v>
      </c>
      <c r="Q5963" s="7" t="str">
        <f t="shared" si="2172"/>
        <v>教育庁</v>
      </c>
      <c r="R5963" s="7" t="str">
        <f t="shared" si="2186"/>
        <v>桃谷高等学校</v>
      </c>
    </row>
    <row r="5964" spans="1:18" s="1" customFormat="1" x14ac:dyDescent="0.45">
      <c r="A5964" s="7" t="str">
        <f t="shared" si="2183"/>
        <v>10493000000</v>
      </c>
      <c r="B5964" s="7" t="str">
        <f t="shared" si="2184"/>
        <v>桃谷高等学校</v>
      </c>
      <c r="C5964" s="7" t="str">
        <f t="shared" si="2162"/>
        <v>行政財産</v>
      </c>
      <c r="D5964" s="7" t="str">
        <f t="shared" si="2181"/>
        <v>学校</v>
      </c>
      <c r="E5964" s="7" t="str">
        <f t="shared" si="2185"/>
        <v>大阪府大阪市　生野区勝山南３丁目</v>
      </c>
      <c r="F5964" s="7"/>
      <c r="G5964" s="7" t="str">
        <f t="shared" si="2167"/>
        <v>事業用資産</v>
      </c>
      <c r="H5964" s="7" t="str">
        <f t="shared" si="2182"/>
        <v>棚卸以外</v>
      </c>
      <c r="I5964" s="7">
        <v>54</v>
      </c>
      <c r="J5964" s="7" t="str">
        <f>"普通教室棟（多目的教室３）"</f>
        <v>普通教室棟（多目的教室３）</v>
      </c>
      <c r="K5964" s="7" t="str">
        <f>"鉄骨造"</f>
        <v>鉄骨造</v>
      </c>
      <c r="L5964" s="7" t="str">
        <f>"H18.07.31"</f>
        <v>H18.07.31</v>
      </c>
      <c r="M5964" s="7">
        <v>49.89</v>
      </c>
      <c r="N5964" s="7">
        <v>43377809</v>
      </c>
      <c r="O5964" s="7">
        <v>10332145</v>
      </c>
      <c r="P5964" s="7">
        <v>0</v>
      </c>
      <c r="Q5964" s="7" t="str">
        <f t="shared" si="2172"/>
        <v>教育庁</v>
      </c>
      <c r="R5964" s="7" t="str">
        <f t="shared" si="2186"/>
        <v>桃谷高等学校</v>
      </c>
    </row>
    <row r="5965" spans="1:18" s="1" customFormat="1" x14ac:dyDescent="0.45">
      <c r="A5965" s="7" t="str">
        <f>"10494000000"</f>
        <v>10494000000</v>
      </c>
      <c r="B5965" s="7" t="str">
        <f>"大阪南視覚支援学校"</f>
        <v>大阪南視覚支援学校</v>
      </c>
      <c r="C5965" s="7" t="str">
        <f t="shared" ref="C5965:C6028" si="2187">"行政財産"</f>
        <v>行政財産</v>
      </c>
      <c r="D5965" s="7" t="str">
        <f t="shared" si="2181"/>
        <v>学校</v>
      </c>
      <c r="E5965" s="7" t="str">
        <f>"大阪府大阪市　住吉区山之内１丁目"</f>
        <v>大阪府大阪市　住吉区山之内１丁目</v>
      </c>
      <c r="F5965" s="7"/>
      <c r="G5965" s="7" t="str">
        <f t="shared" si="2167"/>
        <v>事業用資産</v>
      </c>
      <c r="H5965" s="7" t="str">
        <f t="shared" si="2182"/>
        <v>棚卸以外</v>
      </c>
      <c r="I5965" s="7">
        <v>40</v>
      </c>
      <c r="J5965" s="7" t="str">
        <f>"校舎西棟"</f>
        <v>校舎西棟</v>
      </c>
      <c r="K5965" s="7" t="str">
        <f>"鉄筋コンクリート造"</f>
        <v>鉄筋コンクリート造</v>
      </c>
      <c r="L5965" s="7" t="str">
        <f>"H25.12.16"</f>
        <v>H25.12.16</v>
      </c>
      <c r="M5965" s="7">
        <v>4553.97</v>
      </c>
      <c r="N5965" s="7">
        <v>1199177812</v>
      </c>
      <c r="O5965" s="7">
        <v>236829208</v>
      </c>
      <c r="P5965" s="7">
        <v>0</v>
      </c>
      <c r="Q5965" s="7" t="str">
        <f t="shared" si="2172"/>
        <v>教育庁</v>
      </c>
      <c r="R5965" s="7" t="str">
        <f>"大阪南視覚支援学校"</f>
        <v>大阪南視覚支援学校</v>
      </c>
    </row>
    <row r="5966" spans="1:18" s="1" customFormat="1" x14ac:dyDescent="0.45">
      <c r="A5966" s="7" t="str">
        <f>"10494000000"</f>
        <v>10494000000</v>
      </c>
      <c r="B5966" s="7" t="str">
        <f>"大阪南視覚支援学校"</f>
        <v>大阪南視覚支援学校</v>
      </c>
      <c r="C5966" s="7" t="str">
        <f t="shared" si="2187"/>
        <v>行政財産</v>
      </c>
      <c r="D5966" s="7" t="str">
        <f t="shared" si="2181"/>
        <v>学校</v>
      </c>
      <c r="E5966" s="7" t="str">
        <f>"大阪府大阪市　住吉区山之内１丁目"</f>
        <v>大阪府大阪市　住吉区山之内１丁目</v>
      </c>
      <c r="F5966" s="7"/>
      <c r="G5966" s="7" t="str">
        <f t="shared" si="2167"/>
        <v>事業用資産</v>
      </c>
      <c r="H5966" s="7" t="str">
        <f t="shared" si="2182"/>
        <v>棚卸以外</v>
      </c>
      <c r="I5966" s="7">
        <v>41</v>
      </c>
      <c r="J5966" s="7" t="str">
        <f>"寄宿舎棟"</f>
        <v>寄宿舎棟</v>
      </c>
      <c r="K5966" s="7" t="str">
        <f>"鉄筋コンクリート造"</f>
        <v>鉄筋コンクリート造</v>
      </c>
      <c r="L5966" s="7" t="str">
        <f>"H25.12.16"</f>
        <v>H25.12.16</v>
      </c>
      <c r="M5966" s="7">
        <v>859.38</v>
      </c>
      <c r="N5966" s="7">
        <v>210479622</v>
      </c>
      <c r="O5966" s="7">
        <v>41463375</v>
      </c>
      <c r="P5966" s="7">
        <v>0</v>
      </c>
      <c r="Q5966" s="7" t="str">
        <f t="shared" si="2172"/>
        <v>教育庁</v>
      </c>
      <c r="R5966" s="7" t="str">
        <f>"大阪南視覚支援学校"</f>
        <v>大阪南視覚支援学校</v>
      </c>
    </row>
    <row r="5967" spans="1:18" s="1" customFormat="1" x14ac:dyDescent="0.45">
      <c r="A5967" s="7" t="str">
        <f>"10494000000"</f>
        <v>10494000000</v>
      </c>
      <c r="B5967" s="7" t="str">
        <f>"大阪南視覚支援学校"</f>
        <v>大阪南視覚支援学校</v>
      </c>
      <c r="C5967" s="7" t="str">
        <f t="shared" si="2187"/>
        <v>行政財産</v>
      </c>
      <c r="D5967" s="7" t="str">
        <f t="shared" si="2181"/>
        <v>学校</v>
      </c>
      <c r="E5967" s="7" t="str">
        <f>"大阪府大阪市　住吉区山之内１丁目"</f>
        <v>大阪府大阪市　住吉区山之内１丁目</v>
      </c>
      <c r="F5967" s="7"/>
      <c r="G5967" s="7" t="str">
        <f t="shared" si="2167"/>
        <v>事業用資産</v>
      </c>
      <c r="H5967" s="7" t="str">
        <f t="shared" si="2182"/>
        <v>棚卸以外</v>
      </c>
      <c r="I5967" s="7">
        <v>42</v>
      </c>
      <c r="J5967" s="7" t="str">
        <f>"校舎東棟"</f>
        <v>校舎東棟</v>
      </c>
      <c r="K5967" s="7" t="str">
        <f>"鉄筋コンクリート造"</f>
        <v>鉄筋コンクリート造</v>
      </c>
      <c r="L5967" s="7" t="str">
        <f>"H27.07.31"</f>
        <v>H27.07.31</v>
      </c>
      <c r="M5967" s="7">
        <v>4914.6099999999997</v>
      </c>
      <c r="N5967" s="7">
        <v>1109749359</v>
      </c>
      <c r="O5967" s="7">
        <v>185116654</v>
      </c>
      <c r="P5967" s="7">
        <v>0</v>
      </c>
      <c r="Q5967" s="7" t="str">
        <f t="shared" si="2172"/>
        <v>教育庁</v>
      </c>
      <c r="R5967" s="7" t="str">
        <f>"大阪南視覚支援学校"</f>
        <v>大阪南視覚支援学校</v>
      </c>
    </row>
    <row r="5968" spans="1:18" s="1" customFormat="1" x14ac:dyDescent="0.45">
      <c r="A5968" s="7" t="str">
        <f>"10494000000"</f>
        <v>10494000000</v>
      </c>
      <c r="B5968" s="7" t="str">
        <f>"大阪南視覚支援学校"</f>
        <v>大阪南視覚支援学校</v>
      </c>
      <c r="C5968" s="7" t="str">
        <f t="shared" si="2187"/>
        <v>行政財産</v>
      </c>
      <c r="D5968" s="7" t="str">
        <f t="shared" si="2181"/>
        <v>学校</v>
      </c>
      <c r="E5968" s="7" t="str">
        <f>"大阪府大阪市　住吉区山之内１丁目"</f>
        <v>大阪府大阪市　住吉区山之内１丁目</v>
      </c>
      <c r="F5968" s="7"/>
      <c r="G5968" s="7" t="str">
        <f t="shared" si="2167"/>
        <v>事業用資産</v>
      </c>
      <c r="H5968" s="7" t="str">
        <f t="shared" si="2182"/>
        <v>棚卸以外</v>
      </c>
      <c r="I5968" s="7">
        <v>43</v>
      </c>
      <c r="J5968" s="7" t="str">
        <f>"ゴミ庫"</f>
        <v>ゴミ庫</v>
      </c>
      <c r="K5968" s="7" t="str">
        <f>"鉄骨造"</f>
        <v>鉄骨造</v>
      </c>
      <c r="L5968" s="7" t="str">
        <f>"H27.10.30"</f>
        <v>H27.10.30</v>
      </c>
      <c r="M5968" s="7">
        <v>37.200000000000003</v>
      </c>
      <c r="N5968" s="7">
        <v>15613787</v>
      </c>
      <c r="O5968" s="7">
        <v>3735597</v>
      </c>
      <c r="P5968" s="7">
        <v>0</v>
      </c>
      <c r="Q5968" s="7" t="str">
        <f t="shared" si="2172"/>
        <v>教育庁</v>
      </c>
      <c r="R5968" s="7" t="str">
        <f>"大阪南視覚支援学校"</f>
        <v>大阪南視覚支援学校</v>
      </c>
    </row>
    <row r="5969" spans="1:18" s="1" customFormat="1" ht="26.4" x14ac:dyDescent="0.45">
      <c r="A5969" s="7" t="str">
        <f>"10495000000"</f>
        <v>10495000000</v>
      </c>
      <c r="B5969" s="7" t="str">
        <f>"生野聴覚支援学校"</f>
        <v>生野聴覚支援学校</v>
      </c>
      <c r="C5969" s="7" t="str">
        <f t="shared" si="2187"/>
        <v>行政財産</v>
      </c>
      <c r="D5969" s="7" t="str">
        <f t="shared" si="2181"/>
        <v>学校</v>
      </c>
      <c r="E5969" s="7" t="str">
        <f>"大阪府大阪市　生野区桃谷１丁目"</f>
        <v>大阪府大阪市　生野区桃谷１丁目</v>
      </c>
      <c r="F5969" s="7" t="str">
        <f>"２番１号"</f>
        <v>２番１号</v>
      </c>
      <c r="G5969" s="7" t="str">
        <f t="shared" si="2167"/>
        <v>事業用資産</v>
      </c>
      <c r="H5969" s="7" t="str">
        <f t="shared" si="2182"/>
        <v>棚卸以外</v>
      </c>
      <c r="I5969" s="7">
        <v>31</v>
      </c>
      <c r="J5969" s="7" t="str">
        <f>"校舎"</f>
        <v>校舎</v>
      </c>
      <c r="K5969" s="7" t="str">
        <f>"鉄骨鉄筋コンクリート造"</f>
        <v>鉄骨鉄筋コンクリート造</v>
      </c>
      <c r="L5969" s="7" t="str">
        <f>"H12.08.23"</f>
        <v>H12.08.23</v>
      </c>
      <c r="M5969" s="7">
        <v>8661.01</v>
      </c>
      <c r="N5969" s="7">
        <v>2193407577</v>
      </c>
      <c r="O5969" s="7">
        <v>1002178913</v>
      </c>
      <c r="P5969" s="7">
        <v>0</v>
      </c>
      <c r="Q5969" s="7" t="str">
        <f t="shared" si="2172"/>
        <v>教育庁</v>
      </c>
      <c r="R5969" s="7" t="str">
        <f>"生野聴覚支援学校"</f>
        <v>生野聴覚支援学校</v>
      </c>
    </row>
    <row r="5970" spans="1:18" s="1" customFormat="1" ht="26.4" x14ac:dyDescent="0.45">
      <c r="A5970" s="7" t="str">
        <f>"10495000000"</f>
        <v>10495000000</v>
      </c>
      <c r="B5970" s="7" t="str">
        <f>"生野聴覚支援学校"</f>
        <v>生野聴覚支援学校</v>
      </c>
      <c r="C5970" s="7" t="str">
        <f t="shared" si="2187"/>
        <v>行政財産</v>
      </c>
      <c r="D5970" s="7" t="str">
        <f t="shared" si="2181"/>
        <v>学校</v>
      </c>
      <c r="E5970" s="7" t="str">
        <f>"大阪府大阪市　生野区桃谷１丁目"</f>
        <v>大阪府大阪市　生野区桃谷１丁目</v>
      </c>
      <c r="F5970" s="7" t="str">
        <f>"２番１号"</f>
        <v>２番１号</v>
      </c>
      <c r="G5970" s="7" t="str">
        <f t="shared" si="2167"/>
        <v>事業用資産</v>
      </c>
      <c r="H5970" s="7" t="str">
        <f t="shared" si="2182"/>
        <v>棚卸以外</v>
      </c>
      <c r="I5970" s="7">
        <v>32</v>
      </c>
      <c r="J5970" s="7" t="str">
        <f>"コンポスト置場"</f>
        <v>コンポスト置場</v>
      </c>
      <c r="K5970" s="7" t="str">
        <f>"鉄骨鉄筋コンクリート造"</f>
        <v>鉄骨鉄筋コンクリート造</v>
      </c>
      <c r="L5970" s="7" t="str">
        <f>"H12.08.23"</f>
        <v>H12.08.23</v>
      </c>
      <c r="M5970" s="7">
        <v>8.4</v>
      </c>
      <c r="N5970" s="7">
        <v>1675000</v>
      </c>
      <c r="O5970" s="7">
        <v>995654</v>
      </c>
      <c r="P5970" s="7">
        <v>0</v>
      </c>
      <c r="Q5970" s="7" t="str">
        <f t="shared" si="2172"/>
        <v>教育庁</v>
      </c>
      <c r="R5970" s="7" t="str">
        <f>"生野聴覚支援学校"</f>
        <v>生野聴覚支援学校</v>
      </c>
    </row>
    <row r="5971" spans="1:18" s="1" customFormat="1" x14ac:dyDescent="0.45">
      <c r="A5971" s="7" t="str">
        <f>"10495000000"</f>
        <v>10495000000</v>
      </c>
      <c r="B5971" s="7" t="str">
        <f>"生野聴覚支援学校"</f>
        <v>生野聴覚支援学校</v>
      </c>
      <c r="C5971" s="7" t="str">
        <f t="shared" si="2187"/>
        <v>行政財産</v>
      </c>
      <c r="D5971" s="7" t="str">
        <f t="shared" si="2181"/>
        <v>学校</v>
      </c>
      <c r="E5971" s="7" t="str">
        <f>"大阪府大阪市　生野区桃谷１丁目"</f>
        <v>大阪府大阪市　生野区桃谷１丁目</v>
      </c>
      <c r="F5971" s="7" t="str">
        <f>"２番１号"</f>
        <v>２番１号</v>
      </c>
      <c r="G5971" s="7" t="str">
        <f t="shared" si="2167"/>
        <v>事業用資産</v>
      </c>
      <c r="H5971" s="7" t="str">
        <f t="shared" si="2182"/>
        <v>棚卸以外</v>
      </c>
      <c r="I5971" s="7">
        <v>33</v>
      </c>
      <c r="J5971" s="7" t="str">
        <f>"ごみ置場棟"</f>
        <v>ごみ置場棟</v>
      </c>
      <c r="K5971" s="7" t="str">
        <f>"鉄筋コンクリート造"</f>
        <v>鉄筋コンクリート造</v>
      </c>
      <c r="L5971" s="7" t="str">
        <f>"H14.12.20"</f>
        <v>H14.12.20</v>
      </c>
      <c r="M5971" s="7">
        <v>23.66</v>
      </c>
      <c r="N5971" s="7">
        <v>3862200</v>
      </c>
      <c r="O5971" s="7">
        <v>1917486</v>
      </c>
      <c r="P5971" s="7">
        <v>0</v>
      </c>
      <c r="Q5971" s="7" t="str">
        <f t="shared" si="2172"/>
        <v>教育庁</v>
      </c>
      <c r="R5971" s="7" t="str">
        <f>"生野聴覚支援学校"</f>
        <v>生野聴覚支援学校</v>
      </c>
    </row>
    <row r="5972" spans="1:18" s="1" customFormat="1" x14ac:dyDescent="0.45">
      <c r="A5972" s="7" t="str">
        <f>"10495000000"</f>
        <v>10495000000</v>
      </c>
      <c r="B5972" s="7" t="str">
        <f>"生野聴覚支援学校"</f>
        <v>生野聴覚支援学校</v>
      </c>
      <c r="C5972" s="7" t="str">
        <f t="shared" si="2187"/>
        <v>行政財産</v>
      </c>
      <c r="D5972" s="7" t="str">
        <f t="shared" si="2181"/>
        <v>学校</v>
      </c>
      <c r="E5972" s="7" t="str">
        <f>"大阪府大阪市　生野区桃谷１丁目"</f>
        <v>大阪府大阪市　生野区桃谷１丁目</v>
      </c>
      <c r="F5972" s="7" t="str">
        <f>"２番１号"</f>
        <v>２番１号</v>
      </c>
      <c r="G5972" s="7" t="str">
        <f t="shared" si="2167"/>
        <v>事業用資産</v>
      </c>
      <c r="H5972" s="7" t="str">
        <f t="shared" si="2182"/>
        <v>棚卸以外</v>
      </c>
      <c r="I5972" s="7">
        <v>34</v>
      </c>
      <c r="J5972" s="7" t="str">
        <f>"体育倉庫"</f>
        <v>体育倉庫</v>
      </c>
      <c r="K5972" s="7" t="str">
        <f>"鉄筋コンクリート造"</f>
        <v>鉄筋コンクリート造</v>
      </c>
      <c r="L5972" s="7" t="str">
        <f>"H14.12.20"</f>
        <v>H14.12.20</v>
      </c>
      <c r="M5972" s="7">
        <v>49.36</v>
      </c>
      <c r="N5972" s="7">
        <v>6114000</v>
      </c>
      <c r="O5972" s="7">
        <v>3258144</v>
      </c>
      <c r="P5972" s="7">
        <v>0</v>
      </c>
      <c r="Q5972" s="7" t="str">
        <f t="shared" si="2172"/>
        <v>教育庁</v>
      </c>
      <c r="R5972" s="7" t="str">
        <f>"生野聴覚支援学校"</f>
        <v>生野聴覚支援学校</v>
      </c>
    </row>
    <row r="5973" spans="1:18" s="1" customFormat="1" x14ac:dyDescent="0.45">
      <c r="A5973" s="7" t="str">
        <f t="shared" ref="A5973:A5988" si="2188">"10497000500"</f>
        <v>10497000500</v>
      </c>
      <c r="B5973" s="7" t="str">
        <f t="shared" ref="B5973:B5988" si="2189">"堺聴覚支援学校"</f>
        <v>堺聴覚支援学校</v>
      </c>
      <c r="C5973" s="7" t="str">
        <f t="shared" si="2187"/>
        <v>行政財産</v>
      </c>
      <c r="D5973" s="7" t="str">
        <f t="shared" si="2181"/>
        <v>学校</v>
      </c>
      <c r="E5973" s="7" t="str">
        <f t="shared" ref="E5973:E5988" si="2190">"大阪府堺市　北区百舌鳥陵南町１丁"</f>
        <v>大阪府堺市　北区百舌鳥陵南町１丁</v>
      </c>
      <c r="F5973" s="7"/>
      <c r="G5973" s="7" t="str">
        <f t="shared" si="2167"/>
        <v>事業用資産</v>
      </c>
      <c r="H5973" s="7" t="str">
        <f t="shared" si="2182"/>
        <v>棚卸以外</v>
      </c>
      <c r="I5973" s="7">
        <v>2</v>
      </c>
      <c r="J5973" s="7" t="str">
        <f>"管理中高特別棟"</f>
        <v>管理中高特別棟</v>
      </c>
      <c r="K5973" s="7" t="str">
        <f>"鉄筋コンクリート造"</f>
        <v>鉄筋コンクリート造</v>
      </c>
      <c r="L5973" s="7" t="str">
        <f t="shared" ref="L5973:L5978" si="2191">"S50.09.30"</f>
        <v>S50.09.30</v>
      </c>
      <c r="M5973" s="7">
        <v>6523.24</v>
      </c>
      <c r="N5973" s="7">
        <v>879029718</v>
      </c>
      <c r="O5973" s="7">
        <v>720558618</v>
      </c>
      <c r="P5973" s="7">
        <v>0</v>
      </c>
      <c r="Q5973" s="7" t="str">
        <f t="shared" si="2172"/>
        <v>教育庁</v>
      </c>
      <c r="R5973" s="7" t="str">
        <f t="shared" ref="R5973:R5988" si="2192">"堺聴覚支援学校"</f>
        <v>堺聴覚支援学校</v>
      </c>
    </row>
    <row r="5974" spans="1:18" s="1" customFormat="1" x14ac:dyDescent="0.45">
      <c r="A5974" s="7" t="str">
        <f t="shared" si="2188"/>
        <v>10497000500</v>
      </c>
      <c r="B5974" s="7" t="str">
        <f t="shared" si="2189"/>
        <v>堺聴覚支援学校</v>
      </c>
      <c r="C5974" s="7" t="str">
        <f t="shared" si="2187"/>
        <v>行政財産</v>
      </c>
      <c r="D5974" s="7" t="str">
        <f t="shared" si="2181"/>
        <v>学校</v>
      </c>
      <c r="E5974" s="7" t="str">
        <f t="shared" si="2190"/>
        <v>大阪府堺市　北区百舌鳥陵南町１丁</v>
      </c>
      <c r="F5974" s="7"/>
      <c r="G5974" s="7" t="str">
        <f t="shared" si="2167"/>
        <v>事業用資産</v>
      </c>
      <c r="H5974" s="7" t="str">
        <f t="shared" si="2182"/>
        <v>棚卸以外</v>
      </c>
      <c r="I5974" s="7">
        <v>3</v>
      </c>
      <c r="J5974" s="7" t="str">
        <f>"渡り廊下"</f>
        <v>渡り廊下</v>
      </c>
      <c r="K5974" s="7" t="str">
        <f>"鉄骨造"</f>
        <v>鉄骨造</v>
      </c>
      <c r="L5974" s="7" t="str">
        <f t="shared" si="2191"/>
        <v>S50.09.30</v>
      </c>
      <c r="M5974" s="7">
        <v>67.88</v>
      </c>
      <c r="N5974" s="7">
        <v>39696113</v>
      </c>
      <c r="O5974" s="7">
        <v>34241023</v>
      </c>
      <c r="P5974" s="7">
        <v>0</v>
      </c>
      <c r="Q5974" s="7" t="str">
        <f t="shared" si="2172"/>
        <v>教育庁</v>
      </c>
      <c r="R5974" s="7" t="str">
        <f t="shared" si="2192"/>
        <v>堺聴覚支援学校</v>
      </c>
    </row>
    <row r="5975" spans="1:18" s="1" customFormat="1" x14ac:dyDescent="0.45">
      <c r="A5975" s="7" t="str">
        <f t="shared" si="2188"/>
        <v>10497000500</v>
      </c>
      <c r="B5975" s="7" t="str">
        <f t="shared" si="2189"/>
        <v>堺聴覚支援学校</v>
      </c>
      <c r="C5975" s="7" t="str">
        <f t="shared" si="2187"/>
        <v>行政財産</v>
      </c>
      <c r="D5975" s="7" t="str">
        <f t="shared" si="2181"/>
        <v>学校</v>
      </c>
      <c r="E5975" s="7" t="str">
        <f t="shared" si="2190"/>
        <v>大阪府堺市　北区百舌鳥陵南町１丁</v>
      </c>
      <c r="F5975" s="7"/>
      <c r="G5975" s="7" t="str">
        <f t="shared" ref="G5975:G6038" si="2193">"事業用資産"</f>
        <v>事業用資産</v>
      </c>
      <c r="H5975" s="7" t="str">
        <f t="shared" si="2182"/>
        <v>棚卸以外</v>
      </c>
      <c r="I5975" s="7">
        <v>4</v>
      </c>
      <c r="J5975" s="7" t="str">
        <f>"小学部棟"</f>
        <v>小学部棟</v>
      </c>
      <c r="K5975" s="7" t="str">
        <f>"鉄筋コンクリート造"</f>
        <v>鉄筋コンクリート造</v>
      </c>
      <c r="L5975" s="7" t="str">
        <f t="shared" si="2191"/>
        <v>S50.09.30</v>
      </c>
      <c r="M5975" s="7">
        <v>2757.63</v>
      </c>
      <c r="N5975" s="7">
        <v>328258651</v>
      </c>
      <c r="O5975" s="7">
        <v>292799837</v>
      </c>
      <c r="P5975" s="7">
        <v>0</v>
      </c>
      <c r="Q5975" s="7" t="str">
        <f t="shared" si="2172"/>
        <v>教育庁</v>
      </c>
      <c r="R5975" s="7" t="str">
        <f t="shared" si="2192"/>
        <v>堺聴覚支援学校</v>
      </c>
    </row>
    <row r="5976" spans="1:18" s="1" customFormat="1" x14ac:dyDescent="0.45">
      <c r="A5976" s="7" t="str">
        <f t="shared" si="2188"/>
        <v>10497000500</v>
      </c>
      <c r="B5976" s="7" t="str">
        <f t="shared" si="2189"/>
        <v>堺聴覚支援学校</v>
      </c>
      <c r="C5976" s="7" t="str">
        <f t="shared" si="2187"/>
        <v>行政財産</v>
      </c>
      <c r="D5976" s="7" t="str">
        <f t="shared" si="2181"/>
        <v>学校</v>
      </c>
      <c r="E5976" s="7" t="str">
        <f t="shared" si="2190"/>
        <v>大阪府堺市　北区百舌鳥陵南町１丁</v>
      </c>
      <c r="F5976" s="7"/>
      <c r="G5976" s="7" t="str">
        <f t="shared" si="2193"/>
        <v>事業用資産</v>
      </c>
      <c r="H5976" s="7" t="str">
        <f t="shared" si="2182"/>
        <v>棚卸以外</v>
      </c>
      <c r="I5976" s="7">
        <v>5</v>
      </c>
      <c r="J5976" s="7" t="str">
        <f>"車庫棟"</f>
        <v>車庫棟</v>
      </c>
      <c r="K5976" s="7" t="str">
        <f>"鉄筋コンクリート造"</f>
        <v>鉄筋コンクリート造</v>
      </c>
      <c r="L5976" s="7" t="str">
        <f t="shared" si="2191"/>
        <v>S50.09.30</v>
      </c>
      <c r="M5976" s="7">
        <v>107.16</v>
      </c>
      <c r="N5976" s="7">
        <v>10971000</v>
      </c>
      <c r="O5976" s="7">
        <v>10970999</v>
      </c>
      <c r="P5976" s="7">
        <v>0</v>
      </c>
      <c r="Q5976" s="7" t="str">
        <f t="shared" si="2172"/>
        <v>教育庁</v>
      </c>
      <c r="R5976" s="7" t="str">
        <f t="shared" si="2192"/>
        <v>堺聴覚支援学校</v>
      </c>
    </row>
    <row r="5977" spans="1:18" s="1" customFormat="1" x14ac:dyDescent="0.45">
      <c r="A5977" s="7" t="str">
        <f t="shared" si="2188"/>
        <v>10497000500</v>
      </c>
      <c r="B5977" s="7" t="str">
        <f t="shared" si="2189"/>
        <v>堺聴覚支援学校</v>
      </c>
      <c r="C5977" s="7" t="str">
        <f t="shared" si="2187"/>
        <v>行政財産</v>
      </c>
      <c r="D5977" s="7" t="str">
        <f t="shared" si="2181"/>
        <v>学校</v>
      </c>
      <c r="E5977" s="7" t="str">
        <f t="shared" si="2190"/>
        <v>大阪府堺市　北区百舌鳥陵南町１丁</v>
      </c>
      <c r="F5977" s="7"/>
      <c r="G5977" s="7" t="str">
        <f t="shared" si="2193"/>
        <v>事業用資産</v>
      </c>
      <c r="H5977" s="7" t="str">
        <f t="shared" si="2182"/>
        <v>棚卸以外</v>
      </c>
      <c r="I5977" s="7">
        <v>7</v>
      </c>
      <c r="J5977" s="7" t="str">
        <f>"水槽棟"</f>
        <v>水槽棟</v>
      </c>
      <c r="K5977" s="7" t="str">
        <f>"鉄筋コンクリート造"</f>
        <v>鉄筋コンクリート造</v>
      </c>
      <c r="L5977" s="7" t="str">
        <f t="shared" si="2191"/>
        <v>S50.09.30</v>
      </c>
      <c r="M5977" s="7">
        <v>53.31</v>
      </c>
      <c r="N5977" s="7">
        <v>17762862</v>
      </c>
      <c r="O5977" s="7">
        <v>9011843</v>
      </c>
      <c r="P5977" s="7">
        <v>0</v>
      </c>
      <c r="Q5977" s="7" t="str">
        <f t="shared" si="2172"/>
        <v>教育庁</v>
      </c>
      <c r="R5977" s="7" t="str">
        <f t="shared" si="2192"/>
        <v>堺聴覚支援学校</v>
      </c>
    </row>
    <row r="5978" spans="1:18" s="1" customFormat="1" x14ac:dyDescent="0.45">
      <c r="A5978" s="7" t="str">
        <f t="shared" si="2188"/>
        <v>10497000500</v>
      </c>
      <c r="B5978" s="7" t="str">
        <f t="shared" si="2189"/>
        <v>堺聴覚支援学校</v>
      </c>
      <c r="C5978" s="7" t="str">
        <f t="shared" si="2187"/>
        <v>行政財産</v>
      </c>
      <c r="D5978" s="7" t="str">
        <f t="shared" si="2181"/>
        <v>学校</v>
      </c>
      <c r="E5978" s="7" t="str">
        <f t="shared" si="2190"/>
        <v>大阪府堺市　北区百舌鳥陵南町１丁</v>
      </c>
      <c r="F5978" s="7"/>
      <c r="G5978" s="7" t="str">
        <f t="shared" si="2193"/>
        <v>事業用資産</v>
      </c>
      <c r="H5978" s="7" t="str">
        <f t="shared" si="2182"/>
        <v>棚卸以外</v>
      </c>
      <c r="I5978" s="7">
        <v>8</v>
      </c>
      <c r="J5978" s="7" t="str">
        <f>"集塵機械室"</f>
        <v>集塵機械室</v>
      </c>
      <c r="K5978" s="7" t="str">
        <f>"鉄筋コンクリート造"</f>
        <v>鉄筋コンクリート造</v>
      </c>
      <c r="L5978" s="7" t="str">
        <f t="shared" si="2191"/>
        <v>S50.09.30</v>
      </c>
      <c r="M5978" s="7">
        <v>39</v>
      </c>
      <c r="N5978" s="7">
        <v>11441000</v>
      </c>
      <c r="O5978" s="7">
        <v>11440999</v>
      </c>
      <c r="P5978" s="7">
        <v>0</v>
      </c>
      <c r="Q5978" s="7" t="str">
        <f t="shared" si="2172"/>
        <v>教育庁</v>
      </c>
      <c r="R5978" s="7" t="str">
        <f t="shared" si="2192"/>
        <v>堺聴覚支援学校</v>
      </c>
    </row>
    <row r="5979" spans="1:18" s="1" customFormat="1" x14ac:dyDescent="0.45">
      <c r="A5979" s="7" t="str">
        <f t="shared" si="2188"/>
        <v>10497000500</v>
      </c>
      <c r="B5979" s="7" t="str">
        <f t="shared" si="2189"/>
        <v>堺聴覚支援学校</v>
      </c>
      <c r="C5979" s="7" t="str">
        <f t="shared" si="2187"/>
        <v>行政財産</v>
      </c>
      <c r="D5979" s="7" t="str">
        <f t="shared" si="2181"/>
        <v>学校</v>
      </c>
      <c r="E5979" s="7" t="str">
        <f t="shared" si="2190"/>
        <v>大阪府堺市　北区百舌鳥陵南町１丁</v>
      </c>
      <c r="F5979" s="7"/>
      <c r="G5979" s="7" t="str">
        <f t="shared" si="2193"/>
        <v>事業用資産</v>
      </c>
      <c r="H5979" s="7" t="str">
        <f t="shared" si="2182"/>
        <v>棚卸以外</v>
      </c>
      <c r="I5979" s="7">
        <v>9</v>
      </c>
      <c r="J5979" s="7" t="str">
        <f>"幼稚部棟"</f>
        <v>幼稚部棟</v>
      </c>
      <c r="K5979" s="7" t="str">
        <f>"鉄筋コンクリート造"</f>
        <v>鉄筋コンクリート造</v>
      </c>
      <c r="L5979" s="7" t="str">
        <f>"S51.08.15"</f>
        <v>S51.08.15</v>
      </c>
      <c r="M5979" s="7">
        <v>1399.13</v>
      </c>
      <c r="N5979" s="7">
        <v>226080446</v>
      </c>
      <c r="O5979" s="7">
        <v>200407905</v>
      </c>
      <c r="P5979" s="7">
        <v>0</v>
      </c>
      <c r="Q5979" s="7" t="str">
        <f t="shared" ref="Q5979:Q6042" si="2194">"教育庁"</f>
        <v>教育庁</v>
      </c>
      <c r="R5979" s="7" t="str">
        <f t="shared" si="2192"/>
        <v>堺聴覚支援学校</v>
      </c>
    </row>
    <row r="5980" spans="1:18" s="1" customFormat="1" x14ac:dyDescent="0.45">
      <c r="A5980" s="7" t="str">
        <f t="shared" si="2188"/>
        <v>10497000500</v>
      </c>
      <c r="B5980" s="7" t="str">
        <f t="shared" si="2189"/>
        <v>堺聴覚支援学校</v>
      </c>
      <c r="C5980" s="7" t="str">
        <f t="shared" si="2187"/>
        <v>行政財産</v>
      </c>
      <c r="D5980" s="7" t="str">
        <f t="shared" si="2181"/>
        <v>学校</v>
      </c>
      <c r="E5980" s="7" t="str">
        <f t="shared" si="2190"/>
        <v>大阪府堺市　北区百舌鳥陵南町１丁</v>
      </c>
      <c r="F5980" s="7"/>
      <c r="G5980" s="7" t="str">
        <f t="shared" si="2193"/>
        <v>事業用資産</v>
      </c>
      <c r="H5980" s="7" t="str">
        <f t="shared" si="2182"/>
        <v>棚卸以外</v>
      </c>
      <c r="I5980" s="7">
        <v>10</v>
      </c>
      <c r="J5980" s="7" t="str">
        <f>"渡り廊下"</f>
        <v>渡り廊下</v>
      </c>
      <c r="K5980" s="7" t="str">
        <f>"鉄骨造"</f>
        <v>鉄骨造</v>
      </c>
      <c r="L5980" s="7" t="str">
        <f>"S51.08.15"</f>
        <v>S51.08.15</v>
      </c>
      <c r="M5980" s="7">
        <v>98.37</v>
      </c>
      <c r="N5980" s="7">
        <v>3790500</v>
      </c>
      <c r="O5980" s="7">
        <v>3790499</v>
      </c>
      <c r="P5980" s="7">
        <v>0</v>
      </c>
      <c r="Q5980" s="7" t="str">
        <f t="shared" si="2194"/>
        <v>教育庁</v>
      </c>
      <c r="R5980" s="7" t="str">
        <f t="shared" si="2192"/>
        <v>堺聴覚支援学校</v>
      </c>
    </row>
    <row r="5981" spans="1:18" s="1" customFormat="1" x14ac:dyDescent="0.45">
      <c r="A5981" s="7" t="str">
        <f t="shared" si="2188"/>
        <v>10497000500</v>
      </c>
      <c r="B5981" s="7" t="str">
        <f t="shared" si="2189"/>
        <v>堺聴覚支援学校</v>
      </c>
      <c r="C5981" s="7" t="str">
        <f t="shared" si="2187"/>
        <v>行政財産</v>
      </c>
      <c r="D5981" s="7" t="str">
        <f t="shared" si="2181"/>
        <v>学校</v>
      </c>
      <c r="E5981" s="7" t="str">
        <f t="shared" si="2190"/>
        <v>大阪府堺市　北区百舌鳥陵南町１丁</v>
      </c>
      <c r="F5981" s="7"/>
      <c r="G5981" s="7" t="str">
        <f t="shared" si="2193"/>
        <v>事業用資産</v>
      </c>
      <c r="H5981" s="7" t="str">
        <f t="shared" si="2182"/>
        <v>棚卸以外</v>
      </c>
      <c r="I5981" s="7">
        <v>11</v>
      </c>
      <c r="J5981" s="7" t="str">
        <f>"体育館"</f>
        <v>体育館</v>
      </c>
      <c r="K5981" s="7" t="str">
        <f t="shared" ref="K5981:K5986" si="2195">"鉄筋コンクリート造"</f>
        <v>鉄筋コンクリート造</v>
      </c>
      <c r="L5981" s="7" t="str">
        <f>"S51.10.31"</f>
        <v>S51.10.31</v>
      </c>
      <c r="M5981" s="7">
        <v>1134.3800000000001</v>
      </c>
      <c r="N5981" s="7">
        <v>131497380</v>
      </c>
      <c r="O5981" s="7">
        <v>123394734</v>
      </c>
      <c r="P5981" s="7">
        <v>0</v>
      </c>
      <c r="Q5981" s="7" t="str">
        <f t="shared" si="2194"/>
        <v>教育庁</v>
      </c>
      <c r="R5981" s="7" t="str">
        <f t="shared" si="2192"/>
        <v>堺聴覚支援学校</v>
      </c>
    </row>
    <row r="5982" spans="1:18" s="1" customFormat="1" x14ac:dyDescent="0.45">
      <c r="A5982" s="7" t="str">
        <f t="shared" si="2188"/>
        <v>10497000500</v>
      </c>
      <c r="B5982" s="7" t="str">
        <f t="shared" si="2189"/>
        <v>堺聴覚支援学校</v>
      </c>
      <c r="C5982" s="7" t="str">
        <f t="shared" si="2187"/>
        <v>行政財産</v>
      </c>
      <c r="D5982" s="7" t="str">
        <f t="shared" si="2181"/>
        <v>学校</v>
      </c>
      <c r="E5982" s="7" t="str">
        <f t="shared" si="2190"/>
        <v>大阪府堺市　北区百舌鳥陵南町１丁</v>
      </c>
      <c r="F5982" s="7"/>
      <c r="G5982" s="7" t="str">
        <f t="shared" si="2193"/>
        <v>事業用資産</v>
      </c>
      <c r="H5982" s="7" t="str">
        <f t="shared" si="2182"/>
        <v>棚卸以外</v>
      </c>
      <c r="I5982" s="7">
        <v>13</v>
      </c>
      <c r="J5982" s="7" t="str">
        <f>"プール附属棟"</f>
        <v>プール附属棟</v>
      </c>
      <c r="K5982" s="7" t="str">
        <f t="shared" si="2195"/>
        <v>鉄筋コンクリート造</v>
      </c>
      <c r="L5982" s="7" t="str">
        <f>"S51.10.15"</f>
        <v>S51.10.15</v>
      </c>
      <c r="M5982" s="7">
        <v>82.8</v>
      </c>
      <c r="N5982" s="7">
        <v>54024000</v>
      </c>
      <c r="O5982" s="7">
        <v>52665156</v>
      </c>
      <c r="P5982" s="7">
        <v>0</v>
      </c>
      <c r="Q5982" s="7" t="str">
        <f t="shared" si="2194"/>
        <v>教育庁</v>
      </c>
      <c r="R5982" s="7" t="str">
        <f t="shared" si="2192"/>
        <v>堺聴覚支援学校</v>
      </c>
    </row>
    <row r="5983" spans="1:18" s="1" customFormat="1" x14ac:dyDescent="0.45">
      <c r="A5983" s="7" t="str">
        <f t="shared" si="2188"/>
        <v>10497000500</v>
      </c>
      <c r="B5983" s="7" t="str">
        <f t="shared" si="2189"/>
        <v>堺聴覚支援学校</v>
      </c>
      <c r="C5983" s="7" t="str">
        <f t="shared" si="2187"/>
        <v>行政財産</v>
      </c>
      <c r="D5983" s="7" t="str">
        <f t="shared" si="2181"/>
        <v>学校</v>
      </c>
      <c r="E5983" s="7" t="str">
        <f t="shared" si="2190"/>
        <v>大阪府堺市　北区百舌鳥陵南町１丁</v>
      </c>
      <c r="F5983" s="7"/>
      <c r="G5983" s="7" t="str">
        <f t="shared" si="2193"/>
        <v>事業用資産</v>
      </c>
      <c r="H5983" s="7" t="str">
        <f t="shared" si="2182"/>
        <v>棚卸以外</v>
      </c>
      <c r="I5983" s="7">
        <v>15</v>
      </c>
      <c r="J5983" s="7" t="str">
        <f>"倉庫"</f>
        <v>倉庫</v>
      </c>
      <c r="K5983" s="7" t="str">
        <f t="shared" si="2195"/>
        <v>鉄筋コンクリート造</v>
      </c>
      <c r="L5983" s="7" t="str">
        <f>"S52.09.30"</f>
        <v>S52.09.30</v>
      </c>
      <c r="M5983" s="7">
        <v>40.130000000000003</v>
      </c>
      <c r="N5983" s="7">
        <v>1990000</v>
      </c>
      <c r="O5983" s="7">
        <v>1989999</v>
      </c>
      <c r="P5983" s="7">
        <v>0</v>
      </c>
      <c r="Q5983" s="7" t="str">
        <f t="shared" si="2194"/>
        <v>教育庁</v>
      </c>
      <c r="R5983" s="7" t="str">
        <f t="shared" si="2192"/>
        <v>堺聴覚支援学校</v>
      </c>
    </row>
    <row r="5984" spans="1:18" s="1" customFormat="1" x14ac:dyDescent="0.45">
      <c r="A5984" s="7" t="str">
        <f t="shared" si="2188"/>
        <v>10497000500</v>
      </c>
      <c r="B5984" s="7" t="str">
        <f t="shared" si="2189"/>
        <v>堺聴覚支援学校</v>
      </c>
      <c r="C5984" s="7" t="str">
        <f t="shared" si="2187"/>
        <v>行政財産</v>
      </c>
      <c r="D5984" s="7" t="str">
        <f t="shared" si="2181"/>
        <v>学校</v>
      </c>
      <c r="E5984" s="7" t="str">
        <f t="shared" si="2190"/>
        <v>大阪府堺市　北区百舌鳥陵南町１丁</v>
      </c>
      <c r="F5984" s="7"/>
      <c r="G5984" s="7" t="str">
        <f t="shared" si="2193"/>
        <v>事業用資産</v>
      </c>
      <c r="H5984" s="7" t="str">
        <f t="shared" si="2182"/>
        <v>棚卸以外</v>
      </c>
      <c r="I5984" s="7">
        <v>16</v>
      </c>
      <c r="J5984" s="7" t="str">
        <f>"倉庫"</f>
        <v>倉庫</v>
      </c>
      <c r="K5984" s="7" t="str">
        <f t="shared" si="2195"/>
        <v>鉄筋コンクリート造</v>
      </c>
      <c r="L5984" s="7" t="str">
        <f>"S52.09.30"</f>
        <v>S52.09.30</v>
      </c>
      <c r="M5984" s="7">
        <v>40.130000000000003</v>
      </c>
      <c r="N5984" s="7">
        <v>1990000</v>
      </c>
      <c r="O5984" s="7">
        <v>1989999</v>
      </c>
      <c r="P5984" s="7">
        <v>0</v>
      </c>
      <c r="Q5984" s="7" t="str">
        <f t="shared" si="2194"/>
        <v>教育庁</v>
      </c>
      <c r="R5984" s="7" t="str">
        <f t="shared" si="2192"/>
        <v>堺聴覚支援学校</v>
      </c>
    </row>
    <row r="5985" spans="1:18" s="1" customFormat="1" x14ac:dyDescent="0.45">
      <c r="A5985" s="7" t="str">
        <f t="shared" si="2188"/>
        <v>10497000500</v>
      </c>
      <c r="B5985" s="7" t="str">
        <f t="shared" si="2189"/>
        <v>堺聴覚支援学校</v>
      </c>
      <c r="C5985" s="7" t="str">
        <f t="shared" si="2187"/>
        <v>行政財産</v>
      </c>
      <c r="D5985" s="7" t="str">
        <f t="shared" si="2181"/>
        <v>学校</v>
      </c>
      <c r="E5985" s="7" t="str">
        <f t="shared" si="2190"/>
        <v>大阪府堺市　北区百舌鳥陵南町１丁</v>
      </c>
      <c r="F5985" s="7"/>
      <c r="G5985" s="7" t="str">
        <f t="shared" si="2193"/>
        <v>事業用資産</v>
      </c>
      <c r="H5985" s="7" t="str">
        <f t="shared" si="2182"/>
        <v>棚卸以外</v>
      </c>
      <c r="I5985" s="7">
        <v>17</v>
      </c>
      <c r="J5985" s="7" t="str">
        <f>"倉庫"</f>
        <v>倉庫</v>
      </c>
      <c r="K5985" s="7" t="str">
        <f t="shared" si="2195"/>
        <v>鉄筋コンクリート造</v>
      </c>
      <c r="L5985" s="7" t="str">
        <f>"S52.09.30"</f>
        <v>S52.09.30</v>
      </c>
      <c r="M5985" s="7">
        <v>40.130000000000003</v>
      </c>
      <c r="N5985" s="7">
        <v>1990000</v>
      </c>
      <c r="O5985" s="7">
        <v>1989999</v>
      </c>
      <c r="P5985" s="7">
        <v>0</v>
      </c>
      <c r="Q5985" s="7" t="str">
        <f t="shared" si="2194"/>
        <v>教育庁</v>
      </c>
      <c r="R5985" s="7" t="str">
        <f t="shared" si="2192"/>
        <v>堺聴覚支援学校</v>
      </c>
    </row>
    <row r="5986" spans="1:18" s="1" customFormat="1" x14ac:dyDescent="0.45">
      <c r="A5986" s="7" t="str">
        <f t="shared" si="2188"/>
        <v>10497000500</v>
      </c>
      <c r="B5986" s="7" t="str">
        <f t="shared" si="2189"/>
        <v>堺聴覚支援学校</v>
      </c>
      <c r="C5986" s="7" t="str">
        <f t="shared" si="2187"/>
        <v>行政財産</v>
      </c>
      <c r="D5986" s="7" t="str">
        <f t="shared" si="2181"/>
        <v>学校</v>
      </c>
      <c r="E5986" s="7" t="str">
        <f t="shared" si="2190"/>
        <v>大阪府堺市　北区百舌鳥陵南町１丁</v>
      </c>
      <c r="F5986" s="7"/>
      <c r="G5986" s="7" t="str">
        <f t="shared" si="2193"/>
        <v>事業用資産</v>
      </c>
      <c r="H5986" s="7" t="str">
        <f t="shared" si="2182"/>
        <v>棚卸以外</v>
      </c>
      <c r="I5986" s="7">
        <v>18</v>
      </c>
      <c r="J5986" s="7" t="str">
        <f>"温室"</f>
        <v>温室</v>
      </c>
      <c r="K5986" s="7" t="str">
        <f t="shared" si="2195"/>
        <v>鉄筋コンクリート造</v>
      </c>
      <c r="L5986" s="7" t="str">
        <f>"S54.07.10"</f>
        <v>S54.07.10</v>
      </c>
      <c r="M5986" s="7">
        <v>17.899999999999999</v>
      </c>
      <c r="N5986" s="7">
        <v>570000</v>
      </c>
      <c r="O5986" s="7">
        <v>569999</v>
      </c>
      <c r="P5986" s="7">
        <v>0</v>
      </c>
      <c r="Q5986" s="7" t="str">
        <f t="shared" si="2194"/>
        <v>教育庁</v>
      </c>
      <c r="R5986" s="7" t="str">
        <f t="shared" si="2192"/>
        <v>堺聴覚支援学校</v>
      </c>
    </row>
    <row r="5987" spans="1:18" s="1" customFormat="1" x14ac:dyDescent="0.45">
      <c r="A5987" s="7" t="str">
        <f t="shared" si="2188"/>
        <v>10497000500</v>
      </c>
      <c r="B5987" s="7" t="str">
        <f t="shared" si="2189"/>
        <v>堺聴覚支援学校</v>
      </c>
      <c r="C5987" s="7" t="str">
        <f t="shared" si="2187"/>
        <v>行政財産</v>
      </c>
      <c r="D5987" s="7" t="str">
        <f t="shared" si="2181"/>
        <v>学校</v>
      </c>
      <c r="E5987" s="7" t="str">
        <f t="shared" si="2190"/>
        <v>大阪府堺市　北区百舌鳥陵南町１丁</v>
      </c>
      <c r="F5987" s="7"/>
      <c r="G5987" s="7" t="str">
        <f t="shared" si="2193"/>
        <v>事業用資産</v>
      </c>
      <c r="H5987" s="7" t="str">
        <f t="shared" si="2182"/>
        <v>棚卸以外</v>
      </c>
      <c r="I5987" s="7">
        <v>19</v>
      </c>
      <c r="J5987" s="7" t="str">
        <f>"陶芸釜場"</f>
        <v>陶芸釜場</v>
      </c>
      <c r="K5987" s="7" t="str">
        <f>"コンクリートブロック造"</f>
        <v>コンクリートブロック造</v>
      </c>
      <c r="L5987" s="7" t="str">
        <f>"S55.03.31"</f>
        <v>S55.03.31</v>
      </c>
      <c r="M5987" s="7">
        <v>7.41</v>
      </c>
      <c r="N5987" s="7">
        <v>992000</v>
      </c>
      <c r="O5987" s="7">
        <v>991999</v>
      </c>
      <c r="P5987" s="7">
        <v>0</v>
      </c>
      <c r="Q5987" s="7" t="str">
        <f t="shared" si="2194"/>
        <v>教育庁</v>
      </c>
      <c r="R5987" s="7" t="str">
        <f t="shared" si="2192"/>
        <v>堺聴覚支援学校</v>
      </c>
    </row>
    <row r="5988" spans="1:18" s="1" customFormat="1" x14ac:dyDescent="0.45">
      <c r="A5988" s="7" t="str">
        <f t="shared" si="2188"/>
        <v>10497000500</v>
      </c>
      <c r="B5988" s="7" t="str">
        <f t="shared" si="2189"/>
        <v>堺聴覚支援学校</v>
      </c>
      <c r="C5988" s="7" t="str">
        <f t="shared" si="2187"/>
        <v>行政財産</v>
      </c>
      <c r="D5988" s="7" t="str">
        <f t="shared" si="2181"/>
        <v>学校</v>
      </c>
      <c r="E5988" s="7" t="str">
        <f t="shared" si="2190"/>
        <v>大阪府堺市　北区百舌鳥陵南町１丁</v>
      </c>
      <c r="F5988" s="7"/>
      <c r="G5988" s="7" t="str">
        <f t="shared" si="2193"/>
        <v>事業用資産</v>
      </c>
      <c r="H5988" s="7" t="str">
        <f t="shared" si="2182"/>
        <v>棚卸以外</v>
      </c>
      <c r="I5988" s="7">
        <v>20</v>
      </c>
      <c r="J5988" s="7" t="str">
        <f>"検収室"</f>
        <v>検収室</v>
      </c>
      <c r="K5988" s="7" t="str">
        <f t="shared" ref="K5988:K5997" si="2196">"鉄骨造"</f>
        <v>鉄骨造</v>
      </c>
      <c r="L5988" s="7" t="str">
        <f>"H18.08.18"</f>
        <v>H18.08.18</v>
      </c>
      <c r="M5988" s="7">
        <v>6.62</v>
      </c>
      <c r="N5988" s="7">
        <v>1627000</v>
      </c>
      <c r="O5988" s="7">
        <v>793612</v>
      </c>
      <c r="P5988" s="7">
        <v>0</v>
      </c>
      <c r="Q5988" s="7" t="str">
        <f t="shared" si="2194"/>
        <v>教育庁</v>
      </c>
      <c r="R5988" s="7" t="str">
        <f t="shared" si="2192"/>
        <v>堺聴覚支援学校</v>
      </c>
    </row>
    <row r="5989" spans="1:18" s="1" customFormat="1" x14ac:dyDescent="0.45">
      <c r="A5989" s="7" t="str">
        <f t="shared" ref="A5989:A6000" si="2197">"10498000000"</f>
        <v>10498000000</v>
      </c>
      <c r="B5989" s="7" t="str">
        <f t="shared" ref="B5989:B6000" si="2198">"堺支援学校"</f>
        <v>堺支援学校</v>
      </c>
      <c r="C5989" s="7" t="str">
        <f t="shared" si="2187"/>
        <v>行政財産</v>
      </c>
      <c r="D5989" s="7" t="str">
        <f t="shared" si="2181"/>
        <v>学校</v>
      </c>
      <c r="E5989" s="7" t="str">
        <f t="shared" ref="E5989:E6000" si="2199">"大阪府堺市　堺区東上野芝町１丁"</f>
        <v>大阪府堺市　堺区東上野芝町１丁</v>
      </c>
      <c r="F5989" s="7"/>
      <c r="G5989" s="7" t="str">
        <f t="shared" si="2193"/>
        <v>事業用資産</v>
      </c>
      <c r="H5989" s="7" t="str">
        <f t="shared" si="2182"/>
        <v>棚卸以外</v>
      </c>
      <c r="I5989" s="7">
        <v>35</v>
      </c>
      <c r="J5989" s="7" t="str">
        <f>"視聴覚教室同窓会館"</f>
        <v>視聴覚教室同窓会館</v>
      </c>
      <c r="K5989" s="7" t="str">
        <f t="shared" si="2196"/>
        <v>鉄骨造</v>
      </c>
      <c r="L5989" s="7" t="str">
        <f>"S41.03.25"</f>
        <v>S41.03.25</v>
      </c>
      <c r="M5989" s="7">
        <v>263.95999999999998</v>
      </c>
      <c r="N5989" s="7">
        <v>13059283</v>
      </c>
      <c r="O5989" s="7">
        <v>9489041</v>
      </c>
      <c r="P5989" s="7">
        <v>0</v>
      </c>
      <c r="Q5989" s="7" t="str">
        <f t="shared" si="2194"/>
        <v>教育庁</v>
      </c>
      <c r="R5989" s="7" t="str">
        <f t="shared" ref="R5989:R6000" si="2200">"堺支援学校"</f>
        <v>堺支援学校</v>
      </c>
    </row>
    <row r="5990" spans="1:18" s="1" customFormat="1" x14ac:dyDescent="0.45">
      <c r="A5990" s="7" t="str">
        <f t="shared" si="2197"/>
        <v>10498000000</v>
      </c>
      <c r="B5990" s="7" t="str">
        <f t="shared" si="2198"/>
        <v>堺支援学校</v>
      </c>
      <c r="C5990" s="7" t="str">
        <f t="shared" si="2187"/>
        <v>行政財産</v>
      </c>
      <c r="D5990" s="7" t="str">
        <f t="shared" si="2181"/>
        <v>学校</v>
      </c>
      <c r="E5990" s="7" t="str">
        <f t="shared" si="2199"/>
        <v>大阪府堺市　堺区東上野芝町１丁</v>
      </c>
      <c r="F5990" s="7"/>
      <c r="G5990" s="7" t="str">
        <f t="shared" si="2193"/>
        <v>事業用資産</v>
      </c>
      <c r="H5990" s="7" t="str">
        <f t="shared" si="2182"/>
        <v>棚卸以外</v>
      </c>
      <c r="I5990" s="7">
        <v>67</v>
      </c>
      <c r="J5990" s="7" t="str">
        <f>"１号館（玄関ポーチ）"</f>
        <v>１号館（玄関ポーチ）</v>
      </c>
      <c r="K5990" s="7" t="str">
        <f t="shared" si="2196"/>
        <v>鉄骨造</v>
      </c>
      <c r="L5990" s="7" t="str">
        <f>"S57.12.27"</f>
        <v>S57.12.27</v>
      </c>
      <c r="M5990" s="7">
        <v>2559.7399999999998</v>
      </c>
      <c r="N5990" s="7">
        <v>494099172</v>
      </c>
      <c r="O5990" s="7">
        <v>420427277</v>
      </c>
      <c r="P5990" s="7">
        <v>0</v>
      </c>
      <c r="Q5990" s="7" t="str">
        <f t="shared" si="2194"/>
        <v>教育庁</v>
      </c>
      <c r="R5990" s="7" t="str">
        <f t="shared" si="2200"/>
        <v>堺支援学校</v>
      </c>
    </row>
    <row r="5991" spans="1:18" s="1" customFormat="1" x14ac:dyDescent="0.45">
      <c r="A5991" s="7" t="str">
        <f t="shared" si="2197"/>
        <v>10498000000</v>
      </c>
      <c r="B5991" s="7" t="str">
        <f t="shared" si="2198"/>
        <v>堺支援学校</v>
      </c>
      <c r="C5991" s="7" t="str">
        <f t="shared" si="2187"/>
        <v>行政財産</v>
      </c>
      <c r="D5991" s="7" t="str">
        <f t="shared" si="2181"/>
        <v>学校</v>
      </c>
      <c r="E5991" s="7" t="str">
        <f t="shared" si="2199"/>
        <v>大阪府堺市　堺区東上野芝町１丁</v>
      </c>
      <c r="F5991" s="7"/>
      <c r="G5991" s="7" t="str">
        <f t="shared" si="2193"/>
        <v>事業用資産</v>
      </c>
      <c r="H5991" s="7" t="str">
        <f t="shared" si="2182"/>
        <v>棚卸以外</v>
      </c>
      <c r="I5991" s="7">
        <v>68</v>
      </c>
      <c r="J5991" s="7" t="str">
        <f>"設備棟"</f>
        <v>設備棟</v>
      </c>
      <c r="K5991" s="7" t="str">
        <f t="shared" si="2196"/>
        <v>鉄骨造</v>
      </c>
      <c r="L5991" s="7" t="str">
        <f>"S57.12.27"</f>
        <v>S57.12.27</v>
      </c>
      <c r="M5991" s="7">
        <v>210.4</v>
      </c>
      <c r="N5991" s="7">
        <v>100910069</v>
      </c>
      <c r="O5991" s="7">
        <v>87715069</v>
      </c>
      <c r="P5991" s="7">
        <v>0</v>
      </c>
      <c r="Q5991" s="7" t="str">
        <f t="shared" si="2194"/>
        <v>教育庁</v>
      </c>
      <c r="R5991" s="7" t="str">
        <f t="shared" si="2200"/>
        <v>堺支援学校</v>
      </c>
    </row>
    <row r="5992" spans="1:18" s="1" customFormat="1" x14ac:dyDescent="0.45">
      <c r="A5992" s="7" t="str">
        <f t="shared" si="2197"/>
        <v>10498000000</v>
      </c>
      <c r="B5992" s="7" t="str">
        <f t="shared" si="2198"/>
        <v>堺支援学校</v>
      </c>
      <c r="C5992" s="7" t="str">
        <f t="shared" si="2187"/>
        <v>行政財産</v>
      </c>
      <c r="D5992" s="7" t="str">
        <f t="shared" si="2181"/>
        <v>学校</v>
      </c>
      <c r="E5992" s="7" t="str">
        <f t="shared" si="2199"/>
        <v>大阪府堺市　堺区東上野芝町１丁</v>
      </c>
      <c r="F5992" s="7"/>
      <c r="G5992" s="7" t="str">
        <f t="shared" si="2193"/>
        <v>事業用資産</v>
      </c>
      <c r="H5992" s="7" t="str">
        <f t="shared" si="2182"/>
        <v>棚卸以外</v>
      </c>
      <c r="I5992" s="7">
        <v>69</v>
      </c>
      <c r="J5992" s="7" t="str">
        <f>"倉庫"</f>
        <v>倉庫</v>
      </c>
      <c r="K5992" s="7" t="str">
        <f t="shared" si="2196"/>
        <v>鉄骨造</v>
      </c>
      <c r="L5992" s="7" t="str">
        <f>"S57.12.27"</f>
        <v>S57.12.27</v>
      </c>
      <c r="M5992" s="7">
        <v>24.57</v>
      </c>
      <c r="N5992" s="7">
        <v>25801000</v>
      </c>
      <c r="O5992" s="7">
        <v>25800999</v>
      </c>
      <c r="P5992" s="7">
        <v>0</v>
      </c>
      <c r="Q5992" s="7" t="str">
        <f t="shared" si="2194"/>
        <v>教育庁</v>
      </c>
      <c r="R5992" s="7" t="str">
        <f t="shared" si="2200"/>
        <v>堺支援学校</v>
      </c>
    </row>
    <row r="5993" spans="1:18" s="1" customFormat="1" x14ac:dyDescent="0.45">
      <c r="A5993" s="7" t="str">
        <f t="shared" si="2197"/>
        <v>10498000000</v>
      </c>
      <c r="B5993" s="7" t="str">
        <f t="shared" si="2198"/>
        <v>堺支援学校</v>
      </c>
      <c r="C5993" s="7" t="str">
        <f t="shared" si="2187"/>
        <v>行政財産</v>
      </c>
      <c r="D5993" s="7" t="str">
        <f t="shared" si="2181"/>
        <v>学校</v>
      </c>
      <c r="E5993" s="7" t="str">
        <f t="shared" si="2199"/>
        <v>大阪府堺市　堺区東上野芝町１丁</v>
      </c>
      <c r="F5993" s="7"/>
      <c r="G5993" s="7" t="str">
        <f t="shared" si="2193"/>
        <v>事業用資産</v>
      </c>
      <c r="H5993" s="7" t="str">
        <f t="shared" si="2182"/>
        <v>棚卸以外</v>
      </c>
      <c r="I5993" s="7">
        <v>70</v>
      </c>
      <c r="J5993" s="7" t="str">
        <f>"２号館"</f>
        <v>２号館</v>
      </c>
      <c r="K5993" s="7" t="str">
        <f t="shared" si="2196"/>
        <v>鉄骨造</v>
      </c>
      <c r="L5993" s="7" t="str">
        <f>"S59.03.23"</f>
        <v>S59.03.23</v>
      </c>
      <c r="M5993" s="7">
        <v>2424</v>
      </c>
      <c r="N5993" s="7">
        <v>451062938</v>
      </c>
      <c r="O5993" s="7">
        <v>408075811</v>
      </c>
      <c r="P5993" s="7">
        <v>0</v>
      </c>
      <c r="Q5993" s="7" t="str">
        <f t="shared" si="2194"/>
        <v>教育庁</v>
      </c>
      <c r="R5993" s="7" t="str">
        <f t="shared" si="2200"/>
        <v>堺支援学校</v>
      </c>
    </row>
    <row r="5994" spans="1:18" s="1" customFormat="1" x14ac:dyDescent="0.45">
      <c r="A5994" s="7" t="str">
        <f t="shared" si="2197"/>
        <v>10498000000</v>
      </c>
      <c r="B5994" s="7" t="str">
        <f t="shared" si="2198"/>
        <v>堺支援学校</v>
      </c>
      <c r="C5994" s="7" t="str">
        <f t="shared" si="2187"/>
        <v>行政財産</v>
      </c>
      <c r="D5994" s="7" t="str">
        <f t="shared" si="2181"/>
        <v>学校</v>
      </c>
      <c r="E5994" s="7" t="str">
        <f t="shared" si="2199"/>
        <v>大阪府堺市　堺区東上野芝町１丁</v>
      </c>
      <c r="F5994" s="7"/>
      <c r="G5994" s="7" t="str">
        <f t="shared" si="2193"/>
        <v>事業用資産</v>
      </c>
      <c r="H5994" s="7" t="str">
        <f t="shared" si="2182"/>
        <v>棚卸以外</v>
      </c>
      <c r="I5994" s="7">
        <v>72</v>
      </c>
      <c r="J5994" s="7" t="str">
        <f>"３号館"</f>
        <v>３号館</v>
      </c>
      <c r="K5994" s="7" t="str">
        <f t="shared" si="2196"/>
        <v>鉄骨造</v>
      </c>
      <c r="L5994" s="7" t="str">
        <f>"S60.06.29"</f>
        <v>S60.06.29</v>
      </c>
      <c r="M5994" s="7">
        <v>3258.25</v>
      </c>
      <c r="N5994" s="7">
        <v>610942890</v>
      </c>
      <c r="O5994" s="7">
        <v>550449028</v>
      </c>
      <c r="P5994" s="7">
        <v>0</v>
      </c>
      <c r="Q5994" s="7" t="str">
        <f t="shared" si="2194"/>
        <v>教育庁</v>
      </c>
      <c r="R5994" s="7" t="str">
        <f t="shared" si="2200"/>
        <v>堺支援学校</v>
      </c>
    </row>
    <row r="5995" spans="1:18" s="1" customFormat="1" x14ac:dyDescent="0.45">
      <c r="A5995" s="7" t="str">
        <f t="shared" si="2197"/>
        <v>10498000000</v>
      </c>
      <c r="B5995" s="7" t="str">
        <f t="shared" si="2198"/>
        <v>堺支援学校</v>
      </c>
      <c r="C5995" s="7" t="str">
        <f t="shared" si="2187"/>
        <v>行政財産</v>
      </c>
      <c r="D5995" s="7" t="str">
        <f t="shared" si="2181"/>
        <v>学校</v>
      </c>
      <c r="E5995" s="7" t="str">
        <f t="shared" si="2199"/>
        <v>大阪府堺市　堺区東上野芝町１丁</v>
      </c>
      <c r="F5995" s="7"/>
      <c r="G5995" s="7" t="str">
        <f t="shared" si="2193"/>
        <v>事業用資産</v>
      </c>
      <c r="H5995" s="7" t="str">
        <f t="shared" si="2182"/>
        <v>棚卸以外</v>
      </c>
      <c r="I5995" s="7">
        <v>73</v>
      </c>
      <c r="J5995" s="7" t="str">
        <f>"４号館"</f>
        <v>４号館</v>
      </c>
      <c r="K5995" s="7" t="str">
        <f t="shared" si="2196"/>
        <v>鉄骨造</v>
      </c>
      <c r="L5995" s="7" t="str">
        <f>"S61.03.28"</f>
        <v>S61.03.28</v>
      </c>
      <c r="M5995" s="7">
        <v>879.56</v>
      </c>
      <c r="N5995" s="7">
        <v>184323006</v>
      </c>
      <c r="O5995" s="7">
        <v>177897195</v>
      </c>
      <c r="P5995" s="7">
        <v>0</v>
      </c>
      <c r="Q5995" s="7" t="str">
        <f t="shared" si="2194"/>
        <v>教育庁</v>
      </c>
      <c r="R5995" s="7" t="str">
        <f t="shared" si="2200"/>
        <v>堺支援学校</v>
      </c>
    </row>
    <row r="5996" spans="1:18" s="1" customFormat="1" x14ac:dyDescent="0.45">
      <c r="A5996" s="7" t="str">
        <f t="shared" si="2197"/>
        <v>10498000000</v>
      </c>
      <c r="B5996" s="7" t="str">
        <f t="shared" si="2198"/>
        <v>堺支援学校</v>
      </c>
      <c r="C5996" s="7" t="str">
        <f t="shared" si="2187"/>
        <v>行政財産</v>
      </c>
      <c r="D5996" s="7" t="str">
        <f t="shared" si="2181"/>
        <v>学校</v>
      </c>
      <c r="E5996" s="7" t="str">
        <f t="shared" si="2199"/>
        <v>大阪府堺市　堺区東上野芝町１丁</v>
      </c>
      <c r="F5996" s="7"/>
      <c r="G5996" s="7" t="str">
        <f t="shared" si="2193"/>
        <v>事業用資産</v>
      </c>
      <c r="H5996" s="7" t="str">
        <f t="shared" si="2182"/>
        <v>棚卸以外</v>
      </c>
      <c r="I5996" s="7">
        <v>74</v>
      </c>
      <c r="J5996" s="7" t="str">
        <f>"体育館"</f>
        <v>体育館</v>
      </c>
      <c r="K5996" s="7" t="str">
        <f t="shared" si="2196"/>
        <v>鉄骨造</v>
      </c>
      <c r="L5996" s="7" t="str">
        <f>"S62.02.25"</f>
        <v>S62.02.25</v>
      </c>
      <c r="M5996" s="7">
        <v>772.03</v>
      </c>
      <c r="N5996" s="7">
        <v>201994132</v>
      </c>
      <c r="O5996" s="7">
        <v>164001903</v>
      </c>
      <c r="P5996" s="7">
        <v>0</v>
      </c>
      <c r="Q5996" s="7" t="str">
        <f t="shared" si="2194"/>
        <v>教育庁</v>
      </c>
      <c r="R5996" s="7" t="str">
        <f t="shared" si="2200"/>
        <v>堺支援学校</v>
      </c>
    </row>
    <row r="5997" spans="1:18" s="1" customFormat="1" x14ac:dyDescent="0.45">
      <c r="A5997" s="7" t="str">
        <f t="shared" si="2197"/>
        <v>10498000000</v>
      </c>
      <c r="B5997" s="7" t="str">
        <f t="shared" si="2198"/>
        <v>堺支援学校</v>
      </c>
      <c r="C5997" s="7" t="str">
        <f t="shared" si="2187"/>
        <v>行政財産</v>
      </c>
      <c r="D5997" s="7" t="str">
        <f t="shared" si="2181"/>
        <v>学校</v>
      </c>
      <c r="E5997" s="7" t="str">
        <f t="shared" si="2199"/>
        <v>大阪府堺市　堺区東上野芝町１丁</v>
      </c>
      <c r="F5997" s="7"/>
      <c r="G5997" s="7" t="str">
        <f t="shared" si="2193"/>
        <v>事業用資産</v>
      </c>
      <c r="H5997" s="7" t="str">
        <f t="shared" si="2182"/>
        <v>棚卸以外</v>
      </c>
      <c r="I5997" s="7">
        <v>77</v>
      </c>
      <c r="J5997" s="7" t="str">
        <f>"スクールバス・特別棟"</f>
        <v>スクールバス・特別棟</v>
      </c>
      <c r="K5997" s="7" t="str">
        <f t="shared" si="2196"/>
        <v>鉄骨造</v>
      </c>
      <c r="L5997" s="7" t="str">
        <f>"S63.03.15"</f>
        <v>S63.03.15</v>
      </c>
      <c r="M5997" s="7">
        <v>1132.6600000000001</v>
      </c>
      <c r="N5997" s="7">
        <v>173747982</v>
      </c>
      <c r="O5997" s="7">
        <v>172616436</v>
      </c>
      <c r="P5997" s="7">
        <v>0</v>
      </c>
      <c r="Q5997" s="7" t="str">
        <f t="shared" si="2194"/>
        <v>教育庁</v>
      </c>
      <c r="R5997" s="7" t="str">
        <f t="shared" si="2200"/>
        <v>堺支援学校</v>
      </c>
    </row>
    <row r="5998" spans="1:18" s="1" customFormat="1" x14ac:dyDescent="0.45">
      <c r="A5998" s="7" t="str">
        <f t="shared" si="2197"/>
        <v>10498000000</v>
      </c>
      <c r="B5998" s="7" t="str">
        <f t="shared" si="2198"/>
        <v>堺支援学校</v>
      </c>
      <c r="C5998" s="7" t="str">
        <f t="shared" si="2187"/>
        <v>行政財産</v>
      </c>
      <c r="D5998" s="7" t="str">
        <f t="shared" si="2181"/>
        <v>学校</v>
      </c>
      <c r="E5998" s="7" t="str">
        <f t="shared" si="2199"/>
        <v>大阪府堺市　堺区東上野芝町１丁</v>
      </c>
      <c r="F5998" s="7"/>
      <c r="G5998" s="7" t="str">
        <f t="shared" si="2193"/>
        <v>事業用資産</v>
      </c>
      <c r="H5998" s="7" t="str">
        <f t="shared" si="2182"/>
        <v>棚卸以外</v>
      </c>
      <c r="I5998" s="7">
        <v>79</v>
      </c>
      <c r="J5998" s="7" t="str">
        <f>"作業棟"</f>
        <v>作業棟</v>
      </c>
      <c r="K5998" s="7" t="str">
        <f>"軽量鉄骨造"</f>
        <v>軽量鉄骨造</v>
      </c>
      <c r="L5998" s="7" t="str">
        <f>"H03.03.11"</f>
        <v>H03.03.11</v>
      </c>
      <c r="M5998" s="7">
        <v>522.5</v>
      </c>
      <c r="N5998" s="7">
        <v>89194141</v>
      </c>
      <c r="O5998" s="7">
        <v>86672101</v>
      </c>
      <c r="P5998" s="7">
        <v>0</v>
      </c>
      <c r="Q5998" s="7" t="str">
        <f t="shared" si="2194"/>
        <v>教育庁</v>
      </c>
      <c r="R5998" s="7" t="str">
        <f t="shared" si="2200"/>
        <v>堺支援学校</v>
      </c>
    </row>
    <row r="5999" spans="1:18" s="1" customFormat="1" x14ac:dyDescent="0.45">
      <c r="A5999" s="7" t="str">
        <f t="shared" si="2197"/>
        <v>10498000000</v>
      </c>
      <c r="B5999" s="7" t="str">
        <f t="shared" si="2198"/>
        <v>堺支援学校</v>
      </c>
      <c r="C5999" s="7" t="str">
        <f t="shared" si="2187"/>
        <v>行政財産</v>
      </c>
      <c r="D5999" s="7" t="str">
        <f t="shared" si="2181"/>
        <v>学校</v>
      </c>
      <c r="E5999" s="7" t="str">
        <f t="shared" si="2199"/>
        <v>大阪府堺市　堺区東上野芝町１丁</v>
      </c>
      <c r="F5999" s="7"/>
      <c r="G5999" s="7" t="str">
        <f t="shared" si="2193"/>
        <v>事業用資産</v>
      </c>
      <c r="H5999" s="7" t="str">
        <f t="shared" si="2182"/>
        <v>棚卸以外</v>
      </c>
      <c r="I5999" s="7">
        <v>80</v>
      </c>
      <c r="J5999" s="7" t="str">
        <f>"フ゜ール附属棟"</f>
        <v>フ゜ール附属棟</v>
      </c>
      <c r="K5999" s="7" t="str">
        <f>"軽量鉄骨造"</f>
        <v>軽量鉄骨造</v>
      </c>
      <c r="L5999" s="7" t="str">
        <f>"H06.03.31"</f>
        <v>H06.03.31</v>
      </c>
      <c r="M5999" s="7">
        <v>74.92</v>
      </c>
      <c r="N5999" s="7">
        <v>27196100</v>
      </c>
      <c r="O5999" s="7">
        <v>27078073</v>
      </c>
      <c r="P5999" s="7">
        <v>0</v>
      </c>
      <c r="Q5999" s="7" t="str">
        <f t="shared" si="2194"/>
        <v>教育庁</v>
      </c>
      <c r="R5999" s="7" t="str">
        <f t="shared" si="2200"/>
        <v>堺支援学校</v>
      </c>
    </row>
    <row r="6000" spans="1:18" s="1" customFormat="1" x14ac:dyDescent="0.45">
      <c r="A6000" s="7" t="str">
        <f t="shared" si="2197"/>
        <v>10498000000</v>
      </c>
      <c r="B6000" s="7" t="str">
        <f t="shared" si="2198"/>
        <v>堺支援学校</v>
      </c>
      <c r="C6000" s="7" t="str">
        <f t="shared" si="2187"/>
        <v>行政財産</v>
      </c>
      <c r="D6000" s="7" t="str">
        <f t="shared" si="2181"/>
        <v>学校</v>
      </c>
      <c r="E6000" s="7" t="str">
        <f t="shared" si="2199"/>
        <v>大阪府堺市　堺区東上野芝町１丁</v>
      </c>
      <c r="F6000" s="7"/>
      <c r="G6000" s="7" t="str">
        <f t="shared" si="2193"/>
        <v>事業用資産</v>
      </c>
      <c r="H6000" s="7" t="str">
        <f t="shared" si="2182"/>
        <v>棚卸以外</v>
      </c>
      <c r="I6000" s="7">
        <v>81</v>
      </c>
      <c r="J6000" s="7" t="str">
        <f>"５号館"</f>
        <v>５号館</v>
      </c>
      <c r="K6000" s="7" t="str">
        <f>"軽量鉄骨造"</f>
        <v>軽量鉄骨造</v>
      </c>
      <c r="L6000" s="7" t="str">
        <f>"H21.11.13"</f>
        <v>H21.11.13</v>
      </c>
      <c r="M6000" s="7">
        <v>692.32</v>
      </c>
      <c r="N6000" s="7">
        <v>70778735</v>
      </c>
      <c r="O6000" s="7">
        <v>32232271</v>
      </c>
      <c r="P6000" s="7">
        <v>0</v>
      </c>
      <c r="Q6000" s="7" t="str">
        <f t="shared" si="2194"/>
        <v>教育庁</v>
      </c>
      <c r="R6000" s="7" t="str">
        <f t="shared" si="2200"/>
        <v>堺支援学校</v>
      </c>
    </row>
    <row r="6001" spans="1:18" s="1" customFormat="1" x14ac:dyDescent="0.45">
      <c r="A6001" s="7" t="str">
        <f t="shared" ref="A6001:A6024" si="2201">"10499000000"</f>
        <v>10499000000</v>
      </c>
      <c r="B6001" s="7" t="str">
        <f t="shared" ref="B6001:B6024" si="2202">"茨木支援学校"</f>
        <v>茨木支援学校</v>
      </c>
      <c r="C6001" s="7" t="str">
        <f t="shared" si="2187"/>
        <v>行政財産</v>
      </c>
      <c r="D6001" s="7" t="str">
        <f t="shared" si="2181"/>
        <v>学校</v>
      </c>
      <c r="E6001" s="7" t="str">
        <f t="shared" ref="E6001:E6024" si="2203">"大阪府茨木市西福井４丁目"</f>
        <v>大阪府茨木市西福井４丁目</v>
      </c>
      <c r="F6001" s="7"/>
      <c r="G6001" s="7" t="str">
        <f t="shared" si="2193"/>
        <v>事業用資産</v>
      </c>
      <c r="H6001" s="7" t="str">
        <f t="shared" si="2182"/>
        <v>棚卸以外</v>
      </c>
      <c r="I6001" s="7">
        <v>1</v>
      </c>
      <c r="J6001" s="7" t="str">
        <f>"特別教室棟"</f>
        <v>特別教室棟</v>
      </c>
      <c r="K6001" s="7" t="str">
        <f>"鉄筋コンクリート造"</f>
        <v>鉄筋コンクリート造</v>
      </c>
      <c r="L6001" s="7" t="str">
        <f>"S45.04.01"</f>
        <v>S45.04.01</v>
      </c>
      <c r="M6001" s="7">
        <v>2091.6</v>
      </c>
      <c r="N6001" s="7">
        <v>173124339</v>
      </c>
      <c r="O6001" s="7">
        <v>138820392</v>
      </c>
      <c r="P6001" s="7">
        <v>0</v>
      </c>
      <c r="Q6001" s="7" t="str">
        <f t="shared" si="2194"/>
        <v>教育庁</v>
      </c>
      <c r="R6001" s="7" t="str">
        <f t="shared" ref="R6001:R6024" si="2204">"茨木支援学校"</f>
        <v>茨木支援学校</v>
      </c>
    </row>
    <row r="6002" spans="1:18" s="1" customFormat="1" x14ac:dyDescent="0.45">
      <c r="A6002" s="7" t="str">
        <f t="shared" si="2201"/>
        <v>10499000000</v>
      </c>
      <c r="B6002" s="7" t="str">
        <f t="shared" si="2202"/>
        <v>茨木支援学校</v>
      </c>
      <c r="C6002" s="7" t="str">
        <f t="shared" si="2187"/>
        <v>行政財産</v>
      </c>
      <c r="D6002" s="7" t="str">
        <f t="shared" si="2181"/>
        <v>学校</v>
      </c>
      <c r="E6002" s="7" t="str">
        <f t="shared" si="2203"/>
        <v>大阪府茨木市西福井４丁目</v>
      </c>
      <c r="F6002" s="7"/>
      <c r="G6002" s="7" t="str">
        <f t="shared" si="2193"/>
        <v>事業用資産</v>
      </c>
      <c r="H6002" s="7" t="str">
        <f t="shared" si="2182"/>
        <v>棚卸以外</v>
      </c>
      <c r="I6002" s="7">
        <v>4</v>
      </c>
      <c r="J6002" s="7" t="str">
        <f>"倉庫"</f>
        <v>倉庫</v>
      </c>
      <c r="K6002" s="7" t="str">
        <f>"コンクリートブロック造"</f>
        <v>コンクリートブロック造</v>
      </c>
      <c r="L6002" s="7" t="str">
        <f>"S45.04.01"</f>
        <v>S45.04.01</v>
      </c>
      <c r="M6002" s="7">
        <v>9.94</v>
      </c>
      <c r="N6002" s="7">
        <v>250000</v>
      </c>
      <c r="O6002" s="7">
        <v>249999</v>
      </c>
      <c r="P6002" s="7">
        <v>0</v>
      </c>
      <c r="Q6002" s="7" t="str">
        <f t="shared" si="2194"/>
        <v>教育庁</v>
      </c>
      <c r="R6002" s="7" t="str">
        <f t="shared" si="2204"/>
        <v>茨木支援学校</v>
      </c>
    </row>
    <row r="6003" spans="1:18" s="1" customFormat="1" x14ac:dyDescent="0.45">
      <c r="A6003" s="7" t="str">
        <f t="shared" si="2201"/>
        <v>10499000000</v>
      </c>
      <c r="B6003" s="7" t="str">
        <f t="shared" si="2202"/>
        <v>茨木支援学校</v>
      </c>
      <c r="C6003" s="7" t="str">
        <f t="shared" si="2187"/>
        <v>行政財産</v>
      </c>
      <c r="D6003" s="7" t="str">
        <f t="shared" si="2181"/>
        <v>学校</v>
      </c>
      <c r="E6003" s="7" t="str">
        <f t="shared" si="2203"/>
        <v>大阪府茨木市西福井４丁目</v>
      </c>
      <c r="F6003" s="7"/>
      <c r="G6003" s="7" t="str">
        <f t="shared" si="2193"/>
        <v>事業用資産</v>
      </c>
      <c r="H6003" s="7" t="str">
        <f t="shared" si="2182"/>
        <v>棚卸以外</v>
      </c>
      <c r="I6003" s="7">
        <v>5</v>
      </c>
      <c r="J6003" s="7" t="str">
        <f>"管理棟"</f>
        <v>管理棟</v>
      </c>
      <c r="K6003" s="7" t="str">
        <f>"鉄筋コンクリート造"</f>
        <v>鉄筋コンクリート造</v>
      </c>
      <c r="L6003" s="7" t="str">
        <f>"S46.02.15"</f>
        <v>S46.02.15</v>
      </c>
      <c r="M6003" s="7">
        <v>1176.57</v>
      </c>
      <c r="N6003" s="7">
        <v>266227920</v>
      </c>
      <c r="O6003" s="7">
        <v>130121566</v>
      </c>
      <c r="P6003" s="7">
        <v>0</v>
      </c>
      <c r="Q6003" s="7" t="str">
        <f t="shared" si="2194"/>
        <v>教育庁</v>
      </c>
      <c r="R6003" s="7" t="str">
        <f t="shared" si="2204"/>
        <v>茨木支援学校</v>
      </c>
    </row>
    <row r="6004" spans="1:18" s="1" customFormat="1" x14ac:dyDescent="0.45">
      <c r="A6004" s="7" t="str">
        <f t="shared" si="2201"/>
        <v>10499000000</v>
      </c>
      <c r="B6004" s="7" t="str">
        <f t="shared" si="2202"/>
        <v>茨木支援学校</v>
      </c>
      <c r="C6004" s="7" t="str">
        <f t="shared" si="2187"/>
        <v>行政財産</v>
      </c>
      <c r="D6004" s="7" t="str">
        <f t="shared" si="2181"/>
        <v>学校</v>
      </c>
      <c r="E6004" s="7" t="str">
        <f t="shared" si="2203"/>
        <v>大阪府茨木市西福井４丁目</v>
      </c>
      <c r="F6004" s="7"/>
      <c r="G6004" s="7" t="str">
        <f t="shared" si="2193"/>
        <v>事業用資産</v>
      </c>
      <c r="H6004" s="7" t="str">
        <f t="shared" si="2182"/>
        <v>棚卸以外</v>
      </c>
      <c r="I6004" s="7">
        <v>6</v>
      </c>
      <c r="J6004" s="7" t="str">
        <f>"中学部棟"</f>
        <v>中学部棟</v>
      </c>
      <c r="K6004" s="7" t="str">
        <f>"鉄筋コンクリート造"</f>
        <v>鉄筋コンクリート造</v>
      </c>
      <c r="L6004" s="7" t="str">
        <f>"S46.02.15"</f>
        <v>S46.02.15</v>
      </c>
      <c r="M6004" s="7">
        <v>1752</v>
      </c>
      <c r="N6004" s="7">
        <v>234572276</v>
      </c>
      <c r="O6004" s="7">
        <v>155142085</v>
      </c>
      <c r="P6004" s="7">
        <v>0</v>
      </c>
      <c r="Q6004" s="7" t="str">
        <f t="shared" si="2194"/>
        <v>教育庁</v>
      </c>
      <c r="R6004" s="7" t="str">
        <f t="shared" si="2204"/>
        <v>茨木支援学校</v>
      </c>
    </row>
    <row r="6005" spans="1:18" s="1" customFormat="1" x14ac:dyDescent="0.45">
      <c r="A6005" s="7" t="str">
        <f t="shared" si="2201"/>
        <v>10499000000</v>
      </c>
      <c r="B6005" s="7" t="str">
        <f t="shared" si="2202"/>
        <v>茨木支援学校</v>
      </c>
      <c r="C6005" s="7" t="str">
        <f t="shared" si="2187"/>
        <v>行政財産</v>
      </c>
      <c r="D6005" s="7" t="str">
        <f t="shared" si="2181"/>
        <v>学校</v>
      </c>
      <c r="E6005" s="7" t="str">
        <f t="shared" si="2203"/>
        <v>大阪府茨木市西福井４丁目</v>
      </c>
      <c r="F6005" s="7"/>
      <c r="G6005" s="7" t="str">
        <f t="shared" si="2193"/>
        <v>事業用資産</v>
      </c>
      <c r="H6005" s="7" t="str">
        <f t="shared" si="2182"/>
        <v>棚卸以外</v>
      </c>
      <c r="I6005" s="7">
        <v>7</v>
      </c>
      <c r="J6005" s="7" t="str">
        <f>"仮設昇降口"</f>
        <v>仮設昇降口</v>
      </c>
      <c r="K6005" s="7" t="str">
        <f>"鉄骨造"</f>
        <v>鉄骨造</v>
      </c>
      <c r="L6005" s="7" t="str">
        <f>"S46.02.15"</f>
        <v>S46.02.15</v>
      </c>
      <c r="M6005" s="7">
        <v>72</v>
      </c>
      <c r="N6005" s="7">
        <v>2130000</v>
      </c>
      <c r="O6005" s="7">
        <v>2129999</v>
      </c>
      <c r="P6005" s="7">
        <v>0</v>
      </c>
      <c r="Q6005" s="7" t="str">
        <f t="shared" si="2194"/>
        <v>教育庁</v>
      </c>
      <c r="R6005" s="7" t="str">
        <f t="shared" si="2204"/>
        <v>茨木支援学校</v>
      </c>
    </row>
    <row r="6006" spans="1:18" s="1" customFormat="1" x14ac:dyDescent="0.45">
      <c r="A6006" s="7" t="str">
        <f t="shared" si="2201"/>
        <v>10499000000</v>
      </c>
      <c r="B6006" s="7" t="str">
        <f t="shared" si="2202"/>
        <v>茨木支援学校</v>
      </c>
      <c r="C6006" s="7" t="str">
        <f t="shared" si="2187"/>
        <v>行政財産</v>
      </c>
      <c r="D6006" s="7" t="str">
        <f t="shared" si="2181"/>
        <v>学校</v>
      </c>
      <c r="E6006" s="7" t="str">
        <f t="shared" si="2203"/>
        <v>大阪府茨木市西福井４丁目</v>
      </c>
      <c r="F6006" s="7"/>
      <c r="G6006" s="7" t="str">
        <f t="shared" si="2193"/>
        <v>事業用資産</v>
      </c>
      <c r="H6006" s="7" t="str">
        <f t="shared" si="2182"/>
        <v>棚卸以外</v>
      </c>
      <c r="I6006" s="7">
        <v>8</v>
      </c>
      <c r="J6006" s="7" t="str">
        <f>"電気室"</f>
        <v>電気室</v>
      </c>
      <c r="K6006" s="7" t="str">
        <f>"鉄筋コンクリート造"</f>
        <v>鉄筋コンクリート造</v>
      </c>
      <c r="L6006" s="7" t="str">
        <f>"S46.02.15"</f>
        <v>S46.02.15</v>
      </c>
      <c r="M6006" s="7">
        <v>45</v>
      </c>
      <c r="N6006" s="7">
        <v>23153962</v>
      </c>
      <c r="O6006" s="7">
        <v>8961552</v>
      </c>
      <c r="P6006" s="7">
        <v>0</v>
      </c>
      <c r="Q6006" s="7" t="str">
        <f t="shared" si="2194"/>
        <v>教育庁</v>
      </c>
      <c r="R6006" s="7" t="str">
        <f t="shared" si="2204"/>
        <v>茨木支援学校</v>
      </c>
    </row>
    <row r="6007" spans="1:18" s="1" customFormat="1" x14ac:dyDescent="0.45">
      <c r="A6007" s="7" t="str">
        <f t="shared" si="2201"/>
        <v>10499000000</v>
      </c>
      <c r="B6007" s="7" t="str">
        <f t="shared" si="2202"/>
        <v>茨木支援学校</v>
      </c>
      <c r="C6007" s="7" t="str">
        <f t="shared" si="2187"/>
        <v>行政財産</v>
      </c>
      <c r="D6007" s="7" t="str">
        <f t="shared" si="2181"/>
        <v>学校</v>
      </c>
      <c r="E6007" s="7" t="str">
        <f t="shared" si="2203"/>
        <v>大阪府茨木市西福井４丁目</v>
      </c>
      <c r="F6007" s="7"/>
      <c r="G6007" s="7" t="str">
        <f t="shared" si="2193"/>
        <v>事業用資産</v>
      </c>
      <c r="H6007" s="7" t="str">
        <f t="shared" si="2182"/>
        <v>棚卸以外</v>
      </c>
      <c r="I6007" s="7">
        <v>9</v>
      </c>
      <c r="J6007" s="7" t="str">
        <f>"小学部棟"</f>
        <v>小学部棟</v>
      </c>
      <c r="K6007" s="7" t="str">
        <f>"鉄筋コンクリート造"</f>
        <v>鉄筋コンクリート造</v>
      </c>
      <c r="L6007" s="7" t="str">
        <f>"S47.03.15"</f>
        <v>S47.03.15</v>
      </c>
      <c r="M6007" s="7">
        <v>1465.55</v>
      </c>
      <c r="N6007" s="7">
        <v>239425244</v>
      </c>
      <c r="O6007" s="7">
        <v>141658475</v>
      </c>
      <c r="P6007" s="7">
        <v>0</v>
      </c>
      <c r="Q6007" s="7" t="str">
        <f t="shared" si="2194"/>
        <v>教育庁</v>
      </c>
      <c r="R6007" s="7" t="str">
        <f t="shared" si="2204"/>
        <v>茨木支援学校</v>
      </c>
    </row>
    <row r="6008" spans="1:18" s="1" customFormat="1" x14ac:dyDescent="0.45">
      <c r="A6008" s="7" t="str">
        <f t="shared" si="2201"/>
        <v>10499000000</v>
      </c>
      <c r="B6008" s="7" t="str">
        <f t="shared" si="2202"/>
        <v>茨木支援学校</v>
      </c>
      <c r="C6008" s="7" t="str">
        <f t="shared" si="2187"/>
        <v>行政財産</v>
      </c>
      <c r="D6008" s="7" t="str">
        <f t="shared" si="2181"/>
        <v>学校</v>
      </c>
      <c r="E6008" s="7" t="str">
        <f t="shared" si="2203"/>
        <v>大阪府茨木市西福井４丁目</v>
      </c>
      <c r="F6008" s="7"/>
      <c r="G6008" s="7" t="str">
        <f t="shared" si="2193"/>
        <v>事業用資産</v>
      </c>
      <c r="H6008" s="7" t="str">
        <f t="shared" si="2182"/>
        <v>棚卸以外</v>
      </c>
      <c r="I6008" s="7">
        <v>10</v>
      </c>
      <c r="J6008" s="7" t="str">
        <f>"厨房棟"</f>
        <v>厨房棟</v>
      </c>
      <c r="K6008" s="7" t="str">
        <f>"鉄筋コンクリート造"</f>
        <v>鉄筋コンクリート造</v>
      </c>
      <c r="L6008" s="7" t="str">
        <f>"S47.03.15"</f>
        <v>S47.03.15</v>
      </c>
      <c r="M6008" s="7">
        <v>519.54</v>
      </c>
      <c r="N6008" s="7">
        <v>51062610</v>
      </c>
      <c r="O6008" s="7">
        <v>46987271</v>
      </c>
      <c r="P6008" s="7">
        <v>0</v>
      </c>
      <c r="Q6008" s="7" t="str">
        <f t="shared" si="2194"/>
        <v>教育庁</v>
      </c>
      <c r="R6008" s="7" t="str">
        <f t="shared" si="2204"/>
        <v>茨木支援学校</v>
      </c>
    </row>
    <row r="6009" spans="1:18" s="1" customFormat="1" x14ac:dyDescent="0.45">
      <c r="A6009" s="7" t="str">
        <f t="shared" si="2201"/>
        <v>10499000000</v>
      </c>
      <c r="B6009" s="7" t="str">
        <f t="shared" si="2202"/>
        <v>茨木支援学校</v>
      </c>
      <c r="C6009" s="7" t="str">
        <f t="shared" si="2187"/>
        <v>行政財産</v>
      </c>
      <c r="D6009" s="7" t="str">
        <f t="shared" ref="D6009:D6072" si="2205">"学校"</f>
        <v>学校</v>
      </c>
      <c r="E6009" s="7" t="str">
        <f t="shared" si="2203"/>
        <v>大阪府茨木市西福井４丁目</v>
      </c>
      <c r="F6009" s="7"/>
      <c r="G6009" s="7" t="str">
        <f t="shared" si="2193"/>
        <v>事業用資産</v>
      </c>
      <c r="H6009" s="7" t="str">
        <f t="shared" si="2182"/>
        <v>棚卸以外</v>
      </c>
      <c r="I6009" s="7">
        <v>11</v>
      </c>
      <c r="J6009" s="7" t="str">
        <f>"受水槽ポンプ室"</f>
        <v>受水槽ポンプ室</v>
      </c>
      <c r="K6009" s="7" t="str">
        <f>"コンクリートブロック造"</f>
        <v>コンクリートブロック造</v>
      </c>
      <c r="L6009" s="7" t="str">
        <f>"S47.03.15"</f>
        <v>S47.03.15</v>
      </c>
      <c r="M6009" s="7">
        <v>39.86</v>
      </c>
      <c r="N6009" s="7">
        <v>1498596</v>
      </c>
      <c r="O6009" s="7">
        <v>1409787</v>
      </c>
      <c r="P6009" s="7">
        <v>0</v>
      </c>
      <c r="Q6009" s="7" t="str">
        <f t="shared" si="2194"/>
        <v>教育庁</v>
      </c>
      <c r="R6009" s="7" t="str">
        <f t="shared" si="2204"/>
        <v>茨木支援学校</v>
      </c>
    </row>
    <row r="6010" spans="1:18" s="1" customFormat="1" x14ac:dyDescent="0.45">
      <c r="A6010" s="7" t="str">
        <f t="shared" si="2201"/>
        <v>10499000000</v>
      </c>
      <c r="B6010" s="7" t="str">
        <f t="shared" si="2202"/>
        <v>茨木支援学校</v>
      </c>
      <c r="C6010" s="7" t="str">
        <f t="shared" si="2187"/>
        <v>行政財産</v>
      </c>
      <c r="D6010" s="7" t="str">
        <f t="shared" si="2205"/>
        <v>学校</v>
      </c>
      <c r="E6010" s="7" t="str">
        <f t="shared" si="2203"/>
        <v>大阪府茨木市西福井４丁目</v>
      </c>
      <c r="F6010" s="7"/>
      <c r="G6010" s="7" t="str">
        <f t="shared" si="2193"/>
        <v>事業用資産</v>
      </c>
      <c r="H6010" s="7" t="str">
        <f t="shared" si="2182"/>
        <v>棚卸以外</v>
      </c>
      <c r="I6010" s="7">
        <v>12</v>
      </c>
      <c r="J6010" s="7" t="str">
        <f>"車庫"</f>
        <v>車庫</v>
      </c>
      <c r="K6010" s="7" t="str">
        <f>"鉄骨造"</f>
        <v>鉄骨造</v>
      </c>
      <c r="L6010" s="7" t="str">
        <f>"S47.03.15"</f>
        <v>S47.03.15</v>
      </c>
      <c r="M6010" s="7">
        <v>54</v>
      </c>
      <c r="N6010" s="7">
        <v>959000</v>
      </c>
      <c r="O6010" s="7">
        <v>958999</v>
      </c>
      <c r="P6010" s="7">
        <v>0</v>
      </c>
      <c r="Q6010" s="7" t="str">
        <f t="shared" si="2194"/>
        <v>教育庁</v>
      </c>
      <c r="R6010" s="7" t="str">
        <f t="shared" si="2204"/>
        <v>茨木支援学校</v>
      </c>
    </row>
    <row r="6011" spans="1:18" s="1" customFormat="1" x14ac:dyDescent="0.45">
      <c r="A6011" s="7" t="str">
        <f t="shared" si="2201"/>
        <v>10499000000</v>
      </c>
      <c r="B6011" s="7" t="str">
        <f t="shared" si="2202"/>
        <v>茨木支援学校</v>
      </c>
      <c r="C6011" s="7" t="str">
        <f t="shared" si="2187"/>
        <v>行政財産</v>
      </c>
      <c r="D6011" s="7" t="str">
        <f t="shared" si="2205"/>
        <v>学校</v>
      </c>
      <c r="E6011" s="7" t="str">
        <f t="shared" si="2203"/>
        <v>大阪府茨木市西福井４丁目</v>
      </c>
      <c r="F6011" s="7"/>
      <c r="G6011" s="7" t="str">
        <f t="shared" si="2193"/>
        <v>事業用資産</v>
      </c>
      <c r="H6011" s="7" t="str">
        <f t="shared" si="2182"/>
        <v>棚卸以外</v>
      </c>
      <c r="I6011" s="7">
        <v>13</v>
      </c>
      <c r="J6011" s="7" t="str">
        <f>"高等部棟"</f>
        <v>高等部棟</v>
      </c>
      <c r="K6011" s="7" t="str">
        <f>"鉄筋コンクリート造"</f>
        <v>鉄筋コンクリート造</v>
      </c>
      <c r="L6011" s="7" t="str">
        <f>"S48.03.28"</f>
        <v>S48.03.28</v>
      </c>
      <c r="M6011" s="7">
        <v>2091.65</v>
      </c>
      <c r="N6011" s="7">
        <v>237751258</v>
      </c>
      <c r="O6011" s="7">
        <v>166688340</v>
      </c>
      <c r="P6011" s="7">
        <v>0</v>
      </c>
      <c r="Q6011" s="7" t="str">
        <f t="shared" si="2194"/>
        <v>教育庁</v>
      </c>
      <c r="R6011" s="7" t="str">
        <f t="shared" si="2204"/>
        <v>茨木支援学校</v>
      </c>
    </row>
    <row r="6012" spans="1:18" s="1" customFormat="1" x14ac:dyDescent="0.45">
      <c r="A6012" s="7" t="str">
        <f t="shared" si="2201"/>
        <v>10499000000</v>
      </c>
      <c r="B6012" s="7" t="str">
        <f t="shared" si="2202"/>
        <v>茨木支援学校</v>
      </c>
      <c r="C6012" s="7" t="str">
        <f t="shared" si="2187"/>
        <v>行政財産</v>
      </c>
      <c r="D6012" s="7" t="str">
        <f t="shared" si="2205"/>
        <v>学校</v>
      </c>
      <c r="E6012" s="7" t="str">
        <f t="shared" si="2203"/>
        <v>大阪府茨木市西福井４丁目</v>
      </c>
      <c r="F6012" s="7"/>
      <c r="G6012" s="7" t="str">
        <f t="shared" si="2193"/>
        <v>事業用資産</v>
      </c>
      <c r="H6012" s="7" t="str">
        <f t="shared" si="2182"/>
        <v>棚卸以外</v>
      </c>
      <c r="I6012" s="7">
        <v>14</v>
      </c>
      <c r="J6012" s="7" t="str">
        <f>"車庫"</f>
        <v>車庫</v>
      </c>
      <c r="K6012" s="7" t="str">
        <f>"鉄骨造"</f>
        <v>鉄骨造</v>
      </c>
      <c r="L6012" s="7" t="str">
        <f>"S48.03.28"</f>
        <v>S48.03.28</v>
      </c>
      <c r="M6012" s="7">
        <v>85.2</v>
      </c>
      <c r="N6012" s="7">
        <v>2507600</v>
      </c>
      <c r="O6012" s="7">
        <v>2507599</v>
      </c>
      <c r="P6012" s="7">
        <v>0</v>
      </c>
      <c r="Q6012" s="7" t="str">
        <f t="shared" si="2194"/>
        <v>教育庁</v>
      </c>
      <c r="R6012" s="7" t="str">
        <f t="shared" si="2204"/>
        <v>茨木支援学校</v>
      </c>
    </row>
    <row r="6013" spans="1:18" s="1" customFormat="1" x14ac:dyDescent="0.45">
      <c r="A6013" s="7" t="str">
        <f t="shared" si="2201"/>
        <v>10499000000</v>
      </c>
      <c r="B6013" s="7" t="str">
        <f t="shared" si="2202"/>
        <v>茨木支援学校</v>
      </c>
      <c r="C6013" s="7" t="str">
        <f t="shared" si="2187"/>
        <v>行政財産</v>
      </c>
      <c r="D6013" s="7" t="str">
        <f t="shared" si="2205"/>
        <v>学校</v>
      </c>
      <c r="E6013" s="7" t="str">
        <f t="shared" si="2203"/>
        <v>大阪府茨木市西福井４丁目</v>
      </c>
      <c r="F6013" s="7"/>
      <c r="G6013" s="7" t="str">
        <f t="shared" si="2193"/>
        <v>事業用資産</v>
      </c>
      <c r="H6013" s="7" t="str">
        <f t="shared" si="2182"/>
        <v>棚卸以外</v>
      </c>
      <c r="I6013" s="7">
        <v>15</v>
      </c>
      <c r="J6013" s="7" t="str">
        <f>"小学部低学年棟"</f>
        <v>小学部低学年棟</v>
      </c>
      <c r="K6013" s="7" t="str">
        <f>"鉄筋コンクリート造"</f>
        <v>鉄筋コンクリート造</v>
      </c>
      <c r="L6013" s="7" t="str">
        <f>"S49.05.31"</f>
        <v>S49.05.31</v>
      </c>
      <c r="M6013" s="7">
        <v>1419.4</v>
      </c>
      <c r="N6013" s="7">
        <v>171085931</v>
      </c>
      <c r="O6013" s="7">
        <v>161442903</v>
      </c>
      <c r="P6013" s="7">
        <v>0</v>
      </c>
      <c r="Q6013" s="7" t="str">
        <f t="shared" si="2194"/>
        <v>教育庁</v>
      </c>
      <c r="R6013" s="7" t="str">
        <f t="shared" si="2204"/>
        <v>茨木支援学校</v>
      </c>
    </row>
    <row r="6014" spans="1:18" s="1" customFormat="1" x14ac:dyDescent="0.45">
      <c r="A6014" s="7" t="str">
        <f t="shared" si="2201"/>
        <v>10499000000</v>
      </c>
      <c r="B6014" s="7" t="str">
        <f t="shared" si="2202"/>
        <v>茨木支援学校</v>
      </c>
      <c r="C6014" s="7" t="str">
        <f t="shared" si="2187"/>
        <v>行政財産</v>
      </c>
      <c r="D6014" s="7" t="str">
        <f t="shared" si="2205"/>
        <v>学校</v>
      </c>
      <c r="E6014" s="7" t="str">
        <f t="shared" si="2203"/>
        <v>大阪府茨木市西福井４丁目</v>
      </c>
      <c r="F6014" s="7"/>
      <c r="G6014" s="7" t="str">
        <f t="shared" si="2193"/>
        <v>事業用資産</v>
      </c>
      <c r="H6014" s="7" t="str">
        <f t="shared" si="2182"/>
        <v>棚卸以外</v>
      </c>
      <c r="I6014" s="7">
        <v>16</v>
      </c>
      <c r="J6014" s="7" t="str">
        <f>"屋内体育館"</f>
        <v>屋内体育館</v>
      </c>
      <c r="K6014" s="7" t="str">
        <f>"鉄筋コンクリート造"</f>
        <v>鉄筋コンクリート造</v>
      </c>
      <c r="L6014" s="7" t="str">
        <f>"S52.06.11"</f>
        <v>S52.06.11</v>
      </c>
      <c r="M6014" s="7">
        <v>823.36</v>
      </c>
      <c r="N6014" s="7">
        <v>154516897</v>
      </c>
      <c r="O6014" s="7">
        <v>95320096</v>
      </c>
      <c r="P6014" s="7">
        <v>0</v>
      </c>
      <c r="Q6014" s="7" t="str">
        <f t="shared" si="2194"/>
        <v>教育庁</v>
      </c>
      <c r="R6014" s="7" t="str">
        <f t="shared" si="2204"/>
        <v>茨木支援学校</v>
      </c>
    </row>
    <row r="6015" spans="1:18" s="1" customFormat="1" x14ac:dyDescent="0.45">
      <c r="A6015" s="7" t="str">
        <f t="shared" si="2201"/>
        <v>10499000000</v>
      </c>
      <c r="B6015" s="7" t="str">
        <f t="shared" si="2202"/>
        <v>茨木支援学校</v>
      </c>
      <c r="C6015" s="7" t="str">
        <f t="shared" si="2187"/>
        <v>行政財産</v>
      </c>
      <c r="D6015" s="7" t="str">
        <f t="shared" si="2205"/>
        <v>学校</v>
      </c>
      <c r="E6015" s="7" t="str">
        <f t="shared" si="2203"/>
        <v>大阪府茨木市西福井４丁目</v>
      </c>
      <c r="F6015" s="7"/>
      <c r="G6015" s="7" t="str">
        <f t="shared" si="2193"/>
        <v>事業用資産</v>
      </c>
      <c r="H6015" s="7" t="str">
        <f t="shared" si="2182"/>
        <v>棚卸以外</v>
      </c>
      <c r="I6015" s="7">
        <v>17</v>
      </c>
      <c r="J6015" s="7" t="str">
        <f>"発電気室"</f>
        <v>発電気室</v>
      </c>
      <c r="K6015" s="7" t="str">
        <f>"コンクリートブロック造"</f>
        <v>コンクリートブロック造</v>
      </c>
      <c r="L6015" s="7" t="str">
        <f>"S52.06.11"</f>
        <v>S52.06.11</v>
      </c>
      <c r="M6015" s="7">
        <v>8.8000000000000007</v>
      </c>
      <c r="N6015" s="7">
        <v>7624000</v>
      </c>
      <c r="O6015" s="7">
        <v>7623999</v>
      </c>
      <c r="P6015" s="7">
        <v>0</v>
      </c>
      <c r="Q6015" s="7" t="str">
        <f t="shared" si="2194"/>
        <v>教育庁</v>
      </c>
      <c r="R6015" s="7" t="str">
        <f t="shared" si="2204"/>
        <v>茨木支援学校</v>
      </c>
    </row>
    <row r="6016" spans="1:18" s="1" customFormat="1" x14ac:dyDescent="0.45">
      <c r="A6016" s="7" t="str">
        <f t="shared" si="2201"/>
        <v>10499000000</v>
      </c>
      <c r="B6016" s="7" t="str">
        <f t="shared" si="2202"/>
        <v>茨木支援学校</v>
      </c>
      <c r="C6016" s="7" t="str">
        <f t="shared" si="2187"/>
        <v>行政財産</v>
      </c>
      <c r="D6016" s="7" t="str">
        <f t="shared" si="2205"/>
        <v>学校</v>
      </c>
      <c r="E6016" s="7" t="str">
        <f t="shared" si="2203"/>
        <v>大阪府茨木市西福井４丁目</v>
      </c>
      <c r="F6016" s="7"/>
      <c r="G6016" s="7" t="str">
        <f t="shared" si="2193"/>
        <v>事業用資産</v>
      </c>
      <c r="H6016" s="7" t="str">
        <f t="shared" si="2182"/>
        <v>棚卸以外</v>
      </c>
      <c r="I6016" s="7">
        <v>18</v>
      </c>
      <c r="J6016" s="7" t="str">
        <f>"危険物倉庫"</f>
        <v>危険物倉庫</v>
      </c>
      <c r="K6016" s="7" t="str">
        <f>"軽量鉄骨造"</f>
        <v>軽量鉄骨造</v>
      </c>
      <c r="L6016" s="7" t="str">
        <f>"S59.03.31"</f>
        <v>S59.03.31</v>
      </c>
      <c r="M6016" s="7">
        <v>19.32</v>
      </c>
      <c r="N6016" s="7">
        <v>1550000</v>
      </c>
      <c r="O6016" s="7">
        <v>1549999</v>
      </c>
      <c r="P6016" s="7">
        <v>0</v>
      </c>
      <c r="Q6016" s="7" t="str">
        <f t="shared" si="2194"/>
        <v>教育庁</v>
      </c>
      <c r="R6016" s="7" t="str">
        <f t="shared" si="2204"/>
        <v>茨木支援学校</v>
      </c>
    </row>
    <row r="6017" spans="1:18" s="1" customFormat="1" x14ac:dyDescent="0.45">
      <c r="A6017" s="7" t="str">
        <f t="shared" si="2201"/>
        <v>10499000000</v>
      </c>
      <c r="B6017" s="7" t="str">
        <f t="shared" si="2202"/>
        <v>茨木支援学校</v>
      </c>
      <c r="C6017" s="7" t="str">
        <f t="shared" si="2187"/>
        <v>行政財産</v>
      </c>
      <c r="D6017" s="7" t="str">
        <f t="shared" si="2205"/>
        <v>学校</v>
      </c>
      <c r="E6017" s="7" t="str">
        <f t="shared" si="2203"/>
        <v>大阪府茨木市西福井４丁目</v>
      </c>
      <c r="F6017" s="7"/>
      <c r="G6017" s="7" t="str">
        <f t="shared" si="2193"/>
        <v>事業用資産</v>
      </c>
      <c r="H6017" s="7" t="str">
        <f t="shared" si="2182"/>
        <v>棚卸以外</v>
      </c>
      <c r="I6017" s="7">
        <v>19</v>
      </c>
      <c r="J6017" s="7" t="str">
        <f>"プ－ル附属棟Ⅰ"</f>
        <v>プ－ル附属棟Ⅰ</v>
      </c>
      <c r="K6017" s="7" t="str">
        <f>"鉄筋コンクリート造"</f>
        <v>鉄筋コンクリート造</v>
      </c>
      <c r="L6017" s="7" t="str">
        <f>"S60.03.30"</f>
        <v>S60.03.30</v>
      </c>
      <c r="M6017" s="7">
        <v>149.5</v>
      </c>
      <c r="N6017" s="7">
        <v>41597152</v>
      </c>
      <c r="O6017" s="7">
        <v>41126303</v>
      </c>
      <c r="P6017" s="7">
        <v>0</v>
      </c>
      <c r="Q6017" s="7" t="str">
        <f t="shared" si="2194"/>
        <v>教育庁</v>
      </c>
      <c r="R6017" s="7" t="str">
        <f t="shared" si="2204"/>
        <v>茨木支援学校</v>
      </c>
    </row>
    <row r="6018" spans="1:18" s="1" customFormat="1" x14ac:dyDescent="0.45">
      <c r="A6018" s="7" t="str">
        <f t="shared" si="2201"/>
        <v>10499000000</v>
      </c>
      <c r="B6018" s="7" t="str">
        <f t="shared" si="2202"/>
        <v>茨木支援学校</v>
      </c>
      <c r="C6018" s="7" t="str">
        <f t="shared" si="2187"/>
        <v>行政財産</v>
      </c>
      <c r="D6018" s="7" t="str">
        <f t="shared" si="2205"/>
        <v>学校</v>
      </c>
      <c r="E6018" s="7" t="str">
        <f t="shared" si="2203"/>
        <v>大阪府茨木市西福井４丁目</v>
      </c>
      <c r="F6018" s="7"/>
      <c r="G6018" s="7" t="str">
        <f t="shared" si="2193"/>
        <v>事業用資産</v>
      </c>
      <c r="H6018" s="7" t="str">
        <f t="shared" si="2182"/>
        <v>棚卸以外</v>
      </c>
      <c r="I6018" s="7">
        <v>20</v>
      </c>
      <c r="J6018" s="7" t="str">
        <f>"プ－ル附属棟Ⅱ"</f>
        <v>プ－ル附属棟Ⅱ</v>
      </c>
      <c r="K6018" s="7" t="str">
        <f>"鉄筋コンクリート造"</f>
        <v>鉄筋コンクリート造</v>
      </c>
      <c r="L6018" s="7" t="str">
        <f>"S60.03.30"</f>
        <v>S60.03.30</v>
      </c>
      <c r="M6018" s="7">
        <v>45.5</v>
      </c>
      <c r="N6018" s="7">
        <v>13710000</v>
      </c>
      <c r="O6018" s="7">
        <v>13709999</v>
      </c>
      <c r="P6018" s="7">
        <v>0</v>
      </c>
      <c r="Q6018" s="7" t="str">
        <f t="shared" si="2194"/>
        <v>教育庁</v>
      </c>
      <c r="R6018" s="7" t="str">
        <f t="shared" si="2204"/>
        <v>茨木支援学校</v>
      </c>
    </row>
    <row r="6019" spans="1:18" s="1" customFormat="1" x14ac:dyDescent="0.45">
      <c r="A6019" s="7" t="str">
        <f t="shared" si="2201"/>
        <v>10499000000</v>
      </c>
      <c r="B6019" s="7" t="str">
        <f t="shared" si="2202"/>
        <v>茨木支援学校</v>
      </c>
      <c r="C6019" s="7" t="str">
        <f t="shared" si="2187"/>
        <v>行政財産</v>
      </c>
      <c r="D6019" s="7" t="str">
        <f t="shared" si="2205"/>
        <v>学校</v>
      </c>
      <c r="E6019" s="7" t="str">
        <f t="shared" si="2203"/>
        <v>大阪府茨木市西福井４丁目</v>
      </c>
      <c r="F6019" s="7"/>
      <c r="G6019" s="7" t="str">
        <f t="shared" si="2193"/>
        <v>事業用資産</v>
      </c>
      <c r="H6019" s="7" t="str">
        <f t="shared" si="2182"/>
        <v>棚卸以外</v>
      </c>
      <c r="I6019" s="7">
        <v>22</v>
      </c>
      <c r="J6019" s="7" t="str">
        <f>"ゴミ置場"</f>
        <v>ゴミ置場</v>
      </c>
      <c r="K6019" s="7" t="str">
        <f>"レンガ、石積造"</f>
        <v>レンガ、石積造</v>
      </c>
      <c r="L6019" s="7" t="str">
        <f>"S61.03.11"</f>
        <v>S61.03.11</v>
      </c>
      <c r="M6019" s="7">
        <v>8.8699999999999992</v>
      </c>
      <c r="N6019" s="7">
        <v>833000</v>
      </c>
      <c r="O6019" s="7">
        <v>832999</v>
      </c>
      <c r="P6019" s="7">
        <v>0</v>
      </c>
      <c r="Q6019" s="7" t="str">
        <f t="shared" si="2194"/>
        <v>教育庁</v>
      </c>
      <c r="R6019" s="7" t="str">
        <f t="shared" si="2204"/>
        <v>茨木支援学校</v>
      </c>
    </row>
    <row r="6020" spans="1:18" s="1" customFormat="1" x14ac:dyDescent="0.45">
      <c r="A6020" s="7" t="str">
        <f t="shared" si="2201"/>
        <v>10499000000</v>
      </c>
      <c r="B6020" s="7" t="str">
        <f t="shared" si="2202"/>
        <v>茨木支援学校</v>
      </c>
      <c r="C6020" s="7" t="str">
        <f t="shared" si="2187"/>
        <v>行政財産</v>
      </c>
      <c r="D6020" s="7" t="str">
        <f t="shared" si="2205"/>
        <v>学校</v>
      </c>
      <c r="E6020" s="7" t="str">
        <f t="shared" si="2203"/>
        <v>大阪府茨木市西福井４丁目</v>
      </c>
      <c r="F6020" s="7"/>
      <c r="G6020" s="7" t="str">
        <f t="shared" si="2193"/>
        <v>事業用資産</v>
      </c>
      <c r="H6020" s="7" t="str">
        <f t="shared" ref="H6020:H6083" si="2206">"棚卸以外"</f>
        <v>棚卸以外</v>
      </c>
      <c r="I6020" s="7">
        <v>23</v>
      </c>
      <c r="J6020" s="7" t="str">
        <f>"倉庫"</f>
        <v>倉庫</v>
      </c>
      <c r="K6020" s="7" t="str">
        <f>"軽量鉄骨造"</f>
        <v>軽量鉄骨造</v>
      </c>
      <c r="L6020" s="7" t="str">
        <f>"H02.03.20"</f>
        <v>H02.03.20</v>
      </c>
      <c r="M6020" s="7">
        <v>28.39</v>
      </c>
      <c r="N6020" s="7">
        <v>990000</v>
      </c>
      <c r="O6020" s="7">
        <v>989999</v>
      </c>
      <c r="P6020" s="7">
        <v>0</v>
      </c>
      <c r="Q6020" s="7" t="str">
        <f t="shared" si="2194"/>
        <v>教育庁</v>
      </c>
      <c r="R6020" s="7" t="str">
        <f t="shared" si="2204"/>
        <v>茨木支援学校</v>
      </c>
    </row>
    <row r="6021" spans="1:18" s="1" customFormat="1" x14ac:dyDescent="0.45">
      <c r="A6021" s="7" t="str">
        <f t="shared" si="2201"/>
        <v>10499000000</v>
      </c>
      <c r="B6021" s="7" t="str">
        <f t="shared" si="2202"/>
        <v>茨木支援学校</v>
      </c>
      <c r="C6021" s="7" t="str">
        <f t="shared" si="2187"/>
        <v>行政財産</v>
      </c>
      <c r="D6021" s="7" t="str">
        <f t="shared" si="2205"/>
        <v>学校</v>
      </c>
      <c r="E6021" s="7" t="str">
        <f t="shared" si="2203"/>
        <v>大阪府茨木市西福井４丁目</v>
      </c>
      <c r="F6021" s="7"/>
      <c r="G6021" s="7" t="str">
        <f t="shared" si="2193"/>
        <v>事業用資産</v>
      </c>
      <c r="H6021" s="7" t="str">
        <f t="shared" si="2206"/>
        <v>棚卸以外</v>
      </c>
      <c r="I6021" s="7">
        <v>24</v>
      </c>
      <c r="J6021" s="7" t="str">
        <f>"作業棟"</f>
        <v>作業棟</v>
      </c>
      <c r="K6021" s="7" t="str">
        <f>"軽量鉄骨造"</f>
        <v>軽量鉄骨造</v>
      </c>
      <c r="L6021" s="7" t="str">
        <f>"H03.11.25"</f>
        <v>H03.11.25</v>
      </c>
      <c r="M6021" s="7">
        <v>628.95000000000005</v>
      </c>
      <c r="N6021" s="7">
        <v>102000464</v>
      </c>
      <c r="O6021" s="7">
        <v>97587376</v>
      </c>
      <c r="P6021" s="7">
        <v>0</v>
      </c>
      <c r="Q6021" s="7" t="str">
        <f t="shared" si="2194"/>
        <v>教育庁</v>
      </c>
      <c r="R6021" s="7" t="str">
        <f t="shared" si="2204"/>
        <v>茨木支援学校</v>
      </c>
    </row>
    <row r="6022" spans="1:18" s="1" customFormat="1" x14ac:dyDescent="0.45">
      <c r="A6022" s="7" t="str">
        <f t="shared" si="2201"/>
        <v>10499000000</v>
      </c>
      <c r="B6022" s="7" t="str">
        <f t="shared" si="2202"/>
        <v>茨木支援学校</v>
      </c>
      <c r="C6022" s="7" t="str">
        <f t="shared" si="2187"/>
        <v>行政財産</v>
      </c>
      <c r="D6022" s="7" t="str">
        <f t="shared" si="2205"/>
        <v>学校</v>
      </c>
      <c r="E6022" s="7" t="str">
        <f t="shared" si="2203"/>
        <v>大阪府茨木市西福井４丁目</v>
      </c>
      <c r="F6022" s="7"/>
      <c r="G6022" s="7" t="str">
        <f t="shared" si="2193"/>
        <v>事業用資産</v>
      </c>
      <c r="H6022" s="7" t="str">
        <f t="shared" si="2206"/>
        <v>棚卸以外</v>
      </c>
      <c r="I6022" s="7">
        <v>25</v>
      </c>
      <c r="J6022" s="7" t="str">
        <f>"屋外シャワー室"</f>
        <v>屋外シャワー室</v>
      </c>
      <c r="K6022" s="7" t="str">
        <f>"土蔵造(簡易建物)"</f>
        <v>土蔵造(簡易建物)</v>
      </c>
      <c r="L6022" s="7" t="str">
        <f>"S54.12.20"</f>
        <v>S54.12.20</v>
      </c>
      <c r="M6022" s="7">
        <v>2.68</v>
      </c>
      <c r="N6022" s="7">
        <v>360000</v>
      </c>
      <c r="O6022" s="7">
        <v>359999</v>
      </c>
      <c r="P6022" s="7">
        <v>0</v>
      </c>
      <c r="Q6022" s="7" t="str">
        <f t="shared" si="2194"/>
        <v>教育庁</v>
      </c>
      <c r="R6022" s="7" t="str">
        <f t="shared" si="2204"/>
        <v>茨木支援学校</v>
      </c>
    </row>
    <row r="6023" spans="1:18" s="1" customFormat="1" x14ac:dyDescent="0.45">
      <c r="A6023" s="7" t="str">
        <f t="shared" si="2201"/>
        <v>10499000000</v>
      </c>
      <c r="B6023" s="7" t="str">
        <f t="shared" si="2202"/>
        <v>茨木支援学校</v>
      </c>
      <c r="C6023" s="7" t="str">
        <f t="shared" si="2187"/>
        <v>行政財産</v>
      </c>
      <c r="D6023" s="7" t="str">
        <f t="shared" si="2205"/>
        <v>学校</v>
      </c>
      <c r="E6023" s="7" t="str">
        <f t="shared" si="2203"/>
        <v>大阪府茨木市西福井４丁目</v>
      </c>
      <c r="F6023" s="7"/>
      <c r="G6023" s="7" t="str">
        <f t="shared" si="2193"/>
        <v>事業用資産</v>
      </c>
      <c r="H6023" s="7" t="str">
        <f t="shared" si="2206"/>
        <v>棚卸以外</v>
      </c>
      <c r="I6023" s="7">
        <v>26</v>
      </c>
      <c r="J6023" s="7" t="str">
        <f>"倉庫"</f>
        <v>倉庫</v>
      </c>
      <c r="K6023" s="7" t="str">
        <f t="shared" ref="K6023:K6028" si="2207">"鉄筋コンクリート造"</f>
        <v>鉄筋コンクリート造</v>
      </c>
      <c r="L6023" s="7" t="str">
        <f>"H10.10.06"</f>
        <v>H10.10.06</v>
      </c>
      <c r="M6023" s="7">
        <v>8.41</v>
      </c>
      <c r="N6023" s="7">
        <v>2619000</v>
      </c>
      <c r="O6023" s="7">
        <v>1682992</v>
      </c>
      <c r="P6023" s="7">
        <v>0</v>
      </c>
      <c r="Q6023" s="7" t="str">
        <f t="shared" si="2194"/>
        <v>教育庁</v>
      </c>
      <c r="R6023" s="7" t="str">
        <f t="shared" si="2204"/>
        <v>茨木支援学校</v>
      </c>
    </row>
    <row r="6024" spans="1:18" s="1" customFormat="1" x14ac:dyDescent="0.45">
      <c r="A6024" s="7" t="str">
        <f t="shared" si="2201"/>
        <v>10499000000</v>
      </c>
      <c r="B6024" s="7" t="str">
        <f t="shared" si="2202"/>
        <v>茨木支援学校</v>
      </c>
      <c r="C6024" s="7" t="str">
        <f t="shared" si="2187"/>
        <v>行政財産</v>
      </c>
      <c r="D6024" s="7" t="str">
        <f t="shared" si="2205"/>
        <v>学校</v>
      </c>
      <c r="E6024" s="7" t="str">
        <f t="shared" si="2203"/>
        <v>大阪府茨木市西福井４丁目</v>
      </c>
      <c r="F6024" s="7"/>
      <c r="G6024" s="7" t="str">
        <f t="shared" si="2193"/>
        <v>事業用資産</v>
      </c>
      <c r="H6024" s="7" t="str">
        <f t="shared" si="2206"/>
        <v>棚卸以外</v>
      </c>
      <c r="I6024" s="7">
        <v>27</v>
      </c>
      <c r="J6024" s="7" t="str">
        <f>"倉庫"</f>
        <v>倉庫</v>
      </c>
      <c r="K6024" s="7" t="str">
        <f t="shared" si="2207"/>
        <v>鉄筋コンクリート造</v>
      </c>
      <c r="L6024" s="7" t="str">
        <f>"R02.08.12"</f>
        <v>R02.08.12</v>
      </c>
      <c r="M6024" s="7">
        <v>8.49</v>
      </c>
      <c r="N6024" s="7">
        <v>461000</v>
      </c>
      <c r="O6024" s="7">
        <v>31341</v>
      </c>
      <c r="P6024" s="7">
        <v>0</v>
      </c>
      <c r="Q6024" s="7" t="str">
        <f t="shared" si="2194"/>
        <v>教育庁</v>
      </c>
      <c r="R6024" s="7" t="str">
        <f t="shared" si="2204"/>
        <v>茨木支援学校</v>
      </c>
    </row>
    <row r="6025" spans="1:18" s="1" customFormat="1" x14ac:dyDescent="0.45">
      <c r="A6025" s="7" t="str">
        <f t="shared" ref="A6025:A6031" si="2208">"10500000000"</f>
        <v>10500000000</v>
      </c>
      <c r="B6025" s="7" t="str">
        <f t="shared" ref="B6025:B6031" si="2209">"東大阪支援学校"</f>
        <v>東大阪支援学校</v>
      </c>
      <c r="C6025" s="7" t="str">
        <f t="shared" si="2187"/>
        <v>行政財産</v>
      </c>
      <c r="D6025" s="7" t="str">
        <f t="shared" si="2205"/>
        <v>学校</v>
      </c>
      <c r="E6025" s="7" t="str">
        <f t="shared" ref="E6025:E6031" si="2210">"大阪府東大阪市中石切町３丁目"</f>
        <v>大阪府東大阪市中石切町３丁目</v>
      </c>
      <c r="F6025" s="7"/>
      <c r="G6025" s="7" t="str">
        <f t="shared" si="2193"/>
        <v>事業用資産</v>
      </c>
      <c r="H6025" s="7" t="str">
        <f t="shared" si="2206"/>
        <v>棚卸以外</v>
      </c>
      <c r="I6025" s="7">
        <v>1</v>
      </c>
      <c r="J6025" s="7" t="str">
        <f>"小学部管理訓練棟"</f>
        <v>小学部管理訓練棟</v>
      </c>
      <c r="K6025" s="7" t="str">
        <f t="shared" si="2207"/>
        <v>鉄筋コンクリート造</v>
      </c>
      <c r="L6025" s="7" t="str">
        <f>"S51.03.31"</f>
        <v>S51.03.31</v>
      </c>
      <c r="M6025" s="7">
        <v>4634.18</v>
      </c>
      <c r="N6025" s="7">
        <v>919988233</v>
      </c>
      <c r="O6025" s="7">
        <v>712673335</v>
      </c>
      <c r="P6025" s="7">
        <v>0</v>
      </c>
      <c r="Q6025" s="7" t="str">
        <f t="shared" si="2194"/>
        <v>教育庁</v>
      </c>
      <c r="R6025" s="7" t="str">
        <f t="shared" ref="R6025:R6031" si="2211">"東大阪支援学校"</f>
        <v>東大阪支援学校</v>
      </c>
    </row>
    <row r="6026" spans="1:18" s="1" customFormat="1" x14ac:dyDescent="0.45">
      <c r="A6026" s="7" t="str">
        <f t="shared" si="2208"/>
        <v>10500000000</v>
      </c>
      <c r="B6026" s="7" t="str">
        <f t="shared" si="2209"/>
        <v>東大阪支援学校</v>
      </c>
      <c r="C6026" s="7" t="str">
        <f t="shared" si="2187"/>
        <v>行政財産</v>
      </c>
      <c r="D6026" s="7" t="str">
        <f t="shared" si="2205"/>
        <v>学校</v>
      </c>
      <c r="E6026" s="7" t="str">
        <f t="shared" si="2210"/>
        <v>大阪府東大阪市中石切町３丁目</v>
      </c>
      <c r="F6026" s="7"/>
      <c r="G6026" s="7" t="str">
        <f t="shared" si="2193"/>
        <v>事業用資産</v>
      </c>
      <c r="H6026" s="7" t="str">
        <f t="shared" si="2206"/>
        <v>棚卸以外</v>
      </c>
      <c r="I6026" s="7">
        <v>2</v>
      </c>
      <c r="J6026" s="7" t="str">
        <f>"設備棟"</f>
        <v>設備棟</v>
      </c>
      <c r="K6026" s="7" t="str">
        <f t="shared" si="2207"/>
        <v>鉄筋コンクリート造</v>
      </c>
      <c r="L6026" s="7" t="str">
        <f>"S51.03.31"</f>
        <v>S51.03.31</v>
      </c>
      <c r="M6026" s="7">
        <v>175</v>
      </c>
      <c r="N6026" s="7">
        <v>69880081</v>
      </c>
      <c r="O6026" s="7">
        <v>65194473</v>
      </c>
      <c r="P6026" s="7">
        <v>0</v>
      </c>
      <c r="Q6026" s="7" t="str">
        <f t="shared" si="2194"/>
        <v>教育庁</v>
      </c>
      <c r="R6026" s="7" t="str">
        <f t="shared" si="2211"/>
        <v>東大阪支援学校</v>
      </c>
    </row>
    <row r="6027" spans="1:18" s="1" customFormat="1" x14ac:dyDescent="0.45">
      <c r="A6027" s="7" t="str">
        <f t="shared" si="2208"/>
        <v>10500000000</v>
      </c>
      <c r="B6027" s="7" t="str">
        <f t="shared" si="2209"/>
        <v>東大阪支援学校</v>
      </c>
      <c r="C6027" s="7" t="str">
        <f t="shared" si="2187"/>
        <v>行政財産</v>
      </c>
      <c r="D6027" s="7" t="str">
        <f t="shared" si="2205"/>
        <v>学校</v>
      </c>
      <c r="E6027" s="7" t="str">
        <f t="shared" si="2210"/>
        <v>大阪府東大阪市中石切町３丁目</v>
      </c>
      <c r="F6027" s="7"/>
      <c r="G6027" s="7" t="str">
        <f t="shared" si="2193"/>
        <v>事業用資産</v>
      </c>
      <c r="H6027" s="7" t="str">
        <f t="shared" si="2206"/>
        <v>棚卸以外</v>
      </c>
      <c r="I6027" s="7">
        <v>4</v>
      </c>
      <c r="J6027" s="7" t="str">
        <f>"特別教室棟"</f>
        <v>特別教室棟</v>
      </c>
      <c r="K6027" s="7" t="str">
        <f t="shared" si="2207"/>
        <v>鉄筋コンクリート造</v>
      </c>
      <c r="L6027" s="7" t="str">
        <f>"S52.11.10"</f>
        <v>S52.11.10</v>
      </c>
      <c r="M6027" s="7">
        <v>2967.3</v>
      </c>
      <c r="N6027" s="7">
        <v>581972781</v>
      </c>
      <c r="O6027" s="7">
        <v>490869883</v>
      </c>
      <c r="P6027" s="7">
        <v>0</v>
      </c>
      <c r="Q6027" s="7" t="str">
        <f t="shared" si="2194"/>
        <v>教育庁</v>
      </c>
      <c r="R6027" s="7" t="str">
        <f t="shared" si="2211"/>
        <v>東大阪支援学校</v>
      </c>
    </row>
    <row r="6028" spans="1:18" s="1" customFormat="1" x14ac:dyDescent="0.45">
      <c r="A6028" s="7" t="str">
        <f t="shared" si="2208"/>
        <v>10500000000</v>
      </c>
      <c r="B6028" s="7" t="str">
        <f t="shared" si="2209"/>
        <v>東大阪支援学校</v>
      </c>
      <c r="C6028" s="7" t="str">
        <f t="shared" si="2187"/>
        <v>行政財産</v>
      </c>
      <c r="D6028" s="7" t="str">
        <f t="shared" si="2205"/>
        <v>学校</v>
      </c>
      <c r="E6028" s="7" t="str">
        <f t="shared" si="2210"/>
        <v>大阪府東大阪市中石切町３丁目</v>
      </c>
      <c r="F6028" s="7"/>
      <c r="G6028" s="7" t="str">
        <f t="shared" si="2193"/>
        <v>事業用資産</v>
      </c>
      <c r="H6028" s="7" t="str">
        <f t="shared" si="2206"/>
        <v>棚卸以外</v>
      </c>
      <c r="I6028" s="7">
        <v>5</v>
      </c>
      <c r="J6028" s="7" t="str">
        <f>"体育館"</f>
        <v>体育館</v>
      </c>
      <c r="K6028" s="7" t="str">
        <f t="shared" si="2207"/>
        <v>鉄筋コンクリート造</v>
      </c>
      <c r="L6028" s="7" t="str">
        <f>"S58.03.31"</f>
        <v>S58.03.31</v>
      </c>
      <c r="M6028" s="7">
        <v>1005.63</v>
      </c>
      <c r="N6028" s="7">
        <v>195301937</v>
      </c>
      <c r="O6028" s="7">
        <v>142156327</v>
      </c>
      <c r="P6028" s="7">
        <v>0</v>
      </c>
      <c r="Q6028" s="7" t="str">
        <f t="shared" si="2194"/>
        <v>教育庁</v>
      </c>
      <c r="R6028" s="7" t="str">
        <f t="shared" si="2211"/>
        <v>東大阪支援学校</v>
      </c>
    </row>
    <row r="6029" spans="1:18" s="1" customFormat="1" x14ac:dyDescent="0.45">
      <c r="A6029" s="7" t="str">
        <f t="shared" si="2208"/>
        <v>10500000000</v>
      </c>
      <c r="B6029" s="7" t="str">
        <f t="shared" si="2209"/>
        <v>東大阪支援学校</v>
      </c>
      <c r="C6029" s="7" t="str">
        <f t="shared" ref="C6029:C6092" si="2212">"行政財産"</f>
        <v>行政財産</v>
      </c>
      <c r="D6029" s="7" t="str">
        <f t="shared" si="2205"/>
        <v>学校</v>
      </c>
      <c r="E6029" s="7" t="str">
        <f t="shared" si="2210"/>
        <v>大阪府東大阪市中石切町３丁目</v>
      </c>
      <c r="F6029" s="7"/>
      <c r="G6029" s="7" t="str">
        <f t="shared" si="2193"/>
        <v>事業用資産</v>
      </c>
      <c r="H6029" s="7" t="str">
        <f t="shared" si="2206"/>
        <v>棚卸以外</v>
      </c>
      <c r="I6029" s="7">
        <v>6</v>
      </c>
      <c r="J6029" s="7" t="str">
        <f>"作業棟"</f>
        <v>作業棟</v>
      </c>
      <c r="K6029" s="7" t="str">
        <f>"鉄骨造"</f>
        <v>鉄骨造</v>
      </c>
      <c r="L6029" s="7" t="str">
        <f>"H03.03.29"</f>
        <v>H03.03.29</v>
      </c>
      <c r="M6029" s="7">
        <v>491.85</v>
      </c>
      <c r="N6029" s="7">
        <v>85384801</v>
      </c>
      <c r="O6029" s="7">
        <v>76996733</v>
      </c>
      <c r="P6029" s="7">
        <v>0</v>
      </c>
      <c r="Q6029" s="7" t="str">
        <f t="shared" si="2194"/>
        <v>教育庁</v>
      </c>
      <c r="R6029" s="7" t="str">
        <f t="shared" si="2211"/>
        <v>東大阪支援学校</v>
      </c>
    </row>
    <row r="6030" spans="1:18" s="1" customFormat="1" x14ac:dyDescent="0.45">
      <c r="A6030" s="7" t="str">
        <f t="shared" si="2208"/>
        <v>10500000000</v>
      </c>
      <c r="B6030" s="7" t="str">
        <f t="shared" si="2209"/>
        <v>東大阪支援学校</v>
      </c>
      <c r="C6030" s="7" t="str">
        <f t="shared" si="2212"/>
        <v>行政財産</v>
      </c>
      <c r="D6030" s="7" t="str">
        <f t="shared" si="2205"/>
        <v>学校</v>
      </c>
      <c r="E6030" s="7" t="str">
        <f t="shared" si="2210"/>
        <v>大阪府東大阪市中石切町３丁目</v>
      </c>
      <c r="F6030" s="7"/>
      <c r="G6030" s="7" t="str">
        <f t="shared" si="2193"/>
        <v>事業用資産</v>
      </c>
      <c r="H6030" s="7" t="str">
        <f t="shared" si="2206"/>
        <v>棚卸以外</v>
      </c>
      <c r="I6030" s="7">
        <v>7</v>
      </c>
      <c r="J6030" s="7" t="str">
        <f>"倉庫"</f>
        <v>倉庫</v>
      </c>
      <c r="K6030" s="7" t="str">
        <f>"鉄骨造"</f>
        <v>鉄骨造</v>
      </c>
      <c r="L6030" s="7" t="str">
        <f>"H03.10.31"</f>
        <v>H03.10.31</v>
      </c>
      <c r="M6030" s="7">
        <v>24.3</v>
      </c>
      <c r="N6030" s="7">
        <v>980000</v>
      </c>
      <c r="O6030" s="7">
        <v>979999</v>
      </c>
      <c r="P6030" s="7">
        <v>0</v>
      </c>
      <c r="Q6030" s="7" t="str">
        <f t="shared" si="2194"/>
        <v>教育庁</v>
      </c>
      <c r="R6030" s="7" t="str">
        <f t="shared" si="2211"/>
        <v>東大阪支援学校</v>
      </c>
    </row>
    <row r="6031" spans="1:18" s="1" customFormat="1" x14ac:dyDescent="0.45">
      <c r="A6031" s="7" t="str">
        <f t="shared" si="2208"/>
        <v>10500000000</v>
      </c>
      <c r="B6031" s="7" t="str">
        <f t="shared" si="2209"/>
        <v>東大阪支援学校</v>
      </c>
      <c r="C6031" s="7" t="str">
        <f t="shared" si="2212"/>
        <v>行政財産</v>
      </c>
      <c r="D6031" s="7" t="str">
        <f t="shared" si="2205"/>
        <v>学校</v>
      </c>
      <c r="E6031" s="7" t="str">
        <f t="shared" si="2210"/>
        <v>大阪府東大阪市中石切町３丁目</v>
      </c>
      <c r="F6031" s="7"/>
      <c r="G6031" s="7" t="str">
        <f t="shared" si="2193"/>
        <v>事業用資産</v>
      </c>
      <c r="H6031" s="7" t="str">
        <f t="shared" si="2206"/>
        <v>棚卸以外</v>
      </c>
      <c r="I6031" s="7">
        <v>8</v>
      </c>
      <c r="J6031" s="7" t="str">
        <f>"プール附属棟"</f>
        <v>プール附属棟</v>
      </c>
      <c r="K6031" s="7" t="str">
        <f>"鉄筋コンクリート造"</f>
        <v>鉄筋コンクリート造</v>
      </c>
      <c r="L6031" s="7" t="str">
        <f>"H08.02.29"</f>
        <v>H08.02.29</v>
      </c>
      <c r="M6031" s="7">
        <v>101.25</v>
      </c>
      <c r="N6031" s="7">
        <v>35419000</v>
      </c>
      <c r="O6031" s="7">
        <v>25244050</v>
      </c>
      <c r="P6031" s="7">
        <v>0</v>
      </c>
      <c r="Q6031" s="7" t="str">
        <f t="shared" si="2194"/>
        <v>教育庁</v>
      </c>
      <c r="R6031" s="7" t="str">
        <f t="shared" si="2211"/>
        <v>東大阪支援学校</v>
      </c>
    </row>
    <row r="6032" spans="1:18" s="1" customFormat="1" x14ac:dyDescent="0.45">
      <c r="A6032" s="7" t="str">
        <f>"10501000000"</f>
        <v>10501000000</v>
      </c>
      <c r="B6032" s="7" t="str">
        <f>"岸和田支援学校"</f>
        <v>岸和田支援学校</v>
      </c>
      <c r="C6032" s="7" t="str">
        <f t="shared" si="2212"/>
        <v>行政財産</v>
      </c>
      <c r="D6032" s="7" t="str">
        <f t="shared" si="2205"/>
        <v>学校</v>
      </c>
      <c r="E6032" s="7" t="str">
        <f>"大阪府岸和田市土生町５丁目"</f>
        <v>大阪府岸和田市土生町５丁目</v>
      </c>
      <c r="F6032" s="7"/>
      <c r="G6032" s="7" t="str">
        <f t="shared" si="2193"/>
        <v>事業用資産</v>
      </c>
      <c r="H6032" s="7" t="str">
        <f t="shared" si="2206"/>
        <v>棚卸以外</v>
      </c>
      <c r="I6032" s="7">
        <v>1</v>
      </c>
      <c r="J6032" s="7" t="str">
        <f>"校舎棟"</f>
        <v>校舎棟</v>
      </c>
      <c r="K6032" s="7" t="str">
        <f>"鉄筋コンクリート造"</f>
        <v>鉄筋コンクリート造</v>
      </c>
      <c r="L6032" s="7" t="str">
        <f>"S54.06.30"</f>
        <v>S54.06.30</v>
      </c>
      <c r="M6032" s="7">
        <v>8029.05</v>
      </c>
      <c r="N6032" s="7">
        <v>1566645368</v>
      </c>
      <c r="O6032" s="7">
        <v>1344695097</v>
      </c>
      <c r="P6032" s="7">
        <v>0</v>
      </c>
      <c r="Q6032" s="7" t="str">
        <f t="shared" si="2194"/>
        <v>教育庁</v>
      </c>
      <c r="R6032" s="7" t="str">
        <f>"岸和田支援学校"</f>
        <v>岸和田支援学校</v>
      </c>
    </row>
    <row r="6033" spans="1:18" s="1" customFormat="1" x14ac:dyDescent="0.45">
      <c r="A6033" s="7" t="str">
        <f>"10501000000"</f>
        <v>10501000000</v>
      </c>
      <c r="B6033" s="7" t="str">
        <f>"岸和田支援学校"</f>
        <v>岸和田支援学校</v>
      </c>
      <c r="C6033" s="7" t="str">
        <f t="shared" si="2212"/>
        <v>行政財産</v>
      </c>
      <c r="D6033" s="7" t="str">
        <f t="shared" si="2205"/>
        <v>学校</v>
      </c>
      <c r="E6033" s="7" t="str">
        <f>"大阪府岸和田市土生町５丁目"</f>
        <v>大阪府岸和田市土生町５丁目</v>
      </c>
      <c r="F6033" s="7"/>
      <c r="G6033" s="7" t="str">
        <f t="shared" si="2193"/>
        <v>事業用資産</v>
      </c>
      <c r="H6033" s="7" t="str">
        <f t="shared" si="2206"/>
        <v>棚卸以外</v>
      </c>
      <c r="I6033" s="7">
        <v>2</v>
      </c>
      <c r="J6033" s="7" t="str">
        <f>"設備棟"</f>
        <v>設備棟</v>
      </c>
      <c r="K6033" s="7" t="str">
        <f>"鉄筋コンクリート造"</f>
        <v>鉄筋コンクリート造</v>
      </c>
      <c r="L6033" s="7" t="str">
        <f>"S54.06.30"</f>
        <v>S54.06.30</v>
      </c>
      <c r="M6033" s="7">
        <v>225</v>
      </c>
      <c r="N6033" s="7">
        <v>56356301</v>
      </c>
      <c r="O6033" s="7">
        <v>55710088</v>
      </c>
      <c r="P6033" s="7">
        <v>0</v>
      </c>
      <c r="Q6033" s="7" t="str">
        <f t="shared" si="2194"/>
        <v>教育庁</v>
      </c>
      <c r="R6033" s="7" t="str">
        <f>"岸和田支援学校"</f>
        <v>岸和田支援学校</v>
      </c>
    </row>
    <row r="6034" spans="1:18" s="1" customFormat="1" x14ac:dyDescent="0.45">
      <c r="A6034" s="7" t="str">
        <f>"10501000000"</f>
        <v>10501000000</v>
      </c>
      <c r="B6034" s="7" t="str">
        <f>"岸和田支援学校"</f>
        <v>岸和田支援学校</v>
      </c>
      <c r="C6034" s="7" t="str">
        <f t="shared" si="2212"/>
        <v>行政財産</v>
      </c>
      <c r="D6034" s="7" t="str">
        <f t="shared" si="2205"/>
        <v>学校</v>
      </c>
      <c r="E6034" s="7" t="str">
        <f>"大阪府岸和田市土生町５丁目"</f>
        <v>大阪府岸和田市土生町５丁目</v>
      </c>
      <c r="F6034" s="7"/>
      <c r="G6034" s="7" t="str">
        <f t="shared" si="2193"/>
        <v>事業用資産</v>
      </c>
      <c r="H6034" s="7" t="str">
        <f t="shared" si="2206"/>
        <v>棚卸以外</v>
      </c>
      <c r="I6034" s="7">
        <v>4</v>
      </c>
      <c r="J6034" s="7" t="str">
        <f>"プール管理棟"</f>
        <v>プール管理棟</v>
      </c>
      <c r="K6034" s="7" t="str">
        <f>"鉄筋コンクリート造"</f>
        <v>鉄筋コンクリート造</v>
      </c>
      <c r="L6034" s="7" t="str">
        <f>"H01.03.31"</f>
        <v>H01.03.31</v>
      </c>
      <c r="M6034" s="7">
        <v>90.55</v>
      </c>
      <c r="N6034" s="7">
        <v>39045000</v>
      </c>
      <c r="O6034" s="7">
        <v>28245432</v>
      </c>
      <c r="P6034" s="7">
        <v>0</v>
      </c>
      <c r="Q6034" s="7" t="str">
        <f t="shared" si="2194"/>
        <v>教育庁</v>
      </c>
      <c r="R6034" s="7" t="str">
        <f>"岸和田支援学校"</f>
        <v>岸和田支援学校</v>
      </c>
    </row>
    <row r="6035" spans="1:18" s="1" customFormat="1" x14ac:dyDescent="0.45">
      <c r="A6035" s="7" t="str">
        <f t="shared" ref="A6035:A6041" si="2213">"10502000000"</f>
        <v>10502000000</v>
      </c>
      <c r="B6035" s="7" t="str">
        <f t="shared" ref="B6035:B6041" si="2214">"藤井寺支援学校"</f>
        <v>藤井寺支援学校</v>
      </c>
      <c r="C6035" s="7" t="str">
        <f t="shared" si="2212"/>
        <v>行政財産</v>
      </c>
      <c r="D6035" s="7" t="str">
        <f t="shared" si="2205"/>
        <v>学校</v>
      </c>
      <c r="E6035" s="7" t="str">
        <f t="shared" ref="E6035:E6041" si="2215">"大阪府藤井寺市川北２丁目"</f>
        <v>大阪府藤井寺市川北２丁目</v>
      </c>
      <c r="F6035" s="7"/>
      <c r="G6035" s="7" t="str">
        <f t="shared" si="2193"/>
        <v>事業用資産</v>
      </c>
      <c r="H6035" s="7" t="str">
        <f t="shared" si="2206"/>
        <v>棚卸以外</v>
      </c>
      <c r="I6035" s="7">
        <v>1</v>
      </c>
      <c r="J6035" s="7" t="str">
        <f>"校舎棟"</f>
        <v>校舎棟</v>
      </c>
      <c r="K6035" s="7" t="str">
        <f>"鉄筋コンクリート造"</f>
        <v>鉄筋コンクリート造</v>
      </c>
      <c r="L6035" s="7" t="str">
        <f>"S56.03.31"</f>
        <v>S56.03.31</v>
      </c>
      <c r="M6035" s="7">
        <v>4231.46</v>
      </c>
      <c r="N6035" s="7">
        <v>963123976</v>
      </c>
      <c r="O6035" s="7">
        <v>771810488</v>
      </c>
      <c r="P6035" s="7">
        <v>0</v>
      </c>
      <c r="Q6035" s="7" t="str">
        <f t="shared" si="2194"/>
        <v>教育庁</v>
      </c>
      <c r="R6035" s="7" t="str">
        <f t="shared" ref="R6035:R6041" si="2216">"藤井寺支援学校"</f>
        <v>藤井寺支援学校</v>
      </c>
    </row>
    <row r="6036" spans="1:18" s="1" customFormat="1" x14ac:dyDescent="0.45">
      <c r="A6036" s="7" t="str">
        <f t="shared" si="2213"/>
        <v>10502000000</v>
      </c>
      <c r="B6036" s="7" t="str">
        <f t="shared" si="2214"/>
        <v>藤井寺支援学校</v>
      </c>
      <c r="C6036" s="7" t="str">
        <f t="shared" si="2212"/>
        <v>行政財産</v>
      </c>
      <c r="D6036" s="7" t="str">
        <f t="shared" si="2205"/>
        <v>学校</v>
      </c>
      <c r="E6036" s="7" t="str">
        <f t="shared" si="2215"/>
        <v>大阪府藤井寺市川北２丁目</v>
      </c>
      <c r="F6036" s="7"/>
      <c r="G6036" s="7" t="str">
        <f t="shared" si="2193"/>
        <v>事業用資産</v>
      </c>
      <c r="H6036" s="7" t="str">
        <f t="shared" si="2206"/>
        <v>棚卸以外</v>
      </c>
      <c r="I6036" s="7">
        <v>2</v>
      </c>
      <c r="J6036" s="7" t="str">
        <f>"設備棟"</f>
        <v>設備棟</v>
      </c>
      <c r="K6036" s="7" t="str">
        <f t="shared" ref="K6036:K6041" si="2217">"コンクリートブロック造"</f>
        <v>コンクリートブロック造</v>
      </c>
      <c r="L6036" s="7" t="str">
        <f>"S56.03.31"</f>
        <v>S56.03.31</v>
      </c>
      <c r="M6036" s="7">
        <v>202.42</v>
      </c>
      <c r="N6036" s="7">
        <v>90765000</v>
      </c>
      <c r="O6036" s="7">
        <v>89144131</v>
      </c>
      <c r="P6036" s="7">
        <v>0</v>
      </c>
      <c r="Q6036" s="7" t="str">
        <f t="shared" si="2194"/>
        <v>教育庁</v>
      </c>
      <c r="R6036" s="7" t="str">
        <f t="shared" si="2216"/>
        <v>藤井寺支援学校</v>
      </c>
    </row>
    <row r="6037" spans="1:18" s="1" customFormat="1" x14ac:dyDescent="0.45">
      <c r="A6037" s="7" t="str">
        <f t="shared" si="2213"/>
        <v>10502000000</v>
      </c>
      <c r="B6037" s="7" t="str">
        <f t="shared" si="2214"/>
        <v>藤井寺支援学校</v>
      </c>
      <c r="C6037" s="7" t="str">
        <f t="shared" si="2212"/>
        <v>行政財産</v>
      </c>
      <c r="D6037" s="7" t="str">
        <f t="shared" si="2205"/>
        <v>学校</v>
      </c>
      <c r="E6037" s="7" t="str">
        <f t="shared" si="2215"/>
        <v>大阪府藤井寺市川北２丁目</v>
      </c>
      <c r="F6037" s="7"/>
      <c r="G6037" s="7" t="str">
        <f t="shared" si="2193"/>
        <v>事業用資産</v>
      </c>
      <c r="H6037" s="7" t="str">
        <f t="shared" si="2206"/>
        <v>棚卸以外</v>
      </c>
      <c r="I6037" s="7">
        <v>3</v>
      </c>
      <c r="J6037" s="7" t="str">
        <f>"汚水処理場"</f>
        <v>汚水処理場</v>
      </c>
      <c r="K6037" s="7" t="str">
        <f t="shared" si="2217"/>
        <v>コンクリートブロック造</v>
      </c>
      <c r="L6037" s="7" t="str">
        <f>"S56.03.31"</f>
        <v>S56.03.31</v>
      </c>
      <c r="M6037" s="7">
        <v>16.53</v>
      </c>
      <c r="N6037" s="7">
        <v>18415000</v>
      </c>
      <c r="O6037" s="7">
        <v>18414999</v>
      </c>
      <c r="P6037" s="7">
        <v>0</v>
      </c>
      <c r="Q6037" s="7" t="str">
        <f t="shared" si="2194"/>
        <v>教育庁</v>
      </c>
      <c r="R6037" s="7" t="str">
        <f t="shared" si="2216"/>
        <v>藤井寺支援学校</v>
      </c>
    </row>
    <row r="6038" spans="1:18" s="1" customFormat="1" x14ac:dyDescent="0.45">
      <c r="A6038" s="7" t="str">
        <f t="shared" si="2213"/>
        <v>10502000000</v>
      </c>
      <c r="B6038" s="7" t="str">
        <f t="shared" si="2214"/>
        <v>藤井寺支援学校</v>
      </c>
      <c r="C6038" s="7" t="str">
        <f t="shared" si="2212"/>
        <v>行政財産</v>
      </c>
      <c r="D6038" s="7" t="str">
        <f t="shared" si="2205"/>
        <v>学校</v>
      </c>
      <c r="E6038" s="7" t="str">
        <f t="shared" si="2215"/>
        <v>大阪府藤井寺市川北２丁目</v>
      </c>
      <c r="F6038" s="7"/>
      <c r="G6038" s="7" t="str">
        <f t="shared" si="2193"/>
        <v>事業用資産</v>
      </c>
      <c r="H6038" s="7" t="str">
        <f t="shared" si="2206"/>
        <v>棚卸以外</v>
      </c>
      <c r="I6038" s="7">
        <v>4</v>
      </c>
      <c r="J6038" s="7" t="str">
        <f>"管理棟"</f>
        <v>管理棟</v>
      </c>
      <c r="K6038" s="7" t="str">
        <f t="shared" si="2217"/>
        <v>コンクリートブロック造</v>
      </c>
      <c r="L6038" s="7" t="str">
        <f>"S56.09.14"</f>
        <v>S56.09.14</v>
      </c>
      <c r="M6038" s="7">
        <v>2181.58</v>
      </c>
      <c r="N6038" s="7">
        <v>412317326</v>
      </c>
      <c r="O6038" s="7">
        <v>321151279</v>
      </c>
      <c r="P6038" s="7">
        <v>0</v>
      </c>
      <c r="Q6038" s="7" t="str">
        <f t="shared" si="2194"/>
        <v>教育庁</v>
      </c>
      <c r="R6038" s="7" t="str">
        <f t="shared" si="2216"/>
        <v>藤井寺支援学校</v>
      </c>
    </row>
    <row r="6039" spans="1:18" s="1" customFormat="1" x14ac:dyDescent="0.45">
      <c r="A6039" s="7" t="str">
        <f t="shared" si="2213"/>
        <v>10502000000</v>
      </c>
      <c r="B6039" s="7" t="str">
        <f t="shared" si="2214"/>
        <v>藤井寺支援学校</v>
      </c>
      <c r="C6039" s="7" t="str">
        <f t="shared" si="2212"/>
        <v>行政財産</v>
      </c>
      <c r="D6039" s="7" t="str">
        <f t="shared" si="2205"/>
        <v>学校</v>
      </c>
      <c r="E6039" s="7" t="str">
        <f t="shared" si="2215"/>
        <v>大阪府藤井寺市川北２丁目</v>
      </c>
      <c r="F6039" s="7"/>
      <c r="G6039" s="7" t="str">
        <f t="shared" ref="G6039:G6102" si="2218">"事業用資産"</f>
        <v>事業用資産</v>
      </c>
      <c r="H6039" s="7" t="str">
        <f t="shared" si="2206"/>
        <v>棚卸以外</v>
      </c>
      <c r="I6039" s="7">
        <v>5</v>
      </c>
      <c r="J6039" s="7" t="str">
        <f>"厨房コリドール棟"</f>
        <v>厨房コリドール棟</v>
      </c>
      <c r="K6039" s="7" t="str">
        <f t="shared" si="2217"/>
        <v>コンクリートブロック造</v>
      </c>
      <c r="L6039" s="7" t="str">
        <f>"S57.03.31"</f>
        <v>S57.03.31</v>
      </c>
      <c r="M6039" s="7">
        <v>695.37</v>
      </c>
      <c r="N6039" s="7">
        <v>132490677</v>
      </c>
      <c r="O6039" s="7">
        <v>99081333</v>
      </c>
      <c r="P6039" s="7">
        <v>0</v>
      </c>
      <c r="Q6039" s="7" t="str">
        <f t="shared" si="2194"/>
        <v>教育庁</v>
      </c>
      <c r="R6039" s="7" t="str">
        <f t="shared" si="2216"/>
        <v>藤井寺支援学校</v>
      </c>
    </row>
    <row r="6040" spans="1:18" s="1" customFormat="1" x14ac:dyDescent="0.45">
      <c r="A6040" s="7" t="str">
        <f t="shared" si="2213"/>
        <v>10502000000</v>
      </c>
      <c r="B6040" s="7" t="str">
        <f t="shared" si="2214"/>
        <v>藤井寺支援学校</v>
      </c>
      <c r="C6040" s="7" t="str">
        <f t="shared" si="2212"/>
        <v>行政財産</v>
      </c>
      <c r="D6040" s="7" t="str">
        <f t="shared" si="2205"/>
        <v>学校</v>
      </c>
      <c r="E6040" s="7" t="str">
        <f t="shared" si="2215"/>
        <v>大阪府藤井寺市川北２丁目</v>
      </c>
      <c r="F6040" s="7"/>
      <c r="G6040" s="7" t="str">
        <f t="shared" si="2218"/>
        <v>事業用資産</v>
      </c>
      <c r="H6040" s="7" t="str">
        <f t="shared" si="2206"/>
        <v>棚卸以外</v>
      </c>
      <c r="I6040" s="7">
        <v>6</v>
      </c>
      <c r="J6040" s="7" t="str">
        <f>"特別教室棟"</f>
        <v>特別教室棟</v>
      </c>
      <c r="K6040" s="7" t="str">
        <f t="shared" si="2217"/>
        <v>コンクリートブロック造</v>
      </c>
      <c r="L6040" s="7" t="str">
        <f>"S59.05.31"</f>
        <v>S59.05.31</v>
      </c>
      <c r="M6040" s="7">
        <v>1520.42</v>
      </c>
      <c r="N6040" s="7">
        <v>322083730</v>
      </c>
      <c r="O6040" s="7">
        <v>228507495</v>
      </c>
      <c r="P6040" s="7">
        <v>0</v>
      </c>
      <c r="Q6040" s="7" t="str">
        <f t="shared" si="2194"/>
        <v>教育庁</v>
      </c>
      <c r="R6040" s="7" t="str">
        <f t="shared" si="2216"/>
        <v>藤井寺支援学校</v>
      </c>
    </row>
    <row r="6041" spans="1:18" s="1" customFormat="1" x14ac:dyDescent="0.45">
      <c r="A6041" s="7" t="str">
        <f t="shared" si="2213"/>
        <v>10502000000</v>
      </c>
      <c r="B6041" s="7" t="str">
        <f t="shared" si="2214"/>
        <v>藤井寺支援学校</v>
      </c>
      <c r="C6041" s="7" t="str">
        <f t="shared" si="2212"/>
        <v>行政財産</v>
      </c>
      <c r="D6041" s="7" t="str">
        <f t="shared" si="2205"/>
        <v>学校</v>
      </c>
      <c r="E6041" s="7" t="str">
        <f t="shared" si="2215"/>
        <v>大阪府藤井寺市川北２丁目</v>
      </c>
      <c r="F6041" s="7"/>
      <c r="G6041" s="7" t="str">
        <f t="shared" si="2218"/>
        <v>事業用資産</v>
      </c>
      <c r="H6041" s="7" t="str">
        <f t="shared" si="2206"/>
        <v>棚卸以外</v>
      </c>
      <c r="I6041" s="7">
        <v>7</v>
      </c>
      <c r="J6041" s="7" t="str">
        <f>"プール棟"</f>
        <v>プール棟</v>
      </c>
      <c r="K6041" s="7" t="str">
        <f t="shared" si="2217"/>
        <v>コンクリートブロック造</v>
      </c>
      <c r="L6041" s="7" t="str">
        <f>"S62.03.19"</f>
        <v>S62.03.19</v>
      </c>
      <c r="M6041" s="7">
        <v>176.63</v>
      </c>
      <c r="N6041" s="7">
        <v>34472306</v>
      </c>
      <c r="O6041" s="7">
        <v>25996038</v>
      </c>
      <c r="P6041" s="7">
        <v>0</v>
      </c>
      <c r="Q6041" s="7" t="str">
        <f t="shared" si="2194"/>
        <v>教育庁</v>
      </c>
      <c r="R6041" s="7" t="str">
        <f t="shared" si="2216"/>
        <v>藤井寺支援学校</v>
      </c>
    </row>
    <row r="6042" spans="1:18" s="1" customFormat="1" x14ac:dyDescent="0.45">
      <c r="A6042" s="7" t="str">
        <f t="shared" ref="A6042:A6049" si="2219">"10503000000"</f>
        <v>10503000000</v>
      </c>
      <c r="B6042" s="7" t="str">
        <f t="shared" ref="B6042:B6049" si="2220">"交野支援学校"</f>
        <v>交野支援学校</v>
      </c>
      <c r="C6042" s="7" t="str">
        <f t="shared" si="2212"/>
        <v>行政財産</v>
      </c>
      <c r="D6042" s="7" t="str">
        <f t="shared" si="2205"/>
        <v>学校</v>
      </c>
      <c r="E6042" s="7" t="str">
        <f t="shared" ref="E6042:E6049" si="2221">"大阪府交野市寺４丁目"</f>
        <v>大阪府交野市寺４丁目</v>
      </c>
      <c r="F6042" s="7"/>
      <c r="G6042" s="7" t="str">
        <f t="shared" si="2218"/>
        <v>事業用資産</v>
      </c>
      <c r="H6042" s="7" t="str">
        <f t="shared" si="2206"/>
        <v>棚卸以外</v>
      </c>
      <c r="I6042" s="7">
        <v>1</v>
      </c>
      <c r="J6042" s="7" t="str">
        <f>"１号館"</f>
        <v>１号館</v>
      </c>
      <c r="K6042" s="7" t="str">
        <f t="shared" ref="K6042:K6054" si="2222">"鉄筋コンクリート造"</f>
        <v>鉄筋コンクリート造</v>
      </c>
      <c r="L6042" s="7" t="str">
        <f>"S56.08.25"</f>
        <v>S56.08.25</v>
      </c>
      <c r="M6042" s="7">
        <v>2653.83</v>
      </c>
      <c r="N6042" s="7">
        <v>554344132</v>
      </c>
      <c r="O6042" s="7">
        <v>457282137</v>
      </c>
      <c r="P6042" s="7">
        <v>0</v>
      </c>
      <c r="Q6042" s="7" t="str">
        <f t="shared" si="2194"/>
        <v>教育庁</v>
      </c>
      <c r="R6042" s="7" t="str">
        <f t="shared" ref="R6042:R6059" si="2223">"交野支援学校"</f>
        <v>交野支援学校</v>
      </c>
    </row>
    <row r="6043" spans="1:18" s="1" customFormat="1" x14ac:dyDescent="0.45">
      <c r="A6043" s="7" t="str">
        <f t="shared" si="2219"/>
        <v>10503000000</v>
      </c>
      <c r="B6043" s="7" t="str">
        <f t="shared" si="2220"/>
        <v>交野支援学校</v>
      </c>
      <c r="C6043" s="7" t="str">
        <f t="shared" si="2212"/>
        <v>行政財産</v>
      </c>
      <c r="D6043" s="7" t="str">
        <f t="shared" si="2205"/>
        <v>学校</v>
      </c>
      <c r="E6043" s="7" t="str">
        <f t="shared" si="2221"/>
        <v>大阪府交野市寺４丁目</v>
      </c>
      <c r="F6043" s="7"/>
      <c r="G6043" s="7" t="str">
        <f t="shared" si="2218"/>
        <v>事業用資産</v>
      </c>
      <c r="H6043" s="7" t="str">
        <f t="shared" si="2206"/>
        <v>棚卸以外</v>
      </c>
      <c r="I6043" s="7">
        <v>2</v>
      </c>
      <c r="J6043" s="7" t="str">
        <f>"設備棟"</f>
        <v>設備棟</v>
      </c>
      <c r="K6043" s="7" t="str">
        <f t="shared" si="2222"/>
        <v>鉄筋コンクリート造</v>
      </c>
      <c r="L6043" s="7" t="str">
        <f>"S56.08.25"</f>
        <v>S56.08.25</v>
      </c>
      <c r="M6043" s="7">
        <v>218.79</v>
      </c>
      <c r="N6043" s="7">
        <v>90148906</v>
      </c>
      <c r="O6043" s="7">
        <v>89736955</v>
      </c>
      <c r="P6043" s="7">
        <v>0</v>
      </c>
      <c r="Q6043" s="7" t="str">
        <f t="shared" ref="Q6043:Q6106" si="2224">"教育庁"</f>
        <v>教育庁</v>
      </c>
      <c r="R6043" s="7" t="str">
        <f t="shared" si="2223"/>
        <v>交野支援学校</v>
      </c>
    </row>
    <row r="6044" spans="1:18" s="1" customFormat="1" x14ac:dyDescent="0.45">
      <c r="A6044" s="7" t="str">
        <f t="shared" si="2219"/>
        <v>10503000000</v>
      </c>
      <c r="B6044" s="7" t="str">
        <f t="shared" si="2220"/>
        <v>交野支援学校</v>
      </c>
      <c r="C6044" s="7" t="str">
        <f t="shared" si="2212"/>
        <v>行政財産</v>
      </c>
      <c r="D6044" s="7" t="str">
        <f t="shared" si="2205"/>
        <v>学校</v>
      </c>
      <c r="E6044" s="7" t="str">
        <f t="shared" si="2221"/>
        <v>大阪府交野市寺４丁目</v>
      </c>
      <c r="F6044" s="7"/>
      <c r="G6044" s="7" t="str">
        <f t="shared" si="2218"/>
        <v>事業用資産</v>
      </c>
      <c r="H6044" s="7" t="str">
        <f t="shared" si="2206"/>
        <v>棚卸以外</v>
      </c>
      <c r="I6044" s="7">
        <v>3</v>
      </c>
      <c r="J6044" s="7" t="str">
        <f>"２号館"</f>
        <v>２号館</v>
      </c>
      <c r="K6044" s="7" t="str">
        <f t="shared" si="2222"/>
        <v>鉄筋コンクリート造</v>
      </c>
      <c r="L6044" s="7" t="str">
        <f>"S57.03.31"</f>
        <v>S57.03.31</v>
      </c>
      <c r="M6044" s="7">
        <v>2238.0700000000002</v>
      </c>
      <c r="N6044" s="7">
        <v>374859313</v>
      </c>
      <c r="O6044" s="7">
        <v>316853631</v>
      </c>
      <c r="P6044" s="7">
        <v>0</v>
      </c>
      <c r="Q6044" s="7" t="str">
        <f t="shared" si="2224"/>
        <v>教育庁</v>
      </c>
      <c r="R6044" s="7" t="str">
        <f t="shared" si="2223"/>
        <v>交野支援学校</v>
      </c>
    </row>
    <row r="6045" spans="1:18" s="1" customFormat="1" x14ac:dyDescent="0.45">
      <c r="A6045" s="7" t="str">
        <f t="shared" si="2219"/>
        <v>10503000000</v>
      </c>
      <c r="B6045" s="7" t="str">
        <f t="shared" si="2220"/>
        <v>交野支援学校</v>
      </c>
      <c r="C6045" s="7" t="str">
        <f t="shared" si="2212"/>
        <v>行政財産</v>
      </c>
      <c r="D6045" s="7" t="str">
        <f t="shared" si="2205"/>
        <v>学校</v>
      </c>
      <c r="E6045" s="7" t="str">
        <f t="shared" si="2221"/>
        <v>大阪府交野市寺４丁目</v>
      </c>
      <c r="F6045" s="7"/>
      <c r="G6045" s="7" t="str">
        <f t="shared" si="2218"/>
        <v>事業用資産</v>
      </c>
      <c r="H6045" s="7" t="str">
        <f t="shared" si="2206"/>
        <v>棚卸以外</v>
      </c>
      <c r="I6045" s="7">
        <v>4</v>
      </c>
      <c r="J6045" s="7" t="str">
        <f>"管理棟"</f>
        <v>管理棟</v>
      </c>
      <c r="K6045" s="7" t="str">
        <f t="shared" si="2222"/>
        <v>鉄筋コンクリート造</v>
      </c>
      <c r="L6045" s="7" t="str">
        <f>"S58.03.31"</f>
        <v>S58.03.31</v>
      </c>
      <c r="M6045" s="7">
        <v>2352.7399999999998</v>
      </c>
      <c r="N6045" s="7">
        <v>399682759</v>
      </c>
      <c r="O6045" s="7">
        <v>325791265</v>
      </c>
      <c r="P6045" s="7">
        <v>0</v>
      </c>
      <c r="Q6045" s="7" t="str">
        <f t="shared" si="2224"/>
        <v>教育庁</v>
      </c>
      <c r="R6045" s="7" t="str">
        <f t="shared" si="2223"/>
        <v>交野支援学校</v>
      </c>
    </row>
    <row r="6046" spans="1:18" s="1" customFormat="1" x14ac:dyDescent="0.45">
      <c r="A6046" s="7" t="str">
        <f t="shared" si="2219"/>
        <v>10503000000</v>
      </c>
      <c r="B6046" s="7" t="str">
        <f t="shared" si="2220"/>
        <v>交野支援学校</v>
      </c>
      <c r="C6046" s="7" t="str">
        <f t="shared" si="2212"/>
        <v>行政財産</v>
      </c>
      <c r="D6046" s="7" t="str">
        <f t="shared" si="2205"/>
        <v>学校</v>
      </c>
      <c r="E6046" s="7" t="str">
        <f t="shared" si="2221"/>
        <v>大阪府交野市寺４丁目</v>
      </c>
      <c r="F6046" s="7"/>
      <c r="G6046" s="7" t="str">
        <f t="shared" si="2218"/>
        <v>事業用資産</v>
      </c>
      <c r="H6046" s="7" t="str">
        <f t="shared" si="2206"/>
        <v>棚卸以外</v>
      </c>
      <c r="I6046" s="7">
        <v>5</v>
      </c>
      <c r="J6046" s="7" t="str">
        <f>"３号館"</f>
        <v>３号館</v>
      </c>
      <c r="K6046" s="7" t="str">
        <f t="shared" si="2222"/>
        <v>鉄筋コンクリート造</v>
      </c>
      <c r="L6046" s="7" t="str">
        <f>"S59.03.31"</f>
        <v>S59.03.31</v>
      </c>
      <c r="M6046" s="7">
        <v>1598.12</v>
      </c>
      <c r="N6046" s="7">
        <v>303681353</v>
      </c>
      <c r="O6046" s="7">
        <v>239493806</v>
      </c>
      <c r="P6046" s="7">
        <v>0</v>
      </c>
      <c r="Q6046" s="7" t="str">
        <f t="shared" si="2224"/>
        <v>教育庁</v>
      </c>
      <c r="R6046" s="7" t="str">
        <f t="shared" si="2223"/>
        <v>交野支援学校</v>
      </c>
    </row>
    <row r="6047" spans="1:18" s="1" customFormat="1" x14ac:dyDescent="0.45">
      <c r="A6047" s="7" t="str">
        <f t="shared" si="2219"/>
        <v>10503000000</v>
      </c>
      <c r="B6047" s="7" t="str">
        <f t="shared" si="2220"/>
        <v>交野支援学校</v>
      </c>
      <c r="C6047" s="7" t="str">
        <f t="shared" si="2212"/>
        <v>行政財産</v>
      </c>
      <c r="D6047" s="7" t="str">
        <f t="shared" si="2205"/>
        <v>学校</v>
      </c>
      <c r="E6047" s="7" t="str">
        <f t="shared" si="2221"/>
        <v>大阪府交野市寺４丁目</v>
      </c>
      <c r="F6047" s="7"/>
      <c r="G6047" s="7" t="str">
        <f t="shared" si="2218"/>
        <v>事業用資産</v>
      </c>
      <c r="H6047" s="7" t="str">
        <f t="shared" si="2206"/>
        <v>棚卸以外</v>
      </c>
      <c r="I6047" s="7">
        <v>6</v>
      </c>
      <c r="J6047" s="7" t="str">
        <f>"体育館"</f>
        <v>体育館</v>
      </c>
      <c r="K6047" s="7" t="str">
        <f t="shared" si="2222"/>
        <v>鉄筋コンクリート造</v>
      </c>
      <c r="L6047" s="7" t="str">
        <f>"S61.02.28"</f>
        <v>S61.02.28</v>
      </c>
      <c r="M6047" s="7">
        <v>947.44</v>
      </c>
      <c r="N6047" s="7">
        <v>239166094</v>
      </c>
      <c r="O6047" s="7">
        <v>162701549</v>
      </c>
      <c r="P6047" s="7">
        <v>0</v>
      </c>
      <c r="Q6047" s="7" t="str">
        <f t="shared" si="2224"/>
        <v>教育庁</v>
      </c>
      <c r="R6047" s="7" t="str">
        <f t="shared" si="2223"/>
        <v>交野支援学校</v>
      </c>
    </row>
    <row r="6048" spans="1:18" s="1" customFormat="1" x14ac:dyDescent="0.45">
      <c r="A6048" s="7" t="str">
        <f t="shared" si="2219"/>
        <v>10503000000</v>
      </c>
      <c r="B6048" s="7" t="str">
        <f t="shared" si="2220"/>
        <v>交野支援学校</v>
      </c>
      <c r="C6048" s="7" t="str">
        <f t="shared" si="2212"/>
        <v>行政財産</v>
      </c>
      <c r="D6048" s="7" t="str">
        <f t="shared" si="2205"/>
        <v>学校</v>
      </c>
      <c r="E6048" s="7" t="str">
        <f t="shared" si="2221"/>
        <v>大阪府交野市寺４丁目</v>
      </c>
      <c r="F6048" s="7"/>
      <c r="G6048" s="7" t="str">
        <f t="shared" si="2218"/>
        <v>事業用資産</v>
      </c>
      <c r="H6048" s="7" t="str">
        <f t="shared" si="2206"/>
        <v>棚卸以外</v>
      </c>
      <c r="I6048" s="7">
        <v>7</v>
      </c>
      <c r="J6048" s="7" t="str">
        <f>"プ―ル附属棟"</f>
        <v>プ―ル附属棟</v>
      </c>
      <c r="K6048" s="7" t="str">
        <f t="shared" si="2222"/>
        <v>鉄筋コンクリート造</v>
      </c>
      <c r="L6048" s="7" t="str">
        <f>"S63.03.31"</f>
        <v>S63.03.31</v>
      </c>
      <c r="M6048" s="7">
        <v>80.239999999999995</v>
      </c>
      <c r="N6048" s="7">
        <v>43971870</v>
      </c>
      <c r="O6048" s="7">
        <v>32785409</v>
      </c>
      <c r="P6048" s="7">
        <v>0</v>
      </c>
      <c r="Q6048" s="7" t="str">
        <f t="shared" si="2224"/>
        <v>教育庁</v>
      </c>
      <c r="R6048" s="7" t="str">
        <f t="shared" si="2223"/>
        <v>交野支援学校</v>
      </c>
    </row>
    <row r="6049" spans="1:18" s="1" customFormat="1" x14ac:dyDescent="0.45">
      <c r="A6049" s="7" t="str">
        <f t="shared" si="2219"/>
        <v>10503000000</v>
      </c>
      <c r="B6049" s="7" t="str">
        <f t="shared" si="2220"/>
        <v>交野支援学校</v>
      </c>
      <c r="C6049" s="7" t="str">
        <f t="shared" si="2212"/>
        <v>行政財産</v>
      </c>
      <c r="D6049" s="7" t="str">
        <f t="shared" si="2205"/>
        <v>学校</v>
      </c>
      <c r="E6049" s="7" t="str">
        <f t="shared" si="2221"/>
        <v>大阪府交野市寺４丁目</v>
      </c>
      <c r="F6049" s="7"/>
      <c r="G6049" s="7" t="str">
        <f t="shared" si="2218"/>
        <v>事業用資産</v>
      </c>
      <c r="H6049" s="7" t="str">
        <f t="shared" si="2206"/>
        <v>棚卸以外</v>
      </c>
      <c r="I6049" s="7">
        <v>8</v>
      </c>
      <c r="J6049" s="7" t="str">
        <f>"プ―ル機械室棟"</f>
        <v>プ―ル機械室棟</v>
      </c>
      <c r="K6049" s="7" t="str">
        <f t="shared" si="2222"/>
        <v>鉄筋コンクリート造</v>
      </c>
      <c r="L6049" s="7" t="str">
        <f>"S63.03.31"</f>
        <v>S63.03.31</v>
      </c>
      <c r="M6049" s="7">
        <v>20</v>
      </c>
      <c r="N6049" s="7">
        <v>10170036</v>
      </c>
      <c r="O6049" s="7">
        <v>8915125</v>
      </c>
      <c r="P6049" s="7">
        <v>0</v>
      </c>
      <c r="Q6049" s="7" t="str">
        <f t="shared" si="2224"/>
        <v>教育庁</v>
      </c>
      <c r="R6049" s="7" t="str">
        <f t="shared" si="2223"/>
        <v>交野支援学校</v>
      </c>
    </row>
    <row r="6050" spans="1:18" s="1" customFormat="1" x14ac:dyDescent="0.45">
      <c r="A6050" s="7" t="str">
        <f t="shared" ref="A6050:A6059" si="2225">"10503000093"</f>
        <v>10503000093</v>
      </c>
      <c r="B6050" s="7" t="str">
        <f t="shared" ref="B6050:B6059" si="2226">"交野支援学校四條畷校"</f>
        <v>交野支援学校四條畷校</v>
      </c>
      <c r="C6050" s="7" t="str">
        <f t="shared" si="2212"/>
        <v>行政財産</v>
      </c>
      <c r="D6050" s="7" t="str">
        <f t="shared" si="2205"/>
        <v>学校</v>
      </c>
      <c r="E6050" s="7" t="str">
        <f t="shared" ref="E6050:E6059" si="2227">"大阪府四條畷市大字砂"</f>
        <v>大阪府四條畷市大字砂</v>
      </c>
      <c r="F6050" s="7"/>
      <c r="G6050" s="7" t="str">
        <f t="shared" si="2218"/>
        <v>事業用資産</v>
      </c>
      <c r="H6050" s="7" t="str">
        <f t="shared" si="2206"/>
        <v>棚卸以外</v>
      </c>
      <c r="I6050" s="7">
        <v>1</v>
      </c>
      <c r="J6050" s="7" t="str">
        <f>"校舎棟"</f>
        <v>校舎棟</v>
      </c>
      <c r="K6050" s="7" t="str">
        <f t="shared" si="2222"/>
        <v>鉄筋コンクリート造</v>
      </c>
      <c r="L6050" s="7" t="str">
        <f>"S58.03.31"</f>
        <v>S58.03.31</v>
      </c>
      <c r="M6050" s="7">
        <v>11017.32</v>
      </c>
      <c r="N6050" s="7">
        <v>1644057558</v>
      </c>
      <c r="O6050" s="7">
        <v>1300150953</v>
      </c>
      <c r="P6050" s="7">
        <v>0</v>
      </c>
      <c r="Q6050" s="7" t="str">
        <f t="shared" si="2224"/>
        <v>教育庁</v>
      </c>
      <c r="R6050" s="7" t="str">
        <f t="shared" si="2223"/>
        <v>交野支援学校</v>
      </c>
    </row>
    <row r="6051" spans="1:18" s="1" customFormat="1" x14ac:dyDescent="0.45">
      <c r="A6051" s="7" t="str">
        <f t="shared" si="2225"/>
        <v>10503000093</v>
      </c>
      <c r="B6051" s="7" t="str">
        <f t="shared" si="2226"/>
        <v>交野支援学校四條畷校</v>
      </c>
      <c r="C6051" s="7" t="str">
        <f t="shared" si="2212"/>
        <v>行政財産</v>
      </c>
      <c r="D6051" s="7" t="str">
        <f t="shared" si="2205"/>
        <v>学校</v>
      </c>
      <c r="E6051" s="7" t="str">
        <f t="shared" si="2227"/>
        <v>大阪府四條畷市大字砂</v>
      </c>
      <c r="F6051" s="7"/>
      <c r="G6051" s="7" t="str">
        <f t="shared" si="2218"/>
        <v>事業用資産</v>
      </c>
      <c r="H6051" s="7" t="str">
        <f t="shared" si="2206"/>
        <v>棚卸以外</v>
      </c>
      <c r="I6051" s="7">
        <v>2</v>
      </c>
      <c r="J6051" s="7" t="str">
        <f>"汚水処理場"</f>
        <v>汚水処理場</v>
      </c>
      <c r="K6051" s="7" t="str">
        <f t="shared" si="2222"/>
        <v>鉄筋コンクリート造</v>
      </c>
      <c r="L6051" s="7" t="str">
        <f>"S58.07.30"</f>
        <v>S58.07.30</v>
      </c>
      <c r="M6051" s="7">
        <v>113.57</v>
      </c>
      <c r="N6051" s="7">
        <v>71696000</v>
      </c>
      <c r="O6051" s="7">
        <v>71695999</v>
      </c>
      <c r="P6051" s="7">
        <v>0</v>
      </c>
      <c r="Q6051" s="7" t="str">
        <f t="shared" si="2224"/>
        <v>教育庁</v>
      </c>
      <c r="R6051" s="7" t="str">
        <f t="shared" si="2223"/>
        <v>交野支援学校</v>
      </c>
    </row>
    <row r="6052" spans="1:18" s="1" customFormat="1" x14ac:dyDescent="0.45">
      <c r="A6052" s="7" t="str">
        <f t="shared" si="2225"/>
        <v>10503000093</v>
      </c>
      <c r="B6052" s="7" t="str">
        <f t="shared" si="2226"/>
        <v>交野支援学校四條畷校</v>
      </c>
      <c r="C6052" s="7" t="str">
        <f t="shared" si="2212"/>
        <v>行政財産</v>
      </c>
      <c r="D6052" s="7" t="str">
        <f t="shared" si="2205"/>
        <v>学校</v>
      </c>
      <c r="E6052" s="7" t="str">
        <f t="shared" si="2227"/>
        <v>大阪府四條畷市大字砂</v>
      </c>
      <c r="F6052" s="7"/>
      <c r="G6052" s="7" t="str">
        <f t="shared" si="2218"/>
        <v>事業用資産</v>
      </c>
      <c r="H6052" s="7" t="str">
        <f t="shared" si="2206"/>
        <v>棚卸以外</v>
      </c>
      <c r="I6052" s="7">
        <v>4</v>
      </c>
      <c r="J6052" s="7" t="str">
        <f>"体育館"</f>
        <v>体育館</v>
      </c>
      <c r="K6052" s="7" t="str">
        <f t="shared" si="2222"/>
        <v>鉄筋コンクリート造</v>
      </c>
      <c r="L6052" s="7" t="str">
        <f>"S59.03.31"</f>
        <v>S59.03.31</v>
      </c>
      <c r="M6052" s="7">
        <v>3053.89</v>
      </c>
      <c r="N6052" s="7">
        <v>479429391</v>
      </c>
      <c r="O6052" s="7">
        <v>392009217</v>
      </c>
      <c r="P6052" s="7">
        <v>0</v>
      </c>
      <c r="Q6052" s="7" t="str">
        <f t="shared" si="2224"/>
        <v>教育庁</v>
      </c>
      <c r="R6052" s="7" t="str">
        <f t="shared" si="2223"/>
        <v>交野支援学校</v>
      </c>
    </row>
    <row r="6053" spans="1:18" s="1" customFormat="1" x14ac:dyDescent="0.45">
      <c r="A6053" s="7" t="str">
        <f t="shared" si="2225"/>
        <v>10503000093</v>
      </c>
      <c r="B6053" s="7" t="str">
        <f t="shared" si="2226"/>
        <v>交野支援学校四條畷校</v>
      </c>
      <c r="C6053" s="7" t="str">
        <f t="shared" si="2212"/>
        <v>行政財産</v>
      </c>
      <c r="D6053" s="7" t="str">
        <f t="shared" si="2205"/>
        <v>学校</v>
      </c>
      <c r="E6053" s="7" t="str">
        <f t="shared" si="2227"/>
        <v>大阪府四條畷市大字砂</v>
      </c>
      <c r="F6053" s="7"/>
      <c r="G6053" s="7" t="str">
        <f t="shared" si="2218"/>
        <v>事業用資産</v>
      </c>
      <c r="H6053" s="7" t="str">
        <f t="shared" si="2206"/>
        <v>棚卸以外</v>
      </c>
      <c r="I6053" s="7">
        <v>5</v>
      </c>
      <c r="J6053" s="7" t="str">
        <f>"プ―ル附属棟"</f>
        <v>プ―ル附属棟</v>
      </c>
      <c r="K6053" s="7" t="str">
        <f t="shared" si="2222"/>
        <v>鉄筋コンクリート造</v>
      </c>
      <c r="L6053" s="7" t="str">
        <f>"S59.03.31"</f>
        <v>S59.03.31</v>
      </c>
      <c r="M6053" s="7">
        <v>168</v>
      </c>
      <c r="N6053" s="7">
        <v>42044500</v>
      </c>
      <c r="O6053" s="7">
        <v>41908174</v>
      </c>
      <c r="P6053" s="7">
        <v>0</v>
      </c>
      <c r="Q6053" s="7" t="str">
        <f t="shared" si="2224"/>
        <v>教育庁</v>
      </c>
      <c r="R6053" s="7" t="str">
        <f t="shared" si="2223"/>
        <v>交野支援学校</v>
      </c>
    </row>
    <row r="6054" spans="1:18" s="1" customFormat="1" x14ac:dyDescent="0.45">
      <c r="A6054" s="7" t="str">
        <f t="shared" si="2225"/>
        <v>10503000093</v>
      </c>
      <c r="B6054" s="7" t="str">
        <f t="shared" si="2226"/>
        <v>交野支援学校四條畷校</v>
      </c>
      <c r="C6054" s="7" t="str">
        <f t="shared" si="2212"/>
        <v>行政財産</v>
      </c>
      <c r="D6054" s="7" t="str">
        <f t="shared" si="2205"/>
        <v>学校</v>
      </c>
      <c r="E6054" s="7" t="str">
        <f t="shared" si="2227"/>
        <v>大阪府四條畷市大字砂</v>
      </c>
      <c r="F6054" s="7"/>
      <c r="G6054" s="7" t="str">
        <f t="shared" si="2218"/>
        <v>事業用資産</v>
      </c>
      <c r="H6054" s="7" t="str">
        <f t="shared" si="2206"/>
        <v>棚卸以外</v>
      </c>
      <c r="I6054" s="7">
        <v>6</v>
      </c>
      <c r="J6054" s="7" t="str">
        <f>"倉庫"</f>
        <v>倉庫</v>
      </c>
      <c r="K6054" s="7" t="str">
        <f t="shared" si="2222"/>
        <v>鉄筋コンクリート造</v>
      </c>
      <c r="L6054" s="7" t="str">
        <f>"S59.03.31"</f>
        <v>S59.03.31</v>
      </c>
      <c r="M6054" s="7">
        <v>100</v>
      </c>
      <c r="N6054" s="7">
        <v>8587000</v>
      </c>
      <c r="O6054" s="7">
        <v>8586999</v>
      </c>
      <c r="P6054" s="7">
        <v>0</v>
      </c>
      <c r="Q6054" s="7" t="str">
        <f t="shared" si="2224"/>
        <v>教育庁</v>
      </c>
      <c r="R6054" s="7" t="str">
        <f t="shared" si="2223"/>
        <v>交野支援学校</v>
      </c>
    </row>
    <row r="6055" spans="1:18" s="1" customFormat="1" x14ac:dyDescent="0.45">
      <c r="A6055" s="7" t="str">
        <f t="shared" si="2225"/>
        <v>10503000093</v>
      </c>
      <c r="B6055" s="7" t="str">
        <f t="shared" si="2226"/>
        <v>交野支援学校四條畷校</v>
      </c>
      <c r="C6055" s="7" t="str">
        <f t="shared" si="2212"/>
        <v>行政財産</v>
      </c>
      <c r="D6055" s="7" t="str">
        <f t="shared" si="2205"/>
        <v>学校</v>
      </c>
      <c r="E6055" s="7" t="str">
        <f t="shared" si="2227"/>
        <v>大阪府四條畷市大字砂</v>
      </c>
      <c r="F6055" s="7"/>
      <c r="G6055" s="7" t="str">
        <f t="shared" si="2218"/>
        <v>事業用資産</v>
      </c>
      <c r="H6055" s="7" t="str">
        <f t="shared" si="2206"/>
        <v>棚卸以外</v>
      </c>
      <c r="I6055" s="7">
        <v>7</v>
      </c>
      <c r="J6055" s="7" t="str">
        <f>"倉庫（２）"</f>
        <v>倉庫（２）</v>
      </c>
      <c r="K6055" s="7" t="str">
        <f>"鉄骨造"</f>
        <v>鉄骨造</v>
      </c>
      <c r="L6055" s="7" t="str">
        <f>"S61.02.26"</f>
        <v>S61.02.26</v>
      </c>
      <c r="M6055" s="7">
        <v>100</v>
      </c>
      <c r="N6055" s="7">
        <v>8550000</v>
      </c>
      <c r="O6055" s="7">
        <v>8549999</v>
      </c>
      <c r="P6055" s="7">
        <v>0</v>
      </c>
      <c r="Q6055" s="7" t="str">
        <f t="shared" si="2224"/>
        <v>教育庁</v>
      </c>
      <c r="R6055" s="7" t="str">
        <f t="shared" si="2223"/>
        <v>交野支援学校</v>
      </c>
    </row>
    <row r="6056" spans="1:18" s="1" customFormat="1" x14ac:dyDescent="0.45">
      <c r="A6056" s="7" t="str">
        <f t="shared" si="2225"/>
        <v>10503000093</v>
      </c>
      <c r="B6056" s="7" t="str">
        <f t="shared" si="2226"/>
        <v>交野支援学校四條畷校</v>
      </c>
      <c r="C6056" s="7" t="str">
        <f t="shared" si="2212"/>
        <v>行政財産</v>
      </c>
      <c r="D6056" s="7" t="str">
        <f t="shared" si="2205"/>
        <v>学校</v>
      </c>
      <c r="E6056" s="7" t="str">
        <f t="shared" si="2227"/>
        <v>大阪府四條畷市大字砂</v>
      </c>
      <c r="F6056" s="7"/>
      <c r="G6056" s="7" t="str">
        <f t="shared" si="2218"/>
        <v>事業用資産</v>
      </c>
      <c r="H6056" s="7" t="str">
        <f t="shared" si="2206"/>
        <v>棚卸以外</v>
      </c>
      <c r="I6056" s="7">
        <v>8</v>
      </c>
      <c r="J6056" s="7" t="str">
        <f>"石灰置場"</f>
        <v>石灰置場</v>
      </c>
      <c r="K6056" s="7" t="str">
        <f>"コンクリートブロック造"</f>
        <v>コンクリートブロック造</v>
      </c>
      <c r="L6056" s="7" t="str">
        <f>"S61.02.26"</f>
        <v>S61.02.26</v>
      </c>
      <c r="M6056" s="7">
        <v>6.5</v>
      </c>
      <c r="N6056" s="7">
        <v>798000</v>
      </c>
      <c r="O6056" s="7">
        <v>797999</v>
      </c>
      <c r="P6056" s="7">
        <v>0</v>
      </c>
      <c r="Q6056" s="7" t="str">
        <f t="shared" si="2224"/>
        <v>教育庁</v>
      </c>
      <c r="R6056" s="7" t="str">
        <f t="shared" si="2223"/>
        <v>交野支援学校</v>
      </c>
    </row>
    <row r="6057" spans="1:18" s="1" customFormat="1" x14ac:dyDescent="0.45">
      <c r="A6057" s="7" t="str">
        <f t="shared" si="2225"/>
        <v>10503000093</v>
      </c>
      <c r="B6057" s="7" t="str">
        <f t="shared" si="2226"/>
        <v>交野支援学校四條畷校</v>
      </c>
      <c r="C6057" s="7" t="str">
        <f t="shared" si="2212"/>
        <v>行政財産</v>
      </c>
      <c r="D6057" s="7" t="str">
        <f t="shared" si="2205"/>
        <v>学校</v>
      </c>
      <c r="E6057" s="7" t="str">
        <f t="shared" si="2227"/>
        <v>大阪府四條畷市大字砂</v>
      </c>
      <c r="F6057" s="7"/>
      <c r="G6057" s="7" t="str">
        <f t="shared" si="2218"/>
        <v>事業用資産</v>
      </c>
      <c r="H6057" s="7" t="str">
        <f t="shared" si="2206"/>
        <v>棚卸以外</v>
      </c>
      <c r="I6057" s="7">
        <v>9</v>
      </c>
      <c r="J6057" s="7" t="str">
        <f>"ゴミ置場"</f>
        <v>ゴミ置場</v>
      </c>
      <c r="K6057" s="7" t="str">
        <f>"コンクリートブロック造"</f>
        <v>コンクリートブロック造</v>
      </c>
      <c r="L6057" s="7" t="str">
        <f>"S61.02.26"</f>
        <v>S61.02.26</v>
      </c>
      <c r="M6057" s="7">
        <v>13.4</v>
      </c>
      <c r="N6057" s="7">
        <v>992000</v>
      </c>
      <c r="O6057" s="7">
        <v>991999</v>
      </c>
      <c r="P6057" s="7">
        <v>0</v>
      </c>
      <c r="Q6057" s="7" t="str">
        <f t="shared" si="2224"/>
        <v>教育庁</v>
      </c>
      <c r="R6057" s="7" t="str">
        <f t="shared" si="2223"/>
        <v>交野支援学校</v>
      </c>
    </row>
    <row r="6058" spans="1:18" s="1" customFormat="1" x14ac:dyDescent="0.45">
      <c r="A6058" s="7" t="str">
        <f t="shared" si="2225"/>
        <v>10503000093</v>
      </c>
      <c r="B6058" s="7" t="str">
        <f t="shared" si="2226"/>
        <v>交野支援学校四條畷校</v>
      </c>
      <c r="C6058" s="7" t="str">
        <f t="shared" si="2212"/>
        <v>行政財産</v>
      </c>
      <c r="D6058" s="7" t="str">
        <f t="shared" si="2205"/>
        <v>学校</v>
      </c>
      <c r="E6058" s="7" t="str">
        <f t="shared" si="2227"/>
        <v>大阪府四條畷市大字砂</v>
      </c>
      <c r="F6058" s="7"/>
      <c r="G6058" s="7" t="str">
        <f t="shared" si="2218"/>
        <v>事業用資産</v>
      </c>
      <c r="H6058" s="7" t="str">
        <f t="shared" si="2206"/>
        <v>棚卸以外</v>
      </c>
      <c r="I6058" s="7">
        <v>10</v>
      </c>
      <c r="J6058" s="7" t="str">
        <f>"渡り廊下"</f>
        <v>渡り廊下</v>
      </c>
      <c r="K6058" s="7" t="str">
        <f>"鉄筋コンクリート造"</f>
        <v>鉄筋コンクリート造</v>
      </c>
      <c r="L6058" s="7" t="str">
        <f>"S60.03.04"</f>
        <v>S60.03.04</v>
      </c>
      <c r="M6058" s="7">
        <v>47.02</v>
      </c>
      <c r="N6058" s="7">
        <v>5200000</v>
      </c>
      <c r="O6058" s="7">
        <v>4819920</v>
      </c>
      <c r="P6058" s="7">
        <v>0</v>
      </c>
      <c r="Q6058" s="7" t="str">
        <f t="shared" si="2224"/>
        <v>教育庁</v>
      </c>
      <c r="R6058" s="7" t="str">
        <f t="shared" si="2223"/>
        <v>交野支援学校</v>
      </c>
    </row>
    <row r="6059" spans="1:18" s="1" customFormat="1" x14ac:dyDescent="0.45">
      <c r="A6059" s="7" t="str">
        <f t="shared" si="2225"/>
        <v>10503000093</v>
      </c>
      <c r="B6059" s="7" t="str">
        <f t="shared" si="2226"/>
        <v>交野支援学校四條畷校</v>
      </c>
      <c r="C6059" s="7" t="str">
        <f t="shared" si="2212"/>
        <v>行政財産</v>
      </c>
      <c r="D6059" s="7" t="str">
        <f t="shared" si="2205"/>
        <v>学校</v>
      </c>
      <c r="E6059" s="7" t="str">
        <f t="shared" si="2227"/>
        <v>大阪府四條畷市大字砂</v>
      </c>
      <c r="F6059" s="7"/>
      <c r="G6059" s="7" t="str">
        <f t="shared" si="2218"/>
        <v>事業用資産</v>
      </c>
      <c r="H6059" s="7" t="str">
        <f t="shared" si="2206"/>
        <v>棚卸以外</v>
      </c>
      <c r="I6059" s="7">
        <v>11</v>
      </c>
      <c r="J6059" s="7" t="str">
        <f>"ゴミ置場（２）"</f>
        <v>ゴミ置場（２）</v>
      </c>
      <c r="K6059" s="7" t="str">
        <f>"コンクリートブロック造"</f>
        <v>コンクリートブロック造</v>
      </c>
      <c r="L6059" s="7" t="str">
        <f>"H06.03.31"</f>
        <v>H06.03.31</v>
      </c>
      <c r="M6059" s="7">
        <v>15</v>
      </c>
      <c r="N6059" s="7">
        <v>979000</v>
      </c>
      <c r="O6059" s="7">
        <v>835200</v>
      </c>
      <c r="P6059" s="7">
        <v>0</v>
      </c>
      <c r="Q6059" s="7" t="str">
        <f t="shared" si="2224"/>
        <v>教育庁</v>
      </c>
      <c r="R6059" s="7" t="str">
        <f t="shared" si="2223"/>
        <v>交野支援学校</v>
      </c>
    </row>
    <row r="6060" spans="1:18" s="1" customFormat="1" x14ac:dyDescent="0.45">
      <c r="A6060" s="7" t="str">
        <f>"10504000000"</f>
        <v>10504000000</v>
      </c>
      <c r="B6060" s="7" t="str">
        <f>"箕面支援学校"</f>
        <v>箕面支援学校</v>
      </c>
      <c r="C6060" s="7" t="str">
        <f t="shared" si="2212"/>
        <v>行政財産</v>
      </c>
      <c r="D6060" s="7" t="str">
        <f t="shared" si="2205"/>
        <v>学校</v>
      </c>
      <c r="E6060" s="7" t="str">
        <f>"大阪府箕面市船場東３丁目"</f>
        <v>大阪府箕面市船場東３丁目</v>
      </c>
      <c r="F6060" s="7"/>
      <c r="G6060" s="7" t="str">
        <f t="shared" si="2218"/>
        <v>事業用資産</v>
      </c>
      <c r="H6060" s="7" t="str">
        <f t="shared" si="2206"/>
        <v>棚卸以外</v>
      </c>
      <c r="I6060" s="7">
        <v>1</v>
      </c>
      <c r="J6060" s="7" t="str">
        <f>"本館"</f>
        <v>本館</v>
      </c>
      <c r="K6060" s="7" t="str">
        <f t="shared" ref="K6060:K6070" si="2228">"鉄筋コンクリート造"</f>
        <v>鉄筋コンクリート造</v>
      </c>
      <c r="L6060" s="7" t="str">
        <f>"S60.03.15"</f>
        <v>S60.03.15</v>
      </c>
      <c r="M6060" s="7">
        <v>10085.67</v>
      </c>
      <c r="N6060" s="7">
        <v>2219949236</v>
      </c>
      <c r="O6060" s="7">
        <v>1653517601</v>
      </c>
      <c r="P6060" s="7">
        <v>0</v>
      </c>
      <c r="Q6060" s="7" t="str">
        <f t="shared" si="2224"/>
        <v>教育庁</v>
      </c>
      <c r="R6060" s="7" t="str">
        <f>"箕面支援学校"</f>
        <v>箕面支援学校</v>
      </c>
    </row>
    <row r="6061" spans="1:18" s="1" customFormat="1" x14ac:dyDescent="0.45">
      <c r="A6061" s="7" t="str">
        <f>"10504000000"</f>
        <v>10504000000</v>
      </c>
      <c r="B6061" s="7" t="str">
        <f>"箕面支援学校"</f>
        <v>箕面支援学校</v>
      </c>
      <c r="C6061" s="7" t="str">
        <f t="shared" si="2212"/>
        <v>行政財産</v>
      </c>
      <c r="D6061" s="7" t="str">
        <f t="shared" si="2205"/>
        <v>学校</v>
      </c>
      <c r="E6061" s="7" t="str">
        <f>"大阪府箕面市船場東３丁目"</f>
        <v>大阪府箕面市船場東３丁目</v>
      </c>
      <c r="F6061" s="7"/>
      <c r="G6061" s="7" t="str">
        <f t="shared" si="2218"/>
        <v>事業用資産</v>
      </c>
      <c r="H6061" s="7" t="str">
        <f t="shared" si="2206"/>
        <v>棚卸以外</v>
      </c>
      <c r="I6061" s="7">
        <v>2</v>
      </c>
      <c r="J6061" s="7" t="str">
        <f>"プ－ル附属棟"</f>
        <v>プ－ル附属棟</v>
      </c>
      <c r="K6061" s="7" t="str">
        <f t="shared" si="2228"/>
        <v>鉄筋コンクリート造</v>
      </c>
      <c r="L6061" s="7" t="str">
        <f>"H10.03.26"</f>
        <v>H10.03.26</v>
      </c>
      <c r="M6061" s="7">
        <v>101.25</v>
      </c>
      <c r="N6061" s="7">
        <v>29994000</v>
      </c>
      <c r="O6061" s="7">
        <v>19733100</v>
      </c>
      <c r="P6061" s="7">
        <v>0</v>
      </c>
      <c r="Q6061" s="7" t="str">
        <f t="shared" si="2224"/>
        <v>教育庁</v>
      </c>
      <c r="R6061" s="7" t="str">
        <f>"箕面支援学校"</f>
        <v>箕面支援学校</v>
      </c>
    </row>
    <row r="6062" spans="1:18" s="1" customFormat="1" x14ac:dyDescent="0.45">
      <c r="A6062" s="7" t="str">
        <f>"10505000000"</f>
        <v>10505000000</v>
      </c>
      <c r="B6062" s="7" t="str">
        <f>"中津支援学校"</f>
        <v>中津支援学校</v>
      </c>
      <c r="C6062" s="7" t="str">
        <f t="shared" si="2212"/>
        <v>行政財産</v>
      </c>
      <c r="D6062" s="7" t="str">
        <f t="shared" si="2205"/>
        <v>学校</v>
      </c>
      <c r="E6062" s="7" t="str">
        <f>"大阪府大阪市　北区中津２丁目"</f>
        <v>大阪府大阪市　北区中津２丁目</v>
      </c>
      <c r="F6062" s="7"/>
      <c r="G6062" s="7" t="str">
        <f t="shared" si="2218"/>
        <v>事業用資産</v>
      </c>
      <c r="H6062" s="7" t="str">
        <f t="shared" si="2206"/>
        <v>棚卸以外</v>
      </c>
      <c r="I6062" s="7">
        <v>1</v>
      </c>
      <c r="J6062" s="7" t="str">
        <f>"学校棟"</f>
        <v>学校棟</v>
      </c>
      <c r="K6062" s="7" t="str">
        <f t="shared" si="2228"/>
        <v>鉄筋コンクリート造</v>
      </c>
      <c r="L6062" s="7" t="str">
        <f>"S62.03.31"</f>
        <v>S62.03.31</v>
      </c>
      <c r="M6062" s="7">
        <v>2742.42</v>
      </c>
      <c r="N6062" s="7">
        <v>882321245</v>
      </c>
      <c r="O6062" s="7">
        <v>605764988</v>
      </c>
      <c r="P6062" s="7">
        <v>0</v>
      </c>
      <c r="Q6062" s="7" t="str">
        <f t="shared" si="2224"/>
        <v>教育庁</v>
      </c>
      <c r="R6062" s="7" t="str">
        <f>"中津支援学校"</f>
        <v>中津支援学校</v>
      </c>
    </row>
    <row r="6063" spans="1:18" s="1" customFormat="1" x14ac:dyDescent="0.45">
      <c r="A6063" s="7" t="str">
        <f>"10505000000"</f>
        <v>10505000000</v>
      </c>
      <c r="B6063" s="7" t="str">
        <f>"中津支援学校"</f>
        <v>中津支援学校</v>
      </c>
      <c r="C6063" s="7" t="str">
        <f t="shared" si="2212"/>
        <v>行政財産</v>
      </c>
      <c r="D6063" s="7" t="str">
        <f t="shared" si="2205"/>
        <v>学校</v>
      </c>
      <c r="E6063" s="7" t="str">
        <f>"大阪府大阪市　北区中津２丁目"</f>
        <v>大阪府大阪市　北区中津２丁目</v>
      </c>
      <c r="F6063" s="7"/>
      <c r="G6063" s="7" t="str">
        <f t="shared" si="2218"/>
        <v>事業用資産</v>
      </c>
      <c r="H6063" s="7" t="str">
        <f t="shared" si="2206"/>
        <v>棚卸以外</v>
      </c>
      <c r="I6063" s="7">
        <v>2</v>
      </c>
      <c r="J6063" s="7" t="str">
        <f>"スロープ棟"</f>
        <v>スロープ棟</v>
      </c>
      <c r="K6063" s="7" t="str">
        <f t="shared" si="2228"/>
        <v>鉄筋コンクリート造</v>
      </c>
      <c r="L6063" s="7" t="str">
        <f>"S62.03.31"</f>
        <v>S62.03.31</v>
      </c>
      <c r="M6063" s="7">
        <v>438.43</v>
      </c>
      <c r="N6063" s="7">
        <v>80569000</v>
      </c>
      <c r="O6063" s="7">
        <v>61173745</v>
      </c>
      <c r="P6063" s="7">
        <v>0</v>
      </c>
      <c r="Q6063" s="7" t="str">
        <f t="shared" si="2224"/>
        <v>教育庁</v>
      </c>
      <c r="R6063" s="7" t="str">
        <f>"中津支援学校"</f>
        <v>中津支援学校</v>
      </c>
    </row>
    <row r="6064" spans="1:18" s="1" customFormat="1" x14ac:dyDescent="0.45">
      <c r="A6064" s="7" t="str">
        <f t="shared" ref="A6064:A6088" si="2229">"10506000000"</f>
        <v>10506000000</v>
      </c>
      <c r="B6064" s="7" t="str">
        <f t="shared" ref="B6064:B6088" si="2230">"高槻支援学校"</f>
        <v>高槻支援学校</v>
      </c>
      <c r="C6064" s="7" t="str">
        <f t="shared" si="2212"/>
        <v>行政財産</v>
      </c>
      <c r="D6064" s="7" t="str">
        <f t="shared" si="2205"/>
        <v>学校</v>
      </c>
      <c r="E6064" s="7" t="str">
        <f t="shared" ref="E6064:E6088" si="2231">"大阪府高槻市富田町１丁目"</f>
        <v>大阪府高槻市富田町１丁目</v>
      </c>
      <c r="F6064" s="7"/>
      <c r="G6064" s="7" t="str">
        <f t="shared" si="2218"/>
        <v>事業用資産</v>
      </c>
      <c r="H6064" s="7" t="str">
        <f t="shared" si="2206"/>
        <v>棚卸以外</v>
      </c>
      <c r="I6064" s="7">
        <v>1</v>
      </c>
      <c r="J6064" s="7" t="str">
        <f>"校舎（小学部高学年棟）"</f>
        <v>校舎（小学部高学年棟）</v>
      </c>
      <c r="K6064" s="7" t="str">
        <f t="shared" si="2228"/>
        <v>鉄筋コンクリート造</v>
      </c>
      <c r="L6064" s="7" t="str">
        <f>"S41.03.20"</f>
        <v>S41.03.20</v>
      </c>
      <c r="M6064" s="7">
        <v>1978.16</v>
      </c>
      <c r="N6064" s="7">
        <v>334331030</v>
      </c>
      <c r="O6064" s="7">
        <v>186340583</v>
      </c>
      <c r="P6064" s="7">
        <v>0</v>
      </c>
      <c r="Q6064" s="7" t="str">
        <f t="shared" si="2224"/>
        <v>教育庁</v>
      </c>
      <c r="R6064" s="7" t="str">
        <f t="shared" ref="R6064:R6088" si="2232">"高槻支援学校"</f>
        <v>高槻支援学校</v>
      </c>
    </row>
    <row r="6065" spans="1:18" s="1" customFormat="1" x14ac:dyDescent="0.45">
      <c r="A6065" s="7" t="str">
        <f t="shared" si="2229"/>
        <v>10506000000</v>
      </c>
      <c r="B6065" s="7" t="str">
        <f t="shared" si="2230"/>
        <v>高槻支援学校</v>
      </c>
      <c r="C6065" s="7" t="str">
        <f t="shared" si="2212"/>
        <v>行政財産</v>
      </c>
      <c r="D6065" s="7" t="str">
        <f t="shared" si="2205"/>
        <v>学校</v>
      </c>
      <c r="E6065" s="7" t="str">
        <f t="shared" si="2231"/>
        <v>大阪府高槻市富田町１丁目</v>
      </c>
      <c r="F6065" s="7"/>
      <c r="G6065" s="7" t="str">
        <f t="shared" si="2218"/>
        <v>事業用資産</v>
      </c>
      <c r="H6065" s="7" t="str">
        <f t="shared" si="2206"/>
        <v>棚卸以外</v>
      </c>
      <c r="I6065" s="7">
        <v>2</v>
      </c>
      <c r="J6065" s="7" t="str">
        <f>"受水槽及びポンプ室"</f>
        <v>受水槽及びポンプ室</v>
      </c>
      <c r="K6065" s="7" t="str">
        <f t="shared" si="2228"/>
        <v>鉄筋コンクリート造</v>
      </c>
      <c r="L6065" s="7" t="str">
        <f>"S41.03.20"</f>
        <v>S41.03.20</v>
      </c>
      <c r="M6065" s="7">
        <v>26</v>
      </c>
      <c r="N6065" s="7">
        <v>2985000</v>
      </c>
      <c r="O6065" s="7">
        <v>2984999</v>
      </c>
      <c r="P6065" s="7">
        <v>0</v>
      </c>
      <c r="Q6065" s="7" t="str">
        <f t="shared" si="2224"/>
        <v>教育庁</v>
      </c>
      <c r="R6065" s="7" t="str">
        <f t="shared" si="2232"/>
        <v>高槻支援学校</v>
      </c>
    </row>
    <row r="6066" spans="1:18" s="1" customFormat="1" x14ac:dyDescent="0.45">
      <c r="A6066" s="7" t="str">
        <f t="shared" si="2229"/>
        <v>10506000000</v>
      </c>
      <c r="B6066" s="7" t="str">
        <f t="shared" si="2230"/>
        <v>高槻支援学校</v>
      </c>
      <c r="C6066" s="7" t="str">
        <f t="shared" si="2212"/>
        <v>行政財産</v>
      </c>
      <c r="D6066" s="7" t="str">
        <f t="shared" si="2205"/>
        <v>学校</v>
      </c>
      <c r="E6066" s="7" t="str">
        <f t="shared" si="2231"/>
        <v>大阪府高槻市富田町１丁目</v>
      </c>
      <c r="F6066" s="7"/>
      <c r="G6066" s="7" t="str">
        <f t="shared" si="2218"/>
        <v>事業用資産</v>
      </c>
      <c r="H6066" s="7" t="str">
        <f t="shared" si="2206"/>
        <v>棚卸以外</v>
      </c>
      <c r="I6066" s="7">
        <v>4</v>
      </c>
      <c r="J6066" s="7" t="str">
        <f>"校舎（管理中学部棟）"</f>
        <v>校舎（管理中学部棟）</v>
      </c>
      <c r="K6066" s="7" t="str">
        <f t="shared" si="2228"/>
        <v>鉄筋コンクリート造</v>
      </c>
      <c r="L6066" s="7" t="str">
        <f>"S42.03.15"</f>
        <v>S42.03.15</v>
      </c>
      <c r="M6066" s="7">
        <v>4036.58</v>
      </c>
      <c r="N6066" s="7">
        <v>300773438</v>
      </c>
      <c r="O6066" s="7">
        <v>231199248</v>
      </c>
      <c r="P6066" s="7">
        <v>0</v>
      </c>
      <c r="Q6066" s="7" t="str">
        <f t="shared" si="2224"/>
        <v>教育庁</v>
      </c>
      <c r="R6066" s="7" t="str">
        <f t="shared" si="2232"/>
        <v>高槻支援学校</v>
      </c>
    </row>
    <row r="6067" spans="1:18" s="1" customFormat="1" x14ac:dyDescent="0.45">
      <c r="A6067" s="7" t="str">
        <f t="shared" si="2229"/>
        <v>10506000000</v>
      </c>
      <c r="B6067" s="7" t="str">
        <f t="shared" si="2230"/>
        <v>高槻支援学校</v>
      </c>
      <c r="C6067" s="7" t="str">
        <f t="shared" si="2212"/>
        <v>行政財産</v>
      </c>
      <c r="D6067" s="7" t="str">
        <f t="shared" si="2205"/>
        <v>学校</v>
      </c>
      <c r="E6067" s="7" t="str">
        <f t="shared" si="2231"/>
        <v>大阪府高槻市富田町１丁目</v>
      </c>
      <c r="F6067" s="7"/>
      <c r="G6067" s="7" t="str">
        <f t="shared" si="2218"/>
        <v>事業用資産</v>
      </c>
      <c r="H6067" s="7" t="str">
        <f t="shared" si="2206"/>
        <v>棚卸以外</v>
      </c>
      <c r="I6067" s="7">
        <v>5</v>
      </c>
      <c r="J6067" s="7" t="str">
        <f>"渡り廊下（西）"</f>
        <v>渡り廊下（西）</v>
      </c>
      <c r="K6067" s="7" t="str">
        <f t="shared" si="2228"/>
        <v>鉄筋コンクリート造</v>
      </c>
      <c r="L6067" s="7" t="str">
        <f>"S42.03.15"</f>
        <v>S42.03.15</v>
      </c>
      <c r="M6067" s="7">
        <v>129.6</v>
      </c>
      <c r="N6067" s="7">
        <v>4843133</v>
      </c>
      <c r="O6067" s="7">
        <v>4314701</v>
      </c>
      <c r="P6067" s="7">
        <v>0</v>
      </c>
      <c r="Q6067" s="7" t="str">
        <f t="shared" si="2224"/>
        <v>教育庁</v>
      </c>
      <c r="R6067" s="7" t="str">
        <f t="shared" si="2232"/>
        <v>高槻支援学校</v>
      </c>
    </row>
    <row r="6068" spans="1:18" s="1" customFormat="1" x14ac:dyDescent="0.45">
      <c r="A6068" s="7" t="str">
        <f t="shared" si="2229"/>
        <v>10506000000</v>
      </c>
      <c r="B6068" s="7" t="str">
        <f t="shared" si="2230"/>
        <v>高槻支援学校</v>
      </c>
      <c r="C6068" s="7" t="str">
        <f t="shared" si="2212"/>
        <v>行政財産</v>
      </c>
      <c r="D6068" s="7" t="str">
        <f t="shared" si="2205"/>
        <v>学校</v>
      </c>
      <c r="E6068" s="7" t="str">
        <f t="shared" si="2231"/>
        <v>大阪府高槻市富田町１丁目</v>
      </c>
      <c r="F6068" s="7"/>
      <c r="G6068" s="7" t="str">
        <f t="shared" si="2218"/>
        <v>事業用資産</v>
      </c>
      <c r="H6068" s="7" t="str">
        <f t="shared" si="2206"/>
        <v>棚卸以外</v>
      </c>
      <c r="I6068" s="7">
        <v>6</v>
      </c>
      <c r="J6068" s="7" t="str">
        <f>"ガレージ"</f>
        <v>ガレージ</v>
      </c>
      <c r="K6068" s="7" t="str">
        <f t="shared" si="2228"/>
        <v>鉄筋コンクリート造</v>
      </c>
      <c r="L6068" s="7" t="str">
        <f>"S42.03.15"</f>
        <v>S42.03.15</v>
      </c>
      <c r="M6068" s="7">
        <v>289.52999999999997</v>
      </c>
      <c r="N6068" s="7">
        <v>15187300</v>
      </c>
      <c r="O6068" s="7">
        <v>14540466</v>
      </c>
      <c r="P6068" s="7">
        <v>0</v>
      </c>
      <c r="Q6068" s="7" t="str">
        <f t="shared" si="2224"/>
        <v>教育庁</v>
      </c>
      <c r="R6068" s="7" t="str">
        <f t="shared" si="2232"/>
        <v>高槻支援学校</v>
      </c>
    </row>
    <row r="6069" spans="1:18" s="1" customFormat="1" x14ac:dyDescent="0.45">
      <c r="A6069" s="7" t="str">
        <f t="shared" si="2229"/>
        <v>10506000000</v>
      </c>
      <c r="B6069" s="7" t="str">
        <f t="shared" si="2230"/>
        <v>高槻支援学校</v>
      </c>
      <c r="C6069" s="7" t="str">
        <f t="shared" si="2212"/>
        <v>行政財産</v>
      </c>
      <c r="D6069" s="7" t="str">
        <f t="shared" si="2205"/>
        <v>学校</v>
      </c>
      <c r="E6069" s="7" t="str">
        <f t="shared" si="2231"/>
        <v>大阪府高槻市富田町１丁目</v>
      </c>
      <c r="F6069" s="7"/>
      <c r="G6069" s="7" t="str">
        <f t="shared" si="2218"/>
        <v>事業用資産</v>
      </c>
      <c r="H6069" s="7" t="str">
        <f t="shared" si="2206"/>
        <v>棚卸以外</v>
      </c>
      <c r="I6069" s="7">
        <v>7</v>
      </c>
      <c r="J6069" s="7" t="str">
        <f>"校舎（小学部低学年棟）"</f>
        <v>校舎（小学部低学年棟）</v>
      </c>
      <c r="K6069" s="7" t="str">
        <f t="shared" si="2228"/>
        <v>鉄筋コンクリート造</v>
      </c>
      <c r="L6069" s="7" t="str">
        <f>"S43.03.25"</f>
        <v>S43.03.25</v>
      </c>
      <c r="M6069" s="7">
        <v>1089</v>
      </c>
      <c r="N6069" s="7">
        <v>116674073</v>
      </c>
      <c r="O6069" s="7">
        <v>80376518</v>
      </c>
      <c r="P6069" s="7">
        <v>0</v>
      </c>
      <c r="Q6069" s="7" t="str">
        <f t="shared" si="2224"/>
        <v>教育庁</v>
      </c>
      <c r="R6069" s="7" t="str">
        <f t="shared" si="2232"/>
        <v>高槻支援学校</v>
      </c>
    </row>
    <row r="6070" spans="1:18" s="1" customFormat="1" x14ac:dyDescent="0.45">
      <c r="A6070" s="7" t="str">
        <f t="shared" si="2229"/>
        <v>10506000000</v>
      </c>
      <c r="B6070" s="7" t="str">
        <f t="shared" si="2230"/>
        <v>高槻支援学校</v>
      </c>
      <c r="C6070" s="7" t="str">
        <f t="shared" si="2212"/>
        <v>行政財産</v>
      </c>
      <c r="D6070" s="7" t="str">
        <f t="shared" si="2205"/>
        <v>学校</v>
      </c>
      <c r="E6070" s="7" t="str">
        <f t="shared" si="2231"/>
        <v>大阪府高槻市富田町１丁目</v>
      </c>
      <c r="F6070" s="7"/>
      <c r="G6070" s="7" t="str">
        <f t="shared" si="2218"/>
        <v>事業用資産</v>
      </c>
      <c r="H6070" s="7" t="str">
        <f t="shared" si="2206"/>
        <v>棚卸以外</v>
      </c>
      <c r="I6070" s="7">
        <v>8</v>
      </c>
      <c r="J6070" s="7" t="str">
        <f>"校舎（作業棟）"</f>
        <v>校舎（作業棟）</v>
      </c>
      <c r="K6070" s="7" t="str">
        <f t="shared" si="2228"/>
        <v>鉄筋コンクリート造</v>
      </c>
      <c r="L6070" s="7" t="str">
        <f>"S43.03.25"</f>
        <v>S43.03.25</v>
      </c>
      <c r="M6070" s="7">
        <v>1819.5</v>
      </c>
      <c r="N6070" s="7">
        <v>198110125</v>
      </c>
      <c r="O6070" s="7">
        <v>146564759</v>
      </c>
      <c r="P6070" s="7">
        <v>0</v>
      </c>
      <c r="Q6070" s="7" t="str">
        <f t="shared" si="2224"/>
        <v>教育庁</v>
      </c>
      <c r="R6070" s="7" t="str">
        <f t="shared" si="2232"/>
        <v>高槻支援学校</v>
      </c>
    </row>
    <row r="6071" spans="1:18" s="1" customFormat="1" x14ac:dyDescent="0.45">
      <c r="A6071" s="7" t="str">
        <f t="shared" si="2229"/>
        <v>10506000000</v>
      </c>
      <c r="B6071" s="7" t="str">
        <f t="shared" si="2230"/>
        <v>高槻支援学校</v>
      </c>
      <c r="C6071" s="7" t="str">
        <f t="shared" si="2212"/>
        <v>行政財産</v>
      </c>
      <c r="D6071" s="7" t="str">
        <f t="shared" si="2205"/>
        <v>学校</v>
      </c>
      <c r="E6071" s="7" t="str">
        <f t="shared" si="2231"/>
        <v>大阪府高槻市富田町１丁目</v>
      </c>
      <c r="F6071" s="7"/>
      <c r="G6071" s="7" t="str">
        <f t="shared" si="2218"/>
        <v>事業用資産</v>
      </c>
      <c r="H6071" s="7" t="str">
        <f t="shared" si="2206"/>
        <v>棚卸以外</v>
      </c>
      <c r="I6071" s="7">
        <v>9</v>
      </c>
      <c r="J6071" s="7" t="str">
        <f>"渡り廊下（低学年棟前）"</f>
        <v>渡り廊下（低学年棟前）</v>
      </c>
      <c r="K6071" s="7" t="str">
        <f>"軽量鉄骨造"</f>
        <v>軽量鉄骨造</v>
      </c>
      <c r="L6071" s="7" t="str">
        <f>"S43.03.25"</f>
        <v>S43.03.25</v>
      </c>
      <c r="M6071" s="7">
        <v>11.5</v>
      </c>
      <c r="N6071" s="7">
        <v>181135</v>
      </c>
      <c r="O6071" s="7">
        <v>181134</v>
      </c>
      <c r="P6071" s="7">
        <v>0</v>
      </c>
      <c r="Q6071" s="7" t="str">
        <f t="shared" si="2224"/>
        <v>教育庁</v>
      </c>
      <c r="R6071" s="7" t="str">
        <f t="shared" si="2232"/>
        <v>高槻支援学校</v>
      </c>
    </row>
    <row r="6072" spans="1:18" s="1" customFormat="1" x14ac:dyDescent="0.45">
      <c r="A6072" s="7" t="str">
        <f t="shared" si="2229"/>
        <v>10506000000</v>
      </c>
      <c r="B6072" s="7" t="str">
        <f t="shared" si="2230"/>
        <v>高槻支援学校</v>
      </c>
      <c r="C6072" s="7" t="str">
        <f t="shared" si="2212"/>
        <v>行政財産</v>
      </c>
      <c r="D6072" s="7" t="str">
        <f t="shared" si="2205"/>
        <v>学校</v>
      </c>
      <c r="E6072" s="7" t="str">
        <f t="shared" si="2231"/>
        <v>大阪府高槻市富田町１丁目</v>
      </c>
      <c r="F6072" s="7"/>
      <c r="G6072" s="7" t="str">
        <f t="shared" si="2218"/>
        <v>事業用資産</v>
      </c>
      <c r="H6072" s="7" t="str">
        <f t="shared" si="2206"/>
        <v>棚卸以外</v>
      </c>
      <c r="I6072" s="7">
        <v>10</v>
      </c>
      <c r="J6072" s="7" t="str">
        <f>"渡り廊下（東）"</f>
        <v>渡り廊下（東）</v>
      </c>
      <c r="K6072" s="7" t="str">
        <f>"鉄筋コンクリート造"</f>
        <v>鉄筋コンクリート造</v>
      </c>
      <c r="L6072" s="7" t="str">
        <f>"S43.12.15"</f>
        <v>S43.12.15</v>
      </c>
      <c r="M6072" s="7">
        <v>173.76</v>
      </c>
      <c r="N6072" s="7">
        <v>9138000</v>
      </c>
      <c r="O6072" s="7">
        <v>8576748</v>
      </c>
      <c r="P6072" s="7">
        <v>0</v>
      </c>
      <c r="Q6072" s="7" t="str">
        <f t="shared" si="2224"/>
        <v>教育庁</v>
      </c>
      <c r="R6072" s="7" t="str">
        <f t="shared" si="2232"/>
        <v>高槻支援学校</v>
      </c>
    </row>
    <row r="6073" spans="1:18" s="1" customFormat="1" ht="26.4" x14ac:dyDescent="0.45">
      <c r="A6073" s="7" t="str">
        <f t="shared" si="2229"/>
        <v>10506000000</v>
      </c>
      <c r="B6073" s="7" t="str">
        <f t="shared" si="2230"/>
        <v>高槻支援学校</v>
      </c>
      <c r="C6073" s="7" t="str">
        <f t="shared" si="2212"/>
        <v>行政財産</v>
      </c>
      <c r="D6073" s="7" t="str">
        <f t="shared" ref="D6073:D6136" si="2233">"学校"</f>
        <v>学校</v>
      </c>
      <c r="E6073" s="7" t="str">
        <f t="shared" si="2231"/>
        <v>大阪府高槻市富田町１丁目</v>
      </c>
      <c r="F6073" s="7"/>
      <c r="G6073" s="7" t="str">
        <f t="shared" si="2218"/>
        <v>事業用資産</v>
      </c>
      <c r="H6073" s="7" t="str">
        <f t="shared" si="2206"/>
        <v>棚卸以外</v>
      </c>
      <c r="I6073" s="7">
        <v>11</v>
      </c>
      <c r="J6073" s="7" t="str">
        <f>"診療棟"</f>
        <v>診療棟</v>
      </c>
      <c r="K6073" s="7" t="str">
        <f>"鉄骨鉄筋コンクリート造"</f>
        <v>鉄骨鉄筋コンクリート造</v>
      </c>
      <c r="L6073" s="7" t="str">
        <f>"S45.01.31"</f>
        <v>S45.01.31</v>
      </c>
      <c r="M6073" s="7">
        <v>320</v>
      </c>
      <c r="N6073" s="7">
        <v>27886180</v>
      </c>
      <c r="O6073" s="7">
        <v>23236808</v>
      </c>
      <c r="P6073" s="7">
        <v>0</v>
      </c>
      <c r="Q6073" s="7" t="str">
        <f t="shared" si="2224"/>
        <v>教育庁</v>
      </c>
      <c r="R6073" s="7" t="str">
        <f t="shared" si="2232"/>
        <v>高槻支援学校</v>
      </c>
    </row>
    <row r="6074" spans="1:18" s="1" customFormat="1" ht="26.4" x14ac:dyDescent="0.45">
      <c r="A6074" s="7" t="str">
        <f t="shared" si="2229"/>
        <v>10506000000</v>
      </c>
      <c r="B6074" s="7" t="str">
        <f t="shared" si="2230"/>
        <v>高槻支援学校</v>
      </c>
      <c r="C6074" s="7" t="str">
        <f t="shared" si="2212"/>
        <v>行政財産</v>
      </c>
      <c r="D6074" s="7" t="str">
        <f t="shared" si="2233"/>
        <v>学校</v>
      </c>
      <c r="E6074" s="7" t="str">
        <f t="shared" si="2231"/>
        <v>大阪府高槻市富田町１丁目</v>
      </c>
      <c r="F6074" s="7"/>
      <c r="G6074" s="7" t="str">
        <f t="shared" si="2218"/>
        <v>事業用資産</v>
      </c>
      <c r="H6074" s="7" t="str">
        <f t="shared" si="2206"/>
        <v>棚卸以外</v>
      </c>
      <c r="I6074" s="7">
        <v>12</v>
      </c>
      <c r="J6074" s="7" t="str">
        <f>"倉庫"</f>
        <v>倉庫</v>
      </c>
      <c r="K6074" s="7" t="str">
        <f>"鉄骨鉄筋コンクリート造"</f>
        <v>鉄骨鉄筋コンクリート造</v>
      </c>
      <c r="L6074" s="7" t="str">
        <f>"S45.01.31"</f>
        <v>S45.01.31</v>
      </c>
      <c r="M6074" s="7">
        <v>77</v>
      </c>
      <c r="N6074" s="7">
        <v>2652865</v>
      </c>
      <c r="O6074" s="7">
        <v>2652864</v>
      </c>
      <c r="P6074" s="7">
        <v>0</v>
      </c>
      <c r="Q6074" s="7" t="str">
        <f t="shared" si="2224"/>
        <v>教育庁</v>
      </c>
      <c r="R6074" s="7" t="str">
        <f t="shared" si="2232"/>
        <v>高槻支援学校</v>
      </c>
    </row>
    <row r="6075" spans="1:18" s="1" customFormat="1" x14ac:dyDescent="0.45">
      <c r="A6075" s="7" t="str">
        <f t="shared" si="2229"/>
        <v>10506000000</v>
      </c>
      <c r="B6075" s="7" t="str">
        <f t="shared" si="2230"/>
        <v>高槻支援学校</v>
      </c>
      <c r="C6075" s="7" t="str">
        <f t="shared" si="2212"/>
        <v>行政財産</v>
      </c>
      <c r="D6075" s="7" t="str">
        <f t="shared" si="2233"/>
        <v>学校</v>
      </c>
      <c r="E6075" s="7" t="str">
        <f t="shared" si="2231"/>
        <v>大阪府高槻市富田町１丁目</v>
      </c>
      <c r="F6075" s="7"/>
      <c r="G6075" s="7" t="str">
        <f t="shared" si="2218"/>
        <v>事業用資産</v>
      </c>
      <c r="H6075" s="7" t="str">
        <f t="shared" si="2206"/>
        <v>棚卸以外</v>
      </c>
      <c r="I6075" s="7">
        <v>13</v>
      </c>
      <c r="J6075" s="7" t="str">
        <f>"渡り廊下（食堂前）"</f>
        <v>渡り廊下（食堂前）</v>
      </c>
      <c r="K6075" s="7" t="str">
        <f>"鉄骨造"</f>
        <v>鉄骨造</v>
      </c>
      <c r="L6075" s="7" t="str">
        <f>"S45.01.31"</f>
        <v>S45.01.31</v>
      </c>
      <c r="M6075" s="7">
        <v>140</v>
      </c>
      <c r="N6075" s="7">
        <v>2358369</v>
      </c>
      <c r="O6075" s="7">
        <v>2276493</v>
      </c>
      <c r="P6075" s="7">
        <v>0</v>
      </c>
      <c r="Q6075" s="7" t="str">
        <f t="shared" si="2224"/>
        <v>教育庁</v>
      </c>
      <c r="R6075" s="7" t="str">
        <f t="shared" si="2232"/>
        <v>高槻支援学校</v>
      </c>
    </row>
    <row r="6076" spans="1:18" s="1" customFormat="1" x14ac:dyDescent="0.45">
      <c r="A6076" s="7" t="str">
        <f t="shared" si="2229"/>
        <v>10506000000</v>
      </c>
      <c r="B6076" s="7" t="str">
        <f t="shared" si="2230"/>
        <v>高槻支援学校</v>
      </c>
      <c r="C6076" s="7" t="str">
        <f t="shared" si="2212"/>
        <v>行政財産</v>
      </c>
      <c r="D6076" s="7" t="str">
        <f t="shared" si="2233"/>
        <v>学校</v>
      </c>
      <c r="E6076" s="7" t="str">
        <f t="shared" si="2231"/>
        <v>大阪府高槻市富田町１丁目</v>
      </c>
      <c r="F6076" s="7"/>
      <c r="G6076" s="7" t="str">
        <f t="shared" si="2218"/>
        <v>事業用資産</v>
      </c>
      <c r="H6076" s="7" t="str">
        <f t="shared" si="2206"/>
        <v>棚卸以外</v>
      </c>
      <c r="I6076" s="7">
        <v>15</v>
      </c>
      <c r="J6076" s="7" t="str">
        <f>"体育館"</f>
        <v>体育館</v>
      </c>
      <c r="K6076" s="7" t="str">
        <f>"鉄筋コンクリート造"</f>
        <v>鉄筋コンクリート造</v>
      </c>
      <c r="L6076" s="7" t="str">
        <f>"S46.03.28"</f>
        <v>S46.03.28</v>
      </c>
      <c r="M6076" s="7">
        <v>574.65</v>
      </c>
      <c r="N6076" s="7">
        <v>49363294</v>
      </c>
      <c r="O6076" s="7">
        <v>40972927</v>
      </c>
      <c r="P6076" s="7">
        <v>0</v>
      </c>
      <c r="Q6076" s="7" t="str">
        <f t="shared" si="2224"/>
        <v>教育庁</v>
      </c>
      <c r="R6076" s="7" t="str">
        <f t="shared" si="2232"/>
        <v>高槻支援学校</v>
      </c>
    </row>
    <row r="6077" spans="1:18" s="1" customFormat="1" x14ac:dyDescent="0.45">
      <c r="A6077" s="7" t="str">
        <f t="shared" si="2229"/>
        <v>10506000000</v>
      </c>
      <c r="B6077" s="7" t="str">
        <f t="shared" si="2230"/>
        <v>高槻支援学校</v>
      </c>
      <c r="C6077" s="7" t="str">
        <f t="shared" si="2212"/>
        <v>行政財産</v>
      </c>
      <c r="D6077" s="7" t="str">
        <f t="shared" si="2233"/>
        <v>学校</v>
      </c>
      <c r="E6077" s="7" t="str">
        <f t="shared" si="2231"/>
        <v>大阪府高槻市富田町１丁目</v>
      </c>
      <c r="F6077" s="7"/>
      <c r="G6077" s="7" t="str">
        <f t="shared" si="2218"/>
        <v>事業用資産</v>
      </c>
      <c r="H6077" s="7" t="str">
        <f t="shared" si="2206"/>
        <v>棚卸以外</v>
      </c>
      <c r="I6077" s="7">
        <v>16</v>
      </c>
      <c r="J6077" s="7" t="str">
        <f>"渡り廊下（体育館前）"</f>
        <v>渡り廊下（体育館前）</v>
      </c>
      <c r="K6077" s="7" t="str">
        <f>"鉄骨造"</f>
        <v>鉄骨造</v>
      </c>
      <c r="L6077" s="7" t="str">
        <f>"S46.07.31"</f>
        <v>S46.07.31</v>
      </c>
      <c r="M6077" s="7">
        <v>142.55000000000001</v>
      </c>
      <c r="N6077" s="7">
        <v>1615000</v>
      </c>
      <c r="O6077" s="7">
        <v>1614999</v>
      </c>
      <c r="P6077" s="7">
        <v>0</v>
      </c>
      <c r="Q6077" s="7" t="str">
        <f t="shared" si="2224"/>
        <v>教育庁</v>
      </c>
      <c r="R6077" s="7" t="str">
        <f t="shared" si="2232"/>
        <v>高槻支援学校</v>
      </c>
    </row>
    <row r="6078" spans="1:18" s="1" customFormat="1" x14ac:dyDescent="0.45">
      <c r="A6078" s="7" t="str">
        <f t="shared" si="2229"/>
        <v>10506000000</v>
      </c>
      <c r="B6078" s="7" t="str">
        <f t="shared" si="2230"/>
        <v>高槻支援学校</v>
      </c>
      <c r="C6078" s="7" t="str">
        <f t="shared" si="2212"/>
        <v>行政財産</v>
      </c>
      <c r="D6078" s="7" t="str">
        <f t="shared" si="2233"/>
        <v>学校</v>
      </c>
      <c r="E6078" s="7" t="str">
        <f t="shared" si="2231"/>
        <v>大阪府高槻市富田町１丁目</v>
      </c>
      <c r="F6078" s="7"/>
      <c r="G6078" s="7" t="str">
        <f t="shared" si="2218"/>
        <v>事業用資産</v>
      </c>
      <c r="H6078" s="7" t="str">
        <f t="shared" si="2206"/>
        <v>棚卸以外</v>
      </c>
      <c r="I6078" s="7">
        <v>17</v>
      </c>
      <c r="J6078" s="7" t="str">
        <f>"屋外便所"</f>
        <v>屋外便所</v>
      </c>
      <c r="K6078" s="7" t="str">
        <f>"コンクリートブロック造"</f>
        <v>コンクリートブロック造</v>
      </c>
      <c r="L6078" s="7" t="str">
        <f>"S47.03.28"</f>
        <v>S47.03.28</v>
      </c>
      <c r="M6078" s="7">
        <v>6.8</v>
      </c>
      <c r="N6078" s="7">
        <v>1597653</v>
      </c>
      <c r="O6078" s="7">
        <v>1023999</v>
      </c>
      <c r="P6078" s="7">
        <v>0</v>
      </c>
      <c r="Q6078" s="7" t="str">
        <f t="shared" si="2224"/>
        <v>教育庁</v>
      </c>
      <c r="R6078" s="7" t="str">
        <f t="shared" si="2232"/>
        <v>高槻支援学校</v>
      </c>
    </row>
    <row r="6079" spans="1:18" s="1" customFormat="1" x14ac:dyDescent="0.45">
      <c r="A6079" s="7" t="str">
        <f t="shared" si="2229"/>
        <v>10506000000</v>
      </c>
      <c r="B6079" s="7" t="str">
        <f t="shared" si="2230"/>
        <v>高槻支援学校</v>
      </c>
      <c r="C6079" s="7" t="str">
        <f t="shared" si="2212"/>
        <v>行政財産</v>
      </c>
      <c r="D6079" s="7" t="str">
        <f t="shared" si="2233"/>
        <v>学校</v>
      </c>
      <c r="E6079" s="7" t="str">
        <f t="shared" si="2231"/>
        <v>大阪府高槻市富田町１丁目</v>
      </c>
      <c r="F6079" s="7"/>
      <c r="G6079" s="7" t="str">
        <f t="shared" si="2218"/>
        <v>事業用資産</v>
      </c>
      <c r="H6079" s="7" t="str">
        <f t="shared" si="2206"/>
        <v>棚卸以外</v>
      </c>
      <c r="I6079" s="7">
        <v>18</v>
      </c>
      <c r="J6079" s="7" t="str">
        <f>"実習室"</f>
        <v>実習室</v>
      </c>
      <c r="K6079" s="7" t="str">
        <f>"鉄筋コンクリート造"</f>
        <v>鉄筋コンクリート造</v>
      </c>
      <c r="L6079" s="7" t="str">
        <f>"S48.03.31"</f>
        <v>S48.03.31</v>
      </c>
      <c r="M6079" s="7">
        <v>108.72</v>
      </c>
      <c r="N6079" s="7">
        <v>9012000</v>
      </c>
      <c r="O6079" s="7">
        <v>9011999</v>
      </c>
      <c r="P6079" s="7">
        <v>0</v>
      </c>
      <c r="Q6079" s="7" t="str">
        <f t="shared" si="2224"/>
        <v>教育庁</v>
      </c>
      <c r="R6079" s="7" t="str">
        <f t="shared" si="2232"/>
        <v>高槻支援学校</v>
      </c>
    </row>
    <row r="6080" spans="1:18" s="1" customFormat="1" x14ac:dyDescent="0.45">
      <c r="A6080" s="7" t="str">
        <f t="shared" si="2229"/>
        <v>10506000000</v>
      </c>
      <c r="B6080" s="7" t="str">
        <f t="shared" si="2230"/>
        <v>高槻支援学校</v>
      </c>
      <c r="C6080" s="7" t="str">
        <f t="shared" si="2212"/>
        <v>行政財産</v>
      </c>
      <c r="D6080" s="7" t="str">
        <f t="shared" si="2233"/>
        <v>学校</v>
      </c>
      <c r="E6080" s="7" t="str">
        <f t="shared" si="2231"/>
        <v>大阪府高槻市富田町１丁目</v>
      </c>
      <c r="F6080" s="7"/>
      <c r="G6080" s="7" t="str">
        <f t="shared" si="2218"/>
        <v>事業用資産</v>
      </c>
      <c r="H6080" s="7" t="str">
        <f t="shared" si="2206"/>
        <v>棚卸以外</v>
      </c>
      <c r="I6080" s="7">
        <v>19</v>
      </c>
      <c r="J6080" s="7" t="str">
        <f>"体育．農具倉庫"</f>
        <v>体育．農具倉庫</v>
      </c>
      <c r="K6080" s="7" t="str">
        <f>"鉄筋コンクリート造"</f>
        <v>鉄筋コンクリート造</v>
      </c>
      <c r="L6080" s="7" t="str">
        <f>"S48.03.31"</f>
        <v>S48.03.31</v>
      </c>
      <c r="M6080" s="7">
        <v>36</v>
      </c>
      <c r="N6080" s="7">
        <v>2372000</v>
      </c>
      <c r="O6080" s="7">
        <v>2371999</v>
      </c>
      <c r="P6080" s="7">
        <v>0</v>
      </c>
      <c r="Q6080" s="7" t="str">
        <f t="shared" si="2224"/>
        <v>教育庁</v>
      </c>
      <c r="R6080" s="7" t="str">
        <f t="shared" si="2232"/>
        <v>高槻支援学校</v>
      </c>
    </row>
    <row r="6081" spans="1:18" s="1" customFormat="1" x14ac:dyDescent="0.45">
      <c r="A6081" s="7" t="str">
        <f t="shared" si="2229"/>
        <v>10506000000</v>
      </c>
      <c r="B6081" s="7" t="str">
        <f t="shared" si="2230"/>
        <v>高槻支援学校</v>
      </c>
      <c r="C6081" s="7" t="str">
        <f t="shared" si="2212"/>
        <v>行政財産</v>
      </c>
      <c r="D6081" s="7" t="str">
        <f t="shared" si="2233"/>
        <v>学校</v>
      </c>
      <c r="E6081" s="7" t="str">
        <f t="shared" si="2231"/>
        <v>大阪府高槻市富田町１丁目</v>
      </c>
      <c r="F6081" s="7"/>
      <c r="G6081" s="7" t="str">
        <f t="shared" si="2218"/>
        <v>事業用資産</v>
      </c>
      <c r="H6081" s="7" t="str">
        <f t="shared" si="2206"/>
        <v>棚卸以外</v>
      </c>
      <c r="I6081" s="7">
        <v>21</v>
      </c>
      <c r="J6081" s="7" t="str">
        <f>"発電気室"</f>
        <v>発電気室</v>
      </c>
      <c r="K6081" s="7" t="str">
        <f>"鉄筋コンクリート造"</f>
        <v>鉄筋コンクリート造</v>
      </c>
      <c r="L6081" s="7" t="str">
        <f>"S54.03.31"</f>
        <v>S54.03.31</v>
      </c>
      <c r="M6081" s="7">
        <v>20</v>
      </c>
      <c r="N6081" s="7">
        <v>8492036</v>
      </c>
      <c r="O6081" s="7">
        <v>8383035</v>
      </c>
      <c r="P6081" s="7">
        <v>0</v>
      </c>
      <c r="Q6081" s="7" t="str">
        <f t="shared" si="2224"/>
        <v>教育庁</v>
      </c>
      <c r="R6081" s="7" t="str">
        <f t="shared" si="2232"/>
        <v>高槻支援学校</v>
      </c>
    </row>
    <row r="6082" spans="1:18" s="1" customFormat="1" x14ac:dyDescent="0.45">
      <c r="A6082" s="7" t="str">
        <f t="shared" si="2229"/>
        <v>10506000000</v>
      </c>
      <c r="B6082" s="7" t="str">
        <f t="shared" si="2230"/>
        <v>高槻支援学校</v>
      </c>
      <c r="C6082" s="7" t="str">
        <f t="shared" si="2212"/>
        <v>行政財産</v>
      </c>
      <c r="D6082" s="7" t="str">
        <f t="shared" si="2233"/>
        <v>学校</v>
      </c>
      <c r="E6082" s="7" t="str">
        <f t="shared" si="2231"/>
        <v>大阪府高槻市富田町１丁目</v>
      </c>
      <c r="F6082" s="7"/>
      <c r="G6082" s="7" t="str">
        <f t="shared" si="2218"/>
        <v>事業用資産</v>
      </c>
      <c r="H6082" s="7" t="str">
        <f t="shared" si="2206"/>
        <v>棚卸以外</v>
      </c>
      <c r="I6082" s="7">
        <v>23</v>
      </c>
      <c r="J6082" s="7" t="str">
        <f>"温室"</f>
        <v>温室</v>
      </c>
      <c r="K6082" s="7" t="str">
        <f>"軽量鉄骨造"</f>
        <v>軽量鉄骨造</v>
      </c>
      <c r="L6082" s="7" t="str">
        <f>"S58.03.31"</f>
        <v>S58.03.31</v>
      </c>
      <c r="M6082" s="7">
        <v>46.58</v>
      </c>
      <c r="N6082" s="7">
        <v>2542000</v>
      </c>
      <c r="O6082" s="7">
        <v>2541999</v>
      </c>
      <c r="P6082" s="7">
        <v>0</v>
      </c>
      <c r="Q6082" s="7" t="str">
        <f t="shared" si="2224"/>
        <v>教育庁</v>
      </c>
      <c r="R6082" s="7" t="str">
        <f t="shared" si="2232"/>
        <v>高槻支援学校</v>
      </c>
    </row>
    <row r="6083" spans="1:18" s="1" customFormat="1" x14ac:dyDescent="0.45">
      <c r="A6083" s="7" t="str">
        <f t="shared" si="2229"/>
        <v>10506000000</v>
      </c>
      <c r="B6083" s="7" t="str">
        <f t="shared" si="2230"/>
        <v>高槻支援学校</v>
      </c>
      <c r="C6083" s="7" t="str">
        <f t="shared" si="2212"/>
        <v>行政財産</v>
      </c>
      <c r="D6083" s="7" t="str">
        <f t="shared" si="2233"/>
        <v>学校</v>
      </c>
      <c r="E6083" s="7" t="str">
        <f t="shared" si="2231"/>
        <v>大阪府高槻市富田町１丁目</v>
      </c>
      <c r="F6083" s="7"/>
      <c r="G6083" s="7" t="str">
        <f t="shared" si="2218"/>
        <v>事業用資産</v>
      </c>
      <c r="H6083" s="7" t="str">
        <f t="shared" si="2206"/>
        <v>棚卸以外</v>
      </c>
      <c r="I6083" s="7">
        <v>24</v>
      </c>
      <c r="J6083" s="7" t="str">
        <f>"プール附属棟"</f>
        <v>プール附属棟</v>
      </c>
      <c r="K6083" s="7" t="str">
        <f>"鉄筋コンクリート造"</f>
        <v>鉄筋コンクリート造</v>
      </c>
      <c r="L6083" s="7" t="str">
        <f>"S58.03.31"</f>
        <v>S58.03.31</v>
      </c>
      <c r="M6083" s="7">
        <v>72.03</v>
      </c>
      <c r="N6083" s="7">
        <v>2169579</v>
      </c>
      <c r="O6083" s="7">
        <v>1901999</v>
      </c>
      <c r="P6083" s="7">
        <v>0</v>
      </c>
      <c r="Q6083" s="7" t="str">
        <f t="shared" si="2224"/>
        <v>教育庁</v>
      </c>
      <c r="R6083" s="7" t="str">
        <f t="shared" si="2232"/>
        <v>高槻支援学校</v>
      </c>
    </row>
    <row r="6084" spans="1:18" s="1" customFormat="1" x14ac:dyDescent="0.45">
      <c r="A6084" s="7" t="str">
        <f t="shared" si="2229"/>
        <v>10506000000</v>
      </c>
      <c r="B6084" s="7" t="str">
        <f t="shared" si="2230"/>
        <v>高槻支援学校</v>
      </c>
      <c r="C6084" s="7" t="str">
        <f t="shared" si="2212"/>
        <v>行政財産</v>
      </c>
      <c r="D6084" s="7" t="str">
        <f t="shared" si="2233"/>
        <v>学校</v>
      </c>
      <c r="E6084" s="7" t="str">
        <f t="shared" si="2231"/>
        <v>大阪府高槻市富田町１丁目</v>
      </c>
      <c r="F6084" s="7"/>
      <c r="G6084" s="7" t="str">
        <f t="shared" si="2218"/>
        <v>事業用資産</v>
      </c>
      <c r="H6084" s="7" t="str">
        <f t="shared" ref="H6084:H6147" si="2234">"棚卸以外"</f>
        <v>棚卸以外</v>
      </c>
      <c r="I6084" s="7">
        <v>26</v>
      </c>
      <c r="J6084" s="7" t="str">
        <f>"校舎"</f>
        <v>校舎</v>
      </c>
      <c r="K6084" s="7" t="str">
        <f>"軽量鉄骨造"</f>
        <v>軽量鉄骨造</v>
      </c>
      <c r="L6084" s="7" t="str">
        <f>"H01.09.20"</f>
        <v>H01.09.20</v>
      </c>
      <c r="M6084" s="7">
        <v>248.07</v>
      </c>
      <c r="N6084" s="7">
        <v>42255861</v>
      </c>
      <c r="O6084" s="7">
        <v>41811848</v>
      </c>
      <c r="P6084" s="7">
        <v>0</v>
      </c>
      <c r="Q6084" s="7" t="str">
        <f t="shared" si="2224"/>
        <v>教育庁</v>
      </c>
      <c r="R6084" s="7" t="str">
        <f t="shared" si="2232"/>
        <v>高槻支援学校</v>
      </c>
    </row>
    <row r="6085" spans="1:18" s="1" customFormat="1" x14ac:dyDescent="0.45">
      <c r="A6085" s="7" t="str">
        <f t="shared" si="2229"/>
        <v>10506000000</v>
      </c>
      <c r="B6085" s="7" t="str">
        <f t="shared" si="2230"/>
        <v>高槻支援学校</v>
      </c>
      <c r="C6085" s="7" t="str">
        <f t="shared" si="2212"/>
        <v>行政財産</v>
      </c>
      <c r="D6085" s="7" t="str">
        <f t="shared" si="2233"/>
        <v>学校</v>
      </c>
      <c r="E6085" s="7" t="str">
        <f t="shared" si="2231"/>
        <v>大阪府高槻市富田町１丁目</v>
      </c>
      <c r="F6085" s="7"/>
      <c r="G6085" s="7" t="str">
        <f t="shared" si="2218"/>
        <v>事業用資産</v>
      </c>
      <c r="H6085" s="7" t="str">
        <f t="shared" si="2234"/>
        <v>棚卸以外</v>
      </c>
      <c r="I6085" s="7">
        <v>27</v>
      </c>
      <c r="J6085" s="7" t="str">
        <f>"便所（屋外）"</f>
        <v>便所（屋外）</v>
      </c>
      <c r="K6085" s="7" t="str">
        <f>"軽量鉄骨造"</f>
        <v>軽量鉄骨造</v>
      </c>
      <c r="L6085" s="7" t="str">
        <f>"H01.09.20"</f>
        <v>H01.09.20</v>
      </c>
      <c r="M6085" s="7">
        <v>22.5</v>
      </c>
      <c r="N6085" s="7">
        <v>9466000</v>
      </c>
      <c r="O6085" s="7">
        <v>8333754</v>
      </c>
      <c r="P6085" s="7">
        <v>0</v>
      </c>
      <c r="Q6085" s="7" t="str">
        <f t="shared" si="2224"/>
        <v>教育庁</v>
      </c>
      <c r="R6085" s="7" t="str">
        <f t="shared" si="2232"/>
        <v>高槻支援学校</v>
      </c>
    </row>
    <row r="6086" spans="1:18" s="1" customFormat="1" x14ac:dyDescent="0.45">
      <c r="A6086" s="7" t="str">
        <f t="shared" si="2229"/>
        <v>10506000000</v>
      </c>
      <c r="B6086" s="7" t="str">
        <f t="shared" si="2230"/>
        <v>高槻支援学校</v>
      </c>
      <c r="C6086" s="7" t="str">
        <f t="shared" si="2212"/>
        <v>行政財産</v>
      </c>
      <c r="D6086" s="7" t="str">
        <f t="shared" si="2233"/>
        <v>学校</v>
      </c>
      <c r="E6086" s="7" t="str">
        <f t="shared" si="2231"/>
        <v>大阪府高槻市富田町１丁目</v>
      </c>
      <c r="F6086" s="7"/>
      <c r="G6086" s="7" t="str">
        <f t="shared" si="2218"/>
        <v>事業用資産</v>
      </c>
      <c r="H6086" s="7" t="str">
        <f t="shared" si="2234"/>
        <v>棚卸以外</v>
      </c>
      <c r="I6086" s="7">
        <v>29</v>
      </c>
      <c r="J6086" s="7" t="str">
        <f>"守衛室"</f>
        <v>守衛室</v>
      </c>
      <c r="K6086" s="7" t="str">
        <f>"軽量鉄骨造"</f>
        <v>軽量鉄骨造</v>
      </c>
      <c r="L6086" s="7" t="str">
        <f>"H15.12.16"</f>
        <v>H15.12.16</v>
      </c>
      <c r="M6086" s="7">
        <v>6.05</v>
      </c>
      <c r="N6086" s="7">
        <v>750000</v>
      </c>
      <c r="O6086" s="7">
        <v>481404</v>
      </c>
      <c r="P6086" s="7">
        <v>0</v>
      </c>
      <c r="Q6086" s="7" t="str">
        <f t="shared" si="2224"/>
        <v>教育庁</v>
      </c>
      <c r="R6086" s="7" t="str">
        <f t="shared" si="2232"/>
        <v>高槻支援学校</v>
      </c>
    </row>
    <row r="6087" spans="1:18" s="1" customFormat="1" x14ac:dyDescent="0.45">
      <c r="A6087" s="7" t="str">
        <f t="shared" si="2229"/>
        <v>10506000000</v>
      </c>
      <c r="B6087" s="7" t="str">
        <f t="shared" si="2230"/>
        <v>高槻支援学校</v>
      </c>
      <c r="C6087" s="7" t="str">
        <f t="shared" si="2212"/>
        <v>行政財産</v>
      </c>
      <c r="D6087" s="7" t="str">
        <f t="shared" si="2233"/>
        <v>学校</v>
      </c>
      <c r="E6087" s="7" t="str">
        <f t="shared" si="2231"/>
        <v>大阪府高槻市富田町１丁目</v>
      </c>
      <c r="F6087" s="7"/>
      <c r="G6087" s="7" t="str">
        <f t="shared" si="2218"/>
        <v>事業用資産</v>
      </c>
      <c r="H6087" s="7" t="str">
        <f t="shared" si="2234"/>
        <v>棚卸以外</v>
      </c>
      <c r="I6087" s="7">
        <v>30</v>
      </c>
      <c r="J6087" s="7" t="str">
        <f>"厨房用ゴミ置場"</f>
        <v>厨房用ゴミ置場</v>
      </c>
      <c r="K6087" s="7" t="str">
        <f>"鉄骨造"</f>
        <v>鉄骨造</v>
      </c>
      <c r="L6087" s="7" t="str">
        <f>"H16.03.31"</f>
        <v>H16.03.31</v>
      </c>
      <c r="M6087" s="7">
        <v>4.07</v>
      </c>
      <c r="N6087" s="7">
        <v>716000</v>
      </c>
      <c r="O6087" s="7">
        <v>439128</v>
      </c>
      <c r="P6087" s="7">
        <v>0</v>
      </c>
      <c r="Q6087" s="7" t="str">
        <f t="shared" si="2224"/>
        <v>教育庁</v>
      </c>
      <c r="R6087" s="7" t="str">
        <f t="shared" si="2232"/>
        <v>高槻支援学校</v>
      </c>
    </row>
    <row r="6088" spans="1:18" s="1" customFormat="1" x14ac:dyDescent="0.45">
      <c r="A6088" s="7" t="str">
        <f t="shared" si="2229"/>
        <v>10506000000</v>
      </c>
      <c r="B6088" s="7" t="str">
        <f t="shared" si="2230"/>
        <v>高槻支援学校</v>
      </c>
      <c r="C6088" s="7" t="str">
        <f t="shared" si="2212"/>
        <v>行政財産</v>
      </c>
      <c r="D6088" s="7" t="str">
        <f t="shared" si="2233"/>
        <v>学校</v>
      </c>
      <c r="E6088" s="7" t="str">
        <f t="shared" si="2231"/>
        <v>大阪府高槻市富田町１丁目</v>
      </c>
      <c r="F6088" s="7"/>
      <c r="G6088" s="7" t="str">
        <f t="shared" si="2218"/>
        <v>事業用資産</v>
      </c>
      <c r="H6088" s="7" t="str">
        <f t="shared" si="2234"/>
        <v>棚卸以外</v>
      </c>
      <c r="I6088" s="7">
        <v>31</v>
      </c>
      <c r="J6088" s="7" t="str">
        <f>"ゴミ置場"</f>
        <v>ゴミ置場</v>
      </c>
      <c r="K6088" s="7" t="str">
        <f>"木造"</f>
        <v>木造</v>
      </c>
      <c r="L6088" s="7" t="str">
        <f>"H15.12.01"</f>
        <v>H15.12.01</v>
      </c>
      <c r="M6088" s="7">
        <v>12.21</v>
      </c>
      <c r="N6088" s="7">
        <v>168000</v>
      </c>
      <c r="O6088" s="7">
        <v>167999</v>
      </c>
      <c r="P6088" s="7">
        <v>0</v>
      </c>
      <c r="Q6088" s="7" t="str">
        <f t="shared" si="2224"/>
        <v>教育庁</v>
      </c>
      <c r="R6088" s="7" t="str">
        <f t="shared" si="2232"/>
        <v>高槻支援学校</v>
      </c>
    </row>
    <row r="6089" spans="1:18" s="1" customFormat="1" x14ac:dyDescent="0.45">
      <c r="A6089" s="7" t="str">
        <f t="shared" ref="A6089:A6107" si="2235">"10507000000"</f>
        <v>10507000000</v>
      </c>
      <c r="B6089" s="7" t="str">
        <f t="shared" ref="B6089:B6107" si="2236">"八尾支援学校"</f>
        <v>八尾支援学校</v>
      </c>
      <c r="C6089" s="7" t="str">
        <f t="shared" si="2212"/>
        <v>行政財産</v>
      </c>
      <c r="D6089" s="7" t="str">
        <f t="shared" si="2233"/>
        <v>学校</v>
      </c>
      <c r="E6089" s="7" t="str">
        <f t="shared" ref="E6089:E6107" si="2237">"大阪府八尾市上之島町南７丁目"</f>
        <v>大阪府八尾市上之島町南７丁目</v>
      </c>
      <c r="F6089" s="7"/>
      <c r="G6089" s="7" t="str">
        <f t="shared" si="2218"/>
        <v>事業用資産</v>
      </c>
      <c r="H6089" s="7" t="str">
        <f t="shared" si="2234"/>
        <v>棚卸以外</v>
      </c>
      <c r="I6089" s="7">
        <v>1</v>
      </c>
      <c r="J6089" s="7" t="str">
        <f>"校舎（小学棟）"</f>
        <v>校舎（小学棟）</v>
      </c>
      <c r="K6089" s="7" t="str">
        <f>"鉄筋コンクリート造"</f>
        <v>鉄筋コンクリート造</v>
      </c>
      <c r="L6089" s="7" t="str">
        <f>"S42.03.15"</f>
        <v>S42.03.15</v>
      </c>
      <c r="M6089" s="7">
        <v>3540.45</v>
      </c>
      <c r="N6089" s="7">
        <v>351713382</v>
      </c>
      <c r="O6089" s="7">
        <v>261857221</v>
      </c>
      <c r="P6089" s="7">
        <v>0</v>
      </c>
      <c r="Q6089" s="7" t="str">
        <f t="shared" si="2224"/>
        <v>教育庁</v>
      </c>
      <c r="R6089" s="7" t="str">
        <f t="shared" ref="R6089:R6107" si="2238">"八尾支援学校"</f>
        <v>八尾支援学校</v>
      </c>
    </row>
    <row r="6090" spans="1:18" s="1" customFormat="1" x14ac:dyDescent="0.45">
      <c r="A6090" s="7" t="str">
        <f t="shared" si="2235"/>
        <v>10507000000</v>
      </c>
      <c r="B6090" s="7" t="str">
        <f t="shared" si="2236"/>
        <v>八尾支援学校</v>
      </c>
      <c r="C6090" s="7" t="str">
        <f t="shared" si="2212"/>
        <v>行政財産</v>
      </c>
      <c r="D6090" s="7" t="str">
        <f t="shared" si="2233"/>
        <v>学校</v>
      </c>
      <c r="E6090" s="7" t="str">
        <f t="shared" si="2237"/>
        <v>大阪府八尾市上之島町南７丁目</v>
      </c>
      <c r="F6090" s="7"/>
      <c r="G6090" s="7" t="str">
        <f t="shared" si="2218"/>
        <v>事業用資産</v>
      </c>
      <c r="H6090" s="7" t="str">
        <f t="shared" si="2234"/>
        <v>棚卸以外</v>
      </c>
      <c r="I6090" s="7">
        <v>2</v>
      </c>
      <c r="J6090" s="7" t="str">
        <f>"受水槽ポンプ室"</f>
        <v>受水槽ポンプ室</v>
      </c>
      <c r="K6090" s="7" t="str">
        <f>"鉄筋コンクリート造"</f>
        <v>鉄筋コンクリート造</v>
      </c>
      <c r="L6090" s="7" t="str">
        <f>"S42.03.15"</f>
        <v>S42.03.15</v>
      </c>
      <c r="M6090" s="7">
        <v>19.98</v>
      </c>
      <c r="N6090" s="7">
        <v>756000</v>
      </c>
      <c r="O6090" s="7">
        <v>755999</v>
      </c>
      <c r="P6090" s="7">
        <v>0</v>
      </c>
      <c r="Q6090" s="7" t="str">
        <f t="shared" si="2224"/>
        <v>教育庁</v>
      </c>
      <c r="R6090" s="7" t="str">
        <f t="shared" si="2238"/>
        <v>八尾支援学校</v>
      </c>
    </row>
    <row r="6091" spans="1:18" s="1" customFormat="1" x14ac:dyDescent="0.45">
      <c r="A6091" s="7" t="str">
        <f t="shared" si="2235"/>
        <v>10507000000</v>
      </c>
      <c r="B6091" s="7" t="str">
        <f t="shared" si="2236"/>
        <v>八尾支援学校</v>
      </c>
      <c r="C6091" s="7" t="str">
        <f t="shared" si="2212"/>
        <v>行政財産</v>
      </c>
      <c r="D6091" s="7" t="str">
        <f t="shared" si="2233"/>
        <v>学校</v>
      </c>
      <c r="E6091" s="7" t="str">
        <f t="shared" si="2237"/>
        <v>大阪府八尾市上之島町南７丁目</v>
      </c>
      <c r="F6091" s="7"/>
      <c r="G6091" s="7" t="str">
        <f t="shared" si="2218"/>
        <v>事業用資産</v>
      </c>
      <c r="H6091" s="7" t="str">
        <f t="shared" si="2234"/>
        <v>棚卸以外</v>
      </c>
      <c r="I6091" s="7">
        <v>3</v>
      </c>
      <c r="J6091" s="7" t="str">
        <f>"倉庫"</f>
        <v>倉庫</v>
      </c>
      <c r="K6091" s="7" t="str">
        <f>"コンクリートブロック造"</f>
        <v>コンクリートブロック造</v>
      </c>
      <c r="L6091" s="7" t="str">
        <f>"S42.03.15"</f>
        <v>S42.03.15</v>
      </c>
      <c r="M6091" s="7">
        <v>9.94</v>
      </c>
      <c r="N6091" s="7">
        <v>490000</v>
      </c>
      <c r="O6091" s="7">
        <v>489999</v>
      </c>
      <c r="P6091" s="7">
        <v>0</v>
      </c>
      <c r="Q6091" s="7" t="str">
        <f t="shared" si="2224"/>
        <v>教育庁</v>
      </c>
      <c r="R6091" s="7" t="str">
        <f t="shared" si="2238"/>
        <v>八尾支援学校</v>
      </c>
    </row>
    <row r="6092" spans="1:18" s="1" customFormat="1" x14ac:dyDescent="0.45">
      <c r="A6092" s="7" t="str">
        <f t="shared" si="2235"/>
        <v>10507000000</v>
      </c>
      <c r="B6092" s="7" t="str">
        <f t="shared" si="2236"/>
        <v>八尾支援学校</v>
      </c>
      <c r="C6092" s="7" t="str">
        <f t="shared" si="2212"/>
        <v>行政財産</v>
      </c>
      <c r="D6092" s="7" t="str">
        <f t="shared" si="2233"/>
        <v>学校</v>
      </c>
      <c r="E6092" s="7" t="str">
        <f t="shared" si="2237"/>
        <v>大阪府八尾市上之島町南７丁目</v>
      </c>
      <c r="F6092" s="7"/>
      <c r="G6092" s="7" t="str">
        <f t="shared" si="2218"/>
        <v>事業用資産</v>
      </c>
      <c r="H6092" s="7" t="str">
        <f t="shared" si="2234"/>
        <v>棚卸以外</v>
      </c>
      <c r="I6092" s="7">
        <v>4</v>
      </c>
      <c r="J6092" s="7" t="str">
        <f>"校舎（管理棟・中学部棟・作業棟）"</f>
        <v>校舎（管理棟・中学部棟・作業棟）</v>
      </c>
      <c r="K6092" s="7" t="str">
        <f>"鉄筋コンクリート造"</f>
        <v>鉄筋コンクリート造</v>
      </c>
      <c r="L6092" s="7" t="str">
        <f>"S43.02.10"</f>
        <v>S43.02.10</v>
      </c>
      <c r="M6092" s="7">
        <v>6292.37</v>
      </c>
      <c r="N6092" s="7">
        <v>884535414</v>
      </c>
      <c r="O6092" s="7">
        <v>638387073</v>
      </c>
      <c r="P6092" s="7">
        <v>0</v>
      </c>
      <c r="Q6092" s="7" t="str">
        <f t="shared" si="2224"/>
        <v>教育庁</v>
      </c>
      <c r="R6092" s="7" t="str">
        <f t="shared" si="2238"/>
        <v>八尾支援学校</v>
      </c>
    </row>
    <row r="6093" spans="1:18" s="1" customFormat="1" x14ac:dyDescent="0.45">
      <c r="A6093" s="7" t="str">
        <f t="shared" si="2235"/>
        <v>10507000000</v>
      </c>
      <c r="B6093" s="7" t="str">
        <f t="shared" si="2236"/>
        <v>八尾支援学校</v>
      </c>
      <c r="C6093" s="7" t="str">
        <f t="shared" ref="C6093:C6156" si="2239">"行政財産"</f>
        <v>行政財産</v>
      </c>
      <c r="D6093" s="7" t="str">
        <f t="shared" si="2233"/>
        <v>学校</v>
      </c>
      <c r="E6093" s="7" t="str">
        <f t="shared" si="2237"/>
        <v>大阪府八尾市上之島町南７丁目</v>
      </c>
      <c r="F6093" s="7"/>
      <c r="G6093" s="7" t="str">
        <f t="shared" si="2218"/>
        <v>事業用資産</v>
      </c>
      <c r="H6093" s="7" t="str">
        <f t="shared" si="2234"/>
        <v>棚卸以外</v>
      </c>
      <c r="I6093" s="7">
        <v>5</v>
      </c>
      <c r="J6093" s="7" t="str">
        <f>"車庫"</f>
        <v>車庫</v>
      </c>
      <c r="K6093" s="7" t="str">
        <f>"鉄骨造"</f>
        <v>鉄骨造</v>
      </c>
      <c r="L6093" s="7" t="str">
        <f>"S43.02.10"</f>
        <v>S43.02.10</v>
      </c>
      <c r="M6093" s="7">
        <v>188.55</v>
      </c>
      <c r="N6093" s="7">
        <v>7608000</v>
      </c>
      <c r="O6093" s="7">
        <v>7607999</v>
      </c>
      <c r="P6093" s="7">
        <v>0</v>
      </c>
      <c r="Q6093" s="7" t="str">
        <f t="shared" si="2224"/>
        <v>教育庁</v>
      </c>
      <c r="R6093" s="7" t="str">
        <f t="shared" si="2238"/>
        <v>八尾支援学校</v>
      </c>
    </row>
    <row r="6094" spans="1:18" s="1" customFormat="1" x14ac:dyDescent="0.45">
      <c r="A6094" s="7" t="str">
        <f t="shared" si="2235"/>
        <v>10507000000</v>
      </c>
      <c r="B6094" s="7" t="str">
        <f t="shared" si="2236"/>
        <v>八尾支援学校</v>
      </c>
      <c r="C6094" s="7" t="str">
        <f t="shared" si="2239"/>
        <v>行政財産</v>
      </c>
      <c r="D6094" s="7" t="str">
        <f t="shared" si="2233"/>
        <v>学校</v>
      </c>
      <c r="E6094" s="7" t="str">
        <f t="shared" si="2237"/>
        <v>大阪府八尾市上之島町南７丁目</v>
      </c>
      <c r="F6094" s="7"/>
      <c r="G6094" s="7" t="str">
        <f t="shared" si="2218"/>
        <v>事業用資産</v>
      </c>
      <c r="H6094" s="7" t="str">
        <f t="shared" si="2234"/>
        <v>棚卸以外</v>
      </c>
      <c r="I6094" s="7">
        <v>6</v>
      </c>
      <c r="J6094" s="7" t="str">
        <f>"倉庫"</f>
        <v>倉庫</v>
      </c>
      <c r="K6094" s="7" t="str">
        <f>"コンクリートブロック造"</f>
        <v>コンクリートブロック造</v>
      </c>
      <c r="L6094" s="7" t="str">
        <f>"S43.02.10"</f>
        <v>S43.02.10</v>
      </c>
      <c r="M6094" s="7">
        <v>12.94</v>
      </c>
      <c r="N6094" s="7">
        <v>550000</v>
      </c>
      <c r="O6094" s="7">
        <v>549999</v>
      </c>
      <c r="P6094" s="7">
        <v>0</v>
      </c>
      <c r="Q6094" s="7" t="str">
        <f t="shared" si="2224"/>
        <v>教育庁</v>
      </c>
      <c r="R6094" s="7" t="str">
        <f t="shared" si="2238"/>
        <v>八尾支援学校</v>
      </c>
    </row>
    <row r="6095" spans="1:18" s="1" customFormat="1" x14ac:dyDescent="0.45">
      <c r="A6095" s="7" t="str">
        <f t="shared" si="2235"/>
        <v>10507000000</v>
      </c>
      <c r="B6095" s="7" t="str">
        <f t="shared" si="2236"/>
        <v>八尾支援学校</v>
      </c>
      <c r="C6095" s="7" t="str">
        <f t="shared" si="2239"/>
        <v>行政財産</v>
      </c>
      <c r="D6095" s="7" t="str">
        <f t="shared" si="2233"/>
        <v>学校</v>
      </c>
      <c r="E6095" s="7" t="str">
        <f t="shared" si="2237"/>
        <v>大阪府八尾市上之島町南７丁目</v>
      </c>
      <c r="F6095" s="7"/>
      <c r="G6095" s="7" t="str">
        <f t="shared" si="2218"/>
        <v>事業用資産</v>
      </c>
      <c r="H6095" s="7" t="str">
        <f t="shared" si="2234"/>
        <v>棚卸以外</v>
      </c>
      <c r="I6095" s="7">
        <v>13</v>
      </c>
      <c r="J6095" s="7" t="str">
        <f>"作業倉庫"</f>
        <v>作業倉庫</v>
      </c>
      <c r="K6095" s="7" t="str">
        <f>"コンクリートブロック造"</f>
        <v>コンクリートブロック造</v>
      </c>
      <c r="L6095" s="7" t="str">
        <f>"S45.01.23"</f>
        <v>S45.01.23</v>
      </c>
      <c r="M6095" s="7">
        <v>78.37</v>
      </c>
      <c r="N6095" s="7">
        <v>3275000</v>
      </c>
      <c r="O6095" s="7">
        <v>3274999</v>
      </c>
      <c r="P6095" s="7">
        <v>0</v>
      </c>
      <c r="Q6095" s="7" t="str">
        <f t="shared" si="2224"/>
        <v>教育庁</v>
      </c>
      <c r="R6095" s="7" t="str">
        <f t="shared" si="2238"/>
        <v>八尾支援学校</v>
      </c>
    </row>
    <row r="6096" spans="1:18" s="1" customFormat="1" x14ac:dyDescent="0.45">
      <c r="A6096" s="7" t="str">
        <f t="shared" si="2235"/>
        <v>10507000000</v>
      </c>
      <c r="B6096" s="7" t="str">
        <f t="shared" si="2236"/>
        <v>八尾支援学校</v>
      </c>
      <c r="C6096" s="7" t="str">
        <f t="shared" si="2239"/>
        <v>行政財産</v>
      </c>
      <c r="D6096" s="7" t="str">
        <f t="shared" si="2233"/>
        <v>学校</v>
      </c>
      <c r="E6096" s="7" t="str">
        <f t="shared" si="2237"/>
        <v>大阪府八尾市上之島町南７丁目</v>
      </c>
      <c r="F6096" s="7"/>
      <c r="G6096" s="7" t="str">
        <f t="shared" si="2218"/>
        <v>事業用資産</v>
      </c>
      <c r="H6096" s="7" t="str">
        <f t="shared" si="2234"/>
        <v>棚卸以外</v>
      </c>
      <c r="I6096" s="7">
        <v>17</v>
      </c>
      <c r="J6096" s="7" t="str">
        <f>"体育館"</f>
        <v>体育館</v>
      </c>
      <c r="K6096" s="7" t="str">
        <f>"鉄筋コンクリート造"</f>
        <v>鉄筋コンクリート造</v>
      </c>
      <c r="L6096" s="7" t="str">
        <f>"S47.03.21"</f>
        <v>S47.03.21</v>
      </c>
      <c r="M6096" s="7">
        <v>602.54999999999995</v>
      </c>
      <c r="N6096" s="7">
        <v>94765154</v>
      </c>
      <c r="O6096" s="7">
        <v>67212028</v>
      </c>
      <c r="P6096" s="7">
        <v>0</v>
      </c>
      <c r="Q6096" s="7" t="str">
        <f t="shared" si="2224"/>
        <v>教育庁</v>
      </c>
      <c r="R6096" s="7" t="str">
        <f t="shared" si="2238"/>
        <v>八尾支援学校</v>
      </c>
    </row>
    <row r="6097" spans="1:18" s="1" customFormat="1" x14ac:dyDescent="0.45">
      <c r="A6097" s="7" t="str">
        <f t="shared" si="2235"/>
        <v>10507000000</v>
      </c>
      <c r="B6097" s="7" t="str">
        <f t="shared" si="2236"/>
        <v>八尾支援学校</v>
      </c>
      <c r="C6097" s="7" t="str">
        <f t="shared" si="2239"/>
        <v>行政財産</v>
      </c>
      <c r="D6097" s="7" t="str">
        <f t="shared" si="2233"/>
        <v>学校</v>
      </c>
      <c r="E6097" s="7" t="str">
        <f t="shared" si="2237"/>
        <v>大阪府八尾市上之島町南７丁目</v>
      </c>
      <c r="F6097" s="7"/>
      <c r="G6097" s="7" t="str">
        <f t="shared" si="2218"/>
        <v>事業用資産</v>
      </c>
      <c r="H6097" s="7" t="str">
        <f t="shared" si="2234"/>
        <v>棚卸以外</v>
      </c>
      <c r="I6097" s="7">
        <v>20</v>
      </c>
      <c r="J6097" s="7" t="str">
        <f>"運転手控室"</f>
        <v>運転手控室</v>
      </c>
      <c r="K6097" s="7" t="str">
        <f>"コンクリートブロック造"</f>
        <v>コンクリートブロック造</v>
      </c>
      <c r="L6097" s="7" t="str">
        <f>"S49.11.29"</f>
        <v>S49.11.29</v>
      </c>
      <c r="M6097" s="7">
        <v>37.31</v>
      </c>
      <c r="N6097" s="7">
        <v>6155680</v>
      </c>
      <c r="O6097" s="7">
        <v>5377285</v>
      </c>
      <c r="P6097" s="7">
        <v>0</v>
      </c>
      <c r="Q6097" s="7" t="str">
        <f t="shared" si="2224"/>
        <v>教育庁</v>
      </c>
      <c r="R6097" s="7" t="str">
        <f t="shared" si="2238"/>
        <v>八尾支援学校</v>
      </c>
    </row>
    <row r="6098" spans="1:18" s="1" customFormat="1" x14ac:dyDescent="0.45">
      <c r="A6098" s="7" t="str">
        <f t="shared" si="2235"/>
        <v>10507000000</v>
      </c>
      <c r="B6098" s="7" t="str">
        <f t="shared" si="2236"/>
        <v>八尾支援学校</v>
      </c>
      <c r="C6098" s="7" t="str">
        <f t="shared" si="2239"/>
        <v>行政財産</v>
      </c>
      <c r="D6098" s="7" t="str">
        <f t="shared" si="2233"/>
        <v>学校</v>
      </c>
      <c r="E6098" s="7" t="str">
        <f t="shared" si="2237"/>
        <v>大阪府八尾市上之島町南７丁目</v>
      </c>
      <c r="F6098" s="7"/>
      <c r="G6098" s="7" t="str">
        <f t="shared" si="2218"/>
        <v>事業用資産</v>
      </c>
      <c r="H6098" s="7" t="str">
        <f t="shared" si="2234"/>
        <v>棚卸以外</v>
      </c>
      <c r="I6098" s="7">
        <v>21</v>
      </c>
      <c r="J6098" s="7" t="str">
        <f>"校舎（プレハブ棟）"</f>
        <v>校舎（プレハブ棟）</v>
      </c>
      <c r="K6098" s="7" t="str">
        <f>"鉄骨造"</f>
        <v>鉄骨造</v>
      </c>
      <c r="L6098" s="7" t="str">
        <f>"S50.03.30"</f>
        <v>S50.03.30</v>
      </c>
      <c r="M6098" s="7">
        <v>731.72</v>
      </c>
      <c r="N6098" s="7">
        <v>74515525</v>
      </c>
      <c r="O6098" s="7">
        <v>66649338</v>
      </c>
      <c r="P6098" s="7">
        <v>0</v>
      </c>
      <c r="Q6098" s="7" t="str">
        <f t="shared" si="2224"/>
        <v>教育庁</v>
      </c>
      <c r="R6098" s="7" t="str">
        <f t="shared" si="2238"/>
        <v>八尾支援学校</v>
      </c>
    </row>
    <row r="6099" spans="1:18" s="1" customFormat="1" x14ac:dyDescent="0.45">
      <c r="A6099" s="7" t="str">
        <f t="shared" si="2235"/>
        <v>10507000000</v>
      </c>
      <c r="B6099" s="7" t="str">
        <f t="shared" si="2236"/>
        <v>八尾支援学校</v>
      </c>
      <c r="C6099" s="7" t="str">
        <f t="shared" si="2239"/>
        <v>行政財産</v>
      </c>
      <c r="D6099" s="7" t="str">
        <f t="shared" si="2233"/>
        <v>学校</v>
      </c>
      <c r="E6099" s="7" t="str">
        <f t="shared" si="2237"/>
        <v>大阪府八尾市上之島町南７丁目</v>
      </c>
      <c r="F6099" s="7"/>
      <c r="G6099" s="7" t="str">
        <f t="shared" si="2218"/>
        <v>事業用資産</v>
      </c>
      <c r="H6099" s="7" t="str">
        <f t="shared" si="2234"/>
        <v>棚卸以外</v>
      </c>
      <c r="I6099" s="7">
        <v>22</v>
      </c>
      <c r="J6099" s="7" t="str">
        <f>"倉庫"</f>
        <v>倉庫</v>
      </c>
      <c r="K6099" s="7" t="str">
        <f>"鉄骨造"</f>
        <v>鉄骨造</v>
      </c>
      <c r="L6099" s="7" t="str">
        <f>"S51.03.30"</f>
        <v>S51.03.30</v>
      </c>
      <c r="M6099" s="7">
        <v>78.75</v>
      </c>
      <c r="N6099" s="7">
        <v>5167000</v>
      </c>
      <c r="O6099" s="7">
        <v>5166999</v>
      </c>
      <c r="P6099" s="7">
        <v>0</v>
      </c>
      <c r="Q6099" s="7" t="str">
        <f t="shared" si="2224"/>
        <v>教育庁</v>
      </c>
      <c r="R6099" s="7" t="str">
        <f t="shared" si="2238"/>
        <v>八尾支援学校</v>
      </c>
    </row>
    <row r="6100" spans="1:18" s="1" customFormat="1" x14ac:dyDescent="0.45">
      <c r="A6100" s="7" t="str">
        <f t="shared" si="2235"/>
        <v>10507000000</v>
      </c>
      <c r="B6100" s="7" t="str">
        <f t="shared" si="2236"/>
        <v>八尾支援学校</v>
      </c>
      <c r="C6100" s="7" t="str">
        <f t="shared" si="2239"/>
        <v>行政財産</v>
      </c>
      <c r="D6100" s="7" t="str">
        <f t="shared" si="2233"/>
        <v>学校</v>
      </c>
      <c r="E6100" s="7" t="str">
        <f t="shared" si="2237"/>
        <v>大阪府八尾市上之島町南７丁目</v>
      </c>
      <c r="F6100" s="7"/>
      <c r="G6100" s="7" t="str">
        <f t="shared" si="2218"/>
        <v>事業用資産</v>
      </c>
      <c r="H6100" s="7" t="str">
        <f t="shared" si="2234"/>
        <v>棚卸以外</v>
      </c>
      <c r="I6100" s="7">
        <v>23</v>
      </c>
      <c r="J6100" s="7" t="str">
        <f>"倉庫"</f>
        <v>倉庫</v>
      </c>
      <c r="K6100" s="7" t="str">
        <f>"コンクリートブロック造"</f>
        <v>コンクリートブロック造</v>
      </c>
      <c r="L6100" s="7" t="str">
        <f>"S54.03.31"</f>
        <v>S54.03.31</v>
      </c>
      <c r="M6100" s="7">
        <v>50</v>
      </c>
      <c r="N6100" s="7">
        <v>3100000</v>
      </c>
      <c r="O6100" s="7">
        <v>3099999</v>
      </c>
      <c r="P6100" s="7">
        <v>0</v>
      </c>
      <c r="Q6100" s="7" t="str">
        <f t="shared" si="2224"/>
        <v>教育庁</v>
      </c>
      <c r="R6100" s="7" t="str">
        <f t="shared" si="2238"/>
        <v>八尾支援学校</v>
      </c>
    </row>
    <row r="6101" spans="1:18" s="1" customFormat="1" x14ac:dyDescent="0.45">
      <c r="A6101" s="7" t="str">
        <f t="shared" si="2235"/>
        <v>10507000000</v>
      </c>
      <c r="B6101" s="7" t="str">
        <f t="shared" si="2236"/>
        <v>八尾支援学校</v>
      </c>
      <c r="C6101" s="7" t="str">
        <f t="shared" si="2239"/>
        <v>行政財産</v>
      </c>
      <c r="D6101" s="7" t="str">
        <f t="shared" si="2233"/>
        <v>学校</v>
      </c>
      <c r="E6101" s="7" t="str">
        <f t="shared" si="2237"/>
        <v>大阪府八尾市上之島町南７丁目</v>
      </c>
      <c r="F6101" s="7"/>
      <c r="G6101" s="7" t="str">
        <f t="shared" si="2218"/>
        <v>事業用資産</v>
      </c>
      <c r="H6101" s="7" t="str">
        <f t="shared" si="2234"/>
        <v>棚卸以外</v>
      </c>
      <c r="I6101" s="7">
        <v>24</v>
      </c>
      <c r="J6101" s="7" t="str">
        <f>"発電気室"</f>
        <v>発電気室</v>
      </c>
      <c r="K6101" s="7" t="str">
        <f>"鉄筋コンクリート造"</f>
        <v>鉄筋コンクリート造</v>
      </c>
      <c r="L6101" s="7" t="str">
        <f>"S54.03.31"</f>
        <v>S54.03.31</v>
      </c>
      <c r="M6101" s="7">
        <v>15.75</v>
      </c>
      <c r="N6101" s="7">
        <v>11809000</v>
      </c>
      <c r="O6101" s="7">
        <v>11808999</v>
      </c>
      <c r="P6101" s="7">
        <v>0</v>
      </c>
      <c r="Q6101" s="7" t="str">
        <f t="shared" si="2224"/>
        <v>教育庁</v>
      </c>
      <c r="R6101" s="7" t="str">
        <f t="shared" si="2238"/>
        <v>八尾支援学校</v>
      </c>
    </row>
    <row r="6102" spans="1:18" s="1" customFormat="1" x14ac:dyDescent="0.45">
      <c r="A6102" s="7" t="str">
        <f t="shared" si="2235"/>
        <v>10507000000</v>
      </c>
      <c r="B6102" s="7" t="str">
        <f t="shared" si="2236"/>
        <v>八尾支援学校</v>
      </c>
      <c r="C6102" s="7" t="str">
        <f t="shared" si="2239"/>
        <v>行政財産</v>
      </c>
      <c r="D6102" s="7" t="str">
        <f t="shared" si="2233"/>
        <v>学校</v>
      </c>
      <c r="E6102" s="7" t="str">
        <f t="shared" si="2237"/>
        <v>大阪府八尾市上之島町南７丁目</v>
      </c>
      <c r="F6102" s="7"/>
      <c r="G6102" s="7" t="str">
        <f t="shared" si="2218"/>
        <v>事業用資産</v>
      </c>
      <c r="H6102" s="7" t="str">
        <f t="shared" si="2234"/>
        <v>棚卸以外</v>
      </c>
      <c r="I6102" s="7">
        <v>25</v>
      </c>
      <c r="J6102" s="7" t="str">
        <f>"屋外シャワー室"</f>
        <v>屋外シャワー室</v>
      </c>
      <c r="K6102" s="7" t="str">
        <f>"鉄筋コンクリート造"</f>
        <v>鉄筋コンクリート造</v>
      </c>
      <c r="L6102" s="7" t="str">
        <f>"S54.12.20"</f>
        <v>S54.12.20</v>
      </c>
      <c r="M6102" s="7">
        <v>3.77</v>
      </c>
      <c r="N6102" s="7">
        <v>943000</v>
      </c>
      <c r="O6102" s="7">
        <v>867768</v>
      </c>
      <c r="P6102" s="7">
        <v>0</v>
      </c>
      <c r="Q6102" s="7" t="str">
        <f t="shared" si="2224"/>
        <v>教育庁</v>
      </c>
      <c r="R6102" s="7" t="str">
        <f t="shared" si="2238"/>
        <v>八尾支援学校</v>
      </c>
    </row>
    <row r="6103" spans="1:18" s="1" customFormat="1" x14ac:dyDescent="0.45">
      <c r="A6103" s="7" t="str">
        <f t="shared" si="2235"/>
        <v>10507000000</v>
      </c>
      <c r="B6103" s="7" t="str">
        <f t="shared" si="2236"/>
        <v>八尾支援学校</v>
      </c>
      <c r="C6103" s="7" t="str">
        <f t="shared" si="2239"/>
        <v>行政財産</v>
      </c>
      <c r="D6103" s="7" t="str">
        <f t="shared" si="2233"/>
        <v>学校</v>
      </c>
      <c r="E6103" s="7" t="str">
        <f t="shared" si="2237"/>
        <v>大阪府八尾市上之島町南７丁目</v>
      </c>
      <c r="F6103" s="7"/>
      <c r="G6103" s="7" t="str">
        <f t="shared" ref="G6103:G6166" si="2240">"事業用資産"</f>
        <v>事業用資産</v>
      </c>
      <c r="H6103" s="7" t="str">
        <f t="shared" si="2234"/>
        <v>棚卸以外</v>
      </c>
      <c r="I6103" s="7">
        <v>26</v>
      </c>
      <c r="J6103" s="7" t="str">
        <f>"便所"</f>
        <v>便所</v>
      </c>
      <c r="K6103" s="7" t="str">
        <f>"鉄筋コンクリート造"</f>
        <v>鉄筋コンクリート造</v>
      </c>
      <c r="L6103" s="7" t="str">
        <f>"S57.02.10"</f>
        <v>S57.02.10</v>
      </c>
      <c r="M6103" s="7">
        <v>32.700000000000003</v>
      </c>
      <c r="N6103" s="7">
        <v>9829750</v>
      </c>
      <c r="O6103" s="7">
        <v>9664795</v>
      </c>
      <c r="P6103" s="7">
        <v>0</v>
      </c>
      <c r="Q6103" s="7" t="str">
        <f t="shared" si="2224"/>
        <v>教育庁</v>
      </c>
      <c r="R6103" s="7" t="str">
        <f t="shared" si="2238"/>
        <v>八尾支援学校</v>
      </c>
    </row>
    <row r="6104" spans="1:18" s="1" customFormat="1" x14ac:dyDescent="0.45">
      <c r="A6104" s="7" t="str">
        <f t="shared" si="2235"/>
        <v>10507000000</v>
      </c>
      <c r="B6104" s="7" t="str">
        <f t="shared" si="2236"/>
        <v>八尾支援学校</v>
      </c>
      <c r="C6104" s="7" t="str">
        <f t="shared" si="2239"/>
        <v>行政財産</v>
      </c>
      <c r="D6104" s="7" t="str">
        <f t="shared" si="2233"/>
        <v>学校</v>
      </c>
      <c r="E6104" s="7" t="str">
        <f t="shared" si="2237"/>
        <v>大阪府八尾市上之島町南７丁目</v>
      </c>
      <c r="F6104" s="7"/>
      <c r="G6104" s="7" t="str">
        <f t="shared" si="2240"/>
        <v>事業用資産</v>
      </c>
      <c r="H6104" s="7" t="str">
        <f t="shared" si="2234"/>
        <v>棚卸以外</v>
      </c>
      <c r="I6104" s="7">
        <v>27</v>
      </c>
      <c r="J6104" s="7" t="str">
        <f>"プール棟"</f>
        <v>プール棟</v>
      </c>
      <c r="K6104" s="7" t="str">
        <f>"鉄筋コンクリート造"</f>
        <v>鉄筋コンクリート造</v>
      </c>
      <c r="L6104" s="7" t="str">
        <f>"S61.03.31"</f>
        <v>S61.03.31</v>
      </c>
      <c r="M6104" s="7">
        <v>88</v>
      </c>
      <c r="N6104" s="7">
        <v>24832650</v>
      </c>
      <c r="O6104" s="7">
        <v>19471968</v>
      </c>
      <c r="P6104" s="7">
        <v>0</v>
      </c>
      <c r="Q6104" s="7" t="str">
        <f t="shared" si="2224"/>
        <v>教育庁</v>
      </c>
      <c r="R6104" s="7" t="str">
        <f t="shared" si="2238"/>
        <v>八尾支援学校</v>
      </c>
    </row>
    <row r="6105" spans="1:18" s="1" customFormat="1" x14ac:dyDescent="0.45">
      <c r="A6105" s="7" t="str">
        <f t="shared" si="2235"/>
        <v>10507000000</v>
      </c>
      <c r="B6105" s="7" t="str">
        <f t="shared" si="2236"/>
        <v>八尾支援学校</v>
      </c>
      <c r="C6105" s="7" t="str">
        <f t="shared" si="2239"/>
        <v>行政財産</v>
      </c>
      <c r="D6105" s="7" t="str">
        <f t="shared" si="2233"/>
        <v>学校</v>
      </c>
      <c r="E6105" s="7" t="str">
        <f t="shared" si="2237"/>
        <v>大阪府八尾市上之島町南７丁目</v>
      </c>
      <c r="F6105" s="7"/>
      <c r="G6105" s="7" t="str">
        <f t="shared" si="2240"/>
        <v>事業用資産</v>
      </c>
      <c r="H6105" s="7" t="str">
        <f t="shared" si="2234"/>
        <v>棚卸以外</v>
      </c>
      <c r="I6105" s="7">
        <v>29</v>
      </c>
      <c r="J6105" s="7" t="str">
        <f>"プレハブ共用倉庫"</f>
        <v>プレハブ共用倉庫</v>
      </c>
      <c r="K6105" s="7" t="str">
        <f>"軽量鉄骨造"</f>
        <v>軽量鉄骨造</v>
      </c>
      <c r="L6105" s="7" t="str">
        <f>"H30.11.16"</f>
        <v>H30.11.16</v>
      </c>
      <c r="M6105" s="7">
        <v>92.21</v>
      </c>
      <c r="N6105" s="7">
        <v>9297148</v>
      </c>
      <c r="O6105" s="7">
        <v>1678664</v>
      </c>
      <c r="P6105" s="7">
        <v>0</v>
      </c>
      <c r="Q6105" s="7" t="str">
        <f t="shared" si="2224"/>
        <v>教育庁</v>
      </c>
      <c r="R6105" s="7" t="str">
        <f t="shared" si="2238"/>
        <v>八尾支援学校</v>
      </c>
    </row>
    <row r="6106" spans="1:18" s="1" customFormat="1" x14ac:dyDescent="0.45">
      <c r="A6106" s="7" t="str">
        <f t="shared" si="2235"/>
        <v>10507000000</v>
      </c>
      <c r="B6106" s="7" t="str">
        <f t="shared" si="2236"/>
        <v>八尾支援学校</v>
      </c>
      <c r="C6106" s="7" t="str">
        <f t="shared" si="2239"/>
        <v>行政財産</v>
      </c>
      <c r="D6106" s="7" t="str">
        <f t="shared" si="2233"/>
        <v>学校</v>
      </c>
      <c r="E6106" s="7" t="str">
        <f t="shared" si="2237"/>
        <v>大阪府八尾市上之島町南７丁目</v>
      </c>
      <c r="F6106" s="7"/>
      <c r="G6106" s="7" t="str">
        <f t="shared" si="2240"/>
        <v>事業用資産</v>
      </c>
      <c r="H6106" s="7" t="str">
        <f t="shared" si="2234"/>
        <v>棚卸以外</v>
      </c>
      <c r="I6106" s="7">
        <v>30</v>
      </c>
      <c r="J6106" s="7" t="str">
        <f>"守衛室"</f>
        <v>守衛室</v>
      </c>
      <c r="K6106" s="7" t="str">
        <f>"鉄骨造"</f>
        <v>鉄骨造</v>
      </c>
      <c r="L6106" s="7" t="str">
        <f>"R01.11.11"</f>
        <v>R01.11.11</v>
      </c>
      <c r="M6106" s="7">
        <v>3.61</v>
      </c>
      <c r="N6106" s="7">
        <v>3233978</v>
      </c>
      <c r="O6106" s="7">
        <v>351720</v>
      </c>
      <c r="P6106" s="7">
        <v>0</v>
      </c>
      <c r="Q6106" s="7" t="str">
        <f t="shared" si="2224"/>
        <v>教育庁</v>
      </c>
      <c r="R6106" s="7" t="str">
        <f t="shared" si="2238"/>
        <v>八尾支援学校</v>
      </c>
    </row>
    <row r="6107" spans="1:18" s="1" customFormat="1" x14ac:dyDescent="0.45">
      <c r="A6107" s="7" t="str">
        <f t="shared" si="2235"/>
        <v>10507000000</v>
      </c>
      <c r="B6107" s="7" t="str">
        <f t="shared" si="2236"/>
        <v>八尾支援学校</v>
      </c>
      <c r="C6107" s="7" t="str">
        <f t="shared" si="2239"/>
        <v>行政財産</v>
      </c>
      <c r="D6107" s="7" t="str">
        <f t="shared" si="2233"/>
        <v>学校</v>
      </c>
      <c r="E6107" s="7" t="str">
        <f t="shared" si="2237"/>
        <v>大阪府八尾市上之島町南７丁目</v>
      </c>
      <c r="F6107" s="7"/>
      <c r="G6107" s="7" t="str">
        <f t="shared" si="2240"/>
        <v>事業用資産</v>
      </c>
      <c r="H6107" s="7" t="str">
        <f t="shared" si="2234"/>
        <v>棚卸以外</v>
      </c>
      <c r="I6107" s="7">
        <v>31</v>
      </c>
      <c r="J6107" s="7" t="str">
        <f>"渡り廊下"</f>
        <v>渡り廊下</v>
      </c>
      <c r="K6107" s="7" t="str">
        <f>"鉄骨造"</f>
        <v>鉄骨造</v>
      </c>
      <c r="L6107" s="7" t="str">
        <f>"R01.11.11"</f>
        <v>R01.11.11</v>
      </c>
      <c r="M6107" s="7">
        <v>36.909999999999997</v>
      </c>
      <c r="N6107" s="7">
        <v>2920161</v>
      </c>
      <c r="O6107" s="7">
        <v>314000</v>
      </c>
      <c r="P6107" s="7">
        <v>0</v>
      </c>
      <c r="Q6107" s="7" t="str">
        <f t="shared" ref="Q6107:Q6170" si="2241">"教育庁"</f>
        <v>教育庁</v>
      </c>
      <c r="R6107" s="7" t="str">
        <f t="shared" si="2238"/>
        <v>八尾支援学校</v>
      </c>
    </row>
    <row r="6108" spans="1:18" s="1" customFormat="1" x14ac:dyDescent="0.45">
      <c r="A6108" s="7" t="str">
        <f t="shared" ref="A6108:A6119" si="2242">"10508000000"</f>
        <v>10508000000</v>
      </c>
      <c r="B6108" s="7" t="str">
        <f t="shared" ref="B6108:B6119" si="2243">"富田林支援学校"</f>
        <v>富田林支援学校</v>
      </c>
      <c r="C6108" s="7" t="str">
        <f t="shared" si="2239"/>
        <v>行政財産</v>
      </c>
      <c r="D6108" s="7" t="str">
        <f t="shared" si="2233"/>
        <v>学校</v>
      </c>
      <c r="E6108" s="7" t="str">
        <f t="shared" ref="E6108:E6119" si="2244">"大阪府富田林市大字甘南備"</f>
        <v>大阪府富田林市大字甘南備</v>
      </c>
      <c r="F6108" s="7"/>
      <c r="G6108" s="7" t="str">
        <f t="shared" si="2240"/>
        <v>事業用資産</v>
      </c>
      <c r="H6108" s="7" t="str">
        <f t="shared" si="2234"/>
        <v>棚卸以外</v>
      </c>
      <c r="I6108" s="7">
        <v>17</v>
      </c>
      <c r="J6108" s="7" t="str">
        <f>"シャッター倉庫"</f>
        <v>シャッター倉庫</v>
      </c>
      <c r="K6108" s="7" t="str">
        <f>"土蔵造(簡易建物)"</f>
        <v>土蔵造(簡易建物)</v>
      </c>
      <c r="L6108" s="7" t="str">
        <f>"H06.03.25"</f>
        <v>H06.03.25</v>
      </c>
      <c r="M6108" s="7">
        <v>19.010000000000002</v>
      </c>
      <c r="N6108" s="7">
        <v>800084</v>
      </c>
      <c r="O6108" s="7">
        <v>800083</v>
      </c>
      <c r="P6108" s="7">
        <v>0</v>
      </c>
      <c r="Q6108" s="7" t="str">
        <f t="shared" si="2241"/>
        <v>教育庁</v>
      </c>
      <c r="R6108" s="7" t="str">
        <f t="shared" ref="R6108:R6119" si="2245">"富田林支援学校"</f>
        <v>富田林支援学校</v>
      </c>
    </row>
    <row r="6109" spans="1:18" s="1" customFormat="1" x14ac:dyDescent="0.45">
      <c r="A6109" s="7" t="str">
        <f t="shared" si="2242"/>
        <v>10508000000</v>
      </c>
      <c r="B6109" s="7" t="str">
        <f t="shared" si="2243"/>
        <v>富田林支援学校</v>
      </c>
      <c r="C6109" s="7" t="str">
        <f t="shared" si="2239"/>
        <v>行政財産</v>
      </c>
      <c r="D6109" s="7" t="str">
        <f t="shared" si="2233"/>
        <v>学校</v>
      </c>
      <c r="E6109" s="7" t="str">
        <f t="shared" si="2244"/>
        <v>大阪府富田林市大字甘南備</v>
      </c>
      <c r="F6109" s="7"/>
      <c r="G6109" s="7" t="str">
        <f t="shared" si="2240"/>
        <v>事業用資産</v>
      </c>
      <c r="H6109" s="7" t="str">
        <f t="shared" si="2234"/>
        <v>棚卸以外</v>
      </c>
      <c r="I6109" s="7">
        <v>18</v>
      </c>
      <c r="J6109" s="7" t="str">
        <f>"シャッター倉庫"</f>
        <v>シャッター倉庫</v>
      </c>
      <c r="K6109" s="7" t="str">
        <f>"土蔵造(簡易建物)"</f>
        <v>土蔵造(簡易建物)</v>
      </c>
      <c r="L6109" s="7" t="str">
        <f>"H06.03.31"</f>
        <v>H06.03.31</v>
      </c>
      <c r="M6109" s="7">
        <v>5.81</v>
      </c>
      <c r="N6109" s="7">
        <v>266000</v>
      </c>
      <c r="O6109" s="7">
        <v>265999</v>
      </c>
      <c r="P6109" s="7">
        <v>0</v>
      </c>
      <c r="Q6109" s="7" t="str">
        <f t="shared" si="2241"/>
        <v>教育庁</v>
      </c>
      <c r="R6109" s="7" t="str">
        <f t="shared" si="2245"/>
        <v>富田林支援学校</v>
      </c>
    </row>
    <row r="6110" spans="1:18" s="1" customFormat="1" x14ac:dyDescent="0.45">
      <c r="A6110" s="7" t="str">
        <f t="shared" si="2242"/>
        <v>10508000000</v>
      </c>
      <c r="B6110" s="7" t="str">
        <f t="shared" si="2243"/>
        <v>富田林支援学校</v>
      </c>
      <c r="C6110" s="7" t="str">
        <f t="shared" si="2239"/>
        <v>行政財産</v>
      </c>
      <c r="D6110" s="7" t="str">
        <f t="shared" si="2233"/>
        <v>学校</v>
      </c>
      <c r="E6110" s="7" t="str">
        <f t="shared" si="2244"/>
        <v>大阪府富田林市大字甘南備</v>
      </c>
      <c r="F6110" s="7"/>
      <c r="G6110" s="7" t="str">
        <f t="shared" si="2240"/>
        <v>事業用資産</v>
      </c>
      <c r="H6110" s="7" t="str">
        <f t="shared" si="2234"/>
        <v>棚卸以外</v>
      </c>
      <c r="I6110" s="7">
        <v>101</v>
      </c>
      <c r="J6110" s="7" t="str">
        <f>"管理小学部棟"</f>
        <v>管理小学部棟</v>
      </c>
      <c r="K6110" s="7" t="str">
        <f>"鉄筋コンクリート造"</f>
        <v>鉄筋コンクリート造</v>
      </c>
      <c r="L6110" s="7" t="str">
        <f>"H08.12.17"</f>
        <v>H08.12.17</v>
      </c>
      <c r="M6110" s="7">
        <v>5186.3900000000003</v>
      </c>
      <c r="N6110" s="7">
        <v>1627817317</v>
      </c>
      <c r="O6110" s="7">
        <v>903335123</v>
      </c>
      <c r="P6110" s="7">
        <v>0</v>
      </c>
      <c r="Q6110" s="7" t="str">
        <f t="shared" si="2241"/>
        <v>教育庁</v>
      </c>
      <c r="R6110" s="7" t="str">
        <f t="shared" si="2245"/>
        <v>富田林支援学校</v>
      </c>
    </row>
    <row r="6111" spans="1:18" s="1" customFormat="1" x14ac:dyDescent="0.45">
      <c r="A6111" s="7" t="str">
        <f t="shared" si="2242"/>
        <v>10508000000</v>
      </c>
      <c r="B6111" s="7" t="str">
        <f t="shared" si="2243"/>
        <v>富田林支援学校</v>
      </c>
      <c r="C6111" s="7" t="str">
        <f t="shared" si="2239"/>
        <v>行政財産</v>
      </c>
      <c r="D6111" s="7" t="str">
        <f t="shared" si="2233"/>
        <v>学校</v>
      </c>
      <c r="E6111" s="7" t="str">
        <f t="shared" si="2244"/>
        <v>大阪府富田林市大字甘南備</v>
      </c>
      <c r="F6111" s="7"/>
      <c r="G6111" s="7" t="str">
        <f t="shared" si="2240"/>
        <v>事業用資産</v>
      </c>
      <c r="H6111" s="7" t="str">
        <f t="shared" si="2234"/>
        <v>棚卸以外</v>
      </c>
      <c r="I6111" s="7">
        <v>102</v>
      </c>
      <c r="J6111" s="7" t="str">
        <f>"中学・高等部棟"</f>
        <v>中学・高等部棟</v>
      </c>
      <c r="K6111" s="7" t="str">
        <f>"鉄筋コンクリート造"</f>
        <v>鉄筋コンクリート造</v>
      </c>
      <c r="L6111" s="7" t="str">
        <f>"H08.12.17"</f>
        <v>H08.12.17</v>
      </c>
      <c r="M6111" s="7">
        <v>3160.22</v>
      </c>
      <c r="N6111" s="7">
        <v>761451123</v>
      </c>
      <c r="O6111" s="7">
        <v>418846579</v>
      </c>
      <c r="P6111" s="7">
        <v>0</v>
      </c>
      <c r="Q6111" s="7" t="str">
        <f t="shared" si="2241"/>
        <v>教育庁</v>
      </c>
      <c r="R6111" s="7" t="str">
        <f t="shared" si="2245"/>
        <v>富田林支援学校</v>
      </c>
    </row>
    <row r="6112" spans="1:18" s="1" customFormat="1" x14ac:dyDescent="0.45">
      <c r="A6112" s="7" t="str">
        <f t="shared" si="2242"/>
        <v>10508000000</v>
      </c>
      <c r="B6112" s="7" t="str">
        <f t="shared" si="2243"/>
        <v>富田林支援学校</v>
      </c>
      <c r="C6112" s="7" t="str">
        <f t="shared" si="2239"/>
        <v>行政財産</v>
      </c>
      <c r="D6112" s="7" t="str">
        <f t="shared" si="2233"/>
        <v>学校</v>
      </c>
      <c r="E6112" s="7" t="str">
        <f t="shared" si="2244"/>
        <v>大阪府富田林市大字甘南備</v>
      </c>
      <c r="F6112" s="7"/>
      <c r="G6112" s="7" t="str">
        <f t="shared" si="2240"/>
        <v>事業用資産</v>
      </c>
      <c r="H6112" s="7" t="str">
        <f t="shared" si="2234"/>
        <v>棚卸以外</v>
      </c>
      <c r="I6112" s="7">
        <v>103</v>
      </c>
      <c r="J6112" s="7" t="str">
        <f>"体育館棟"</f>
        <v>体育館棟</v>
      </c>
      <c r="K6112" s="7" t="str">
        <f>"鉄筋コンクリート造"</f>
        <v>鉄筋コンクリート造</v>
      </c>
      <c r="L6112" s="7" t="str">
        <f>"H09.02.13"</f>
        <v>H09.02.13</v>
      </c>
      <c r="M6112" s="7">
        <v>971.89</v>
      </c>
      <c r="N6112" s="7">
        <v>535466349</v>
      </c>
      <c r="O6112" s="7">
        <v>287402512</v>
      </c>
      <c r="P6112" s="7">
        <v>0</v>
      </c>
      <c r="Q6112" s="7" t="str">
        <f t="shared" si="2241"/>
        <v>教育庁</v>
      </c>
      <c r="R6112" s="7" t="str">
        <f t="shared" si="2245"/>
        <v>富田林支援学校</v>
      </c>
    </row>
    <row r="6113" spans="1:18" s="1" customFormat="1" x14ac:dyDescent="0.45">
      <c r="A6113" s="7" t="str">
        <f t="shared" si="2242"/>
        <v>10508000000</v>
      </c>
      <c r="B6113" s="7" t="str">
        <f t="shared" si="2243"/>
        <v>富田林支援学校</v>
      </c>
      <c r="C6113" s="7" t="str">
        <f t="shared" si="2239"/>
        <v>行政財産</v>
      </c>
      <c r="D6113" s="7" t="str">
        <f t="shared" si="2233"/>
        <v>学校</v>
      </c>
      <c r="E6113" s="7" t="str">
        <f t="shared" si="2244"/>
        <v>大阪府富田林市大字甘南備</v>
      </c>
      <c r="F6113" s="7"/>
      <c r="G6113" s="7" t="str">
        <f t="shared" si="2240"/>
        <v>事業用資産</v>
      </c>
      <c r="H6113" s="7" t="str">
        <f t="shared" si="2234"/>
        <v>棚卸以外</v>
      </c>
      <c r="I6113" s="7">
        <v>104</v>
      </c>
      <c r="J6113" s="7" t="str">
        <f>"プール付属棟"</f>
        <v>プール付属棟</v>
      </c>
      <c r="K6113" s="7" t="str">
        <f>"鉄筋コンクリート造"</f>
        <v>鉄筋コンクリート造</v>
      </c>
      <c r="L6113" s="7" t="str">
        <f>"H09.02.13"</f>
        <v>H09.02.13</v>
      </c>
      <c r="M6113" s="7">
        <v>83.95</v>
      </c>
      <c r="N6113" s="7">
        <v>54127850</v>
      </c>
      <c r="O6113" s="7">
        <v>37169821</v>
      </c>
      <c r="P6113" s="7">
        <v>0</v>
      </c>
      <c r="Q6113" s="7" t="str">
        <f t="shared" si="2241"/>
        <v>教育庁</v>
      </c>
      <c r="R6113" s="7" t="str">
        <f t="shared" si="2245"/>
        <v>富田林支援学校</v>
      </c>
    </row>
    <row r="6114" spans="1:18" s="1" customFormat="1" x14ac:dyDescent="0.45">
      <c r="A6114" s="7" t="str">
        <f t="shared" si="2242"/>
        <v>10508000000</v>
      </c>
      <c r="B6114" s="7" t="str">
        <f t="shared" si="2243"/>
        <v>富田林支援学校</v>
      </c>
      <c r="C6114" s="7" t="str">
        <f t="shared" si="2239"/>
        <v>行政財産</v>
      </c>
      <c r="D6114" s="7" t="str">
        <f t="shared" si="2233"/>
        <v>学校</v>
      </c>
      <c r="E6114" s="7" t="str">
        <f t="shared" si="2244"/>
        <v>大阪府富田林市大字甘南備</v>
      </c>
      <c r="F6114" s="7"/>
      <c r="G6114" s="7" t="str">
        <f t="shared" si="2240"/>
        <v>事業用資産</v>
      </c>
      <c r="H6114" s="7" t="str">
        <f t="shared" si="2234"/>
        <v>棚卸以外</v>
      </c>
      <c r="I6114" s="7">
        <v>105</v>
      </c>
      <c r="J6114" s="7" t="str">
        <f>"グランド倉庫（２）"</f>
        <v>グランド倉庫（２）</v>
      </c>
      <c r="K6114" s="7" t="str">
        <f>"土蔵造(簡易建物)"</f>
        <v>土蔵造(簡易建物)</v>
      </c>
      <c r="L6114" s="7" t="str">
        <f>"H09.03.24"</f>
        <v>H09.03.24</v>
      </c>
      <c r="M6114" s="7">
        <v>29.82</v>
      </c>
      <c r="N6114" s="7">
        <v>903000</v>
      </c>
      <c r="O6114" s="7">
        <v>902999</v>
      </c>
      <c r="P6114" s="7">
        <v>0</v>
      </c>
      <c r="Q6114" s="7" t="str">
        <f t="shared" si="2241"/>
        <v>教育庁</v>
      </c>
      <c r="R6114" s="7" t="str">
        <f t="shared" si="2245"/>
        <v>富田林支援学校</v>
      </c>
    </row>
    <row r="6115" spans="1:18" s="1" customFormat="1" x14ac:dyDescent="0.45">
      <c r="A6115" s="7" t="str">
        <f t="shared" si="2242"/>
        <v>10508000000</v>
      </c>
      <c r="B6115" s="7" t="str">
        <f t="shared" si="2243"/>
        <v>富田林支援学校</v>
      </c>
      <c r="C6115" s="7" t="str">
        <f t="shared" si="2239"/>
        <v>行政財産</v>
      </c>
      <c r="D6115" s="7" t="str">
        <f t="shared" si="2233"/>
        <v>学校</v>
      </c>
      <c r="E6115" s="7" t="str">
        <f t="shared" si="2244"/>
        <v>大阪府富田林市大字甘南備</v>
      </c>
      <c r="F6115" s="7"/>
      <c r="G6115" s="7" t="str">
        <f t="shared" si="2240"/>
        <v>事業用資産</v>
      </c>
      <c r="H6115" s="7" t="str">
        <f t="shared" si="2234"/>
        <v>棚卸以外</v>
      </c>
      <c r="I6115" s="7">
        <v>106</v>
      </c>
      <c r="J6115" s="7" t="str">
        <f>"車庫棟"</f>
        <v>車庫棟</v>
      </c>
      <c r="K6115" s="7" t="str">
        <f>"鉄骨造"</f>
        <v>鉄骨造</v>
      </c>
      <c r="L6115" s="7" t="str">
        <f>"H09.02.13"</f>
        <v>H09.02.13</v>
      </c>
      <c r="M6115" s="7">
        <v>164.13</v>
      </c>
      <c r="N6115" s="7">
        <v>40933950</v>
      </c>
      <c r="O6115" s="7">
        <v>33572186</v>
      </c>
      <c r="P6115" s="7">
        <v>0</v>
      </c>
      <c r="Q6115" s="7" t="str">
        <f t="shared" si="2241"/>
        <v>教育庁</v>
      </c>
      <c r="R6115" s="7" t="str">
        <f t="shared" si="2245"/>
        <v>富田林支援学校</v>
      </c>
    </row>
    <row r="6116" spans="1:18" s="1" customFormat="1" x14ac:dyDescent="0.45">
      <c r="A6116" s="7" t="str">
        <f t="shared" si="2242"/>
        <v>10508000000</v>
      </c>
      <c r="B6116" s="7" t="str">
        <f t="shared" si="2243"/>
        <v>富田林支援学校</v>
      </c>
      <c r="C6116" s="7" t="str">
        <f t="shared" si="2239"/>
        <v>行政財産</v>
      </c>
      <c r="D6116" s="7" t="str">
        <f t="shared" si="2233"/>
        <v>学校</v>
      </c>
      <c r="E6116" s="7" t="str">
        <f t="shared" si="2244"/>
        <v>大阪府富田林市大字甘南備</v>
      </c>
      <c r="F6116" s="7"/>
      <c r="G6116" s="7" t="str">
        <f t="shared" si="2240"/>
        <v>事業用資産</v>
      </c>
      <c r="H6116" s="7" t="str">
        <f t="shared" si="2234"/>
        <v>棚卸以外</v>
      </c>
      <c r="I6116" s="7">
        <v>107</v>
      </c>
      <c r="J6116" s="7" t="str">
        <f>"屋外事務倉庫"</f>
        <v>屋外事務倉庫</v>
      </c>
      <c r="K6116" s="7" t="str">
        <f>"土蔵造(簡易建物)"</f>
        <v>土蔵造(簡易建物)</v>
      </c>
      <c r="L6116" s="7" t="str">
        <f>"H09.03.24"</f>
        <v>H09.03.24</v>
      </c>
      <c r="M6116" s="7">
        <v>17.809999999999999</v>
      </c>
      <c r="N6116" s="7">
        <v>1014000</v>
      </c>
      <c r="O6116" s="7">
        <v>1013999</v>
      </c>
      <c r="P6116" s="7">
        <v>0</v>
      </c>
      <c r="Q6116" s="7" t="str">
        <f t="shared" si="2241"/>
        <v>教育庁</v>
      </c>
      <c r="R6116" s="7" t="str">
        <f t="shared" si="2245"/>
        <v>富田林支援学校</v>
      </c>
    </row>
    <row r="6117" spans="1:18" s="1" customFormat="1" x14ac:dyDescent="0.45">
      <c r="A6117" s="7" t="str">
        <f t="shared" si="2242"/>
        <v>10508000000</v>
      </c>
      <c r="B6117" s="7" t="str">
        <f t="shared" si="2243"/>
        <v>富田林支援学校</v>
      </c>
      <c r="C6117" s="7" t="str">
        <f t="shared" si="2239"/>
        <v>行政財産</v>
      </c>
      <c r="D6117" s="7" t="str">
        <f t="shared" si="2233"/>
        <v>学校</v>
      </c>
      <c r="E6117" s="7" t="str">
        <f t="shared" si="2244"/>
        <v>大阪府富田林市大字甘南備</v>
      </c>
      <c r="F6117" s="7"/>
      <c r="G6117" s="7" t="str">
        <f t="shared" si="2240"/>
        <v>事業用資産</v>
      </c>
      <c r="H6117" s="7" t="str">
        <f t="shared" si="2234"/>
        <v>棚卸以外</v>
      </c>
      <c r="I6117" s="7">
        <v>108</v>
      </c>
      <c r="J6117" s="7" t="str">
        <f>"グランド倉庫"</f>
        <v>グランド倉庫</v>
      </c>
      <c r="K6117" s="7" t="str">
        <f>"土蔵造(簡易建物)"</f>
        <v>土蔵造(簡易建物)</v>
      </c>
      <c r="L6117" s="7" t="str">
        <f>"H09.03.28"</f>
        <v>H09.03.28</v>
      </c>
      <c r="M6117" s="7">
        <v>14.91</v>
      </c>
      <c r="N6117" s="7">
        <v>452000</v>
      </c>
      <c r="O6117" s="7">
        <v>451999</v>
      </c>
      <c r="P6117" s="7">
        <v>0</v>
      </c>
      <c r="Q6117" s="7" t="str">
        <f t="shared" si="2241"/>
        <v>教育庁</v>
      </c>
      <c r="R6117" s="7" t="str">
        <f t="shared" si="2245"/>
        <v>富田林支援学校</v>
      </c>
    </row>
    <row r="6118" spans="1:18" s="1" customFormat="1" x14ac:dyDescent="0.45">
      <c r="A6118" s="7" t="str">
        <f t="shared" si="2242"/>
        <v>10508000000</v>
      </c>
      <c r="B6118" s="7" t="str">
        <f t="shared" si="2243"/>
        <v>富田林支援学校</v>
      </c>
      <c r="C6118" s="7" t="str">
        <f t="shared" si="2239"/>
        <v>行政財産</v>
      </c>
      <c r="D6118" s="7" t="str">
        <f t="shared" si="2233"/>
        <v>学校</v>
      </c>
      <c r="E6118" s="7" t="str">
        <f t="shared" si="2244"/>
        <v>大阪府富田林市大字甘南備</v>
      </c>
      <c r="F6118" s="7"/>
      <c r="G6118" s="7" t="str">
        <f t="shared" si="2240"/>
        <v>事業用資産</v>
      </c>
      <c r="H6118" s="7" t="str">
        <f t="shared" si="2234"/>
        <v>棚卸以外</v>
      </c>
      <c r="I6118" s="7">
        <v>109</v>
      </c>
      <c r="J6118" s="7" t="str">
        <f>"給食棟"</f>
        <v>給食棟</v>
      </c>
      <c r="K6118" s="7" t="str">
        <f>"鉄筋コンクリート造"</f>
        <v>鉄筋コンクリート造</v>
      </c>
      <c r="L6118" s="7" t="str">
        <f>"H19.03.13"</f>
        <v>H19.03.13</v>
      </c>
      <c r="M6118" s="7">
        <v>381.1</v>
      </c>
      <c r="N6118" s="7">
        <v>120729267</v>
      </c>
      <c r="O6118" s="7">
        <v>41001234</v>
      </c>
      <c r="P6118" s="7">
        <v>0</v>
      </c>
      <c r="Q6118" s="7" t="str">
        <f t="shared" si="2241"/>
        <v>教育庁</v>
      </c>
      <c r="R6118" s="7" t="str">
        <f t="shared" si="2245"/>
        <v>富田林支援学校</v>
      </c>
    </row>
    <row r="6119" spans="1:18" s="1" customFormat="1" x14ac:dyDescent="0.45">
      <c r="A6119" s="7" t="str">
        <f t="shared" si="2242"/>
        <v>10508000000</v>
      </c>
      <c r="B6119" s="7" t="str">
        <f t="shared" si="2243"/>
        <v>富田林支援学校</v>
      </c>
      <c r="C6119" s="7" t="str">
        <f t="shared" si="2239"/>
        <v>行政財産</v>
      </c>
      <c r="D6119" s="7" t="str">
        <f t="shared" si="2233"/>
        <v>学校</v>
      </c>
      <c r="E6119" s="7" t="str">
        <f t="shared" si="2244"/>
        <v>大阪府富田林市大字甘南備</v>
      </c>
      <c r="F6119" s="7"/>
      <c r="G6119" s="7" t="str">
        <f t="shared" si="2240"/>
        <v>事業用資産</v>
      </c>
      <c r="H6119" s="7" t="str">
        <f t="shared" si="2234"/>
        <v>棚卸以外</v>
      </c>
      <c r="I6119" s="7">
        <v>111</v>
      </c>
      <c r="J6119" s="7" t="str">
        <f>"増築棟"</f>
        <v>増築棟</v>
      </c>
      <c r="K6119" s="7" t="str">
        <f>"鉄筋コンクリート造"</f>
        <v>鉄筋コンクリート造</v>
      </c>
      <c r="L6119" s="7" t="str">
        <f>"H22.01.07"</f>
        <v>H22.01.07</v>
      </c>
      <c r="M6119" s="7">
        <v>2357.14</v>
      </c>
      <c r="N6119" s="7">
        <v>450261116</v>
      </c>
      <c r="O6119" s="7">
        <v>163007884</v>
      </c>
      <c r="P6119" s="7">
        <v>0</v>
      </c>
      <c r="Q6119" s="7" t="str">
        <f t="shared" si="2241"/>
        <v>教育庁</v>
      </c>
      <c r="R6119" s="7" t="str">
        <f t="shared" si="2245"/>
        <v>富田林支援学校</v>
      </c>
    </row>
    <row r="6120" spans="1:18" s="1" customFormat="1" x14ac:dyDescent="0.45">
      <c r="A6120" s="7" t="str">
        <f t="shared" ref="A6120:A6163" si="2246">"10509000000"</f>
        <v>10509000000</v>
      </c>
      <c r="B6120" s="7" t="str">
        <f t="shared" ref="B6120:B6163" si="2247">"佐野支援学校"</f>
        <v>佐野支援学校</v>
      </c>
      <c r="C6120" s="7" t="str">
        <f t="shared" si="2239"/>
        <v>行政財産</v>
      </c>
      <c r="D6120" s="7" t="str">
        <f t="shared" si="2233"/>
        <v>学校</v>
      </c>
      <c r="E6120" s="7" t="str">
        <f t="shared" ref="E6120:E6163" si="2248">"大阪府泉佐野市日根野"</f>
        <v>大阪府泉佐野市日根野</v>
      </c>
      <c r="F6120" s="7"/>
      <c r="G6120" s="7" t="str">
        <f t="shared" si="2240"/>
        <v>事業用資産</v>
      </c>
      <c r="H6120" s="7" t="str">
        <f t="shared" si="2234"/>
        <v>棚卸以外</v>
      </c>
      <c r="I6120" s="7">
        <v>10</v>
      </c>
      <c r="J6120" s="7" t="str">
        <f>"中高学年棟"</f>
        <v>中高学年棟</v>
      </c>
      <c r="K6120" s="7" t="str">
        <f>"鉄筋コンクリート造"</f>
        <v>鉄筋コンクリート造</v>
      </c>
      <c r="L6120" s="7" t="str">
        <f>"S48.04.02"</f>
        <v>S48.04.02</v>
      </c>
      <c r="M6120" s="7">
        <v>2137.5300000000002</v>
      </c>
      <c r="N6120" s="7">
        <v>251824966</v>
      </c>
      <c r="O6120" s="7">
        <v>180271294</v>
      </c>
      <c r="P6120" s="7">
        <v>0</v>
      </c>
      <c r="Q6120" s="7" t="str">
        <f t="shared" si="2241"/>
        <v>教育庁</v>
      </c>
      <c r="R6120" s="7" t="str">
        <f t="shared" ref="R6120:R6163" si="2249">"佐野支援学校"</f>
        <v>佐野支援学校</v>
      </c>
    </row>
    <row r="6121" spans="1:18" s="1" customFormat="1" x14ac:dyDescent="0.45">
      <c r="A6121" s="7" t="str">
        <f t="shared" si="2246"/>
        <v>10509000000</v>
      </c>
      <c r="B6121" s="7" t="str">
        <f t="shared" si="2247"/>
        <v>佐野支援学校</v>
      </c>
      <c r="C6121" s="7" t="str">
        <f t="shared" si="2239"/>
        <v>行政財産</v>
      </c>
      <c r="D6121" s="7" t="str">
        <f t="shared" si="2233"/>
        <v>学校</v>
      </c>
      <c r="E6121" s="7" t="str">
        <f t="shared" si="2248"/>
        <v>大阪府泉佐野市日根野</v>
      </c>
      <c r="F6121" s="7"/>
      <c r="G6121" s="7" t="str">
        <f t="shared" si="2240"/>
        <v>事業用資産</v>
      </c>
      <c r="H6121" s="7" t="str">
        <f t="shared" si="2234"/>
        <v>棚卸以外</v>
      </c>
      <c r="I6121" s="7">
        <v>11</v>
      </c>
      <c r="J6121" s="7" t="str">
        <f>"低学年棟"</f>
        <v>低学年棟</v>
      </c>
      <c r="K6121" s="7" t="str">
        <f>"鉄筋コンクリート造"</f>
        <v>鉄筋コンクリート造</v>
      </c>
      <c r="L6121" s="7" t="str">
        <f>"S48.04.02"</f>
        <v>S48.04.02</v>
      </c>
      <c r="M6121" s="7">
        <v>574.04</v>
      </c>
      <c r="N6121" s="7">
        <v>94514999</v>
      </c>
      <c r="O6121" s="7">
        <v>78731542</v>
      </c>
      <c r="P6121" s="7">
        <v>0</v>
      </c>
      <c r="Q6121" s="7" t="str">
        <f t="shared" si="2241"/>
        <v>教育庁</v>
      </c>
      <c r="R6121" s="7" t="str">
        <f t="shared" si="2249"/>
        <v>佐野支援学校</v>
      </c>
    </row>
    <row r="6122" spans="1:18" s="1" customFormat="1" x14ac:dyDescent="0.45">
      <c r="A6122" s="7" t="str">
        <f t="shared" si="2246"/>
        <v>10509000000</v>
      </c>
      <c r="B6122" s="7" t="str">
        <f t="shared" si="2247"/>
        <v>佐野支援学校</v>
      </c>
      <c r="C6122" s="7" t="str">
        <f t="shared" si="2239"/>
        <v>行政財産</v>
      </c>
      <c r="D6122" s="7" t="str">
        <f t="shared" si="2233"/>
        <v>学校</v>
      </c>
      <c r="E6122" s="7" t="str">
        <f t="shared" si="2248"/>
        <v>大阪府泉佐野市日根野</v>
      </c>
      <c r="F6122" s="7"/>
      <c r="G6122" s="7" t="str">
        <f t="shared" si="2240"/>
        <v>事業用資産</v>
      </c>
      <c r="H6122" s="7" t="str">
        <f t="shared" si="2234"/>
        <v>棚卸以外</v>
      </c>
      <c r="I6122" s="7">
        <v>12</v>
      </c>
      <c r="J6122" s="7" t="str">
        <f>"渡り廊下"</f>
        <v>渡り廊下</v>
      </c>
      <c r="K6122" s="7" t="str">
        <f>"鉄筋コンクリート造"</f>
        <v>鉄筋コンクリート造</v>
      </c>
      <c r="L6122" s="7" t="str">
        <f>"S48.04.02"</f>
        <v>S48.04.02</v>
      </c>
      <c r="M6122" s="7">
        <v>39.32</v>
      </c>
      <c r="N6122" s="7">
        <v>3028000</v>
      </c>
      <c r="O6122" s="7">
        <v>3027999</v>
      </c>
      <c r="P6122" s="7">
        <v>0</v>
      </c>
      <c r="Q6122" s="7" t="str">
        <f t="shared" si="2241"/>
        <v>教育庁</v>
      </c>
      <c r="R6122" s="7" t="str">
        <f t="shared" si="2249"/>
        <v>佐野支援学校</v>
      </c>
    </row>
    <row r="6123" spans="1:18" s="1" customFormat="1" x14ac:dyDescent="0.45">
      <c r="A6123" s="7" t="str">
        <f t="shared" si="2246"/>
        <v>10509000000</v>
      </c>
      <c r="B6123" s="7" t="str">
        <f t="shared" si="2247"/>
        <v>佐野支援学校</v>
      </c>
      <c r="C6123" s="7" t="str">
        <f t="shared" si="2239"/>
        <v>行政財産</v>
      </c>
      <c r="D6123" s="7" t="str">
        <f t="shared" si="2233"/>
        <v>学校</v>
      </c>
      <c r="E6123" s="7" t="str">
        <f t="shared" si="2248"/>
        <v>大阪府泉佐野市日根野</v>
      </c>
      <c r="F6123" s="7"/>
      <c r="G6123" s="7" t="str">
        <f t="shared" si="2240"/>
        <v>事業用資産</v>
      </c>
      <c r="H6123" s="7" t="str">
        <f t="shared" si="2234"/>
        <v>棚卸以外</v>
      </c>
      <c r="I6123" s="7">
        <v>13</v>
      </c>
      <c r="J6123" s="7" t="str">
        <f>"ボンベ室棟"</f>
        <v>ボンベ室棟</v>
      </c>
      <c r="K6123" s="7" t="str">
        <f>"無筋コンクリート造"</f>
        <v>無筋コンクリート造</v>
      </c>
      <c r="L6123" s="7" t="str">
        <f>"S48.04.02"</f>
        <v>S48.04.02</v>
      </c>
      <c r="M6123" s="7">
        <v>17.079999999999998</v>
      </c>
      <c r="N6123" s="7">
        <v>493000</v>
      </c>
      <c r="O6123" s="7">
        <v>492999</v>
      </c>
      <c r="P6123" s="7">
        <v>0</v>
      </c>
      <c r="Q6123" s="7" t="str">
        <f t="shared" si="2241"/>
        <v>教育庁</v>
      </c>
      <c r="R6123" s="7" t="str">
        <f t="shared" si="2249"/>
        <v>佐野支援学校</v>
      </c>
    </row>
    <row r="6124" spans="1:18" s="1" customFormat="1" x14ac:dyDescent="0.45">
      <c r="A6124" s="7" t="str">
        <f t="shared" si="2246"/>
        <v>10509000000</v>
      </c>
      <c r="B6124" s="7" t="str">
        <f t="shared" si="2247"/>
        <v>佐野支援学校</v>
      </c>
      <c r="C6124" s="7" t="str">
        <f t="shared" si="2239"/>
        <v>行政財産</v>
      </c>
      <c r="D6124" s="7" t="str">
        <f t="shared" si="2233"/>
        <v>学校</v>
      </c>
      <c r="E6124" s="7" t="str">
        <f t="shared" si="2248"/>
        <v>大阪府泉佐野市日根野</v>
      </c>
      <c r="F6124" s="7"/>
      <c r="G6124" s="7" t="str">
        <f t="shared" si="2240"/>
        <v>事業用資産</v>
      </c>
      <c r="H6124" s="7" t="str">
        <f t="shared" si="2234"/>
        <v>棚卸以外</v>
      </c>
      <c r="I6124" s="7">
        <v>14</v>
      </c>
      <c r="J6124" s="7" t="str">
        <f>"設備棟"</f>
        <v>設備棟</v>
      </c>
      <c r="K6124" s="7" t="str">
        <f>"鉄筋コンクリート造"</f>
        <v>鉄筋コンクリート造</v>
      </c>
      <c r="L6124" s="7" t="str">
        <f>"S48.04.02"</f>
        <v>S48.04.02</v>
      </c>
      <c r="M6124" s="7">
        <v>186.9</v>
      </c>
      <c r="N6124" s="7">
        <v>39382049</v>
      </c>
      <c r="O6124" s="7">
        <v>36207406</v>
      </c>
      <c r="P6124" s="7">
        <v>0</v>
      </c>
      <c r="Q6124" s="7" t="str">
        <f t="shared" si="2241"/>
        <v>教育庁</v>
      </c>
      <c r="R6124" s="7" t="str">
        <f t="shared" si="2249"/>
        <v>佐野支援学校</v>
      </c>
    </row>
    <row r="6125" spans="1:18" s="1" customFormat="1" x14ac:dyDescent="0.45">
      <c r="A6125" s="7" t="str">
        <f t="shared" si="2246"/>
        <v>10509000000</v>
      </c>
      <c r="B6125" s="7" t="str">
        <f t="shared" si="2247"/>
        <v>佐野支援学校</v>
      </c>
      <c r="C6125" s="7" t="str">
        <f t="shared" si="2239"/>
        <v>行政財産</v>
      </c>
      <c r="D6125" s="7" t="str">
        <f t="shared" si="2233"/>
        <v>学校</v>
      </c>
      <c r="E6125" s="7" t="str">
        <f t="shared" si="2248"/>
        <v>大阪府泉佐野市日根野</v>
      </c>
      <c r="F6125" s="7"/>
      <c r="G6125" s="7" t="str">
        <f t="shared" si="2240"/>
        <v>事業用資産</v>
      </c>
      <c r="H6125" s="7" t="str">
        <f t="shared" si="2234"/>
        <v>棚卸以外</v>
      </c>
      <c r="I6125" s="7">
        <v>15</v>
      </c>
      <c r="J6125" s="7" t="str">
        <f>"中学部棟"</f>
        <v>中学部棟</v>
      </c>
      <c r="K6125" s="7" t="str">
        <f>"鉄筋コンクリート造"</f>
        <v>鉄筋コンクリート造</v>
      </c>
      <c r="L6125" s="7" t="str">
        <f>"S49.03.28"</f>
        <v>S49.03.28</v>
      </c>
      <c r="M6125" s="7">
        <v>1594.11</v>
      </c>
      <c r="N6125" s="7">
        <v>261376085</v>
      </c>
      <c r="O6125" s="7">
        <v>203519694</v>
      </c>
      <c r="P6125" s="7">
        <v>0</v>
      </c>
      <c r="Q6125" s="7" t="str">
        <f t="shared" si="2241"/>
        <v>教育庁</v>
      </c>
      <c r="R6125" s="7" t="str">
        <f t="shared" si="2249"/>
        <v>佐野支援学校</v>
      </c>
    </row>
    <row r="6126" spans="1:18" s="1" customFormat="1" x14ac:dyDescent="0.45">
      <c r="A6126" s="7" t="str">
        <f t="shared" si="2246"/>
        <v>10509000000</v>
      </c>
      <c r="B6126" s="7" t="str">
        <f t="shared" si="2247"/>
        <v>佐野支援学校</v>
      </c>
      <c r="C6126" s="7" t="str">
        <f t="shared" si="2239"/>
        <v>行政財産</v>
      </c>
      <c r="D6126" s="7" t="str">
        <f t="shared" si="2233"/>
        <v>学校</v>
      </c>
      <c r="E6126" s="7" t="str">
        <f t="shared" si="2248"/>
        <v>大阪府泉佐野市日根野</v>
      </c>
      <c r="F6126" s="7"/>
      <c r="G6126" s="7" t="str">
        <f t="shared" si="2240"/>
        <v>事業用資産</v>
      </c>
      <c r="H6126" s="7" t="str">
        <f t="shared" si="2234"/>
        <v>棚卸以外</v>
      </c>
      <c r="I6126" s="7">
        <v>17</v>
      </c>
      <c r="J6126" s="7" t="str">
        <f>"管理診断棟"</f>
        <v>管理診断棟</v>
      </c>
      <c r="K6126" s="7" t="str">
        <f>"鉄筋コンクリート造"</f>
        <v>鉄筋コンクリート造</v>
      </c>
      <c r="L6126" s="7" t="str">
        <f>"S50.03.27"</f>
        <v>S50.03.27</v>
      </c>
      <c r="M6126" s="7">
        <v>3290.92</v>
      </c>
      <c r="N6126" s="7">
        <v>594807789</v>
      </c>
      <c r="O6126" s="7">
        <v>445498004</v>
      </c>
      <c r="P6126" s="7">
        <v>0</v>
      </c>
      <c r="Q6126" s="7" t="str">
        <f t="shared" si="2241"/>
        <v>教育庁</v>
      </c>
      <c r="R6126" s="7" t="str">
        <f t="shared" si="2249"/>
        <v>佐野支援学校</v>
      </c>
    </row>
    <row r="6127" spans="1:18" s="1" customFormat="1" x14ac:dyDescent="0.45">
      <c r="A6127" s="7" t="str">
        <f t="shared" si="2246"/>
        <v>10509000000</v>
      </c>
      <c r="B6127" s="7" t="str">
        <f t="shared" si="2247"/>
        <v>佐野支援学校</v>
      </c>
      <c r="C6127" s="7" t="str">
        <f t="shared" si="2239"/>
        <v>行政財産</v>
      </c>
      <c r="D6127" s="7" t="str">
        <f t="shared" si="2233"/>
        <v>学校</v>
      </c>
      <c r="E6127" s="7" t="str">
        <f t="shared" si="2248"/>
        <v>大阪府泉佐野市日根野</v>
      </c>
      <c r="F6127" s="7"/>
      <c r="G6127" s="7" t="str">
        <f t="shared" si="2240"/>
        <v>事業用資産</v>
      </c>
      <c r="H6127" s="7" t="str">
        <f t="shared" si="2234"/>
        <v>棚卸以外</v>
      </c>
      <c r="I6127" s="7">
        <v>19</v>
      </c>
      <c r="J6127" s="7" t="str">
        <f>"汚水処理施設機械室"</f>
        <v>汚水処理施設機械室</v>
      </c>
      <c r="K6127" s="7" t="str">
        <f>"無筋コンクリート造"</f>
        <v>無筋コンクリート造</v>
      </c>
      <c r="L6127" s="7" t="str">
        <f>"S50.04.30"</f>
        <v>S50.04.30</v>
      </c>
      <c r="M6127" s="7">
        <v>11.86</v>
      </c>
      <c r="N6127" s="7">
        <v>429370</v>
      </c>
      <c r="O6127" s="7">
        <v>429369</v>
      </c>
      <c r="P6127" s="7">
        <v>0</v>
      </c>
      <c r="Q6127" s="7" t="str">
        <f t="shared" si="2241"/>
        <v>教育庁</v>
      </c>
      <c r="R6127" s="7" t="str">
        <f t="shared" si="2249"/>
        <v>佐野支援学校</v>
      </c>
    </row>
    <row r="6128" spans="1:18" s="1" customFormat="1" x14ac:dyDescent="0.45">
      <c r="A6128" s="7" t="str">
        <f t="shared" si="2246"/>
        <v>10509000000</v>
      </c>
      <c r="B6128" s="7" t="str">
        <f t="shared" si="2247"/>
        <v>佐野支援学校</v>
      </c>
      <c r="C6128" s="7" t="str">
        <f t="shared" si="2239"/>
        <v>行政財産</v>
      </c>
      <c r="D6128" s="7" t="str">
        <f t="shared" si="2233"/>
        <v>学校</v>
      </c>
      <c r="E6128" s="7" t="str">
        <f t="shared" si="2248"/>
        <v>大阪府泉佐野市日根野</v>
      </c>
      <c r="F6128" s="7"/>
      <c r="G6128" s="7" t="str">
        <f t="shared" si="2240"/>
        <v>事業用資産</v>
      </c>
      <c r="H6128" s="7" t="str">
        <f t="shared" si="2234"/>
        <v>棚卸以外</v>
      </c>
      <c r="I6128" s="7">
        <v>20</v>
      </c>
      <c r="J6128" s="7" t="str">
        <f>"作業棟"</f>
        <v>作業棟</v>
      </c>
      <c r="K6128" s="7" t="str">
        <f>"鉄筋コンクリート造"</f>
        <v>鉄筋コンクリート造</v>
      </c>
      <c r="L6128" s="7" t="str">
        <f t="shared" ref="L6128:L6135" si="2250">"S51.02.28"</f>
        <v>S51.02.28</v>
      </c>
      <c r="M6128" s="7">
        <v>1765.17</v>
      </c>
      <c r="N6128" s="7">
        <v>271363838</v>
      </c>
      <c r="O6128" s="7">
        <v>235887400</v>
      </c>
      <c r="P6128" s="7">
        <v>0</v>
      </c>
      <c r="Q6128" s="7" t="str">
        <f t="shared" si="2241"/>
        <v>教育庁</v>
      </c>
      <c r="R6128" s="7" t="str">
        <f t="shared" si="2249"/>
        <v>佐野支援学校</v>
      </c>
    </row>
    <row r="6129" spans="1:18" s="1" customFormat="1" x14ac:dyDescent="0.45">
      <c r="A6129" s="7" t="str">
        <f t="shared" si="2246"/>
        <v>10509000000</v>
      </c>
      <c r="B6129" s="7" t="str">
        <f t="shared" si="2247"/>
        <v>佐野支援学校</v>
      </c>
      <c r="C6129" s="7" t="str">
        <f t="shared" si="2239"/>
        <v>行政財産</v>
      </c>
      <c r="D6129" s="7" t="str">
        <f t="shared" si="2233"/>
        <v>学校</v>
      </c>
      <c r="E6129" s="7" t="str">
        <f t="shared" si="2248"/>
        <v>大阪府泉佐野市日根野</v>
      </c>
      <c r="F6129" s="7"/>
      <c r="G6129" s="7" t="str">
        <f t="shared" si="2240"/>
        <v>事業用資産</v>
      </c>
      <c r="H6129" s="7" t="str">
        <f t="shared" si="2234"/>
        <v>棚卸以外</v>
      </c>
      <c r="I6129" s="7">
        <v>21</v>
      </c>
      <c r="J6129" s="7" t="str">
        <f>"車庫"</f>
        <v>車庫</v>
      </c>
      <c r="K6129" s="7" t="str">
        <f>"鉄筋コンクリート造"</f>
        <v>鉄筋コンクリート造</v>
      </c>
      <c r="L6129" s="7" t="str">
        <f t="shared" si="2250"/>
        <v>S51.02.28</v>
      </c>
      <c r="M6129" s="7">
        <v>58.75</v>
      </c>
      <c r="N6129" s="7">
        <v>6125000</v>
      </c>
      <c r="O6129" s="7">
        <v>6124999</v>
      </c>
      <c r="P6129" s="7">
        <v>0</v>
      </c>
      <c r="Q6129" s="7" t="str">
        <f t="shared" si="2241"/>
        <v>教育庁</v>
      </c>
      <c r="R6129" s="7" t="str">
        <f t="shared" si="2249"/>
        <v>佐野支援学校</v>
      </c>
    </row>
    <row r="6130" spans="1:18" s="1" customFormat="1" x14ac:dyDescent="0.45">
      <c r="A6130" s="7" t="str">
        <f t="shared" si="2246"/>
        <v>10509000000</v>
      </c>
      <c r="B6130" s="7" t="str">
        <f t="shared" si="2247"/>
        <v>佐野支援学校</v>
      </c>
      <c r="C6130" s="7" t="str">
        <f t="shared" si="2239"/>
        <v>行政財産</v>
      </c>
      <c r="D6130" s="7" t="str">
        <f t="shared" si="2233"/>
        <v>学校</v>
      </c>
      <c r="E6130" s="7" t="str">
        <f t="shared" si="2248"/>
        <v>大阪府泉佐野市日根野</v>
      </c>
      <c r="F6130" s="7"/>
      <c r="G6130" s="7" t="str">
        <f t="shared" si="2240"/>
        <v>事業用資産</v>
      </c>
      <c r="H6130" s="7" t="str">
        <f t="shared" si="2234"/>
        <v>棚卸以外</v>
      </c>
      <c r="I6130" s="7">
        <v>22</v>
      </c>
      <c r="J6130" s="7" t="str">
        <f>"原料倉庫"</f>
        <v>原料倉庫</v>
      </c>
      <c r="K6130" s="7" t="str">
        <f>"無筋コンクリート造"</f>
        <v>無筋コンクリート造</v>
      </c>
      <c r="L6130" s="7" t="str">
        <f t="shared" si="2250"/>
        <v>S51.02.28</v>
      </c>
      <c r="M6130" s="7">
        <v>30.95</v>
      </c>
      <c r="N6130" s="7">
        <v>2569000</v>
      </c>
      <c r="O6130" s="7">
        <v>2568999</v>
      </c>
      <c r="P6130" s="7">
        <v>0</v>
      </c>
      <c r="Q6130" s="7" t="str">
        <f t="shared" si="2241"/>
        <v>教育庁</v>
      </c>
      <c r="R6130" s="7" t="str">
        <f t="shared" si="2249"/>
        <v>佐野支援学校</v>
      </c>
    </row>
    <row r="6131" spans="1:18" s="1" customFormat="1" x14ac:dyDescent="0.45">
      <c r="A6131" s="7" t="str">
        <f t="shared" si="2246"/>
        <v>10509000000</v>
      </c>
      <c r="B6131" s="7" t="str">
        <f t="shared" si="2247"/>
        <v>佐野支援学校</v>
      </c>
      <c r="C6131" s="7" t="str">
        <f t="shared" si="2239"/>
        <v>行政財産</v>
      </c>
      <c r="D6131" s="7" t="str">
        <f t="shared" si="2233"/>
        <v>学校</v>
      </c>
      <c r="E6131" s="7" t="str">
        <f t="shared" si="2248"/>
        <v>大阪府泉佐野市日根野</v>
      </c>
      <c r="F6131" s="7"/>
      <c r="G6131" s="7" t="str">
        <f t="shared" si="2240"/>
        <v>事業用資産</v>
      </c>
      <c r="H6131" s="7" t="str">
        <f t="shared" si="2234"/>
        <v>棚卸以外</v>
      </c>
      <c r="I6131" s="7">
        <v>23</v>
      </c>
      <c r="J6131" s="7" t="str">
        <f>"渡り廊下"</f>
        <v>渡り廊下</v>
      </c>
      <c r="K6131" s="7" t="str">
        <f>"鉄筋コンクリート造"</f>
        <v>鉄筋コンクリート造</v>
      </c>
      <c r="L6131" s="7" t="str">
        <f t="shared" si="2250"/>
        <v>S51.02.28</v>
      </c>
      <c r="M6131" s="7">
        <v>74</v>
      </c>
      <c r="N6131" s="7">
        <v>22256400</v>
      </c>
      <c r="O6131" s="7">
        <v>18328685</v>
      </c>
      <c r="P6131" s="7">
        <v>0</v>
      </c>
      <c r="Q6131" s="7" t="str">
        <f t="shared" si="2241"/>
        <v>教育庁</v>
      </c>
      <c r="R6131" s="7" t="str">
        <f t="shared" si="2249"/>
        <v>佐野支援学校</v>
      </c>
    </row>
    <row r="6132" spans="1:18" s="1" customFormat="1" x14ac:dyDescent="0.45">
      <c r="A6132" s="7" t="str">
        <f t="shared" si="2246"/>
        <v>10509000000</v>
      </c>
      <c r="B6132" s="7" t="str">
        <f t="shared" si="2247"/>
        <v>佐野支援学校</v>
      </c>
      <c r="C6132" s="7" t="str">
        <f t="shared" si="2239"/>
        <v>行政財産</v>
      </c>
      <c r="D6132" s="7" t="str">
        <f t="shared" si="2233"/>
        <v>学校</v>
      </c>
      <c r="E6132" s="7" t="str">
        <f t="shared" si="2248"/>
        <v>大阪府泉佐野市日根野</v>
      </c>
      <c r="F6132" s="7"/>
      <c r="G6132" s="7" t="str">
        <f t="shared" si="2240"/>
        <v>事業用資産</v>
      </c>
      <c r="H6132" s="7" t="str">
        <f t="shared" si="2234"/>
        <v>棚卸以外</v>
      </c>
      <c r="I6132" s="7">
        <v>24</v>
      </c>
      <c r="J6132" s="7" t="str">
        <f>"渡り廊下"</f>
        <v>渡り廊下</v>
      </c>
      <c r="K6132" s="7" t="str">
        <f>"鉄筋コンクリート造"</f>
        <v>鉄筋コンクリート造</v>
      </c>
      <c r="L6132" s="7" t="str">
        <f t="shared" si="2250"/>
        <v>S51.02.28</v>
      </c>
      <c r="M6132" s="7">
        <v>13</v>
      </c>
      <c r="N6132" s="7">
        <v>5422000</v>
      </c>
      <c r="O6132" s="7">
        <v>3756613</v>
      </c>
      <c r="P6132" s="7">
        <v>0</v>
      </c>
      <c r="Q6132" s="7" t="str">
        <f t="shared" si="2241"/>
        <v>教育庁</v>
      </c>
      <c r="R6132" s="7" t="str">
        <f t="shared" si="2249"/>
        <v>佐野支援学校</v>
      </c>
    </row>
    <row r="6133" spans="1:18" s="1" customFormat="1" x14ac:dyDescent="0.45">
      <c r="A6133" s="7" t="str">
        <f t="shared" si="2246"/>
        <v>10509000000</v>
      </c>
      <c r="B6133" s="7" t="str">
        <f t="shared" si="2247"/>
        <v>佐野支援学校</v>
      </c>
      <c r="C6133" s="7" t="str">
        <f t="shared" si="2239"/>
        <v>行政財産</v>
      </c>
      <c r="D6133" s="7" t="str">
        <f t="shared" si="2233"/>
        <v>学校</v>
      </c>
      <c r="E6133" s="7" t="str">
        <f t="shared" si="2248"/>
        <v>大阪府泉佐野市日根野</v>
      </c>
      <c r="F6133" s="7"/>
      <c r="G6133" s="7" t="str">
        <f t="shared" si="2240"/>
        <v>事業用資産</v>
      </c>
      <c r="H6133" s="7" t="str">
        <f t="shared" si="2234"/>
        <v>棚卸以外</v>
      </c>
      <c r="I6133" s="7">
        <v>25</v>
      </c>
      <c r="J6133" s="7" t="str">
        <f>"渡り廊下"</f>
        <v>渡り廊下</v>
      </c>
      <c r="K6133" s="7" t="str">
        <f>"鉄筋コンクリート造"</f>
        <v>鉄筋コンクリート造</v>
      </c>
      <c r="L6133" s="7" t="str">
        <f t="shared" si="2250"/>
        <v>S51.02.28</v>
      </c>
      <c r="M6133" s="7">
        <v>30</v>
      </c>
      <c r="N6133" s="7">
        <v>6636000</v>
      </c>
      <c r="O6133" s="7">
        <v>6635999</v>
      </c>
      <c r="P6133" s="7">
        <v>0</v>
      </c>
      <c r="Q6133" s="7" t="str">
        <f t="shared" si="2241"/>
        <v>教育庁</v>
      </c>
      <c r="R6133" s="7" t="str">
        <f t="shared" si="2249"/>
        <v>佐野支援学校</v>
      </c>
    </row>
    <row r="6134" spans="1:18" s="1" customFormat="1" x14ac:dyDescent="0.45">
      <c r="A6134" s="7" t="str">
        <f t="shared" si="2246"/>
        <v>10509000000</v>
      </c>
      <c r="B6134" s="7" t="str">
        <f t="shared" si="2247"/>
        <v>佐野支援学校</v>
      </c>
      <c r="C6134" s="7" t="str">
        <f t="shared" si="2239"/>
        <v>行政財産</v>
      </c>
      <c r="D6134" s="7" t="str">
        <f t="shared" si="2233"/>
        <v>学校</v>
      </c>
      <c r="E6134" s="7" t="str">
        <f t="shared" si="2248"/>
        <v>大阪府泉佐野市日根野</v>
      </c>
      <c r="F6134" s="7"/>
      <c r="G6134" s="7" t="str">
        <f t="shared" si="2240"/>
        <v>事業用資産</v>
      </c>
      <c r="H6134" s="7" t="str">
        <f t="shared" si="2234"/>
        <v>棚卸以外</v>
      </c>
      <c r="I6134" s="7">
        <v>26</v>
      </c>
      <c r="J6134" s="7" t="str">
        <f>"高等部棟"</f>
        <v>高等部棟</v>
      </c>
      <c r="K6134" s="7" t="str">
        <f>"鉄筋コンクリート造"</f>
        <v>鉄筋コンクリート造</v>
      </c>
      <c r="L6134" s="7" t="str">
        <f t="shared" si="2250"/>
        <v>S51.02.28</v>
      </c>
      <c r="M6134" s="7">
        <v>1185.75</v>
      </c>
      <c r="N6134" s="7">
        <v>225608673</v>
      </c>
      <c r="O6134" s="7">
        <v>163561055</v>
      </c>
      <c r="P6134" s="7">
        <v>0</v>
      </c>
      <c r="Q6134" s="7" t="str">
        <f t="shared" si="2241"/>
        <v>教育庁</v>
      </c>
      <c r="R6134" s="7" t="str">
        <f t="shared" si="2249"/>
        <v>佐野支援学校</v>
      </c>
    </row>
    <row r="6135" spans="1:18" s="1" customFormat="1" x14ac:dyDescent="0.45">
      <c r="A6135" s="7" t="str">
        <f t="shared" si="2246"/>
        <v>10509000000</v>
      </c>
      <c r="B6135" s="7" t="str">
        <f t="shared" si="2247"/>
        <v>佐野支援学校</v>
      </c>
      <c r="C6135" s="7" t="str">
        <f t="shared" si="2239"/>
        <v>行政財産</v>
      </c>
      <c r="D6135" s="7" t="str">
        <f t="shared" si="2233"/>
        <v>学校</v>
      </c>
      <c r="E6135" s="7" t="str">
        <f t="shared" si="2248"/>
        <v>大阪府泉佐野市日根野</v>
      </c>
      <c r="F6135" s="7"/>
      <c r="G6135" s="7" t="str">
        <f t="shared" si="2240"/>
        <v>事業用資産</v>
      </c>
      <c r="H6135" s="7" t="str">
        <f t="shared" si="2234"/>
        <v>棚卸以外</v>
      </c>
      <c r="I6135" s="7">
        <v>27</v>
      </c>
      <c r="J6135" s="7" t="str">
        <f>"洗濯室"</f>
        <v>洗濯室</v>
      </c>
      <c r="K6135" s="7" t="str">
        <f>"鉄筋コンクリート造"</f>
        <v>鉄筋コンクリート造</v>
      </c>
      <c r="L6135" s="7" t="str">
        <f t="shared" si="2250"/>
        <v>S51.02.28</v>
      </c>
      <c r="M6135" s="7">
        <v>4.4000000000000004</v>
      </c>
      <c r="N6135" s="7">
        <v>862000</v>
      </c>
      <c r="O6135" s="7">
        <v>861999</v>
      </c>
      <c r="P6135" s="7">
        <v>0</v>
      </c>
      <c r="Q6135" s="7" t="str">
        <f t="shared" si="2241"/>
        <v>教育庁</v>
      </c>
      <c r="R6135" s="7" t="str">
        <f t="shared" si="2249"/>
        <v>佐野支援学校</v>
      </c>
    </row>
    <row r="6136" spans="1:18" s="1" customFormat="1" x14ac:dyDescent="0.45">
      <c r="A6136" s="7" t="str">
        <f t="shared" si="2246"/>
        <v>10509000000</v>
      </c>
      <c r="B6136" s="7" t="str">
        <f t="shared" si="2247"/>
        <v>佐野支援学校</v>
      </c>
      <c r="C6136" s="7" t="str">
        <f t="shared" si="2239"/>
        <v>行政財産</v>
      </c>
      <c r="D6136" s="7" t="str">
        <f t="shared" si="2233"/>
        <v>学校</v>
      </c>
      <c r="E6136" s="7" t="str">
        <f t="shared" si="2248"/>
        <v>大阪府泉佐野市日根野</v>
      </c>
      <c r="F6136" s="7"/>
      <c r="G6136" s="7" t="str">
        <f t="shared" si="2240"/>
        <v>事業用資産</v>
      </c>
      <c r="H6136" s="7" t="str">
        <f t="shared" si="2234"/>
        <v>棚卸以外</v>
      </c>
      <c r="I6136" s="7">
        <v>28</v>
      </c>
      <c r="J6136" s="7" t="str">
        <f>"渡り廊下"</f>
        <v>渡り廊下</v>
      </c>
      <c r="K6136" s="7" t="str">
        <f>"鉄骨造"</f>
        <v>鉄骨造</v>
      </c>
      <c r="L6136" s="7" t="str">
        <f>"S51.08.14"</f>
        <v>S51.08.14</v>
      </c>
      <c r="M6136" s="7">
        <v>146.38</v>
      </c>
      <c r="N6136" s="7">
        <v>47269998</v>
      </c>
      <c r="O6136" s="7">
        <v>39392644</v>
      </c>
      <c r="P6136" s="7">
        <v>0</v>
      </c>
      <c r="Q6136" s="7" t="str">
        <f t="shared" si="2241"/>
        <v>教育庁</v>
      </c>
      <c r="R6136" s="7" t="str">
        <f t="shared" si="2249"/>
        <v>佐野支援学校</v>
      </c>
    </row>
    <row r="6137" spans="1:18" s="1" customFormat="1" x14ac:dyDescent="0.45">
      <c r="A6137" s="7" t="str">
        <f t="shared" si="2246"/>
        <v>10509000000</v>
      </c>
      <c r="B6137" s="7" t="str">
        <f t="shared" si="2247"/>
        <v>佐野支援学校</v>
      </c>
      <c r="C6137" s="7" t="str">
        <f t="shared" si="2239"/>
        <v>行政財産</v>
      </c>
      <c r="D6137" s="7" t="str">
        <f t="shared" ref="D6137:D6200" si="2251">"学校"</f>
        <v>学校</v>
      </c>
      <c r="E6137" s="7" t="str">
        <f t="shared" si="2248"/>
        <v>大阪府泉佐野市日根野</v>
      </c>
      <c r="F6137" s="7"/>
      <c r="G6137" s="7" t="str">
        <f t="shared" si="2240"/>
        <v>事業用資産</v>
      </c>
      <c r="H6137" s="7" t="str">
        <f t="shared" si="2234"/>
        <v>棚卸以外</v>
      </c>
      <c r="I6137" s="7">
        <v>32</v>
      </c>
      <c r="J6137" s="7" t="str">
        <f>"発電気室"</f>
        <v>発電気室</v>
      </c>
      <c r="K6137" s="7" t="str">
        <f>"鉄筋コンクリート造"</f>
        <v>鉄筋コンクリート造</v>
      </c>
      <c r="L6137" s="7" t="str">
        <f>"S54.03.31"</f>
        <v>S54.03.31</v>
      </c>
      <c r="M6137" s="7">
        <v>15.75</v>
      </c>
      <c r="N6137" s="7">
        <v>8068000</v>
      </c>
      <c r="O6137" s="7">
        <v>8067999</v>
      </c>
      <c r="P6137" s="7">
        <v>0</v>
      </c>
      <c r="Q6137" s="7" t="str">
        <f t="shared" si="2241"/>
        <v>教育庁</v>
      </c>
      <c r="R6137" s="7" t="str">
        <f t="shared" si="2249"/>
        <v>佐野支援学校</v>
      </c>
    </row>
    <row r="6138" spans="1:18" s="1" customFormat="1" x14ac:dyDescent="0.45">
      <c r="A6138" s="7" t="str">
        <f t="shared" si="2246"/>
        <v>10509000000</v>
      </c>
      <c r="B6138" s="7" t="str">
        <f t="shared" si="2247"/>
        <v>佐野支援学校</v>
      </c>
      <c r="C6138" s="7" t="str">
        <f t="shared" si="2239"/>
        <v>行政財産</v>
      </c>
      <c r="D6138" s="7" t="str">
        <f t="shared" si="2251"/>
        <v>学校</v>
      </c>
      <c r="E6138" s="7" t="str">
        <f t="shared" si="2248"/>
        <v>大阪府泉佐野市日根野</v>
      </c>
      <c r="F6138" s="7"/>
      <c r="G6138" s="7" t="str">
        <f t="shared" si="2240"/>
        <v>事業用資産</v>
      </c>
      <c r="H6138" s="7" t="str">
        <f t="shared" si="2234"/>
        <v>棚卸以外</v>
      </c>
      <c r="I6138" s="7">
        <v>33</v>
      </c>
      <c r="J6138" s="7" t="str">
        <f>"屋外シャワー室"</f>
        <v>屋外シャワー室</v>
      </c>
      <c r="K6138" s="7" t="str">
        <f>"土蔵造(簡易建物)"</f>
        <v>土蔵造(簡易建物)</v>
      </c>
      <c r="L6138" s="7" t="str">
        <f>"S54.12.10"</f>
        <v>S54.12.10</v>
      </c>
      <c r="M6138" s="7">
        <v>2.57</v>
      </c>
      <c r="N6138" s="7">
        <v>941500</v>
      </c>
      <c r="O6138" s="7">
        <v>941499</v>
      </c>
      <c r="P6138" s="7">
        <v>0</v>
      </c>
      <c r="Q6138" s="7" t="str">
        <f t="shared" si="2241"/>
        <v>教育庁</v>
      </c>
      <c r="R6138" s="7" t="str">
        <f t="shared" si="2249"/>
        <v>佐野支援学校</v>
      </c>
    </row>
    <row r="6139" spans="1:18" s="1" customFormat="1" x14ac:dyDescent="0.45">
      <c r="A6139" s="7" t="str">
        <f t="shared" si="2246"/>
        <v>10509000000</v>
      </c>
      <c r="B6139" s="7" t="str">
        <f t="shared" si="2247"/>
        <v>佐野支援学校</v>
      </c>
      <c r="C6139" s="7" t="str">
        <f t="shared" si="2239"/>
        <v>行政財産</v>
      </c>
      <c r="D6139" s="7" t="str">
        <f t="shared" si="2251"/>
        <v>学校</v>
      </c>
      <c r="E6139" s="7" t="str">
        <f t="shared" si="2248"/>
        <v>大阪府泉佐野市日根野</v>
      </c>
      <c r="F6139" s="7"/>
      <c r="G6139" s="7" t="str">
        <f t="shared" si="2240"/>
        <v>事業用資産</v>
      </c>
      <c r="H6139" s="7" t="str">
        <f t="shared" si="2234"/>
        <v>棚卸以外</v>
      </c>
      <c r="I6139" s="7">
        <v>34</v>
      </c>
      <c r="J6139" s="7" t="str">
        <f>"体育館"</f>
        <v>体育館</v>
      </c>
      <c r="K6139" s="7" t="str">
        <f>"鉄筋コンクリート造"</f>
        <v>鉄筋コンクリート造</v>
      </c>
      <c r="L6139" s="7" t="str">
        <f>"S55.12.10"</f>
        <v>S55.12.10</v>
      </c>
      <c r="M6139" s="7">
        <v>1019.6</v>
      </c>
      <c r="N6139" s="7">
        <v>175618362</v>
      </c>
      <c r="O6139" s="7">
        <v>145292025</v>
      </c>
      <c r="P6139" s="7">
        <v>0</v>
      </c>
      <c r="Q6139" s="7" t="str">
        <f t="shared" si="2241"/>
        <v>教育庁</v>
      </c>
      <c r="R6139" s="7" t="str">
        <f t="shared" si="2249"/>
        <v>佐野支援学校</v>
      </c>
    </row>
    <row r="6140" spans="1:18" s="1" customFormat="1" x14ac:dyDescent="0.45">
      <c r="A6140" s="7" t="str">
        <f t="shared" si="2246"/>
        <v>10509000000</v>
      </c>
      <c r="B6140" s="7" t="str">
        <f t="shared" si="2247"/>
        <v>佐野支援学校</v>
      </c>
      <c r="C6140" s="7" t="str">
        <f t="shared" si="2239"/>
        <v>行政財産</v>
      </c>
      <c r="D6140" s="7" t="str">
        <f t="shared" si="2251"/>
        <v>学校</v>
      </c>
      <c r="E6140" s="7" t="str">
        <f t="shared" si="2248"/>
        <v>大阪府泉佐野市日根野</v>
      </c>
      <c r="F6140" s="7"/>
      <c r="G6140" s="7" t="str">
        <f t="shared" si="2240"/>
        <v>事業用資産</v>
      </c>
      <c r="H6140" s="7" t="str">
        <f t="shared" si="2234"/>
        <v>棚卸以外</v>
      </c>
      <c r="I6140" s="7">
        <v>35</v>
      </c>
      <c r="J6140" s="7" t="str">
        <f>"渡り廊下"</f>
        <v>渡り廊下</v>
      </c>
      <c r="K6140" s="7" t="str">
        <f>"鉄骨造"</f>
        <v>鉄骨造</v>
      </c>
      <c r="L6140" s="7" t="str">
        <f>"S55.12.10"</f>
        <v>S55.12.10</v>
      </c>
      <c r="M6140" s="7">
        <v>33.5</v>
      </c>
      <c r="N6140" s="7">
        <v>7786110</v>
      </c>
      <c r="O6140" s="7">
        <v>7178472</v>
      </c>
      <c r="P6140" s="7">
        <v>0</v>
      </c>
      <c r="Q6140" s="7" t="str">
        <f t="shared" si="2241"/>
        <v>教育庁</v>
      </c>
      <c r="R6140" s="7" t="str">
        <f t="shared" si="2249"/>
        <v>佐野支援学校</v>
      </c>
    </row>
    <row r="6141" spans="1:18" s="1" customFormat="1" x14ac:dyDescent="0.45">
      <c r="A6141" s="7" t="str">
        <f t="shared" si="2246"/>
        <v>10509000000</v>
      </c>
      <c r="B6141" s="7" t="str">
        <f t="shared" si="2247"/>
        <v>佐野支援学校</v>
      </c>
      <c r="C6141" s="7" t="str">
        <f t="shared" si="2239"/>
        <v>行政財産</v>
      </c>
      <c r="D6141" s="7" t="str">
        <f t="shared" si="2251"/>
        <v>学校</v>
      </c>
      <c r="E6141" s="7" t="str">
        <f t="shared" si="2248"/>
        <v>大阪府泉佐野市日根野</v>
      </c>
      <c r="F6141" s="7"/>
      <c r="G6141" s="7" t="str">
        <f t="shared" si="2240"/>
        <v>事業用資産</v>
      </c>
      <c r="H6141" s="7" t="str">
        <f t="shared" si="2234"/>
        <v>棚卸以外</v>
      </c>
      <c r="I6141" s="7">
        <v>36</v>
      </c>
      <c r="J6141" s="7" t="str">
        <f>"車庫"</f>
        <v>車庫</v>
      </c>
      <c r="K6141" s="7" t="str">
        <f>"鉄骨造"</f>
        <v>鉄骨造</v>
      </c>
      <c r="L6141" s="7" t="str">
        <f>"S56.03.31"</f>
        <v>S56.03.31</v>
      </c>
      <c r="M6141" s="7">
        <v>134</v>
      </c>
      <c r="N6141" s="7">
        <v>8648000</v>
      </c>
      <c r="O6141" s="7">
        <v>8647999</v>
      </c>
      <c r="P6141" s="7">
        <v>0</v>
      </c>
      <c r="Q6141" s="7" t="str">
        <f t="shared" si="2241"/>
        <v>教育庁</v>
      </c>
      <c r="R6141" s="7" t="str">
        <f t="shared" si="2249"/>
        <v>佐野支援学校</v>
      </c>
    </row>
    <row r="6142" spans="1:18" s="1" customFormat="1" x14ac:dyDescent="0.45">
      <c r="A6142" s="7" t="str">
        <f t="shared" si="2246"/>
        <v>10509000000</v>
      </c>
      <c r="B6142" s="7" t="str">
        <f t="shared" si="2247"/>
        <v>佐野支援学校</v>
      </c>
      <c r="C6142" s="7" t="str">
        <f t="shared" si="2239"/>
        <v>行政財産</v>
      </c>
      <c r="D6142" s="7" t="str">
        <f t="shared" si="2251"/>
        <v>学校</v>
      </c>
      <c r="E6142" s="7" t="str">
        <f t="shared" si="2248"/>
        <v>大阪府泉佐野市日根野</v>
      </c>
      <c r="F6142" s="7"/>
      <c r="G6142" s="7" t="str">
        <f t="shared" si="2240"/>
        <v>事業用資産</v>
      </c>
      <c r="H6142" s="7" t="str">
        <f t="shared" si="2234"/>
        <v>棚卸以外</v>
      </c>
      <c r="I6142" s="7">
        <v>37</v>
      </c>
      <c r="J6142" s="7" t="str">
        <f>"乗務員控室"</f>
        <v>乗務員控室</v>
      </c>
      <c r="K6142" s="7" t="str">
        <f>"土蔵造(簡易建物)"</f>
        <v>土蔵造(簡易建物)</v>
      </c>
      <c r="L6142" s="7" t="str">
        <f>"S56.03.31"</f>
        <v>S56.03.31</v>
      </c>
      <c r="M6142" s="7">
        <v>40.799999999999997</v>
      </c>
      <c r="N6142" s="7">
        <v>10549000</v>
      </c>
      <c r="O6142" s="7">
        <v>10256450</v>
      </c>
      <c r="P6142" s="7">
        <v>0</v>
      </c>
      <c r="Q6142" s="7" t="str">
        <f t="shared" si="2241"/>
        <v>教育庁</v>
      </c>
      <c r="R6142" s="7" t="str">
        <f t="shared" si="2249"/>
        <v>佐野支援学校</v>
      </c>
    </row>
    <row r="6143" spans="1:18" s="1" customFormat="1" x14ac:dyDescent="0.45">
      <c r="A6143" s="7" t="str">
        <f t="shared" si="2246"/>
        <v>10509000000</v>
      </c>
      <c r="B6143" s="7" t="str">
        <f t="shared" si="2247"/>
        <v>佐野支援学校</v>
      </c>
      <c r="C6143" s="7" t="str">
        <f t="shared" si="2239"/>
        <v>行政財産</v>
      </c>
      <c r="D6143" s="7" t="str">
        <f t="shared" si="2251"/>
        <v>学校</v>
      </c>
      <c r="E6143" s="7" t="str">
        <f t="shared" si="2248"/>
        <v>大阪府泉佐野市日根野</v>
      </c>
      <c r="F6143" s="7"/>
      <c r="G6143" s="7" t="str">
        <f t="shared" si="2240"/>
        <v>事業用資産</v>
      </c>
      <c r="H6143" s="7" t="str">
        <f t="shared" si="2234"/>
        <v>棚卸以外</v>
      </c>
      <c r="I6143" s="7">
        <v>38</v>
      </c>
      <c r="J6143" s="7" t="str">
        <f>"ガスボンベ室"</f>
        <v>ガスボンベ室</v>
      </c>
      <c r="K6143" s="7" t="str">
        <f>"コンクリートブロック造"</f>
        <v>コンクリートブロック造</v>
      </c>
      <c r="L6143" s="7" t="str">
        <f>"S57.10.23"</f>
        <v>S57.10.23</v>
      </c>
      <c r="M6143" s="7">
        <v>1.2</v>
      </c>
      <c r="N6143" s="7">
        <v>287000</v>
      </c>
      <c r="O6143" s="7">
        <v>286999</v>
      </c>
      <c r="P6143" s="7">
        <v>0</v>
      </c>
      <c r="Q6143" s="7" t="str">
        <f t="shared" si="2241"/>
        <v>教育庁</v>
      </c>
      <c r="R6143" s="7" t="str">
        <f t="shared" si="2249"/>
        <v>佐野支援学校</v>
      </c>
    </row>
    <row r="6144" spans="1:18" s="1" customFormat="1" x14ac:dyDescent="0.45">
      <c r="A6144" s="7" t="str">
        <f t="shared" si="2246"/>
        <v>10509000000</v>
      </c>
      <c r="B6144" s="7" t="str">
        <f t="shared" si="2247"/>
        <v>佐野支援学校</v>
      </c>
      <c r="C6144" s="7" t="str">
        <f t="shared" si="2239"/>
        <v>行政財産</v>
      </c>
      <c r="D6144" s="7" t="str">
        <f t="shared" si="2251"/>
        <v>学校</v>
      </c>
      <c r="E6144" s="7" t="str">
        <f t="shared" si="2248"/>
        <v>大阪府泉佐野市日根野</v>
      </c>
      <c r="F6144" s="7"/>
      <c r="G6144" s="7" t="str">
        <f t="shared" si="2240"/>
        <v>事業用資産</v>
      </c>
      <c r="H6144" s="7" t="str">
        <f t="shared" si="2234"/>
        <v>棚卸以外</v>
      </c>
      <c r="I6144" s="7">
        <v>39</v>
      </c>
      <c r="J6144" s="7" t="str">
        <f>"ガスボンベ室"</f>
        <v>ガスボンベ室</v>
      </c>
      <c r="K6144" s="7" t="str">
        <f>"コンクリートブロック造"</f>
        <v>コンクリートブロック造</v>
      </c>
      <c r="L6144" s="7" t="str">
        <f>"S57.10.23"</f>
        <v>S57.10.23</v>
      </c>
      <c r="M6144" s="7">
        <v>0.6</v>
      </c>
      <c r="N6144" s="7">
        <v>143000</v>
      </c>
      <c r="O6144" s="7">
        <v>142999</v>
      </c>
      <c r="P6144" s="7">
        <v>0</v>
      </c>
      <c r="Q6144" s="7" t="str">
        <f t="shared" si="2241"/>
        <v>教育庁</v>
      </c>
      <c r="R6144" s="7" t="str">
        <f t="shared" si="2249"/>
        <v>佐野支援学校</v>
      </c>
    </row>
    <row r="6145" spans="1:18" s="1" customFormat="1" x14ac:dyDescent="0.45">
      <c r="A6145" s="7" t="str">
        <f t="shared" si="2246"/>
        <v>10509000000</v>
      </c>
      <c r="B6145" s="7" t="str">
        <f t="shared" si="2247"/>
        <v>佐野支援学校</v>
      </c>
      <c r="C6145" s="7" t="str">
        <f t="shared" si="2239"/>
        <v>行政財産</v>
      </c>
      <c r="D6145" s="7" t="str">
        <f t="shared" si="2251"/>
        <v>学校</v>
      </c>
      <c r="E6145" s="7" t="str">
        <f t="shared" si="2248"/>
        <v>大阪府泉佐野市日根野</v>
      </c>
      <c r="F6145" s="7"/>
      <c r="G6145" s="7" t="str">
        <f t="shared" si="2240"/>
        <v>事業用資産</v>
      </c>
      <c r="H6145" s="7" t="str">
        <f t="shared" si="2234"/>
        <v>棚卸以外</v>
      </c>
      <c r="I6145" s="7">
        <v>40</v>
      </c>
      <c r="J6145" s="7" t="str">
        <f>"ガスボンベ室"</f>
        <v>ガスボンベ室</v>
      </c>
      <c r="K6145" s="7" t="str">
        <f>"コンクリートブロック造"</f>
        <v>コンクリートブロック造</v>
      </c>
      <c r="L6145" s="7" t="str">
        <f>"S57.10.23"</f>
        <v>S57.10.23</v>
      </c>
      <c r="M6145" s="7">
        <v>0.6</v>
      </c>
      <c r="N6145" s="7">
        <v>143000</v>
      </c>
      <c r="O6145" s="7">
        <v>142999</v>
      </c>
      <c r="P6145" s="7">
        <v>0</v>
      </c>
      <c r="Q6145" s="7" t="str">
        <f t="shared" si="2241"/>
        <v>教育庁</v>
      </c>
      <c r="R6145" s="7" t="str">
        <f t="shared" si="2249"/>
        <v>佐野支援学校</v>
      </c>
    </row>
    <row r="6146" spans="1:18" s="1" customFormat="1" x14ac:dyDescent="0.45">
      <c r="A6146" s="7" t="str">
        <f t="shared" si="2246"/>
        <v>10509000000</v>
      </c>
      <c r="B6146" s="7" t="str">
        <f t="shared" si="2247"/>
        <v>佐野支援学校</v>
      </c>
      <c r="C6146" s="7" t="str">
        <f t="shared" si="2239"/>
        <v>行政財産</v>
      </c>
      <c r="D6146" s="7" t="str">
        <f t="shared" si="2251"/>
        <v>学校</v>
      </c>
      <c r="E6146" s="7" t="str">
        <f t="shared" si="2248"/>
        <v>大阪府泉佐野市日根野</v>
      </c>
      <c r="F6146" s="7"/>
      <c r="G6146" s="7" t="str">
        <f t="shared" si="2240"/>
        <v>事業用資産</v>
      </c>
      <c r="H6146" s="7" t="str">
        <f t="shared" si="2234"/>
        <v>棚卸以外</v>
      </c>
      <c r="I6146" s="7">
        <v>41</v>
      </c>
      <c r="J6146" s="7" t="str">
        <f>"ガスボンベ室"</f>
        <v>ガスボンベ室</v>
      </c>
      <c r="K6146" s="7" t="str">
        <f>"コンクリートブロック造"</f>
        <v>コンクリートブロック造</v>
      </c>
      <c r="L6146" s="7" t="str">
        <f>"S57.10.23"</f>
        <v>S57.10.23</v>
      </c>
      <c r="M6146" s="7">
        <v>0.32</v>
      </c>
      <c r="N6146" s="7">
        <v>77000</v>
      </c>
      <c r="O6146" s="7">
        <v>76999</v>
      </c>
      <c r="P6146" s="7">
        <v>0</v>
      </c>
      <c r="Q6146" s="7" t="str">
        <f t="shared" si="2241"/>
        <v>教育庁</v>
      </c>
      <c r="R6146" s="7" t="str">
        <f t="shared" si="2249"/>
        <v>佐野支援学校</v>
      </c>
    </row>
    <row r="6147" spans="1:18" s="1" customFormat="1" x14ac:dyDescent="0.45">
      <c r="A6147" s="7" t="str">
        <f t="shared" si="2246"/>
        <v>10509000000</v>
      </c>
      <c r="B6147" s="7" t="str">
        <f t="shared" si="2247"/>
        <v>佐野支援学校</v>
      </c>
      <c r="C6147" s="7" t="str">
        <f t="shared" si="2239"/>
        <v>行政財産</v>
      </c>
      <c r="D6147" s="7" t="str">
        <f t="shared" si="2251"/>
        <v>学校</v>
      </c>
      <c r="E6147" s="7" t="str">
        <f t="shared" si="2248"/>
        <v>大阪府泉佐野市日根野</v>
      </c>
      <c r="F6147" s="7"/>
      <c r="G6147" s="7" t="str">
        <f t="shared" si="2240"/>
        <v>事業用資産</v>
      </c>
      <c r="H6147" s="7" t="str">
        <f t="shared" si="2234"/>
        <v>棚卸以外</v>
      </c>
      <c r="I6147" s="7">
        <v>42</v>
      </c>
      <c r="J6147" s="7" t="str">
        <f>"運動場トイレ"</f>
        <v>運動場トイレ</v>
      </c>
      <c r="K6147" s="7" t="str">
        <f>"土蔵造(簡易建物)"</f>
        <v>土蔵造(簡易建物)</v>
      </c>
      <c r="L6147" s="7" t="str">
        <f>"S59.02.29"</f>
        <v>S59.02.29</v>
      </c>
      <c r="M6147" s="7">
        <v>2.1</v>
      </c>
      <c r="N6147" s="7">
        <v>998000</v>
      </c>
      <c r="O6147" s="7">
        <v>997999</v>
      </c>
      <c r="P6147" s="7">
        <v>0</v>
      </c>
      <c r="Q6147" s="7" t="str">
        <f t="shared" si="2241"/>
        <v>教育庁</v>
      </c>
      <c r="R6147" s="7" t="str">
        <f t="shared" si="2249"/>
        <v>佐野支援学校</v>
      </c>
    </row>
    <row r="6148" spans="1:18" s="1" customFormat="1" x14ac:dyDescent="0.45">
      <c r="A6148" s="7" t="str">
        <f t="shared" si="2246"/>
        <v>10509000000</v>
      </c>
      <c r="B6148" s="7" t="str">
        <f t="shared" si="2247"/>
        <v>佐野支援学校</v>
      </c>
      <c r="C6148" s="7" t="str">
        <f t="shared" si="2239"/>
        <v>行政財産</v>
      </c>
      <c r="D6148" s="7" t="str">
        <f t="shared" si="2251"/>
        <v>学校</v>
      </c>
      <c r="E6148" s="7" t="str">
        <f t="shared" si="2248"/>
        <v>大阪府泉佐野市日根野</v>
      </c>
      <c r="F6148" s="7"/>
      <c r="G6148" s="7" t="str">
        <f t="shared" si="2240"/>
        <v>事業用資産</v>
      </c>
      <c r="H6148" s="7" t="str">
        <f t="shared" ref="H6148:H6211" si="2252">"棚卸以外"</f>
        <v>棚卸以外</v>
      </c>
      <c r="I6148" s="7">
        <v>43</v>
      </c>
      <c r="J6148" s="7" t="str">
        <f>"車庫"</f>
        <v>車庫</v>
      </c>
      <c r="K6148" s="7" t="str">
        <f>"鉄骨造"</f>
        <v>鉄骨造</v>
      </c>
      <c r="L6148" s="7" t="str">
        <f>"S60.03.30"</f>
        <v>S60.03.30</v>
      </c>
      <c r="M6148" s="7">
        <v>55</v>
      </c>
      <c r="N6148" s="7">
        <v>3637000</v>
      </c>
      <c r="O6148" s="7">
        <v>3636999</v>
      </c>
      <c r="P6148" s="7">
        <v>0</v>
      </c>
      <c r="Q6148" s="7" t="str">
        <f t="shared" si="2241"/>
        <v>教育庁</v>
      </c>
      <c r="R6148" s="7" t="str">
        <f t="shared" si="2249"/>
        <v>佐野支援学校</v>
      </c>
    </row>
    <row r="6149" spans="1:18" s="1" customFormat="1" x14ac:dyDescent="0.45">
      <c r="A6149" s="7" t="str">
        <f t="shared" si="2246"/>
        <v>10509000000</v>
      </c>
      <c r="B6149" s="7" t="str">
        <f t="shared" si="2247"/>
        <v>佐野支援学校</v>
      </c>
      <c r="C6149" s="7" t="str">
        <f t="shared" si="2239"/>
        <v>行政財産</v>
      </c>
      <c r="D6149" s="7" t="str">
        <f t="shared" si="2251"/>
        <v>学校</v>
      </c>
      <c r="E6149" s="7" t="str">
        <f t="shared" si="2248"/>
        <v>大阪府泉佐野市日根野</v>
      </c>
      <c r="F6149" s="7"/>
      <c r="G6149" s="7" t="str">
        <f t="shared" si="2240"/>
        <v>事業用資産</v>
      </c>
      <c r="H6149" s="7" t="str">
        <f t="shared" si="2252"/>
        <v>棚卸以外</v>
      </c>
      <c r="I6149" s="7">
        <v>44</v>
      </c>
      <c r="J6149" s="7" t="str">
        <f>"プール附属棟"</f>
        <v>プール附属棟</v>
      </c>
      <c r="K6149" s="7" t="str">
        <f>"鉄筋コンクリート造"</f>
        <v>鉄筋コンクリート造</v>
      </c>
      <c r="L6149" s="7" t="str">
        <f>"S61.03.31"</f>
        <v>S61.03.31</v>
      </c>
      <c r="M6149" s="7">
        <v>86.76</v>
      </c>
      <c r="N6149" s="7">
        <v>22522000</v>
      </c>
      <c r="O6149" s="7">
        <v>21929604</v>
      </c>
      <c r="P6149" s="7">
        <v>0</v>
      </c>
      <c r="Q6149" s="7" t="str">
        <f t="shared" si="2241"/>
        <v>教育庁</v>
      </c>
      <c r="R6149" s="7" t="str">
        <f t="shared" si="2249"/>
        <v>佐野支援学校</v>
      </c>
    </row>
    <row r="6150" spans="1:18" s="1" customFormat="1" x14ac:dyDescent="0.45">
      <c r="A6150" s="7" t="str">
        <f t="shared" si="2246"/>
        <v>10509000000</v>
      </c>
      <c r="B6150" s="7" t="str">
        <f t="shared" si="2247"/>
        <v>佐野支援学校</v>
      </c>
      <c r="C6150" s="7" t="str">
        <f t="shared" si="2239"/>
        <v>行政財産</v>
      </c>
      <c r="D6150" s="7" t="str">
        <f t="shared" si="2251"/>
        <v>学校</v>
      </c>
      <c r="E6150" s="7" t="str">
        <f t="shared" si="2248"/>
        <v>大阪府泉佐野市日根野</v>
      </c>
      <c r="F6150" s="7"/>
      <c r="G6150" s="7" t="str">
        <f t="shared" si="2240"/>
        <v>事業用資産</v>
      </c>
      <c r="H6150" s="7" t="str">
        <f t="shared" si="2252"/>
        <v>棚卸以外</v>
      </c>
      <c r="I6150" s="7">
        <v>45</v>
      </c>
      <c r="J6150" s="7" t="str">
        <f>"倉庫"</f>
        <v>倉庫</v>
      </c>
      <c r="K6150" s="7" t="str">
        <f>"軽量鉄骨造"</f>
        <v>軽量鉄骨造</v>
      </c>
      <c r="L6150" s="7" t="str">
        <f>"S63.03.31"</f>
        <v>S63.03.31</v>
      </c>
      <c r="M6150" s="7">
        <v>26.5</v>
      </c>
      <c r="N6150" s="7">
        <v>880000</v>
      </c>
      <c r="O6150" s="7">
        <v>879999</v>
      </c>
      <c r="P6150" s="7">
        <v>0</v>
      </c>
      <c r="Q6150" s="7" t="str">
        <f t="shared" si="2241"/>
        <v>教育庁</v>
      </c>
      <c r="R6150" s="7" t="str">
        <f t="shared" si="2249"/>
        <v>佐野支援学校</v>
      </c>
    </row>
    <row r="6151" spans="1:18" s="1" customFormat="1" x14ac:dyDescent="0.45">
      <c r="A6151" s="7" t="str">
        <f t="shared" si="2246"/>
        <v>10509000000</v>
      </c>
      <c r="B6151" s="7" t="str">
        <f t="shared" si="2247"/>
        <v>佐野支援学校</v>
      </c>
      <c r="C6151" s="7" t="str">
        <f t="shared" si="2239"/>
        <v>行政財産</v>
      </c>
      <c r="D6151" s="7" t="str">
        <f t="shared" si="2251"/>
        <v>学校</v>
      </c>
      <c r="E6151" s="7" t="str">
        <f t="shared" si="2248"/>
        <v>大阪府泉佐野市日根野</v>
      </c>
      <c r="F6151" s="7"/>
      <c r="G6151" s="7" t="str">
        <f t="shared" si="2240"/>
        <v>事業用資産</v>
      </c>
      <c r="H6151" s="7" t="str">
        <f t="shared" si="2252"/>
        <v>棚卸以外</v>
      </c>
      <c r="I6151" s="7">
        <v>46</v>
      </c>
      <c r="J6151" s="7" t="str">
        <f>"作業倉庫"</f>
        <v>作業倉庫</v>
      </c>
      <c r="K6151" s="7" t="str">
        <f>"軽量鉄骨造"</f>
        <v>軽量鉄骨造</v>
      </c>
      <c r="L6151" s="7" t="str">
        <f>"H01.03.31"</f>
        <v>H01.03.31</v>
      </c>
      <c r="M6151" s="7">
        <v>38.880000000000003</v>
      </c>
      <c r="N6151" s="7">
        <v>1118000</v>
      </c>
      <c r="O6151" s="7">
        <v>1117999</v>
      </c>
      <c r="P6151" s="7">
        <v>0</v>
      </c>
      <c r="Q6151" s="7" t="str">
        <f t="shared" si="2241"/>
        <v>教育庁</v>
      </c>
      <c r="R6151" s="7" t="str">
        <f t="shared" si="2249"/>
        <v>佐野支援学校</v>
      </c>
    </row>
    <row r="6152" spans="1:18" s="1" customFormat="1" x14ac:dyDescent="0.45">
      <c r="A6152" s="7" t="str">
        <f t="shared" si="2246"/>
        <v>10509000000</v>
      </c>
      <c r="B6152" s="7" t="str">
        <f t="shared" si="2247"/>
        <v>佐野支援学校</v>
      </c>
      <c r="C6152" s="7" t="str">
        <f t="shared" si="2239"/>
        <v>行政財産</v>
      </c>
      <c r="D6152" s="7" t="str">
        <f t="shared" si="2251"/>
        <v>学校</v>
      </c>
      <c r="E6152" s="7" t="str">
        <f t="shared" si="2248"/>
        <v>大阪府泉佐野市日根野</v>
      </c>
      <c r="F6152" s="7"/>
      <c r="G6152" s="7" t="str">
        <f t="shared" si="2240"/>
        <v>事業用資産</v>
      </c>
      <c r="H6152" s="7" t="str">
        <f t="shared" si="2252"/>
        <v>棚卸以外</v>
      </c>
      <c r="I6152" s="7">
        <v>47</v>
      </c>
      <c r="J6152" s="7" t="str">
        <f>"談話室（校友会館）"</f>
        <v>談話室（校友会館）</v>
      </c>
      <c r="K6152" s="7" t="str">
        <f>"土蔵造(簡易建物)"</f>
        <v>土蔵造(簡易建物)</v>
      </c>
      <c r="L6152" s="7" t="str">
        <f>"H03.01.21"</f>
        <v>H03.01.21</v>
      </c>
      <c r="M6152" s="7">
        <v>18</v>
      </c>
      <c r="N6152" s="7">
        <v>825000</v>
      </c>
      <c r="O6152" s="7">
        <v>824999</v>
      </c>
      <c r="P6152" s="7">
        <v>0</v>
      </c>
      <c r="Q6152" s="7" t="str">
        <f t="shared" si="2241"/>
        <v>教育庁</v>
      </c>
      <c r="R6152" s="7" t="str">
        <f t="shared" si="2249"/>
        <v>佐野支援学校</v>
      </c>
    </row>
    <row r="6153" spans="1:18" s="1" customFormat="1" x14ac:dyDescent="0.45">
      <c r="A6153" s="7" t="str">
        <f t="shared" si="2246"/>
        <v>10509000000</v>
      </c>
      <c r="B6153" s="7" t="str">
        <f t="shared" si="2247"/>
        <v>佐野支援学校</v>
      </c>
      <c r="C6153" s="7" t="str">
        <f t="shared" si="2239"/>
        <v>行政財産</v>
      </c>
      <c r="D6153" s="7" t="str">
        <f t="shared" si="2251"/>
        <v>学校</v>
      </c>
      <c r="E6153" s="7" t="str">
        <f t="shared" si="2248"/>
        <v>大阪府泉佐野市日根野</v>
      </c>
      <c r="F6153" s="7"/>
      <c r="G6153" s="7" t="str">
        <f t="shared" si="2240"/>
        <v>事業用資産</v>
      </c>
      <c r="H6153" s="7" t="str">
        <f t="shared" si="2252"/>
        <v>棚卸以外</v>
      </c>
      <c r="I6153" s="7">
        <v>48</v>
      </c>
      <c r="J6153" s="7" t="str">
        <f>"屋外トイレ（校友会館前）"</f>
        <v>屋外トイレ（校友会館前）</v>
      </c>
      <c r="K6153" s="7" t="str">
        <f>"土蔵造(簡易建物)"</f>
        <v>土蔵造(簡易建物)</v>
      </c>
      <c r="L6153" s="7" t="str">
        <f>"H03.01.21"</f>
        <v>H03.01.21</v>
      </c>
      <c r="M6153" s="7">
        <v>1.72</v>
      </c>
      <c r="N6153" s="7">
        <v>240000</v>
      </c>
      <c r="O6153" s="7">
        <v>239999</v>
      </c>
      <c r="P6153" s="7">
        <v>0</v>
      </c>
      <c r="Q6153" s="7" t="str">
        <f t="shared" si="2241"/>
        <v>教育庁</v>
      </c>
      <c r="R6153" s="7" t="str">
        <f t="shared" si="2249"/>
        <v>佐野支援学校</v>
      </c>
    </row>
    <row r="6154" spans="1:18" s="1" customFormat="1" x14ac:dyDescent="0.45">
      <c r="A6154" s="7" t="str">
        <f t="shared" si="2246"/>
        <v>10509000000</v>
      </c>
      <c r="B6154" s="7" t="str">
        <f t="shared" si="2247"/>
        <v>佐野支援学校</v>
      </c>
      <c r="C6154" s="7" t="str">
        <f t="shared" si="2239"/>
        <v>行政財産</v>
      </c>
      <c r="D6154" s="7" t="str">
        <f t="shared" si="2251"/>
        <v>学校</v>
      </c>
      <c r="E6154" s="7" t="str">
        <f t="shared" si="2248"/>
        <v>大阪府泉佐野市日根野</v>
      </c>
      <c r="F6154" s="7"/>
      <c r="G6154" s="7" t="str">
        <f t="shared" si="2240"/>
        <v>事業用資産</v>
      </c>
      <c r="H6154" s="7" t="str">
        <f t="shared" si="2252"/>
        <v>棚卸以外</v>
      </c>
      <c r="I6154" s="7">
        <v>49</v>
      </c>
      <c r="J6154" s="7" t="str">
        <f>"倉庫"</f>
        <v>倉庫</v>
      </c>
      <c r="K6154" s="7" t="str">
        <f>"土蔵造(簡易建物)"</f>
        <v>土蔵造(簡易建物)</v>
      </c>
      <c r="L6154" s="7" t="str">
        <f>"H10.03.20"</f>
        <v>H10.03.20</v>
      </c>
      <c r="M6154" s="7">
        <v>25</v>
      </c>
      <c r="N6154" s="7">
        <v>926000</v>
      </c>
      <c r="O6154" s="7">
        <v>925999</v>
      </c>
      <c r="P6154" s="7">
        <v>0</v>
      </c>
      <c r="Q6154" s="7" t="str">
        <f t="shared" si="2241"/>
        <v>教育庁</v>
      </c>
      <c r="R6154" s="7" t="str">
        <f t="shared" si="2249"/>
        <v>佐野支援学校</v>
      </c>
    </row>
    <row r="6155" spans="1:18" s="1" customFormat="1" x14ac:dyDescent="0.45">
      <c r="A6155" s="7" t="str">
        <f t="shared" si="2246"/>
        <v>10509000000</v>
      </c>
      <c r="B6155" s="7" t="str">
        <f t="shared" si="2247"/>
        <v>佐野支援学校</v>
      </c>
      <c r="C6155" s="7" t="str">
        <f t="shared" si="2239"/>
        <v>行政財産</v>
      </c>
      <c r="D6155" s="7" t="str">
        <f t="shared" si="2251"/>
        <v>学校</v>
      </c>
      <c r="E6155" s="7" t="str">
        <f t="shared" si="2248"/>
        <v>大阪府泉佐野市日根野</v>
      </c>
      <c r="F6155" s="7"/>
      <c r="G6155" s="7" t="str">
        <f t="shared" si="2240"/>
        <v>事業用資産</v>
      </c>
      <c r="H6155" s="7" t="str">
        <f t="shared" si="2252"/>
        <v>棚卸以外</v>
      </c>
      <c r="I6155" s="7">
        <v>51</v>
      </c>
      <c r="J6155" s="7" t="str">
        <f>"木造物置"</f>
        <v>木造物置</v>
      </c>
      <c r="K6155" s="7" t="str">
        <f>"木造"</f>
        <v>木造</v>
      </c>
      <c r="L6155" s="7" t="str">
        <f>"H13.03.15"</f>
        <v>H13.03.15</v>
      </c>
      <c r="M6155" s="7">
        <v>11.05</v>
      </c>
      <c r="N6155" s="7">
        <v>29000</v>
      </c>
      <c r="O6155" s="7">
        <v>28999</v>
      </c>
      <c r="P6155" s="7">
        <v>0</v>
      </c>
      <c r="Q6155" s="7" t="str">
        <f t="shared" si="2241"/>
        <v>教育庁</v>
      </c>
      <c r="R6155" s="7" t="str">
        <f t="shared" si="2249"/>
        <v>佐野支援学校</v>
      </c>
    </row>
    <row r="6156" spans="1:18" s="1" customFormat="1" x14ac:dyDescent="0.45">
      <c r="A6156" s="7" t="str">
        <f t="shared" si="2246"/>
        <v>10509000000</v>
      </c>
      <c r="B6156" s="7" t="str">
        <f t="shared" si="2247"/>
        <v>佐野支援学校</v>
      </c>
      <c r="C6156" s="7" t="str">
        <f t="shared" si="2239"/>
        <v>行政財産</v>
      </c>
      <c r="D6156" s="7" t="str">
        <f t="shared" si="2251"/>
        <v>学校</v>
      </c>
      <c r="E6156" s="7" t="str">
        <f t="shared" si="2248"/>
        <v>大阪府泉佐野市日根野</v>
      </c>
      <c r="F6156" s="7"/>
      <c r="G6156" s="7" t="str">
        <f t="shared" si="2240"/>
        <v>事業用資産</v>
      </c>
      <c r="H6156" s="7" t="str">
        <f t="shared" si="2252"/>
        <v>棚卸以外</v>
      </c>
      <c r="I6156" s="7">
        <v>52</v>
      </c>
      <c r="J6156" s="7" t="str">
        <f>"温室"</f>
        <v>温室</v>
      </c>
      <c r="K6156" s="7" t="str">
        <f>"軽量鉄骨造"</f>
        <v>軽量鉄骨造</v>
      </c>
      <c r="L6156" s="7" t="str">
        <f>"H13.03.15"</f>
        <v>H13.03.15</v>
      </c>
      <c r="M6156" s="7">
        <v>8.5</v>
      </c>
      <c r="N6156" s="7">
        <v>935000</v>
      </c>
      <c r="O6156" s="7">
        <v>724081</v>
      </c>
      <c r="P6156" s="7">
        <v>0</v>
      </c>
      <c r="Q6156" s="7" t="str">
        <f t="shared" si="2241"/>
        <v>教育庁</v>
      </c>
      <c r="R6156" s="7" t="str">
        <f t="shared" si="2249"/>
        <v>佐野支援学校</v>
      </c>
    </row>
    <row r="6157" spans="1:18" s="1" customFormat="1" x14ac:dyDescent="0.45">
      <c r="A6157" s="7" t="str">
        <f t="shared" si="2246"/>
        <v>10509000000</v>
      </c>
      <c r="B6157" s="7" t="str">
        <f t="shared" si="2247"/>
        <v>佐野支援学校</v>
      </c>
      <c r="C6157" s="7" t="str">
        <f t="shared" ref="C6157:C6220" si="2253">"行政財産"</f>
        <v>行政財産</v>
      </c>
      <c r="D6157" s="7" t="str">
        <f t="shared" si="2251"/>
        <v>学校</v>
      </c>
      <c r="E6157" s="7" t="str">
        <f t="shared" si="2248"/>
        <v>大阪府泉佐野市日根野</v>
      </c>
      <c r="F6157" s="7"/>
      <c r="G6157" s="7" t="str">
        <f t="shared" si="2240"/>
        <v>事業用資産</v>
      </c>
      <c r="H6157" s="7" t="str">
        <f t="shared" si="2252"/>
        <v>棚卸以外</v>
      </c>
      <c r="I6157" s="7">
        <v>54</v>
      </c>
      <c r="J6157" s="7" t="str">
        <f>"ボンベ庫１"</f>
        <v>ボンベ庫１</v>
      </c>
      <c r="K6157" s="7" t="str">
        <f>"鉄筋コンクリート造"</f>
        <v>鉄筋コンクリート造</v>
      </c>
      <c r="L6157" s="7" t="str">
        <f>"H13.09.13"</f>
        <v>H13.09.13</v>
      </c>
      <c r="M6157" s="7">
        <v>12.4</v>
      </c>
      <c r="N6157" s="7">
        <v>2189000</v>
      </c>
      <c r="O6157" s="7">
        <v>1238658</v>
      </c>
      <c r="P6157" s="7">
        <v>0</v>
      </c>
      <c r="Q6157" s="7" t="str">
        <f t="shared" si="2241"/>
        <v>教育庁</v>
      </c>
      <c r="R6157" s="7" t="str">
        <f t="shared" si="2249"/>
        <v>佐野支援学校</v>
      </c>
    </row>
    <row r="6158" spans="1:18" s="1" customFormat="1" x14ac:dyDescent="0.45">
      <c r="A6158" s="7" t="str">
        <f t="shared" si="2246"/>
        <v>10509000000</v>
      </c>
      <c r="B6158" s="7" t="str">
        <f t="shared" si="2247"/>
        <v>佐野支援学校</v>
      </c>
      <c r="C6158" s="7" t="str">
        <f t="shared" si="2253"/>
        <v>行政財産</v>
      </c>
      <c r="D6158" s="7" t="str">
        <f t="shared" si="2251"/>
        <v>学校</v>
      </c>
      <c r="E6158" s="7" t="str">
        <f t="shared" si="2248"/>
        <v>大阪府泉佐野市日根野</v>
      </c>
      <c r="F6158" s="7"/>
      <c r="G6158" s="7" t="str">
        <f t="shared" si="2240"/>
        <v>事業用資産</v>
      </c>
      <c r="H6158" s="7" t="str">
        <f t="shared" si="2252"/>
        <v>棚卸以外</v>
      </c>
      <c r="I6158" s="7">
        <v>55</v>
      </c>
      <c r="J6158" s="7" t="str">
        <f>"ボンベ庫２"</f>
        <v>ボンベ庫２</v>
      </c>
      <c r="K6158" s="7" t="str">
        <f>"鉄筋コンクリート造"</f>
        <v>鉄筋コンクリート造</v>
      </c>
      <c r="L6158" s="7" t="str">
        <f>"H16.08.12"</f>
        <v>H16.08.12</v>
      </c>
      <c r="M6158" s="7">
        <v>9.0399999999999991</v>
      </c>
      <c r="N6158" s="7">
        <v>1048000</v>
      </c>
      <c r="O6158" s="7">
        <v>512677</v>
      </c>
      <c r="P6158" s="7">
        <v>0</v>
      </c>
      <c r="Q6158" s="7" t="str">
        <f t="shared" si="2241"/>
        <v>教育庁</v>
      </c>
      <c r="R6158" s="7" t="str">
        <f t="shared" si="2249"/>
        <v>佐野支援学校</v>
      </c>
    </row>
    <row r="6159" spans="1:18" s="1" customFormat="1" x14ac:dyDescent="0.45">
      <c r="A6159" s="7" t="str">
        <f t="shared" si="2246"/>
        <v>10509000000</v>
      </c>
      <c r="B6159" s="7" t="str">
        <f t="shared" si="2247"/>
        <v>佐野支援学校</v>
      </c>
      <c r="C6159" s="7" t="str">
        <f t="shared" si="2253"/>
        <v>行政財産</v>
      </c>
      <c r="D6159" s="7" t="str">
        <f t="shared" si="2251"/>
        <v>学校</v>
      </c>
      <c r="E6159" s="7" t="str">
        <f t="shared" si="2248"/>
        <v>大阪府泉佐野市日根野</v>
      </c>
      <c r="F6159" s="7"/>
      <c r="G6159" s="7" t="str">
        <f t="shared" si="2240"/>
        <v>事業用資産</v>
      </c>
      <c r="H6159" s="7" t="str">
        <f t="shared" si="2252"/>
        <v>棚卸以外</v>
      </c>
      <c r="I6159" s="7">
        <v>56</v>
      </c>
      <c r="J6159" s="7" t="str">
        <f>"ボンベ庫３"</f>
        <v>ボンベ庫３</v>
      </c>
      <c r="K6159" s="7" t="str">
        <f>"鉄筋コンクリート造"</f>
        <v>鉄筋コンクリート造</v>
      </c>
      <c r="L6159" s="7" t="str">
        <f>"H13.09.13"</f>
        <v>H13.09.13</v>
      </c>
      <c r="M6159" s="7">
        <v>9.0399999999999991</v>
      </c>
      <c r="N6159" s="7">
        <v>1048000</v>
      </c>
      <c r="O6159" s="7">
        <v>512677</v>
      </c>
      <c r="P6159" s="7">
        <v>0</v>
      </c>
      <c r="Q6159" s="7" t="str">
        <f t="shared" si="2241"/>
        <v>教育庁</v>
      </c>
      <c r="R6159" s="7" t="str">
        <f t="shared" si="2249"/>
        <v>佐野支援学校</v>
      </c>
    </row>
    <row r="6160" spans="1:18" s="1" customFormat="1" x14ac:dyDescent="0.45">
      <c r="A6160" s="7" t="str">
        <f t="shared" si="2246"/>
        <v>10509000000</v>
      </c>
      <c r="B6160" s="7" t="str">
        <f t="shared" si="2247"/>
        <v>佐野支援学校</v>
      </c>
      <c r="C6160" s="7" t="str">
        <f t="shared" si="2253"/>
        <v>行政財産</v>
      </c>
      <c r="D6160" s="7" t="str">
        <f t="shared" si="2251"/>
        <v>学校</v>
      </c>
      <c r="E6160" s="7" t="str">
        <f t="shared" si="2248"/>
        <v>大阪府泉佐野市日根野</v>
      </c>
      <c r="F6160" s="7"/>
      <c r="G6160" s="7" t="str">
        <f t="shared" si="2240"/>
        <v>事業用資産</v>
      </c>
      <c r="H6160" s="7" t="str">
        <f t="shared" si="2252"/>
        <v>棚卸以外</v>
      </c>
      <c r="I6160" s="7">
        <v>57</v>
      </c>
      <c r="J6160" s="7" t="str">
        <f>"ボンベ庫４"</f>
        <v>ボンベ庫４</v>
      </c>
      <c r="K6160" s="7" t="str">
        <f>"鉄筋コンクリート造"</f>
        <v>鉄筋コンクリート造</v>
      </c>
      <c r="L6160" s="7" t="str">
        <f>"H13.09.13"</f>
        <v>H13.09.13</v>
      </c>
      <c r="M6160" s="7">
        <v>12.4</v>
      </c>
      <c r="N6160" s="7">
        <v>2201000</v>
      </c>
      <c r="O6160" s="7">
        <v>1245366</v>
      </c>
      <c r="P6160" s="7">
        <v>0</v>
      </c>
      <c r="Q6160" s="7" t="str">
        <f t="shared" si="2241"/>
        <v>教育庁</v>
      </c>
      <c r="R6160" s="7" t="str">
        <f t="shared" si="2249"/>
        <v>佐野支援学校</v>
      </c>
    </row>
    <row r="6161" spans="1:18" s="1" customFormat="1" x14ac:dyDescent="0.45">
      <c r="A6161" s="7" t="str">
        <f t="shared" si="2246"/>
        <v>10509000000</v>
      </c>
      <c r="B6161" s="7" t="str">
        <f t="shared" si="2247"/>
        <v>佐野支援学校</v>
      </c>
      <c r="C6161" s="7" t="str">
        <f t="shared" si="2253"/>
        <v>行政財産</v>
      </c>
      <c r="D6161" s="7" t="str">
        <f t="shared" si="2251"/>
        <v>学校</v>
      </c>
      <c r="E6161" s="7" t="str">
        <f t="shared" si="2248"/>
        <v>大阪府泉佐野市日根野</v>
      </c>
      <c r="F6161" s="7"/>
      <c r="G6161" s="7" t="str">
        <f t="shared" si="2240"/>
        <v>事業用資産</v>
      </c>
      <c r="H6161" s="7" t="str">
        <f t="shared" si="2252"/>
        <v>棚卸以外</v>
      </c>
      <c r="I6161" s="7">
        <v>58</v>
      </c>
      <c r="J6161" s="7" t="str">
        <f>"５号棟"</f>
        <v>５号棟</v>
      </c>
      <c r="K6161" s="7" t="str">
        <f>"鉄骨造"</f>
        <v>鉄骨造</v>
      </c>
      <c r="L6161" s="7" t="str">
        <f>"H17.03.29"</f>
        <v>H17.03.29</v>
      </c>
      <c r="M6161" s="7">
        <v>904.8</v>
      </c>
      <c r="N6161" s="7">
        <v>186870535</v>
      </c>
      <c r="O6161" s="7">
        <v>98356457</v>
      </c>
      <c r="P6161" s="7">
        <v>0</v>
      </c>
      <c r="Q6161" s="7" t="str">
        <f t="shared" si="2241"/>
        <v>教育庁</v>
      </c>
      <c r="R6161" s="7" t="str">
        <f t="shared" si="2249"/>
        <v>佐野支援学校</v>
      </c>
    </row>
    <row r="6162" spans="1:18" s="1" customFormat="1" x14ac:dyDescent="0.45">
      <c r="A6162" s="7" t="str">
        <f t="shared" si="2246"/>
        <v>10509000000</v>
      </c>
      <c r="B6162" s="7" t="str">
        <f t="shared" si="2247"/>
        <v>佐野支援学校</v>
      </c>
      <c r="C6162" s="7" t="str">
        <f t="shared" si="2253"/>
        <v>行政財産</v>
      </c>
      <c r="D6162" s="7" t="str">
        <f t="shared" si="2251"/>
        <v>学校</v>
      </c>
      <c r="E6162" s="7" t="str">
        <f t="shared" si="2248"/>
        <v>大阪府泉佐野市日根野</v>
      </c>
      <c r="F6162" s="7"/>
      <c r="G6162" s="7" t="str">
        <f t="shared" si="2240"/>
        <v>事業用資産</v>
      </c>
      <c r="H6162" s="7" t="str">
        <f t="shared" si="2252"/>
        <v>棚卸以外</v>
      </c>
      <c r="I6162" s="7">
        <v>59</v>
      </c>
      <c r="J6162" s="7" t="str">
        <f>"ボンベ庫５"</f>
        <v>ボンベ庫５</v>
      </c>
      <c r="K6162" s="7" t="str">
        <f>"コンクリートブロック造"</f>
        <v>コンクリートブロック造</v>
      </c>
      <c r="L6162" s="7" t="str">
        <f>"H17.03.29"</f>
        <v>H17.03.29</v>
      </c>
      <c r="M6162" s="7">
        <v>9.0399999999999991</v>
      </c>
      <c r="N6162" s="7">
        <v>1475000</v>
      </c>
      <c r="O6162" s="7">
        <v>698760</v>
      </c>
      <c r="P6162" s="7">
        <v>0</v>
      </c>
      <c r="Q6162" s="7" t="str">
        <f t="shared" si="2241"/>
        <v>教育庁</v>
      </c>
      <c r="R6162" s="7" t="str">
        <f t="shared" si="2249"/>
        <v>佐野支援学校</v>
      </c>
    </row>
    <row r="6163" spans="1:18" s="1" customFormat="1" x14ac:dyDescent="0.45">
      <c r="A6163" s="7" t="str">
        <f t="shared" si="2246"/>
        <v>10509000000</v>
      </c>
      <c r="B6163" s="7" t="str">
        <f t="shared" si="2247"/>
        <v>佐野支援学校</v>
      </c>
      <c r="C6163" s="7" t="str">
        <f t="shared" si="2253"/>
        <v>行政財産</v>
      </c>
      <c r="D6163" s="7" t="str">
        <f t="shared" si="2251"/>
        <v>学校</v>
      </c>
      <c r="E6163" s="7" t="str">
        <f t="shared" si="2248"/>
        <v>大阪府泉佐野市日根野</v>
      </c>
      <c r="F6163" s="7"/>
      <c r="G6163" s="7" t="str">
        <f t="shared" si="2240"/>
        <v>事業用資産</v>
      </c>
      <c r="H6163" s="7" t="str">
        <f t="shared" si="2252"/>
        <v>棚卸以外</v>
      </c>
      <c r="I6163" s="7">
        <v>60</v>
      </c>
      <c r="J6163" s="7" t="str">
        <f>"ゴミ置き小屋"</f>
        <v>ゴミ置き小屋</v>
      </c>
      <c r="K6163" s="7" t="str">
        <f>"軽量鉄骨造"</f>
        <v>軽量鉄骨造</v>
      </c>
      <c r="L6163" s="7" t="str">
        <f>"H19.02.27"</f>
        <v>H19.02.27</v>
      </c>
      <c r="M6163" s="7">
        <v>53.5</v>
      </c>
      <c r="N6163" s="7">
        <v>2365050</v>
      </c>
      <c r="O6163" s="7">
        <v>1584916</v>
      </c>
      <c r="P6163" s="7">
        <v>0</v>
      </c>
      <c r="Q6163" s="7" t="str">
        <f t="shared" si="2241"/>
        <v>教育庁</v>
      </c>
      <c r="R6163" s="7" t="str">
        <f t="shared" si="2249"/>
        <v>佐野支援学校</v>
      </c>
    </row>
    <row r="6164" spans="1:18" s="1" customFormat="1" x14ac:dyDescent="0.45">
      <c r="A6164" s="7" t="str">
        <f t="shared" ref="A6164:A6183" si="2254">"10510000000"</f>
        <v>10510000000</v>
      </c>
      <c r="B6164" s="7" t="str">
        <f t="shared" ref="B6164:B6183" si="2255">"豊中支援学校"</f>
        <v>豊中支援学校</v>
      </c>
      <c r="C6164" s="7" t="str">
        <f t="shared" si="2253"/>
        <v>行政財産</v>
      </c>
      <c r="D6164" s="7" t="str">
        <f t="shared" si="2251"/>
        <v>学校</v>
      </c>
      <c r="E6164" s="7" t="str">
        <f t="shared" ref="E6164:E6183" si="2256">"大阪府豊中市北緑丘２丁目"</f>
        <v>大阪府豊中市北緑丘２丁目</v>
      </c>
      <c r="F6164" s="7"/>
      <c r="G6164" s="7" t="str">
        <f t="shared" si="2240"/>
        <v>事業用資産</v>
      </c>
      <c r="H6164" s="7" t="str">
        <f t="shared" si="2252"/>
        <v>棚卸以外</v>
      </c>
      <c r="I6164" s="7">
        <v>1</v>
      </c>
      <c r="J6164" s="7" t="str">
        <f>"小学部棟"</f>
        <v>小学部棟</v>
      </c>
      <c r="K6164" s="7" t="str">
        <f>"鉄筋コンクリート造"</f>
        <v>鉄筋コンクリート造</v>
      </c>
      <c r="L6164" s="7" t="str">
        <f>"S49.10.07"</f>
        <v>S49.10.07</v>
      </c>
      <c r="M6164" s="7">
        <v>2150.4899999999998</v>
      </c>
      <c r="N6164" s="7">
        <v>358766390</v>
      </c>
      <c r="O6164" s="7">
        <v>296439874</v>
      </c>
      <c r="P6164" s="7">
        <v>0</v>
      </c>
      <c r="Q6164" s="7" t="str">
        <f t="shared" si="2241"/>
        <v>教育庁</v>
      </c>
      <c r="R6164" s="7" t="str">
        <f t="shared" ref="R6164:R6183" si="2257">"豊中支援学校"</f>
        <v>豊中支援学校</v>
      </c>
    </row>
    <row r="6165" spans="1:18" s="1" customFormat="1" x14ac:dyDescent="0.45">
      <c r="A6165" s="7" t="str">
        <f t="shared" si="2254"/>
        <v>10510000000</v>
      </c>
      <c r="B6165" s="7" t="str">
        <f t="shared" si="2255"/>
        <v>豊中支援学校</v>
      </c>
      <c r="C6165" s="7" t="str">
        <f t="shared" si="2253"/>
        <v>行政財産</v>
      </c>
      <c r="D6165" s="7" t="str">
        <f t="shared" si="2251"/>
        <v>学校</v>
      </c>
      <c r="E6165" s="7" t="str">
        <f t="shared" si="2256"/>
        <v>大阪府豊中市北緑丘２丁目</v>
      </c>
      <c r="F6165" s="7"/>
      <c r="G6165" s="7" t="str">
        <f t="shared" si="2240"/>
        <v>事業用資産</v>
      </c>
      <c r="H6165" s="7" t="str">
        <f t="shared" si="2252"/>
        <v>棚卸以外</v>
      </c>
      <c r="I6165" s="7">
        <v>2</v>
      </c>
      <c r="J6165" s="7" t="str">
        <f>"設備棟"</f>
        <v>設備棟</v>
      </c>
      <c r="K6165" s="7" t="str">
        <f>"鉄筋コンクリート造"</f>
        <v>鉄筋コンクリート造</v>
      </c>
      <c r="L6165" s="7" t="str">
        <f>"S49.10.07"</f>
        <v>S49.10.07</v>
      </c>
      <c r="M6165" s="7">
        <v>193.73</v>
      </c>
      <c r="N6165" s="7">
        <v>58513000</v>
      </c>
      <c r="O6165" s="7">
        <v>57063933</v>
      </c>
      <c r="P6165" s="7">
        <v>0</v>
      </c>
      <c r="Q6165" s="7" t="str">
        <f t="shared" si="2241"/>
        <v>教育庁</v>
      </c>
      <c r="R6165" s="7" t="str">
        <f t="shared" si="2257"/>
        <v>豊中支援学校</v>
      </c>
    </row>
    <row r="6166" spans="1:18" s="1" customFormat="1" x14ac:dyDescent="0.45">
      <c r="A6166" s="7" t="str">
        <f t="shared" si="2254"/>
        <v>10510000000</v>
      </c>
      <c r="B6166" s="7" t="str">
        <f t="shared" si="2255"/>
        <v>豊中支援学校</v>
      </c>
      <c r="C6166" s="7" t="str">
        <f t="shared" si="2253"/>
        <v>行政財産</v>
      </c>
      <c r="D6166" s="7" t="str">
        <f t="shared" si="2251"/>
        <v>学校</v>
      </c>
      <c r="E6166" s="7" t="str">
        <f t="shared" si="2256"/>
        <v>大阪府豊中市北緑丘２丁目</v>
      </c>
      <c r="F6166" s="7"/>
      <c r="G6166" s="7" t="str">
        <f t="shared" si="2240"/>
        <v>事業用資産</v>
      </c>
      <c r="H6166" s="7" t="str">
        <f t="shared" si="2252"/>
        <v>棚卸以外</v>
      </c>
      <c r="I6166" s="7">
        <v>3</v>
      </c>
      <c r="J6166" s="7" t="str">
        <f>"車庫"</f>
        <v>車庫</v>
      </c>
      <c r="K6166" s="7" t="str">
        <f>"鉄骨造"</f>
        <v>鉄骨造</v>
      </c>
      <c r="L6166" s="7" t="str">
        <f>"S49.10.07"</f>
        <v>S49.10.07</v>
      </c>
      <c r="M6166" s="7">
        <v>172.44</v>
      </c>
      <c r="N6166" s="7">
        <v>11968000</v>
      </c>
      <c r="O6166" s="7">
        <v>11967999</v>
      </c>
      <c r="P6166" s="7">
        <v>0</v>
      </c>
      <c r="Q6166" s="7" t="str">
        <f t="shared" si="2241"/>
        <v>教育庁</v>
      </c>
      <c r="R6166" s="7" t="str">
        <f t="shared" si="2257"/>
        <v>豊中支援学校</v>
      </c>
    </row>
    <row r="6167" spans="1:18" s="1" customFormat="1" x14ac:dyDescent="0.45">
      <c r="A6167" s="7" t="str">
        <f t="shared" si="2254"/>
        <v>10510000000</v>
      </c>
      <c r="B6167" s="7" t="str">
        <f t="shared" si="2255"/>
        <v>豊中支援学校</v>
      </c>
      <c r="C6167" s="7" t="str">
        <f t="shared" si="2253"/>
        <v>行政財産</v>
      </c>
      <c r="D6167" s="7" t="str">
        <f t="shared" si="2251"/>
        <v>学校</v>
      </c>
      <c r="E6167" s="7" t="str">
        <f t="shared" si="2256"/>
        <v>大阪府豊中市北緑丘２丁目</v>
      </c>
      <c r="F6167" s="7"/>
      <c r="G6167" s="7" t="str">
        <f t="shared" ref="G6167:G6230" si="2258">"事業用資産"</f>
        <v>事業用資産</v>
      </c>
      <c r="H6167" s="7" t="str">
        <f t="shared" si="2252"/>
        <v>棚卸以外</v>
      </c>
      <c r="I6167" s="7">
        <v>4</v>
      </c>
      <c r="J6167" s="7" t="str">
        <f>"倉庫"</f>
        <v>倉庫</v>
      </c>
      <c r="K6167" s="7" t="str">
        <f>"コンクリートブロック造"</f>
        <v>コンクリートブロック造</v>
      </c>
      <c r="L6167" s="7" t="str">
        <f>"S49.10.07"</f>
        <v>S49.10.07</v>
      </c>
      <c r="M6167" s="7">
        <v>13.04</v>
      </c>
      <c r="N6167" s="7">
        <v>567000</v>
      </c>
      <c r="O6167" s="7">
        <v>566999</v>
      </c>
      <c r="P6167" s="7">
        <v>0</v>
      </c>
      <c r="Q6167" s="7" t="str">
        <f t="shared" si="2241"/>
        <v>教育庁</v>
      </c>
      <c r="R6167" s="7" t="str">
        <f t="shared" si="2257"/>
        <v>豊中支援学校</v>
      </c>
    </row>
    <row r="6168" spans="1:18" s="1" customFormat="1" x14ac:dyDescent="0.45">
      <c r="A6168" s="7" t="str">
        <f t="shared" si="2254"/>
        <v>10510000000</v>
      </c>
      <c r="B6168" s="7" t="str">
        <f t="shared" si="2255"/>
        <v>豊中支援学校</v>
      </c>
      <c r="C6168" s="7" t="str">
        <f t="shared" si="2253"/>
        <v>行政財産</v>
      </c>
      <c r="D6168" s="7" t="str">
        <f t="shared" si="2251"/>
        <v>学校</v>
      </c>
      <c r="E6168" s="7" t="str">
        <f t="shared" si="2256"/>
        <v>大阪府豊中市北緑丘２丁目</v>
      </c>
      <c r="F6168" s="7"/>
      <c r="G6168" s="7" t="str">
        <f t="shared" si="2258"/>
        <v>事業用資産</v>
      </c>
      <c r="H6168" s="7" t="str">
        <f t="shared" si="2252"/>
        <v>棚卸以外</v>
      </c>
      <c r="I6168" s="7">
        <v>5</v>
      </c>
      <c r="J6168" s="7" t="str">
        <f>"管理棟"</f>
        <v>管理棟</v>
      </c>
      <c r="K6168" s="7" t="str">
        <f>"鉄筋コンクリート造"</f>
        <v>鉄筋コンクリート造</v>
      </c>
      <c r="L6168" s="7" t="str">
        <f>"S50.03.31"</f>
        <v>S50.03.31</v>
      </c>
      <c r="M6168" s="7">
        <v>2243.84</v>
      </c>
      <c r="N6168" s="7">
        <v>84354456</v>
      </c>
      <c r="O6168" s="7">
        <v>41404976</v>
      </c>
      <c r="P6168" s="7">
        <v>0</v>
      </c>
      <c r="Q6168" s="7" t="str">
        <f t="shared" si="2241"/>
        <v>教育庁</v>
      </c>
      <c r="R6168" s="7" t="str">
        <f t="shared" si="2257"/>
        <v>豊中支援学校</v>
      </c>
    </row>
    <row r="6169" spans="1:18" s="1" customFormat="1" x14ac:dyDescent="0.45">
      <c r="A6169" s="7" t="str">
        <f t="shared" si="2254"/>
        <v>10510000000</v>
      </c>
      <c r="B6169" s="7" t="str">
        <f t="shared" si="2255"/>
        <v>豊中支援学校</v>
      </c>
      <c r="C6169" s="7" t="str">
        <f t="shared" si="2253"/>
        <v>行政財産</v>
      </c>
      <c r="D6169" s="7" t="str">
        <f t="shared" si="2251"/>
        <v>学校</v>
      </c>
      <c r="E6169" s="7" t="str">
        <f t="shared" si="2256"/>
        <v>大阪府豊中市北緑丘２丁目</v>
      </c>
      <c r="F6169" s="7"/>
      <c r="G6169" s="7" t="str">
        <f t="shared" si="2258"/>
        <v>事業用資産</v>
      </c>
      <c r="H6169" s="7" t="str">
        <f t="shared" si="2252"/>
        <v>棚卸以外</v>
      </c>
      <c r="I6169" s="7">
        <v>6</v>
      </c>
      <c r="J6169" s="7" t="str">
        <f>"中高学部棟"</f>
        <v>中高学部棟</v>
      </c>
      <c r="K6169" s="7" t="str">
        <f>"鉄筋コンクリート造"</f>
        <v>鉄筋コンクリート造</v>
      </c>
      <c r="L6169" s="7" t="str">
        <f>"S50.03.31"</f>
        <v>S50.03.31</v>
      </c>
      <c r="M6169" s="7">
        <v>3683.57</v>
      </c>
      <c r="N6169" s="7">
        <v>560217183</v>
      </c>
      <c r="O6169" s="7">
        <v>466920568</v>
      </c>
      <c r="P6169" s="7">
        <v>0</v>
      </c>
      <c r="Q6169" s="7" t="str">
        <f t="shared" si="2241"/>
        <v>教育庁</v>
      </c>
      <c r="R6169" s="7" t="str">
        <f t="shared" si="2257"/>
        <v>豊中支援学校</v>
      </c>
    </row>
    <row r="6170" spans="1:18" s="1" customFormat="1" x14ac:dyDescent="0.45">
      <c r="A6170" s="7" t="str">
        <f t="shared" si="2254"/>
        <v>10510000000</v>
      </c>
      <c r="B6170" s="7" t="str">
        <f t="shared" si="2255"/>
        <v>豊中支援学校</v>
      </c>
      <c r="C6170" s="7" t="str">
        <f t="shared" si="2253"/>
        <v>行政財産</v>
      </c>
      <c r="D6170" s="7" t="str">
        <f t="shared" si="2251"/>
        <v>学校</v>
      </c>
      <c r="E6170" s="7" t="str">
        <f t="shared" si="2256"/>
        <v>大阪府豊中市北緑丘２丁目</v>
      </c>
      <c r="F6170" s="7"/>
      <c r="G6170" s="7" t="str">
        <f t="shared" si="2258"/>
        <v>事業用資産</v>
      </c>
      <c r="H6170" s="7" t="str">
        <f t="shared" si="2252"/>
        <v>棚卸以外</v>
      </c>
      <c r="I6170" s="7">
        <v>7</v>
      </c>
      <c r="J6170" s="7" t="str">
        <f>"渡り廊下"</f>
        <v>渡り廊下</v>
      </c>
      <c r="K6170" s="7" t="str">
        <f>"鉄筋コンクリート造"</f>
        <v>鉄筋コンクリート造</v>
      </c>
      <c r="L6170" s="7" t="str">
        <f>"S50.03.31"</f>
        <v>S50.03.31</v>
      </c>
      <c r="M6170" s="7">
        <v>45.16</v>
      </c>
      <c r="N6170" s="7">
        <v>3561000</v>
      </c>
      <c r="O6170" s="7">
        <v>3560999</v>
      </c>
      <c r="P6170" s="7">
        <v>0</v>
      </c>
      <c r="Q6170" s="7" t="str">
        <f t="shared" si="2241"/>
        <v>教育庁</v>
      </c>
      <c r="R6170" s="7" t="str">
        <f t="shared" si="2257"/>
        <v>豊中支援学校</v>
      </c>
    </row>
    <row r="6171" spans="1:18" s="1" customFormat="1" x14ac:dyDescent="0.45">
      <c r="A6171" s="7" t="str">
        <f t="shared" si="2254"/>
        <v>10510000000</v>
      </c>
      <c r="B6171" s="7" t="str">
        <f t="shared" si="2255"/>
        <v>豊中支援学校</v>
      </c>
      <c r="C6171" s="7" t="str">
        <f t="shared" si="2253"/>
        <v>行政財産</v>
      </c>
      <c r="D6171" s="7" t="str">
        <f t="shared" si="2251"/>
        <v>学校</v>
      </c>
      <c r="E6171" s="7" t="str">
        <f t="shared" si="2256"/>
        <v>大阪府豊中市北緑丘２丁目</v>
      </c>
      <c r="F6171" s="7"/>
      <c r="G6171" s="7" t="str">
        <f t="shared" si="2258"/>
        <v>事業用資産</v>
      </c>
      <c r="H6171" s="7" t="str">
        <f t="shared" si="2252"/>
        <v>棚卸以外</v>
      </c>
      <c r="I6171" s="7">
        <v>8</v>
      </c>
      <c r="J6171" s="7" t="str">
        <f>"渡り廊下"</f>
        <v>渡り廊下</v>
      </c>
      <c r="K6171" s="7" t="str">
        <f>"鉄筋コンクリート造"</f>
        <v>鉄筋コンクリート造</v>
      </c>
      <c r="L6171" s="7" t="str">
        <f>"S50.03.31"</f>
        <v>S50.03.31</v>
      </c>
      <c r="M6171" s="7">
        <v>119.93</v>
      </c>
      <c r="N6171" s="7">
        <v>24117733</v>
      </c>
      <c r="O6171" s="7">
        <v>20680874</v>
      </c>
      <c r="P6171" s="7">
        <v>0</v>
      </c>
      <c r="Q6171" s="7" t="str">
        <f t="shared" ref="Q6171:Q6234" si="2259">"教育庁"</f>
        <v>教育庁</v>
      </c>
      <c r="R6171" s="7" t="str">
        <f t="shared" si="2257"/>
        <v>豊中支援学校</v>
      </c>
    </row>
    <row r="6172" spans="1:18" s="1" customFormat="1" x14ac:dyDescent="0.45">
      <c r="A6172" s="7" t="str">
        <f t="shared" si="2254"/>
        <v>10510000000</v>
      </c>
      <c r="B6172" s="7" t="str">
        <f t="shared" si="2255"/>
        <v>豊中支援学校</v>
      </c>
      <c r="C6172" s="7" t="str">
        <f t="shared" si="2253"/>
        <v>行政財産</v>
      </c>
      <c r="D6172" s="7" t="str">
        <f t="shared" si="2251"/>
        <v>学校</v>
      </c>
      <c r="E6172" s="7" t="str">
        <f t="shared" si="2256"/>
        <v>大阪府豊中市北緑丘２丁目</v>
      </c>
      <c r="F6172" s="7"/>
      <c r="G6172" s="7" t="str">
        <f t="shared" si="2258"/>
        <v>事業用資産</v>
      </c>
      <c r="H6172" s="7" t="str">
        <f t="shared" si="2252"/>
        <v>棚卸以外</v>
      </c>
      <c r="I6172" s="7">
        <v>9</v>
      </c>
      <c r="J6172" s="7" t="str">
        <f>"窯場"</f>
        <v>窯場</v>
      </c>
      <c r="K6172" s="7" t="str">
        <f>"コンクリートブロック造"</f>
        <v>コンクリートブロック造</v>
      </c>
      <c r="L6172" s="7" t="str">
        <f>"S51.03.24"</f>
        <v>S51.03.24</v>
      </c>
      <c r="M6172" s="7">
        <v>30.6</v>
      </c>
      <c r="N6172" s="7">
        <v>4191000</v>
      </c>
      <c r="O6172" s="7">
        <v>4190999</v>
      </c>
      <c r="P6172" s="7">
        <v>0</v>
      </c>
      <c r="Q6172" s="7" t="str">
        <f t="shared" si="2259"/>
        <v>教育庁</v>
      </c>
      <c r="R6172" s="7" t="str">
        <f t="shared" si="2257"/>
        <v>豊中支援学校</v>
      </c>
    </row>
    <row r="6173" spans="1:18" s="1" customFormat="1" x14ac:dyDescent="0.45">
      <c r="A6173" s="7" t="str">
        <f t="shared" si="2254"/>
        <v>10510000000</v>
      </c>
      <c r="B6173" s="7" t="str">
        <f t="shared" si="2255"/>
        <v>豊中支援学校</v>
      </c>
      <c r="C6173" s="7" t="str">
        <f t="shared" si="2253"/>
        <v>行政財産</v>
      </c>
      <c r="D6173" s="7" t="str">
        <f t="shared" si="2251"/>
        <v>学校</v>
      </c>
      <c r="E6173" s="7" t="str">
        <f t="shared" si="2256"/>
        <v>大阪府豊中市北緑丘２丁目</v>
      </c>
      <c r="F6173" s="7"/>
      <c r="G6173" s="7" t="str">
        <f t="shared" si="2258"/>
        <v>事業用資産</v>
      </c>
      <c r="H6173" s="7" t="str">
        <f t="shared" si="2252"/>
        <v>棚卸以外</v>
      </c>
      <c r="I6173" s="7">
        <v>11</v>
      </c>
      <c r="J6173" s="7" t="str">
        <f>"作業棟及び体育館"</f>
        <v>作業棟及び体育館</v>
      </c>
      <c r="K6173" s="7" t="str">
        <f>"鉄筋コンクリート造"</f>
        <v>鉄筋コンクリート造</v>
      </c>
      <c r="L6173" s="7" t="str">
        <f>"S53.04.07"</f>
        <v>S53.04.07</v>
      </c>
      <c r="M6173" s="7">
        <v>1759.21</v>
      </c>
      <c r="N6173" s="7">
        <v>81616362</v>
      </c>
      <c r="O6173" s="7">
        <v>25559516</v>
      </c>
      <c r="P6173" s="7">
        <v>0</v>
      </c>
      <c r="Q6173" s="7" t="str">
        <f t="shared" si="2259"/>
        <v>教育庁</v>
      </c>
      <c r="R6173" s="7" t="str">
        <f t="shared" si="2257"/>
        <v>豊中支援学校</v>
      </c>
    </row>
    <row r="6174" spans="1:18" s="1" customFormat="1" x14ac:dyDescent="0.45">
      <c r="A6174" s="7" t="str">
        <f t="shared" si="2254"/>
        <v>10510000000</v>
      </c>
      <c r="B6174" s="7" t="str">
        <f t="shared" si="2255"/>
        <v>豊中支援学校</v>
      </c>
      <c r="C6174" s="7" t="str">
        <f t="shared" si="2253"/>
        <v>行政財産</v>
      </c>
      <c r="D6174" s="7" t="str">
        <f t="shared" si="2251"/>
        <v>学校</v>
      </c>
      <c r="E6174" s="7" t="str">
        <f t="shared" si="2256"/>
        <v>大阪府豊中市北緑丘２丁目</v>
      </c>
      <c r="F6174" s="7"/>
      <c r="G6174" s="7" t="str">
        <f t="shared" si="2258"/>
        <v>事業用資産</v>
      </c>
      <c r="H6174" s="7" t="str">
        <f t="shared" si="2252"/>
        <v>棚卸以外</v>
      </c>
      <c r="I6174" s="7">
        <v>12</v>
      </c>
      <c r="J6174" s="7" t="str">
        <f>"発電気室"</f>
        <v>発電気室</v>
      </c>
      <c r="K6174" s="7" t="str">
        <f>"鉄筋コンクリート造"</f>
        <v>鉄筋コンクリート造</v>
      </c>
      <c r="L6174" s="7" t="str">
        <f>"S54.03.31"</f>
        <v>S54.03.31</v>
      </c>
      <c r="M6174" s="7">
        <v>16.829999999999998</v>
      </c>
      <c r="N6174" s="7">
        <v>1895000</v>
      </c>
      <c r="O6174" s="7">
        <v>1894999</v>
      </c>
      <c r="P6174" s="7">
        <v>0</v>
      </c>
      <c r="Q6174" s="7" t="str">
        <f t="shared" si="2259"/>
        <v>教育庁</v>
      </c>
      <c r="R6174" s="7" t="str">
        <f t="shared" si="2257"/>
        <v>豊中支援学校</v>
      </c>
    </row>
    <row r="6175" spans="1:18" s="1" customFormat="1" x14ac:dyDescent="0.45">
      <c r="A6175" s="7" t="str">
        <f t="shared" si="2254"/>
        <v>10510000000</v>
      </c>
      <c r="B6175" s="7" t="str">
        <f t="shared" si="2255"/>
        <v>豊中支援学校</v>
      </c>
      <c r="C6175" s="7" t="str">
        <f t="shared" si="2253"/>
        <v>行政財産</v>
      </c>
      <c r="D6175" s="7" t="str">
        <f t="shared" si="2251"/>
        <v>学校</v>
      </c>
      <c r="E6175" s="7" t="str">
        <f t="shared" si="2256"/>
        <v>大阪府豊中市北緑丘２丁目</v>
      </c>
      <c r="F6175" s="7"/>
      <c r="G6175" s="7" t="str">
        <f t="shared" si="2258"/>
        <v>事業用資産</v>
      </c>
      <c r="H6175" s="7" t="str">
        <f t="shared" si="2252"/>
        <v>棚卸以外</v>
      </c>
      <c r="I6175" s="7">
        <v>13</v>
      </c>
      <c r="J6175" s="7" t="str">
        <f>"屋外シャワー室"</f>
        <v>屋外シャワー室</v>
      </c>
      <c r="K6175" s="7" t="str">
        <f>"土蔵造(簡易建物)"</f>
        <v>土蔵造(簡易建物)</v>
      </c>
      <c r="L6175" s="7" t="str">
        <f>"S54.12.10"</f>
        <v>S54.12.10</v>
      </c>
      <c r="M6175" s="7">
        <v>2.6</v>
      </c>
      <c r="N6175" s="7">
        <v>879000</v>
      </c>
      <c r="O6175" s="7">
        <v>878999</v>
      </c>
      <c r="P6175" s="7">
        <v>0</v>
      </c>
      <c r="Q6175" s="7" t="str">
        <f t="shared" si="2259"/>
        <v>教育庁</v>
      </c>
      <c r="R6175" s="7" t="str">
        <f t="shared" si="2257"/>
        <v>豊中支援学校</v>
      </c>
    </row>
    <row r="6176" spans="1:18" s="1" customFormat="1" x14ac:dyDescent="0.45">
      <c r="A6176" s="7" t="str">
        <f t="shared" si="2254"/>
        <v>10510000000</v>
      </c>
      <c r="B6176" s="7" t="str">
        <f t="shared" si="2255"/>
        <v>豊中支援学校</v>
      </c>
      <c r="C6176" s="7" t="str">
        <f t="shared" si="2253"/>
        <v>行政財産</v>
      </c>
      <c r="D6176" s="7" t="str">
        <f t="shared" si="2251"/>
        <v>学校</v>
      </c>
      <c r="E6176" s="7" t="str">
        <f t="shared" si="2256"/>
        <v>大阪府豊中市北緑丘２丁目</v>
      </c>
      <c r="F6176" s="7"/>
      <c r="G6176" s="7" t="str">
        <f t="shared" si="2258"/>
        <v>事業用資産</v>
      </c>
      <c r="H6176" s="7" t="str">
        <f t="shared" si="2252"/>
        <v>棚卸以外</v>
      </c>
      <c r="I6176" s="7">
        <v>14</v>
      </c>
      <c r="J6176" s="7" t="str">
        <f>"食品庫"</f>
        <v>食品庫</v>
      </c>
      <c r="K6176" s="7" t="str">
        <f>"鉄筋コンクリート造"</f>
        <v>鉄筋コンクリート造</v>
      </c>
      <c r="L6176" s="7" t="str">
        <f>"S56.03.31"</f>
        <v>S56.03.31</v>
      </c>
      <c r="M6176" s="7">
        <v>15</v>
      </c>
      <c r="N6176" s="7">
        <v>5629000</v>
      </c>
      <c r="O6176" s="7">
        <v>5628999</v>
      </c>
      <c r="P6176" s="7">
        <v>0</v>
      </c>
      <c r="Q6176" s="7" t="str">
        <f t="shared" si="2259"/>
        <v>教育庁</v>
      </c>
      <c r="R6176" s="7" t="str">
        <f t="shared" si="2257"/>
        <v>豊中支援学校</v>
      </c>
    </row>
    <row r="6177" spans="1:18" s="1" customFormat="1" x14ac:dyDescent="0.45">
      <c r="A6177" s="7" t="str">
        <f t="shared" si="2254"/>
        <v>10510000000</v>
      </c>
      <c r="B6177" s="7" t="str">
        <f t="shared" si="2255"/>
        <v>豊中支援学校</v>
      </c>
      <c r="C6177" s="7" t="str">
        <f t="shared" si="2253"/>
        <v>行政財産</v>
      </c>
      <c r="D6177" s="7" t="str">
        <f t="shared" si="2251"/>
        <v>学校</v>
      </c>
      <c r="E6177" s="7" t="str">
        <f t="shared" si="2256"/>
        <v>大阪府豊中市北緑丘２丁目</v>
      </c>
      <c r="F6177" s="7"/>
      <c r="G6177" s="7" t="str">
        <f t="shared" si="2258"/>
        <v>事業用資産</v>
      </c>
      <c r="H6177" s="7" t="str">
        <f t="shared" si="2252"/>
        <v>棚卸以外</v>
      </c>
      <c r="I6177" s="7">
        <v>15</v>
      </c>
      <c r="J6177" s="7" t="str">
        <f>"監視員室"</f>
        <v>監視員室</v>
      </c>
      <c r="K6177" s="7" t="str">
        <f>"土蔵造(簡易建物)"</f>
        <v>土蔵造(簡易建物)</v>
      </c>
      <c r="L6177" s="7" t="str">
        <f>"S57.10.15"</f>
        <v>S57.10.15</v>
      </c>
      <c r="M6177" s="7">
        <v>3.53</v>
      </c>
      <c r="N6177" s="7">
        <v>778000</v>
      </c>
      <c r="O6177" s="7">
        <v>471316</v>
      </c>
      <c r="P6177" s="7">
        <v>0</v>
      </c>
      <c r="Q6177" s="7" t="str">
        <f t="shared" si="2259"/>
        <v>教育庁</v>
      </c>
      <c r="R6177" s="7" t="str">
        <f t="shared" si="2257"/>
        <v>豊中支援学校</v>
      </c>
    </row>
    <row r="6178" spans="1:18" s="1" customFormat="1" x14ac:dyDescent="0.45">
      <c r="A6178" s="7" t="str">
        <f t="shared" si="2254"/>
        <v>10510000000</v>
      </c>
      <c r="B6178" s="7" t="str">
        <f t="shared" si="2255"/>
        <v>豊中支援学校</v>
      </c>
      <c r="C6178" s="7" t="str">
        <f t="shared" si="2253"/>
        <v>行政財産</v>
      </c>
      <c r="D6178" s="7" t="str">
        <f t="shared" si="2251"/>
        <v>学校</v>
      </c>
      <c r="E6178" s="7" t="str">
        <f t="shared" si="2256"/>
        <v>大阪府豊中市北緑丘２丁目</v>
      </c>
      <c r="F6178" s="7"/>
      <c r="G6178" s="7" t="str">
        <f t="shared" si="2258"/>
        <v>事業用資産</v>
      </c>
      <c r="H6178" s="7" t="str">
        <f t="shared" si="2252"/>
        <v>棚卸以外</v>
      </c>
      <c r="I6178" s="7">
        <v>16</v>
      </c>
      <c r="J6178" s="7" t="str">
        <f>"普通教室棟"</f>
        <v>普通教室棟</v>
      </c>
      <c r="K6178" s="7" t="str">
        <f>"鉄筋コンクリート造"</f>
        <v>鉄筋コンクリート造</v>
      </c>
      <c r="L6178" s="7" t="str">
        <f>"S59.03.31"</f>
        <v>S59.03.31</v>
      </c>
      <c r="M6178" s="7">
        <v>658.4</v>
      </c>
      <c r="N6178" s="7">
        <v>120917759</v>
      </c>
      <c r="O6178" s="7">
        <v>93901988</v>
      </c>
      <c r="P6178" s="7">
        <v>0</v>
      </c>
      <c r="Q6178" s="7" t="str">
        <f t="shared" si="2259"/>
        <v>教育庁</v>
      </c>
      <c r="R6178" s="7" t="str">
        <f t="shared" si="2257"/>
        <v>豊中支援学校</v>
      </c>
    </row>
    <row r="6179" spans="1:18" s="1" customFormat="1" x14ac:dyDescent="0.45">
      <c r="A6179" s="7" t="str">
        <f t="shared" si="2254"/>
        <v>10510000000</v>
      </c>
      <c r="B6179" s="7" t="str">
        <f t="shared" si="2255"/>
        <v>豊中支援学校</v>
      </c>
      <c r="C6179" s="7" t="str">
        <f t="shared" si="2253"/>
        <v>行政財産</v>
      </c>
      <c r="D6179" s="7" t="str">
        <f t="shared" si="2251"/>
        <v>学校</v>
      </c>
      <c r="E6179" s="7" t="str">
        <f t="shared" si="2256"/>
        <v>大阪府豊中市北緑丘２丁目</v>
      </c>
      <c r="F6179" s="7"/>
      <c r="G6179" s="7" t="str">
        <f t="shared" si="2258"/>
        <v>事業用資産</v>
      </c>
      <c r="H6179" s="7" t="str">
        <f t="shared" si="2252"/>
        <v>棚卸以外</v>
      </c>
      <c r="I6179" s="7">
        <v>17</v>
      </c>
      <c r="J6179" s="7" t="str">
        <f>"渡り廊下棟"</f>
        <v>渡り廊下棟</v>
      </c>
      <c r="K6179" s="7" t="str">
        <f>"鉄筋コンクリート造"</f>
        <v>鉄筋コンクリート造</v>
      </c>
      <c r="L6179" s="7" t="str">
        <f>"S59.03.31"</f>
        <v>S59.03.31</v>
      </c>
      <c r="M6179" s="7">
        <v>22.68</v>
      </c>
      <c r="N6179" s="7">
        <v>3103000</v>
      </c>
      <c r="O6179" s="7">
        <v>2951676</v>
      </c>
      <c r="P6179" s="7">
        <v>0</v>
      </c>
      <c r="Q6179" s="7" t="str">
        <f t="shared" si="2259"/>
        <v>教育庁</v>
      </c>
      <c r="R6179" s="7" t="str">
        <f t="shared" si="2257"/>
        <v>豊中支援学校</v>
      </c>
    </row>
    <row r="6180" spans="1:18" s="1" customFormat="1" x14ac:dyDescent="0.45">
      <c r="A6180" s="7" t="str">
        <f t="shared" si="2254"/>
        <v>10510000000</v>
      </c>
      <c r="B6180" s="7" t="str">
        <f t="shared" si="2255"/>
        <v>豊中支援学校</v>
      </c>
      <c r="C6180" s="7" t="str">
        <f t="shared" si="2253"/>
        <v>行政財産</v>
      </c>
      <c r="D6180" s="7" t="str">
        <f t="shared" si="2251"/>
        <v>学校</v>
      </c>
      <c r="E6180" s="7" t="str">
        <f t="shared" si="2256"/>
        <v>大阪府豊中市北緑丘２丁目</v>
      </c>
      <c r="F6180" s="7"/>
      <c r="G6180" s="7" t="str">
        <f t="shared" si="2258"/>
        <v>事業用資産</v>
      </c>
      <c r="H6180" s="7" t="str">
        <f t="shared" si="2252"/>
        <v>棚卸以外</v>
      </c>
      <c r="I6180" s="7">
        <v>18</v>
      </c>
      <c r="J6180" s="7" t="str">
        <f>"プール機械室棟"</f>
        <v>プール機械室棟</v>
      </c>
      <c r="K6180" s="7" t="str">
        <f>"鉄筋コンクリート造"</f>
        <v>鉄筋コンクリート造</v>
      </c>
      <c r="L6180" s="7" t="str">
        <f>"H01.12.14"</f>
        <v>H01.12.14</v>
      </c>
      <c r="M6180" s="7">
        <v>35</v>
      </c>
      <c r="N6180" s="7">
        <v>9140781</v>
      </c>
      <c r="O6180" s="7">
        <v>7146145</v>
      </c>
      <c r="P6180" s="7">
        <v>0</v>
      </c>
      <c r="Q6180" s="7" t="str">
        <f t="shared" si="2259"/>
        <v>教育庁</v>
      </c>
      <c r="R6180" s="7" t="str">
        <f t="shared" si="2257"/>
        <v>豊中支援学校</v>
      </c>
    </row>
    <row r="6181" spans="1:18" s="1" customFormat="1" x14ac:dyDescent="0.45">
      <c r="A6181" s="7" t="str">
        <f t="shared" si="2254"/>
        <v>10510000000</v>
      </c>
      <c r="B6181" s="7" t="str">
        <f t="shared" si="2255"/>
        <v>豊中支援学校</v>
      </c>
      <c r="C6181" s="7" t="str">
        <f t="shared" si="2253"/>
        <v>行政財産</v>
      </c>
      <c r="D6181" s="7" t="str">
        <f t="shared" si="2251"/>
        <v>学校</v>
      </c>
      <c r="E6181" s="7" t="str">
        <f t="shared" si="2256"/>
        <v>大阪府豊中市北緑丘２丁目</v>
      </c>
      <c r="F6181" s="7"/>
      <c r="G6181" s="7" t="str">
        <f t="shared" si="2258"/>
        <v>事業用資産</v>
      </c>
      <c r="H6181" s="7" t="str">
        <f t="shared" si="2252"/>
        <v>棚卸以外</v>
      </c>
      <c r="I6181" s="7">
        <v>19</v>
      </c>
      <c r="J6181" s="7" t="str">
        <f>"新体育倉庫"</f>
        <v>新体育倉庫</v>
      </c>
      <c r="K6181" s="7" t="str">
        <f>"土蔵造(簡易建物)"</f>
        <v>土蔵造(簡易建物)</v>
      </c>
      <c r="L6181" s="7" t="str">
        <f>"H02.02.24"</f>
        <v>H02.02.24</v>
      </c>
      <c r="M6181" s="7">
        <v>32.4</v>
      </c>
      <c r="N6181" s="7">
        <v>971000</v>
      </c>
      <c r="O6181" s="7">
        <v>970999</v>
      </c>
      <c r="P6181" s="7">
        <v>0</v>
      </c>
      <c r="Q6181" s="7" t="str">
        <f t="shared" si="2259"/>
        <v>教育庁</v>
      </c>
      <c r="R6181" s="7" t="str">
        <f t="shared" si="2257"/>
        <v>豊中支援学校</v>
      </c>
    </row>
    <row r="6182" spans="1:18" s="1" customFormat="1" x14ac:dyDescent="0.45">
      <c r="A6182" s="7" t="str">
        <f t="shared" si="2254"/>
        <v>10510000000</v>
      </c>
      <c r="B6182" s="7" t="str">
        <f t="shared" si="2255"/>
        <v>豊中支援学校</v>
      </c>
      <c r="C6182" s="7" t="str">
        <f t="shared" si="2253"/>
        <v>行政財産</v>
      </c>
      <c r="D6182" s="7" t="str">
        <f t="shared" si="2251"/>
        <v>学校</v>
      </c>
      <c r="E6182" s="7" t="str">
        <f t="shared" si="2256"/>
        <v>大阪府豊中市北緑丘２丁目</v>
      </c>
      <c r="F6182" s="7"/>
      <c r="G6182" s="7" t="str">
        <f t="shared" si="2258"/>
        <v>事業用資産</v>
      </c>
      <c r="H6182" s="7" t="str">
        <f t="shared" si="2252"/>
        <v>棚卸以外</v>
      </c>
      <c r="I6182" s="7">
        <v>20</v>
      </c>
      <c r="J6182" s="7" t="str">
        <f>"体育器具倉庫"</f>
        <v>体育器具倉庫</v>
      </c>
      <c r="K6182" s="7" t="str">
        <f>"プレハブ"</f>
        <v>プレハブ</v>
      </c>
      <c r="L6182" s="7" t="str">
        <f>"H10.11.24"</f>
        <v>H10.11.24</v>
      </c>
      <c r="M6182" s="7">
        <v>18.61</v>
      </c>
      <c r="N6182" s="7">
        <v>488000</v>
      </c>
      <c r="O6182" s="7">
        <v>487999</v>
      </c>
      <c r="P6182" s="7">
        <v>0</v>
      </c>
      <c r="Q6182" s="7" t="str">
        <f t="shared" si="2259"/>
        <v>教育庁</v>
      </c>
      <c r="R6182" s="7" t="str">
        <f t="shared" si="2257"/>
        <v>豊中支援学校</v>
      </c>
    </row>
    <row r="6183" spans="1:18" s="1" customFormat="1" x14ac:dyDescent="0.45">
      <c r="A6183" s="7" t="str">
        <f t="shared" si="2254"/>
        <v>10510000000</v>
      </c>
      <c r="B6183" s="7" t="str">
        <f t="shared" si="2255"/>
        <v>豊中支援学校</v>
      </c>
      <c r="C6183" s="7" t="str">
        <f t="shared" si="2253"/>
        <v>行政財産</v>
      </c>
      <c r="D6183" s="7" t="str">
        <f t="shared" si="2251"/>
        <v>学校</v>
      </c>
      <c r="E6183" s="7" t="str">
        <f t="shared" si="2256"/>
        <v>大阪府豊中市北緑丘２丁目</v>
      </c>
      <c r="F6183" s="7"/>
      <c r="G6183" s="7" t="str">
        <f t="shared" si="2258"/>
        <v>事業用資産</v>
      </c>
      <c r="H6183" s="7" t="str">
        <f t="shared" si="2252"/>
        <v>棚卸以外</v>
      </c>
      <c r="I6183" s="7">
        <v>21</v>
      </c>
      <c r="J6183" s="7" t="str">
        <f>"図工室倉庫"</f>
        <v>図工室倉庫</v>
      </c>
      <c r="K6183" s="7" t="str">
        <f>"軽量鉄骨造"</f>
        <v>軽量鉄骨造</v>
      </c>
      <c r="L6183" s="7" t="str">
        <f>"H14.03.29"</f>
        <v>H14.03.29</v>
      </c>
      <c r="M6183" s="7">
        <v>9.4</v>
      </c>
      <c r="N6183" s="7">
        <v>606000</v>
      </c>
      <c r="O6183" s="7">
        <v>530460</v>
      </c>
      <c r="P6183" s="7">
        <v>0</v>
      </c>
      <c r="Q6183" s="7" t="str">
        <f t="shared" si="2259"/>
        <v>教育庁</v>
      </c>
      <c r="R6183" s="7" t="str">
        <f t="shared" si="2257"/>
        <v>豊中支援学校</v>
      </c>
    </row>
    <row r="6184" spans="1:18" s="1" customFormat="1" x14ac:dyDescent="0.45">
      <c r="A6184" s="7" t="str">
        <f t="shared" ref="A6184:A6193" si="2260">"10511000000"</f>
        <v>10511000000</v>
      </c>
      <c r="B6184" s="7" t="str">
        <f t="shared" ref="B6184:B6193" si="2261">"寝屋川支援学校"</f>
        <v>寝屋川支援学校</v>
      </c>
      <c r="C6184" s="7" t="str">
        <f t="shared" si="2253"/>
        <v>行政財産</v>
      </c>
      <c r="D6184" s="7" t="str">
        <f t="shared" si="2251"/>
        <v>学校</v>
      </c>
      <c r="E6184" s="7" t="str">
        <f t="shared" ref="E6184:E6193" si="2262">"大阪府寝屋川市大字寝屋"</f>
        <v>大阪府寝屋川市大字寝屋</v>
      </c>
      <c r="F6184" s="7"/>
      <c r="G6184" s="7" t="str">
        <f t="shared" si="2258"/>
        <v>事業用資産</v>
      </c>
      <c r="H6184" s="7" t="str">
        <f t="shared" si="2252"/>
        <v>棚卸以外</v>
      </c>
      <c r="I6184" s="7">
        <v>2</v>
      </c>
      <c r="J6184" s="7" t="str">
        <f>"小学部棟"</f>
        <v>小学部棟</v>
      </c>
      <c r="K6184" s="7" t="str">
        <f>"鉄筋コンクリート造"</f>
        <v>鉄筋コンクリート造</v>
      </c>
      <c r="L6184" s="7" t="str">
        <f>"S51.04.30"</f>
        <v>S51.04.30</v>
      </c>
      <c r="M6184" s="7">
        <v>2657.55</v>
      </c>
      <c r="N6184" s="7">
        <v>366270171</v>
      </c>
      <c r="O6184" s="7">
        <v>313916554</v>
      </c>
      <c r="P6184" s="7">
        <v>0</v>
      </c>
      <c r="Q6184" s="7" t="str">
        <f t="shared" si="2259"/>
        <v>教育庁</v>
      </c>
      <c r="R6184" s="7" t="str">
        <f t="shared" ref="R6184:R6193" si="2263">"寝屋川支援学校"</f>
        <v>寝屋川支援学校</v>
      </c>
    </row>
    <row r="6185" spans="1:18" s="1" customFormat="1" x14ac:dyDescent="0.45">
      <c r="A6185" s="7" t="str">
        <f t="shared" si="2260"/>
        <v>10511000000</v>
      </c>
      <c r="B6185" s="7" t="str">
        <f t="shared" si="2261"/>
        <v>寝屋川支援学校</v>
      </c>
      <c r="C6185" s="7" t="str">
        <f t="shared" si="2253"/>
        <v>行政財産</v>
      </c>
      <c r="D6185" s="7" t="str">
        <f t="shared" si="2251"/>
        <v>学校</v>
      </c>
      <c r="E6185" s="7" t="str">
        <f t="shared" si="2262"/>
        <v>大阪府寝屋川市大字寝屋</v>
      </c>
      <c r="F6185" s="7"/>
      <c r="G6185" s="7" t="str">
        <f t="shared" si="2258"/>
        <v>事業用資産</v>
      </c>
      <c r="H6185" s="7" t="str">
        <f t="shared" si="2252"/>
        <v>棚卸以外</v>
      </c>
      <c r="I6185" s="7">
        <v>3</v>
      </c>
      <c r="J6185" s="7" t="str">
        <f>"設備棟"</f>
        <v>設備棟</v>
      </c>
      <c r="K6185" s="7" t="str">
        <f>"鉄筋コンクリート造"</f>
        <v>鉄筋コンクリート造</v>
      </c>
      <c r="L6185" s="7" t="str">
        <f>"S51.04.30"</f>
        <v>S51.04.30</v>
      </c>
      <c r="M6185" s="7">
        <v>138</v>
      </c>
      <c r="N6185" s="7">
        <v>34561547</v>
      </c>
      <c r="O6185" s="7">
        <v>27059137</v>
      </c>
      <c r="P6185" s="7">
        <v>0</v>
      </c>
      <c r="Q6185" s="7" t="str">
        <f t="shared" si="2259"/>
        <v>教育庁</v>
      </c>
      <c r="R6185" s="7" t="str">
        <f t="shared" si="2263"/>
        <v>寝屋川支援学校</v>
      </c>
    </row>
    <row r="6186" spans="1:18" s="1" customFormat="1" x14ac:dyDescent="0.45">
      <c r="A6186" s="7" t="str">
        <f t="shared" si="2260"/>
        <v>10511000000</v>
      </c>
      <c r="B6186" s="7" t="str">
        <f t="shared" si="2261"/>
        <v>寝屋川支援学校</v>
      </c>
      <c r="C6186" s="7" t="str">
        <f t="shared" si="2253"/>
        <v>行政財産</v>
      </c>
      <c r="D6186" s="7" t="str">
        <f t="shared" si="2251"/>
        <v>学校</v>
      </c>
      <c r="E6186" s="7" t="str">
        <f t="shared" si="2262"/>
        <v>大阪府寝屋川市大字寝屋</v>
      </c>
      <c r="F6186" s="7"/>
      <c r="G6186" s="7" t="str">
        <f t="shared" si="2258"/>
        <v>事業用資産</v>
      </c>
      <c r="H6186" s="7" t="str">
        <f t="shared" si="2252"/>
        <v>棚卸以外</v>
      </c>
      <c r="I6186" s="7">
        <v>5</v>
      </c>
      <c r="J6186" s="7" t="str">
        <f>"ガレージ"</f>
        <v>ガレージ</v>
      </c>
      <c r="K6186" s="7" t="str">
        <f>"鉄骨造"</f>
        <v>鉄骨造</v>
      </c>
      <c r="L6186" s="7" t="str">
        <f>"S51.04.30"</f>
        <v>S51.04.30</v>
      </c>
      <c r="M6186" s="7">
        <v>264.60000000000002</v>
      </c>
      <c r="N6186" s="7">
        <v>15270000</v>
      </c>
      <c r="O6186" s="7">
        <v>15269999</v>
      </c>
      <c r="P6186" s="7">
        <v>0</v>
      </c>
      <c r="Q6186" s="7" t="str">
        <f t="shared" si="2259"/>
        <v>教育庁</v>
      </c>
      <c r="R6186" s="7" t="str">
        <f t="shared" si="2263"/>
        <v>寝屋川支援学校</v>
      </c>
    </row>
    <row r="6187" spans="1:18" s="1" customFormat="1" x14ac:dyDescent="0.45">
      <c r="A6187" s="7" t="str">
        <f t="shared" si="2260"/>
        <v>10511000000</v>
      </c>
      <c r="B6187" s="7" t="str">
        <f t="shared" si="2261"/>
        <v>寝屋川支援学校</v>
      </c>
      <c r="C6187" s="7" t="str">
        <f t="shared" si="2253"/>
        <v>行政財産</v>
      </c>
      <c r="D6187" s="7" t="str">
        <f t="shared" si="2251"/>
        <v>学校</v>
      </c>
      <c r="E6187" s="7" t="str">
        <f t="shared" si="2262"/>
        <v>大阪府寝屋川市大字寝屋</v>
      </c>
      <c r="F6187" s="7"/>
      <c r="G6187" s="7" t="str">
        <f t="shared" si="2258"/>
        <v>事業用資産</v>
      </c>
      <c r="H6187" s="7" t="str">
        <f t="shared" si="2252"/>
        <v>棚卸以外</v>
      </c>
      <c r="I6187" s="7">
        <v>6</v>
      </c>
      <c r="J6187" s="7" t="str">
        <f>"管理棟"</f>
        <v>管理棟</v>
      </c>
      <c r="K6187" s="7" t="str">
        <f>"鉄筋コンクリート造"</f>
        <v>鉄筋コンクリート造</v>
      </c>
      <c r="L6187" s="7" t="str">
        <f>"S51.04.30"</f>
        <v>S51.04.30</v>
      </c>
      <c r="M6187" s="7">
        <v>2087.84</v>
      </c>
      <c r="N6187" s="7">
        <v>363905063</v>
      </c>
      <c r="O6187" s="7">
        <v>305588563</v>
      </c>
      <c r="P6187" s="7">
        <v>0</v>
      </c>
      <c r="Q6187" s="7" t="str">
        <f t="shared" si="2259"/>
        <v>教育庁</v>
      </c>
      <c r="R6187" s="7" t="str">
        <f t="shared" si="2263"/>
        <v>寝屋川支援学校</v>
      </c>
    </row>
    <row r="6188" spans="1:18" s="1" customFormat="1" x14ac:dyDescent="0.45">
      <c r="A6188" s="7" t="str">
        <f t="shared" si="2260"/>
        <v>10511000000</v>
      </c>
      <c r="B6188" s="7" t="str">
        <f t="shared" si="2261"/>
        <v>寝屋川支援学校</v>
      </c>
      <c r="C6188" s="7" t="str">
        <f t="shared" si="2253"/>
        <v>行政財産</v>
      </c>
      <c r="D6188" s="7" t="str">
        <f t="shared" si="2251"/>
        <v>学校</v>
      </c>
      <c r="E6188" s="7" t="str">
        <f t="shared" si="2262"/>
        <v>大阪府寝屋川市大字寝屋</v>
      </c>
      <c r="F6188" s="7"/>
      <c r="G6188" s="7" t="str">
        <f t="shared" si="2258"/>
        <v>事業用資産</v>
      </c>
      <c r="H6188" s="7" t="str">
        <f t="shared" si="2252"/>
        <v>棚卸以外</v>
      </c>
      <c r="I6188" s="7">
        <v>8</v>
      </c>
      <c r="J6188" s="7" t="str">
        <f>"中高作業棟"</f>
        <v>中高作業棟</v>
      </c>
      <c r="K6188" s="7" t="str">
        <f>"鉄筋コンクリート造"</f>
        <v>鉄筋コンクリート造</v>
      </c>
      <c r="L6188" s="7" t="str">
        <f>"S53.04.07"</f>
        <v>S53.04.07</v>
      </c>
      <c r="M6188" s="7">
        <v>4650.13</v>
      </c>
      <c r="N6188" s="7">
        <v>754322352</v>
      </c>
      <c r="O6188" s="7">
        <v>624356187</v>
      </c>
      <c r="P6188" s="7">
        <v>0</v>
      </c>
      <c r="Q6188" s="7" t="str">
        <f t="shared" si="2259"/>
        <v>教育庁</v>
      </c>
      <c r="R6188" s="7" t="str">
        <f t="shared" si="2263"/>
        <v>寝屋川支援学校</v>
      </c>
    </row>
    <row r="6189" spans="1:18" s="1" customFormat="1" x14ac:dyDescent="0.45">
      <c r="A6189" s="7" t="str">
        <f t="shared" si="2260"/>
        <v>10511000000</v>
      </c>
      <c r="B6189" s="7" t="str">
        <f t="shared" si="2261"/>
        <v>寝屋川支援学校</v>
      </c>
      <c r="C6189" s="7" t="str">
        <f t="shared" si="2253"/>
        <v>行政財産</v>
      </c>
      <c r="D6189" s="7" t="str">
        <f t="shared" si="2251"/>
        <v>学校</v>
      </c>
      <c r="E6189" s="7" t="str">
        <f t="shared" si="2262"/>
        <v>大阪府寝屋川市大字寝屋</v>
      </c>
      <c r="F6189" s="7"/>
      <c r="G6189" s="7" t="str">
        <f t="shared" si="2258"/>
        <v>事業用資産</v>
      </c>
      <c r="H6189" s="7" t="str">
        <f t="shared" si="2252"/>
        <v>棚卸以外</v>
      </c>
      <c r="I6189" s="7">
        <v>9</v>
      </c>
      <c r="J6189" s="7" t="str">
        <f>"体育館棟"</f>
        <v>体育館棟</v>
      </c>
      <c r="K6189" s="7" t="str">
        <f>"鉄筋コンクリート造"</f>
        <v>鉄筋コンクリート造</v>
      </c>
      <c r="L6189" s="7" t="str">
        <f>"S57.03.31"</f>
        <v>S57.03.31</v>
      </c>
      <c r="M6189" s="7">
        <v>1559.43</v>
      </c>
      <c r="N6189" s="7">
        <v>277625193</v>
      </c>
      <c r="O6189" s="7">
        <v>224900960</v>
      </c>
      <c r="P6189" s="7">
        <v>0</v>
      </c>
      <c r="Q6189" s="7" t="str">
        <f t="shared" si="2259"/>
        <v>教育庁</v>
      </c>
      <c r="R6189" s="7" t="str">
        <f t="shared" si="2263"/>
        <v>寝屋川支援学校</v>
      </c>
    </row>
    <row r="6190" spans="1:18" s="1" customFormat="1" x14ac:dyDescent="0.45">
      <c r="A6190" s="7" t="str">
        <f t="shared" si="2260"/>
        <v>10511000000</v>
      </c>
      <c r="B6190" s="7" t="str">
        <f t="shared" si="2261"/>
        <v>寝屋川支援学校</v>
      </c>
      <c r="C6190" s="7" t="str">
        <f t="shared" si="2253"/>
        <v>行政財産</v>
      </c>
      <c r="D6190" s="7" t="str">
        <f t="shared" si="2251"/>
        <v>学校</v>
      </c>
      <c r="E6190" s="7" t="str">
        <f t="shared" si="2262"/>
        <v>大阪府寝屋川市大字寝屋</v>
      </c>
      <c r="F6190" s="7"/>
      <c r="G6190" s="7" t="str">
        <f t="shared" si="2258"/>
        <v>事業用資産</v>
      </c>
      <c r="H6190" s="7" t="str">
        <f t="shared" si="2252"/>
        <v>棚卸以外</v>
      </c>
      <c r="I6190" s="7">
        <v>10</v>
      </c>
      <c r="J6190" s="7" t="str">
        <f>"東棟"</f>
        <v>東棟</v>
      </c>
      <c r="K6190" s="7" t="str">
        <f>"鉄筋コンクリート造"</f>
        <v>鉄筋コンクリート造</v>
      </c>
      <c r="L6190" s="7" t="str">
        <f>"S59.03.31"</f>
        <v>S59.03.31</v>
      </c>
      <c r="M6190" s="7">
        <v>633.29999999999995</v>
      </c>
      <c r="N6190" s="7">
        <v>126695625</v>
      </c>
      <c r="O6190" s="7">
        <v>100584372</v>
      </c>
      <c r="P6190" s="7">
        <v>0</v>
      </c>
      <c r="Q6190" s="7" t="str">
        <f t="shared" si="2259"/>
        <v>教育庁</v>
      </c>
      <c r="R6190" s="7" t="str">
        <f t="shared" si="2263"/>
        <v>寝屋川支援学校</v>
      </c>
    </row>
    <row r="6191" spans="1:18" s="1" customFormat="1" x14ac:dyDescent="0.45">
      <c r="A6191" s="7" t="str">
        <f t="shared" si="2260"/>
        <v>10511000000</v>
      </c>
      <c r="B6191" s="7" t="str">
        <f t="shared" si="2261"/>
        <v>寝屋川支援学校</v>
      </c>
      <c r="C6191" s="7" t="str">
        <f t="shared" si="2253"/>
        <v>行政財産</v>
      </c>
      <c r="D6191" s="7" t="str">
        <f t="shared" si="2251"/>
        <v>学校</v>
      </c>
      <c r="E6191" s="7" t="str">
        <f t="shared" si="2262"/>
        <v>大阪府寝屋川市大字寝屋</v>
      </c>
      <c r="F6191" s="7"/>
      <c r="G6191" s="7" t="str">
        <f t="shared" si="2258"/>
        <v>事業用資産</v>
      </c>
      <c r="H6191" s="7" t="str">
        <f t="shared" si="2252"/>
        <v>棚卸以外</v>
      </c>
      <c r="I6191" s="7">
        <v>11</v>
      </c>
      <c r="J6191" s="7" t="str">
        <f>"渡廊下"</f>
        <v>渡廊下</v>
      </c>
      <c r="K6191" s="7" t="str">
        <f>"鉄筋コンクリート造"</f>
        <v>鉄筋コンクリート造</v>
      </c>
      <c r="L6191" s="7" t="str">
        <f>"S59.03.31"</f>
        <v>S59.03.31</v>
      </c>
      <c r="M6191" s="7">
        <v>119.03</v>
      </c>
      <c r="N6191" s="7">
        <v>23298000</v>
      </c>
      <c r="O6191" s="7">
        <v>22161672</v>
      </c>
      <c r="P6191" s="7">
        <v>0</v>
      </c>
      <c r="Q6191" s="7" t="str">
        <f t="shared" si="2259"/>
        <v>教育庁</v>
      </c>
      <c r="R6191" s="7" t="str">
        <f t="shared" si="2263"/>
        <v>寝屋川支援学校</v>
      </c>
    </row>
    <row r="6192" spans="1:18" s="1" customFormat="1" x14ac:dyDescent="0.45">
      <c r="A6192" s="7" t="str">
        <f t="shared" si="2260"/>
        <v>10511000000</v>
      </c>
      <c r="B6192" s="7" t="str">
        <f t="shared" si="2261"/>
        <v>寝屋川支援学校</v>
      </c>
      <c r="C6192" s="7" t="str">
        <f t="shared" si="2253"/>
        <v>行政財産</v>
      </c>
      <c r="D6192" s="7" t="str">
        <f t="shared" si="2251"/>
        <v>学校</v>
      </c>
      <c r="E6192" s="7" t="str">
        <f t="shared" si="2262"/>
        <v>大阪府寝屋川市大字寝屋</v>
      </c>
      <c r="F6192" s="7"/>
      <c r="G6192" s="7" t="str">
        <f t="shared" si="2258"/>
        <v>事業用資産</v>
      </c>
      <c r="H6192" s="7" t="str">
        <f t="shared" si="2252"/>
        <v>棚卸以外</v>
      </c>
      <c r="I6192" s="7">
        <v>12</v>
      </c>
      <c r="J6192" s="7" t="str">
        <f>"南校舎"</f>
        <v>南校舎</v>
      </c>
      <c r="K6192" s="7" t="str">
        <f>"鉄骨造"</f>
        <v>鉄骨造</v>
      </c>
      <c r="L6192" s="7" t="str">
        <f>"S63.03.31"</f>
        <v>S63.03.31</v>
      </c>
      <c r="M6192" s="7">
        <v>1396.46</v>
      </c>
      <c r="N6192" s="7">
        <v>226019799</v>
      </c>
      <c r="O6192" s="7">
        <v>219773761</v>
      </c>
      <c r="P6192" s="7">
        <v>0</v>
      </c>
      <c r="Q6192" s="7" t="str">
        <f t="shared" si="2259"/>
        <v>教育庁</v>
      </c>
      <c r="R6192" s="7" t="str">
        <f t="shared" si="2263"/>
        <v>寝屋川支援学校</v>
      </c>
    </row>
    <row r="6193" spans="1:18" s="1" customFormat="1" x14ac:dyDescent="0.45">
      <c r="A6193" s="7" t="str">
        <f t="shared" si="2260"/>
        <v>10511000000</v>
      </c>
      <c r="B6193" s="7" t="str">
        <f t="shared" si="2261"/>
        <v>寝屋川支援学校</v>
      </c>
      <c r="C6193" s="7" t="str">
        <f t="shared" si="2253"/>
        <v>行政財産</v>
      </c>
      <c r="D6193" s="7" t="str">
        <f t="shared" si="2251"/>
        <v>学校</v>
      </c>
      <c r="E6193" s="7" t="str">
        <f t="shared" si="2262"/>
        <v>大阪府寝屋川市大字寝屋</v>
      </c>
      <c r="F6193" s="7"/>
      <c r="G6193" s="7" t="str">
        <f t="shared" si="2258"/>
        <v>事業用資産</v>
      </c>
      <c r="H6193" s="7" t="str">
        <f t="shared" si="2252"/>
        <v>棚卸以外</v>
      </c>
      <c r="I6193" s="7">
        <v>13</v>
      </c>
      <c r="J6193" s="7" t="str">
        <f>"プール附属棟"</f>
        <v>プール附属棟</v>
      </c>
      <c r="K6193" s="7" t="str">
        <f>"鉄骨造"</f>
        <v>鉄骨造</v>
      </c>
      <c r="L6193" s="7" t="str">
        <f>"H02.03.26"</f>
        <v>H02.03.26</v>
      </c>
      <c r="M6193" s="7">
        <v>261.2</v>
      </c>
      <c r="N6193" s="7">
        <v>98951000</v>
      </c>
      <c r="O6193" s="7">
        <v>98945911</v>
      </c>
      <c r="P6193" s="7">
        <v>0</v>
      </c>
      <c r="Q6193" s="7" t="str">
        <f t="shared" si="2259"/>
        <v>教育庁</v>
      </c>
      <c r="R6193" s="7" t="str">
        <f t="shared" si="2263"/>
        <v>寝屋川支援学校</v>
      </c>
    </row>
    <row r="6194" spans="1:18" s="1" customFormat="1" x14ac:dyDescent="0.45">
      <c r="A6194" s="7" t="str">
        <f t="shared" ref="A6194:A6205" si="2264">"10512000000"</f>
        <v>10512000000</v>
      </c>
      <c r="B6194" s="7" t="str">
        <f t="shared" ref="B6194:B6205" si="2265">"和泉支援学校"</f>
        <v>和泉支援学校</v>
      </c>
      <c r="C6194" s="7" t="str">
        <f t="shared" si="2253"/>
        <v>行政財産</v>
      </c>
      <c r="D6194" s="7" t="str">
        <f t="shared" si="2251"/>
        <v>学校</v>
      </c>
      <c r="E6194" s="7" t="str">
        <f t="shared" ref="E6194:E6205" si="2266">"大阪府和泉市池上町"</f>
        <v>大阪府和泉市池上町</v>
      </c>
      <c r="F6194" s="7"/>
      <c r="G6194" s="7" t="str">
        <f t="shared" si="2258"/>
        <v>事業用資産</v>
      </c>
      <c r="H6194" s="7" t="str">
        <f t="shared" si="2252"/>
        <v>棚卸以外</v>
      </c>
      <c r="I6194" s="7">
        <v>1</v>
      </c>
      <c r="J6194" s="7" t="str">
        <f>"教室棟"</f>
        <v>教室棟</v>
      </c>
      <c r="K6194" s="7" t="str">
        <f>"鉄筋コンクリート造"</f>
        <v>鉄筋コンクリート造</v>
      </c>
      <c r="L6194" s="7" t="str">
        <f>"S53.04.07"</f>
        <v>S53.04.07</v>
      </c>
      <c r="M6194" s="7">
        <v>2662</v>
      </c>
      <c r="N6194" s="7">
        <v>496979951</v>
      </c>
      <c r="O6194" s="7">
        <v>388468196</v>
      </c>
      <c r="P6194" s="7">
        <v>0</v>
      </c>
      <c r="Q6194" s="7" t="str">
        <f t="shared" si="2259"/>
        <v>教育庁</v>
      </c>
      <c r="R6194" s="7" t="str">
        <f t="shared" ref="R6194:R6205" si="2267">"和泉支援学校"</f>
        <v>和泉支援学校</v>
      </c>
    </row>
    <row r="6195" spans="1:18" s="1" customFormat="1" x14ac:dyDescent="0.45">
      <c r="A6195" s="7" t="str">
        <f t="shared" si="2264"/>
        <v>10512000000</v>
      </c>
      <c r="B6195" s="7" t="str">
        <f t="shared" si="2265"/>
        <v>和泉支援学校</v>
      </c>
      <c r="C6195" s="7" t="str">
        <f t="shared" si="2253"/>
        <v>行政財産</v>
      </c>
      <c r="D6195" s="7" t="str">
        <f t="shared" si="2251"/>
        <v>学校</v>
      </c>
      <c r="E6195" s="7" t="str">
        <f t="shared" si="2266"/>
        <v>大阪府和泉市池上町</v>
      </c>
      <c r="F6195" s="7"/>
      <c r="G6195" s="7" t="str">
        <f t="shared" si="2258"/>
        <v>事業用資産</v>
      </c>
      <c r="H6195" s="7" t="str">
        <f t="shared" si="2252"/>
        <v>棚卸以外</v>
      </c>
      <c r="I6195" s="7">
        <v>2</v>
      </c>
      <c r="J6195" s="7" t="str">
        <f>"設備棟"</f>
        <v>設備棟</v>
      </c>
      <c r="K6195" s="7" t="str">
        <f>"鉄筋コンクリート造"</f>
        <v>鉄筋コンクリート造</v>
      </c>
      <c r="L6195" s="7" t="str">
        <f>"S53.04.07"</f>
        <v>S53.04.07</v>
      </c>
      <c r="M6195" s="7">
        <v>253</v>
      </c>
      <c r="N6195" s="7">
        <v>90941578</v>
      </c>
      <c r="O6195" s="7">
        <v>80471611</v>
      </c>
      <c r="P6195" s="7">
        <v>0</v>
      </c>
      <c r="Q6195" s="7" t="str">
        <f t="shared" si="2259"/>
        <v>教育庁</v>
      </c>
      <c r="R6195" s="7" t="str">
        <f t="shared" si="2267"/>
        <v>和泉支援学校</v>
      </c>
    </row>
    <row r="6196" spans="1:18" s="1" customFormat="1" x14ac:dyDescent="0.45">
      <c r="A6196" s="7" t="str">
        <f t="shared" si="2264"/>
        <v>10512000000</v>
      </c>
      <c r="B6196" s="7" t="str">
        <f t="shared" si="2265"/>
        <v>和泉支援学校</v>
      </c>
      <c r="C6196" s="7" t="str">
        <f t="shared" si="2253"/>
        <v>行政財産</v>
      </c>
      <c r="D6196" s="7" t="str">
        <f t="shared" si="2251"/>
        <v>学校</v>
      </c>
      <c r="E6196" s="7" t="str">
        <f t="shared" si="2266"/>
        <v>大阪府和泉市池上町</v>
      </c>
      <c r="F6196" s="7"/>
      <c r="G6196" s="7" t="str">
        <f t="shared" si="2258"/>
        <v>事業用資産</v>
      </c>
      <c r="H6196" s="7" t="str">
        <f t="shared" si="2252"/>
        <v>棚卸以外</v>
      </c>
      <c r="I6196" s="7">
        <v>4</v>
      </c>
      <c r="J6196" s="7" t="str">
        <f>"管理棟"</f>
        <v>管理棟</v>
      </c>
      <c r="K6196" s="7" t="str">
        <f>"鉄筋コンクリート造"</f>
        <v>鉄筋コンクリート造</v>
      </c>
      <c r="L6196" s="7" t="str">
        <f>"S54.03.31"</f>
        <v>S54.03.31</v>
      </c>
      <c r="M6196" s="7">
        <v>2559.48</v>
      </c>
      <c r="N6196" s="7">
        <v>553157805</v>
      </c>
      <c r="O6196" s="7">
        <v>431550808</v>
      </c>
      <c r="P6196" s="7">
        <v>0</v>
      </c>
      <c r="Q6196" s="7" t="str">
        <f t="shared" si="2259"/>
        <v>教育庁</v>
      </c>
      <c r="R6196" s="7" t="str">
        <f t="shared" si="2267"/>
        <v>和泉支援学校</v>
      </c>
    </row>
    <row r="6197" spans="1:18" s="1" customFormat="1" x14ac:dyDescent="0.45">
      <c r="A6197" s="7" t="str">
        <f t="shared" si="2264"/>
        <v>10512000000</v>
      </c>
      <c r="B6197" s="7" t="str">
        <f t="shared" si="2265"/>
        <v>和泉支援学校</v>
      </c>
      <c r="C6197" s="7" t="str">
        <f t="shared" si="2253"/>
        <v>行政財産</v>
      </c>
      <c r="D6197" s="7" t="str">
        <f t="shared" si="2251"/>
        <v>学校</v>
      </c>
      <c r="E6197" s="7" t="str">
        <f t="shared" si="2266"/>
        <v>大阪府和泉市池上町</v>
      </c>
      <c r="F6197" s="7"/>
      <c r="G6197" s="7" t="str">
        <f t="shared" si="2258"/>
        <v>事業用資産</v>
      </c>
      <c r="H6197" s="7" t="str">
        <f t="shared" si="2252"/>
        <v>棚卸以外</v>
      </c>
      <c r="I6197" s="7">
        <v>6</v>
      </c>
      <c r="J6197" s="7" t="str">
        <f>"高等部作業棟"</f>
        <v>高等部作業棟</v>
      </c>
      <c r="K6197" s="7" t="str">
        <f>"鉄筋コンクリート造"</f>
        <v>鉄筋コンクリート造</v>
      </c>
      <c r="L6197" s="7" t="str">
        <f>"S56.03.31"</f>
        <v>S56.03.31</v>
      </c>
      <c r="M6197" s="7">
        <v>2663.24</v>
      </c>
      <c r="N6197" s="7">
        <v>578588716</v>
      </c>
      <c r="O6197" s="7">
        <v>435621285</v>
      </c>
      <c r="P6197" s="7">
        <v>0</v>
      </c>
      <c r="Q6197" s="7" t="str">
        <f t="shared" si="2259"/>
        <v>教育庁</v>
      </c>
      <c r="R6197" s="7" t="str">
        <f t="shared" si="2267"/>
        <v>和泉支援学校</v>
      </c>
    </row>
    <row r="6198" spans="1:18" s="1" customFormat="1" x14ac:dyDescent="0.45">
      <c r="A6198" s="7" t="str">
        <f t="shared" si="2264"/>
        <v>10512000000</v>
      </c>
      <c r="B6198" s="7" t="str">
        <f t="shared" si="2265"/>
        <v>和泉支援学校</v>
      </c>
      <c r="C6198" s="7" t="str">
        <f t="shared" si="2253"/>
        <v>行政財産</v>
      </c>
      <c r="D6198" s="7" t="str">
        <f t="shared" si="2251"/>
        <v>学校</v>
      </c>
      <c r="E6198" s="7" t="str">
        <f t="shared" si="2266"/>
        <v>大阪府和泉市池上町</v>
      </c>
      <c r="F6198" s="7"/>
      <c r="G6198" s="7" t="str">
        <f t="shared" si="2258"/>
        <v>事業用資産</v>
      </c>
      <c r="H6198" s="7" t="str">
        <f t="shared" si="2252"/>
        <v>棚卸以外</v>
      </c>
      <c r="I6198" s="7">
        <v>7</v>
      </c>
      <c r="J6198" s="7" t="str">
        <f>"体育館厨房作業棟"</f>
        <v>体育館厨房作業棟</v>
      </c>
      <c r="K6198" s="7" t="str">
        <f>"鉄筋コンクリート造"</f>
        <v>鉄筋コンクリート造</v>
      </c>
      <c r="L6198" s="7" t="str">
        <f>"S56.03.31"</f>
        <v>S56.03.31</v>
      </c>
      <c r="M6198" s="7">
        <v>1496.89</v>
      </c>
      <c r="N6198" s="7">
        <v>310171613</v>
      </c>
      <c r="O6198" s="7">
        <v>225733423</v>
      </c>
      <c r="P6198" s="7">
        <v>0</v>
      </c>
      <c r="Q6198" s="7" t="str">
        <f t="shared" si="2259"/>
        <v>教育庁</v>
      </c>
      <c r="R6198" s="7" t="str">
        <f t="shared" si="2267"/>
        <v>和泉支援学校</v>
      </c>
    </row>
    <row r="6199" spans="1:18" s="1" customFormat="1" x14ac:dyDescent="0.45">
      <c r="A6199" s="7" t="str">
        <f t="shared" si="2264"/>
        <v>10512000000</v>
      </c>
      <c r="B6199" s="7" t="str">
        <f t="shared" si="2265"/>
        <v>和泉支援学校</v>
      </c>
      <c r="C6199" s="7" t="str">
        <f t="shared" si="2253"/>
        <v>行政財産</v>
      </c>
      <c r="D6199" s="7" t="str">
        <f t="shared" si="2251"/>
        <v>学校</v>
      </c>
      <c r="E6199" s="7" t="str">
        <f t="shared" si="2266"/>
        <v>大阪府和泉市池上町</v>
      </c>
      <c r="F6199" s="7"/>
      <c r="G6199" s="7" t="str">
        <f t="shared" si="2258"/>
        <v>事業用資産</v>
      </c>
      <c r="H6199" s="7" t="str">
        <f t="shared" si="2252"/>
        <v>棚卸以外</v>
      </c>
      <c r="I6199" s="7">
        <v>8</v>
      </c>
      <c r="J6199" s="7" t="str">
        <f>"自転車置場"</f>
        <v>自転車置場</v>
      </c>
      <c r="K6199" s="7" t="str">
        <f>"鉄骨造"</f>
        <v>鉄骨造</v>
      </c>
      <c r="L6199" s="7" t="str">
        <f>"S59.02.20"</f>
        <v>S59.02.20</v>
      </c>
      <c r="M6199" s="7">
        <v>16.8</v>
      </c>
      <c r="N6199" s="7">
        <v>573000</v>
      </c>
      <c r="O6199" s="7">
        <v>572999</v>
      </c>
      <c r="P6199" s="7">
        <v>0</v>
      </c>
      <c r="Q6199" s="7" t="str">
        <f t="shared" si="2259"/>
        <v>教育庁</v>
      </c>
      <c r="R6199" s="7" t="str">
        <f t="shared" si="2267"/>
        <v>和泉支援学校</v>
      </c>
    </row>
    <row r="6200" spans="1:18" s="1" customFormat="1" x14ac:dyDescent="0.45">
      <c r="A6200" s="7" t="str">
        <f t="shared" si="2264"/>
        <v>10512000000</v>
      </c>
      <c r="B6200" s="7" t="str">
        <f t="shared" si="2265"/>
        <v>和泉支援学校</v>
      </c>
      <c r="C6200" s="7" t="str">
        <f t="shared" si="2253"/>
        <v>行政財産</v>
      </c>
      <c r="D6200" s="7" t="str">
        <f t="shared" si="2251"/>
        <v>学校</v>
      </c>
      <c r="E6200" s="7" t="str">
        <f t="shared" si="2266"/>
        <v>大阪府和泉市池上町</v>
      </c>
      <c r="F6200" s="7"/>
      <c r="G6200" s="7" t="str">
        <f t="shared" si="2258"/>
        <v>事業用資産</v>
      </c>
      <c r="H6200" s="7" t="str">
        <f t="shared" si="2252"/>
        <v>棚卸以外</v>
      </c>
      <c r="I6200" s="7">
        <v>9</v>
      </c>
      <c r="J6200" s="7" t="str">
        <f>"校舎棟"</f>
        <v>校舎棟</v>
      </c>
      <c r="K6200" s="7" t="str">
        <f>"軽量鉄骨造"</f>
        <v>軽量鉄骨造</v>
      </c>
      <c r="L6200" s="7" t="str">
        <f>"S60.03.30"</f>
        <v>S60.03.30</v>
      </c>
      <c r="M6200" s="7">
        <v>420.81</v>
      </c>
      <c r="N6200" s="7">
        <v>73970217</v>
      </c>
      <c r="O6200" s="7">
        <v>60955344</v>
      </c>
      <c r="P6200" s="7">
        <v>0</v>
      </c>
      <c r="Q6200" s="7" t="str">
        <f t="shared" si="2259"/>
        <v>教育庁</v>
      </c>
      <c r="R6200" s="7" t="str">
        <f t="shared" si="2267"/>
        <v>和泉支援学校</v>
      </c>
    </row>
    <row r="6201" spans="1:18" s="1" customFormat="1" x14ac:dyDescent="0.45">
      <c r="A6201" s="7" t="str">
        <f t="shared" si="2264"/>
        <v>10512000000</v>
      </c>
      <c r="B6201" s="7" t="str">
        <f t="shared" si="2265"/>
        <v>和泉支援学校</v>
      </c>
      <c r="C6201" s="7" t="str">
        <f t="shared" si="2253"/>
        <v>行政財産</v>
      </c>
      <c r="D6201" s="7" t="str">
        <f t="shared" ref="D6201:D6264" si="2268">"学校"</f>
        <v>学校</v>
      </c>
      <c r="E6201" s="7" t="str">
        <f t="shared" si="2266"/>
        <v>大阪府和泉市池上町</v>
      </c>
      <c r="F6201" s="7"/>
      <c r="G6201" s="7" t="str">
        <f t="shared" si="2258"/>
        <v>事業用資産</v>
      </c>
      <c r="H6201" s="7" t="str">
        <f t="shared" si="2252"/>
        <v>棚卸以外</v>
      </c>
      <c r="I6201" s="7">
        <v>10</v>
      </c>
      <c r="J6201" s="7" t="str">
        <f>"プール附属棟"</f>
        <v>プール附属棟</v>
      </c>
      <c r="K6201" s="7" t="str">
        <f>"鉄筋コンクリート造"</f>
        <v>鉄筋コンクリート造</v>
      </c>
      <c r="L6201" s="7" t="str">
        <f>"S62.03.30"</f>
        <v>S62.03.30</v>
      </c>
      <c r="M6201" s="7">
        <v>97.2</v>
      </c>
      <c r="N6201" s="7">
        <v>12767000</v>
      </c>
      <c r="O6201" s="7">
        <v>12095136</v>
      </c>
      <c r="P6201" s="7">
        <v>0</v>
      </c>
      <c r="Q6201" s="7" t="str">
        <f t="shared" si="2259"/>
        <v>教育庁</v>
      </c>
      <c r="R6201" s="7" t="str">
        <f t="shared" si="2267"/>
        <v>和泉支援学校</v>
      </c>
    </row>
    <row r="6202" spans="1:18" s="1" customFormat="1" x14ac:dyDescent="0.45">
      <c r="A6202" s="7" t="str">
        <f t="shared" si="2264"/>
        <v>10512000000</v>
      </c>
      <c r="B6202" s="7" t="str">
        <f t="shared" si="2265"/>
        <v>和泉支援学校</v>
      </c>
      <c r="C6202" s="7" t="str">
        <f t="shared" si="2253"/>
        <v>行政財産</v>
      </c>
      <c r="D6202" s="7" t="str">
        <f t="shared" si="2268"/>
        <v>学校</v>
      </c>
      <c r="E6202" s="7" t="str">
        <f t="shared" si="2266"/>
        <v>大阪府和泉市池上町</v>
      </c>
      <c r="F6202" s="7"/>
      <c r="G6202" s="7" t="str">
        <f t="shared" si="2258"/>
        <v>事業用資産</v>
      </c>
      <c r="H6202" s="7" t="str">
        <f t="shared" si="2252"/>
        <v>棚卸以外</v>
      </c>
      <c r="I6202" s="7">
        <v>11</v>
      </c>
      <c r="J6202" s="7" t="str">
        <f>"作業室棟"</f>
        <v>作業室棟</v>
      </c>
      <c r="K6202" s="7" t="str">
        <f>"軽量鉄骨造"</f>
        <v>軽量鉄骨造</v>
      </c>
      <c r="L6202" s="7" t="str">
        <f>"S62.03.31"</f>
        <v>S62.03.31</v>
      </c>
      <c r="M6202" s="7">
        <v>140.16999999999999</v>
      </c>
      <c r="N6202" s="7">
        <v>20518327</v>
      </c>
      <c r="O6202" s="7">
        <v>14786519</v>
      </c>
      <c r="P6202" s="7">
        <v>0</v>
      </c>
      <c r="Q6202" s="7" t="str">
        <f t="shared" si="2259"/>
        <v>教育庁</v>
      </c>
      <c r="R6202" s="7" t="str">
        <f t="shared" si="2267"/>
        <v>和泉支援学校</v>
      </c>
    </row>
    <row r="6203" spans="1:18" s="1" customFormat="1" x14ac:dyDescent="0.45">
      <c r="A6203" s="7" t="str">
        <f t="shared" si="2264"/>
        <v>10512000000</v>
      </c>
      <c r="B6203" s="7" t="str">
        <f t="shared" si="2265"/>
        <v>和泉支援学校</v>
      </c>
      <c r="C6203" s="7" t="str">
        <f t="shared" si="2253"/>
        <v>行政財産</v>
      </c>
      <c r="D6203" s="7" t="str">
        <f t="shared" si="2268"/>
        <v>学校</v>
      </c>
      <c r="E6203" s="7" t="str">
        <f t="shared" si="2266"/>
        <v>大阪府和泉市池上町</v>
      </c>
      <c r="F6203" s="7"/>
      <c r="G6203" s="7" t="str">
        <f t="shared" si="2258"/>
        <v>事業用資産</v>
      </c>
      <c r="H6203" s="7" t="str">
        <f t="shared" si="2252"/>
        <v>棚卸以外</v>
      </c>
      <c r="I6203" s="7">
        <v>13</v>
      </c>
      <c r="J6203" s="7" t="str">
        <f>"車庫"</f>
        <v>車庫</v>
      </c>
      <c r="K6203" s="7" t="str">
        <f>"鉄骨造"</f>
        <v>鉄骨造</v>
      </c>
      <c r="L6203" s="7" t="str">
        <f>"S54.02.01"</f>
        <v>S54.02.01</v>
      </c>
      <c r="M6203" s="7">
        <v>15.9</v>
      </c>
      <c r="N6203" s="7">
        <v>248000</v>
      </c>
      <c r="O6203" s="7">
        <v>247999</v>
      </c>
      <c r="P6203" s="7">
        <v>0</v>
      </c>
      <c r="Q6203" s="7" t="str">
        <f t="shared" si="2259"/>
        <v>教育庁</v>
      </c>
      <c r="R6203" s="7" t="str">
        <f t="shared" si="2267"/>
        <v>和泉支援学校</v>
      </c>
    </row>
    <row r="6204" spans="1:18" s="1" customFormat="1" x14ac:dyDescent="0.45">
      <c r="A6204" s="7" t="str">
        <f t="shared" si="2264"/>
        <v>10512000000</v>
      </c>
      <c r="B6204" s="7" t="str">
        <f t="shared" si="2265"/>
        <v>和泉支援学校</v>
      </c>
      <c r="C6204" s="7" t="str">
        <f t="shared" si="2253"/>
        <v>行政財産</v>
      </c>
      <c r="D6204" s="7" t="str">
        <f t="shared" si="2268"/>
        <v>学校</v>
      </c>
      <c r="E6204" s="7" t="str">
        <f t="shared" si="2266"/>
        <v>大阪府和泉市池上町</v>
      </c>
      <c r="F6204" s="7"/>
      <c r="G6204" s="7" t="str">
        <f t="shared" si="2258"/>
        <v>事業用資産</v>
      </c>
      <c r="H6204" s="7" t="str">
        <f t="shared" si="2252"/>
        <v>棚卸以外</v>
      </c>
      <c r="I6204" s="7">
        <v>14</v>
      </c>
      <c r="J6204" s="7" t="str">
        <f>"自転車置場"</f>
        <v>自転車置場</v>
      </c>
      <c r="K6204" s="7" t="str">
        <f>"鉄骨造"</f>
        <v>鉄骨造</v>
      </c>
      <c r="L6204" s="7" t="str">
        <f>"S55.01.12"</f>
        <v>S55.01.12</v>
      </c>
      <c r="M6204" s="7">
        <v>23.33</v>
      </c>
      <c r="N6204" s="7">
        <v>275000</v>
      </c>
      <c r="O6204" s="7">
        <v>274999</v>
      </c>
      <c r="P6204" s="7">
        <v>0</v>
      </c>
      <c r="Q6204" s="7" t="str">
        <f t="shared" si="2259"/>
        <v>教育庁</v>
      </c>
      <c r="R6204" s="7" t="str">
        <f t="shared" si="2267"/>
        <v>和泉支援学校</v>
      </c>
    </row>
    <row r="6205" spans="1:18" s="1" customFormat="1" x14ac:dyDescent="0.45">
      <c r="A6205" s="7" t="str">
        <f t="shared" si="2264"/>
        <v>10512000000</v>
      </c>
      <c r="B6205" s="7" t="str">
        <f t="shared" si="2265"/>
        <v>和泉支援学校</v>
      </c>
      <c r="C6205" s="7" t="str">
        <f t="shared" si="2253"/>
        <v>行政財産</v>
      </c>
      <c r="D6205" s="7" t="str">
        <f t="shared" si="2268"/>
        <v>学校</v>
      </c>
      <c r="E6205" s="7" t="str">
        <f t="shared" si="2266"/>
        <v>大阪府和泉市池上町</v>
      </c>
      <c r="F6205" s="7"/>
      <c r="G6205" s="7" t="str">
        <f t="shared" si="2258"/>
        <v>事業用資産</v>
      </c>
      <c r="H6205" s="7" t="str">
        <f t="shared" si="2252"/>
        <v>棚卸以外</v>
      </c>
      <c r="I6205" s="7">
        <v>15</v>
      </c>
      <c r="J6205" s="7" t="str">
        <f>"美術教室"</f>
        <v>美術教室</v>
      </c>
      <c r="K6205" s="7" t="str">
        <f>"軽量鉄骨造"</f>
        <v>軽量鉄骨造</v>
      </c>
      <c r="L6205" s="7" t="str">
        <f>"H18.03.31"</f>
        <v>H18.03.31</v>
      </c>
      <c r="M6205" s="7">
        <v>105.3</v>
      </c>
      <c r="N6205" s="7">
        <v>14725032</v>
      </c>
      <c r="O6205" s="7">
        <v>8588279</v>
      </c>
      <c r="P6205" s="7">
        <v>0</v>
      </c>
      <c r="Q6205" s="7" t="str">
        <f t="shared" si="2259"/>
        <v>教育庁</v>
      </c>
      <c r="R6205" s="7" t="str">
        <f t="shared" si="2267"/>
        <v>和泉支援学校</v>
      </c>
    </row>
    <row r="6206" spans="1:18" s="1" customFormat="1" x14ac:dyDescent="0.45">
      <c r="A6206" s="7" t="str">
        <f>"10513000000"</f>
        <v>10513000000</v>
      </c>
      <c r="B6206" s="7" t="str">
        <f>"大阪府立守口支援学校"</f>
        <v>大阪府立守口支援学校</v>
      </c>
      <c r="C6206" s="7" t="str">
        <f t="shared" si="2253"/>
        <v>行政財産</v>
      </c>
      <c r="D6206" s="7" t="str">
        <f t="shared" si="2268"/>
        <v>学校</v>
      </c>
      <c r="E6206" s="7" t="str">
        <f>"大阪府守口市南寺方東通５丁目"</f>
        <v>大阪府守口市南寺方東通５丁目</v>
      </c>
      <c r="F6206" s="7"/>
      <c r="G6206" s="7" t="str">
        <f t="shared" si="2258"/>
        <v>事業用資産</v>
      </c>
      <c r="H6206" s="7" t="str">
        <f t="shared" si="2252"/>
        <v>棚卸以外</v>
      </c>
      <c r="I6206" s="7">
        <v>3</v>
      </c>
      <c r="J6206" s="7" t="str">
        <f>"高等部棟"</f>
        <v>高等部棟</v>
      </c>
      <c r="K6206" s="7" t="str">
        <f>"鉄筋コンクリート造"</f>
        <v>鉄筋コンクリート造</v>
      </c>
      <c r="L6206" s="7" t="str">
        <f>"H08.08.12"</f>
        <v>H08.08.12</v>
      </c>
      <c r="M6206" s="7">
        <v>2416.64</v>
      </c>
      <c r="N6206" s="7">
        <v>814156191</v>
      </c>
      <c r="O6206" s="7">
        <v>435062252</v>
      </c>
      <c r="P6206" s="7">
        <v>0</v>
      </c>
      <c r="Q6206" s="7" t="str">
        <f t="shared" si="2259"/>
        <v>教育庁</v>
      </c>
      <c r="R6206" s="7" t="str">
        <f>"守口支援学校"</f>
        <v>守口支援学校</v>
      </c>
    </row>
    <row r="6207" spans="1:18" s="1" customFormat="1" x14ac:dyDescent="0.45">
      <c r="A6207" s="7" t="str">
        <f>"10513000000"</f>
        <v>10513000000</v>
      </c>
      <c r="B6207" s="7" t="str">
        <f>"大阪府立守口支援学校"</f>
        <v>大阪府立守口支援学校</v>
      </c>
      <c r="C6207" s="7" t="str">
        <f t="shared" si="2253"/>
        <v>行政財産</v>
      </c>
      <c r="D6207" s="7" t="str">
        <f t="shared" si="2268"/>
        <v>学校</v>
      </c>
      <c r="E6207" s="7" t="str">
        <f>"大阪府守口市南寺方東通５丁目"</f>
        <v>大阪府守口市南寺方東通５丁目</v>
      </c>
      <c r="F6207" s="7"/>
      <c r="G6207" s="7" t="str">
        <f t="shared" si="2258"/>
        <v>事業用資産</v>
      </c>
      <c r="H6207" s="7" t="str">
        <f t="shared" si="2252"/>
        <v>棚卸以外</v>
      </c>
      <c r="I6207" s="7">
        <v>4</v>
      </c>
      <c r="J6207" s="7" t="str">
        <f>"小中学部棟"</f>
        <v>小中学部棟</v>
      </c>
      <c r="K6207" s="7" t="str">
        <f>"鉄筋コンクリート造"</f>
        <v>鉄筋コンクリート造</v>
      </c>
      <c r="L6207" s="7" t="str">
        <f>"H10.02.12"</f>
        <v>H10.02.12</v>
      </c>
      <c r="M6207" s="7">
        <v>3328.01</v>
      </c>
      <c r="N6207" s="7">
        <v>949085166</v>
      </c>
      <c r="O6207" s="7">
        <v>473071438</v>
      </c>
      <c r="P6207" s="7">
        <v>0</v>
      </c>
      <c r="Q6207" s="7" t="str">
        <f t="shared" si="2259"/>
        <v>教育庁</v>
      </c>
      <c r="R6207" s="7" t="str">
        <f>"守口支援学校"</f>
        <v>守口支援学校</v>
      </c>
    </row>
    <row r="6208" spans="1:18" s="1" customFormat="1" x14ac:dyDescent="0.45">
      <c r="A6208" s="7" t="str">
        <f>"10513000000"</f>
        <v>10513000000</v>
      </c>
      <c r="B6208" s="7" t="str">
        <f>"大阪府立守口支援学校"</f>
        <v>大阪府立守口支援学校</v>
      </c>
      <c r="C6208" s="7" t="str">
        <f t="shared" si="2253"/>
        <v>行政財産</v>
      </c>
      <c r="D6208" s="7" t="str">
        <f t="shared" si="2268"/>
        <v>学校</v>
      </c>
      <c r="E6208" s="7" t="str">
        <f>"大阪府守口市南寺方東通５丁目"</f>
        <v>大阪府守口市南寺方東通５丁目</v>
      </c>
      <c r="F6208" s="7"/>
      <c r="G6208" s="7" t="str">
        <f t="shared" si="2258"/>
        <v>事業用資産</v>
      </c>
      <c r="H6208" s="7" t="str">
        <f t="shared" si="2252"/>
        <v>棚卸以外</v>
      </c>
      <c r="I6208" s="7">
        <v>5</v>
      </c>
      <c r="J6208" s="7" t="str">
        <f>"渡り廊下"</f>
        <v>渡り廊下</v>
      </c>
      <c r="K6208" s="7" t="str">
        <f>"鉄骨造"</f>
        <v>鉄骨造</v>
      </c>
      <c r="L6208" s="7" t="str">
        <f>"H10.02.12"</f>
        <v>H10.02.12</v>
      </c>
      <c r="M6208" s="7">
        <v>102</v>
      </c>
      <c r="N6208" s="7">
        <v>18077192</v>
      </c>
      <c r="O6208" s="7">
        <v>13649517</v>
      </c>
      <c r="P6208" s="7">
        <v>0</v>
      </c>
      <c r="Q6208" s="7" t="str">
        <f t="shared" si="2259"/>
        <v>教育庁</v>
      </c>
      <c r="R6208" s="7" t="str">
        <f>"守口支援学校"</f>
        <v>守口支援学校</v>
      </c>
    </row>
    <row r="6209" spans="1:18" s="1" customFormat="1" x14ac:dyDescent="0.45">
      <c r="A6209" s="7" t="str">
        <f>"10513000000"</f>
        <v>10513000000</v>
      </c>
      <c r="B6209" s="7" t="str">
        <f>"大阪府立守口支援学校"</f>
        <v>大阪府立守口支援学校</v>
      </c>
      <c r="C6209" s="7" t="str">
        <f t="shared" si="2253"/>
        <v>行政財産</v>
      </c>
      <c r="D6209" s="7" t="str">
        <f t="shared" si="2268"/>
        <v>学校</v>
      </c>
      <c r="E6209" s="7" t="str">
        <f>"大阪府守口市南寺方東通５丁目"</f>
        <v>大阪府守口市南寺方東通５丁目</v>
      </c>
      <c r="F6209" s="7"/>
      <c r="G6209" s="7" t="str">
        <f t="shared" si="2258"/>
        <v>事業用資産</v>
      </c>
      <c r="H6209" s="7" t="str">
        <f t="shared" si="2252"/>
        <v>棚卸以外</v>
      </c>
      <c r="I6209" s="7">
        <v>6</v>
      </c>
      <c r="J6209" s="7" t="str">
        <f>"体育館・プ－ル棟"</f>
        <v>体育館・プ－ル棟</v>
      </c>
      <c r="K6209" s="7" t="str">
        <f t="shared" ref="K6209:K6215" si="2269">"鉄筋コンクリート造"</f>
        <v>鉄筋コンクリート造</v>
      </c>
      <c r="L6209" s="7" t="str">
        <f>"H10.06.16"</f>
        <v>H10.06.16</v>
      </c>
      <c r="M6209" s="7">
        <v>1268.5899999999999</v>
      </c>
      <c r="N6209" s="7">
        <v>496726333</v>
      </c>
      <c r="O6209" s="7">
        <v>255376449</v>
      </c>
      <c r="P6209" s="7">
        <v>0</v>
      </c>
      <c r="Q6209" s="7" t="str">
        <f t="shared" si="2259"/>
        <v>教育庁</v>
      </c>
      <c r="R6209" s="7" t="str">
        <f>"守口支援学校"</f>
        <v>守口支援学校</v>
      </c>
    </row>
    <row r="6210" spans="1:18" s="1" customFormat="1" x14ac:dyDescent="0.45">
      <c r="A6210" s="7" t="str">
        <f>"10513000000"</f>
        <v>10513000000</v>
      </c>
      <c r="B6210" s="7" t="str">
        <f>"大阪府立守口支援学校"</f>
        <v>大阪府立守口支援学校</v>
      </c>
      <c r="C6210" s="7" t="str">
        <f t="shared" si="2253"/>
        <v>行政財産</v>
      </c>
      <c r="D6210" s="7" t="str">
        <f t="shared" si="2268"/>
        <v>学校</v>
      </c>
      <c r="E6210" s="7" t="str">
        <f>"大阪府守口市南寺方東通５丁目"</f>
        <v>大阪府守口市南寺方東通５丁目</v>
      </c>
      <c r="F6210" s="7"/>
      <c r="G6210" s="7" t="str">
        <f t="shared" si="2258"/>
        <v>事業用資産</v>
      </c>
      <c r="H6210" s="7" t="str">
        <f t="shared" si="2252"/>
        <v>棚卸以外</v>
      </c>
      <c r="I6210" s="7">
        <v>7</v>
      </c>
      <c r="J6210" s="7" t="str">
        <f>"体育館渡り廊下"</f>
        <v>体育館渡り廊下</v>
      </c>
      <c r="K6210" s="7" t="str">
        <f t="shared" si="2269"/>
        <v>鉄筋コンクリート造</v>
      </c>
      <c r="L6210" s="7" t="str">
        <f>"H10.06.16"</f>
        <v>H10.06.16</v>
      </c>
      <c r="M6210" s="7">
        <v>74.650000000000006</v>
      </c>
      <c r="N6210" s="7">
        <v>6451000</v>
      </c>
      <c r="O6210" s="7">
        <v>2517504</v>
      </c>
      <c r="P6210" s="7">
        <v>0</v>
      </c>
      <c r="Q6210" s="7" t="str">
        <f t="shared" si="2259"/>
        <v>教育庁</v>
      </c>
      <c r="R6210" s="7" t="str">
        <f>"守口支援学校"</f>
        <v>守口支援学校</v>
      </c>
    </row>
    <row r="6211" spans="1:18" s="1" customFormat="1" x14ac:dyDescent="0.45">
      <c r="A6211" s="7" t="str">
        <f t="shared" ref="A6211:A6218" si="2270">"10514000000"</f>
        <v>10514000000</v>
      </c>
      <c r="B6211" s="7" t="str">
        <f t="shared" ref="B6211:B6218" si="2271">"泉北高等支援学校"</f>
        <v>泉北高等支援学校</v>
      </c>
      <c r="C6211" s="7" t="str">
        <f t="shared" si="2253"/>
        <v>行政財産</v>
      </c>
      <c r="D6211" s="7" t="str">
        <f t="shared" si="2268"/>
        <v>学校</v>
      </c>
      <c r="E6211" s="7" t="str">
        <f t="shared" ref="E6211:E6218" si="2272">"大阪府堺市　南区原山台２丁"</f>
        <v>大阪府堺市　南区原山台２丁</v>
      </c>
      <c r="F6211" s="7"/>
      <c r="G6211" s="7" t="str">
        <f t="shared" si="2258"/>
        <v>事業用資産</v>
      </c>
      <c r="H6211" s="7" t="str">
        <f t="shared" si="2252"/>
        <v>棚卸以外</v>
      </c>
      <c r="I6211" s="7">
        <v>1</v>
      </c>
      <c r="J6211" s="7" t="str">
        <f>"管理教室棟"</f>
        <v>管理教室棟</v>
      </c>
      <c r="K6211" s="7" t="str">
        <f t="shared" si="2269"/>
        <v>鉄筋コンクリート造</v>
      </c>
      <c r="L6211" s="7" t="str">
        <f>"S50.07.08"</f>
        <v>S50.07.08</v>
      </c>
      <c r="M6211" s="7">
        <v>2452.1999999999998</v>
      </c>
      <c r="N6211" s="7">
        <v>434708681</v>
      </c>
      <c r="O6211" s="7">
        <v>336809305</v>
      </c>
      <c r="P6211" s="7">
        <v>0</v>
      </c>
      <c r="Q6211" s="7" t="str">
        <f t="shared" si="2259"/>
        <v>教育庁</v>
      </c>
      <c r="R6211" s="7" t="str">
        <f t="shared" ref="R6211:R6218" si="2273">"泉北高等支援学校"</f>
        <v>泉北高等支援学校</v>
      </c>
    </row>
    <row r="6212" spans="1:18" s="1" customFormat="1" x14ac:dyDescent="0.45">
      <c r="A6212" s="7" t="str">
        <f t="shared" si="2270"/>
        <v>10514000000</v>
      </c>
      <c r="B6212" s="7" t="str">
        <f t="shared" si="2271"/>
        <v>泉北高等支援学校</v>
      </c>
      <c r="C6212" s="7" t="str">
        <f t="shared" si="2253"/>
        <v>行政財産</v>
      </c>
      <c r="D6212" s="7" t="str">
        <f t="shared" si="2268"/>
        <v>学校</v>
      </c>
      <c r="E6212" s="7" t="str">
        <f t="shared" si="2272"/>
        <v>大阪府堺市　南区原山台２丁</v>
      </c>
      <c r="F6212" s="7"/>
      <c r="G6212" s="7" t="str">
        <f t="shared" si="2258"/>
        <v>事業用資産</v>
      </c>
      <c r="H6212" s="7" t="str">
        <f t="shared" ref="H6212:H6275" si="2274">"棚卸以外"</f>
        <v>棚卸以外</v>
      </c>
      <c r="I6212" s="7">
        <v>2</v>
      </c>
      <c r="J6212" s="7" t="str">
        <f>"設備棟"</f>
        <v>設備棟</v>
      </c>
      <c r="K6212" s="7" t="str">
        <f t="shared" si="2269"/>
        <v>鉄筋コンクリート造</v>
      </c>
      <c r="L6212" s="7" t="str">
        <f>"S50.07.08"</f>
        <v>S50.07.08</v>
      </c>
      <c r="M6212" s="7">
        <v>144</v>
      </c>
      <c r="N6212" s="7">
        <v>28856762</v>
      </c>
      <c r="O6212" s="7">
        <v>27808447</v>
      </c>
      <c r="P6212" s="7">
        <v>0</v>
      </c>
      <c r="Q6212" s="7" t="str">
        <f t="shared" si="2259"/>
        <v>教育庁</v>
      </c>
      <c r="R6212" s="7" t="str">
        <f t="shared" si="2273"/>
        <v>泉北高等支援学校</v>
      </c>
    </row>
    <row r="6213" spans="1:18" s="1" customFormat="1" x14ac:dyDescent="0.45">
      <c r="A6213" s="7" t="str">
        <f t="shared" si="2270"/>
        <v>10514000000</v>
      </c>
      <c r="B6213" s="7" t="str">
        <f t="shared" si="2271"/>
        <v>泉北高等支援学校</v>
      </c>
      <c r="C6213" s="7" t="str">
        <f t="shared" si="2253"/>
        <v>行政財産</v>
      </c>
      <c r="D6213" s="7" t="str">
        <f t="shared" si="2268"/>
        <v>学校</v>
      </c>
      <c r="E6213" s="7" t="str">
        <f t="shared" si="2272"/>
        <v>大阪府堺市　南区原山台２丁</v>
      </c>
      <c r="F6213" s="7"/>
      <c r="G6213" s="7" t="str">
        <f t="shared" si="2258"/>
        <v>事業用資産</v>
      </c>
      <c r="H6213" s="7" t="str">
        <f t="shared" si="2274"/>
        <v>棚卸以外</v>
      </c>
      <c r="I6213" s="7">
        <v>6</v>
      </c>
      <c r="J6213" s="7" t="str">
        <f>"発電機室"</f>
        <v>発電機室</v>
      </c>
      <c r="K6213" s="7" t="str">
        <f t="shared" si="2269"/>
        <v>鉄筋コンクリート造</v>
      </c>
      <c r="L6213" s="7" t="str">
        <f>"S54.03.31"</f>
        <v>S54.03.31</v>
      </c>
      <c r="M6213" s="7">
        <v>15.75</v>
      </c>
      <c r="N6213" s="7">
        <v>19860000</v>
      </c>
      <c r="O6213" s="7">
        <v>19859998</v>
      </c>
      <c r="P6213" s="7">
        <v>0</v>
      </c>
      <c r="Q6213" s="7" t="str">
        <f t="shared" si="2259"/>
        <v>教育庁</v>
      </c>
      <c r="R6213" s="7" t="str">
        <f t="shared" si="2273"/>
        <v>泉北高等支援学校</v>
      </c>
    </row>
    <row r="6214" spans="1:18" s="1" customFormat="1" x14ac:dyDescent="0.45">
      <c r="A6214" s="7" t="str">
        <f t="shared" si="2270"/>
        <v>10514000000</v>
      </c>
      <c r="B6214" s="7" t="str">
        <f t="shared" si="2271"/>
        <v>泉北高等支援学校</v>
      </c>
      <c r="C6214" s="7" t="str">
        <f t="shared" si="2253"/>
        <v>行政財産</v>
      </c>
      <c r="D6214" s="7" t="str">
        <f t="shared" si="2268"/>
        <v>学校</v>
      </c>
      <c r="E6214" s="7" t="str">
        <f t="shared" si="2272"/>
        <v>大阪府堺市　南区原山台２丁</v>
      </c>
      <c r="F6214" s="7"/>
      <c r="G6214" s="7" t="str">
        <f t="shared" si="2258"/>
        <v>事業用資産</v>
      </c>
      <c r="H6214" s="7" t="str">
        <f t="shared" si="2274"/>
        <v>棚卸以外</v>
      </c>
      <c r="I6214" s="7">
        <v>7</v>
      </c>
      <c r="J6214" s="7" t="str">
        <f>"体育館"</f>
        <v>体育館</v>
      </c>
      <c r="K6214" s="7" t="str">
        <f t="shared" si="2269"/>
        <v>鉄筋コンクリート造</v>
      </c>
      <c r="L6214" s="7" t="str">
        <f>"S61.02.28"</f>
        <v>S61.02.28</v>
      </c>
      <c r="M6214" s="7">
        <v>800.72</v>
      </c>
      <c r="N6214" s="7">
        <v>183590052</v>
      </c>
      <c r="O6214" s="7">
        <v>127287708</v>
      </c>
      <c r="P6214" s="7">
        <v>0</v>
      </c>
      <c r="Q6214" s="7" t="str">
        <f t="shared" si="2259"/>
        <v>教育庁</v>
      </c>
      <c r="R6214" s="7" t="str">
        <f t="shared" si="2273"/>
        <v>泉北高等支援学校</v>
      </c>
    </row>
    <row r="6215" spans="1:18" s="1" customFormat="1" x14ac:dyDescent="0.45">
      <c r="A6215" s="7" t="str">
        <f t="shared" si="2270"/>
        <v>10514000000</v>
      </c>
      <c r="B6215" s="7" t="str">
        <f t="shared" si="2271"/>
        <v>泉北高等支援学校</v>
      </c>
      <c r="C6215" s="7" t="str">
        <f t="shared" si="2253"/>
        <v>行政財産</v>
      </c>
      <c r="D6215" s="7" t="str">
        <f t="shared" si="2268"/>
        <v>学校</v>
      </c>
      <c r="E6215" s="7" t="str">
        <f t="shared" si="2272"/>
        <v>大阪府堺市　南区原山台２丁</v>
      </c>
      <c r="F6215" s="7"/>
      <c r="G6215" s="7" t="str">
        <f t="shared" si="2258"/>
        <v>事業用資産</v>
      </c>
      <c r="H6215" s="7" t="str">
        <f t="shared" si="2274"/>
        <v>棚卸以外</v>
      </c>
      <c r="I6215" s="7">
        <v>8</v>
      </c>
      <c r="J6215" s="7" t="str">
        <f>"渡り廊下棟"</f>
        <v>渡り廊下棟</v>
      </c>
      <c r="K6215" s="7" t="str">
        <f t="shared" si="2269"/>
        <v>鉄筋コンクリート造</v>
      </c>
      <c r="L6215" s="7" t="str">
        <f>"S61.02.28"</f>
        <v>S61.02.28</v>
      </c>
      <c r="M6215" s="7">
        <v>59.22</v>
      </c>
      <c r="N6215" s="7">
        <v>9470000</v>
      </c>
      <c r="O6215" s="7">
        <v>8565360</v>
      </c>
      <c r="P6215" s="7">
        <v>0</v>
      </c>
      <c r="Q6215" s="7" t="str">
        <f t="shared" si="2259"/>
        <v>教育庁</v>
      </c>
      <c r="R6215" s="7" t="str">
        <f t="shared" si="2273"/>
        <v>泉北高等支援学校</v>
      </c>
    </row>
    <row r="6216" spans="1:18" s="1" customFormat="1" x14ac:dyDescent="0.45">
      <c r="A6216" s="7" t="str">
        <f t="shared" si="2270"/>
        <v>10514000000</v>
      </c>
      <c r="B6216" s="7" t="str">
        <f t="shared" si="2271"/>
        <v>泉北高等支援学校</v>
      </c>
      <c r="C6216" s="7" t="str">
        <f t="shared" si="2253"/>
        <v>行政財産</v>
      </c>
      <c r="D6216" s="7" t="str">
        <f t="shared" si="2268"/>
        <v>学校</v>
      </c>
      <c r="E6216" s="7" t="str">
        <f t="shared" si="2272"/>
        <v>大阪府堺市　南区原山台２丁</v>
      </c>
      <c r="F6216" s="7"/>
      <c r="G6216" s="7" t="str">
        <f t="shared" si="2258"/>
        <v>事業用資産</v>
      </c>
      <c r="H6216" s="7" t="str">
        <f t="shared" si="2274"/>
        <v>棚卸以外</v>
      </c>
      <c r="I6216" s="7">
        <v>10</v>
      </c>
      <c r="J6216" s="7" t="str">
        <f>"電気釜室"</f>
        <v>電気釜室</v>
      </c>
      <c r="K6216" s="7" t="str">
        <f>"コンクリートブロック造"</f>
        <v>コンクリートブロック造</v>
      </c>
      <c r="L6216" s="7" t="str">
        <f>"H13.10.31"</f>
        <v>H13.10.31</v>
      </c>
      <c r="M6216" s="7">
        <v>7.96</v>
      </c>
      <c r="N6216" s="7">
        <v>397000</v>
      </c>
      <c r="O6216" s="7">
        <v>250318</v>
      </c>
      <c r="P6216" s="7">
        <v>0</v>
      </c>
      <c r="Q6216" s="7" t="str">
        <f t="shared" si="2259"/>
        <v>教育庁</v>
      </c>
      <c r="R6216" s="7" t="str">
        <f t="shared" si="2273"/>
        <v>泉北高等支援学校</v>
      </c>
    </row>
    <row r="6217" spans="1:18" s="1" customFormat="1" x14ac:dyDescent="0.45">
      <c r="A6217" s="7" t="str">
        <f t="shared" si="2270"/>
        <v>10514000000</v>
      </c>
      <c r="B6217" s="7" t="str">
        <f t="shared" si="2271"/>
        <v>泉北高等支援学校</v>
      </c>
      <c r="C6217" s="7" t="str">
        <f t="shared" si="2253"/>
        <v>行政財産</v>
      </c>
      <c r="D6217" s="7" t="str">
        <f t="shared" si="2268"/>
        <v>学校</v>
      </c>
      <c r="E6217" s="7" t="str">
        <f t="shared" si="2272"/>
        <v>大阪府堺市　南区原山台２丁</v>
      </c>
      <c r="F6217" s="7"/>
      <c r="G6217" s="7" t="str">
        <f t="shared" si="2258"/>
        <v>事業用資産</v>
      </c>
      <c r="H6217" s="7" t="str">
        <f t="shared" si="2274"/>
        <v>棚卸以外</v>
      </c>
      <c r="I6217" s="7">
        <v>11</v>
      </c>
      <c r="J6217" s="7" t="str">
        <f>"集塵機室"</f>
        <v>集塵機室</v>
      </c>
      <c r="K6217" s="7" t="str">
        <f>"コンクリートブロック造"</f>
        <v>コンクリートブロック造</v>
      </c>
      <c r="L6217" s="7" t="str">
        <f>"H13.10.31"</f>
        <v>H13.10.31</v>
      </c>
      <c r="M6217" s="7">
        <v>2</v>
      </c>
      <c r="N6217" s="7">
        <v>193000</v>
      </c>
      <c r="O6217" s="7">
        <v>121818</v>
      </c>
      <c r="P6217" s="7">
        <v>0</v>
      </c>
      <c r="Q6217" s="7" t="str">
        <f t="shared" si="2259"/>
        <v>教育庁</v>
      </c>
      <c r="R6217" s="7" t="str">
        <f t="shared" si="2273"/>
        <v>泉北高等支援学校</v>
      </c>
    </row>
    <row r="6218" spans="1:18" s="1" customFormat="1" x14ac:dyDescent="0.45">
      <c r="A6218" s="7" t="str">
        <f t="shared" si="2270"/>
        <v>10514000000</v>
      </c>
      <c r="B6218" s="7" t="str">
        <f t="shared" si="2271"/>
        <v>泉北高等支援学校</v>
      </c>
      <c r="C6218" s="7" t="str">
        <f t="shared" si="2253"/>
        <v>行政財産</v>
      </c>
      <c r="D6218" s="7" t="str">
        <f t="shared" si="2268"/>
        <v>学校</v>
      </c>
      <c r="E6218" s="7" t="str">
        <f t="shared" si="2272"/>
        <v>大阪府堺市　南区原山台２丁</v>
      </c>
      <c r="F6218" s="7"/>
      <c r="G6218" s="7" t="str">
        <f t="shared" si="2258"/>
        <v>事業用資産</v>
      </c>
      <c r="H6218" s="7" t="str">
        <f t="shared" si="2274"/>
        <v>棚卸以外</v>
      </c>
      <c r="I6218" s="7">
        <v>12</v>
      </c>
      <c r="J6218" s="7" t="str">
        <f>"プール教室棟"</f>
        <v>プール教室棟</v>
      </c>
      <c r="K6218" s="7" t="str">
        <f>"鉄筋コンクリート造"</f>
        <v>鉄筋コンクリート造</v>
      </c>
      <c r="L6218" s="7" t="str">
        <f>"H14.03.29"</f>
        <v>H14.03.29</v>
      </c>
      <c r="M6218" s="7">
        <v>1816.87</v>
      </c>
      <c r="N6218" s="7">
        <v>373279983</v>
      </c>
      <c r="O6218" s="7">
        <v>164623727</v>
      </c>
      <c r="P6218" s="7">
        <v>0</v>
      </c>
      <c r="Q6218" s="7" t="str">
        <f t="shared" si="2259"/>
        <v>教育庁</v>
      </c>
      <c r="R6218" s="7" t="str">
        <f t="shared" si="2273"/>
        <v>泉北高等支援学校</v>
      </c>
    </row>
    <row r="6219" spans="1:18" s="1" customFormat="1" x14ac:dyDescent="0.45">
      <c r="A6219" s="7" t="str">
        <f>"10515000010"</f>
        <v>10515000010</v>
      </c>
      <c r="B6219" s="7" t="str">
        <f>"刀根山支援学校"</f>
        <v>刀根山支援学校</v>
      </c>
      <c r="C6219" s="7" t="str">
        <f t="shared" si="2253"/>
        <v>行政財産</v>
      </c>
      <c r="D6219" s="7" t="str">
        <f t="shared" si="2268"/>
        <v>学校</v>
      </c>
      <c r="E6219" s="7" t="str">
        <f>"大阪府豊中市刀根山５丁目"</f>
        <v>大阪府豊中市刀根山５丁目</v>
      </c>
      <c r="F6219" s="7"/>
      <c r="G6219" s="7" t="str">
        <f t="shared" si="2258"/>
        <v>事業用資産</v>
      </c>
      <c r="H6219" s="7" t="str">
        <f t="shared" si="2274"/>
        <v>棚卸以外</v>
      </c>
      <c r="I6219" s="7">
        <v>2</v>
      </c>
      <c r="J6219" s="7" t="str">
        <f>"校舎棟"</f>
        <v>校舎棟</v>
      </c>
      <c r="K6219" s="7" t="str">
        <f>"鉄筋コンクリート造"</f>
        <v>鉄筋コンクリート造</v>
      </c>
      <c r="L6219" s="7" t="str">
        <f>"S58.05.23"</f>
        <v>S58.05.23</v>
      </c>
      <c r="M6219" s="7">
        <v>1934.05</v>
      </c>
      <c r="N6219" s="7">
        <v>528206143</v>
      </c>
      <c r="O6219" s="7">
        <v>367786155</v>
      </c>
      <c r="P6219" s="7">
        <v>0</v>
      </c>
      <c r="Q6219" s="7" t="str">
        <f t="shared" si="2259"/>
        <v>教育庁</v>
      </c>
      <c r="R6219" s="7" t="str">
        <f>"刀根山支援学校"</f>
        <v>刀根山支援学校</v>
      </c>
    </row>
    <row r="6220" spans="1:18" s="1" customFormat="1" ht="26.4" x14ac:dyDescent="0.45">
      <c r="A6220" s="7" t="str">
        <f>"10516000001"</f>
        <v>10516000001</v>
      </c>
      <c r="B6220" s="7" t="str">
        <f>"大阪府立吹田支援学校"</f>
        <v>大阪府立吹田支援学校</v>
      </c>
      <c r="C6220" s="7" t="str">
        <f t="shared" si="2253"/>
        <v>行政財産</v>
      </c>
      <c r="D6220" s="7" t="str">
        <f t="shared" si="2268"/>
        <v>学校</v>
      </c>
      <c r="E6220" s="7" t="str">
        <f>"大阪府吹田市芳野町"</f>
        <v>大阪府吹田市芳野町</v>
      </c>
      <c r="F6220" s="7"/>
      <c r="G6220" s="7" t="str">
        <f t="shared" si="2258"/>
        <v>事業用資産</v>
      </c>
      <c r="H6220" s="7" t="str">
        <f t="shared" si="2274"/>
        <v>棚卸以外</v>
      </c>
      <c r="I6220" s="7">
        <v>1</v>
      </c>
      <c r="J6220" s="7" t="str">
        <f>"本館"</f>
        <v>本館</v>
      </c>
      <c r="K6220" s="7" t="str">
        <f>"鉄骨鉄筋コンクリート造"</f>
        <v>鉄骨鉄筋コンクリート造</v>
      </c>
      <c r="L6220" s="7" t="str">
        <f>"H10.03.20"</f>
        <v>H10.03.20</v>
      </c>
      <c r="M6220" s="7">
        <v>9369.98</v>
      </c>
      <c r="N6220" s="7">
        <v>2572099928</v>
      </c>
      <c r="O6220" s="7">
        <v>1302972720</v>
      </c>
      <c r="P6220" s="7">
        <v>0</v>
      </c>
      <c r="Q6220" s="7" t="str">
        <f t="shared" si="2259"/>
        <v>教育庁</v>
      </c>
      <c r="R6220" s="7" t="str">
        <f>"吹田支援学校"</f>
        <v>吹田支援学校</v>
      </c>
    </row>
    <row r="6221" spans="1:18" s="1" customFormat="1" x14ac:dyDescent="0.45">
      <c r="A6221" s="7" t="str">
        <f>"10516000001"</f>
        <v>10516000001</v>
      </c>
      <c r="B6221" s="7" t="str">
        <f>"大阪府立吹田支援学校"</f>
        <v>大阪府立吹田支援学校</v>
      </c>
      <c r="C6221" s="7" t="str">
        <f t="shared" ref="C6221:C6284" si="2275">"行政財産"</f>
        <v>行政財産</v>
      </c>
      <c r="D6221" s="7" t="str">
        <f t="shared" si="2268"/>
        <v>学校</v>
      </c>
      <c r="E6221" s="7" t="str">
        <f>"大阪府吹田市芳野町"</f>
        <v>大阪府吹田市芳野町</v>
      </c>
      <c r="F6221" s="7"/>
      <c r="G6221" s="7" t="str">
        <f t="shared" si="2258"/>
        <v>事業用資産</v>
      </c>
      <c r="H6221" s="7" t="str">
        <f t="shared" si="2274"/>
        <v>棚卸以外</v>
      </c>
      <c r="I6221" s="7">
        <v>2</v>
      </c>
      <c r="J6221" s="7" t="str">
        <f>"プ－ル棟"</f>
        <v>プ－ル棟</v>
      </c>
      <c r="K6221" s="7" t="str">
        <f t="shared" ref="K6221:K6227" si="2276">"鉄筋コンクリート造"</f>
        <v>鉄筋コンクリート造</v>
      </c>
      <c r="L6221" s="7" t="str">
        <f>"H10.03.20"</f>
        <v>H10.03.20</v>
      </c>
      <c r="M6221" s="7">
        <v>101.66</v>
      </c>
      <c r="N6221" s="7">
        <v>116121000</v>
      </c>
      <c r="O6221" s="7">
        <v>61766700</v>
      </c>
      <c r="P6221" s="7">
        <v>0</v>
      </c>
      <c r="Q6221" s="7" t="str">
        <f t="shared" si="2259"/>
        <v>教育庁</v>
      </c>
      <c r="R6221" s="7" t="str">
        <f>"吹田支援学校"</f>
        <v>吹田支援学校</v>
      </c>
    </row>
    <row r="6222" spans="1:18" s="1" customFormat="1" x14ac:dyDescent="0.45">
      <c r="A6222" s="7" t="str">
        <f>"10516000001"</f>
        <v>10516000001</v>
      </c>
      <c r="B6222" s="7" t="str">
        <f>"大阪府立吹田支援学校"</f>
        <v>大阪府立吹田支援学校</v>
      </c>
      <c r="C6222" s="7" t="str">
        <f t="shared" si="2275"/>
        <v>行政財産</v>
      </c>
      <c r="D6222" s="7" t="str">
        <f t="shared" si="2268"/>
        <v>学校</v>
      </c>
      <c r="E6222" s="7" t="str">
        <f>"大阪府吹田市芳野町"</f>
        <v>大阪府吹田市芳野町</v>
      </c>
      <c r="F6222" s="7"/>
      <c r="G6222" s="7" t="str">
        <f t="shared" si="2258"/>
        <v>事業用資産</v>
      </c>
      <c r="H6222" s="7" t="str">
        <f t="shared" si="2274"/>
        <v>棚卸以外</v>
      </c>
      <c r="I6222" s="7">
        <v>3</v>
      </c>
      <c r="J6222" s="7" t="str">
        <f>"自転車置場"</f>
        <v>自転車置場</v>
      </c>
      <c r="K6222" s="7" t="str">
        <f t="shared" si="2276"/>
        <v>鉄筋コンクリート造</v>
      </c>
      <c r="L6222" s="7" t="str">
        <f>"H10.03.20"</f>
        <v>H10.03.20</v>
      </c>
      <c r="M6222" s="7">
        <v>14.8</v>
      </c>
      <c r="N6222" s="7">
        <v>3280000</v>
      </c>
      <c r="O6222" s="7">
        <v>2157900</v>
      </c>
      <c r="P6222" s="7">
        <v>0</v>
      </c>
      <c r="Q6222" s="7" t="str">
        <f t="shared" si="2259"/>
        <v>教育庁</v>
      </c>
      <c r="R6222" s="7" t="str">
        <f>"吹田支援学校"</f>
        <v>吹田支援学校</v>
      </c>
    </row>
    <row r="6223" spans="1:18" s="1" customFormat="1" x14ac:dyDescent="0.45">
      <c r="A6223" s="7" t="str">
        <f>"10516000001"</f>
        <v>10516000001</v>
      </c>
      <c r="B6223" s="7" t="str">
        <f>"大阪府立吹田支援学校"</f>
        <v>大阪府立吹田支援学校</v>
      </c>
      <c r="C6223" s="7" t="str">
        <f t="shared" si="2275"/>
        <v>行政財産</v>
      </c>
      <c r="D6223" s="7" t="str">
        <f t="shared" si="2268"/>
        <v>学校</v>
      </c>
      <c r="E6223" s="7" t="str">
        <f>"大阪府吹田市芳野町"</f>
        <v>大阪府吹田市芳野町</v>
      </c>
      <c r="F6223" s="7"/>
      <c r="G6223" s="7" t="str">
        <f t="shared" si="2258"/>
        <v>事業用資産</v>
      </c>
      <c r="H6223" s="7" t="str">
        <f t="shared" si="2274"/>
        <v>棚卸以外</v>
      </c>
      <c r="I6223" s="7">
        <v>4</v>
      </c>
      <c r="J6223" s="7" t="str">
        <f>"ゴミ置場"</f>
        <v>ゴミ置場</v>
      </c>
      <c r="K6223" s="7" t="str">
        <f t="shared" si="2276"/>
        <v>鉄筋コンクリート造</v>
      </c>
      <c r="L6223" s="7" t="str">
        <f>"H10.03.20"</f>
        <v>H10.03.20</v>
      </c>
      <c r="M6223" s="7">
        <v>18</v>
      </c>
      <c r="N6223" s="7">
        <v>4093000</v>
      </c>
      <c r="O6223" s="7">
        <v>2692800</v>
      </c>
      <c r="P6223" s="7">
        <v>0</v>
      </c>
      <c r="Q6223" s="7" t="str">
        <f t="shared" si="2259"/>
        <v>教育庁</v>
      </c>
      <c r="R6223" s="7" t="str">
        <f>"吹田支援学校"</f>
        <v>吹田支援学校</v>
      </c>
    </row>
    <row r="6224" spans="1:18" s="1" customFormat="1" x14ac:dyDescent="0.45">
      <c r="A6224" s="7" t="str">
        <f>"10517000000"</f>
        <v>10517000000</v>
      </c>
      <c r="B6224" s="7" t="str">
        <f>"大阪府立羽曳野支援学校"</f>
        <v>大阪府立羽曳野支援学校</v>
      </c>
      <c r="C6224" s="7" t="str">
        <f t="shared" si="2275"/>
        <v>行政財産</v>
      </c>
      <c r="D6224" s="7" t="str">
        <f t="shared" si="2268"/>
        <v>学校</v>
      </c>
      <c r="E6224" s="7" t="str">
        <f>"大阪府羽曳野市はびきの３丁目"</f>
        <v>大阪府羽曳野市はびきの３丁目</v>
      </c>
      <c r="F6224" s="7"/>
      <c r="G6224" s="7" t="str">
        <f t="shared" si="2258"/>
        <v>事業用資産</v>
      </c>
      <c r="H6224" s="7" t="str">
        <f t="shared" si="2274"/>
        <v>棚卸以外</v>
      </c>
      <c r="I6224" s="7">
        <v>1</v>
      </c>
      <c r="J6224" s="7" t="str">
        <f>"校舎棟"</f>
        <v>校舎棟</v>
      </c>
      <c r="K6224" s="7" t="str">
        <f t="shared" si="2276"/>
        <v>鉄筋コンクリート造</v>
      </c>
      <c r="L6224" s="7" t="str">
        <f>"H02.05.16"</f>
        <v>H02.05.16</v>
      </c>
      <c r="M6224" s="7">
        <v>1753.2</v>
      </c>
      <c r="N6224" s="7">
        <v>451782407</v>
      </c>
      <c r="O6224" s="7">
        <v>257999120</v>
      </c>
      <c r="P6224" s="7">
        <v>0</v>
      </c>
      <c r="Q6224" s="7" t="str">
        <f t="shared" si="2259"/>
        <v>教育庁</v>
      </c>
      <c r="R6224" s="7" t="str">
        <f>"羽曳野支援学校"</f>
        <v>羽曳野支援学校</v>
      </c>
    </row>
    <row r="6225" spans="1:18" s="1" customFormat="1" x14ac:dyDescent="0.45">
      <c r="A6225" s="7" t="str">
        <f>"10517000000"</f>
        <v>10517000000</v>
      </c>
      <c r="B6225" s="7" t="str">
        <f>"大阪府立羽曳野支援学校"</f>
        <v>大阪府立羽曳野支援学校</v>
      </c>
      <c r="C6225" s="7" t="str">
        <f t="shared" si="2275"/>
        <v>行政財産</v>
      </c>
      <c r="D6225" s="7" t="str">
        <f t="shared" si="2268"/>
        <v>学校</v>
      </c>
      <c r="E6225" s="7" t="str">
        <f>"大阪府羽曳野市はびきの３丁目"</f>
        <v>大阪府羽曳野市はびきの３丁目</v>
      </c>
      <c r="F6225" s="7"/>
      <c r="G6225" s="7" t="str">
        <f t="shared" si="2258"/>
        <v>事業用資産</v>
      </c>
      <c r="H6225" s="7" t="str">
        <f t="shared" si="2274"/>
        <v>棚卸以外</v>
      </c>
      <c r="I6225" s="7">
        <v>2</v>
      </c>
      <c r="J6225" s="7" t="str">
        <f>"体育館・プール棟"</f>
        <v>体育館・プール棟</v>
      </c>
      <c r="K6225" s="7" t="str">
        <f t="shared" si="2276"/>
        <v>鉄筋コンクリート造</v>
      </c>
      <c r="L6225" s="7" t="str">
        <f>"H14.03.15"</f>
        <v>H14.03.15</v>
      </c>
      <c r="M6225" s="7">
        <v>1098.3399999999999</v>
      </c>
      <c r="N6225" s="7">
        <v>432874799</v>
      </c>
      <c r="O6225" s="7">
        <v>169882532</v>
      </c>
      <c r="P6225" s="7">
        <v>0</v>
      </c>
      <c r="Q6225" s="7" t="str">
        <f t="shared" si="2259"/>
        <v>教育庁</v>
      </c>
      <c r="R6225" s="7" t="str">
        <f>"羽曳野支援学校"</f>
        <v>羽曳野支援学校</v>
      </c>
    </row>
    <row r="6226" spans="1:18" s="1" customFormat="1" x14ac:dyDescent="0.45">
      <c r="A6226" s="7" t="str">
        <f t="shared" ref="A6226:A6233" si="2277">"10873000500"</f>
        <v>10873000500</v>
      </c>
      <c r="B6226" s="7" t="str">
        <f t="shared" ref="B6226:B6233" si="2278">"枚方なぎさ高等学校"</f>
        <v>枚方なぎさ高等学校</v>
      </c>
      <c r="C6226" s="7" t="str">
        <f t="shared" si="2275"/>
        <v>行政財産</v>
      </c>
      <c r="D6226" s="7" t="str">
        <f t="shared" si="2268"/>
        <v>学校</v>
      </c>
      <c r="E6226" s="7" t="str">
        <f t="shared" ref="E6226:E6233" si="2279">"大阪府枚方市磯島元町"</f>
        <v>大阪府枚方市磯島元町</v>
      </c>
      <c r="F6226" s="7"/>
      <c r="G6226" s="7" t="str">
        <f t="shared" si="2258"/>
        <v>事業用資産</v>
      </c>
      <c r="H6226" s="7" t="str">
        <f t="shared" si="2274"/>
        <v>棚卸以外</v>
      </c>
      <c r="I6226" s="7">
        <v>1</v>
      </c>
      <c r="J6226" s="7" t="str">
        <f>"校舎"</f>
        <v>校舎</v>
      </c>
      <c r="K6226" s="7" t="str">
        <f t="shared" si="2276"/>
        <v>鉄筋コンクリート造</v>
      </c>
      <c r="L6226" s="7" t="str">
        <f>"S58.03.07"</f>
        <v>S58.03.07</v>
      </c>
      <c r="M6226" s="7">
        <v>10798.5</v>
      </c>
      <c r="N6226" s="7">
        <v>1386664390</v>
      </c>
      <c r="O6226" s="7">
        <v>1106138305</v>
      </c>
      <c r="P6226" s="7">
        <v>0</v>
      </c>
      <c r="Q6226" s="7" t="str">
        <f t="shared" si="2259"/>
        <v>教育庁</v>
      </c>
      <c r="R6226" s="7" t="str">
        <f t="shared" ref="R6226:R6233" si="2280">"枚方なぎさ高等学校"</f>
        <v>枚方なぎさ高等学校</v>
      </c>
    </row>
    <row r="6227" spans="1:18" s="1" customFormat="1" x14ac:dyDescent="0.45">
      <c r="A6227" s="7" t="str">
        <f t="shared" si="2277"/>
        <v>10873000500</v>
      </c>
      <c r="B6227" s="7" t="str">
        <f t="shared" si="2278"/>
        <v>枚方なぎさ高等学校</v>
      </c>
      <c r="C6227" s="7" t="str">
        <f t="shared" si="2275"/>
        <v>行政財産</v>
      </c>
      <c r="D6227" s="7" t="str">
        <f t="shared" si="2268"/>
        <v>学校</v>
      </c>
      <c r="E6227" s="7" t="str">
        <f t="shared" si="2279"/>
        <v>大阪府枚方市磯島元町</v>
      </c>
      <c r="F6227" s="7"/>
      <c r="G6227" s="7" t="str">
        <f t="shared" si="2258"/>
        <v>事業用資産</v>
      </c>
      <c r="H6227" s="7" t="str">
        <f t="shared" si="2274"/>
        <v>棚卸以外</v>
      </c>
      <c r="I6227" s="7">
        <v>2</v>
      </c>
      <c r="J6227" s="7" t="str">
        <f>"汚水処理場"</f>
        <v>汚水処理場</v>
      </c>
      <c r="K6227" s="7" t="str">
        <f t="shared" si="2276"/>
        <v>鉄筋コンクリート造</v>
      </c>
      <c r="L6227" s="7" t="str">
        <f>"S58.03.30"</f>
        <v>S58.03.30</v>
      </c>
      <c r="M6227" s="7">
        <v>113.56</v>
      </c>
      <c r="N6227" s="7">
        <v>73248400</v>
      </c>
      <c r="O6227" s="7">
        <v>73188369</v>
      </c>
      <c r="P6227" s="7">
        <v>0</v>
      </c>
      <c r="Q6227" s="7" t="str">
        <f t="shared" si="2259"/>
        <v>教育庁</v>
      </c>
      <c r="R6227" s="7" t="str">
        <f t="shared" si="2280"/>
        <v>枚方なぎさ高等学校</v>
      </c>
    </row>
    <row r="6228" spans="1:18" s="1" customFormat="1" x14ac:dyDescent="0.45">
      <c r="A6228" s="7" t="str">
        <f t="shared" si="2277"/>
        <v>10873000500</v>
      </c>
      <c r="B6228" s="7" t="str">
        <f t="shared" si="2278"/>
        <v>枚方なぎさ高等学校</v>
      </c>
      <c r="C6228" s="7" t="str">
        <f t="shared" si="2275"/>
        <v>行政財産</v>
      </c>
      <c r="D6228" s="7" t="str">
        <f t="shared" si="2268"/>
        <v>学校</v>
      </c>
      <c r="E6228" s="7" t="str">
        <f t="shared" si="2279"/>
        <v>大阪府枚方市磯島元町</v>
      </c>
      <c r="F6228" s="7"/>
      <c r="G6228" s="7" t="str">
        <f t="shared" si="2258"/>
        <v>事業用資産</v>
      </c>
      <c r="H6228" s="7" t="str">
        <f t="shared" si="2274"/>
        <v>棚卸以外</v>
      </c>
      <c r="I6228" s="7">
        <v>3</v>
      </c>
      <c r="J6228" s="7" t="str">
        <f>"倉庫"</f>
        <v>倉庫</v>
      </c>
      <c r="K6228" s="7" t="str">
        <f>"鉄骨造"</f>
        <v>鉄骨造</v>
      </c>
      <c r="L6228" s="7" t="str">
        <f>"S58.03.31"</f>
        <v>S58.03.31</v>
      </c>
      <c r="M6228" s="7">
        <v>100</v>
      </c>
      <c r="N6228" s="7">
        <v>9012000</v>
      </c>
      <c r="O6228" s="7">
        <v>9011999</v>
      </c>
      <c r="P6228" s="7">
        <v>0</v>
      </c>
      <c r="Q6228" s="7" t="str">
        <f t="shared" si="2259"/>
        <v>教育庁</v>
      </c>
      <c r="R6228" s="7" t="str">
        <f t="shared" si="2280"/>
        <v>枚方なぎさ高等学校</v>
      </c>
    </row>
    <row r="6229" spans="1:18" s="1" customFormat="1" x14ac:dyDescent="0.45">
      <c r="A6229" s="7" t="str">
        <f t="shared" si="2277"/>
        <v>10873000500</v>
      </c>
      <c r="B6229" s="7" t="str">
        <f t="shared" si="2278"/>
        <v>枚方なぎさ高等学校</v>
      </c>
      <c r="C6229" s="7" t="str">
        <f t="shared" si="2275"/>
        <v>行政財産</v>
      </c>
      <c r="D6229" s="7" t="str">
        <f t="shared" si="2268"/>
        <v>学校</v>
      </c>
      <c r="E6229" s="7" t="str">
        <f t="shared" si="2279"/>
        <v>大阪府枚方市磯島元町</v>
      </c>
      <c r="F6229" s="7"/>
      <c r="G6229" s="7" t="str">
        <f t="shared" si="2258"/>
        <v>事業用資産</v>
      </c>
      <c r="H6229" s="7" t="str">
        <f t="shared" si="2274"/>
        <v>棚卸以外</v>
      </c>
      <c r="I6229" s="7">
        <v>4</v>
      </c>
      <c r="J6229" s="7" t="str">
        <f>"体育館"</f>
        <v>体育館</v>
      </c>
      <c r="K6229" s="7" t="str">
        <f>"鉄筋コンクリート造"</f>
        <v>鉄筋コンクリート造</v>
      </c>
      <c r="L6229" s="7" t="str">
        <f>"S58.12.27"</f>
        <v>S58.12.27</v>
      </c>
      <c r="M6229" s="7">
        <v>3031.68</v>
      </c>
      <c r="N6229" s="7">
        <v>475654688</v>
      </c>
      <c r="O6229" s="7">
        <v>363742670</v>
      </c>
      <c r="P6229" s="7">
        <v>0</v>
      </c>
      <c r="Q6229" s="7" t="str">
        <f t="shared" si="2259"/>
        <v>教育庁</v>
      </c>
      <c r="R6229" s="7" t="str">
        <f t="shared" si="2280"/>
        <v>枚方なぎさ高等学校</v>
      </c>
    </row>
    <row r="6230" spans="1:18" s="1" customFormat="1" x14ac:dyDescent="0.45">
      <c r="A6230" s="7" t="str">
        <f t="shared" si="2277"/>
        <v>10873000500</v>
      </c>
      <c r="B6230" s="7" t="str">
        <f t="shared" si="2278"/>
        <v>枚方なぎさ高等学校</v>
      </c>
      <c r="C6230" s="7" t="str">
        <f t="shared" si="2275"/>
        <v>行政財産</v>
      </c>
      <c r="D6230" s="7" t="str">
        <f t="shared" si="2268"/>
        <v>学校</v>
      </c>
      <c r="E6230" s="7" t="str">
        <f t="shared" si="2279"/>
        <v>大阪府枚方市磯島元町</v>
      </c>
      <c r="F6230" s="7"/>
      <c r="G6230" s="7" t="str">
        <f t="shared" si="2258"/>
        <v>事業用資産</v>
      </c>
      <c r="H6230" s="7" t="str">
        <f t="shared" si="2274"/>
        <v>棚卸以外</v>
      </c>
      <c r="I6230" s="7">
        <v>6</v>
      </c>
      <c r="J6230" s="7" t="str">
        <f>"プール附属棟"</f>
        <v>プール附属棟</v>
      </c>
      <c r="K6230" s="7" t="str">
        <f>"鉄筋コンクリート造"</f>
        <v>鉄筋コンクリート造</v>
      </c>
      <c r="L6230" s="7" t="str">
        <f>"S59.03.31"</f>
        <v>S59.03.31</v>
      </c>
      <c r="M6230" s="7">
        <v>138</v>
      </c>
      <c r="N6230" s="7">
        <v>38290000</v>
      </c>
      <c r="O6230" s="7">
        <v>31772988</v>
      </c>
      <c r="P6230" s="7">
        <v>0</v>
      </c>
      <c r="Q6230" s="7" t="str">
        <f t="shared" si="2259"/>
        <v>教育庁</v>
      </c>
      <c r="R6230" s="7" t="str">
        <f t="shared" si="2280"/>
        <v>枚方なぎさ高等学校</v>
      </c>
    </row>
    <row r="6231" spans="1:18" s="1" customFormat="1" x14ac:dyDescent="0.45">
      <c r="A6231" s="7" t="str">
        <f t="shared" si="2277"/>
        <v>10873000500</v>
      </c>
      <c r="B6231" s="7" t="str">
        <f t="shared" si="2278"/>
        <v>枚方なぎさ高等学校</v>
      </c>
      <c r="C6231" s="7" t="str">
        <f t="shared" si="2275"/>
        <v>行政財産</v>
      </c>
      <c r="D6231" s="7" t="str">
        <f t="shared" si="2268"/>
        <v>学校</v>
      </c>
      <c r="E6231" s="7" t="str">
        <f t="shared" si="2279"/>
        <v>大阪府枚方市磯島元町</v>
      </c>
      <c r="F6231" s="7"/>
      <c r="G6231" s="7" t="str">
        <f t="shared" ref="G6231:G6294" si="2281">"事業用資産"</f>
        <v>事業用資産</v>
      </c>
      <c r="H6231" s="7" t="str">
        <f t="shared" si="2274"/>
        <v>棚卸以外</v>
      </c>
      <c r="I6231" s="7">
        <v>7</v>
      </c>
      <c r="J6231" s="7" t="str">
        <f>"石灰置場"</f>
        <v>石灰置場</v>
      </c>
      <c r="K6231" s="7" t="str">
        <f>"レンガ、石積造"</f>
        <v>レンガ、石積造</v>
      </c>
      <c r="L6231" s="7" t="str">
        <f>"S59.04.28"</f>
        <v>S59.04.28</v>
      </c>
      <c r="M6231" s="7">
        <v>4.84</v>
      </c>
      <c r="N6231" s="7">
        <v>746000</v>
      </c>
      <c r="O6231" s="7">
        <v>745999</v>
      </c>
      <c r="P6231" s="7">
        <v>0</v>
      </c>
      <c r="Q6231" s="7" t="str">
        <f t="shared" si="2259"/>
        <v>教育庁</v>
      </c>
      <c r="R6231" s="7" t="str">
        <f t="shared" si="2280"/>
        <v>枚方なぎさ高等学校</v>
      </c>
    </row>
    <row r="6232" spans="1:18" s="1" customFormat="1" x14ac:dyDescent="0.45">
      <c r="A6232" s="7" t="str">
        <f t="shared" si="2277"/>
        <v>10873000500</v>
      </c>
      <c r="B6232" s="7" t="str">
        <f t="shared" si="2278"/>
        <v>枚方なぎさ高等学校</v>
      </c>
      <c r="C6232" s="7" t="str">
        <f t="shared" si="2275"/>
        <v>行政財産</v>
      </c>
      <c r="D6232" s="7" t="str">
        <f t="shared" si="2268"/>
        <v>学校</v>
      </c>
      <c r="E6232" s="7" t="str">
        <f t="shared" si="2279"/>
        <v>大阪府枚方市磯島元町</v>
      </c>
      <c r="F6232" s="7"/>
      <c r="G6232" s="7" t="str">
        <f t="shared" si="2281"/>
        <v>事業用資産</v>
      </c>
      <c r="H6232" s="7" t="str">
        <f t="shared" si="2274"/>
        <v>棚卸以外</v>
      </c>
      <c r="I6232" s="7">
        <v>8</v>
      </c>
      <c r="J6232" s="7" t="str">
        <f>"倉庫"</f>
        <v>倉庫</v>
      </c>
      <c r="K6232" s="7" t="str">
        <f>"鉄骨造"</f>
        <v>鉄骨造</v>
      </c>
      <c r="L6232" s="7" t="str">
        <f>"S59.05.01"</f>
        <v>S59.05.01</v>
      </c>
      <c r="M6232" s="7">
        <v>100</v>
      </c>
      <c r="N6232" s="7">
        <v>9650000</v>
      </c>
      <c r="O6232" s="7">
        <v>9649999</v>
      </c>
      <c r="P6232" s="7">
        <v>0</v>
      </c>
      <c r="Q6232" s="7" t="str">
        <f t="shared" si="2259"/>
        <v>教育庁</v>
      </c>
      <c r="R6232" s="7" t="str">
        <f t="shared" si="2280"/>
        <v>枚方なぎさ高等学校</v>
      </c>
    </row>
    <row r="6233" spans="1:18" s="1" customFormat="1" x14ac:dyDescent="0.45">
      <c r="A6233" s="7" t="str">
        <f t="shared" si="2277"/>
        <v>10873000500</v>
      </c>
      <c r="B6233" s="7" t="str">
        <f t="shared" si="2278"/>
        <v>枚方なぎさ高等学校</v>
      </c>
      <c r="C6233" s="7" t="str">
        <f t="shared" si="2275"/>
        <v>行政財産</v>
      </c>
      <c r="D6233" s="7" t="str">
        <f t="shared" si="2268"/>
        <v>学校</v>
      </c>
      <c r="E6233" s="7" t="str">
        <f t="shared" si="2279"/>
        <v>大阪府枚方市磯島元町</v>
      </c>
      <c r="F6233" s="7"/>
      <c r="G6233" s="7" t="str">
        <f t="shared" si="2281"/>
        <v>事業用資産</v>
      </c>
      <c r="H6233" s="7" t="str">
        <f t="shared" si="2274"/>
        <v>棚卸以外</v>
      </c>
      <c r="I6233" s="7">
        <v>9</v>
      </c>
      <c r="J6233" s="7" t="str">
        <f>"エレベーター棟"</f>
        <v>エレベーター棟</v>
      </c>
      <c r="K6233" s="7" t="str">
        <f>"鉄筋コンクリート造"</f>
        <v>鉄筋コンクリート造</v>
      </c>
      <c r="L6233" s="7" t="str">
        <f>"H20.09.01"</f>
        <v>H20.09.01</v>
      </c>
      <c r="M6233" s="7">
        <v>36.96</v>
      </c>
      <c r="N6233" s="7">
        <v>22588000</v>
      </c>
      <c r="O6233" s="7">
        <v>8619264</v>
      </c>
      <c r="P6233" s="7">
        <v>0</v>
      </c>
      <c r="Q6233" s="7" t="str">
        <f t="shared" si="2259"/>
        <v>教育庁</v>
      </c>
      <c r="R6233" s="7" t="str">
        <f t="shared" si="2280"/>
        <v>枚方なぎさ高等学校</v>
      </c>
    </row>
    <row r="6234" spans="1:18" s="1" customFormat="1" x14ac:dyDescent="0.45">
      <c r="A6234" s="7" t="str">
        <f t="shared" ref="A6234:A6252" si="2282">"10874000000"</f>
        <v>10874000000</v>
      </c>
      <c r="B6234" s="7" t="str">
        <f t="shared" ref="B6234:B6252" si="2283">"かわち野高等学校"</f>
        <v>かわち野高等学校</v>
      </c>
      <c r="C6234" s="7" t="str">
        <f t="shared" si="2275"/>
        <v>行政財産</v>
      </c>
      <c r="D6234" s="7" t="str">
        <f t="shared" si="2268"/>
        <v>学校</v>
      </c>
      <c r="E6234" s="7" t="str">
        <f t="shared" ref="E6234:E6252" si="2284">"大阪府東大阪市新庄４丁目"</f>
        <v>大阪府東大阪市新庄４丁目</v>
      </c>
      <c r="F6234" s="7"/>
      <c r="G6234" s="7" t="str">
        <f t="shared" si="2281"/>
        <v>事業用資産</v>
      </c>
      <c r="H6234" s="7" t="str">
        <f t="shared" si="2274"/>
        <v>棚卸以外</v>
      </c>
      <c r="I6234" s="7">
        <v>1</v>
      </c>
      <c r="J6234" s="7" t="str">
        <f>"管理普通教室棟"</f>
        <v>管理普通教室棟</v>
      </c>
      <c r="K6234" s="7" t="str">
        <f>"鉄筋コンクリート造"</f>
        <v>鉄筋コンクリート造</v>
      </c>
      <c r="L6234" s="7" t="str">
        <f t="shared" ref="L6234:L6240" si="2285">"S49.03.28"</f>
        <v>S49.03.28</v>
      </c>
      <c r="M6234" s="7">
        <v>2609.9</v>
      </c>
      <c r="N6234" s="7">
        <v>394911576</v>
      </c>
      <c r="O6234" s="7">
        <v>289985492</v>
      </c>
      <c r="P6234" s="7">
        <v>0</v>
      </c>
      <c r="Q6234" s="7" t="str">
        <f t="shared" si="2259"/>
        <v>教育庁</v>
      </c>
      <c r="R6234" s="7" t="str">
        <f t="shared" ref="R6234:R6252" si="2286">"かわち野高等学校"</f>
        <v>かわち野高等学校</v>
      </c>
    </row>
    <row r="6235" spans="1:18" s="1" customFormat="1" x14ac:dyDescent="0.45">
      <c r="A6235" s="7" t="str">
        <f t="shared" si="2282"/>
        <v>10874000000</v>
      </c>
      <c r="B6235" s="7" t="str">
        <f t="shared" si="2283"/>
        <v>かわち野高等学校</v>
      </c>
      <c r="C6235" s="7" t="str">
        <f t="shared" si="2275"/>
        <v>行政財産</v>
      </c>
      <c r="D6235" s="7" t="str">
        <f t="shared" si="2268"/>
        <v>学校</v>
      </c>
      <c r="E6235" s="7" t="str">
        <f t="shared" si="2284"/>
        <v>大阪府東大阪市新庄４丁目</v>
      </c>
      <c r="F6235" s="7"/>
      <c r="G6235" s="7" t="str">
        <f t="shared" si="2281"/>
        <v>事業用資産</v>
      </c>
      <c r="H6235" s="7" t="str">
        <f t="shared" si="2274"/>
        <v>棚卸以外</v>
      </c>
      <c r="I6235" s="7">
        <v>2</v>
      </c>
      <c r="J6235" s="7" t="str">
        <f>"特別教室棟"</f>
        <v>特別教室棟</v>
      </c>
      <c r="K6235" s="7" t="str">
        <f>"鉄筋コンクリート造"</f>
        <v>鉄筋コンクリート造</v>
      </c>
      <c r="L6235" s="7" t="str">
        <f t="shared" si="2285"/>
        <v>S49.03.28</v>
      </c>
      <c r="M6235" s="7">
        <v>2564.86</v>
      </c>
      <c r="N6235" s="7">
        <v>299108050</v>
      </c>
      <c r="O6235" s="7">
        <v>224476855</v>
      </c>
      <c r="P6235" s="7">
        <v>0</v>
      </c>
      <c r="Q6235" s="7" t="str">
        <f t="shared" ref="Q6235:Q6298" si="2287">"教育庁"</f>
        <v>教育庁</v>
      </c>
      <c r="R6235" s="7" t="str">
        <f t="shared" si="2286"/>
        <v>かわち野高等学校</v>
      </c>
    </row>
    <row r="6236" spans="1:18" s="1" customFormat="1" x14ac:dyDescent="0.45">
      <c r="A6236" s="7" t="str">
        <f t="shared" si="2282"/>
        <v>10874000000</v>
      </c>
      <c r="B6236" s="7" t="str">
        <f t="shared" si="2283"/>
        <v>かわち野高等学校</v>
      </c>
      <c r="C6236" s="7" t="str">
        <f t="shared" si="2275"/>
        <v>行政財産</v>
      </c>
      <c r="D6236" s="7" t="str">
        <f t="shared" si="2268"/>
        <v>学校</v>
      </c>
      <c r="E6236" s="7" t="str">
        <f t="shared" si="2284"/>
        <v>大阪府東大阪市新庄４丁目</v>
      </c>
      <c r="F6236" s="7"/>
      <c r="G6236" s="7" t="str">
        <f t="shared" si="2281"/>
        <v>事業用資産</v>
      </c>
      <c r="H6236" s="7" t="str">
        <f t="shared" si="2274"/>
        <v>棚卸以外</v>
      </c>
      <c r="I6236" s="7">
        <v>3</v>
      </c>
      <c r="J6236" s="7" t="str">
        <f>"渡り廊下"</f>
        <v>渡り廊下</v>
      </c>
      <c r="K6236" s="7" t="str">
        <f>"鉄筋コンクリート造"</f>
        <v>鉄筋コンクリート造</v>
      </c>
      <c r="L6236" s="7" t="str">
        <f t="shared" si="2285"/>
        <v>S49.03.28</v>
      </c>
      <c r="M6236" s="7">
        <v>228.07</v>
      </c>
      <c r="N6236" s="7">
        <v>17678100</v>
      </c>
      <c r="O6236" s="7">
        <v>14542290</v>
      </c>
      <c r="P6236" s="7">
        <v>0</v>
      </c>
      <c r="Q6236" s="7" t="str">
        <f t="shared" si="2287"/>
        <v>教育庁</v>
      </c>
      <c r="R6236" s="7" t="str">
        <f t="shared" si="2286"/>
        <v>かわち野高等学校</v>
      </c>
    </row>
    <row r="6237" spans="1:18" s="1" customFormat="1" x14ac:dyDescent="0.45">
      <c r="A6237" s="7" t="str">
        <f t="shared" si="2282"/>
        <v>10874000000</v>
      </c>
      <c r="B6237" s="7" t="str">
        <f t="shared" si="2283"/>
        <v>かわち野高等学校</v>
      </c>
      <c r="C6237" s="7" t="str">
        <f t="shared" si="2275"/>
        <v>行政財産</v>
      </c>
      <c r="D6237" s="7" t="str">
        <f t="shared" si="2268"/>
        <v>学校</v>
      </c>
      <c r="E6237" s="7" t="str">
        <f t="shared" si="2284"/>
        <v>大阪府東大阪市新庄４丁目</v>
      </c>
      <c r="F6237" s="7"/>
      <c r="G6237" s="7" t="str">
        <f t="shared" si="2281"/>
        <v>事業用資産</v>
      </c>
      <c r="H6237" s="7" t="str">
        <f t="shared" si="2274"/>
        <v>棚卸以外</v>
      </c>
      <c r="I6237" s="7">
        <v>4</v>
      </c>
      <c r="J6237" s="7" t="str">
        <f>"倉庫"</f>
        <v>倉庫</v>
      </c>
      <c r="K6237" s="7" t="str">
        <f>"鉄骨造"</f>
        <v>鉄骨造</v>
      </c>
      <c r="L6237" s="7" t="str">
        <f t="shared" si="2285"/>
        <v>S49.03.28</v>
      </c>
      <c r="M6237" s="7">
        <v>70.680000000000007</v>
      </c>
      <c r="N6237" s="7">
        <v>2475000</v>
      </c>
      <c r="O6237" s="7">
        <v>2474999</v>
      </c>
      <c r="P6237" s="7">
        <v>0</v>
      </c>
      <c r="Q6237" s="7" t="str">
        <f t="shared" si="2287"/>
        <v>教育庁</v>
      </c>
      <c r="R6237" s="7" t="str">
        <f t="shared" si="2286"/>
        <v>かわち野高等学校</v>
      </c>
    </row>
    <row r="6238" spans="1:18" s="1" customFormat="1" x14ac:dyDescent="0.45">
      <c r="A6238" s="7" t="str">
        <f t="shared" si="2282"/>
        <v>10874000000</v>
      </c>
      <c r="B6238" s="7" t="str">
        <f t="shared" si="2283"/>
        <v>かわち野高等学校</v>
      </c>
      <c r="C6238" s="7" t="str">
        <f t="shared" si="2275"/>
        <v>行政財産</v>
      </c>
      <c r="D6238" s="7" t="str">
        <f t="shared" si="2268"/>
        <v>学校</v>
      </c>
      <c r="E6238" s="7" t="str">
        <f t="shared" si="2284"/>
        <v>大阪府東大阪市新庄４丁目</v>
      </c>
      <c r="F6238" s="7"/>
      <c r="G6238" s="7" t="str">
        <f t="shared" si="2281"/>
        <v>事業用資産</v>
      </c>
      <c r="H6238" s="7" t="str">
        <f t="shared" si="2274"/>
        <v>棚卸以外</v>
      </c>
      <c r="I6238" s="7">
        <v>5</v>
      </c>
      <c r="J6238" s="7" t="str">
        <f>"設備棟"</f>
        <v>設備棟</v>
      </c>
      <c r="K6238" s="7" t="str">
        <f>"鉄筋コンクリート造"</f>
        <v>鉄筋コンクリート造</v>
      </c>
      <c r="L6238" s="7" t="str">
        <f t="shared" si="2285"/>
        <v>S49.03.28</v>
      </c>
      <c r="M6238" s="7">
        <v>91.26</v>
      </c>
      <c r="N6238" s="7">
        <v>16687000</v>
      </c>
      <c r="O6238" s="7">
        <v>15358515</v>
      </c>
      <c r="P6238" s="7">
        <v>0</v>
      </c>
      <c r="Q6238" s="7" t="str">
        <f t="shared" si="2287"/>
        <v>教育庁</v>
      </c>
      <c r="R6238" s="7" t="str">
        <f t="shared" si="2286"/>
        <v>かわち野高等学校</v>
      </c>
    </row>
    <row r="6239" spans="1:18" s="1" customFormat="1" x14ac:dyDescent="0.45">
      <c r="A6239" s="7" t="str">
        <f t="shared" si="2282"/>
        <v>10874000000</v>
      </c>
      <c r="B6239" s="7" t="str">
        <f t="shared" si="2283"/>
        <v>かわち野高等学校</v>
      </c>
      <c r="C6239" s="7" t="str">
        <f t="shared" si="2275"/>
        <v>行政財産</v>
      </c>
      <c r="D6239" s="7" t="str">
        <f t="shared" si="2268"/>
        <v>学校</v>
      </c>
      <c r="E6239" s="7" t="str">
        <f t="shared" si="2284"/>
        <v>大阪府東大阪市新庄４丁目</v>
      </c>
      <c r="F6239" s="7"/>
      <c r="G6239" s="7" t="str">
        <f t="shared" si="2281"/>
        <v>事業用資産</v>
      </c>
      <c r="H6239" s="7" t="str">
        <f t="shared" si="2274"/>
        <v>棚卸以外</v>
      </c>
      <c r="I6239" s="7">
        <v>6</v>
      </c>
      <c r="J6239" s="7" t="str">
        <f>"汚水処理場"</f>
        <v>汚水処理場</v>
      </c>
      <c r="K6239" s="7" t="str">
        <f>"鉄筋コンクリート造"</f>
        <v>鉄筋コンクリート造</v>
      </c>
      <c r="L6239" s="7" t="str">
        <f t="shared" si="2285"/>
        <v>S49.03.28</v>
      </c>
      <c r="M6239" s="7">
        <v>29.67</v>
      </c>
      <c r="N6239" s="7">
        <v>24130000</v>
      </c>
      <c r="O6239" s="7">
        <v>22829499</v>
      </c>
      <c r="P6239" s="7">
        <v>0</v>
      </c>
      <c r="Q6239" s="7" t="str">
        <f t="shared" si="2287"/>
        <v>教育庁</v>
      </c>
      <c r="R6239" s="7" t="str">
        <f t="shared" si="2286"/>
        <v>かわち野高等学校</v>
      </c>
    </row>
    <row r="6240" spans="1:18" s="1" customFormat="1" x14ac:dyDescent="0.45">
      <c r="A6240" s="7" t="str">
        <f t="shared" si="2282"/>
        <v>10874000000</v>
      </c>
      <c r="B6240" s="7" t="str">
        <f t="shared" si="2283"/>
        <v>かわち野高等学校</v>
      </c>
      <c r="C6240" s="7" t="str">
        <f t="shared" si="2275"/>
        <v>行政財産</v>
      </c>
      <c r="D6240" s="7" t="str">
        <f t="shared" si="2268"/>
        <v>学校</v>
      </c>
      <c r="E6240" s="7" t="str">
        <f t="shared" si="2284"/>
        <v>大阪府東大阪市新庄４丁目</v>
      </c>
      <c r="F6240" s="7"/>
      <c r="G6240" s="7" t="str">
        <f t="shared" si="2281"/>
        <v>事業用資産</v>
      </c>
      <c r="H6240" s="7" t="str">
        <f t="shared" si="2274"/>
        <v>棚卸以外</v>
      </c>
      <c r="I6240" s="7">
        <v>7</v>
      </c>
      <c r="J6240" s="7" t="str">
        <f>"自転車置場"</f>
        <v>自転車置場</v>
      </c>
      <c r="K6240" s="7" t="str">
        <f>"鉄骨造"</f>
        <v>鉄骨造</v>
      </c>
      <c r="L6240" s="7" t="str">
        <f t="shared" si="2285"/>
        <v>S49.03.28</v>
      </c>
      <c r="M6240" s="7">
        <v>105</v>
      </c>
      <c r="N6240" s="7">
        <v>2158000</v>
      </c>
      <c r="O6240" s="7">
        <v>2157999</v>
      </c>
      <c r="P6240" s="7">
        <v>0</v>
      </c>
      <c r="Q6240" s="7" t="str">
        <f t="shared" si="2287"/>
        <v>教育庁</v>
      </c>
      <c r="R6240" s="7" t="str">
        <f t="shared" si="2286"/>
        <v>かわち野高等学校</v>
      </c>
    </row>
    <row r="6241" spans="1:18" s="1" customFormat="1" x14ac:dyDescent="0.45">
      <c r="A6241" s="7" t="str">
        <f t="shared" si="2282"/>
        <v>10874000000</v>
      </c>
      <c r="B6241" s="7" t="str">
        <f t="shared" si="2283"/>
        <v>かわち野高等学校</v>
      </c>
      <c r="C6241" s="7" t="str">
        <f t="shared" si="2275"/>
        <v>行政財産</v>
      </c>
      <c r="D6241" s="7" t="str">
        <f t="shared" si="2268"/>
        <v>学校</v>
      </c>
      <c r="E6241" s="7" t="str">
        <f t="shared" si="2284"/>
        <v>大阪府東大阪市新庄４丁目</v>
      </c>
      <c r="F6241" s="7"/>
      <c r="G6241" s="7" t="str">
        <f t="shared" si="2281"/>
        <v>事業用資産</v>
      </c>
      <c r="H6241" s="7" t="str">
        <f t="shared" si="2274"/>
        <v>棚卸以外</v>
      </c>
      <c r="I6241" s="7">
        <v>8</v>
      </c>
      <c r="J6241" s="7" t="str">
        <f>"普通教室棟"</f>
        <v>普通教室棟</v>
      </c>
      <c r="K6241" s="7" t="str">
        <f>"鉄筋コンクリート造"</f>
        <v>鉄筋コンクリート造</v>
      </c>
      <c r="L6241" s="7" t="str">
        <f>"S50.02.28"</f>
        <v>S50.02.28</v>
      </c>
      <c r="M6241" s="7">
        <v>1339.77</v>
      </c>
      <c r="N6241" s="7">
        <v>200174736</v>
      </c>
      <c r="O6241" s="7">
        <v>153615348</v>
      </c>
      <c r="P6241" s="7">
        <v>0</v>
      </c>
      <c r="Q6241" s="7" t="str">
        <f t="shared" si="2287"/>
        <v>教育庁</v>
      </c>
      <c r="R6241" s="7" t="str">
        <f t="shared" si="2286"/>
        <v>かわち野高等学校</v>
      </c>
    </row>
    <row r="6242" spans="1:18" s="1" customFormat="1" x14ac:dyDescent="0.45">
      <c r="A6242" s="7" t="str">
        <f t="shared" si="2282"/>
        <v>10874000000</v>
      </c>
      <c r="B6242" s="7" t="str">
        <f t="shared" si="2283"/>
        <v>かわち野高等学校</v>
      </c>
      <c r="C6242" s="7" t="str">
        <f t="shared" si="2275"/>
        <v>行政財産</v>
      </c>
      <c r="D6242" s="7" t="str">
        <f t="shared" si="2268"/>
        <v>学校</v>
      </c>
      <c r="E6242" s="7" t="str">
        <f t="shared" si="2284"/>
        <v>大阪府東大阪市新庄４丁目</v>
      </c>
      <c r="F6242" s="7"/>
      <c r="G6242" s="7" t="str">
        <f t="shared" si="2281"/>
        <v>事業用資産</v>
      </c>
      <c r="H6242" s="7" t="str">
        <f t="shared" si="2274"/>
        <v>棚卸以外</v>
      </c>
      <c r="I6242" s="7">
        <v>9</v>
      </c>
      <c r="J6242" s="7" t="str">
        <f>"特別教室棟"</f>
        <v>特別教室棟</v>
      </c>
      <c r="K6242" s="7" t="str">
        <f>"鉄筋コンクリート造"</f>
        <v>鉄筋コンクリート造</v>
      </c>
      <c r="L6242" s="7" t="str">
        <f>"S50.02.28"</f>
        <v>S50.02.28</v>
      </c>
      <c r="M6242" s="7">
        <v>3886.72</v>
      </c>
      <c r="N6242" s="7">
        <v>541864771</v>
      </c>
      <c r="O6242" s="7">
        <v>428562122</v>
      </c>
      <c r="P6242" s="7">
        <v>0</v>
      </c>
      <c r="Q6242" s="7" t="str">
        <f t="shared" si="2287"/>
        <v>教育庁</v>
      </c>
      <c r="R6242" s="7" t="str">
        <f t="shared" si="2286"/>
        <v>かわち野高等学校</v>
      </c>
    </row>
    <row r="6243" spans="1:18" s="1" customFormat="1" x14ac:dyDescent="0.45">
      <c r="A6243" s="7" t="str">
        <f t="shared" si="2282"/>
        <v>10874000000</v>
      </c>
      <c r="B6243" s="7" t="str">
        <f t="shared" si="2283"/>
        <v>かわち野高等学校</v>
      </c>
      <c r="C6243" s="7" t="str">
        <f t="shared" si="2275"/>
        <v>行政財産</v>
      </c>
      <c r="D6243" s="7" t="str">
        <f t="shared" si="2268"/>
        <v>学校</v>
      </c>
      <c r="E6243" s="7" t="str">
        <f t="shared" si="2284"/>
        <v>大阪府東大阪市新庄４丁目</v>
      </c>
      <c r="F6243" s="7"/>
      <c r="G6243" s="7" t="str">
        <f t="shared" si="2281"/>
        <v>事業用資産</v>
      </c>
      <c r="H6243" s="7" t="str">
        <f t="shared" si="2274"/>
        <v>棚卸以外</v>
      </c>
      <c r="I6243" s="7">
        <v>10</v>
      </c>
      <c r="J6243" s="7" t="str">
        <f>"渡り廊下"</f>
        <v>渡り廊下</v>
      </c>
      <c r="K6243" s="7" t="str">
        <f>"鉄筋コンクリート造"</f>
        <v>鉄筋コンクリート造</v>
      </c>
      <c r="L6243" s="7" t="str">
        <f>"S50.02.28"</f>
        <v>S50.02.28</v>
      </c>
      <c r="M6243" s="7">
        <v>253.47</v>
      </c>
      <c r="N6243" s="7">
        <v>36489143</v>
      </c>
      <c r="O6243" s="7">
        <v>29412957</v>
      </c>
      <c r="P6243" s="7">
        <v>0</v>
      </c>
      <c r="Q6243" s="7" t="str">
        <f t="shared" si="2287"/>
        <v>教育庁</v>
      </c>
      <c r="R6243" s="7" t="str">
        <f t="shared" si="2286"/>
        <v>かわち野高等学校</v>
      </c>
    </row>
    <row r="6244" spans="1:18" s="1" customFormat="1" x14ac:dyDescent="0.45">
      <c r="A6244" s="7" t="str">
        <f t="shared" si="2282"/>
        <v>10874000000</v>
      </c>
      <c r="B6244" s="7" t="str">
        <f t="shared" si="2283"/>
        <v>かわち野高等学校</v>
      </c>
      <c r="C6244" s="7" t="str">
        <f t="shared" si="2275"/>
        <v>行政財産</v>
      </c>
      <c r="D6244" s="7" t="str">
        <f t="shared" si="2268"/>
        <v>学校</v>
      </c>
      <c r="E6244" s="7" t="str">
        <f t="shared" si="2284"/>
        <v>大阪府東大阪市新庄４丁目</v>
      </c>
      <c r="F6244" s="7"/>
      <c r="G6244" s="7" t="str">
        <f t="shared" si="2281"/>
        <v>事業用資産</v>
      </c>
      <c r="H6244" s="7" t="str">
        <f t="shared" si="2274"/>
        <v>棚卸以外</v>
      </c>
      <c r="I6244" s="7">
        <v>11</v>
      </c>
      <c r="J6244" s="7" t="str">
        <f>"自転車置場"</f>
        <v>自転車置場</v>
      </c>
      <c r="K6244" s="7" t="str">
        <f>"鉄骨造"</f>
        <v>鉄骨造</v>
      </c>
      <c r="L6244" s="7" t="str">
        <f>"S50.02.28"</f>
        <v>S50.02.28</v>
      </c>
      <c r="M6244" s="7">
        <v>105</v>
      </c>
      <c r="N6244" s="7">
        <v>3601000</v>
      </c>
      <c r="O6244" s="7">
        <v>3600999</v>
      </c>
      <c r="P6244" s="7">
        <v>0</v>
      </c>
      <c r="Q6244" s="7" t="str">
        <f t="shared" si="2287"/>
        <v>教育庁</v>
      </c>
      <c r="R6244" s="7" t="str">
        <f t="shared" si="2286"/>
        <v>かわち野高等学校</v>
      </c>
    </row>
    <row r="6245" spans="1:18" s="1" customFormat="1" x14ac:dyDescent="0.45">
      <c r="A6245" s="7" t="str">
        <f t="shared" si="2282"/>
        <v>10874000000</v>
      </c>
      <c r="B6245" s="7" t="str">
        <f t="shared" si="2283"/>
        <v>かわち野高等学校</v>
      </c>
      <c r="C6245" s="7" t="str">
        <f t="shared" si="2275"/>
        <v>行政財産</v>
      </c>
      <c r="D6245" s="7" t="str">
        <f t="shared" si="2268"/>
        <v>学校</v>
      </c>
      <c r="E6245" s="7" t="str">
        <f t="shared" si="2284"/>
        <v>大阪府東大阪市新庄４丁目</v>
      </c>
      <c r="F6245" s="7"/>
      <c r="G6245" s="7" t="str">
        <f t="shared" si="2281"/>
        <v>事業用資産</v>
      </c>
      <c r="H6245" s="7" t="str">
        <f t="shared" si="2274"/>
        <v>棚卸以外</v>
      </c>
      <c r="I6245" s="7">
        <v>12</v>
      </c>
      <c r="J6245" s="7" t="str">
        <f>"体育館"</f>
        <v>体育館</v>
      </c>
      <c r="K6245" s="7" t="str">
        <f>"鉄筋コンクリート造"</f>
        <v>鉄筋コンクリート造</v>
      </c>
      <c r="L6245" s="7" t="str">
        <f>"S50.06.30"</f>
        <v>S50.06.30</v>
      </c>
      <c r="M6245" s="7">
        <v>2949.9</v>
      </c>
      <c r="N6245" s="7">
        <v>351448578</v>
      </c>
      <c r="O6245" s="7">
        <v>303746214</v>
      </c>
      <c r="P6245" s="7">
        <v>0</v>
      </c>
      <c r="Q6245" s="7" t="str">
        <f t="shared" si="2287"/>
        <v>教育庁</v>
      </c>
      <c r="R6245" s="7" t="str">
        <f t="shared" si="2286"/>
        <v>かわち野高等学校</v>
      </c>
    </row>
    <row r="6246" spans="1:18" s="1" customFormat="1" x14ac:dyDescent="0.45">
      <c r="A6246" s="7" t="str">
        <f t="shared" si="2282"/>
        <v>10874000000</v>
      </c>
      <c r="B6246" s="7" t="str">
        <f t="shared" si="2283"/>
        <v>かわち野高等学校</v>
      </c>
      <c r="C6246" s="7" t="str">
        <f t="shared" si="2275"/>
        <v>行政財産</v>
      </c>
      <c r="D6246" s="7" t="str">
        <f t="shared" si="2268"/>
        <v>学校</v>
      </c>
      <c r="E6246" s="7" t="str">
        <f t="shared" si="2284"/>
        <v>大阪府東大阪市新庄４丁目</v>
      </c>
      <c r="F6246" s="7"/>
      <c r="G6246" s="7" t="str">
        <f t="shared" si="2281"/>
        <v>事業用資産</v>
      </c>
      <c r="H6246" s="7" t="str">
        <f t="shared" si="2274"/>
        <v>棚卸以外</v>
      </c>
      <c r="I6246" s="7">
        <v>14</v>
      </c>
      <c r="J6246" s="7" t="str">
        <f>"プール附属棟"</f>
        <v>プール附属棟</v>
      </c>
      <c r="K6246" s="7" t="str">
        <f>"鉄筋コンクリート造"</f>
        <v>鉄筋コンクリート造</v>
      </c>
      <c r="L6246" s="7" t="str">
        <f>"S50.06.30"</f>
        <v>S50.06.30</v>
      </c>
      <c r="M6246" s="7">
        <v>138</v>
      </c>
      <c r="N6246" s="7">
        <v>22965000</v>
      </c>
      <c r="O6246" s="7">
        <v>22964999</v>
      </c>
      <c r="P6246" s="7">
        <v>0</v>
      </c>
      <c r="Q6246" s="7" t="str">
        <f t="shared" si="2287"/>
        <v>教育庁</v>
      </c>
      <c r="R6246" s="7" t="str">
        <f t="shared" si="2286"/>
        <v>かわち野高等学校</v>
      </c>
    </row>
    <row r="6247" spans="1:18" s="1" customFormat="1" x14ac:dyDescent="0.45">
      <c r="A6247" s="7" t="str">
        <f t="shared" si="2282"/>
        <v>10874000000</v>
      </c>
      <c r="B6247" s="7" t="str">
        <f t="shared" si="2283"/>
        <v>かわち野高等学校</v>
      </c>
      <c r="C6247" s="7" t="str">
        <f t="shared" si="2275"/>
        <v>行政財産</v>
      </c>
      <c r="D6247" s="7" t="str">
        <f t="shared" si="2268"/>
        <v>学校</v>
      </c>
      <c r="E6247" s="7" t="str">
        <f t="shared" si="2284"/>
        <v>大阪府東大阪市新庄４丁目</v>
      </c>
      <c r="F6247" s="7"/>
      <c r="G6247" s="7" t="str">
        <f t="shared" si="2281"/>
        <v>事業用資産</v>
      </c>
      <c r="H6247" s="7" t="str">
        <f t="shared" si="2274"/>
        <v>棚卸以外</v>
      </c>
      <c r="I6247" s="7">
        <v>15</v>
      </c>
      <c r="J6247" s="7" t="str">
        <f>"下足室"</f>
        <v>下足室</v>
      </c>
      <c r="K6247" s="7" t="str">
        <f>"鉄骨造"</f>
        <v>鉄骨造</v>
      </c>
      <c r="L6247" s="7" t="str">
        <f>"S50.06.30"</f>
        <v>S50.06.30</v>
      </c>
      <c r="M6247" s="7">
        <v>270.82</v>
      </c>
      <c r="N6247" s="7">
        <v>18031000</v>
      </c>
      <c r="O6247" s="7">
        <v>14903581</v>
      </c>
      <c r="P6247" s="7">
        <v>0</v>
      </c>
      <c r="Q6247" s="7" t="str">
        <f t="shared" si="2287"/>
        <v>教育庁</v>
      </c>
      <c r="R6247" s="7" t="str">
        <f t="shared" si="2286"/>
        <v>かわち野高等学校</v>
      </c>
    </row>
    <row r="6248" spans="1:18" s="1" customFormat="1" x14ac:dyDescent="0.45">
      <c r="A6248" s="7" t="str">
        <f t="shared" si="2282"/>
        <v>10874000000</v>
      </c>
      <c r="B6248" s="7" t="str">
        <f t="shared" si="2283"/>
        <v>かわち野高等学校</v>
      </c>
      <c r="C6248" s="7" t="str">
        <f t="shared" si="2275"/>
        <v>行政財産</v>
      </c>
      <c r="D6248" s="7" t="str">
        <f t="shared" si="2268"/>
        <v>学校</v>
      </c>
      <c r="E6248" s="7" t="str">
        <f t="shared" si="2284"/>
        <v>大阪府東大阪市新庄４丁目</v>
      </c>
      <c r="F6248" s="7"/>
      <c r="G6248" s="7" t="str">
        <f t="shared" si="2281"/>
        <v>事業用資産</v>
      </c>
      <c r="H6248" s="7" t="str">
        <f t="shared" si="2274"/>
        <v>棚卸以外</v>
      </c>
      <c r="I6248" s="7">
        <v>16</v>
      </c>
      <c r="J6248" s="7" t="str">
        <f>"普通教室棟"</f>
        <v>普通教室棟</v>
      </c>
      <c r="K6248" s="7" t="str">
        <f>"鉄筋コンクリート造"</f>
        <v>鉄筋コンクリート造</v>
      </c>
      <c r="L6248" s="7" t="str">
        <f>"S51.02.28"</f>
        <v>S51.02.28</v>
      </c>
      <c r="M6248" s="7">
        <v>1897.37</v>
      </c>
      <c r="N6248" s="7">
        <v>219066950</v>
      </c>
      <c r="O6248" s="7">
        <v>175445504</v>
      </c>
      <c r="P6248" s="7">
        <v>0</v>
      </c>
      <c r="Q6248" s="7" t="str">
        <f t="shared" si="2287"/>
        <v>教育庁</v>
      </c>
      <c r="R6248" s="7" t="str">
        <f t="shared" si="2286"/>
        <v>かわち野高等学校</v>
      </c>
    </row>
    <row r="6249" spans="1:18" s="1" customFormat="1" x14ac:dyDescent="0.45">
      <c r="A6249" s="7" t="str">
        <f t="shared" si="2282"/>
        <v>10874000000</v>
      </c>
      <c r="B6249" s="7" t="str">
        <f t="shared" si="2283"/>
        <v>かわち野高等学校</v>
      </c>
      <c r="C6249" s="7" t="str">
        <f t="shared" si="2275"/>
        <v>行政財産</v>
      </c>
      <c r="D6249" s="7" t="str">
        <f t="shared" si="2268"/>
        <v>学校</v>
      </c>
      <c r="E6249" s="7" t="str">
        <f t="shared" si="2284"/>
        <v>大阪府東大阪市新庄４丁目</v>
      </c>
      <c r="F6249" s="7"/>
      <c r="G6249" s="7" t="str">
        <f t="shared" si="2281"/>
        <v>事業用資産</v>
      </c>
      <c r="H6249" s="7" t="str">
        <f t="shared" si="2274"/>
        <v>棚卸以外</v>
      </c>
      <c r="I6249" s="7">
        <v>19</v>
      </c>
      <c r="J6249" s="7" t="str">
        <f>"自転車置場"</f>
        <v>自転車置場</v>
      </c>
      <c r="K6249" s="7" t="str">
        <f>"鉄骨造"</f>
        <v>鉄骨造</v>
      </c>
      <c r="L6249" s="7" t="str">
        <f>"S51.03.31"</f>
        <v>S51.03.31</v>
      </c>
      <c r="M6249" s="7">
        <v>37.5</v>
      </c>
      <c r="N6249" s="7">
        <v>1430000</v>
      </c>
      <c r="O6249" s="7">
        <v>1429999</v>
      </c>
      <c r="P6249" s="7">
        <v>0</v>
      </c>
      <c r="Q6249" s="7" t="str">
        <f t="shared" si="2287"/>
        <v>教育庁</v>
      </c>
      <c r="R6249" s="7" t="str">
        <f t="shared" si="2286"/>
        <v>かわち野高等学校</v>
      </c>
    </row>
    <row r="6250" spans="1:18" s="1" customFormat="1" x14ac:dyDescent="0.45">
      <c r="A6250" s="7" t="str">
        <f t="shared" si="2282"/>
        <v>10874000000</v>
      </c>
      <c r="B6250" s="7" t="str">
        <f t="shared" si="2283"/>
        <v>かわち野高等学校</v>
      </c>
      <c r="C6250" s="7" t="str">
        <f t="shared" si="2275"/>
        <v>行政財産</v>
      </c>
      <c r="D6250" s="7" t="str">
        <f t="shared" si="2268"/>
        <v>学校</v>
      </c>
      <c r="E6250" s="7" t="str">
        <f t="shared" si="2284"/>
        <v>大阪府東大阪市新庄４丁目</v>
      </c>
      <c r="F6250" s="7"/>
      <c r="G6250" s="7" t="str">
        <f t="shared" si="2281"/>
        <v>事業用資産</v>
      </c>
      <c r="H6250" s="7" t="str">
        <f t="shared" si="2274"/>
        <v>棚卸以外</v>
      </c>
      <c r="I6250" s="7">
        <v>20</v>
      </c>
      <c r="J6250" s="7" t="str">
        <f>"自転車置場"</f>
        <v>自転車置場</v>
      </c>
      <c r="K6250" s="7" t="str">
        <f>"鉄骨造"</f>
        <v>鉄骨造</v>
      </c>
      <c r="L6250" s="7" t="str">
        <f>"S51.03.31"</f>
        <v>S51.03.31</v>
      </c>
      <c r="M6250" s="7">
        <v>45</v>
      </c>
      <c r="N6250" s="7">
        <v>1716000</v>
      </c>
      <c r="O6250" s="7">
        <v>1715999</v>
      </c>
      <c r="P6250" s="7">
        <v>0</v>
      </c>
      <c r="Q6250" s="7" t="str">
        <f t="shared" si="2287"/>
        <v>教育庁</v>
      </c>
      <c r="R6250" s="7" t="str">
        <f t="shared" si="2286"/>
        <v>かわち野高等学校</v>
      </c>
    </row>
    <row r="6251" spans="1:18" s="1" customFormat="1" x14ac:dyDescent="0.45">
      <c r="A6251" s="7" t="str">
        <f t="shared" si="2282"/>
        <v>10874000000</v>
      </c>
      <c r="B6251" s="7" t="str">
        <f t="shared" si="2283"/>
        <v>かわち野高等学校</v>
      </c>
      <c r="C6251" s="7" t="str">
        <f t="shared" si="2275"/>
        <v>行政財産</v>
      </c>
      <c r="D6251" s="7" t="str">
        <f t="shared" si="2268"/>
        <v>学校</v>
      </c>
      <c r="E6251" s="7" t="str">
        <f t="shared" si="2284"/>
        <v>大阪府東大阪市新庄４丁目</v>
      </c>
      <c r="F6251" s="7"/>
      <c r="G6251" s="7" t="str">
        <f t="shared" si="2281"/>
        <v>事業用資産</v>
      </c>
      <c r="H6251" s="7" t="str">
        <f t="shared" si="2274"/>
        <v>棚卸以外</v>
      </c>
      <c r="I6251" s="7">
        <v>21</v>
      </c>
      <c r="J6251" s="7" t="str">
        <f>"倉庫"</f>
        <v>倉庫</v>
      </c>
      <c r="K6251" s="7" t="str">
        <f>"鉄骨造"</f>
        <v>鉄骨造</v>
      </c>
      <c r="L6251" s="7" t="str">
        <f>"S52.01.24"</f>
        <v>S52.01.24</v>
      </c>
      <c r="M6251" s="7">
        <v>80</v>
      </c>
      <c r="N6251" s="7">
        <v>4516000</v>
      </c>
      <c r="O6251" s="7">
        <v>4515999</v>
      </c>
      <c r="P6251" s="7">
        <v>0</v>
      </c>
      <c r="Q6251" s="7" t="str">
        <f t="shared" si="2287"/>
        <v>教育庁</v>
      </c>
      <c r="R6251" s="7" t="str">
        <f t="shared" si="2286"/>
        <v>かわち野高等学校</v>
      </c>
    </row>
    <row r="6252" spans="1:18" s="1" customFormat="1" x14ac:dyDescent="0.45">
      <c r="A6252" s="7" t="str">
        <f t="shared" si="2282"/>
        <v>10874000000</v>
      </c>
      <c r="B6252" s="7" t="str">
        <f t="shared" si="2283"/>
        <v>かわち野高等学校</v>
      </c>
      <c r="C6252" s="7" t="str">
        <f t="shared" si="2275"/>
        <v>行政財産</v>
      </c>
      <c r="D6252" s="7" t="str">
        <f t="shared" si="2268"/>
        <v>学校</v>
      </c>
      <c r="E6252" s="7" t="str">
        <f t="shared" si="2284"/>
        <v>大阪府東大阪市新庄４丁目</v>
      </c>
      <c r="F6252" s="7"/>
      <c r="G6252" s="7" t="str">
        <f t="shared" si="2281"/>
        <v>事業用資産</v>
      </c>
      <c r="H6252" s="7" t="str">
        <f t="shared" si="2274"/>
        <v>棚卸以外</v>
      </c>
      <c r="I6252" s="7">
        <v>22</v>
      </c>
      <c r="J6252" s="7" t="str">
        <f>"倉庫"</f>
        <v>倉庫</v>
      </c>
      <c r="K6252" s="7" t="str">
        <f>"鉄骨造"</f>
        <v>鉄骨造</v>
      </c>
      <c r="L6252" s="7" t="str">
        <f>"S55.10.14"</f>
        <v>S55.10.14</v>
      </c>
      <c r="M6252" s="7">
        <v>64</v>
      </c>
      <c r="N6252" s="7">
        <v>4074000</v>
      </c>
      <c r="O6252" s="7">
        <v>4073999</v>
      </c>
      <c r="P6252" s="7">
        <v>0</v>
      </c>
      <c r="Q6252" s="7" t="str">
        <f t="shared" si="2287"/>
        <v>教育庁</v>
      </c>
      <c r="R6252" s="7" t="str">
        <f t="shared" si="2286"/>
        <v>かわち野高等学校</v>
      </c>
    </row>
    <row r="6253" spans="1:18" s="1" customFormat="1" x14ac:dyDescent="0.45">
      <c r="A6253" s="7" t="str">
        <f t="shared" ref="A6253:A6272" si="2288">"10934000000"</f>
        <v>10934000000</v>
      </c>
      <c r="B6253" s="7" t="str">
        <f t="shared" ref="B6253:B6272" si="2289">"成城高等学校"</f>
        <v>成城高等学校</v>
      </c>
      <c r="C6253" s="7" t="str">
        <f t="shared" si="2275"/>
        <v>行政財産</v>
      </c>
      <c r="D6253" s="7" t="str">
        <f t="shared" si="2268"/>
        <v>学校</v>
      </c>
      <c r="E6253" s="7" t="str">
        <f t="shared" ref="E6253:E6272" si="2290">"大阪府大阪市　城東区諏訪３丁目"</f>
        <v>大阪府大阪市　城東区諏訪３丁目</v>
      </c>
      <c r="F6253" s="7"/>
      <c r="G6253" s="7" t="str">
        <f t="shared" si="2281"/>
        <v>事業用資産</v>
      </c>
      <c r="H6253" s="7" t="str">
        <f t="shared" si="2274"/>
        <v>棚卸以外</v>
      </c>
      <c r="I6253" s="7">
        <v>1</v>
      </c>
      <c r="J6253" s="7" t="str">
        <f>"本館（南館）"</f>
        <v>本館（南館）</v>
      </c>
      <c r="K6253" s="7" t="str">
        <f>"鉄筋コンクリート造"</f>
        <v>鉄筋コンクリート造</v>
      </c>
      <c r="L6253" s="7" t="str">
        <f>"S34.03.31"</f>
        <v>S34.03.31</v>
      </c>
      <c r="M6253" s="7">
        <v>3032.39</v>
      </c>
      <c r="N6253" s="7">
        <v>315313319</v>
      </c>
      <c r="O6253" s="7">
        <v>127220879</v>
      </c>
      <c r="P6253" s="7">
        <v>0</v>
      </c>
      <c r="Q6253" s="7" t="str">
        <f t="shared" si="2287"/>
        <v>教育庁</v>
      </c>
      <c r="R6253" s="7" t="str">
        <f t="shared" ref="R6253:R6272" si="2291">"成城高等学校"</f>
        <v>成城高等学校</v>
      </c>
    </row>
    <row r="6254" spans="1:18" s="1" customFormat="1" ht="26.4" x14ac:dyDescent="0.45">
      <c r="A6254" s="7" t="str">
        <f t="shared" si="2288"/>
        <v>10934000000</v>
      </c>
      <c r="B6254" s="7" t="str">
        <f t="shared" si="2289"/>
        <v>成城高等学校</v>
      </c>
      <c r="C6254" s="7" t="str">
        <f t="shared" si="2275"/>
        <v>行政財産</v>
      </c>
      <c r="D6254" s="7" t="str">
        <f t="shared" si="2268"/>
        <v>学校</v>
      </c>
      <c r="E6254" s="7" t="str">
        <f t="shared" si="2290"/>
        <v>大阪府大阪市　城東区諏訪３丁目</v>
      </c>
      <c r="F6254" s="7"/>
      <c r="G6254" s="7" t="str">
        <f t="shared" si="2281"/>
        <v>事業用資産</v>
      </c>
      <c r="H6254" s="7" t="str">
        <f t="shared" si="2274"/>
        <v>棚卸以外</v>
      </c>
      <c r="I6254" s="7">
        <v>2</v>
      </c>
      <c r="J6254" s="7" t="str">
        <f>"機械実習棟"</f>
        <v>機械実習棟</v>
      </c>
      <c r="K6254" s="7" t="str">
        <f>"鉄骨鉄筋コンクリート造"</f>
        <v>鉄骨鉄筋コンクリート造</v>
      </c>
      <c r="L6254" s="7" t="str">
        <f>"S34.03.31"</f>
        <v>S34.03.31</v>
      </c>
      <c r="M6254" s="7">
        <v>929.61</v>
      </c>
      <c r="N6254" s="7">
        <v>83422750</v>
      </c>
      <c r="O6254" s="7">
        <v>40956189</v>
      </c>
      <c r="P6254" s="7">
        <v>0</v>
      </c>
      <c r="Q6254" s="7" t="str">
        <f t="shared" si="2287"/>
        <v>教育庁</v>
      </c>
      <c r="R6254" s="7" t="str">
        <f t="shared" si="2291"/>
        <v>成城高等学校</v>
      </c>
    </row>
    <row r="6255" spans="1:18" s="1" customFormat="1" x14ac:dyDescent="0.45">
      <c r="A6255" s="7" t="str">
        <f t="shared" si="2288"/>
        <v>10934000000</v>
      </c>
      <c r="B6255" s="7" t="str">
        <f t="shared" si="2289"/>
        <v>成城高等学校</v>
      </c>
      <c r="C6255" s="7" t="str">
        <f t="shared" si="2275"/>
        <v>行政財産</v>
      </c>
      <c r="D6255" s="7" t="str">
        <f t="shared" si="2268"/>
        <v>学校</v>
      </c>
      <c r="E6255" s="7" t="str">
        <f t="shared" si="2290"/>
        <v>大阪府大阪市　城東区諏訪３丁目</v>
      </c>
      <c r="F6255" s="7"/>
      <c r="G6255" s="7" t="str">
        <f t="shared" si="2281"/>
        <v>事業用資産</v>
      </c>
      <c r="H6255" s="7" t="str">
        <f t="shared" si="2274"/>
        <v>棚卸以外</v>
      </c>
      <c r="I6255" s="7">
        <v>7</v>
      </c>
      <c r="J6255" s="7" t="str">
        <f>"体育館"</f>
        <v>体育館</v>
      </c>
      <c r="K6255" s="7" t="str">
        <f>"鉄筋コンクリート造"</f>
        <v>鉄筋コンクリート造</v>
      </c>
      <c r="L6255" s="7" t="str">
        <f>"S37.03.31"</f>
        <v>S37.03.31</v>
      </c>
      <c r="M6255" s="7">
        <v>1389.98</v>
      </c>
      <c r="N6255" s="7">
        <v>349651108</v>
      </c>
      <c r="O6255" s="7">
        <v>62263392</v>
      </c>
      <c r="P6255" s="7">
        <v>0</v>
      </c>
      <c r="Q6255" s="7" t="str">
        <f t="shared" si="2287"/>
        <v>教育庁</v>
      </c>
      <c r="R6255" s="7" t="str">
        <f t="shared" si="2291"/>
        <v>成城高等学校</v>
      </c>
    </row>
    <row r="6256" spans="1:18" s="1" customFormat="1" x14ac:dyDescent="0.45">
      <c r="A6256" s="7" t="str">
        <f t="shared" si="2288"/>
        <v>10934000000</v>
      </c>
      <c r="B6256" s="7" t="str">
        <f t="shared" si="2289"/>
        <v>成城高等学校</v>
      </c>
      <c r="C6256" s="7" t="str">
        <f t="shared" si="2275"/>
        <v>行政財産</v>
      </c>
      <c r="D6256" s="7" t="str">
        <f t="shared" si="2268"/>
        <v>学校</v>
      </c>
      <c r="E6256" s="7" t="str">
        <f t="shared" si="2290"/>
        <v>大阪府大阪市　城東区諏訪３丁目</v>
      </c>
      <c r="F6256" s="7"/>
      <c r="G6256" s="7" t="str">
        <f t="shared" si="2281"/>
        <v>事業用資産</v>
      </c>
      <c r="H6256" s="7" t="str">
        <f t="shared" si="2274"/>
        <v>棚卸以外</v>
      </c>
      <c r="I6256" s="7">
        <v>18</v>
      </c>
      <c r="J6256" s="7" t="str">
        <f>"機械渡り廊下"</f>
        <v>機械渡り廊下</v>
      </c>
      <c r="K6256" s="7" t="str">
        <f>"軽量鉄骨造"</f>
        <v>軽量鉄骨造</v>
      </c>
      <c r="L6256" s="7" t="str">
        <f>"S34.03.31"</f>
        <v>S34.03.31</v>
      </c>
      <c r="M6256" s="7">
        <v>123.05</v>
      </c>
      <c r="N6256" s="7">
        <v>505378</v>
      </c>
      <c r="O6256" s="7">
        <v>503607</v>
      </c>
      <c r="P6256" s="7">
        <v>0</v>
      </c>
      <c r="Q6256" s="7" t="str">
        <f t="shared" si="2287"/>
        <v>教育庁</v>
      </c>
      <c r="R6256" s="7" t="str">
        <f t="shared" si="2291"/>
        <v>成城高等学校</v>
      </c>
    </row>
    <row r="6257" spans="1:18" s="1" customFormat="1" x14ac:dyDescent="0.45">
      <c r="A6257" s="7" t="str">
        <f t="shared" si="2288"/>
        <v>10934000000</v>
      </c>
      <c r="B6257" s="7" t="str">
        <f t="shared" si="2289"/>
        <v>成城高等学校</v>
      </c>
      <c r="C6257" s="7" t="str">
        <f t="shared" si="2275"/>
        <v>行政財産</v>
      </c>
      <c r="D6257" s="7" t="str">
        <f t="shared" si="2268"/>
        <v>学校</v>
      </c>
      <c r="E6257" s="7" t="str">
        <f t="shared" si="2290"/>
        <v>大阪府大阪市　城東区諏訪３丁目</v>
      </c>
      <c r="F6257" s="7"/>
      <c r="G6257" s="7" t="str">
        <f t="shared" si="2281"/>
        <v>事業用資産</v>
      </c>
      <c r="H6257" s="7" t="str">
        <f t="shared" si="2274"/>
        <v>棚卸以外</v>
      </c>
      <c r="I6257" s="7">
        <v>19</v>
      </c>
      <c r="J6257" s="7" t="str">
        <f>"西渡り廊下"</f>
        <v>西渡り廊下</v>
      </c>
      <c r="K6257" s="7" t="str">
        <f>"鉄筋コンクリート造"</f>
        <v>鉄筋コンクリート造</v>
      </c>
      <c r="L6257" s="7" t="str">
        <f>"S37.03.31"</f>
        <v>S37.03.31</v>
      </c>
      <c r="M6257" s="7">
        <v>145.53</v>
      </c>
      <c r="N6257" s="7">
        <v>10852251</v>
      </c>
      <c r="O6257" s="7">
        <v>4974177</v>
      </c>
      <c r="P6257" s="7">
        <v>0</v>
      </c>
      <c r="Q6257" s="7" t="str">
        <f t="shared" si="2287"/>
        <v>教育庁</v>
      </c>
      <c r="R6257" s="7" t="str">
        <f t="shared" si="2291"/>
        <v>成城高等学校</v>
      </c>
    </row>
    <row r="6258" spans="1:18" s="1" customFormat="1" x14ac:dyDescent="0.45">
      <c r="A6258" s="7" t="str">
        <f t="shared" si="2288"/>
        <v>10934000000</v>
      </c>
      <c r="B6258" s="7" t="str">
        <f t="shared" si="2289"/>
        <v>成城高等学校</v>
      </c>
      <c r="C6258" s="7" t="str">
        <f t="shared" si="2275"/>
        <v>行政財産</v>
      </c>
      <c r="D6258" s="7" t="str">
        <f t="shared" si="2268"/>
        <v>学校</v>
      </c>
      <c r="E6258" s="7" t="str">
        <f t="shared" si="2290"/>
        <v>大阪府大阪市　城東区諏訪３丁目</v>
      </c>
      <c r="F6258" s="7"/>
      <c r="G6258" s="7" t="str">
        <f t="shared" si="2281"/>
        <v>事業用資産</v>
      </c>
      <c r="H6258" s="7" t="str">
        <f t="shared" si="2274"/>
        <v>棚卸以外</v>
      </c>
      <c r="I6258" s="7">
        <v>37</v>
      </c>
      <c r="J6258" s="7" t="str">
        <f>"食堂"</f>
        <v>食堂</v>
      </c>
      <c r="K6258" s="7" t="str">
        <f>"鉄骨造"</f>
        <v>鉄骨造</v>
      </c>
      <c r="L6258" s="7" t="str">
        <f>"S50.07.12"</f>
        <v>S50.07.12</v>
      </c>
      <c r="M6258" s="7">
        <v>461.29</v>
      </c>
      <c r="N6258" s="7">
        <v>83211192</v>
      </c>
      <c r="O6258" s="7">
        <v>63203321</v>
      </c>
      <c r="P6258" s="7">
        <v>0</v>
      </c>
      <c r="Q6258" s="7" t="str">
        <f t="shared" si="2287"/>
        <v>教育庁</v>
      </c>
      <c r="R6258" s="7" t="str">
        <f t="shared" si="2291"/>
        <v>成城高等学校</v>
      </c>
    </row>
    <row r="6259" spans="1:18" s="1" customFormat="1" x14ac:dyDescent="0.45">
      <c r="A6259" s="7" t="str">
        <f t="shared" si="2288"/>
        <v>10934000000</v>
      </c>
      <c r="B6259" s="7" t="str">
        <f t="shared" si="2289"/>
        <v>成城高等学校</v>
      </c>
      <c r="C6259" s="7" t="str">
        <f t="shared" si="2275"/>
        <v>行政財産</v>
      </c>
      <c r="D6259" s="7" t="str">
        <f t="shared" si="2268"/>
        <v>学校</v>
      </c>
      <c r="E6259" s="7" t="str">
        <f t="shared" si="2290"/>
        <v>大阪府大阪市　城東区諏訪３丁目</v>
      </c>
      <c r="F6259" s="7"/>
      <c r="G6259" s="7" t="str">
        <f t="shared" si="2281"/>
        <v>事業用資産</v>
      </c>
      <c r="H6259" s="7" t="str">
        <f t="shared" si="2274"/>
        <v>棚卸以外</v>
      </c>
      <c r="I6259" s="7">
        <v>40</v>
      </c>
      <c r="J6259" s="7" t="str">
        <f>"製図実習棟"</f>
        <v>製図実習棟</v>
      </c>
      <c r="K6259" s="7" t="str">
        <f>"土蔵造(簡易建物)"</f>
        <v>土蔵造(簡易建物)</v>
      </c>
      <c r="L6259" s="7" t="str">
        <f>"S59.08.31"</f>
        <v>S59.08.31</v>
      </c>
      <c r="M6259" s="7">
        <v>162</v>
      </c>
      <c r="N6259" s="7">
        <v>14846495</v>
      </c>
      <c r="O6259" s="7">
        <v>13920165</v>
      </c>
      <c r="P6259" s="7">
        <v>0</v>
      </c>
      <c r="Q6259" s="7" t="str">
        <f t="shared" si="2287"/>
        <v>教育庁</v>
      </c>
      <c r="R6259" s="7" t="str">
        <f t="shared" si="2291"/>
        <v>成城高等学校</v>
      </c>
    </row>
    <row r="6260" spans="1:18" s="1" customFormat="1" x14ac:dyDescent="0.45">
      <c r="A6260" s="7" t="str">
        <f t="shared" si="2288"/>
        <v>10934000000</v>
      </c>
      <c r="B6260" s="7" t="str">
        <f t="shared" si="2289"/>
        <v>成城高等学校</v>
      </c>
      <c r="C6260" s="7" t="str">
        <f t="shared" si="2275"/>
        <v>行政財産</v>
      </c>
      <c r="D6260" s="7" t="str">
        <f t="shared" si="2268"/>
        <v>学校</v>
      </c>
      <c r="E6260" s="7" t="str">
        <f t="shared" si="2290"/>
        <v>大阪府大阪市　城東区諏訪３丁目</v>
      </c>
      <c r="F6260" s="7"/>
      <c r="G6260" s="7" t="str">
        <f t="shared" si="2281"/>
        <v>事業用資産</v>
      </c>
      <c r="H6260" s="7" t="str">
        <f t="shared" si="2274"/>
        <v>棚卸以外</v>
      </c>
      <c r="I6260" s="7">
        <v>42</v>
      </c>
      <c r="J6260" s="7" t="str">
        <f>"家庭科棟"</f>
        <v>家庭科棟</v>
      </c>
      <c r="K6260" s="7" t="str">
        <f>"鉄骨造"</f>
        <v>鉄骨造</v>
      </c>
      <c r="L6260" s="7" t="str">
        <f>"H07.06.30"</f>
        <v>H07.06.30</v>
      </c>
      <c r="M6260" s="7">
        <v>417.41</v>
      </c>
      <c r="N6260" s="7">
        <v>96169280</v>
      </c>
      <c r="O6260" s="7">
        <v>76364550</v>
      </c>
      <c r="P6260" s="7">
        <v>0</v>
      </c>
      <c r="Q6260" s="7" t="str">
        <f t="shared" si="2287"/>
        <v>教育庁</v>
      </c>
      <c r="R6260" s="7" t="str">
        <f t="shared" si="2291"/>
        <v>成城高等学校</v>
      </c>
    </row>
    <row r="6261" spans="1:18" s="1" customFormat="1" x14ac:dyDescent="0.45">
      <c r="A6261" s="7" t="str">
        <f t="shared" si="2288"/>
        <v>10934000000</v>
      </c>
      <c r="B6261" s="7" t="str">
        <f t="shared" si="2289"/>
        <v>成城高等学校</v>
      </c>
      <c r="C6261" s="7" t="str">
        <f t="shared" si="2275"/>
        <v>行政財産</v>
      </c>
      <c r="D6261" s="7" t="str">
        <f t="shared" si="2268"/>
        <v>学校</v>
      </c>
      <c r="E6261" s="7" t="str">
        <f t="shared" si="2290"/>
        <v>大阪府大阪市　城東区諏訪３丁目</v>
      </c>
      <c r="F6261" s="7"/>
      <c r="G6261" s="7" t="str">
        <f t="shared" si="2281"/>
        <v>事業用資産</v>
      </c>
      <c r="H6261" s="7" t="str">
        <f t="shared" si="2274"/>
        <v>棚卸以外</v>
      </c>
      <c r="I6261" s="7">
        <v>43</v>
      </c>
      <c r="J6261" s="7" t="str">
        <f>"倉庫棟（第１運動部クラブ室）"</f>
        <v>倉庫棟（第１運動部クラブ室）</v>
      </c>
      <c r="K6261" s="7" t="str">
        <f>"鉄骨造"</f>
        <v>鉄骨造</v>
      </c>
      <c r="L6261" s="7" t="str">
        <f>"H07.06.30"</f>
        <v>H07.06.30</v>
      </c>
      <c r="M6261" s="7">
        <v>77.97</v>
      </c>
      <c r="N6261" s="7">
        <v>16211000</v>
      </c>
      <c r="O6261" s="7">
        <v>14511474</v>
      </c>
      <c r="P6261" s="7">
        <v>0</v>
      </c>
      <c r="Q6261" s="7" t="str">
        <f t="shared" si="2287"/>
        <v>教育庁</v>
      </c>
      <c r="R6261" s="7" t="str">
        <f t="shared" si="2291"/>
        <v>成城高等学校</v>
      </c>
    </row>
    <row r="6262" spans="1:18" s="1" customFormat="1" x14ac:dyDescent="0.45">
      <c r="A6262" s="7" t="str">
        <f t="shared" si="2288"/>
        <v>10934000000</v>
      </c>
      <c r="B6262" s="7" t="str">
        <f t="shared" si="2289"/>
        <v>成城高等学校</v>
      </c>
      <c r="C6262" s="7" t="str">
        <f t="shared" si="2275"/>
        <v>行政財産</v>
      </c>
      <c r="D6262" s="7" t="str">
        <f t="shared" si="2268"/>
        <v>学校</v>
      </c>
      <c r="E6262" s="7" t="str">
        <f t="shared" si="2290"/>
        <v>大阪府大阪市　城東区諏訪３丁目</v>
      </c>
      <c r="F6262" s="7"/>
      <c r="G6262" s="7" t="str">
        <f t="shared" si="2281"/>
        <v>事業用資産</v>
      </c>
      <c r="H6262" s="7" t="str">
        <f t="shared" si="2274"/>
        <v>棚卸以外</v>
      </c>
      <c r="I6262" s="7">
        <v>45</v>
      </c>
      <c r="J6262" s="7" t="str">
        <f>"特別教室棟"</f>
        <v>特別教室棟</v>
      </c>
      <c r="K6262" s="7" t="str">
        <f>"鉄骨造"</f>
        <v>鉄骨造</v>
      </c>
      <c r="L6262" s="7" t="str">
        <f>"H19.02.28"</f>
        <v>H19.02.28</v>
      </c>
      <c r="M6262" s="7">
        <v>554.24</v>
      </c>
      <c r="N6262" s="7">
        <v>95082887</v>
      </c>
      <c r="O6262" s="7">
        <v>45575363</v>
      </c>
      <c r="P6262" s="7">
        <v>0</v>
      </c>
      <c r="Q6262" s="7" t="str">
        <f t="shared" si="2287"/>
        <v>教育庁</v>
      </c>
      <c r="R6262" s="7" t="str">
        <f t="shared" si="2291"/>
        <v>成城高等学校</v>
      </c>
    </row>
    <row r="6263" spans="1:18" s="1" customFormat="1" x14ac:dyDescent="0.45">
      <c r="A6263" s="7" t="str">
        <f t="shared" si="2288"/>
        <v>10934000000</v>
      </c>
      <c r="B6263" s="7" t="str">
        <f t="shared" si="2289"/>
        <v>成城高等学校</v>
      </c>
      <c r="C6263" s="7" t="str">
        <f t="shared" si="2275"/>
        <v>行政財産</v>
      </c>
      <c r="D6263" s="7" t="str">
        <f t="shared" si="2268"/>
        <v>学校</v>
      </c>
      <c r="E6263" s="7" t="str">
        <f t="shared" si="2290"/>
        <v>大阪府大阪市　城東区諏訪３丁目</v>
      </c>
      <c r="F6263" s="7"/>
      <c r="G6263" s="7" t="str">
        <f t="shared" si="2281"/>
        <v>事業用資産</v>
      </c>
      <c r="H6263" s="7" t="str">
        <f t="shared" si="2274"/>
        <v>棚卸以外</v>
      </c>
      <c r="I6263" s="7">
        <v>47</v>
      </c>
      <c r="J6263" s="7" t="str">
        <f>"クラブ室棟"</f>
        <v>クラブ室棟</v>
      </c>
      <c r="K6263" s="7" t="str">
        <f>"鉄骨造"</f>
        <v>鉄骨造</v>
      </c>
      <c r="L6263" s="7" t="str">
        <f>"H31.03.29"</f>
        <v>H31.03.29</v>
      </c>
      <c r="M6263" s="7">
        <v>309.5</v>
      </c>
      <c r="N6263" s="7">
        <v>76047790</v>
      </c>
      <c r="O6263" s="7">
        <v>10812872</v>
      </c>
      <c r="P6263" s="7">
        <v>0</v>
      </c>
      <c r="Q6263" s="7" t="str">
        <f t="shared" si="2287"/>
        <v>教育庁</v>
      </c>
      <c r="R6263" s="7" t="str">
        <f t="shared" si="2291"/>
        <v>成城高等学校</v>
      </c>
    </row>
    <row r="6264" spans="1:18" s="1" customFormat="1" x14ac:dyDescent="0.45">
      <c r="A6264" s="7" t="str">
        <f t="shared" si="2288"/>
        <v>10934000000</v>
      </c>
      <c r="B6264" s="7" t="str">
        <f t="shared" si="2289"/>
        <v>成城高等学校</v>
      </c>
      <c r="C6264" s="7" t="str">
        <f t="shared" si="2275"/>
        <v>行政財産</v>
      </c>
      <c r="D6264" s="7" t="str">
        <f t="shared" si="2268"/>
        <v>学校</v>
      </c>
      <c r="E6264" s="7" t="str">
        <f t="shared" si="2290"/>
        <v>大阪府大阪市　城東区諏訪３丁目</v>
      </c>
      <c r="F6264" s="7"/>
      <c r="G6264" s="7" t="str">
        <f t="shared" si="2281"/>
        <v>事業用資産</v>
      </c>
      <c r="H6264" s="7" t="str">
        <f t="shared" si="2274"/>
        <v>棚卸以外</v>
      </c>
      <c r="I6264" s="7">
        <v>48</v>
      </c>
      <c r="J6264" s="7" t="str">
        <f>"新北館"</f>
        <v>新北館</v>
      </c>
      <c r="K6264" s="7" t="str">
        <f t="shared" ref="K6264:K6270" si="2292">"鉄筋コンクリート造"</f>
        <v>鉄筋コンクリート造</v>
      </c>
      <c r="L6264" s="7" t="str">
        <f t="shared" ref="L6264:L6269" si="2293">"R01.07.12"</f>
        <v>R01.07.12</v>
      </c>
      <c r="M6264" s="7">
        <v>4416.46</v>
      </c>
      <c r="N6264" s="7">
        <v>1213483724</v>
      </c>
      <c r="O6264" s="7">
        <v>141678520</v>
      </c>
      <c r="P6264" s="7">
        <v>0</v>
      </c>
      <c r="Q6264" s="7" t="str">
        <f t="shared" si="2287"/>
        <v>教育庁</v>
      </c>
      <c r="R6264" s="7" t="str">
        <f t="shared" si="2291"/>
        <v>成城高等学校</v>
      </c>
    </row>
    <row r="6265" spans="1:18" s="1" customFormat="1" x14ac:dyDescent="0.45">
      <c r="A6265" s="7" t="str">
        <f t="shared" si="2288"/>
        <v>10934000000</v>
      </c>
      <c r="B6265" s="7" t="str">
        <f t="shared" si="2289"/>
        <v>成城高等学校</v>
      </c>
      <c r="C6265" s="7" t="str">
        <f t="shared" si="2275"/>
        <v>行政財産</v>
      </c>
      <c r="D6265" s="7" t="str">
        <f t="shared" ref="D6265:D6325" si="2294">"学校"</f>
        <v>学校</v>
      </c>
      <c r="E6265" s="7" t="str">
        <f t="shared" si="2290"/>
        <v>大阪府大阪市　城東区諏訪３丁目</v>
      </c>
      <c r="F6265" s="7"/>
      <c r="G6265" s="7" t="str">
        <f t="shared" si="2281"/>
        <v>事業用資産</v>
      </c>
      <c r="H6265" s="7" t="str">
        <f t="shared" si="2274"/>
        <v>棚卸以外</v>
      </c>
      <c r="I6265" s="7">
        <v>49</v>
      </c>
      <c r="J6265" s="7" t="str">
        <f>"倉庫（１）"</f>
        <v>倉庫（１）</v>
      </c>
      <c r="K6265" s="7" t="str">
        <f t="shared" si="2292"/>
        <v>鉄筋コンクリート造</v>
      </c>
      <c r="L6265" s="7" t="str">
        <f t="shared" si="2293"/>
        <v>R01.07.12</v>
      </c>
      <c r="M6265" s="7">
        <v>6.3</v>
      </c>
      <c r="N6265" s="7">
        <v>2395328</v>
      </c>
      <c r="O6265" s="7">
        <v>283360</v>
      </c>
      <c r="P6265" s="7">
        <v>0</v>
      </c>
      <c r="Q6265" s="7" t="str">
        <f t="shared" si="2287"/>
        <v>教育庁</v>
      </c>
      <c r="R6265" s="7" t="str">
        <f t="shared" si="2291"/>
        <v>成城高等学校</v>
      </c>
    </row>
    <row r="6266" spans="1:18" s="1" customFormat="1" x14ac:dyDescent="0.45">
      <c r="A6266" s="7" t="str">
        <f t="shared" si="2288"/>
        <v>10934000000</v>
      </c>
      <c r="B6266" s="7" t="str">
        <f t="shared" si="2289"/>
        <v>成城高等学校</v>
      </c>
      <c r="C6266" s="7" t="str">
        <f t="shared" si="2275"/>
        <v>行政財産</v>
      </c>
      <c r="D6266" s="7" t="str">
        <f t="shared" si="2294"/>
        <v>学校</v>
      </c>
      <c r="E6266" s="7" t="str">
        <f t="shared" si="2290"/>
        <v>大阪府大阪市　城東区諏訪３丁目</v>
      </c>
      <c r="F6266" s="7"/>
      <c r="G6266" s="7" t="str">
        <f t="shared" si="2281"/>
        <v>事業用資産</v>
      </c>
      <c r="H6266" s="7" t="str">
        <f t="shared" si="2274"/>
        <v>棚卸以外</v>
      </c>
      <c r="I6266" s="7">
        <v>50</v>
      </c>
      <c r="J6266" s="7" t="str">
        <f>"倉庫（２）"</f>
        <v>倉庫（２）</v>
      </c>
      <c r="K6266" s="7" t="str">
        <f t="shared" si="2292"/>
        <v>鉄筋コンクリート造</v>
      </c>
      <c r="L6266" s="7" t="str">
        <f t="shared" si="2293"/>
        <v>R01.07.12</v>
      </c>
      <c r="M6266" s="7">
        <v>6.3</v>
      </c>
      <c r="N6266" s="7">
        <v>2395328</v>
      </c>
      <c r="O6266" s="7">
        <v>231132</v>
      </c>
      <c r="P6266" s="7">
        <v>0</v>
      </c>
      <c r="Q6266" s="7" t="str">
        <f t="shared" si="2287"/>
        <v>教育庁</v>
      </c>
      <c r="R6266" s="7" t="str">
        <f t="shared" si="2291"/>
        <v>成城高等学校</v>
      </c>
    </row>
    <row r="6267" spans="1:18" s="1" customFormat="1" x14ac:dyDescent="0.45">
      <c r="A6267" s="7" t="str">
        <f t="shared" si="2288"/>
        <v>10934000000</v>
      </c>
      <c r="B6267" s="7" t="str">
        <f t="shared" si="2289"/>
        <v>成城高等学校</v>
      </c>
      <c r="C6267" s="7" t="str">
        <f t="shared" si="2275"/>
        <v>行政財産</v>
      </c>
      <c r="D6267" s="7" t="str">
        <f t="shared" si="2294"/>
        <v>学校</v>
      </c>
      <c r="E6267" s="7" t="str">
        <f t="shared" si="2290"/>
        <v>大阪府大阪市　城東区諏訪３丁目</v>
      </c>
      <c r="F6267" s="7"/>
      <c r="G6267" s="7" t="str">
        <f t="shared" si="2281"/>
        <v>事業用資産</v>
      </c>
      <c r="H6267" s="7" t="str">
        <f t="shared" si="2274"/>
        <v>棚卸以外</v>
      </c>
      <c r="I6267" s="7">
        <v>51</v>
      </c>
      <c r="J6267" s="7" t="str">
        <f>"倉庫（３）"</f>
        <v>倉庫（３）</v>
      </c>
      <c r="K6267" s="7" t="str">
        <f t="shared" si="2292"/>
        <v>鉄筋コンクリート造</v>
      </c>
      <c r="L6267" s="7" t="str">
        <f t="shared" si="2293"/>
        <v>R01.07.12</v>
      </c>
      <c r="M6267" s="7">
        <v>6.3</v>
      </c>
      <c r="N6267" s="7">
        <v>2395328</v>
      </c>
      <c r="O6267" s="7">
        <v>231132</v>
      </c>
      <c r="P6267" s="7">
        <v>0</v>
      </c>
      <c r="Q6267" s="7" t="str">
        <f t="shared" si="2287"/>
        <v>教育庁</v>
      </c>
      <c r="R6267" s="7" t="str">
        <f t="shared" si="2291"/>
        <v>成城高等学校</v>
      </c>
    </row>
    <row r="6268" spans="1:18" s="1" customFormat="1" x14ac:dyDescent="0.45">
      <c r="A6268" s="7" t="str">
        <f t="shared" si="2288"/>
        <v>10934000000</v>
      </c>
      <c r="B6268" s="7" t="str">
        <f t="shared" si="2289"/>
        <v>成城高等学校</v>
      </c>
      <c r="C6268" s="7" t="str">
        <f t="shared" si="2275"/>
        <v>行政財産</v>
      </c>
      <c r="D6268" s="7" t="str">
        <f t="shared" si="2294"/>
        <v>学校</v>
      </c>
      <c r="E6268" s="7" t="str">
        <f t="shared" si="2290"/>
        <v>大阪府大阪市　城東区諏訪３丁目</v>
      </c>
      <c r="F6268" s="7"/>
      <c r="G6268" s="7" t="str">
        <f t="shared" si="2281"/>
        <v>事業用資産</v>
      </c>
      <c r="H6268" s="7" t="str">
        <f t="shared" si="2274"/>
        <v>棚卸以外</v>
      </c>
      <c r="I6268" s="7">
        <v>52</v>
      </c>
      <c r="J6268" s="7" t="str">
        <f>"倉庫（プール）"</f>
        <v>倉庫（プール）</v>
      </c>
      <c r="K6268" s="7" t="str">
        <f t="shared" si="2292"/>
        <v>鉄筋コンクリート造</v>
      </c>
      <c r="L6268" s="7" t="str">
        <f t="shared" si="2293"/>
        <v>R01.07.12</v>
      </c>
      <c r="M6268" s="7">
        <v>9.7200000000000006</v>
      </c>
      <c r="N6268" s="7">
        <v>2070799</v>
      </c>
      <c r="O6268" s="7">
        <v>199848</v>
      </c>
      <c r="P6268" s="7">
        <v>0</v>
      </c>
      <c r="Q6268" s="7" t="str">
        <f t="shared" si="2287"/>
        <v>教育庁</v>
      </c>
      <c r="R6268" s="7" t="str">
        <f t="shared" si="2291"/>
        <v>成城高等学校</v>
      </c>
    </row>
    <row r="6269" spans="1:18" s="1" customFormat="1" x14ac:dyDescent="0.45">
      <c r="A6269" s="7" t="str">
        <f t="shared" si="2288"/>
        <v>10934000000</v>
      </c>
      <c r="B6269" s="7" t="str">
        <f t="shared" si="2289"/>
        <v>成城高等学校</v>
      </c>
      <c r="C6269" s="7" t="str">
        <f t="shared" si="2275"/>
        <v>行政財産</v>
      </c>
      <c r="D6269" s="7" t="str">
        <f t="shared" si="2294"/>
        <v>学校</v>
      </c>
      <c r="E6269" s="7" t="str">
        <f t="shared" si="2290"/>
        <v>大阪府大阪市　城東区諏訪３丁目</v>
      </c>
      <c r="F6269" s="7"/>
      <c r="G6269" s="7" t="str">
        <f t="shared" si="2281"/>
        <v>事業用資産</v>
      </c>
      <c r="H6269" s="7" t="str">
        <f t="shared" si="2274"/>
        <v>棚卸以外</v>
      </c>
      <c r="I6269" s="7">
        <v>53</v>
      </c>
      <c r="J6269" s="7" t="str">
        <f>"倉庫（技術員）"</f>
        <v>倉庫（技術員）</v>
      </c>
      <c r="K6269" s="7" t="str">
        <f t="shared" si="2292"/>
        <v>鉄筋コンクリート造</v>
      </c>
      <c r="L6269" s="7" t="str">
        <f t="shared" si="2293"/>
        <v>R01.07.12</v>
      </c>
      <c r="M6269" s="7">
        <v>9.7200000000000006</v>
      </c>
      <c r="N6269" s="7">
        <v>2070799</v>
      </c>
      <c r="O6269" s="7">
        <v>199848</v>
      </c>
      <c r="P6269" s="7">
        <v>0</v>
      </c>
      <c r="Q6269" s="7" t="str">
        <f t="shared" si="2287"/>
        <v>教育庁</v>
      </c>
      <c r="R6269" s="7" t="str">
        <f t="shared" si="2291"/>
        <v>成城高等学校</v>
      </c>
    </row>
    <row r="6270" spans="1:18" s="1" customFormat="1" x14ac:dyDescent="0.45">
      <c r="A6270" s="7" t="str">
        <f t="shared" si="2288"/>
        <v>10934000000</v>
      </c>
      <c r="B6270" s="7" t="str">
        <f t="shared" si="2289"/>
        <v>成城高等学校</v>
      </c>
      <c r="C6270" s="7" t="str">
        <f t="shared" si="2275"/>
        <v>行政財産</v>
      </c>
      <c r="D6270" s="7" t="str">
        <f t="shared" si="2294"/>
        <v>学校</v>
      </c>
      <c r="E6270" s="7" t="str">
        <f t="shared" si="2290"/>
        <v>大阪府大阪市　城東区諏訪３丁目</v>
      </c>
      <c r="F6270" s="7"/>
      <c r="G6270" s="7" t="str">
        <f t="shared" si="2281"/>
        <v>事業用資産</v>
      </c>
      <c r="H6270" s="7" t="str">
        <f t="shared" si="2274"/>
        <v>棚卸以外</v>
      </c>
      <c r="I6270" s="7">
        <v>54</v>
      </c>
      <c r="J6270" s="7" t="str">
        <f>"コンプレッサー置場棟"</f>
        <v>コンプレッサー置場棟</v>
      </c>
      <c r="K6270" s="7" t="str">
        <f t="shared" si="2292"/>
        <v>鉄筋コンクリート造</v>
      </c>
      <c r="L6270" s="7" t="str">
        <f>"R02.09.24"</f>
        <v>R02.09.24</v>
      </c>
      <c r="M6270" s="7">
        <v>5.4</v>
      </c>
      <c r="N6270" s="7">
        <v>1298809</v>
      </c>
      <c r="O6270" s="7">
        <v>85470</v>
      </c>
      <c r="P6270" s="7">
        <v>0</v>
      </c>
      <c r="Q6270" s="7" t="str">
        <f t="shared" si="2287"/>
        <v>教育庁</v>
      </c>
      <c r="R6270" s="7" t="str">
        <f t="shared" si="2291"/>
        <v>成城高等学校</v>
      </c>
    </row>
    <row r="6271" spans="1:18" s="1" customFormat="1" x14ac:dyDescent="0.45">
      <c r="A6271" s="7" t="str">
        <f t="shared" si="2288"/>
        <v>10934000000</v>
      </c>
      <c r="B6271" s="7" t="str">
        <f t="shared" si="2289"/>
        <v>成城高等学校</v>
      </c>
      <c r="C6271" s="7" t="str">
        <f t="shared" si="2275"/>
        <v>行政財産</v>
      </c>
      <c r="D6271" s="7" t="str">
        <f t="shared" si="2294"/>
        <v>学校</v>
      </c>
      <c r="E6271" s="7" t="str">
        <f t="shared" si="2290"/>
        <v>大阪府大阪市　城東区諏訪３丁目</v>
      </c>
      <c r="F6271" s="7"/>
      <c r="G6271" s="7" t="str">
        <f t="shared" si="2281"/>
        <v>事業用資産</v>
      </c>
      <c r="H6271" s="7" t="str">
        <f t="shared" si="2274"/>
        <v>棚卸以外</v>
      </c>
      <c r="I6271" s="7">
        <v>55</v>
      </c>
      <c r="J6271" s="7" t="str">
        <f>"倉庫（石灰）"</f>
        <v>倉庫（石灰）</v>
      </c>
      <c r="K6271" s="7" t="str">
        <f>"コンクリートブロック造"</f>
        <v>コンクリートブロック造</v>
      </c>
      <c r="L6271" s="7" t="str">
        <f>"R02.09.24"</f>
        <v>R02.09.24</v>
      </c>
      <c r="M6271" s="7">
        <v>6.5</v>
      </c>
      <c r="N6271" s="7">
        <v>1382322</v>
      </c>
      <c r="O6271" s="7">
        <v>101670</v>
      </c>
      <c r="P6271" s="7">
        <v>0</v>
      </c>
      <c r="Q6271" s="7" t="str">
        <f t="shared" si="2287"/>
        <v>教育庁</v>
      </c>
      <c r="R6271" s="7" t="str">
        <f t="shared" si="2291"/>
        <v>成城高等学校</v>
      </c>
    </row>
    <row r="6272" spans="1:18" s="1" customFormat="1" x14ac:dyDescent="0.45">
      <c r="A6272" s="7" t="str">
        <f t="shared" si="2288"/>
        <v>10934000000</v>
      </c>
      <c r="B6272" s="7" t="str">
        <f t="shared" si="2289"/>
        <v>成城高等学校</v>
      </c>
      <c r="C6272" s="7" t="str">
        <f t="shared" si="2275"/>
        <v>行政財産</v>
      </c>
      <c r="D6272" s="7" t="str">
        <f t="shared" si="2294"/>
        <v>学校</v>
      </c>
      <c r="E6272" s="7" t="str">
        <f t="shared" si="2290"/>
        <v>大阪府大阪市　城東区諏訪３丁目</v>
      </c>
      <c r="F6272" s="7"/>
      <c r="G6272" s="7" t="str">
        <f t="shared" si="2281"/>
        <v>事業用資産</v>
      </c>
      <c r="H6272" s="7" t="str">
        <f t="shared" si="2274"/>
        <v>棚卸以外</v>
      </c>
      <c r="I6272" s="7">
        <v>56</v>
      </c>
      <c r="J6272" s="7" t="str">
        <f>"倉庫（用具）"</f>
        <v>倉庫（用具）</v>
      </c>
      <c r="K6272" s="7" t="str">
        <f>"コンクリートブロック造"</f>
        <v>コンクリートブロック造</v>
      </c>
      <c r="L6272" s="7" t="str">
        <f>"R02.09.24"</f>
        <v>R02.09.24</v>
      </c>
      <c r="M6272" s="7">
        <v>6.5</v>
      </c>
      <c r="N6272" s="7">
        <v>1382322</v>
      </c>
      <c r="O6272" s="7">
        <v>101670</v>
      </c>
      <c r="P6272" s="7">
        <v>0</v>
      </c>
      <c r="Q6272" s="7" t="str">
        <f t="shared" si="2287"/>
        <v>教育庁</v>
      </c>
      <c r="R6272" s="7" t="str">
        <f t="shared" si="2291"/>
        <v>成城高等学校</v>
      </c>
    </row>
    <row r="6273" spans="1:18" s="1" customFormat="1" x14ac:dyDescent="0.45">
      <c r="A6273" s="7" t="str">
        <f t="shared" ref="A6273:A6300" si="2295">"10935000000"</f>
        <v>10935000000</v>
      </c>
      <c r="B6273" s="7" t="str">
        <f t="shared" ref="B6273:B6300" si="2296">"東住吉総合高等学校"</f>
        <v>東住吉総合高等学校</v>
      </c>
      <c r="C6273" s="7" t="str">
        <f t="shared" si="2275"/>
        <v>行政財産</v>
      </c>
      <c r="D6273" s="7" t="str">
        <f t="shared" si="2294"/>
        <v>学校</v>
      </c>
      <c r="E6273" s="7" t="str">
        <f t="shared" ref="E6273:E6300" si="2297">"大阪府大阪市　平野区喜連西２丁目"</f>
        <v>大阪府大阪市　平野区喜連西２丁目</v>
      </c>
      <c r="F6273" s="7"/>
      <c r="G6273" s="7" t="str">
        <f t="shared" si="2281"/>
        <v>事業用資産</v>
      </c>
      <c r="H6273" s="7" t="str">
        <f t="shared" si="2274"/>
        <v>棚卸以外</v>
      </c>
      <c r="I6273" s="7">
        <v>1</v>
      </c>
      <c r="J6273" s="7" t="str">
        <f>"本館"</f>
        <v>本館</v>
      </c>
      <c r="K6273" s="7" t="str">
        <f t="shared" ref="K6273:K6285" si="2298">"鉄筋コンクリート造"</f>
        <v>鉄筋コンクリート造</v>
      </c>
      <c r="L6273" s="7" t="str">
        <f>"S38.02.20"</f>
        <v>S38.02.20</v>
      </c>
      <c r="M6273" s="7">
        <v>3821.65</v>
      </c>
      <c r="N6273" s="7">
        <v>292728876</v>
      </c>
      <c r="O6273" s="7">
        <v>144789044</v>
      </c>
      <c r="P6273" s="7">
        <v>0</v>
      </c>
      <c r="Q6273" s="7" t="str">
        <f t="shared" si="2287"/>
        <v>教育庁</v>
      </c>
      <c r="R6273" s="7" t="str">
        <f t="shared" ref="R6273:R6300" si="2299">"東住吉総合高等学校"</f>
        <v>東住吉総合高等学校</v>
      </c>
    </row>
    <row r="6274" spans="1:18" s="1" customFormat="1" x14ac:dyDescent="0.45">
      <c r="A6274" s="7" t="str">
        <f t="shared" si="2295"/>
        <v>10935000000</v>
      </c>
      <c r="B6274" s="7" t="str">
        <f t="shared" si="2296"/>
        <v>東住吉総合高等学校</v>
      </c>
      <c r="C6274" s="7" t="str">
        <f t="shared" si="2275"/>
        <v>行政財産</v>
      </c>
      <c r="D6274" s="7" t="str">
        <f t="shared" si="2294"/>
        <v>学校</v>
      </c>
      <c r="E6274" s="7" t="str">
        <f t="shared" si="2297"/>
        <v>大阪府大阪市　平野区喜連西２丁目</v>
      </c>
      <c r="F6274" s="7"/>
      <c r="G6274" s="7" t="str">
        <f t="shared" si="2281"/>
        <v>事業用資産</v>
      </c>
      <c r="H6274" s="7" t="str">
        <f t="shared" si="2274"/>
        <v>棚卸以外</v>
      </c>
      <c r="I6274" s="7">
        <v>2</v>
      </c>
      <c r="J6274" s="7" t="str">
        <f>"門衛所"</f>
        <v>門衛所</v>
      </c>
      <c r="K6274" s="7" t="str">
        <f t="shared" si="2298"/>
        <v>鉄筋コンクリート造</v>
      </c>
      <c r="L6274" s="7" t="str">
        <f>"S38.02.20"</f>
        <v>S38.02.20</v>
      </c>
      <c r="M6274" s="7">
        <v>24.82</v>
      </c>
      <c r="N6274" s="7">
        <v>1207129</v>
      </c>
      <c r="O6274" s="7">
        <v>1207128</v>
      </c>
      <c r="P6274" s="7">
        <v>0</v>
      </c>
      <c r="Q6274" s="7" t="str">
        <f t="shared" si="2287"/>
        <v>教育庁</v>
      </c>
      <c r="R6274" s="7" t="str">
        <f t="shared" si="2299"/>
        <v>東住吉総合高等学校</v>
      </c>
    </row>
    <row r="6275" spans="1:18" s="1" customFormat="1" x14ac:dyDescent="0.45">
      <c r="A6275" s="7" t="str">
        <f t="shared" si="2295"/>
        <v>10935000000</v>
      </c>
      <c r="B6275" s="7" t="str">
        <f t="shared" si="2296"/>
        <v>東住吉総合高等学校</v>
      </c>
      <c r="C6275" s="7" t="str">
        <f t="shared" si="2275"/>
        <v>行政財産</v>
      </c>
      <c r="D6275" s="7" t="str">
        <f t="shared" si="2294"/>
        <v>学校</v>
      </c>
      <c r="E6275" s="7" t="str">
        <f t="shared" si="2297"/>
        <v>大阪府大阪市　平野区喜連西２丁目</v>
      </c>
      <c r="F6275" s="7"/>
      <c r="G6275" s="7" t="str">
        <f t="shared" si="2281"/>
        <v>事業用資産</v>
      </c>
      <c r="H6275" s="7" t="str">
        <f t="shared" si="2274"/>
        <v>棚卸以外</v>
      </c>
      <c r="I6275" s="7">
        <v>4</v>
      </c>
      <c r="J6275" s="7" t="str">
        <f>"電気ポンプ室"</f>
        <v>電気ポンプ室</v>
      </c>
      <c r="K6275" s="7" t="str">
        <f t="shared" si="2298"/>
        <v>鉄筋コンクリート造</v>
      </c>
      <c r="L6275" s="7" t="str">
        <f>"S38.02.20"</f>
        <v>S38.02.20</v>
      </c>
      <c r="M6275" s="7">
        <v>79.95</v>
      </c>
      <c r="N6275" s="7">
        <v>3614700</v>
      </c>
      <c r="O6275" s="7">
        <v>2687031</v>
      </c>
      <c r="P6275" s="7">
        <v>0</v>
      </c>
      <c r="Q6275" s="7" t="str">
        <f t="shared" si="2287"/>
        <v>教育庁</v>
      </c>
      <c r="R6275" s="7" t="str">
        <f t="shared" si="2299"/>
        <v>東住吉総合高等学校</v>
      </c>
    </row>
    <row r="6276" spans="1:18" s="1" customFormat="1" x14ac:dyDescent="0.45">
      <c r="A6276" s="7" t="str">
        <f t="shared" si="2295"/>
        <v>10935000000</v>
      </c>
      <c r="B6276" s="7" t="str">
        <f t="shared" si="2296"/>
        <v>東住吉総合高等学校</v>
      </c>
      <c r="C6276" s="7" t="str">
        <f t="shared" si="2275"/>
        <v>行政財産</v>
      </c>
      <c r="D6276" s="7" t="str">
        <f t="shared" si="2294"/>
        <v>学校</v>
      </c>
      <c r="E6276" s="7" t="str">
        <f t="shared" si="2297"/>
        <v>大阪府大阪市　平野区喜連西２丁目</v>
      </c>
      <c r="F6276" s="7"/>
      <c r="G6276" s="7" t="str">
        <f t="shared" si="2281"/>
        <v>事業用資産</v>
      </c>
      <c r="H6276" s="7" t="str">
        <f t="shared" ref="H6276:H6339" si="2300">"棚卸以外"</f>
        <v>棚卸以外</v>
      </c>
      <c r="I6276" s="7">
        <v>7</v>
      </c>
      <c r="J6276" s="7" t="str">
        <f>"特別教室（実験棟）"</f>
        <v>特別教室（実験棟）</v>
      </c>
      <c r="K6276" s="7" t="str">
        <f t="shared" si="2298"/>
        <v>鉄筋コンクリート造</v>
      </c>
      <c r="L6276" s="7" t="str">
        <f>"S39.02.29"</f>
        <v>S39.02.29</v>
      </c>
      <c r="M6276" s="7">
        <v>3412.04</v>
      </c>
      <c r="N6276" s="7">
        <v>359153278</v>
      </c>
      <c r="O6276" s="7">
        <v>169009243</v>
      </c>
      <c r="P6276" s="7">
        <v>0</v>
      </c>
      <c r="Q6276" s="7" t="str">
        <f t="shared" si="2287"/>
        <v>教育庁</v>
      </c>
      <c r="R6276" s="7" t="str">
        <f t="shared" si="2299"/>
        <v>東住吉総合高等学校</v>
      </c>
    </row>
    <row r="6277" spans="1:18" s="1" customFormat="1" x14ac:dyDescent="0.45">
      <c r="A6277" s="7" t="str">
        <f t="shared" si="2295"/>
        <v>10935000000</v>
      </c>
      <c r="B6277" s="7" t="str">
        <f t="shared" si="2296"/>
        <v>東住吉総合高等学校</v>
      </c>
      <c r="C6277" s="7" t="str">
        <f t="shared" si="2275"/>
        <v>行政財産</v>
      </c>
      <c r="D6277" s="7" t="str">
        <f t="shared" si="2294"/>
        <v>学校</v>
      </c>
      <c r="E6277" s="7" t="str">
        <f t="shared" si="2297"/>
        <v>大阪府大阪市　平野区喜連西２丁目</v>
      </c>
      <c r="F6277" s="7"/>
      <c r="G6277" s="7" t="str">
        <f t="shared" si="2281"/>
        <v>事業用資産</v>
      </c>
      <c r="H6277" s="7" t="str">
        <f t="shared" si="2300"/>
        <v>棚卸以外</v>
      </c>
      <c r="I6277" s="7">
        <v>8</v>
      </c>
      <c r="J6277" s="7" t="str">
        <f>"実習工場"</f>
        <v>実習工場</v>
      </c>
      <c r="K6277" s="7" t="str">
        <f t="shared" si="2298"/>
        <v>鉄筋コンクリート造</v>
      </c>
      <c r="L6277" s="7" t="str">
        <f>"S39.02.29"</f>
        <v>S39.02.29</v>
      </c>
      <c r="M6277" s="7">
        <v>972.11</v>
      </c>
      <c r="N6277" s="7">
        <v>45458748</v>
      </c>
      <c r="O6277" s="7">
        <v>30311900</v>
      </c>
      <c r="P6277" s="7">
        <v>0</v>
      </c>
      <c r="Q6277" s="7" t="str">
        <f t="shared" si="2287"/>
        <v>教育庁</v>
      </c>
      <c r="R6277" s="7" t="str">
        <f t="shared" si="2299"/>
        <v>東住吉総合高等学校</v>
      </c>
    </row>
    <row r="6278" spans="1:18" s="1" customFormat="1" x14ac:dyDescent="0.45">
      <c r="A6278" s="7" t="str">
        <f t="shared" si="2295"/>
        <v>10935000000</v>
      </c>
      <c r="B6278" s="7" t="str">
        <f t="shared" si="2296"/>
        <v>東住吉総合高等学校</v>
      </c>
      <c r="C6278" s="7" t="str">
        <f t="shared" si="2275"/>
        <v>行政財産</v>
      </c>
      <c r="D6278" s="7" t="str">
        <f t="shared" si="2294"/>
        <v>学校</v>
      </c>
      <c r="E6278" s="7" t="str">
        <f t="shared" si="2297"/>
        <v>大阪府大阪市　平野区喜連西２丁目</v>
      </c>
      <c r="F6278" s="7"/>
      <c r="G6278" s="7" t="str">
        <f t="shared" si="2281"/>
        <v>事業用資産</v>
      </c>
      <c r="H6278" s="7" t="str">
        <f t="shared" si="2300"/>
        <v>棚卸以外</v>
      </c>
      <c r="I6278" s="7">
        <v>12</v>
      </c>
      <c r="J6278" s="7" t="str">
        <f>"工場棟"</f>
        <v>工場棟</v>
      </c>
      <c r="K6278" s="7" t="str">
        <f t="shared" si="2298"/>
        <v>鉄筋コンクリート造</v>
      </c>
      <c r="L6278" s="7" t="str">
        <f>"S40.02.28"</f>
        <v>S40.02.28</v>
      </c>
      <c r="M6278" s="7">
        <v>1374.8</v>
      </c>
      <c r="N6278" s="7">
        <v>98510557</v>
      </c>
      <c r="O6278" s="7">
        <v>61519266</v>
      </c>
      <c r="P6278" s="7">
        <v>0</v>
      </c>
      <c r="Q6278" s="7" t="str">
        <f t="shared" si="2287"/>
        <v>教育庁</v>
      </c>
      <c r="R6278" s="7" t="str">
        <f t="shared" si="2299"/>
        <v>東住吉総合高等学校</v>
      </c>
    </row>
    <row r="6279" spans="1:18" s="1" customFormat="1" x14ac:dyDescent="0.45">
      <c r="A6279" s="7" t="str">
        <f t="shared" si="2295"/>
        <v>10935000000</v>
      </c>
      <c r="B6279" s="7" t="str">
        <f t="shared" si="2296"/>
        <v>東住吉総合高等学校</v>
      </c>
      <c r="C6279" s="7" t="str">
        <f t="shared" si="2275"/>
        <v>行政財産</v>
      </c>
      <c r="D6279" s="7" t="str">
        <f t="shared" si="2294"/>
        <v>学校</v>
      </c>
      <c r="E6279" s="7" t="str">
        <f t="shared" si="2297"/>
        <v>大阪府大阪市　平野区喜連西２丁目</v>
      </c>
      <c r="F6279" s="7"/>
      <c r="G6279" s="7" t="str">
        <f t="shared" si="2281"/>
        <v>事業用資産</v>
      </c>
      <c r="H6279" s="7" t="str">
        <f t="shared" si="2300"/>
        <v>棚卸以外</v>
      </c>
      <c r="I6279" s="7">
        <v>13</v>
      </c>
      <c r="J6279" s="7" t="str">
        <f>"実験棟"</f>
        <v>実験棟</v>
      </c>
      <c r="K6279" s="7" t="str">
        <f t="shared" si="2298"/>
        <v>鉄筋コンクリート造</v>
      </c>
      <c r="L6279" s="7" t="str">
        <f>"S40.02.28"</f>
        <v>S40.02.28</v>
      </c>
      <c r="M6279" s="7">
        <v>2693.51</v>
      </c>
      <c r="N6279" s="7">
        <v>240233008</v>
      </c>
      <c r="O6279" s="7">
        <v>134182348</v>
      </c>
      <c r="P6279" s="7">
        <v>0</v>
      </c>
      <c r="Q6279" s="7" t="str">
        <f t="shared" si="2287"/>
        <v>教育庁</v>
      </c>
      <c r="R6279" s="7" t="str">
        <f t="shared" si="2299"/>
        <v>東住吉総合高等学校</v>
      </c>
    </row>
    <row r="6280" spans="1:18" s="1" customFormat="1" x14ac:dyDescent="0.45">
      <c r="A6280" s="7" t="str">
        <f t="shared" si="2295"/>
        <v>10935000000</v>
      </c>
      <c r="B6280" s="7" t="str">
        <f t="shared" si="2296"/>
        <v>東住吉総合高等学校</v>
      </c>
      <c r="C6280" s="7" t="str">
        <f t="shared" si="2275"/>
        <v>行政財産</v>
      </c>
      <c r="D6280" s="7" t="str">
        <f t="shared" si="2294"/>
        <v>学校</v>
      </c>
      <c r="E6280" s="7" t="str">
        <f t="shared" si="2297"/>
        <v>大阪府大阪市　平野区喜連西２丁目</v>
      </c>
      <c r="F6280" s="7"/>
      <c r="G6280" s="7" t="str">
        <f t="shared" si="2281"/>
        <v>事業用資産</v>
      </c>
      <c r="H6280" s="7" t="str">
        <f t="shared" si="2300"/>
        <v>棚卸以外</v>
      </c>
      <c r="I6280" s="7">
        <v>14</v>
      </c>
      <c r="J6280" s="7" t="str">
        <f>"コンプレッサー室"</f>
        <v>コンプレッサー室</v>
      </c>
      <c r="K6280" s="7" t="str">
        <f t="shared" si="2298"/>
        <v>鉄筋コンクリート造</v>
      </c>
      <c r="L6280" s="7" t="str">
        <f>"S40.02.28"</f>
        <v>S40.02.28</v>
      </c>
      <c r="M6280" s="7">
        <v>3.91</v>
      </c>
      <c r="N6280" s="7">
        <v>217170</v>
      </c>
      <c r="O6280" s="7">
        <v>217169</v>
      </c>
      <c r="P6280" s="7">
        <v>0</v>
      </c>
      <c r="Q6280" s="7" t="str">
        <f t="shared" si="2287"/>
        <v>教育庁</v>
      </c>
      <c r="R6280" s="7" t="str">
        <f t="shared" si="2299"/>
        <v>東住吉総合高等学校</v>
      </c>
    </row>
    <row r="6281" spans="1:18" s="1" customFormat="1" x14ac:dyDescent="0.45">
      <c r="A6281" s="7" t="str">
        <f t="shared" si="2295"/>
        <v>10935000000</v>
      </c>
      <c r="B6281" s="7" t="str">
        <f t="shared" si="2296"/>
        <v>東住吉総合高等学校</v>
      </c>
      <c r="C6281" s="7" t="str">
        <f t="shared" si="2275"/>
        <v>行政財産</v>
      </c>
      <c r="D6281" s="7" t="str">
        <f t="shared" si="2294"/>
        <v>学校</v>
      </c>
      <c r="E6281" s="7" t="str">
        <f t="shared" si="2297"/>
        <v>大阪府大阪市　平野区喜連西２丁目</v>
      </c>
      <c r="F6281" s="7"/>
      <c r="G6281" s="7" t="str">
        <f t="shared" si="2281"/>
        <v>事業用資産</v>
      </c>
      <c r="H6281" s="7" t="str">
        <f t="shared" si="2300"/>
        <v>棚卸以外</v>
      </c>
      <c r="I6281" s="7">
        <v>15</v>
      </c>
      <c r="J6281" s="7" t="str">
        <f>"視聴覚教室"</f>
        <v>視聴覚教室</v>
      </c>
      <c r="K6281" s="7" t="str">
        <f t="shared" si="2298"/>
        <v>鉄筋コンクリート造</v>
      </c>
      <c r="L6281" s="7" t="str">
        <f>"S40.02.28"</f>
        <v>S40.02.28</v>
      </c>
      <c r="M6281" s="7">
        <v>1132.4100000000001</v>
      </c>
      <c r="N6281" s="7">
        <v>32136720</v>
      </c>
      <c r="O6281" s="7">
        <v>28649623</v>
      </c>
      <c r="P6281" s="7">
        <v>0</v>
      </c>
      <c r="Q6281" s="7" t="str">
        <f t="shared" si="2287"/>
        <v>教育庁</v>
      </c>
      <c r="R6281" s="7" t="str">
        <f t="shared" si="2299"/>
        <v>東住吉総合高等学校</v>
      </c>
    </row>
    <row r="6282" spans="1:18" s="1" customFormat="1" x14ac:dyDescent="0.45">
      <c r="A6282" s="7" t="str">
        <f t="shared" si="2295"/>
        <v>10935000000</v>
      </c>
      <c r="B6282" s="7" t="str">
        <f t="shared" si="2296"/>
        <v>東住吉総合高等学校</v>
      </c>
      <c r="C6282" s="7" t="str">
        <f t="shared" si="2275"/>
        <v>行政財産</v>
      </c>
      <c r="D6282" s="7" t="str">
        <f t="shared" si="2294"/>
        <v>学校</v>
      </c>
      <c r="E6282" s="7" t="str">
        <f t="shared" si="2297"/>
        <v>大阪府大阪市　平野区喜連西２丁目</v>
      </c>
      <c r="F6282" s="7"/>
      <c r="G6282" s="7" t="str">
        <f t="shared" si="2281"/>
        <v>事業用資産</v>
      </c>
      <c r="H6282" s="7" t="str">
        <f t="shared" si="2300"/>
        <v>棚卸以外</v>
      </c>
      <c r="I6282" s="7">
        <v>16</v>
      </c>
      <c r="J6282" s="7" t="str">
        <f>"体育館"</f>
        <v>体育館</v>
      </c>
      <c r="K6282" s="7" t="str">
        <f t="shared" si="2298"/>
        <v>鉄筋コンクリート造</v>
      </c>
      <c r="L6282" s="7" t="str">
        <f>"S40.12.15"</f>
        <v>S40.12.15</v>
      </c>
      <c r="M6282" s="7">
        <v>2211.64</v>
      </c>
      <c r="N6282" s="7">
        <v>122575868</v>
      </c>
      <c r="O6282" s="7">
        <v>89792910</v>
      </c>
      <c r="P6282" s="7">
        <v>0</v>
      </c>
      <c r="Q6282" s="7" t="str">
        <f t="shared" si="2287"/>
        <v>教育庁</v>
      </c>
      <c r="R6282" s="7" t="str">
        <f t="shared" si="2299"/>
        <v>東住吉総合高等学校</v>
      </c>
    </row>
    <row r="6283" spans="1:18" s="1" customFormat="1" x14ac:dyDescent="0.45">
      <c r="A6283" s="7" t="str">
        <f t="shared" si="2295"/>
        <v>10935000000</v>
      </c>
      <c r="B6283" s="7" t="str">
        <f t="shared" si="2296"/>
        <v>東住吉総合高等学校</v>
      </c>
      <c r="C6283" s="7" t="str">
        <f t="shared" si="2275"/>
        <v>行政財産</v>
      </c>
      <c r="D6283" s="7" t="str">
        <f t="shared" si="2294"/>
        <v>学校</v>
      </c>
      <c r="E6283" s="7" t="str">
        <f t="shared" si="2297"/>
        <v>大阪府大阪市　平野区喜連西２丁目</v>
      </c>
      <c r="F6283" s="7"/>
      <c r="G6283" s="7" t="str">
        <f t="shared" si="2281"/>
        <v>事業用資産</v>
      </c>
      <c r="H6283" s="7" t="str">
        <f t="shared" si="2300"/>
        <v>棚卸以外</v>
      </c>
      <c r="I6283" s="7">
        <v>17</v>
      </c>
      <c r="J6283" s="7" t="str">
        <f>"危険物倉庫"</f>
        <v>危険物倉庫</v>
      </c>
      <c r="K6283" s="7" t="str">
        <f t="shared" si="2298"/>
        <v>鉄筋コンクリート造</v>
      </c>
      <c r="L6283" s="7" t="str">
        <f>"S41.11.30"</f>
        <v>S41.11.30</v>
      </c>
      <c r="M6283" s="7">
        <v>20</v>
      </c>
      <c r="N6283" s="7">
        <v>526000</v>
      </c>
      <c r="O6283" s="7">
        <v>525999</v>
      </c>
      <c r="P6283" s="7">
        <v>0</v>
      </c>
      <c r="Q6283" s="7" t="str">
        <f t="shared" si="2287"/>
        <v>教育庁</v>
      </c>
      <c r="R6283" s="7" t="str">
        <f t="shared" si="2299"/>
        <v>東住吉総合高等学校</v>
      </c>
    </row>
    <row r="6284" spans="1:18" s="1" customFormat="1" x14ac:dyDescent="0.45">
      <c r="A6284" s="7" t="str">
        <f t="shared" si="2295"/>
        <v>10935000000</v>
      </c>
      <c r="B6284" s="7" t="str">
        <f t="shared" si="2296"/>
        <v>東住吉総合高等学校</v>
      </c>
      <c r="C6284" s="7" t="str">
        <f t="shared" si="2275"/>
        <v>行政財産</v>
      </c>
      <c r="D6284" s="7" t="str">
        <f t="shared" si="2294"/>
        <v>学校</v>
      </c>
      <c r="E6284" s="7" t="str">
        <f t="shared" si="2297"/>
        <v>大阪府大阪市　平野区喜連西２丁目</v>
      </c>
      <c r="F6284" s="7"/>
      <c r="G6284" s="7" t="str">
        <f t="shared" si="2281"/>
        <v>事業用資産</v>
      </c>
      <c r="H6284" s="7" t="str">
        <f t="shared" si="2300"/>
        <v>棚卸以外</v>
      </c>
      <c r="I6284" s="7">
        <v>18</v>
      </c>
      <c r="J6284" s="7" t="str">
        <f>"管財倉庫"</f>
        <v>管財倉庫</v>
      </c>
      <c r="K6284" s="7" t="str">
        <f t="shared" si="2298"/>
        <v>鉄筋コンクリート造</v>
      </c>
      <c r="L6284" s="7" t="str">
        <f>"S41.11.30"</f>
        <v>S41.11.30</v>
      </c>
      <c r="M6284" s="7">
        <v>68.13</v>
      </c>
      <c r="N6284" s="7">
        <v>1129000</v>
      </c>
      <c r="O6284" s="7">
        <v>1128999</v>
      </c>
      <c r="P6284" s="7">
        <v>0</v>
      </c>
      <c r="Q6284" s="7" t="str">
        <f t="shared" si="2287"/>
        <v>教育庁</v>
      </c>
      <c r="R6284" s="7" t="str">
        <f t="shared" si="2299"/>
        <v>東住吉総合高等学校</v>
      </c>
    </row>
    <row r="6285" spans="1:18" s="1" customFormat="1" x14ac:dyDescent="0.45">
      <c r="A6285" s="7" t="str">
        <f t="shared" si="2295"/>
        <v>10935000000</v>
      </c>
      <c r="B6285" s="7" t="str">
        <f t="shared" si="2296"/>
        <v>東住吉総合高等学校</v>
      </c>
      <c r="C6285" s="7" t="str">
        <f t="shared" ref="C6285:C6348" si="2301">"行政財産"</f>
        <v>行政財産</v>
      </c>
      <c r="D6285" s="7" t="str">
        <f t="shared" si="2294"/>
        <v>学校</v>
      </c>
      <c r="E6285" s="7" t="str">
        <f t="shared" si="2297"/>
        <v>大阪府大阪市　平野区喜連西２丁目</v>
      </c>
      <c r="F6285" s="7"/>
      <c r="G6285" s="7" t="str">
        <f t="shared" si="2281"/>
        <v>事業用資産</v>
      </c>
      <c r="H6285" s="7" t="str">
        <f t="shared" si="2300"/>
        <v>棚卸以外</v>
      </c>
      <c r="I6285" s="7">
        <v>19</v>
      </c>
      <c r="J6285" s="7" t="str">
        <f>"倉庫"</f>
        <v>倉庫</v>
      </c>
      <c r="K6285" s="7" t="str">
        <f t="shared" si="2298"/>
        <v>鉄筋コンクリート造</v>
      </c>
      <c r="L6285" s="7" t="str">
        <f>"S41.11.30"</f>
        <v>S41.11.30</v>
      </c>
      <c r="M6285" s="7">
        <v>68.13</v>
      </c>
      <c r="N6285" s="7">
        <v>1120000</v>
      </c>
      <c r="O6285" s="7">
        <v>1119999</v>
      </c>
      <c r="P6285" s="7">
        <v>0</v>
      </c>
      <c r="Q6285" s="7" t="str">
        <f t="shared" si="2287"/>
        <v>教育庁</v>
      </c>
      <c r="R6285" s="7" t="str">
        <f t="shared" si="2299"/>
        <v>東住吉総合高等学校</v>
      </c>
    </row>
    <row r="6286" spans="1:18" s="1" customFormat="1" x14ac:dyDescent="0.45">
      <c r="A6286" s="7" t="str">
        <f t="shared" si="2295"/>
        <v>10935000000</v>
      </c>
      <c r="B6286" s="7" t="str">
        <f t="shared" si="2296"/>
        <v>東住吉総合高等学校</v>
      </c>
      <c r="C6286" s="7" t="str">
        <f t="shared" si="2301"/>
        <v>行政財産</v>
      </c>
      <c r="D6286" s="7" t="str">
        <f t="shared" si="2294"/>
        <v>学校</v>
      </c>
      <c r="E6286" s="7" t="str">
        <f t="shared" si="2297"/>
        <v>大阪府大阪市　平野区喜連西２丁目</v>
      </c>
      <c r="F6286" s="7"/>
      <c r="G6286" s="7" t="str">
        <f t="shared" si="2281"/>
        <v>事業用資産</v>
      </c>
      <c r="H6286" s="7" t="str">
        <f t="shared" si="2300"/>
        <v>棚卸以外</v>
      </c>
      <c r="I6286" s="7">
        <v>20</v>
      </c>
      <c r="J6286" s="7" t="str">
        <f>"便所"</f>
        <v>便所</v>
      </c>
      <c r="K6286" s="7" t="str">
        <f>"鉄骨コンクリート造"</f>
        <v>鉄骨コンクリート造</v>
      </c>
      <c r="L6286" s="7" t="str">
        <f>"S41.11.30"</f>
        <v>S41.11.30</v>
      </c>
      <c r="M6286" s="7">
        <v>19.12</v>
      </c>
      <c r="N6286" s="7">
        <v>780425</v>
      </c>
      <c r="O6286" s="7">
        <v>656283</v>
      </c>
      <c r="P6286" s="7">
        <v>0</v>
      </c>
      <c r="Q6286" s="7" t="str">
        <f t="shared" si="2287"/>
        <v>教育庁</v>
      </c>
      <c r="R6286" s="7" t="str">
        <f t="shared" si="2299"/>
        <v>東住吉総合高等学校</v>
      </c>
    </row>
    <row r="6287" spans="1:18" s="1" customFormat="1" x14ac:dyDescent="0.45">
      <c r="A6287" s="7" t="str">
        <f t="shared" si="2295"/>
        <v>10935000000</v>
      </c>
      <c r="B6287" s="7" t="str">
        <f t="shared" si="2296"/>
        <v>東住吉総合高等学校</v>
      </c>
      <c r="C6287" s="7" t="str">
        <f t="shared" si="2301"/>
        <v>行政財産</v>
      </c>
      <c r="D6287" s="7" t="str">
        <f t="shared" si="2294"/>
        <v>学校</v>
      </c>
      <c r="E6287" s="7" t="str">
        <f t="shared" si="2297"/>
        <v>大阪府大阪市　平野区喜連西２丁目</v>
      </c>
      <c r="F6287" s="7"/>
      <c r="G6287" s="7" t="str">
        <f t="shared" si="2281"/>
        <v>事業用資産</v>
      </c>
      <c r="H6287" s="7" t="str">
        <f t="shared" si="2300"/>
        <v>棚卸以外</v>
      </c>
      <c r="I6287" s="7">
        <v>22</v>
      </c>
      <c r="J6287" s="7" t="str">
        <f>"ガレージ"</f>
        <v>ガレージ</v>
      </c>
      <c r="K6287" s="7" t="str">
        <f>"鉄骨コンクリート造"</f>
        <v>鉄骨コンクリート造</v>
      </c>
      <c r="L6287" s="7" t="str">
        <f>"S41.11.30"</f>
        <v>S41.11.30</v>
      </c>
      <c r="M6287" s="7">
        <v>48</v>
      </c>
      <c r="N6287" s="7">
        <v>626000</v>
      </c>
      <c r="O6287" s="7">
        <v>625999</v>
      </c>
      <c r="P6287" s="7">
        <v>0</v>
      </c>
      <c r="Q6287" s="7" t="str">
        <f t="shared" si="2287"/>
        <v>教育庁</v>
      </c>
      <c r="R6287" s="7" t="str">
        <f t="shared" si="2299"/>
        <v>東住吉総合高等学校</v>
      </c>
    </row>
    <row r="6288" spans="1:18" s="1" customFormat="1" x14ac:dyDescent="0.45">
      <c r="A6288" s="7" t="str">
        <f t="shared" si="2295"/>
        <v>10935000000</v>
      </c>
      <c r="B6288" s="7" t="str">
        <f t="shared" si="2296"/>
        <v>東住吉総合高等学校</v>
      </c>
      <c r="C6288" s="7" t="str">
        <f t="shared" si="2301"/>
        <v>行政財産</v>
      </c>
      <c r="D6288" s="7" t="str">
        <f t="shared" si="2294"/>
        <v>学校</v>
      </c>
      <c r="E6288" s="7" t="str">
        <f t="shared" si="2297"/>
        <v>大阪府大阪市　平野区喜連西２丁目</v>
      </c>
      <c r="F6288" s="7"/>
      <c r="G6288" s="7" t="str">
        <f t="shared" si="2281"/>
        <v>事業用資産</v>
      </c>
      <c r="H6288" s="7" t="str">
        <f t="shared" si="2300"/>
        <v>棚卸以外</v>
      </c>
      <c r="I6288" s="7">
        <v>23</v>
      </c>
      <c r="J6288" s="7" t="str">
        <f>"コンプレッサー室"</f>
        <v>コンプレッサー室</v>
      </c>
      <c r="K6288" s="7" t="str">
        <f>"鉄筋コンクリート造"</f>
        <v>鉄筋コンクリート造</v>
      </c>
      <c r="L6288" s="7" t="str">
        <f>"S39.03.30"</f>
        <v>S39.03.30</v>
      </c>
      <c r="M6288" s="7">
        <v>4.6399999999999997</v>
      </c>
      <c r="N6288" s="7">
        <v>106451</v>
      </c>
      <c r="O6288" s="7">
        <v>106450</v>
      </c>
      <c r="P6288" s="7">
        <v>0</v>
      </c>
      <c r="Q6288" s="7" t="str">
        <f t="shared" si="2287"/>
        <v>教育庁</v>
      </c>
      <c r="R6288" s="7" t="str">
        <f t="shared" si="2299"/>
        <v>東住吉総合高等学校</v>
      </c>
    </row>
    <row r="6289" spans="1:18" s="1" customFormat="1" x14ac:dyDescent="0.45">
      <c r="A6289" s="7" t="str">
        <f t="shared" si="2295"/>
        <v>10935000000</v>
      </c>
      <c r="B6289" s="7" t="str">
        <f t="shared" si="2296"/>
        <v>東住吉総合高等学校</v>
      </c>
      <c r="C6289" s="7" t="str">
        <f t="shared" si="2301"/>
        <v>行政財産</v>
      </c>
      <c r="D6289" s="7" t="str">
        <f t="shared" si="2294"/>
        <v>学校</v>
      </c>
      <c r="E6289" s="7" t="str">
        <f t="shared" si="2297"/>
        <v>大阪府大阪市　平野区喜連西２丁目</v>
      </c>
      <c r="F6289" s="7"/>
      <c r="G6289" s="7" t="str">
        <f t="shared" si="2281"/>
        <v>事業用資産</v>
      </c>
      <c r="H6289" s="7" t="str">
        <f t="shared" si="2300"/>
        <v>棚卸以外</v>
      </c>
      <c r="I6289" s="7">
        <v>26</v>
      </c>
      <c r="J6289" s="7" t="str">
        <f>"危険物倉庫"</f>
        <v>危険物倉庫</v>
      </c>
      <c r="K6289" s="7" t="str">
        <f>"レンガ、石積造"</f>
        <v>レンガ、石積造</v>
      </c>
      <c r="L6289" s="7" t="str">
        <f>"S42.11.04"</f>
        <v>S42.11.04</v>
      </c>
      <c r="M6289" s="7">
        <v>11.36</v>
      </c>
      <c r="N6289" s="7">
        <v>161000</v>
      </c>
      <c r="O6289" s="7">
        <v>160999</v>
      </c>
      <c r="P6289" s="7">
        <v>0</v>
      </c>
      <c r="Q6289" s="7" t="str">
        <f t="shared" si="2287"/>
        <v>教育庁</v>
      </c>
      <c r="R6289" s="7" t="str">
        <f t="shared" si="2299"/>
        <v>東住吉総合高等学校</v>
      </c>
    </row>
    <row r="6290" spans="1:18" s="1" customFormat="1" x14ac:dyDescent="0.45">
      <c r="A6290" s="7" t="str">
        <f t="shared" si="2295"/>
        <v>10935000000</v>
      </c>
      <c r="B6290" s="7" t="str">
        <f t="shared" si="2296"/>
        <v>東住吉総合高等学校</v>
      </c>
      <c r="C6290" s="7" t="str">
        <f t="shared" si="2301"/>
        <v>行政財産</v>
      </c>
      <c r="D6290" s="7" t="str">
        <f t="shared" si="2294"/>
        <v>学校</v>
      </c>
      <c r="E6290" s="7" t="str">
        <f t="shared" si="2297"/>
        <v>大阪府大阪市　平野区喜連西２丁目</v>
      </c>
      <c r="F6290" s="7"/>
      <c r="G6290" s="7" t="str">
        <f t="shared" si="2281"/>
        <v>事業用資産</v>
      </c>
      <c r="H6290" s="7" t="str">
        <f t="shared" si="2300"/>
        <v>棚卸以外</v>
      </c>
      <c r="I6290" s="7">
        <v>27</v>
      </c>
      <c r="J6290" s="7" t="str">
        <f>"高圧ガス収納庫"</f>
        <v>高圧ガス収納庫</v>
      </c>
      <c r="K6290" s="7" t="str">
        <f>"軽量鉄骨造"</f>
        <v>軽量鉄骨造</v>
      </c>
      <c r="L6290" s="7" t="str">
        <f>"S43.01.25"</f>
        <v>S43.01.25</v>
      </c>
      <c r="M6290" s="7">
        <v>3.9</v>
      </c>
      <c r="N6290" s="7">
        <v>121300</v>
      </c>
      <c r="O6290" s="7">
        <v>121299</v>
      </c>
      <c r="P6290" s="7">
        <v>0</v>
      </c>
      <c r="Q6290" s="7" t="str">
        <f t="shared" si="2287"/>
        <v>教育庁</v>
      </c>
      <c r="R6290" s="7" t="str">
        <f t="shared" si="2299"/>
        <v>東住吉総合高等学校</v>
      </c>
    </row>
    <row r="6291" spans="1:18" s="1" customFormat="1" x14ac:dyDescent="0.45">
      <c r="A6291" s="7" t="str">
        <f t="shared" si="2295"/>
        <v>10935000000</v>
      </c>
      <c r="B6291" s="7" t="str">
        <f t="shared" si="2296"/>
        <v>東住吉総合高等学校</v>
      </c>
      <c r="C6291" s="7" t="str">
        <f t="shared" si="2301"/>
        <v>行政財産</v>
      </c>
      <c r="D6291" s="7" t="str">
        <f t="shared" si="2294"/>
        <v>学校</v>
      </c>
      <c r="E6291" s="7" t="str">
        <f t="shared" si="2297"/>
        <v>大阪府大阪市　平野区喜連西２丁目</v>
      </c>
      <c r="F6291" s="7"/>
      <c r="G6291" s="7" t="str">
        <f t="shared" si="2281"/>
        <v>事業用資産</v>
      </c>
      <c r="H6291" s="7" t="str">
        <f t="shared" si="2300"/>
        <v>棚卸以外</v>
      </c>
      <c r="I6291" s="7">
        <v>28</v>
      </c>
      <c r="J6291" s="7" t="str">
        <f>"定時制校舎"</f>
        <v>定時制校舎</v>
      </c>
      <c r="K6291" s="7" t="str">
        <f>"鉄筋コンクリート造"</f>
        <v>鉄筋コンクリート造</v>
      </c>
      <c r="L6291" s="7" t="str">
        <f>"S42.12.27"</f>
        <v>S42.12.27</v>
      </c>
      <c r="M6291" s="7">
        <v>931.2</v>
      </c>
      <c r="N6291" s="7">
        <v>90697887</v>
      </c>
      <c r="O6291" s="7">
        <v>58738006</v>
      </c>
      <c r="P6291" s="7">
        <v>0</v>
      </c>
      <c r="Q6291" s="7" t="str">
        <f t="shared" si="2287"/>
        <v>教育庁</v>
      </c>
      <c r="R6291" s="7" t="str">
        <f t="shared" si="2299"/>
        <v>東住吉総合高等学校</v>
      </c>
    </row>
    <row r="6292" spans="1:18" s="1" customFormat="1" x14ac:dyDescent="0.45">
      <c r="A6292" s="7" t="str">
        <f t="shared" si="2295"/>
        <v>10935000000</v>
      </c>
      <c r="B6292" s="7" t="str">
        <f t="shared" si="2296"/>
        <v>東住吉総合高等学校</v>
      </c>
      <c r="C6292" s="7" t="str">
        <f t="shared" si="2301"/>
        <v>行政財産</v>
      </c>
      <c r="D6292" s="7" t="str">
        <f t="shared" si="2294"/>
        <v>学校</v>
      </c>
      <c r="E6292" s="7" t="str">
        <f t="shared" si="2297"/>
        <v>大阪府大阪市　平野区喜連西２丁目</v>
      </c>
      <c r="F6292" s="7"/>
      <c r="G6292" s="7" t="str">
        <f t="shared" si="2281"/>
        <v>事業用資産</v>
      </c>
      <c r="H6292" s="7" t="str">
        <f t="shared" si="2300"/>
        <v>棚卸以外</v>
      </c>
      <c r="I6292" s="7">
        <v>30</v>
      </c>
      <c r="J6292" s="7" t="str">
        <f>"プール附属建物（機械室）"</f>
        <v>プール附属建物（機械室）</v>
      </c>
      <c r="K6292" s="7" t="str">
        <f>"レンガ、石積造"</f>
        <v>レンガ、石積造</v>
      </c>
      <c r="L6292" s="7" t="str">
        <f>"S43.06.29"</f>
        <v>S43.06.29</v>
      </c>
      <c r="M6292" s="7">
        <v>28.03</v>
      </c>
      <c r="N6292" s="7">
        <v>1335000</v>
      </c>
      <c r="O6292" s="7">
        <v>1334999</v>
      </c>
      <c r="P6292" s="7">
        <v>0</v>
      </c>
      <c r="Q6292" s="7" t="str">
        <f t="shared" si="2287"/>
        <v>教育庁</v>
      </c>
      <c r="R6292" s="7" t="str">
        <f t="shared" si="2299"/>
        <v>東住吉総合高等学校</v>
      </c>
    </row>
    <row r="6293" spans="1:18" s="1" customFormat="1" x14ac:dyDescent="0.45">
      <c r="A6293" s="7" t="str">
        <f t="shared" si="2295"/>
        <v>10935000000</v>
      </c>
      <c r="B6293" s="7" t="str">
        <f t="shared" si="2296"/>
        <v>東住吉総合高等学校</v>
      </c>
      <c r="C6293" s="7" t="str">
        <f t="shared" si="2301"/>
        <v>行政財産</v>
      </c>
      <c r="D6293" s="7" t="str">
        <f t="shared" si="2294"/>
        <v>学校</v>
      </c>
      <c r="E6293" s="7" t="str">
        <f t="shared" si="2297"/>
        <v>大阪府大阪市　平野区喜連西２丁目</v>
      </c>
      <c r="F6293" s="7"/>
      <c r="G6293" s="7" t="str">
        <f t="shared" si="2281"/>
        <v>事業用資産</v>
      </c>
      <c r="H6293" s="7" t="str">
        <f t="shared" si="2300"/>
        <v>棚卸以外</v>
      </c>
      <c r="I6293" s="7">
        <v>31</v>
      </c>
      <c r="J6293" s="7" t="str">
        <f>"プール附属建物"</f>
        <v>プール附属建物</v>
      </c>
      <c r="K6293" s="7" t="str">
        <f>"レンガ、石積造"</f>
        <v>レンガ、石積造</v>
      </c>
      <c r="L6293" s="7" t="str">
        <f>"S43.07.31"</f>
        <v>S43.07.31</v>
      </c>
      <c r="M6293" s="7">
        <v>78.05</v>
      </c>
      <c r="N6293" s="7">
        <v>2601633</v>
      </c>
      <c r="O6293" s="7">
        <v>2403914</v>
      </c>
      <c r="P6293" s="7">
        <v>0</v>
      </c>
      <c r="Q6293" s="7" t="str">
        <f t="shared" si="2287"/>
        <v>教育庁</v>
      </c>
      <c r="R6293" s="7" t="str">
        <f t="shared" si="2299"/>
        <v>東住吉総合高等学校</v>
      </c>
    </row>
    <row r="6294" spans="1:18" s="1" customFormat="1" x14ac:dyDescent="0.45">
      <c r="A6294" s="7" t="str">
        <f t="shared" si="2295"/>
        <v>10935000000</v>
      </c>
      <c r="B6294" s="7" t="str">
        <f t="shared" si="2296"/>
        <v>東住吉総合高等学校</v>
      </c>
      <c r="C6294" s="7" t="str">
        <f t="shared" si="2301"/>
        <v>行政財産</v>
      </c>
      <c r="D6294" s="7" t="str">
        <f t="shared" si="2294"/>
        <v>学校</v>
      </c>
      <c r="E6294" s="7" t="str">
        <f t="shared" si="2297"/>
        <v>大阪府大阪市　平野区喜連西２丁目</v>
      </c>
      <c r="F6294" s="7"/>
      <c r="G6294" s="7" t="str">
        <f t="shared" si="2281"/>
        <v>事業用資産</v>
      </c>
      <c r="H6294" s="7" t="str">
        <f t="shared" si="2300"/>
        <v>棚卸以外</v>
      </c>
      <c r="I6294" s="7">
        <v>34</v>
      </c>
      <c r="J6294" s="7" t="str">
        <f>"第２ガスポンベ収納庫"</f>
        <v>第２ガスポンベ収納庫</v>
      </c>
      <c r="K6294" s="7" t="str">
        <f>"コンクリートブロック造"</f>
        <v>コンクリートブロック造</v>
      </c>
      <c r="L6294" s="7" t="str">
        <f>"S45.03.31"</f>
        <v>S45.03.31</v>
      </c>
      <c r="M6294" s="7">
        <v>8.34</v>
      </c>
      <c r="N6294" s="7">
        <v>310000</v>
      </c>
      <c r="O6294" s="7">
        <v>309999</v>
      </c>
      <c r="P6294" s="7">
        <v>0</v>
      </c>
      <c r="Q6294" s="7" t="str">
        <f t="shared" si="2287"/>
        <v>教育庁</v>
      </c>
      <c r="R6294" s="7" t="str">
        <f t="shared" si="2299"/>
        <v>東住吉総合高等学校</v>
      </c>
    </row>
    <row r="6295" spans="1:18" s="1" customFormat="1" x14ac:dyDescent="0.45">
      <c r="A6295" s="7" t="str">
        <f t="shared" si="2295"/>
        <v>10935000000</v>
      </c>
      <c r="B6295" s="7" t="str">
        <f t="shared" si="2296"/>
        <v>東住吉総合高等学校</v>
      </c>
      <c r="C6295" s="7" t="str">
        <f t="shared" si="2301"/>
        <v>行政財産</v>
      </c>
      <c r="D6295" s="7" t="str">
        <f t="shared" si="2294"/>
        <v>学校</v>
      </c>
      <c r="E6295" s="7" t="str">
        <f t="shared" si="2297"/>
        <v>大阪府大阪市　平野区喜連西２丁目</v>
      </c>
      <c r="F6295" s="7"/>
      <c r="G6295" s="7" t="str">
        <f t="shared" ref="G6295:G6358" si="2302">"事業用資産"</f>
        <v>事業用資産</v>
      </c>
      <c r="H6295" s="7" t="str">
        <f t="shared" si="2300"/>
        <v>棚卸以外</v>
      </c>
      <c r="I6295" s="7">
        <v>36</v>
      </c>
      <c r="J6295" s="7" t="str">
        <f>"倉庫"</f>
        <v>倉庫</v>
      </c>
      <c r="K6295" s="7" t="str">
        <f>"コンクリートブロック造"</f>
        <v>コンクリートブロック造</v>
      </c>
      <c r="L6295" s="7" t="str">
        <f>"S55.11.15"</f>
        <v>S55.11.15</v>
      </c>
      <c r="M6295" s="7">
        <v>64</v>
      </c>
      <c r="N6295" s="7">
        <v>4184000</v>
      </c>
      <c r="O6295" s="7">
        <v>4183999</v>
      </c>
      <c r="P6295" s="7">
        <v>0</v>
      </c>
      <c r="Q6295" s="7" t="str">
        <f t="shared" si="2287"/>
        <v>教育庁</v>
      </c>
      <c r="R6295" s="7" t="str">
        <f t="shared" si="2299"/>
        <v>東住吉総合高等学校</v>
      </c>
    </row>
    <row r="6296" spans="1:18" s="1" customFormat="1" x14ac:dyDescent="0.45">
      <c r="A6296" s="7" t="str">
        <f t="shared" si="2295"/>
        <v>10935000000</v>
      </c>
      <c r="B6296" s="7" t="str">
        <f t="shared" si="2296"/>
        <v>東住吉総合高等学校</v>
      </c>
      <c r="C6296" s="7" t="str">
        <f t="shared" si="2301"/>
        <v>行政財産</v>
      </c>
      <c r="D6296" s="7" t="str">
        <f t="shared" si="2294"/>
        <v>学校</v>
      </c>
      <c r="E6296" s="7" t="str">
        <f t="shared" si="2297"/>
        <v>大阪府大阪市　平野区喜連西２丁目</v>
      </c>
      <c r="F6296" s="7"/>
      <c r="G6296" s="7" t="str">
        <f t="shared" si="2302"/>
        <v>事業用資産</v>
      </c>
      <c r="H6296" s="7" t="str">
        <f t="shared" si="2300"/>
        <v>棚卸以外</v>
      </c>
      <c r="I6296" s="7">
        <v>37</v>
      </c>
      <c r="J6296" s="7" t="str">
        <f>"倉庫"</f>
        <v>倉庫</v>
      </c>
      <c r="K6296" s="7" t="str">
        <f>"鉄骨造"</f>
        <v>鉄骨造</v>
      </c>
      <c r="L6296" s="7" t="str">
        <f>"S59.08.28"</f>
        <v>S59.08.28</v>
      </c>
      <c r="M6296" s="7">
        <v>75.94</v>
      </c>
      <c r="N6296" s="7">
        <v>3777000</v>
      </c>
      <c r="O6296" s="7">
        <v>3776999</v>
      </c>
      <c r="P6296" s="7">
        <v>0</v>
      </c>
      <c r="Q6296" s="7" t="str">
        <f t="shared" si="2287"/>
        <v>教育庁</v>
      </c>
      <c r="R6296" s="7" t="str">
        <f t="shared" si="2299"/>
        <v>東住吉総合高等学校</v>
      </c>
    </row>
    <row r="6297" spans="1:18" s="1" customFormat="1" x14ac:dyDescent="0.45">
      <c r="A6297" s="7" t="str">
        <f t="shared" si="2295"/>
        <v>10935000000</v>
      </c>
      <c r="B6297" s="7" t="str">
        <f t="shared" si="2296"/>
        <v>東住吉総合高等学校</v>
      </c>
      <c r="C6297" s="7" t="str">
        <f t="shared" si="2301"/>
        <v>行政財産</v>
      </c>
      <c r="D6297" s="7" t="str">
        <f t="shared" si="2294"/>
        <v>学校</v>
      </c>
      <c r="E6297" s="7" t="str">
        <f t="shared" si="2297"/>
        <v>大阪府大阪市　平野区喜連西２丁目</v>
      </c>
      <c r="F6297" s="7"/>
      <c r="G6297" s="7" t="str">
        <f t="shared" si="2302"/>
        <v>事業用資産</v>
      </c>
      <c r="H6297" s="7" t="str">
        <f t="shared" si="2300"/>
        <v>棚卸以外</v>
      </c>
      <c r="I6297" s="7">
        <v>38</v>
      </c>
      <c r="J6297" s="7" t="str">
        <f>"プレハブ校舎"</f>
        <v>プレハブ校舎</v>
      </c>
      <c r="K6297" s="7" t="str">
        <f>"鉄骨造"</f>
        <v>鉄骨造</v>
      </c>
      <c r="L6297" s="7" t="str">
        <f>"S62.03.31"</f>
        <v>S62.03.31</v>
      </c>
      <c r="M6297" s="7">
        <v>202.5</v>
      </c>
      <c r="N6297" s="7">
        <v>16114000</v>
      </c>
      <c r="O6297" s="7">
        <v>16113999</v>
      </c>
      <c r="P6297" s="7">
        <v>0</v>
      </c>
      <c r="Q6297" s="7" t="str">
        <f t="shared" si="2287"/>
        <v>教育庁</v>
      </c>
      <c r="R6297" s="7" t="str">
        <f t="shared" si="2299"/>
        <v>東住吉総合高等学校</v>
      </c>
    </row>
    <row r="6298" spans="1:18" s="1" customFormat="1" x14ac:dyDescent="0.45">
      <c r="A6298" s="7" t="str">
        <f t="shared" si="2295"/>
        <v>10935000000</v>
      </c>
      <c r="B6298" s="7" t="str">
        <f t="shared" si="2296"/>
        <v>東住吉総合高等学校</v>
      </c>
      <c r="C6298" s="7" t="str">
        <f t="shared" si="2301"/>
        <v>行政財産</v>
      </c>
      <c r="D6298" s="7" t="str">
        <f t="shared" si="2294"/>
        <v>学校</v>
      </c>
      <c r="E6298" s="7" t="str">
        <f t="shared" si="2297"/>
        <v>大阪府大阪市　平野区喜連西２丁目</v>
      </c>
      <c r="F6298" s="7"/>
      <c r="G6298" s="7" t="str">
        <f t="shared" si="2302"/>
        <v>事業用資産</v>
      </c>
      <c r="H6298" s="7" t="str">
        <f t="shared" si="2300"/>
        <v>棚卸以外</v>
      </c>
      <c r="I6298" s="7">
        <v>39</v>
      </c>
      <c r="J6298" s="7" t="str">
        <f>"倉庫"</f>
        <v>倉庫</v>
      </c>
      <c r="K6298" s="7" t="str">
        <f>"コンクリートブロック造"</f>
        <v>コンクリートブロック造</v>
      </c>
      <c r="L6298" s="7" t="str">
        <f>"S58.11.30"</f>
        <v>S58.11.30</v>
      </c>
      <c r="M6298" s="7">
        <v>19.04</v>
      </c>
      <c r="N6298" s="7">
        <v>1016000</v>
      </c>
      <c r="O6298" s="7">
        <v>1015999</v>
      </c>
      <c r="P6298" s="7">
        <v>0</v>
      </c>
      <c r="Q6298" s="7" t="str">
        <f t="shared" si="2287"/>
        <v>教育庁</v>
      </c>
      <c r="R6298" s="7" t="str">
        <f t="shared" si="2299"/>
        <v>東住吉総合高等学校</v>
      </c>
    </row>
    <row r="6299" spans="1:18" s="1" customFormat="1" x14ac:dyDescent="0.45">
      <c r="A6299" s="7" t="str">
        <f t="shared" si="2295"/>
        <v>10935000000</v>
      </c>
      <c r="B6299" s="7" t="str">
        <f t="shared" si="2296"/>
        <v>東住吉総合高等学校</v>
      </c>
      <c r="C6299" s="7" t="str">
        <f t="shared" si="2301"/>
        <v>行政財産</v>
      </c>
      <c r="D6299" s="7" t="str">
        <f t="shared" si="2294"/>
        <v>学校</v>
      </c>
      <c r="E6299" s="7" t="str">
        <f t="shared" si="2297"/>
        <v>大阪府大阪市　平野区喜連西２丁目</v>
      </c>
      <c r="F6299" s="7"/>
      <c r="G6299" s="7" t="str">
        <f t="shared" si="2302"/>
        <v>事業用資産</v>
      </c>
      <c r="H6299" s="7" t="str">
        <f t="shared" si="2300"/>
        <v>棚卸以外</v>
      </c>
      <c r="I6299" s="7">
        <v>40</v>
      </c>
      <c r="J6299" s="7" t="str">
        <f>"家庭科棟"</f>
        <v>家庭科棟</v>
      </c>
      <c r="K6299" s="7" t="str">
        <f>"コンクリートブロック造"</f>
        <v>コンクリートブロック造</v>
      </c>
      <c r="L6299" s="7" t="str">
        <f>"H06.03.15"</f>
        <v>H06.03.15</v>
      </c>
      <c r="M6299" s="7">
        <v>428.5</v>
      </c>
      <c r="N6299" s="7">
        <v>111291058</v>
      </c>
      <c r="O6299" s="7">
        <v>94842132</v>
      </c>
      <c r="P6299" s="7">
        <v>0</v>
      </c>
      <c r="Q6299" s="7" t="str">
        <f t="shared" ref="Q6299:Q6362" si="2303">"教育庁"</f>
        <v>教育庁</v>
      </c>
      <c r="R6299" s="7" t="str">
        <f t="shared" si="2299"/>
        <v>東住吉総合高等学校</v>
      </c>
    </row>
    <row r="6300" spans="1:18" s="1" customFormat="1" x14ac:dyDescent="0.45">
      <c r="A6300" s="7" t="str">
        <f t="shared" si="2295"/>
        <v>10935000000</v>
      </c>
      <c r="B6300" s="7" t="str">
        <f t="shared" si="2296"/>
        <v>東住吉総合高等学校</v>
      </c>
      <c r="C6300" s="7" t="str">
        <f t="shared" si="2301"/>
        <v>行政財産</v>
      </c>
      <c r="D6300" s="7" t="str">
        <f t="shared" si="2294"/>
        <v>学校</v>
      </c>
      <c r="E6300" s="7" t="str">
        <f t="shared" si="2297"/>
        <v>大阪府大阪市　平野区喜連西２丁目</v>
      </c>
      <c r="F6300" s="7"/>
      <c r="G6300" s="7" t="str">
        <f t="shared" si="2302"/>
        <v>事業用資産</v>
      </c>
      <c r="H6300" s="7" t="str">
        <f t="shared" si="2300"/>
        <v>棚卸以外</v>
      </c>
      <c r="I6300" s="7">
        <v>41</v>
      </c>
      <c r="J6300" s="7" t="str">
        <f>"倉庫"</f>
        <v>倉庫</v>
      </c>
      <c r="K6300" s="7" t="str">
        <f>"軽量鉄骨造"</f>
        <v>軽量鉄骨造</v>
      </c>
      <c r="L6300" s="7" t="str">
        <f>"H09.03.31"</f>
        <v>H09.03.31</v>
      </c>
      <c r="M6300" s="7">
        <v>130.68</v>
      </c>
      <c r="N6300" s="7">
        <v>7410000</v>
      </c>
      <c r="O6300" s="7">
        <v>7409999</v>
      </c>
      <c r="P6300" s="7">
        <v>0</v>
      </c>
      <c r="Q6300" s="7" t="str">
        <f t="shared" si="2303"/>
        <v>教育庁</v>
      </c>
      <c r="R6300" s="7" t="str">
        <f t="shared" si="2299"/>
        <v>東住吉総合高等学校</v>
      </c>
    </row>
    <row r="6301" spans="1:18" s="1" customFormat="1" x14ac:dyDescent="0.45">
      <c r="A6301" s="7" t="str">
        <f t="shared" ref="A6301:A6325" si="2304">"10936000000"</f>
        <v>10936000000</v>
      </c>
      <c r="B6301" s="7" t="str">
        <f t="shared" ref="B6301:B6325" si="2305">"和泉総合高等学校"</f>
        <v>和泉総合高等学校</v>
      </c>
      <c r="C6301" s="7" t="str">
        <f t="shared" si="2301"/>
        <v>行政財産</v>
      </c>
      <c r="D6301" s="7" t="str">
        <f t="shared" si="2294"/>
        <v>学校</v>
      </c>
      <c r="E6301" s="7" t="str">
        <f t="shared" ref="E6301:E6325" si="2306">"大阪府和泉市富秋町"</f>
        <v>大阪府和泉市富秋町</v>
      </c>
      <c r="F6301" s="7"/>
      <c r="G6301" s="7" t="str">
        <f t="shared" si="2302"/>
        <v>事業用資産</v>
      </c>
      <c r="H6301" s="7" t="str">
        <f t="shared" si="2300"/>
        <v>棚卸以外</v>
      </c>
      <c r="I6301" s="7">
        <v>1</v>
      </c>
      <c r="J6301" s="7" t="str">
        <f>"本館"</f>
        <v>本館</v>
      </c>
      <c r="K6301" s="7" t="str">
        <f t="shared" ref="K6301:K6307" si="2307">"鉄筋コンクリート造"</f>
        <v>鉄筋コンクリート造</v>
      </c>
      <c r="L6301" s="7" t="str">
        <f>"S38.02.20"</f>
        <v>S38.02.20</v>
      </c>
      <c r="M6301" s="7">
        <v>3726.85</v>
      </c>
      <c r="N6301" s="7">
        <v>222033417</v>
      </c>
      <c r="O6301" s="7">
        <v>136485769</v>
      </c>
      <c r="P6301" s="7">
        <v>0</v>
      </c>
      <c r="Q6301" s="7" t="str">
        <f t="shared" si="2303"/>
        <v>教育庁</v>
      </c>
      <c r="R6301" s="7" t="str">
        <f t="shared" ref="R6301:R6325" si="2308">"和泉総合高等学校"</f>
        <v>和泉総合高等学校</v>
      </c>
    </row>
    <row r="6302" spans="1:18" s="1" customFormat="1" x14ac:dyDescent="0.45">
      <c r="A6302" s="7" t="str">
        <f t="shared" si="2304"/>
        <v>10936000000</v>
      </c>
      <c r="B6302" s="7" t="str">
        <f t="shared" si="2305"/>
        <v>和泉総合高等学校</v>
      </c>
      <c r="C6302" s="7" t="str">
        <f t="shared" si="2301"/>
        <v>行政財産</v>
      </c>
      <c r="D6302" s="7" t="str">
        <f t="shared" si="2294"/>
        <v>学校</v>
      </c>
      <c r="E6302" s="7" t="str">
        <f t="shared" si="2306"/>
        <v>大阪府和泉市富秋町</v>
      </c>
      <c r="F6302" s="7"/>
      <c r="G6302" s="7" t="str">
        <f t="shared" si="2302"/>
        <v>事業用資産</v>
      </c>
      <c r="H6302" s="7" t="str">
        <f t="shared" si="2300"/>
        <v>棚卸以外</v>
      </c>
      <c r="I6302" s="7">
        <v>2</v>
      </c>
      <c r="J6302" s="7" t="str">
        <f>"門衛所"</f>
        <v>門衛所</v>
      </c>
      <c r="K6302" s="7" t="str">
        <f t="shared" si="2307"/>
        <v>鉄筋コンクリート造</v>
      </c>
      <c r="L6302" s="7" t="str">
        <f>"S38.02.20"</f>
        <v>S38.02.20</v>
      </c>
      <c r="M6302" s="7">
        <v>24.82</v>
      </c>
      <c r="N6302" s="7">
        <v>929098</v>
      </c>
      <c r="O6302" s="7">
        <v>929097</v>
      </c>
      <c r="P6302" s="7">
        <v>0</v>
      </c>
      <c r="Q6302" s="7" t="str">
        <f t="shared" si="2303"/>
        <v>教育庁</v>
      </c>
      <c r="R6302" s="7" t="str">
        <f t="shared" si="2308"/>
        <v>和泉総合高等学校</v>
      </c>
    </row>
    <row r="6303" spans="1:18" s="1" customFormat="1" x14ac:dyDescent="0.45">
      <c r="A6303" s="7" t="str">
        <f t="shared" si="2304"/>
        <v>10936000000</v>
      </c>
      <c r="B6303" s="7" t="str">
        <f t="shared" si="2305"/>
        <v>和泉総合高等学校</v>
      </c>
      <c r="C6303" s="7" t="str">
        <f t="shared" si="2301"/>
        <v>行政財産</v>
      </c>
      <c r="D6303" s="7" t="str">
        <f t="shared" si="2294"/>
        <v>学校</v>
      </c>
      <c r="E6303" s="7" t="str">
        <f t="shared" si="2306"/>
        <v>大阪府和泉市富秋町</v>
      </c>
      <c r="F6303" s="7"/>
      <c r="G6303" s="7" t="str">
        <f t="shared" si="2302"/>
        <v>事業用資産</v>
      </c>
      <c r="H6303" s="7" t="str">
        <f t="shared" si="2300"/>
        <v>棚卸以外</v>
      </c>
      <c r="I6303" s="7">
        <v>3</v>
      </c>
      <c r="J6303" s="7" t="str">
        <f>"電気室"</f>
        <v>電気室</v>
      </c>
      <c r="K6303" s="7" t="str">
        <f t="shared" si="2307"/>
        <v>鉄筋コンクリート造</v>
      </c>
      <c r="L6303" s="7" t="str">
        <f>"S38.02.20"</f>
        <v>S38.02.20</v>
      </c>
      <c r="M6303" s="7">
        <v>79.95</v>
      </c>
      <c r="N6303" s="7">
        <v>13632820</v>
      </c>
      <c r="O6303" s="7">
        <v>11335130</v>
      </c>
      <c r="P6303" s="7">
        <v>0</v>
      </c>
      <c r="Q6303" s="7" t="str">
        <f t="shared" si="2303"/>
        <v>教育庁</v>
      </c>
      <c r="R6303" s="7" t="str">
        <f t="shared" si="2308"/>
        <v>和泉総合高等学校</v>
      </c>
    </row>
    <row r="6304" spans="1:18" s="1" customFormat="1" x14ac:dyDescent="0.45">
      <c r="A6304" s="7" t="str">
        <f t="shared" si="2304"/>
        <v>10936000000</v>
      </c>
      <c r="B6304" s="7" t="str">
        <f t="shared" si="2305"/>
        <v>和泉総合高等学校</v>
      </c>
      <c r="C6304" s="7" t="str">
        <f t="shared" si="2301"/>
        <v>行政財産</v>
      </c>
      <c r="D6304" s="7" t="str">
        <f t="shared" si="2294"/>
        <v>学校</v>
      </c>
      <c r="E6304" s="7" t="str">
        <f t="shared" si="2306"/>
        <v>大阪府和泉市富秋町</v>
      </c>
      <c r="F6304" s="7"/>
      <c r="G6304" s="7" t="str">
        <f t="shared" si="2302"/>
        <v>事業用資産</v>
      </c>
      <c r="H6304" s="7" t="str">
        <f t="shared" si="2300"/>
        <v>棚卸以外</v>
      </c>
      <c r="I6304" s="7">
        <v>8</v>
      </c>
      <c r="J6304" s="7" t="str">
        <f>"第１機械工場"</f>
        <v>第１機械工場</v>
      </c>
      <c r="K6304" s="7" t="str">
        <f t="shared" si="2307"/>
        <v>鉄筋コンクリート造</v>
      </c>
      <c r="L6304" s="7" t="str">
        <f>"S39.02.29"</f>
        <v>S39.02.29</v>
      </c>
      <c r="M6304" s="7">
        <v>1212.32</v>
      </c>
      <c r="N6304" s="7">
        <v>46281036</v>
      </c>
      <c r="O6304" s="7">
        <v>46281035</v>
      </c>
      <c r="P6304" s="7">
        <v>0</v>
      </c>
      <c r="Q6304" s="7" t="str">
        <f t="shared" si="2303"/>
        <v>教育庁</v>
      </c>
      <c r="R6304" s="7" t="str">
        <f t="shared" si="2308"/>
        <v>和泉総合高等学校</v>
      </c>
    </row>
    <row r="6305" spans="1:18" s="1" customFormat="1" x14ac:dyDescent="0.45">
      <c r="A6305" s="7" t="str">
        <f t="shared" si="2304"/>
        <v>10936000000</v>
      </c>
      <c r="B6305" s="7" t="str">
        <f t="shared" si="2305"/>
        <v>和泉総合高等学校</v>
      </c>
      <c r="C6305" s="7" t="str">
        <f t="shared" si="2301"/>
        <v>行政財産</v>
      </c>
      <c r="D6305" s="7" t="str">
        <f t="shared" si="2294"/>
        <v>学校</v>
      </c>
      <c r="E6305" s="7" t="str">
        <f t="shared" si="2306"/>
        <v>大阪府和泉市富秋町</v>
      </c>
      <c r="F6305" s="7"/>
      <c r="G6305" s="7" t="str">
        <f t="shared" si="2302"/>
        <v>事業用資産</v>
      </c>
      <c r="H6305" s="7" t="str">
        <f t="shared" si="2300"/>
        <v>棚卸以外</v>
      </c>
      <c r="I6305" s="7">
        <v>12</v>
      </c>
      <c r="J6305" s="7" t="str">
        <f>"第２機械工場"</f>
        <v>第２機械工場</v>
      </c>
      <c r="K6305" s="7" t="str">
        <f t="shared" si="2307"/>
        <v>鉄筋コンクリート造</v>
      </c>
      <c r="L6305" s="7" t="str">
        <f>"S40.02.28"</f>
        <v>S40.02.28</v>
      </c>
      <c r="M6305" s="7">
        <v>977.84</v>
      </c>
      <c r="N6305" s="7">
        <v>37201200</v>
      </c>
      <c r="O6305" s="7">
        <v>36467411</v>
      </c>
      <c r="P6305" s="7">
        <v>0</v>
      </c>
      <c r="Q6305" s="7" t="str">
        <f t="shared" si="2303"/>
        <v>教育庁</v>
      </c>
      <c r="R6305" s="7" t="str">
        <f t="shared" si="2308"/>
        <v>和泉総合高等学校</v>
      </c>
    </row>
    <row r="6306" spans="1:18" s="1" customFormat="1" x14ac:dyDescent="0.45">
      <c r="A6306" s="7" t="str">
        <f t="shared" si="2304"/>
        <v>10936000000</v>
      </c>
      <c r="B6306" s="7" t="str">
        <f t="shared" si="2305"/>
        <v>和泉総合高等学校</v>
      </c>
      <c r="C6306" s="7" t="str">
        <f t="shared" si="2301"/>
        <v>行政財産</v>
      </c>
      <c r="D6306" s="7" t="str">
        <f t="shared" si="2294"/>
        <v>学校</v>
      </c>
      <c r="E6306" s="7" t="str">
        <f t="shared" si="2306"/>
        <v>大阪府和泉市富秋町</v>
      </c>
      <c r="F6306" s="7"/>
      <c r="G6306" s="7" t="str">
        <f t="shared" si="2302"/>
        <v>事業用資産</v>
      </c>
      <c r="H6306" s="7" t="str">
        <f t="shared" si="2300"/>
        <v>棚卸以外</v>
      </c>
      <c r="I6306" s="7">
        <v>13</v>
      </c>
      <c r="J6306" s="7" t="str">
        <f>"体育館"</f>
        <v>体育館</v>
      </c>
      <c r="K6306" s="7" t="str">
        <f t="shared" si="2307"/>
        <v>鉄筋コンクリート造</v>
      </c>
      <c r="L6306" s="7" t="str">
        <f>"S41.01.07"</f>
        <v>S41.01.07</v>
      </c>
      <c r="M6306" s="7">
        <v>2344.2199999999998</v>
      </c>
      <c r="N6306" s="7">
        <v>112397210</v>
      </c>
      <c r="O6306" s="7">
        <v>85517060</v>
      </c>
      <c r="P6306" s="7">
        <v>0</v>
      </c>
      <c r="Q6306" s="7" t="str">
        <f t="shared" si="2303"/>
        <v>教育庁</v>
      </c>
      <c r="R6306" s="7" t="str">
        <f t="shared" si="2308"/>
        <v>和泉総合高等学校</v>
      </c>
    </row>
    <row r="6307" spans="1:18" s="1" customFormat="1" x14ac:dyDescent="0.45">
      <c r="A6307" s="7" t="str">
        <f t="shared" si="2304"/>
        <v>10936000000</v>
      </c>
      <c r="B6307" s="7" t="str">
        <f t="shared" si="2305"/>
        <v>和泉総合高等学校</v>
      </c>
      <c r="C6307" s="7" t="str">
        <f t="shared" si="2301"/>
        <v>行政財産</v>
      </c>
      <c r="D6307" s="7" t="str">
        <f t="shared" si="2294"/>
        <v>学校</v>
      </c>
      <c r="E6307" s="7" t="str">
        <f t="shared" si="2306"/>
        <v>大阪府和泉市富秋町</v>
      </c>
      <c r="F6307" s="7"/>
      <c r="G6307" s="7" t="str">
        <f t="shared" si="2302"/>
        <v>事業用資産</v>
      </c>
      <c r="H6307" s="7" t="str">
        <f t="shared" si="2300"/>
        <v>棚卸以外</v>
      </c>
      <c r="I6307" s="7">
        <v>14</v>
      </c>
      <c r="J6307" s="7" t="str">
        <f>"危険物倉庫"</f>
        <v>危険物倉庫</v>
      </c>
      <c r="K6307" s="7" t="str">
        <f t="shared" si="2307"/>
        <v>鉄筋コンクリート造</v>
      </c>
      <c r="L6307" s="7" t="str">
        <f>"S41.11.30"</f>
        <v>S41.11.30</v>
      </c>
      <c r="M6307" s="7">
        <v>20</v>
      </c>
      <c r="N6307" s="7">
        <v>545000</v>
      </c>
      <c r="O6307" s="7">
        <v>544999</v>
      </c>
      <c r="P6307" s="7">
        <v>0</v>
      </c>
      <c r="Q6307" s="7" t="str">
        <f t="shared" si="2303"/>
        <v>教育庁</v>
      </c>
      <c r="R6307" s="7" t="str">
        <f t="shared" si="2308"/>
        <v>和泉総合高等学校</v>
      </c>
    </row>
    <row r="6308" spans="1:18" s="1" customFormat="1" x14ac:dyDescent="0.45">
      <c r="A6308" s="7" t="str">
        <f t="shared" si="2304"/>
        <v>10936000000</v>
      </c>
      <c r="B6308" s="7" t="str">
        <f t="shared" si="2305"/>
        <v>和泉総合高等学校</v>
      </c>
      <c r="C6308" s="7" t="str">
        <f t="shared" si="2301"/>
        <v>行政財産</v>
      </c>
      <c r="D6308" s="7" t="str">
        <f t="shared" si="2294"/>
        <v>学校</v>
      </c>
      <c r="E6308" s="7" t="str">
        <f t="shared" si="2306"/>
        <v>大阪府和泉市富秋町</v>
      </c>
      <c r="F6308" s="7"/>
      <c r="G6308" s="7" t="str">
        <f t="shared" si="2302"/>
        <v>事業用資産</v>
      </c>
      <c r="H6308" s="7" t="str">
        <f t="shared" si="2300"/>
        <v>棚卸以外</v>
      </c>
      <c r="I6308" s="7">
        <v>15</v>
      </c>
      <c r="J6308" s="7" t="str">
        <f>"倉庫"</f>
        <v>倉庫</v>
      </c>
      <c r="K6308" s="7" t="str">
        <f>"鉄骨コンクリート造"</f>
        <v>鉄骨コンクリート造</v>
      </c>
      <c r="L6308" s="7" t="str">
        <f>"S41.11.30"</f>
        <v>S41.11.30</v>
      </c>
      <c r="M6308" s="7">
        <v>116.92</v>
      </c>
      <c r="N6308" s="7">
        <v>2465000</v>
      </c>
      <c r="O6308" s="7">
        <v>2464999</v>
      </c>
      <c r="P6308" s="7">
        <v>0</v>
      </c>
      <c r="Q6308" s="7" t="str">
        <f t="shared" si="2303"/>
        <v>教育庁</v>
      </c>
      <c r="R6308" s="7" t="str">
        <f t="shared" si="2308"/>
        <v>和泉総合高等学校</v>
      </c>
    </row>
    <row r="6309" spans="1:18" s="1" customFormat="1" x14ac:dyDescent="0.45">
      <c r="A6309" s="7" t="str">
        <f t="shared" si="2304"/>
        <v>10936000000</v>
      </c>
      <c r="B6309" s="7" t="str">
        <f t="shared" si="2305"/>
        <v>和泉総合高等学校</v>
      </c>
      <c r="C6309" s="7" t="str">
        <f t="shared" si="2301"/>
        <v>行政財産</v>
      </c>
      <c r="D6309" s="7" t="str">
        <f t="shared" si="2294"/>
        <v>学校</v>
      </c>
      <c r="E6309" s="7" t="str">
        <f t="shared" si="2306"/>
        <v>大阪府和泉市富秋町</v>
      </c>
      <c r="F6309" s="7"/>
      <c r="G6309" s="7" t="str">
        <f t="shared" si="2302"/>
        <v>事業用資産</v>
      </c>
      <c r="H6309" s="7" t="str">
        <f t="shared" si="2300"/>
        <v>棚卸以外</v>
      </c>
      <c r="I6309" s="7">
        <v>17</v>
      </c>
      <c r="J6309" s="7" t="str">
        <f>"ガレージ"</f>
        <v>ガレージ</v>
      </c>
      <c r="K6309" s="7" t="str">
        <f>"鉄骨コンクリート造"</f>
        <v>鉄骨コンクリート造</v>
      </c>
      <c r="L6309" s="7" t="str">
        <f>"S41.11.30"</f>
        <v>S41.11.30</v>
      </c>
      <c r="M6309" s="7">
        <v>72</v>
      </c>
      <c r="N6309" s="7">
        <v>1268000</v>
      </c>
      <c r="O6309" s="7">
        <v>1267999</v>
      </c>
      <c r="P6309" s="7">
        <v>0</v>
      </c>
      <c r="Q6309" s="7" t="str">
        <f t="shared" si="2303"/>
        <v>教育庁</v>
      </c>
      <c r="R6309" s="7" t="str">
        <f t="shared" si="2308"/>
        <v>和泉総合高等学校</v>
      </c>
    </row>
    <row r="6310" spans="1:18" s="1" customFormat="1" x14ac:dyDescent="0.45">
      <c r="A6310" s="7" t="str">
        <f t="shared" si="2304"/>
        <v>10936000000</v>
      </c>
      <c r="B6310" s="7" t="str">
        <f t="shared" si="2305"/>
        <v>和泉総合高等学校</v>
      </c>
      <c r="C6310" s="7" t="str">
        <f t="shared" si="2301"/>
        <v>行政財産</v>
      </c>
      <c r="D6310" s="7" t="str">
        <f t="shared" si="2294"/>
        <v>学校</v>
      </c>
      <c r="E6310" s="7" t="str">
        <f t="shared" si="2306"/>
        <v>大阪府和泉市富秋町</v>
      </c>
      <c r="F6310" s="7"/>
      <c r="G6310" s="7" t="str">
        <f t="shared" si="2302"/>
        <v>事業用資産</v>
      </c>
      <c r="H6310" s="7" t="str">
        <f t="shared" si="2300"/>
        <v>棚卸以外</v>
      </c>
      <c r="I6310" s="7">
        <v>18</v>
      </c>
      <c r="J6310" s="7" t="str">
        <f>"便所"</f>
        <v>便所</v>
      </c>
      <c r="K6310" s="7" t="str">
        <f>"鉄骨コンクリート造"</f>
        <v>鉄骨コンクリート造</v>
      </c>
      <c r="L6310" s="7" t="str">
        <f>"S41.11.30"</f>
        <v>S41.11.30</v>
      </c>
      <c r="M6310" s="7">
        <v>15.12</v>
      </c>
      <c r="N6310" s="7">
        <v>522000</v>
      </c>
      <c r="O6310" s="7">
        <v>521999</v>
      </c>
      <c r="P6310" s="7">
        <v>0</v>
      </c>
      <c r="Q6310" s="7" t="str">
        <f t="shared" si="2303"/>
        <v>教育庁</v>
      </c>
      <c r="R6310" s="7" t="str">
        <f t="shared" si="2308"/>
        <v>和泉総合高等学校</v>
      </c>
    </row>
    <row r="6311" spans="1:18" s="1" customFormat="1" x14ac:dyDescent="0.45">
      <c r="A6311" s="7" t="str">
        <f t="shared" si="2304"/>
        <v>10936000000</v>
      </c>
      <c r="B6311" s="7" t="str">
        <f t="shared" si="2305"/>
        <v>和泉総合高等学校</v>
      </c>
      <c r="C6311" s="7" t="str">
        <f t="shared" si="2301"/>
        <v>行政財産</v>
      </c>
      <c r="D6311" s="7" t="str">
        <f t="shared" si="2294"/>
        <v>学校</v>
      </c>
      <c r="E6311" s="7" t="str">
        <f t="shared" si="2306"/>
        <v>大阪府和泉市富秋町</v>
      </c>
      <c r="F6311" s="7"/>
      <c r="G6311" s="7" t="str">
        <f t="shared" si="2302"/>
        <v>事業用資産</v>
      </c>
      <c r="H6311" s="7" t="str">
        <f t="shared" si="2300"/>
        <v>棚卸以外</v>
      </c>
      <c r="I6311" s="7">
        <v>21</v>
      </c>
      <c r="J6311" s="7" t="str">
        <f>"プール付属棟"</f>
        <v>プール付属棟</v>
      </c>
      <c r="K6311" s="7" t="str">
        <f>"コンクリートブロック造"</f>
        <v>コンクリートブロック造</v>
      </c>
      <c r="L6311" s="7" t="str">
        <f>"S43.03.28"</f>
        <v>S43.03.28</v>
      </c>
      <c r="M6311" s="7">
        <v>183.66</v>
      </c>
      <c r="N6311" s="7">
        <v>34588023</v>
      </c>
      <c r="O6311" s="7">
        <v>30781575</v>
      </c>
      <c r="P6311" s="7">
        <v>0</v>
      </c>
      <c r="Q6311" s="7" t="str">
        <f t="shared" si="2303"/>
        <v>教育庁</v>
      </c>
      <c r="R6311" s="7" t="str">
        <f t="shared" si="2308"/>
        <v>和泉総合高等学校</v>
      </c>
    </row>
    <row r="6312" spans="1:18" s="1" customFormat="1" x14ac:dyDescent="0.45">
      <c r="A6312" s="7" t="str">
        <f t="shared" si="2304"/>
        <v>10936000000</v>
      </c>
      <c r="B6312" s="7" t="str">
        <f t="shared" si="2305"/>
        <v>和泉総合高等学校</v>
      </c>
      <c r="C6312" s="7" t="str">
        <f t="shared" si="2301"/>
        <v>行政財産</v>
      </c>
      <c r="D6312" s="7" t="str">
        <f t="shared" si="2294"/>
        <v>学校</v>
      </c>
      <c r="E6312" s="7" t="str">
        <f t="shared" si="2306"/>
        <v>大阪府和泉市富秋町</v>
      </c>
      <c r="F6312" s="7"/>
      <c r="G6312" s="7" t="str">
        <f t="shared" si="2302"/>
        <v>事業用資産</v>
      </c>
      <c r="H6312" s="7" t="str">
        <f t="shared" si="2300"/>
        <v>棚卸以外</v>
      </c>
      <c r="I6312" s="7">
        <v>24</v>
      </c>
      <c r="J6312" s="7" t="str">
        <f>"自動車工場"</f>
        <v>自動車工場</v>
      </c>
      <c r="K6312" s="7" t="str">
        <f>"鉄骨造"</f>
        <v>鉄骨造</v>
      </c>
      <c r="L6312" s="7" t="str">
        <f>"S43.11.30"</f>
        <v>S43.11.30</v>
      </c>
      <c r="M6312" s="7">
        <v>615.4</v>
      </c>
      <c r="N6312" s="7">
        <v>27118711</v>
      </c>
      <c r="O6312" s="7">
        <v>24364022</v>
      </c>
      <c r="P6312" s="7">
        <v>0</v>
      </c>
      <c r="Q6312" s="7" t="str">
        <f t="shared" si="2303"/>
        <v>教育庁</v>
      </c>
      <c r="R6312" s="7" t="str">
        <f t="shared" si="2308"/>
        <v>和泉総合高等学校</v>
      </c>
    </row>
    <row r="6313" spans="1:18" s="1" customFormat="1" x14ac:dyDescent="0.45">
      <c r="A6313" s="7" t="str">
        <f t="shared" si="2304"/>
        <v>10936000000</v>
      </c>
      <c r="B6313" s="7" t="str">
        <f t="shared" si="2305"/>
        <v>和泉総合高等学校</v>
      </c>
      <c r="C6313" s="7" t="str">
        <f t="shared" si="2301"/>
        <v>行政財産</v>
      </c>
      <c r="D6313" s="7" t="str">
        <f t="shared" si="2294"/>
        <v>学校</v>
      </c>
      <c r="E6313" s="7" t="str">
        <f t="shared" si="2306"/>
        <v>大阪府和泉市富秋町</v>
      </c>
      <c r="F6313" s="7"/>
      <c r="G6313" s="7" t="str">
        <f t="shared" si="2302"/>
        <v>事業用資産</v>
      </c>
      <c r="H6313" s="7" t="str">
        <f t="shared" si="2300"/>
        <v>棚卸以外</v>
      </c>
      <c r="I6313" s="7">
        <v>25</v>
      </c>
      <c r="J6313" s="7" t="str">
        <f>"クラブ活動更衣室"</f>
        <v>クラブ活動更衣室</v>
      </c>
      <c r="K6313" s="7" t="str">
        <f>"レンガ、石積造"</f>
        <v>レンガ、石積造</v>
      </c>
      <c r="L6313" s="7" t="str">
        <f>"S44.02.28"</f>
        <v>S44.02.28</v>
      </c>
      <c r="M6313" s="7">
        <v>99.88</v>
      </c>
      <c r="N6313" s="7">
        <v>2000000</v>
      </c>
      <c r="O6313" s="7">
        <v>1999999</v>
      </c>
      <c r="P6313" s="7">
        <v>0</v>
      </c>
      <c r="Q6313" s="7" t="str">
        <f t="shared" si="2303"/>
        <v>教育庁</v>
      </c>
      <c r="R6313" s="7" t="str">
        <f t="shared" si="2308"/>
        <v>和泉総合高等学校</v>
      </c>
    </row>
    <row r="6314" spans="1:18" s="1" customFormat="1" x14ac:dyDescent="0.45">
      <c r="A6314" s="7" t="str">
        <f t="shared" si="2304"/>
        <v>10936000000</v>
      </c>
      <c r="B6314" s="7" t="str">
        <f t="shared" si="2305"/>
        <v>和泉総合高等学校</v>
      </c>
      <c r="C6314" s="7" t="str">
        <f t="shared" si="2301"/>
        <v>行政財産</v>
      </c>
      <c r="D6314" s="7" t="str">
        <f t="shared" si="2294"/>
        <v>学校</v>
      </c>
      <c r="E6314" s="7" t="str">
        <f t="shared" si="2306"/>
        <v>大阪府和泉市富秋町</v>
      </c>
      <c r="F6314" s="7"/>
      <c r="G6314" s="7" t="str">
        <f t="shared" si="2302"/>
        <v>事業用資産</v>
      </c>
      <c r="H6314" s="7" t="str">
        <f t="shared" si="2300"/>
        <v>棚卸以外</v>
      </c>
      <c r="I6314" s="7">
        <v>26</v>
      </c>
      <c r="J6314" s="7" t="str">
        <f>"定時制棟"</f>
        <v>定時制棟</v>
      </c>
      <c r="K6314" s="7" t="str">
        <f>"鉄筋コンクリート造"</f>
        <v>鉄筋コンクリート造</v>
      </c>
      <c r="L6314" s="7" t="str">
        <f>"S45.03.28"</f>
        <v>S45.03.28</v>
      </c>
      <c r="M6314" s="7">
        <v>444</v>
      </c>
      <c r="N6314" s="7">
        <v>43818000</v>
      </c>
      <c r="O6314" s="7">
        <v>32051580</v>
      </c>
      <c r="P6314" s="7">
        <v>0</v>
      </c>
      <c r="Q6314" s="7" t="str">
        <f t="shared" si="2303"/>
        <v>教育庁</v>
      </c>
      <c r="R6314" s="7" t="str">
        <f t="shared" si="2308"/>
        <v>和泉総合高等学校</v>
      </c>
    </row>
    <row r="6315" spans="1:18" s="1" customFormat="1" x14ac:dyDescent="0.45">
      <c r="A6315" s="7" t="str">
        <f t="shared" si="2304"/>
        <v>10936000000</v>
      </c>
      <c r="B6315" s="7" t="str">
        <f t="shared" si="2305"/>
        <v>和泉総合高等学校</v>
      </c>
      <c r="C6315" s="7" t="str">
        <f t="shared" si="2301"/>
        <v>行政財産</v>
      </c>
      <c r="D6315" s="7" t="str">
        <f t="shared" si="2294"/>
        <v>学校</v>
      </c>
      <c r="E6315" s="7" t="str">
        <f t="shared" si="2306"/>
        <v>大阪府和泉市富秋町</v>
      </c>
      <c r="F6315" s="7"/>
      <c r="G6315" s="7" t="str">
        <f t="shared" si="2302"/>
        <v>事業用資産</v>
      </c>
      <c r="H6315" s="7" t="str">
        <f t="shared" si="2300"/>
        <v>棚卸以外</v>
      </c>
      <c r="I6315" s="7">
        <v>28</v>
      </c>
      <c r="J6315" s="7" t="str">
        <f>"事務倉庫棟"</f>
        <v>事務倉庫棟</v>
      </c>
      <c r="K6315" s="7" t="str">
        <f>"鉄筋コンクリート造"</f>
        <v>鉄筋コンクリート造</v>
      </c>
      <c r="L6315" s="7" t="str">
        <f>"S40.02.28"</f>
        <v>S40.02.28</v>
      </c>
      <c r="M6315" s="7">
        <v>78.540000000000006</v>
      </c>
      <c r="N6315" s="7">
        <v>14264000</v>
      </c>
      <c r="O6315" s="7">
        <v>10133247</v>
      </c>
      <c r="P6315" s="7">
        <v>0</v>
      </c>
      <c r="Q6315" s="7" t="str">
        <f t="shared" si="2303"/>
        <v>教育庁</v>
      </c>
      <c r="R6315" s="7" t="str">
        <f t="shared" si="2308"/>
        <v>和泉総合高等学校</v>
      </c>
    </row>
    <row r="6316" spans="1:18" s="1" customFormat="1" x14ac:dyDescent="0.45">
      <c r="A6316" s="7" t="str">
        <f t="shared" si="2304"/>
        <v>10936000000</v>
      </c>
      <c r="B6316" s="7" t="str">
        <f t="shared" si="2305"/>
        <v>和泉総合高等学校</v>
      </c>
      <c r="C6316" s="7" t="str">
        <f t="shared" si="2301"/>
        <v>行政財産</v>
      </c>
      <c r="D6316" s="7" t="str">
        <f t="shared" si="2294"/>
        <v>学校</v>
      </c>
      <c r="E6316" s="7" t="str">
        <f t="shared" si="2306"/>
        <v>大阪府和泉市富秋町</v>
      </c>
      <c r="F6316" s="7"/>
      <c r="G6316" s="7" t="str">
        <f t="shared" si="2302"/>
        <v>事業用資産</v>
      </c>
      <c r="H6316" s="7" t="str">
        <f t="shared" si="2300"/>
        <v>棚卸以外</v>
      </c>
      <c r="I6316" s="7">
        <v>30</v>
      </c>
      <c r="J6316" s="7" t="str">
        <f>"美術教室棟"</f>
        <v>美術教室棟</v>
      </c>
      <c r="K6316" s="7" t="str">
        <f>"軽量鉄骨造"</f>
        <v>軽量鉄骨造</v>
      </c>
      <c r="L6316" s="7" t="str">
        <f>"S50.03.28"</f>
        <v>S50.03.28</v>
      </c>
      <c r="M6316" s="7">
        <v>180</v>
      </c>
      <c r="N6316" s="7">
        <v>22610509</v>
      </c>
      <c r="O6316" s="7">
        <v>21077283</v>
      </c>
      <c r="P6316" s="7">
        <v>0</v>
      </c>
      <c r="Q6316" s="7" t="str">
        <f t="shared" si="2303"/>
        <v>教育庁</v>
      </c>
      <c r="R6316" s="7" t="str">
        <f t="shared" si="2308"/>
        <v>和泉総合高等学校</v>
      </c>
    </row>
    <row r="6317" spans="1:18" s="1" customFormat="1" x14ac:dyDescent="0.45">
      <c r="A6317" s="7" t="str">
        <f t="shared" si="2304"/>
        <v>10936000000</v>
      </c>
      <c r="B6317" s="7" t="str">
        <f t="shared" si="2305"/>
        <v>和泉総合高等学校</v>
      </c>
      <c r="C6317" s="7" t="str">
        <f t="shared" si="2301"/>
        <v>行政財産</v>
      </c>
      <c r="D6317" s="7" t="str">
        <f t="shared" si="2294"/>
        <v>学校</v>
      </c>
      <c r="E6317" s="7" t="str">
        <f t="shared" si="2306"/>
        <v>大阪府和泉市富秋町</v>
      </c>
      <c r="F6317" s="7"/>
      <c r="G6317" s="7" t="str">
        <f t="shared" si="2302"/>
        <v>事業用資産</v>
      </c>
      <c r="H6317" s="7" t="str">
        <f t="shared" si="2300"/>
        <v>棚卸以外</v>
      </c>
      <c r="I6317" s="7">
        <v>33</v>
      </c>
      <c r="J6317" s="7" t="str">
        <f>"普通教室棟"</f>
        <v>普通教室棟</v>
      </c>
      <c r="K6317" s="7" t="str">
        <f>"軽量鉄骨造"</f>
        <v>軽量鉄骨造</v>
      </c>
      <c r="L6317" s="7" t="str">
        <f>"S60.10.22"</f>
        <v>S60.10.22</v>
      </c>
      <c r="M6317" s="7">
        <v>486</v>
      </c>
      <c r="N6317" s="7">
        <v>47232000</v>
      </c>
      <c r="O6317" s="7">
        <v>47231998</v>
      </c>
      <c r="P6317" s="7">
        <v>0</v>
      </c>
      <c r="Q6317" s="7" t="str">
        <f t="shared" si="2303"/>
        <v>教育庁</v>
      </c>
      <c r="R6317" s="7" t="str">
        <f t="shared" si="2308"/>
        <v>和泉総合高等学校</v>
      </c>
    </row>
    <row r="6318" spans="1:18" s="1" customFormat="1" x14ac:dyDescent="0.45">
      <c r="A6318" s="7" t="str">
        <f t="shared" si="2304"/>
        <v>10936000000</v>
      </c>
      <c r="B6318" s="7" t="str">
        <f t="shared" si="2305"/>
        <v>和泉総合高等学校</v>
      </c>
      <c r="C6318" s="7" t="str">
        <f t="shared" si="2301"/>
        <v>行政財産</v>
      </c>
      <c r="D6318" s="7" t="str">
        <f t="shared" si="2294"/>
        <v>学校</v>
      </c>
      <c r="E6318" s="7" t="str">
        <f t="shared" si="2306"/>
        <v>大阪府和泉市富秋町</v>
      </c>
      <c r="F6318" s="7"/>
      <c r="G6318" s="7" t="str">
        <f t="shared" si="2302"/>
        <v>事業用資産</v>
      </c>
      <c r="H6318" s="7" t="str">
        <f t="shared" si="2300"/>
        <v>棚卸以外</v>
      </c>
      <c r="I6318" s="7">
        <v>35</v>
      </c>
      <c r="J6318" s="7" t="str">
        <f>"倉庫"</f>
        <v>倉庫</v>
      </c>
      <c r="K6318" s="7" t="str">
        <f>"鉄骨造"</f>
        <v>鉄骨造</v>
      </c>
      <c r="L6318" s="7" t="str">
        <f>"S63.03.31"</f>
        <v>S63.03.31</v>
      </c>
      <c r="M6318" s="7">
        <v>60.75</v>
      </c>
      <c r="N6318" s="7">
        <v>3956000</v>
      </c>
      <c r="O6318" s="7">
        <v>3955999</v>
      </c>
      <c r="P6318" s="7">
        <v>0</v>
      </c>
      <c r="Q6318" s="7" t="str">
        <f t="shared" si="2303"/>
        <v>教育庁</v>
      </c>
      <c r="R6318" s="7" t="str">
        <f t="shared" si="2308"/>
        <v>和泉総合高等学校</v>
      </c>
    </row>
    <row r="6319" spans="1:18" s="1" customFormat="1" x14ac:dyDescent="0.45">
      <c r="A6319" s="7" t="str">
        <f t="shared" si="2304"/>
        <v>10936000000</v>
      </c>
      <c r="B6319" s="7" t="str">
        <f t="shared" si="2305"/>
        <v>和泉総合高等学校</v>
      </c>
      <c r="C6319" s="7" t="str">
        <f t="shared" si="2301"/>
        <v>行政財産</v>
      </c>
      <c r="D6319" s="7" t="str">
        <f t="shared" si="2294"/>
        <v>学校</v>
      </c>
      <c r="E6319" s="7" t="str">
        <f t="shared" si="2306"/>
        <v>大阪府和泉市富秋町</v>
      </c>
      <c r="F6319" s="7"/>
      <c r="G6319" s="7" t="str">
        <f t="shared" si="2302"/>
        <v>事業用資産</v>
      </c>
      <c r="H6319" s="7" t="str">
        <f t="shared" si="2300"/>
        <v>棚卸以外</v>
      </c>
      <c r="I6319" s="7">
        <v>36</v>
      </c>
      <c r="J6319" s="7" t="str">
        <f>"クラブ部室"</f>
        <v>クラブ部室</v>
      </c>
      <c r="K6319" s="7" t="str">
        <f>"鉄骨造"</f>
        <v>鉄骨造</v>
      </c>
      <c r="L6319" s="7" t="str">
        <f>"H01.03.31"</f>
        <v>H01.03.31</v>
      </c>
      <c r="M6319" s="7">
        <v>101.25</v>
      </c>
      <c r="N6319" s="7">
        <v>4866000</v>
      </c>
      <c r="O6319" s="7">
        <v>4865999</v>
      </c>
      <c r="P6319" s="7">
        <v>0</v>
      </c>
      <c r="Q6319" s="7" t="str">
        <f t="shared" si="2303"/>
        <v>教育庁</v>
      </c>
      <c r="R6319" s="7" t="str">
        <f t="shared" si="2308"/>
        <v>和泉総合高等学校</v>
      </c>
    </row>
    <row r="6320" spans="1:18" s="1" customFormat="1" x14ac:dyDescent="0.45">
      <c r="A6320" s="7" t="str">
        <f t="shared" si="2304"/>
        <v>10936000000</v>
      </c>
      <c r="B6320" s="7" t="str">
        <f t="shared" si="2305"/>
        <v>和泉総合高等学校</v>
      </c>
      <c r="C6320" s="7" t="str">
        <f t="shared" si="2301"/>
        <v>行政財産</v>
      </c>
      <c r="D6320" s="7" t="str">
        <f t="shared" si="2294"/>
        <v>学校</v>
      </c>
      <c r="E6320" s="7" t="str">
        <f t="shared" si="2306"/>
        <v>大阪府和泉市富秋町</v>
      </c>
      <c r="F6320" s="7"/>
      <c r="G6320" s="7" t="str">
        <f t="shared" si="2302"/>
        <v>事業用資産</v>
      </c>
      <c r="H6320" s="7" t="str">
        <f t="shared" si="2300"/>
        <v>棚卸以外</v>
      </c>
      <c r="I6320" s="7">
        <v>38</v>
      </c>
      <c r="J6320" s="7" t="str">
        <f>"西渡り廊下"</f>
        <v>西渡り廊下</v>
      </c>
      <c r="K6320" s="7" t="str">
        <f>"鉄筋コンクリート造"</f>
        <v>鉄筋コンクリート造</v>
      </c>
      <c r="L6320" s="7" t="str">
        <f>"S38.02.20"</f>
        <v>S38.02.20</v>
      </c>
      <c r="M6320" s="7">
        <v>144</v>
      </c>
      <c r="N6320" s="7">
        <v>25904000</v>
      </c>
      <c r="O6320" s="7">
        <v>10579948</v>
      </c>
      <c r="P6320" s="7">
        <v>0</v>
      </c>
      <c r="Q6320" s="7" t="str">
        <f t="shared" si="2303"/>
        <v>教育庁</v>
      </c>
      <c r="R6320" s="7" t="str">
        <f t="shared" si="2308"/>
        <v>和泉総合高等学校</v>
      </c>
    </row>
    <row r="6321" spans="1:18" s="1" customFormat="1" x14ac:dyDescent="0.45">
      <c r="A6321" s="7" t="str">
        <f t="shared" si="2304"/>
        <v>10936000000</v>
      </c>
      <c r="B6321" s="7" t="str">
        <f t="shared" si="2305"/>
        <v>和泉総合高等学校</v>
      </c>
      <c r="C6321" s="7" t="str">
        <f t="shared" si="2301"/>
        <v>行政財産</v>
      </c>
      <c r="D6321" s="7" t="str">
        <f t="shared" si="2294"/>
        <v>学校</v>
      </c>
      <c r="E6321" s="7" t="str">
        <f t="shared" si="2306"/>
        <v>大阪府和泉市富秋町</v>
      </c>
      <c r="F6321" s="7"/>
      <c r="G6321" s="7" t="str">
        <f t="shared" si="2302"/>
        <v>事業用資産</v>
      </c>
      <c r="H6321" s="7" t="str">
        <f t="shared" si="2300"/>
        <v>棚卸以外</v>
      </c>
      <c r="I6321" s="7">
        <v>39</v>
      </c>
      <c r="J6321" s="7" t="str">
        <f>"東渡り廊下"</f>
        <v>東渡り廊下</v>
      </c>
      <c r="K6321" s="7" t="str">
        <f>"鉄筋コンクリート造"</f>
        <v>鉄筋コンクリート造</v>
      </c>
      <c r="L6321" s="7" t="str">
        <f>"S40.02.28"</f>
        <v>S40.02.28</v>
      </c>
      <c r="M6321" s="7">
        <v>199.2</v>
      </c>
      <c r="N6321" s="7">
        <v>38404087</v>
      </c>
      <c r="O6321" s="7">
        <v>15677278</v>
      </c>
      <c r="P6321" s="7">
        <v>0</v>
      </c>
      <c r="Q6321" s="7" t="str">
        <f t="shared" si="2303"/>
        <v>教育庁</v>
      </c>
      <c r="R6321" s="7" t="str">
        <f t="shared" si="2308"/>
        <v>和泉総合高等学校</v>
      </c>
    </row>
    <row r="6322" spans="1:18" s="1" customFormat="1" x14ac:dyDescent="0.45">
      <c r="A6322" s="7" t="str">
        <f t="shared" si="2304"/>
        <v>10936000000</v>
      </c>
      <c r="B6322" s="7" t="str">
        <f t="shared" si="2305"/>
        <v>和泉総合高等学校</v>
      </c>
      <c r="C6322" s="7" t="str">
        <f t="shared" si="2301"/>
        <v>行政財産</v>
      </c>
      <c r="D6322" s="7" t="str">
        <f t="shared" si="2294"/>
        <v>学校</v>
      </c>
      <c r="E6322" s="7" t="str">
        <f t="shared" si="2306"/>
        <v>大阪府和泉市富秋町</v>
      </c>
      <c r="F6322" s="7"/>
      <c r="G6322" s="7" t="str">
        <f t="shared" si="2302"/>
        <v>事業用資産</v>
      </c>
      <c r="H6322" s="7" t="str">
        <f t="shared" si="2300"/>
        <v>棚卸以外</v>
      </c>
      <c r="I6322" s="7">
        <v>40</v>
      </c>
      <c r="J6322" s="7" t="str">
        <f>"家庭科棟"</f>
        <v>家庭科棟</v>
      </c>
      <c r="K6322" s="7" t="str">
        <f>"鉄骨造"</f>
        <v>鉄骨造</v>
      </c>
      <c r="L6322" s="7" t="str">
        <f>"H06.02.28"</f>
        <v>H06.02.28</v>
      </c>
      <c r="M6322" s="7">
        <v>437.64</v>
      </c>
      <c r="N6322" s="7">
        <v>94630266</v>
      </c>
      <c r="O6322" s="7">
        <v>78859149</v>
      </c>
      <c r="P6322" s="7">
        <v>0</v>
      </c>
      <c r="Q6322" s="7" t="str">
        <f t="shared" si="2303"/>
        <v>教育庁</v>
      </c>
      <c r="R6322" s="7" t="str">
        <f t="shared" si="2308"/>
        <v>和泉総合高等学校</v>
      </c>
    </row>
    <row r="6323" spans="1:18" s="1" customFormat="1" x14ac:dyDescent="0.45">
      <c r="A6323" s="7" t="str">
        <f t="shared" si="2304"/>
        <v>10936000000</v>
      </c>
      <c r="B6323" s="7" t="str">
        <f t="shared" si="2305"/>
        <v>和泉総合高等学校</v>
      </c>
      <c r="C6323" s="7" t="str">
        <f t="shared" si="2301"/>
        <v>行政財産</v>
      </c>
      <c r="D6323" s="7" t="str">
        <f t="shared" si="2294"/>
        <v>学校</v>
      </c>
      <c r="E6323" s="7" t="str">
        <f t="shared" si="2306"/>
        <v>大阪府和泉市富秋町</v>
      </c>
      <c r="F6323" s="7"/>
      <c r="G6323" s="7" t="str">
        <f t="shared" si="2302"/>
        <v>事業用資産</v>
      </c>
      <c r="H6323" s="7" t="str">
        <f t="shared" si="2300"/>
        <v>棚卸以外</v>
      </c>
      <c r="I6323" s="7">
        <v>41</v>
      </c>
      <c r="J6323" s="7" t="str">
        <f>"受水槽ポンプ室"</f>
        <v>受水槽ポンプ室</v>
      </c>
      <c r="K6323" s="7" t="str">
        <f>"鉄骨造"</f>
        <v>鉄骨造</v>
      </c>
      <c r="L6323" s="7" t="str">
        <f>"H12.01.26"</f>
        <v>H12.01.26</v>
      </c>
      <c r="M6323" s="7">
        <v>12</v>
      </c>
      <c r="N6323" s="7">
        <v>3833000</v>
      </c>
      <c r="O6323" s="7">
        <v>2864512</v>
      </c>
      <c r="P6323" s="7">
        <v>0</v>
      </c>
      <c r="Q6323" s="7" t="str">
        <f t="shared" si="2303"/>
        <v>教育庁</v>
      </c>
      <c r="R6323" s="7" t="str">
        <f t="shared" si="2308"/>
        <v>和泉総合高等学校</v>
      </c>
    </row>
    <row r="6324" spans="1:18" s="1" customFormat="1" x14ac:dyDescent="0.45">
      <c r="A6324" s="7" t="str">
        <f t="shared" si="2304"/>
        <v>10936000000</v>
      </c>
      <c r="B6324" s="7" t="str">
        <f t="shared" si="2305"/>
        <v>和泉総合高等学校</v>
      </c>
      <c r="C6324" s="7" t="str">
        <f t="shared" si="2301"/>
        <v>行政財産</v>
      </c>
      <c r="D6324" s="7" t="str">
        <f t="shared" si="2294"/>
        <v>学校</v>
      </c>
      <c r="E6324" s="7" t="str">
        <f t="shared" si="2306"/>
        <v>大阪府和泉市富秋町</v>
      </c>
      <c r="F6324" s="7"/>
      <c r="G6324" s="7" t="str">
        <f t="shared" si="2302"/>
        <v>事業用資産</v>
      </c>
      <c r="H6324" s="7" t="str">
        <f t="shared" si="2300"/>
        <v>棚卸以外</v>
      </c>
      <c r="I6324" s="7">
        <v>42</v>
      </c>
      <c r="J6324" s="7" t="str">
        <f>"定時制増築棟"</f>
        <v>定時制増築棟</v>
      </c>
      <c r="K6324" s="7" t="str">
        <f>"鉄骨造"</f>
        <v>鉄骨造</v>
      </c>
      <c r="L6324" s="7" t="str">
        <f>"H18.07.31"</f>
        <v>H18.07.31</v>
      </c>
      <c r="M6324" s="7">
        <v>331.2</v>
      </c>
      <c r="N6324" s="7">
        <v>51494000</v>
      </c>
      <c r="O6324" s="7">
        <v>25242200</v>
      </c>
      <c r="P6324" s="7">
        <v>0</v>
      </c>
      <c r="Q6324" s="7" t="str">
        <f t="shared" si="2303"/>
        <v>教育庁</v>
      </c>
      <c r="R6324" s="7" t="str">
        <f t="shared" si="2308"/>
        <v>和泉総合高等学校</v>
      </c>
    </row>
    <row r="6325" spans="1:18" s="1" customFormat="1" x14ac:dyDescent="0.45">
      <c r="A6325" s="7" t="str">
        <f t="shared" si="2304"/>
        <v>10936000000</v>
      </c>
      <c r="B6325" s="7" t="str">
        <f t="shared" si="2305"/>
        <v>和泉総合高等学校</v>
      </c>
      <c r="C6325" s="7" t="str">
        <f t="shared" si="2301"/>
        <v>行政財産</v>
      </c>
      <c r="D6325" s="7" t="str">
        <f t="shared" si="2294"/>
        <v>学校</v>
      </c>
      <c r="E6325" s="7" t="str">
        <f t="shared" si="2306"/>
        <v>大阪府和泉市富秋町</v>
      </c>
      <c r="F6325" s="7"/>
      <c r="G6325" s="7" t="str">
        <f t="shared" si="2302"/>
        <v>事業用資産</v>
      </c>
      <c r="H6325" s="7" t="str">
        <f t="shared" si="2300"/>
        <v>棚卸以外</v>
      </c>
      <c r="I6325" s="7">
        <v>43</v>
      </c>
      <c r="J6325" s="7" t="str">
        <f>"実験棟"</f>
        <v>実験棟</v>
      </c>
      <c r="K6325" s="7" t="str">
        <f t="shared" ref="K6325:K6330" si="2309">"鉄筋コンクリート造"</f>
        <v>鉄筋コンクリート造</v>
      </c>
      <c r="L6325" s="7" t="str">
        <f>"S39.02.29"</f>
        <v>S39.02.29</v>
      </c>
      <c r="M6325" s="7">
        <v>6847.49</v>
      </c>
      <c r="N6325" s="7">
        <v>708472233</v>
      </c>
      <c r="O6325" s="7">
        <v>388195136</v>
      </c>
      <c r="P6325" s="7">
        <v>0</v>
      </c>
      <c r="Q6325" s="7" t="str">
        <f t="shared" si="2303"/>
        <v>教育庁</v>
      </c>
      <c r="R6325" s="7" t="str">
        <f t="shared" si="2308"/>
        <v>和泉総合高等学校</v>
      </c>
    </row>
    <row r="6326" spans="1:18" s="1" customFormat="1" x14ac:dyDescent="0.45">
      <c r="A6326" s="7" t="str">
        <f t="shared" ref="A6326:A6339" si="2310">"10943000038"</f>
        <v>10943000038</v>
      </c>
      <c r="B6326" s="7" t="str">
        <f t="shared" ref="B6326:B6339" si="2311">"大阪府立少年自然の家"</f>
        <v>大阪府立少年自然の家</v>
      </c>
      <c r="C6326" s="7" t="str">
        <f t="shared" si="2301"/>
        <v>行政財産</v>
      </c>
      <c r="D6326" s="7" t="str">
        <f t="shared" ref="D6326:D6339" si="2312">"その他（公共用）の施設"</f>
        <v>その他（公共用）の施設</v>
      </c>
      <c r="E6326" s="7" t="str">
        <f t="shared" ref="E6326:E6339" si="2313">"大阪府貝塚市木積"</f>
        <v>大阪府貝塚市木積</v>
      </c>
      <c r="F6326" s="7"/>
      <c r="G6326" s="7" t="str">
        <f t="shared" si="2302"/>
        <v>事業用資産</v>
      </c>
      <c r="H6326" s="7" t="str">
        <f t="shared" si="2300"/>
        <v>棚卸以外</v>
      </c>
      <c r="I6326" s="7">
        <v>1</v>
      </c>
      <c r="J6326" s="7" t="str">
        <f>"管理棟"</f>
        <v>管理棟</v>
      </c>
      <c r="K6326" s="7" t="str">
        <f t="shared" si="2309"/>
        <v>鉄筋コンクリート造</v>
      </c>
      <c r="L6326" s="7" t="str">
        <f t="shared" ref="L6326:L6332" si="2314">"S60.02.14"</f>
        <v>S60.02.14</v>
      </c>
      <c r="M6326" s="7">
        <v>4052.53</v>
      </c>
      <c r="N6326" s="7">
        <v>1246562576</v>
      </c>
      <c r="O6326" s="7">
        <v>888794157</v>
      </c>
      <c r="P6326" s="7">
        <v>0</v>
      </c>
      <c r="Q6326" s="7" t="str">
        <f t="shared" si="2303"/>
        <v>教育庁</v>
      </c>
      <c r="R6326" s="7" t="str">
        <f t="shared" ref="R6326:R6339" si="2315">"市町村教育室"</f>
        <v>市町村教育室</v>
      </c>
    </row>
    <row r="6327" spans="1:18" s="1" customFormat="1" x14ac:dyDescent="0.45">
      <c r="A6327" s="7" t="str">
        <f t="shared" si="2310"/>
        <v>10943000038</v>
      </c>
      <c r="B6327" s="7" t="str">
        <f t="shared" si="2311"/>
        <v>大阪府立少年自然の家</v>
      </c>
      <c r="C6327" s="7" t="str">
        <f t="shared" si="2301"/>
        <v>行政財産</v>
      </c>
      <c r="D6327" s="7" t="str">
        <f t="shared" si="2312"/>
        <v>その他（公共用）の施設</v>
      </c>
      <c r="E6327" s="7" t="str">
        <f t="shared" si="2313"/>
        <v>大阪府貝塚市木積</v>
      </c>
      <c r="F6327" s="7"/>
      <c r="G6327" s="7" t="str">
        <f t="shared" si="2302"/>
        <v>事業用資産</v>
      </c>
      <c r="H6327" s="7" t="str">
        <f t="shared" si="2300"/>
        <v>棚卸以外</v>
      </c>
      <c r="I6327" s="7">
        <v>2</v>
      </c>
      <c r="J6327" s="7" t="str">
        <f>"宿泊棟"</f>
        <v>宿泊棟</v>
      </c>
      <c r="K6327" s="7" t="str">
        <f t="shared" si="2309"/>
        <v>鉄筋コンクリート造</v>
      </c>
      <c r="L6327" s="7" t="str">
        <f t="shared" si="2314"/>
        <v>S60.02.14</v>
      </c>
      <c r="M6327" s="7">
        <v>2904.82</v>
      </c>
      <c r="N6327" s="7">
        <v>506454182</v>
      </c>
      <c r="O6327" s="7">
        <v>395652206</v>
      </c>
      <c r="P6327" s="7">
        <v>0</v>
      </c>
      <c r="Q6327" s="7" t="str">
        <f t="shared" si="2303"/>
        <v>教育庁</v>
      </c>
      <c r="R6327" s="7" t="str">
        <f t="shared" si="2315"/>
        <v>市町村教育室</v>
      </c>
    </row>
    <row r="6328" spans="1:18" s="1" customFormat="1" x14ac:dyDescent="0.45">
      <c r="A6328" s="7" t="str">
        <f t="shared" si="2310"/>
        <v>10943000038</v>
      </c>
      <c r="B6328" s="7" t="str">
        <f t="shared" si="2311"/>
        <v>大阪府立少年自然の家</v>
      </c>
      <c r="C6328" s="7" t="str">
        <f t="shared" si="2301"/>
        <v>行政財産</v>
      </c>
      <c r="D6328" s="7" t="str">
        <f t="shared" si="2312"/>
        <v>その他（公共用）の施設</v>
      </c>
      <c r="E6328" s="7" t="str">
        <f t="shared" si="2313"/>
        <v>大阪府貝塚市木積</v>
      </c>
      <c r="F6328" s="7"/>
      <c r="G6328" s="7" t="str">
        <f t="shared" si="2302"/>
        <v>事業用資産</v>
      </c>
      <c r="H6328" s="7" t="str">
        <f t="shared" si="2300"/>
        <v>棚卸以外</v>
      </c>
      <c r="I6328" s="7">
        <v>3</v>
      </c>
      <c r="J6328" s="7" t="str">
        <f>"体育館棟"</f>
        <v>体育館棟</v>
      </c>
      <c r="K6328" s="7" t="str">
        <f t="shared" si="2309"/>
        <v>鉄筋コンクリート造</v>
      </c>
      <c r="L6328" s="7" t="str">
        <f t="shared" si="2314"/>
        <v>S60.02.14</v>
      </c>
      <c r="M6328" s="7">
        <v>665.65</v>
      </c>
      <c r="N6328" s="7">
        <v>137477077</v>
      </c>
      <c r="O6328" s="7">
        <v>104199495</v>
      </c>
      <c r="P6328" s="7">
        <v>0</v>
      </c>
      <c r="Q6328" s="7" t="str">
        <f t="shared" si="2303"/>
        <v>教育庁</v>
      </c>
      <c r="R6328" s="7" t="str">
        <f t="shared" si="2315"/>
        <v>市町村教育室</v>
      </c>
    </row>
    <row r="6329" spans="1:18" s="1" customFormat="1" x14ac:dyDescent="0.45">
      <c r="A6329" s="7" t="str">
        <f t="shared" si="2310"/>
        <v>10943000038</v>
      </c>
      <c r="B6329" s="7" t="str">
        <f t="shared" si="2311"/>
        <v>大阪府立少年自然の家</v>
      </c>
      <c r="C6329" s="7" t="str">
        <f t="shared" si="2301"/>
        <v>行政財産</v>
      </c>
      <c r="D6329" s="7" t="str">
        <f t="shared" si="2312"/>
        <v>その他（公共用）の施設</v>
      </c>
      <c r="E6329" s="7" t="str">
        <f t="shared" si="2313"/>
        <v>大阪府貝塚市木積</v>
      </c>
      <c r="F6329" s="7"/>
      <c r="G6329" s="7" t="str">
        <f t="shared" si="2302"/>
        <v>事業用資産</v>
      </c>
      <c r="H6329" s="7" t="str">
        <f t="shared" si="2300"/>
        <v>棚卸以外</v>
      </c>
      <c r="I6329" s="7">
        <v>4</v>
      </c>
      <c r="J6329" s="7" t="str">
        <f>"屋外便所・浄水場棟"</f>
        <v>屋外便所・浄水場棟</v>
      </c>
      <c r="K6329" s="7" t="str">
        <f t="shared" si="2309"/>
        <v>鉄筋コンクリート造</v>
      </c>
      <c r="L6329" s="7" t="str">
        <f t="shared" si="2314"/>
        <v>S60.02.14</v>
      </c>
      <c r="M6329" s="7">
        <v>232.66</v>
      </c>
      <c r="N6329" s="7">
        <v>144526385</v>
      </c>
      <c r="O6329" s="7">
        <v>143943308</v>
      </c>
      <c r="P6329" s="7">
        <v>0</v>
      </c>
      <c r="Q6329" s="7" t="str">
        <f t="shared" si="2303"/>
        <v>教育庁</v>
      </c>
      <c r="R6329" s="7" t="str">
        <f t="shared" si="2315"/>
        <v>市町村教育室</v>
      </c>
    </row>
    <row r="6330" spans="1:18" s="1" customFormat="1" x14ac:dyDescent="0.45">
      <c r="A6330" s="7" t="str">
        <f t="shared" si="2310"/>
        <v>10943000038</v>
      </c>
      <c r="B6330" s="7" t="str">
        <f t="shared" si="2311"/>
        <v>大阪府立少年自然の家</v>
      </c>
      <c r="C6330" s="7" t="str">
        <f t="shared" si="2301"/>
        <v>行政財産</v>
      </c>
      <c r="D6330" s="7" t="str">
        <f t="shared" si="2312"/>
        <v>その他（公共用）の施設</v>
      </c>
      <c r="E6330" s="7" t="str">
        <f t="shared" si="2313"/>
        <v>大阪府貝塚市木積</v>
      </c>
      <c r="F6330" s="7"/>
      <c r="G6330" s="7" t="str">
        <f t="shared" si="2302"/>
        <v>事業用資産</v>
      </c>
      <c r="H6330" s="7" t="str">
        <f t="shared" si="2300"/>
        <v>棚卸以外</v>
      </c>
      <c r="I6330" s="7">
        <v>5</v>
      </c>
      <c r="J6330" s="7" t="str">
        <f>"車庫・受水槽棟"</f>
        <v>車庫・受水槽棟</v>
      </c>
      <c r="K6330" s="7" t="str">
        <f t="shared" si="2309"/>
        <v>鉄筋コンクリート造</v>
      </c>
      <c r="L6330" s="7" t="str">
        <f t="shared" si="2314"/>
        <v>S60.02.14</v>
      </c>
      <c r="M6330" s="7">
        <v>208.3</v>
      </c>
      <c r="N6330" s="7">
        <v>22701832</v>
      </c>
      <c r="O6330" s="7">
        <v>21674360</v>
      </c>
      <c r="P6330" s="7">
        <v>0</v>
      </c>
      <c r="Q6330" s="7" t="str">
        <f t="shared" si="2303"/>
        <v>教育庁</v>
      </c>
      <c r="R6330" s="7" t="str">
        <f t="shared" si="2315"/>
        <v>市町村教育室</v>
      </c>
    </row>
    <row r="6331" spans="1:18" s="1" customFormat="1" x14ac:dyDescent="0.45">
      <c r="A6331" s="7" t="str">
        <f t="shared" si="2310"/>
        <v>10943000038</v>
      </c>
      <c r="B6331" s="7" t="str">
        <f t="shared" si="2311"/>
        <v>大阪府立少年自然の家</v>
      </c>
      <c r="C6331" s="7" t="str">
        <f t="shared" si="2301"/>
        <v>行政財産</v>
      </c>
      <c r="D6331" s="7" t="str">
        <f t="shared" si="2312"/>
        <v>その他（公共用）の施設</v>
      </c>
      <c r="E6331" s="7" t="str">
        <f t="shared" si="2313"/>
        <v>大阪府貝塚市木積</v>
      </c>
      <c r="F6331" s="7"/>
      <c r="G6331" s="7" t="str">
        <f t="shared" si="2302"/>
        <v>事業用資産</v>
      </c>
      <c r="H6331" s="7" t="str">
        <f t="shared" si="2300"/>
        <v>棚卸以外</v>
      </c>
      <c r="I6331" s="7">
        <v>6</v>
      </c>
      <c r="J6331" s="7" t="str">
        <f>"高置水槽棟"</f>
        <v>高置水槽棟</v>
      </c>
      <c r="K6331" s="7" t="str">
        <f>"鉄骨造"</f>
        <v>鉄骨造</v>
      </c>
      <c r="L6331" s="7" t="str">
        <f t="shared" si="2314"/>
        <v>S60.02.14</v>
      </c>
      <c r="M6331" s="7">
        <v>21.16</v>
      </c>
      <c r="N6331" s="7">
        <v>19364427</v>
      </c>
      <c r="O6331" s="7">
        <v>13423333</v>
      </c>
      <c r="P6331" s="7">
        <v>0</v>
      </c>
      <c r="Q6331" s="7" t="str">
        <f t="shared" si="2303"/>
        <v>教育庁</v>
      </c>
      <c r="R6331" s="7" t="str">
        <f t="shared" si="2315"/>
        <v>市町村教育室</v>
      </c>
    </row>
    <row r="6332" spans="1:18" s="1" customFormat="1" x14ac:dyDescent="0.45">
      <c r="A6332" s="7" t="str">
        <f t="shared" si="2310"/>
        <v>10943000038</v>
      </c>
      <c r="B6332" s="7" t="str">
        <f t="shared" si="2311"/>
        <v>大阪府立少年自然の家</v>
      </c>
      <c r="C6332" s="7" t="str">
        <f t="shared" si="2301"/>
        <v>行政財産</v>
      </c>
      <c r="D6332" s="7" t="str">
        <f t="shared" si="2312"/>
        <v>その他（公共用）の施設</v>
      </c>
      <c r="E6332" s="7" t="str">
        <f t="shared" si="2313"/>
        <v>大阪府貝塚市木積</v>
      </c>
      <c r="F6332" s="7"/>
      <c r="G6332" s="7" t="str">
        <f t="shared" si="2302"/>
        <v>事業用資産</v>
      </c>
      <c r="H6332" s="7" t="str">
        <f t="shared" si="2300"/>
        <v>棚卸以外</v>
      </c>
      <c r="I6332" s="7">
        <v>7</v>
      </c>
      <c r="J6332" s="7" t="str">
        <f>"汚水処理場棟"</f>
        <v>汚水処理場棟</v>
      </c>
      <c r="K6332" s="7" t="str">
        <f>"鉄筋コンクリート造"</f>
        <v>鉄筋コンクリート造</v>
      </c>
      <c r="L6332" s="7" t="str">
        <f t="shared" si="2314"/>
        <v>S60.02.14</v>
      </c>
      <c r="M6332" s="7">
        <v>120.23</v>
      </c>
      <c r="N6332" s="7">
        <v>98333000</v>
      </c>
      <c r="O6332" s="7">
        <v>98332999</v>
      </c>
      <c r="P6332" s="7">
        <v>0</v>
      </c>
      <c r="Q6332" s="7" t="str">
        <f t="shared" si="2303"/>
        <v>教育庁</v>
      </c>
      <c r="R6332" s="7" t="str">
        <f t="shared" si="2315"/>
        <v>市町村教育室</v>
      </c>
    </row>
    <row r="6333" spans="1:18" s="1" customFormat="1" x14ac:dyDescent="0.45">
      <c r="A6333" s="7" t="str">
        <f t="shared" si="2310"/>
        <v>10943000038</v>
      </c>
      <c r="B6333" s="7" t="str">
        <f t="shared" si="2311"/>
        <v>大阪府立少年自然の家</v>
      </c>
      <c r="C6333" s="7" t="str">
        <f t="shared" si="2301"/>
        <v>行政財産</v>
      </c>
      <c r="D6333" s="7" t="str">
        <f t="shared" si="2312"/>
        <v>その他（公共用）の施設</v>
      </c>
      <c r="E6333" s="7" t="str">
        <f t="shared" si="2313"/>
        <v>大阪府貝塚市木積</v>
      </c>
      <c r="F6333" s="7"/>
      <c r="G6333" s="7" t="str">
        <f t="shared" si="2302"/>
        <v>事業用資産</v>
      </c>
      <c r="H6333" s="7" t="str">
        <f t="shared" si="2300"/>
        <v>棚卸以外</v>
      </c>
      <c r="I6333" s="7">
        <v>8</v>
      </c>
      <c r="J6333" s="7" t="str">
        <f>"野外便所倉庫棟"</f>
        <v>野外便所倉庫棟</v>
      </c>
      <c r="K6333" s="7" t="str">
        <f>"鉄筋コンクリート造"</f>
        <v>鉄筋コンクリート造</v>
      </c>
      <c r="L6333" s="7" t="str">
        <f>"S60.03.30"</f>
        <v>S60.03.30</v>
      </c>
      <c r="M6333" s="7">
        <v>178.92</v>
      </c>
      <c r="N6333" s="7">
        <v>29870000</v>
      </c>
      <c r="O6333" s="7">
        <v>29869999</v>
      </c>
      <c r="P6333" s="7">
        <v>0</v>
      </c>
      <c r="Q6333" s="7" t="str">
        <f t="shared" si="2303"/>
        <v>教育庁</v>
      </c>
      <c r="R6333" s="7" t="str">
        <f t="shared" si="2315"/>
        <v>市町村教育室</v>
      </c>
    </row>
    <row r="6334" spans="1:18" s="1" customFormat="1" x14ac:dyDescent="0.45">
      <c r="A6334" s="7" t="str">
        <f t="shared" si="2310"/>
        <v>10943000038</v>
      </c>
      <c r="B6334" s="7" t="str">
        <f t="shared" si="2311"/>
        <v>大阪府立少年自然の家</v>
      </c>
      <c r="C6334" s="7" t="str">
        <f t="shared" si="2301"/>
        <v>行政財産</v>
      </c>
      <c r="D6334" s="7" t="str">
        <f t="shared" si="2312"/>
        <v>その他（公共用）の施設</v>
      </c>
      <c r="E6334" s="7" t="str">
        <f t="shared" si="2313"/>
        <v>大阪府貝塚市木積</v>
      </c>
      <c r="F6334" s="7"/>
      <c r="G6334" s="7" t="str">
        <f t="shared" si="2302"/>
        <v>事業用資産</v>
      </c>
      <c r="H6334" s="7" t="str">
        <f t="shared" si="2300"/>
        <v>棚卸以外</v>
      </c>
      <c r="I6334" s="7">
        <v>9</v>
      </c>
      <c r="J6334" s="7" t="str">
        <f>"受電室"</f>
        <v>受電室</v>
      </c>
      <c r="K6334" s="7" t="str">
        <f>"鉄筋コンクリート造"</f>
        <v>鉄筋コンクリート造</v>
      </c>
      <c r="L6334" s="7" t="str">
        <f>"S60.02.04"</f>
        <v>S60.02.04</v>
      </c>
      <c r="M6334" s="7">
        <v>201.2</v>
      </c>
      <c r="N6334" s="7">
        <v>61040191</v>
      </c>
      <c r="O6334" s="7">
        <v>45286439</v>
      </c>
      <c r="P6334" s="7">
        <v>0</v>
      </c>
      <c r="Q6334" s="7" t="str">
        <f t="shared" si="2303"/>
        <v>教育庁</v>
      </c>
      <c r="R6334" s="7" t="str">
        <f t="shared" si="2315"/>
        <v>市町村教育室</v>
      </c>
    </row>
    <row r="6335" spans="1:18" s="1" customFormat="1" x14ac:dyDescent="0.45">
      <c r="A6335" s="7" t="str">
        <f t="shared" si="2310"/>
        <v>10943000038</v>
      </c>
      <c r="B6335" s="7" t="str">
        <f t="shared" si="2311"/>
        <v>大阪府立少年自然の家</v>
      </c>
      <c r="C6335" s="7" t="str">
        <f t="shared" si="2301"/>
        <v>行政財産</v>
      </c>
      <c r="D6335" s="7" t="str">
        <f t="shared" si="2312"/>
        <v>その他（公共用）の施設</v>
      </c>
      <c r="E6335" s="7" t="str">
        <f t="shared" si="2313"/>
        <v>大阪府貝塚市木積</v>
      </c>
      <c r="F6335" s="7"/>
      <c r="G6335" s="7" t="str">
        <f t="shared" si="2302"/>
        <v>事業用資産</v>
      </c>
      <c r="H6335" s="7" t="str">
        <f t="shared" si="2300"/>
        <v>棚卸以外</v>
      </c>
      <c r="I6335" s="7">
        <v>10</v>
      </c>
      <c r="J6335" s="7" t="str">
        <f>"野外炊飯場棟"</f>
        <v>野外炊飯場棟</v>
      </c>
      <c r="K6335" s="7" t="str">
        <f>"鉄骨造"</f>
        <v>鉄骨造</v>
      </c>
      <c r="L6335" s="7" t="str">
        <f>"S60.03.30"</f>
        <v>S60.03.30</v>
      </c>
      <c r="M6335" s="7">
        <v>179.56</v>
      </c>
      <c r="N6335" s="7">
        <v>34430000</v>
      </c>
      <c r="O6335" s="7">
        <v>34429999</v>
      </c>
      <c r="P6335" s="7">
        <v>0</v>
      </c>
      <c r="Q6335" s="7" t="str">
        <f t="shared" si="2303"/>
        <v>教育庁</v>
      </c>
      <c r="R6335" s="7" t="str">
        <f t="shared" si="2315"/>
        <v>市町村教育室</v>
      </c>
    </row>
    <row r="6336" spans="1:18" s="1" customFormat="1" x14ac:dyDescent="0.45">
      <c r="A6336" s="7" t="str">
        <f t="shared" si="2310"/>
        <v>10943000038</v>
      </c>
      <c r="B6336" s="7" t="str">
        <f t="shared" si="2311"/>
        <v>大阪府立少年自然の家</v>
      </c>
      <c r="C6336" s="7" t="str">
        <f t="shared" si="2301"/>
        <v>行政財産</v>
      </c>
      <c r="D6336" s="7" t="str">
        <f t="shared" si="2312"/>
        <v>その他（公共用）の施設</v>
      </c>
      <c r="E6336" s="7" t="str">
        <f t="shared" si="2313"/>
        <v>大阪府貝塚市木積</v>
      </c>
      <c r="F6336" s="7"/>
      <c r="G6336" s="7" t="str">
        <f t="shared" si="2302"/>
        <v>事業用資産</v>
      </c>
      <c r="H6336" s="7" t="str">
        <f t="shared" si="2300"/>
        <v>棚卸以外</v>
      </c>
      <c r="I6336" s="7">
        <v>11</v>
      </c>
      <c r="J6336" s="7" t="str">
        <f>"展望台"</f>
        <v>展望台</v>
      </c>
      <c r="K6336" s="7" t="str">
        <f>"鉄骨造"</f>
        <v>鉄骨造</v>
      </c>
      <c r="L6336" s="7" t="str">
        <f>"S60.03.30"</f>
        <v>S60.03.30</v>
      </c>
      <c r="M6336" s="7">
        <v>12.96</v>
      </c>
      <c r="N6336" s="7">
        <v>3095000</v>
      </c>
      <c r="O6336" s="7">
        <v>3094999</v>
      </c>
      <c r="P6336" s="7">
        <v>0</v>
      </c>
      <c r="Q6336" s="7" t="str">
        <f t="shared" si="2303"/>
        <v>教育庁</v>
      </c>
      <c r="R6336" s="7" t="str">
        <f t="shared" si="2315"/>
        <v>市町村教育室</v>
      </c>
    </row>
    <row r="6337" spans="1:18" s="1" customFormat="1" x14ac:dyDescent="0.45">
      <c r="A6337" s="7" t="str">
        <f t="shared" si="2310"/>
        <v>10943000038</v>
      </c>
      <c r="B6337" s="7" t="str">
        <f t="shared" si="2311"/>
        <v>大阪府立少年自然の家</v>
      </c>
      <c r="C6337" s="7" t="str">
        <f t="shared" si="2301"/>
        <v>行政財産</v>
      </c>
      <c r="D6337" s="7" t="str">
        <f t="shared" si="2312"/>
        <v>その他（公共用）の施設</v>
      </c>
      <c r="E6337" s="7" t="str">
        <f t="shared" si="2313"/>
        <v>大阪府貝塚市木積</v>
      </c>
      <c r="F6337" s="7"/>
      <c r="G6337" s="7" t="str">
        <f t="shared" si="2302"/>
        <v>事業用資産</v>
      </c>
      <c r="H6337" s="7" t="str">
        <f t="shared" si="2300"/>
        <v>棚卸以外</v>
      </c>
      <c r="I6337" s="7">
        <v>12</v>
      </c>
      <c r="J6337" s="7" t="str">
        <f>"いろりの館"</f>
        <v>いろりの館</v>
      </c>
      <c r="K6337" s="7" t="str">
        <f>"鉄筋コンクリート造"</f>
        <v>鉄筋コンクリート造</v>
      </c>
      <c r="L6337" s="7" t="str">
        <f>"H07.02.28"</f>
        <v>H07.02.28</v>
      </c>
      <c r="M6337" s="7">
        <v>253.5</v>
      </c>
      <c r="N6337" s="7">
        <v>67171000</v>
      </c>
      <c r="O6337" s="7">
        <v>40016928</v>
      </c>
      <c r="P6337" s="7">
        <v>0</v>
      </c>
      <c r="Q6337" s="7" t="str">
        <f t="shared" si="2303"/>
        <v>教育庁</v>
      </c>
      <c r="R6337" s="7" t="str">
        <f t="shared" si="2315"/>
        <v>市町村教育室</v>
      </c>
    </row>
    <row r="6338" spans="1:18" s="1" customFormat="1" x14ac:dyDescent="0.45">
      <c r="A6338" s="7" t="str">
        <f t="shared" si="2310"/>
        <v>10943000038</v>
      </c>
      <c r="B6338" s="7" t="str">
        <f t="shared" si="2311"/>
        <v>大阪府立少年自然の家</v>
      </c>
      <c r="C6338" s="7" t="str">
        <f t="shared" si="2301"/>
        <v>行政財産</v>
      </c>
      <c r="D6338" s="7" t="str">
        <f t="shared" si="2312"/>
        <v>その他（公共用）の施設</v>
      </c>
      <c r="E6338" s="7" t="str">
        <f t="shared" si="2313"/>
        <v>大阪府貝塚市木積</v>
      </c>
      <c r="F6338" s="7"/>
      <c r="G6338" s="7" t="str">
        <f t="shared" si="2302"/>
        <v>事業用資産</v>
      </c>
      <c r="H6338" s="7" t="str">
        <f t="shared" si="2300"/>
        <v>棚卸以外</v>
      </c>
      <c r="I6338" s="7">
        <v>13</v>
      </c>
      <c r="J6338" s="7" t="str">
        <f>"竹林小屋"</f>
        <v>竹林小屋</v>
      </c>
      <c r="K6338" s="7" t="str">
        <f>"木造"</f>
        <v>木造</v>
      </c>
      <c r="L6338" s="7" t="str">
        <f>"S61.04.01"</f>
        <v>S61.04.01</v>
      </c>
      <c r="M6338" s="7">
        <v>23.68</v>
      </c>
      <c r="N6338" s="7">
        <v>50000</v>
      </c>
      <c r="O6338" s="7">
        <v>49999</v>
      </c>
      <c r="P6338" s="7">
        <v>0</v>
      </c>
      <c r="Q6338" s="7" t="str">
        <f t="shared" si="2303"/>
        <v>教育庁</v>
      </c>
      <c r="R6338" s="7" t="str">
        <f t="shared" si="2315"/>
        <v>市町村教育室</v>
      </c>
    </row>
    <row r="6339" spans="1:18" s="1" customFormat="1" x14ac:dyDescent="0.45">
      <c r="A6339" s="7" t="str">
        <f t="shared" si="2310"/>
        <v>10943000038</v>
      </c>
      <c r="B6339" s="7" t="str">
        <f t="shared" si="2311"/>
        <v>大阪府立少年自然の家</v>
      </c>
      <c r="C6339" s="7" t="str">
        <f t="shared" si="2301"/>
        <v>行政財産</v>
      </c>
      <c r="D6339" s="7" t="str">
        <f t="shared" si="2312"/>
        <v>その他（公共用）の施設</v>
      </c>
      <c r="E6339" s="7" t="str">
        <f t="shared" si="2313"/>
        <v>大阪府貝塚市木積</v>
      </c>
      <c r="F6339" s="7"/>
      <c r="G6339" s="7" t="str">
        <f t="shared" si="2302"/>
        <v>事業用資産</v>
      </c>
      <c r="H6339" s="7" t="str">
        <f t="shared" si="2300"/>
        <v>棚卸以外</v>
      </c>
      <c r="I6339" s="7">
        <v>14</v>
      </c>
      <c r="J6339" s="7" t="str">
        <f>"物置小屋"</f>
        <v>物置小屋</v>
      </c>
      <c r="K6339" s="7" t="str">
        <f>"木造"</f>
        <v>木造</v>
      </c>
      <c r="L6339" s="7" t="str">
        <f>"S61.04.01"</f>
        <v>S61.04.01</v>
      </c>
      <c r="M6339" s="7">
        <v>16.8</v>
      </c>
      <c r="N6339" s="7">
        <v>300000</v>
      </c>
      <c r="O6339" s="7">
        <v>299999</v>
      </c>
      <c r="P6339" s="7">
        <v>0</v>
      </c>
      <c r="Q6339" s="7" t="str">
        <f t="shared" si="2303"/>
        <v>教育庁</v>
      </c>
      <c r="R6339" s="7" t="str">
        <f t="shared" si="2315"/>
        <v>市町村教育室</v>
      </c>
    </row>
    <row r="6340" spans="1:18" s="1" customFormat="1" x14ac:dyDescent="0.45">
      <c r="A6340" s="7" t="str">
        <f t="shared" ref="A6340:A6345" si="2316">"10946000000"</f>
        <v>10946000000</v>
      </c>
      <c r="B6340" s="7" t="str">
        <f t="shared" ref="B6340:B6345" si="2317">"西野田工科高等学校"</f>
        <v>西野田工科高等学校</v>
      </c>
      <c r="C6340" s="7" t="str">
        <f t="shared" si="2301"/>
        <v>行政財産</v>
      </c>
      <c r="D6340" s="7" t="str">
        <f t="shared" ref="D6340:D6403" si="2318">"学校"</f>
        <v>学校</v>
      </c>
      <c r="E6340" s="7" t="str">
        <f t="shared" ref="E6340:E6345" si="2319">"大阪府大阪市　福島区大開２丁目"</f>
        <v>大阪府大阪市　福島区大開２丁目</v>
      </c>
      <c r="F6340" s="7"/>
      <c r="G6340" s="7" t="str">
        <f t="shared" si="2302"/>
        <v>事業用資産</v>
      </c>
      <c r="H6340" s="7" t="str">
        <f t="shared" ref="H6340:H6403" si="2320">"棚卸以外"</f>
        <v>棚卸以外</v>
      </c>
      <c r="I6340" s="7">
        <v>29</v>
      </c>
      <c r="J6340" s="7" t="str">
        <f>"体育館"</f>
        <v>体育館</v>
      </c>
      <c r="K6340" s="7" t="str">
        <f>"鉄筋コンクリート造"</f>
        <v>鉄筋コンクリート造</v>
      </c>
      <c r="L6340" s="7" t="str">
        <f>"S49.12.05"</f>
        <v>S49.12.05</v>
      </c>
      <c r="M6340" s="7">
        <v>2767.17</v>
      </c>
      <c r="N6340" s="7">
        <v>318317814</v>
      </c>
      <c r="O6340" s="7">
        <v>253884963</v>
      </c>
      <c r="P6340" s="7">
        <v>0</v>
      </c>
      <c r="Q6340" s="7" t="str">
        <f t="shared" si="2303"/>
        <v>教育庁</v>
      </c>
      <c r="R6340" s="7" t="str">
        <f t="shared" ref="R6340:R6345" si="2321">"西野田工科高等学校"</f>
        <v>西野田工科高等学校</v>
      </c>
    </row>
    <row r="6341" spans="1:18" s="1" customFormat="1" ht="26.4" x14ac:dyDescent="0.45">
      <c r="A6341" s="7" t="str">
        <f t="shared" si="2316"/>
        <v>10946000000</v>
      </c>
      <c r="B6341" s="7" t="str">
        <f t="shared" si="2317"/>
        <v>西野田工科高等学校</v>
      </c>
      <c r="C6341" s="7" t="str">
        <f t="shared" si="2301"/>
        <v>行政財産</v>
      </c>
      <c r="D6341" s="7" t="str">
        <f t="shared" si="2318"/>
        <v>学校</v>
      </c>
      <c r="E6341" s="7" t="str">
        <f t="shared" si="2319"/>
        <v>大阪府大阪市　福島区大開２丁目</v>
      </c>
      <c r="F6341" s="7"/>
      <c r="G6341" s="7" t="str">
        <f t="shared" si="2302"/>
        <v>事業用資産</v>
      </c>
      <c r="H6341" s="7" t="str">
        <f t="shared" si="2320"/>
        <v>棚卸以外</v>
      </c>
      <c r="I6341" s="7">
        <v>33</v>
      </c>
      <c r="J6341" s="7" t="str">
        <f>"新館"</f>
        <v>新館</v>
      </c>
      <c r="K6341" s="7" t="str">
        <f>"鉄骨鉄筋コンクリート造"</f>
        <v>鉄骨鉄筋コンクリート造</v>
      </c>
      <c r="L6341" s="7" t="str">
        <f>"S58.07.15"</f>
        <v>S58.07.15</v>
      </c>
      <c r="M6341" s="7">
        <v>23260.49</v>
      </c>
      <c r="N6341" s="7">
        <v>4661201852</v>
      </c>
      <c r="O6341" s="7">
        <v>3649272549</v>
      </c>
      <c r="P6341" s="7">
        <v>0</v>
      </c>
      <c r="Q6341" s="7" t="str">
        <f t="shared" si="2303"/>
        <v>教育庁</v>
      </c>
      <c r="R6341" s="7" t="str">
        <f t="shared" si="2321"/>
        <v>西野田工科高等学校</v>
      </c>
    </row>
    <row r="6342" spans="1:18" s="1" customFormat="1" x14ac:dyDescent="0.45">
      <c r="A6342" s="7" t="str">
        <f t="shared" si="2316"/>
        <v>10946000000</v>
      </c>
      <c r="B6342" s="7" t="str">
        <f t="shared" si="2317"/>
        <v>西野田工科高等学校</v>
      </c>
      <c r="C6342" s="7" t="str">
        <f t="shared" si="2301"/>
        <v>行政財産</v>
      </c>
      <c r="D6342" s="7" t="str">
        <f t="shared" si="2318"/>
        <v>学校</v>
      </c>
      <c r="E6342" s="7" t="str">
        <f t="shared" si="2319"/>
        <v>大阪府大阪市　福島区大開２丁目</v>
      </c>
      <c r="F6342" s="7"/>
      <c r="G6342" s="7" t="str">
        <f t="shared" si="2302"/>
        <v>事業用資産</v>
      </c>
      <c r="H6342" s="7" t="str">
        <f t="shared" si="2320"/>
        <v>棚卸以外</v>
      </c>
      <c r="I6342" s="7">
        <v>34</v>
      </c>
      <c r="J6342" s="7" t="str">
        <f>"機械科倉庫"</f>
        <v>機械科倉庫</v>
      </c>
      <c r="K6342" s="7" t="str">
        <f>"鉄骨コンクリート造"</f>
        <v>鉄骨コンクリート造</v>
      </c>
      <c r="L6342" s="7" t="str">
        <f>"S60.07.18"</f>
        <v>S60.07.18</v>
      </c>
      <c r="M6342" s="7">
        <v>57.64</v>
      </c>
      <c r="N6342" s="7">
        <v>3471000</v>
      </c>
      <c r="O6342" s="7">
        <v>3470999</v>
      </c>
      <c r="P6342" s="7">
        <v>0</v>
      </c>
      <c r="Q6342" s="7" t="str">
        <f t="shared" si="2303"/>
        <v>教育庁</v>
      </c>
      <c r="R6342" s="7" t="str">
        <f t="shared" si="2321"/>
        <v>西野田工科高等学校</v>
      </c>
    </row>
    <row r="6343" spans="1:18" s="1" customFormat="1" x14ac:dyDescent="0.45">
      <c r="A6343" s="7" t="str">
        <f t="shared" si="2316"/>
        <v>10946000000</v>
      </c>
      <c r="B6343" s="7" t="str">
        <f t="shared" si="2317"/>
        <v>西野田工科高等学校</v>
      </c>
      <c r="C6343" s="7" t="str">
        <f t="shared" si="2301"/>
        <v>行政財産</v>
      </c>
      <c r="D6343" s="7" t="str">
        <f t="shared" si="2318"/>
        <v>学校</v>
      </c>
      <c r="E6343" s="7" t="str">
        <f t="shared" si="2319"/>
        <v>大阪府大阪市　福島区大開２丁目</v>
      </c>
      <c r="F6343" s="7"/>
      <c r="G6343" s="7" t="str">
        <f t="shared" si="2302"/>
        <v>事業用資産</v>
      </c>
      <c r="H6343" s="7" t="str">
        <f t="shared" si="2320"/>
        <v>棚卸以外</v>
      </c>
      <c r="I6343" s="7">
        <v>35</v>
      </c>
      <c r="J6343" s="7" t="str">
        <f>"自転車置場"</f>
        <v>自転車置場</v>
      </c>
      <c r="K6343" s="7" t="str">
        <f>"鉄骨コンクリート造"</f>
        <v>鉄骨コンクリート造</v>
      </c>
      <c r="L6343" s="7" t="str">
        <f>"S63.03.15"</f>
        <v>S63.03.15</v>
      </c>
      <c r="M6343" s="7">
        <v>234.75</v>
      </c>
      <c r="N6343" s="7">
        <v>21792000</v>
      </c>
      <c r="O6343" s="7">
        <v>21395383</v>
      </c>
      <c r="P6343" s="7">
        <v>0</v>
      </c>
      <c r="Q6343" s="7" t="str">
        <f t="shared" si="2303"/>
        <v>教育庁</v>
      </c>
      <c r="R6343" s="7" t="str">
        <f t="shared" si="2321"/>
        <v>西野田工科高等学校</v>
      </c>
    </row>
    <row r="6344" spans="1:18" s="1" customFormat="1" x14ac:dyDescent="0.45">
      <c r="A6344" s="7" t="str">
        <f t="shared" si="2316"/>
        <v>10946000000</v>
      </c>
      <c r="B6344" s="7" t="str">
        <f t="shared" si="2317"/>
        <v>西野田工科高等学校</v>
      </c>
      <c r="C6344" s="7" t="str">
        <f t="shared" si="2301"/>
        <v>行政財産</v>
      </c>
      <c r="D6344" s="7" t="str">
        <f t="shared" si="2318"/>
        <v>学校</v>
      </c>
      <c r="E6344" s="7" t="str">
        <f t="shared" si="2319"/>
        <v>大阪府大阪市　福島区大開２丁目</v>
      </c>
      <c r="F6344" s="7"/>
      <c r="G6344" s="7" t="str">
        <f t="shared" si="2302"/>
        <v>事業用資産</v>
      </c>
      <c r="H6344" s="7" t="str">
        <f t="shared" si="2320"/>
        <v>棚卸以外</v>
      </c>
      <c r="I6344" s="7">
        <v>36</v>
      </c>
      <c r="J6344" s="7" t="str">
        <f>"体育倉庫"</f>
        <v>体育倉庫</v>
      </c>
      <c r="K6344" s="7" t="str">
        <f>"鉄骨コンクリート造"</f>
        <v>鉄骨コンクリート造</v>
      </c>
      <c r="L6344" s="7" t="str">
        <f>"S63.03.15"</f>
        <v>S63.03.15</v>
      </c>
      <c r="M6344" s="7">
        <v>256.55</v>
      </c>
      <c r="N6344" s="7">
        <v>25920000</v>
      </c>
      <c r="O6344" s="7">
        <v>25919999</v>
      </c>
      <c r="P6344" s="7">
        <v>0</v>
      </c>
      <c r="Q6344" s="7" t="str">
        <f t="shared" si="2303"/>
        <v>教育庁</v>
      </c>
      <c r="R6344" s="7" t="str">
        <f t="shared" si="2321"/>
        <v>西野田工科高等学校</v>
      </c>
    </row>
    <row r="6345" spans="1:18" s="1" customFormat="1" x14ac:dyDescent="0.45">
      <c r="A6345" s="7" t="str">
        <f t="shared" si="2316"/>
        <v>10946000000</v>
      </c>
      <c r="B6345" s="7" t="str">
        <f t="shared" si="2317"/>
        <v>西野田工科高等学校</v>
      </c>
      <c r="C6345" s="7" t="str">
        <f t="shared" si="2301"/>
        <v>行政財産</v>
      </c>
      <c r="D6345" s="7" t="str">
        <f t="shared" si="2318"/>
        <v>学校</v>
      </c>
      <c r="E6345" s="7" t="str">
        <f t="shared" si="2319"/>
        <v>大阪府大阪市　福島区大開２丁目</v>
      </c>
      <c r="F6345" s="7"/>
      <c r="G6345" s="7" t="str">
        <f t="shared" si="2302"/>
        <v>事業用資産</v>
      </c>
      <c r="H6345" s="7" t="str">
        <f t="shared" si="2320"/>
        <v>棚卸以外</v>
      </c>
      <c r="I6345" s="7">
        <v>37</v>
      </c>
      <c r="J6345" s="7" t="str">
        <f>"油倉庫"</f>
        <v>油倉庫</v>
      </c>
      <c r="K6345" s="7" t="str">
        <f>"鉄筋コンクリート造"</f>
        <v>鉄筋コンクリート造</v>
      </c>
      <c r="L6345" s="7" t="str">
        <f>"S63.03.15"</f>
        <v>S63.03.15</v>
      </c>
      <c r="M6345" s="7">
        <v>12</v>
      </c>
      <c r="N6345" s="7">
        <v>843000</v>
      </c>
      <c r="O6345" s="7">
        <v>776580</v>
      </c>
      <c r="P6345" s="7">
        <v>0</v>
      </c>
      <c r="Q6345" s="7" t="str">
        <f t="shared" si="2303"/>
        <v>教育庁</v>
      </c>
      <c r="R6345" s="7" t="str">
        <f t="shared" si="2321"/>
        <v>西野田工科高等学校</v>
      </c>
    </row>
    <row r="6346" spans="1:18" s="1" customFormat="1" x14ac:dyDescent="0.45">
      <c r="A6346" s="7" t="str">
        <f t="shared" ref="A6346:A6372" si="2322">"10947000000"</f>
        <v>10947000000</v>
      </c>
      <c r="B6346" s="7" t="str">
        <f t="shared" ref="B6346:B6372" si="2323">"淀川工科高等学校"</f>
        <v>淀川工科高等学校</v>
      </c>
      <c r="C6346" s="7" t="str">
        <f t="shared" si="2301"/>
        <v>行政財産</v>
      </c>
      <c r="D6346" s="7" t="str">
        <f t="shared" si="2318"/>
        <v>学校</v>
      </c>
      <c r="E6346" s="7" t="str">
        <f t="shared" ref="E6346:E6372" si="2324">"大阪府大阪市　旭区太子橋３丁目"</f>
        <v>大阪府大阪市　旭区太子橋３丁目</v>
      </c>
      <c r="F6346" s="7"/>
      <c r="G6346" s="7" t="str">
        <f t="shared" si="2302"/>
        <v>事業用資産</v>
      </c>
      <c r="H6346" s="7" t="str">
        <f t="shared" si="2320"/>
        <v>棚卸以外</v>
      </c>
      <c r="I6346" s="7">
        <v>30</v>
      </c>
      <c r="J6346" s="7" t="str">
        <f>"守衛室"</f>
        <v>守衛室</v>
      </c>
      <c r="K6346" s="7" t="str">
        <f>"木造"</f>
        <v>木造</v>
      </c>
      <c r="L6346" s="7" t="str">
        <f>"S37.03.31"</f>
        <v>S37.03.31</v>
      </c>
      <c r="M6346" s="7">
        <v>49.65</v>
      </c>
      <c r="N6346" s="7">
        <v>672480</v>
      </c>
      <c r="O6346" s="7">
        <v>672479</v>
      </c>
      <c r="P6346" s="7">
        <v>0</v>
      </c>
      <c r="Q6346" s="7" t="str">
        <f t="shared" si="2303"/>
        <v>教育庁</v>
      </c>
      <c r="R6346" s="7" t="str">
        <f t="shared" ref="R6346:R6372" si="2325">"淀川工科高等学校"</f>
        <v>淀川工科高等学校</v>
      </c>
    </row>
    <row r="6347" spans="1:18" s="1" customFormat="1" x14ac:dyDescent="0.45">
      <c r="A6347" s="7" t="str">
        <f t="shared" si="2322"/>
        <v>10947000000</v>
      </c>
      <c r="B6347" s="7" t="str">
        <f t="shared" si="2323"/>
        <v>淀川工科高等学校</v>
      </c>
      <c r="C6347" s="7" t="str">
        <f t="shared" si="2301"/>
        <v>行政財産</v>
      </c>
      <c r="D6347" s="7" t="str">
        <f t="shared" si="2318"/>
        <v>学校</v>
      </c>
      <c r="E6347" s="7" t="str">
        <f t="shared" si="2324"/>
        <v>大阪府大阪市　旭区太子橋３丁目</v>
      </c>
      <c r="F6347" s="7"/>
      <c r="G6347" s="7" t="str">
        <f t="shared" si="2302"/>
        <v>事業用資産</v>
      </c>
      <c r="H6347" s="7" t="str">
        <f t="shared" si="2320"/>
        <v>棚卸以外</v>
      </c>
      <c r="I6347" s="7">
        <v>37</v>
      </c>
      <c r="J6347" s="7" t="str">
        <f>"本館"</f>
        <v>本館</v>
      </c>
      <c r="K6347" s="7" t="str">
        <f>"鉄筋コンクリート造"</f>
        <v>鉄筋コンクリート造</v>
      </c>
      <c r="L6347" s="7" t="str">
        <f>"S37.03.31"</f>
        <v>S37.03.31</v>
      </c>
      <c r="M6347" s="7">
        <v>1977.48</v>
      </c>
      <c r="N6347" s="7">
        <v>76878451</v>
      </c>
      <c r="O6347" s="7">
        <v>60871088</v>
      </c>
      <c r="P6347" s="7">
        <v>0</v>
      </c>
      <c r="Q6347" s="7" t="str">
        <f t="shared" si="2303"/>
        <v>教育庁</v>
      </c>
      <c r="R6347" s="7" t="str">
        <f t="shared" si="2325"/>
        <v>淀川工科高等学校</v>
      </c>
    </row>
    <row r="6348" spans="1:18" s="1" customFormat="1" x14ac:dyDescent="0.45">
      <c r="A6348" s="7" t="str">
        <f t="shared" si="2322"/>
        <v>10947000000</v>
      </c>
      <c r="B6348" s="7" t="str">
        <f t="shared" si="2323"/>
        <v>淀川工科高等学校</v>
      </c>
      <c r="C6348" s="7" t="str">
        <f t="shared" si="2301"/>
        <v>行政財産</v>
      </c>
      <c r="D6348" s="7" t="str">
        <f t="shared" si="2318"/>
        <v>学校</v>
      </c>
      <c r="E6348" s="7" t="str">
        <f t="shared" si="2324"/>
        <v>大阪府大阪市　旭区太子橋３丁目</v>
      </c>
      <c r="F6348" s="7"/>
      <c r="G6348" s="7" t="str">
        <f t="shared" si="2302"/>
        <v>事業用資産</v>
      </c>
      <c r="H6348" s="7" t="str">
        <f t="shared" si="2320"/>
        <v>棚卸以外</v>
      </c>
      <c r="I6348" s="7">
        <v>44</v>
      </c>
      <c r="J6348" s="7" t="str">
        <f>"定時制クラブ室"</f>
        <v>定時制クラブ室</v>
      </c>
      <c r="K6348" s="7" t="str">
        <f>"鉄骨造"</f>
        <v>鉄骨造</v>
      </c>
      <c r="L6348" s="7" t="str">
        <f>"S37.03.31"</f>
        <v>S37.03.31</v>
      </c>
      <c r="M6348" s="7">
        <v>60.66</v>
      </c>
      <c r="N6348" s="7">
        <v>1078000</v>
      </c>
      <c r="O6348" s="7">
        <v>1077999</v>
      </c>
      <c r="P6348" s="7">
        <v>0</v>
      </c>
      <c r="Q6348" s="7" t="str">
        <f t="shared" si="2303"/>
        <v>教育庁</v>
      </c>
      <c r="R6348" s="7" t="str">
        <f t="shared" si="2325"/>
        <v>淀川工科高等学校</v>
      </c>
    </row>
    <row r="6349" spans="1:18" s="1" customFormat="1" x14ac:dyDescent="0.45">
      <c r="A6349" s="7" t="str">
        <f t="shared" si="2322"/>
        <v>10947000000</v>
      </c>
      <c r="B6349" s="7" t="str">
        <f t="shared" si="2323"/>
        <v>淀川工科高等学校</v>
      </c>
      <c r="C6349" s="7" t="str">
        <f t="shared" ref="C6349:C6412" si="2326">"行政財産"</f>
        <v>行政財産</v>
      </c>
      <c r="D6349" s="7" t="str">
        <f t="shared" si="2318"/>
        <v>学校</v>
      </c>
      <c r="E6349" s="7" t="str">
        <f t="shared" si="2324"/>
        <v>大阪府大阪市　旭区太子橋３丁目</v>
      </c>
      <c r="F6349" s="7"/>
      <c r="G6349" s="7" t="str">
        <f t="shared" si="2302"/>
        <v>事業用資産</v>
      </c>
      <c r="H6349" s="7" t="str">
        <f t="shared" si="2320"/>
        <v>棚卸以外</v>
      </c>
      <c r="I6349" s="7">
        <v>50</v>
      </c>
      <c r="J6349" s="7" t="str">
        <f>"本館（校舎）"</f>
        <v>本館（校舎）</v>
      </c>
      <c r="K6349" s="7" t="str">
        <f>"鉄筋コンクリート造"</f>
        <v>鉄筋コンクリート造</v>
      </c>
      <c r="L6349" s="7" t="str">
        <f>"S41.03.25"</f>
        <v>S41.03.25</v>
      </c>
      <c r="M6349" s="7">
        <v>1013.45</v>
      </c>
      <c r="N6349" s="7">
        <v>51300001</v>
      </c>
      <c r="O6349" s="7">
        <v>31427103</v>
      </c>
      <c r="P6349" s="7">
        <v>0</v>
      </c>
      <c r="Q6349" s="7" t="str">
        <f t="shared" si="2303"/>
        <v>教育庁</v>
      </c>
      <c r="R6349" s="7" t="str">
        <f t="shared" si="2325"/>
        <v>淀川工科高等学校</v>
      </c>
    </row>
    <row r="6350" spans="1:18" s="1" customFormat="1" x14ac:dyDescent="0.45">
      <c r="A6350" s="7" t="str">
        <f t="shared" si="2322"/>
        <v>10947000000</v>
      </c>
      <c r="B6350" s="7" t="str">
        <f t="shared" si="2323"/>
        <v>淀川工科高等学校</v>
      </c>
      <c r="C6350" s="7" t="str">
        <f t="shared" si="2326"/>
        <v>行政財産</v>
      </c>
      <c r="D6350" s="7" t="str">
        <f t="shared" si="2318"/>
        <v>学校</v>
      </c>
      <c r="E6350" s="7" t="str">
        <f t="shared" si="2324"/>
        <v>大阪府大阪市　旭区太子橋３丁目</v>
      </c>
      <c r="F6350" s="7"/>
      <c r="G6350" s="7" t="str">
        <f t="shared" si="2302"/>
        <v>事業用資産</v>
      </c>
      <c r="H6350" s="7" t="str">
        <f t="shared" si="2320"/>
        <v>棚卸以外</v>
      </c>
      <c r="I6350" s="7">
        <v>57</v>
      </c>
      <c r="J6350" s="7" t="str">
        <f>"プール機械室"</f>
        <v>プール機械室</v>
      </c>
      <c r="K6350" s="7" t="str">
        <f>"レンガ、石積造"</f>
        <v>レンガ、石積造</v>
      </c>
      <c r="L6350" s="7" t="str">
        <f>"S46.03.31"</f>
        <v>S46.03.31</v>
      </c>
      <c r="M6350" s="7">
        <v>14.55</v>
      </c>
      <c r="N6350" s="7">
        <v>488000</v>
      </c>
      <c r="O6350" s="7">
        <v>487999</v>
      </c>
      <c r="P6350" s="7">
        <v>0</v>
      </c>
      <c r="Q6350" s="7" t="str">
        <f t="shared" si="2303"/>
        <v>教育庁</v>
      </c>
      <c r="R6350" s="7" t="str">
        <f t="shared" si="2325"/>
        <v>淀川工科高等学校</v>
      </c>
    </row>
    <row r="6351" spans="1:18" s="1" customFormat="1" x14ac:dyDescent="0.45">
      <c r="A6351" s="7" t="str">
        <f t="shared" si="2322"/>
        <v>10947000000</v>
      </c>
      <c r="B6351" s="7" t="str">
        <f t="shared" si="2323"/>
        <v>淀川工科高等学校</v>
      </c>
      <c r="C6351" s="7" t="str">
        <f t="shared" si="2326"/>
        <v>行政財産</v>
      </c>
      <c r="D6351" s="7" t="str">
        <f t="shared" si="2318"/>
        <v>学校</v>
      </c>
      <c r="E6351" s="7" t="str">
        <f t="shared" si="2324"/>
        <v>大阪府大阪市　旭区太子橋３丁目</v>
      </c>
      <c r="F6351" s="7"/>
      <c r="G6351" s="7" t="str">
        <f t="shared" si="2302"/>
        <v>事業用資産</v>
      </c>
      <c r="H6351" s="7" t="str">
        <f t="shared" si="2320"/>
        <v>棚卸以外</v>
      </c>
      <c r="I6351" s="7">
        <v>62</v>
      </c>
      <c r="J6351" s="7" t="str">
        <f>"設備棟（新ポンプ室）"</f>
        <v>設備棟（新ポンプ室）</v>
      </c>
      <c r="K6351" s="7" t="str">
        <f t="shared" ref="K6351:K6359" si="2327">"鉄筋コンクリート造"</f>
        <v>鉄筋コンクリート造</v>
      </c>
      <c r="L6351" s="7" t="str">
        <f>"S47.08.01"</f>
        <v>S47.08.01</v>
      </c>
      <c r="M6351" s="7">
        <v>45</v>
      </c>
      <c r="N6351" s="7">
        <v>3439000</v>
      </c>
      <c r="O6351" s="7">
        <v>3438999</v>
      </c>
      <c r="P6351" s="7">
        <v>0</v>
      </c>
      <c r="Q6351" s="7" t="str">
        <f t="shared" si="2303"/>
        <v>教育庁</v>
      </c>
      <c r="R6351" s="7" t="str">
        <f t="shared" si="2325"/>
        <v>淀川工科高等学校</v>
      </c>
    </row>
    <row r="6352" spans="1:18" s="1" customFormat="1" x14ac:dyDescent="0.45">
      <c r="A6352" s="7" t="str">
        <f t="shared" si="2322"/>
        <v>10947000000</v>
      </c>
      <c r="B6352" s="7" t="str">
        <f t="shared" si="2323"/>
        <v>淀川工科高等学校</v>
      </c>
      <c r="C6352" s="7" t="str">
        <f t="shared" si="2326"/>
        <v>行政財産</v>
      </c>
      <c r="D6352" s="7" t="str">
        <f t="shared" si="2318"/>
        <v>学校</v>
      </c>
      <c r="E6352" s="7" t="str">
        <f t="shared" si="2324"/>
        <v>大阪府大阪市　旭区太子橋３丁目</v>
      </c>
      <c r="F6352" s="7"/>
      <c r="G6352" s="7" t="str">
        <f t="shared" si="2302"/>
        <v>事業用資産</v>
      </c>
      <c r="H6352" s="7" t="str">
        <f t="shared" si="2320"/>
        <v>棚卸以外</v>
      </c>
      <c r="I6352" s="7">
        <v>63</v>
      </c>
      <c r="J6352" s="7" t="str">
        <f>"１号館校舎"</f>
        <v>１号館校舎</v>
      </c>
      <c r="K6352" s="7" t="str">
        <f t="shared" si="2327"/>
        <v>鉄筋コンクリート造</v>
      </c>
      <c r="L6352" s="7" t="str">
        <f>"S47.08.01"</f>
        <v>S47.08.01</v>
      </c>
      <c r="M6352" s="7">
        <v>2247.94</v>
      </c>
      <c r="N6352" s="7">
        <v>187054220</v>
      </c>
      <c r="O6352" s="7">
        <v>135294024</v>
      </c>
      <c r="P6352" s="7">
        <v>0</v>
      </c>
      <c r="Q6352" s="7" t="str">
        <f t="shared" si="2303"/>
        <v>教育庁</v>
      </c>
      <c r="R6352" s="7" t="str">
        <f t="shared" si="2325"/>
        <v>淀川工科高等学校</v>
      </c>
    </row>
    <row r="6353" spans="1:18" s="1" customFormat="1" x14ac:dyDescent="0.45">
      <c r="A6353" s="7" t="str">
        <f t="shared" si="2322"/>
        <v>10947000000</v>
      </c>
      <c r="B6353" s="7" t="str">
        <f t="shared" si="2323"/>
        <v>淀川工科高等学校</v>
      </c>
      <c r="C6353" s="7" t="str">
        <f t="shared" si="2326"/>
        <v>行政財産</v>
      </c>
      <c r="D6353" s="7" t="str">
        <f t="shared" si="2318"/>
        <v>学校</v>
      </c>
      <c r="E6353" s="7" t="str">
        <f t="shared" si="2324"/>
        <v>大阪府大阪市　旭区太子橋３丁目</v>
      </c>
      <c r="F6353" s="7"/>
      <c r="G6353" s="7" t="str">
        <f t="shared" si="2302"/>
        <v>事業用資産</v>
      </c>
      <c r="H6353" s="7" t="str">
        <f t="shared" si="2320"/>
        <v>棚卸以外</v>
      </c>
      <c r="I6353" s="7">
        <v>64</v>
      </c>
      <c r="J6353" s="7" t="str">
        <f>"渡り廊下，１号館～本館"</f>
        <v>渡り廊下，１号館～本館</v>
      </c>
      <c r="K6353" s="7" t="str">
        <f t="shared" si="2327"/>
        <v>鉄筋コンクリート造</v>
      </c>
      <c r="L6353" s="7" t="str">
        <f>"S47.08.01"</f>
        <v>S47.08.01</v>
      </c>
      <c r="M6353" s="7">
        <v>48</v>
      </c>
      <c r="N6353" s="7">
        <v>2936000</v>
      </c>
      <c r="O6353" s="7">
        <v>2935999</v>
      </c>
      <c r="P6353" s="7">
        <v>0</v>
      </c>
      <c r="Q6353" s="7" t="str">
        <f t="shared" si="2303"/>
        <v>教育庁</v>
      </c>
      <c r="R6353" s="7" t="str">
        <f t="shared" si="2325"/>
        <v>淀川工科高等学校</v>
      </c>
    </row>
    <row r="6354" spans="1:18" s="1" customFormat="1" x14ac:dyDescent="0.45">
      <c r="A6354" s="7" t="str">
        <f t="shared" si="2322"/>
        <v>10947000000</v>
      </c>
      <c r="B6354" s="7" t="str">
        <f t="shared" si="2323"/>
        <v>淀川工科高等学校</v>
      </c>
      <c r="C6354" s="7" t="str">
        <f t="shared" si="2326"/>
        <v>行政財産</v>
      </c>
      <c r="D6354" s="7" t="str">
        <f t="shared" si="2318"/>
        <v>学校</v>
      </c>
      <c r="E6354" s="7" t="str">
        <f t="shared" si="2324"/>
        <v>大阪府大阪市　旭区太子橋３丁目</v>
      </c>
      <c r="F6354" s="7"/>
      <c r="G6354" s="7" t="str">
        <f t="shared" si="2302"/>
        <v>事業用資産</v>
      </c>
      <c r="H6354" s="7" t="str">
        <f t="shared" si="2320"/>
        <v>棚卸以外</v>
      </c>
      <c r="I6354" s="7">
        <v>65</v>
      </c>
      <c r="J6354" s="7" t="str">
        <f>"２号館校舎"</f>
        <v>２号館校舎</v>
      </c>
      <c r="K6354" s="7" t="str">
        <f t="shared" si="2327"/>
        <v>鉄筋コンクリート造</v>
      </c>
      <c r="L6354" s="7" t="str">
        <f>"S48.08.31"</f>
        <v>S48.08.31</v>
      </c>
      <c r="M6354" s="7">
        <v>2400.6999999999998</v>
      </c>
      <c r="N6354" s="7">
        <v>258204547</v>
      </c>
      <c r="O6354" s="7">
        <v>177968194</v>
      </c>
      <c r="P6354" s="7">
        <v>0</v>
      </c>
      <c r="Q6354" s="7" t="str">
        <f t="shared" si="2303"/>
        <v>教育庁</v>
      </c>
      <c r="R6354" s="7" t="str">
        <f t="shared" si="2325"/>
        <v>淀川工科高等学校</v>
      </c>
    </row>
    <row r="6355" spans="1:18" s="1" customFormat="1" x14ac:dyDescent="0.45">
      <c r="A6355" s="7" t="str">
        <f t="shared" si="2322"/>
        <v>10947000000</v>
      </c>
      <c r="B6355" s="7" t="str">
        <f t="shared" si="2323"/>
        <v>淀川工科高等学校</v>
      </c>
      <c r="C6355" s="7" t="str">
        <f t="shared" si="2326"/>
        <v>行政財産</v>
      </c>
      <c r="D6355" s="7" t="str">
        <f t="shared" si="2318"/>
        <v>学校</v>
      </c>
      <c r="E6355" s="7" t="str">
        <f t="shared" si="2324"/>
        <v>大阪府大阪市　旭区太子橋３丁目</v>
      </c>
      <c r="F6355" s="7"/>
      <c r="G6355" s="7" t="str">
        <f t="shared" si="2302"/>
        <v>事業用資産</v>
      </c>
      <c r="H6355" s="7" t="str">
        <f t="shared" si="2320"/>
        <v>棚卸以外</v>
      </c>
      <c r="I6355" s="7">
        <v>66</v>
      </c>
      <c r="J6355" s="7" t="str">
        <f>"渡り廊下，１号館～２号館"</f>
        <v>渡り廊下，１号館～２号館</v>
      </c>
      <c r="K6355" s="7" t="str">
        <f t="shared" si="2327"/>
        <v>鉄筋コンクリート造</v>
      </c>
      <c r="L6355" s="7" t="str">
        <f>"S48.08.31"</f>
        <v>S48.08.31</v>
      </c>
      <c r="M6355" s="7">
        <v>210</v>
      </c>
      <c r="N6355" s="7">
        <v>13161000</v>
      </c>
      <c r="O6355" s="7">
        <v>12419400</v>
      </c>
      <c r="P6355" s="7">
        <v>0</v>
      </c>
      <c r="Q6355" s="7" t="str">
        <f t="shared" si="2303"/>
        <v>教育庁</v>
      </c>
      <c r="R6355" s="7" t="str">
        <f t="shared" si="2325"/>
        <v>淀川工科高等学校</v>
      </c>
    </row>
    <row r="6356" spans="1:18" s="1" customFormat="1" x14ac:dyDescent="0.45">
      <c r="A6356" s="7" t="str">
        <f t="shared" si="2322"/>
        <v>10947000000</v>
      </c>
      <c r="B6356" s="7" t="str">
        <f t="shared" si="2323"/>
        <v>淀川工科高等学校</v>
      </c>
      <c r="C6356" s="7" t="str">
        <f t="shared" si="2326"/>
        <v>行政財産</v>
      </c>
      <c r="D6356" s="7" t="str">
        <f t="shared" si="2318"/>
        <v>学校</v>
      </c>
      <c r="E6356" s="7" t="str">
        <f t="shared" si="2324"/>
        <v>大阪府大阪市　旭区太子橋３丁目</v>
      </c>
      <c r="F6356" s="7"/>
      <c r="G6356" s="7" t="str">
        <f t="shared" si="2302"/>
        <v>事業用資産</v>
      </c>
      <c r="H6356" s="7" t="str">
        <f t="shared" si="2320"/>
        <v>棚卸以外</v>
      </c>
      <c r="I6356" s="7">
        <v>68</v>
      </c>
      <c r="J6356" s="7" t="str">
        <f>"体育館"</f>
        <v>体育館</v>
      </c>
      <c r="K6356" s="7" t="str">
        <f t="shared" si="2327"/>
        <v>鉄筋コンクリート造</v>
      </c>
      <c r="L6356" s="7" t="str">
        <f>"S49.11.18"</f>
        <v>S49.11.18</v>
      </c>
      <c r="M6356" s="7">
        <v>2382.5500000000002</v>
      </c>
      <c r="N6356" s="7">
        <v>299335235</v>
      </c>
      <c r="O6356" s="7">
        <v>252530296</v>
      </c>
      <c r="P6356" s="7">
        <v>0</v>
      </c>
      <c r="Q6356" s="7" t="str">
        <f t="shared" si="2303"/>
        <v>教育庁</v>
      </c>
      <c r="R6356" s="7" t="str">
        <f t="shared" si="2325"/>
        <v>淀川工科高等学校</v>
      </c>
    </row>
    <row r="6357" spans="1:18" s="1" customFormat="1" x14ac:dyDescent="0.45">
      <c r="A6357" s="7" t="str">
        <f t="shared" si="2322"/>
        <v>10947000000</v>
      </c>
      <c r="B6357" s="7" t="str">
        <f t="shared" si="2323"/>
        <v>淀川工科高等学校</v>
      </c>
      <c r="C6357" s="7" t="str">
        <f t="shared" si="2326"/>
        <v>行政財産</v>
      </c>
      <c r="D6357" s="7" t="str">
        <f t="shared" si="2318"/>
        <v>学校</v>
      </c>
      <c r="E6357" s="7" t="str">
        <f t="shared" si="2324"/>
        <v>大阪府大阪市　旭区太子橋３丁目</v>
      </c>
      <c r="F6357" s="7"/>
      <c r="G6357" s="7" t="str">
        <f t="shared" si="2302"/>
        <v>事業用資産</v>
      </c>
      <c r="H6357" s="7" t="str">
        <f t="shared" si="2320"/>
        <v>棚卸以外</v>
      </c>
      <c r="I6357" s="7">
        <v>69</v>
      </c>
      <c r="J6357" s="7" t="str">
        <f>"渡り廊下，１号館～体育館"</f>
        <v>渡り廊下，１号館～体育館</v>
      </c>
      <c r="K6357" s="7" t="str">
        <f t="shared" si="2327"/>
        <v>鉄筋コンクリート造</v>
      </c>
      <c r="L6357" s="7" t="str">
        <f>"S49.12.13"</f>
        <v>S49.12.13</v>
      </c>
      <c r="M6357" s="7">
        <v>49.8</v>
      </c>
      <c r="N6357" s="7">
        <v>4995000</v>
      </c>
      <c r="O6357" s="7">
        <v>4994999</v>
      </c>
      <c r="P6357" s="7">
        <v>0</v>
      </c>
      <c r="Q6357" s="7" t="str">
        <f t="shared" si="2303"/>
        <v>教育庁</v>
      </c>
      <c r="R6357" s="7" t="str">
        <f t="shared" si="2325"/>
        <v>淀川工科高等学校</v>
      </c>
    </row>
    <row r="6358" spans="1:18" s="1" customFormat="1" x14ac:dyDescent="0.45">
      <c r="A6358" s="7" t="str">
        <f t="shared" si="2322"/>
        <v>10947000000</v>
      </c>
      <c r="B6358" s="7" t="str">
        <f t="shared" si="2323"/>
        <v>淀川工科高等学校</v>
      </c>
      <c r="C6358" s="7" t="str">
        <f t="shared" si="2326"/>
        <v>行政財産</v>
      </c>
      <c r="D6358" s="7" t="str">
        <f t="shared" si="2318"/>
        <v>学校</v>
      </c>
      <c r="E6358" s="7" t="str">
        <f t="shared" si="2324"/>
        <v>大阪府大阪市　旭区太子橋３丁目</v>
      </c>
      <c r="F6358" s="7"/>
      <c r="G6358" s="7" t="str">
        <f t="shared" si="2302"/>
        <v>事業用資産</v>
      </c>
      <c r="H6358" s="7" t="str">
        <f t="shared" si="2320"/>
        <v>棚卸以外</v>
      </c>
      <c r="I6358" s="7">
        <v>78</v>
      </c>
      <c r="J6358" s="7" t="str">
        <f>"３号館校舎（新実習棟）"</f>
        <v>３号館校舎（新実習棟）</v>
      </c>
      <c r="K6358" s="7" t="str">
        <f t="shared" si="2327"/>
        <v>鉄筋コンクリート造</v>
      </c>
      <c r="L6358" s="7" t="str">
        <f>"S56.09.05"</f>
        <v>S56.09.05</v>
      </c>
      <c r="M6358" s="7">
        <v>4164.9399999999996</v>
      </c>
      <c r="N6358" s="7">
        <v>504186267</v>
      </c>
      <c r="O6358" s="7">
        <v>385802228</v>
      </c>
      <c r="P6358" s="7">
        <v>0</v>
      </c>
      <c r="Q6358" s="7" t="str">
        <f t="shared" si="2303"/>
        <v>教育庁</v>
      </c>
      <c r="R6358" s="7" t="str">
        <f t="shared" si="2325"/>
        <v>淀川工科高等学校</v>
      </c>
    </row>
    <row r="6359" spans="1:18" s="1" customFormat="1" x14ac:dyDescent="0.45">
      <c r="A6359" s="7" t="str">
        <f t="shared" si="2322"/>
        <v>10947000000</v>
      </c>
      <c r="B6359" s="7" t="str">
        <f t="shared" si="2323"/>
        <v>淀川工科高等学校</v>
      </c>
      <c r="C6359" s="7" t="str">
        <f t="shared" si="2326"/>
        <v>行政財産</v>
      </c>
      <c r="D6359" s="7" t="str">
        <f t="shared" si="2318"/>
        <v>学校</v>
      </c>
      <c r="E6359" s="7" t="str">
        <f t="shared" si="2324"/>
        <v>大阪府大阪市　旭区太子橋３丁目</v>
      </c>
      <c r="F6359" s="7"/>
      <c r="G6359" s="7" t="str">
        <f t="shared" ref="G6359:G6422" si="2328">"事業用資産"</f>
        <v>事業用資産</v>
      </c>
      <c r="H6359" s="7" t="str">
        <f t="shared" si="2320"/>
        <v>棚卸以外</v>
      </c>
      <c r="I6359" s="7">
        <v>79</v>
      </c>
      <c r="J6359" s="7" t="str">
        <f>"渡り廊下，２号館～３号館"</f>
        <v>渡り廊下，２号館～３号館</v>
      </c>
      <c r="K6359" s="7" t="str">
        <f t="shared" si="2327"/>
        <v>鉄筋コンクリート造</v>
      </c>
      <c r="L6359" s="7" t="str">
        <f>"S56.09.05"</f>
        <v>S56.09.05</v>
      </c>
      <c r="M6359" s="7">
        <v>225.6</v>
      </c>
      <c r="N6359" s="7">
        <v>22986000</v>
      </c>
      <c r="O6359" s="7">
        <v>17602770</v>
      </c>
      <c r="P6359" s="7">
        <v>0</v>
      </c>
      <c r="Q6359" s="7" t="str">
        <f t="shared" si="2303"/>
        <v>教育庁</v>
      </c>
      <c r="R6359" s="7" t="str">
        <f t="shared" si="2325"/>
        <v>淀川工科高等学校</v>
      </c>
    </row>
    <row r="6360" spans="1:18" s="1" customFormat="1" x14ac:dyDescent="0.45">
      <c r="A6360" s="7" t="str">
        <f t="shared" si="2322"/>
        <v>10947000000</v>
      </c>
      <c r="B6360" s="7" t="str">
        <f t="shared" si="2323"/>
        <v>淀川工科高等学校</v>
      </c>
      <c r="C6360" s="7" t="str">
        <f t="shared" si="2326"/>
        <v>行政財産</v>
      </c>
      <c r="D6360" s="7" t="str">
        <f t="shared" si="2318"/>
        <v>学校</v>
      </c>
      <c r="E6360" s="7" t="str">
        <f t="shared" si="2324"/>
        <v>大阪府大阪市　旭区太子橋３丁目</v>
      </c>
      <c r="F6360" s="7"/>
      <c r="G6360" s="7" t="str">
        <f t="shared" si="2328"/>
        <v>事業用資産</v>
      </c>
      <c r="H6360" s="7" t="str">
        <f t="shared" si="2320"/>
        <v>棚卸以外</v>
      </c>
      <c r="I6360" s="7">
        <v>80</v>
      </c>
      <c r="J6360" s="7" t="str">
        <f>"５号館校舎"</f>
        <v>５号館校舎</v>
      </c>
      <c r="K6360" s="7" t="str">
        <f>"鉄骨造"</f>
        <v>鉄骨造</v>
      </c>
      <c r="L6360" s="7" t="str">
        <f>"S61.03.31"</f>
        <v>S61.03.31</v>
      </c>
      <c r="M6360" s="7">
        <v>1109.71</v>
      </c>
      <c r="N6360" s="7">
        <v>161370000</v>
      </c>
      <c r="O6360" s="7">
        <v>157507807</v>
      </c>
      <c r="P6360" s="7">
        <v>0</v>
      </c>
      <c r="Q6360" s="7" t="str">
        <f t="shared" si="2303"/>
        <v>教育庁</v>
      </c>
      <c r="R6360" s="7" t="str">
        <f t="shared" si="2325"/>
        <v>淀川工科高等学校</v>
      </c>
    </row>
    <row r="6361" spans="1:18" s="1" customFormat="1" x14ac:dyDescent="0.45">
      <c r="A6361" s="7" t="str">
        <f t="shared" si="2322"/>
        <v>10947000000</v>
      </c>
      <c r="B6361" s="7" t="str">
        <f t="shared" si="2323"/>
        <v>淀川工科高等学校</v>
      </c>
      <c r="C6361" s="7" t="str">
        <f t="shared" si="2326"/>
        <v>行政財産</v>
      </c>
      <c r="D6361" s="7" t="str">
        <f t="shared" si="2318"/>
        <v>学校</v>
      </c>
      <c r="E6361" s="7" t="str">
        <f t="shared" si="2324"/>
        <v>大阪府大阪市　旭区太子橋３丁目</v>
      </c>
      <c r="F6361" s="7"/>
      <c r="G6361" s="7" t="str">
        <f t="shared" si="2328"/>
        <v>事業用資産</v>
      </c>
      <c r="H6361" s="7" t="str">
        <f t="shared" si="2320"/>
        <v>棚卸以外</v>
      </c>
      <c r="I6361" s="7">
        <v>81</v>
      </c>
      <c r="J6361" s="7" t="str">
        <f>"記念館"</f>
        <v>記念館</v>
      </c>
      <c r="K6361" s="7" t="str">
        <f>"鉄骨造"</f>
        <v>鉄骨造</v>
      </c>
      <c r="L6361" s="7" t="str">
        <f>"S62.01.09"</f>
        <v>S62.01.09</v>
      </c>
      <c r="M6361" s="7">
        <v>391.02</v>
      </c>
      <c r="N6361" s="7">
        <v>57497000</v>
      </c>
      <c r="O6361" s="7">
        <v>47103194</v>
      </c>
      <c r="P6361" s="7">
        <v>0</v>
      </c>
      <c r="Q6361" s="7" t="str">
        <f t="shared" si="2303"/>
        <v>教育庁</v>
      </c>
      <c r="R6361" s="7" t="str">
        <f t="shared" si="2325"/>
        <v>淀川工科高等学校</v>
      </c>
    </row>
    <row r="6362" spans="1:18" s="1" customFormat="1" x14ac:dyDescent="0.45">
      <c r="A6362" s="7" t="str">
        <f t="shared" si="2322"/>
        <v>10947000000</v>
      </c>
      <c r="B6362" s="7" t="str">
        <f t="shared" si="2323"/>
        <v>淀川工科高等学校</v>
      </c>
      <c r="C6362" s="7" t="str">
        <f t="shared" si="2326"/>
        <v>行政財産</v>
      </c>
      <c r="D6362" s="7" t="str">
        <f t="shared" si="2318"/>
        <v>学校</v>
      </c>
      <c r="E6362" s="7" t="str">
        <f t="shared" si="2324"/>
        <v>大阪府大阪市　旭区太子橋３丁目</v>
      </c>
      <c r="F6362" s="7"/>
      <c r="G6362" s="7" t="str">
        <f t="shared" si="2328"/>
        <v>事業用資産</v>
      </c>
      <c r="H6362" s="7" t="str">
        <f t="shared" si="2320"/>
        <v>棚卸以外</v>
      </c>
      <c r="I6362" s="7">
        <v>82</v>
      </c>
      <c r="J6362" s="7" t="str">
        <f>"実習棟"</f>
        <v>実習棟</v>
      </c>
      <c r="K6362" s="7" t="str">
        <f>"鉄筋コンクリート造"</f>
        <v>鉄筋コンクリート造</v>
      </c>
      <c r="L6362" s="7" t="str">
        <f>"H04.12.25"</f>
        <v>H04.12.25</v>
      </c>
      <c r="M6362" s="7">
        <v>2818.6</v>
      </c>
      <c r="N6362" s="7">
        <v>705161366</v>
      </c>
      <c r="O6362" s="7">
        <v>406582484</v>
      </c>
      <c r="P6362" s="7">
        <v>0</v>
      </c>
      <c r="Q6362" s="7" t="str">
        <f t="shared" si="2303"/>
        <v>教育庁</v>
      </c>
      <c r="R6362" s="7" t="str">
        <f t="shared" si="2325"/>
        <v>淀川工科高等学校</v>
      </c>
    </row>
    <row r="6363" spans="1:18" s="1" customFormat="1" x14ac:dyDescent="0.45">
      <c r="A6363" s="7" t="str">
        <f t="shared" si="2322"/>
        <v>10947000000</v>
      </c>
      <c r="B6363" s="7" t="str">
        <f t="shared" si="2323"/>
        <v>淀川工科高等学校</v>
      </c>
      <c r="C6363" s="7" t="str">
        <f t="shared" si="2326"/>
        <v>行政財産</v>
      </c>
      <c r="D6363" s="7" t="str">
        <f t="shared" si="2318"/>
        <v>学校</v>
      </c>
      <c r="E6363" s="7" t="str">
        <f t="shared" si="2324"/>
        <v>大阪府大阪市　旭区太子橋３丁目</v>
      </c>
      <c r="F6363" s="7"/>
      <c r="G6363" s="7" t="str">
        <f t="shared" si="2328"/>
        <v>事業用資産</v>
      </c>
      <c r="H6363" s="7" t="str">
        <f t="shared" si="2320"/>
        <v>棚卸以外</v>
      </c>
      <c r="I6363" s="7">
        <v>83</v>
      </c>
      <c r="J6363" s="7" t="str">
        <f>"多目的実習棟"</f>
        <v>多目的実習棟</v>
      </c>
      <c r="K6363" s="7" t="str">
        <f>"鉄筋コンクリート造"</f>
        <v>鉄筋コンクリート造</v>
      </c>
      <c r="L6363" s="7" t="str">
        <f>"H05.02.01"</f>
        <v>H05.02.01</v>
      </c>
      <c r="M6363" s="7">
        <v>521</v>
      </c>
      <c r="N6363" s="7">
        <v>126357000</v>
      </c>
      <c r="O6363" s="7">
        <v>80877718</v>
      </c>
      <c r="P6363" s="7">
        <v>0</v>
      </c>
      <c r="Q6363" s="7" t="str">
        <f t="shared" ref="Q6363:Q6426" si="2329">"教育庁"</f>
        <v>教育庁</v>
      </c>
      <c r="R6363" s="7" t="str">
        <f t="shared" si="2325"/>
        <v>淀川工科高等学校</v>
      </c>
    </row>
    <row r="6364" spans="1:18" s="1" customFormat="1" x14ac:dyDescent="0.45">
      <c r="A6364" s="7" t="str">
        <f t="shared" si="2322"/>
        <v>10947000000</v>
      </c>
      <c r="B6364" s="7" t="str">
        <f t="shared" si="2323"/>
        <v>淀川工科高等学校</v>
      </c>
      <c r="C6364" s="7" t="str">
        <f t="shared" si="2326"/>
        <v>行政財産</v>
      </c>
      <c r="D6364" s="7" t="str">
        <f t="shared" si="2318"/>
        <v>学校</v>
      </c>
      <c r="E6364" s="7" t="str">
        <f t="shared" si="2324"/>
        <v>大阪府大阪市　旭区太子橋３丁目</v>
      </c>
      <c r="F6364" s="7"/>
      <c r="G6364" s="7" t="str">
        <f t="shared" si="2328"/>
        <v>事業用資産</v>
      </c>
      <c r="H6364" s="7" t="str">
        <f t="shared" si="2320"/>
        <v>棚卸以外</v>
      </c>
      <c r="I6364" s="7">
        <v>84</v>
      </c>
      <c r="J6364" s="7" t="str">
        <f>"倉庫"</f>
        <v>倉庫</v>
      </c>
      <c r="K6364" s="7" t="str">
        <f>"鉄骨造"</f>
        <v>鉄骨造</v>
      </c>
      <c r="L6364" s="7" t="str">
        <f>"H05.01.07"</f>
        <v>H05.01.07</v>
      </c>
      <c r="M6364" s="7">
        <v>14.73</v>
      </c>
      <c r="N6364" s="7">
        <v>886000</v>
      </c>
      <c r="O6364" s="7">
        <v>859902</v>
      </c>
      <c r="P6364" s="7">
        <v>0</v>
      </c>
      <c r="Q6364" s="7" t="str">
        <f t="shared" si="2329"/>
        <v>教育庁</v>
      </c>
      <c r="R6364" s="7" t="str">
        <f t="shared" si="2325"/>
        <v>淀川工科高等学校</v>
      </c>
    </row>
    <row r="6365" spans="1:18" s="1" customFormat="1" x14ac:dyDescent="0.45">
      <c r="A6365" s="7" t="str">
        <f t="shared" si="2322"/>
        <v>10947000000</v>
      </c>
      <c r="B6365" s="7" t="str">
        <f t="shared" si="2323"/>
        <v>淀川工科高等学校</v>
      </c>
      <c r="C6365" s="7" t="str">
        <f t="shared" si="2326"/>
        <v>行政財産</v>
      </c>
      <c r="D6365" s="7" t="str">
        <f t="shared" si="2318"/>
        <v>学校</v>
      </c>
      <c r="E6365" s="7" t="str">
        <f t="shared" si="2324"/>
        <v>大阪府大阪市　旭区太子橋３丁目</v>
      </c>
      <c r="F6365" s="7"/>
      <c r="G6365" s="7" t="str">
        <f t="shared" si="2328"/>
        <v>事業用資産</v>
      </c>
      <c r="H6365" s="7" t="str">
        <f t="shared" si="2320"/>
        <v>棚卸以外</v>
      </c>
      <c r="I6365" s="7">
        <v>85</v>
      </c>
      <c r="J6365" s="7" t="str">
        <f>"倉庫"</f>
        <v>倉庫</v>
      </c>
      <c r="K6365" s="7" t="str">
        <f>"鉄骨造"</f>
        <v>鉄骨造</v>
      </c>
      <c r="L6365" s="7" t="str">
        <f>"H07.07.22"</f>
        <v>H07.07.22</v>
      </c>
      <c r="M6365" s="7">
        <v>16.62</v>
      </c>
      <c r="N6365" s="7">
        <v>618000</v>
      </c>
      <c r="O6365" s="7">
        <v>551784</v>
      </c>
      <c r="P6365" s="7">
        <v>0</v>
      </c>
      <c r="Q6365" s="7" t="str">
        <f t="shared" si="2329"/>
        <v>教育庁</v>
      </c>
      <c r="R6365" s="7" t="str">
        <f t="shared" si="2325"/>
        <v>淀川工科高等学校</v>
      </c>
    </row>
    <row r="6366" spans="1:18" s="1" customFormat="1" x14ac:dyDescent="0.45">
      <c r="A6366" s="7" t="str">
        <f t="shared" si="2322"/>
        <v>10947000000</v>
      </c>
      <c r="B6366" s="7" t="str">
        <f t="shared" si="2323"/>
        <v>淀川工科高等学校</v>
      </c>
      <c r="C6366" s="7" t="str">
        <f t="shared" si="2326"/>
        <v>行政財産</v>
      </c>
      <c r="D6366" s="7" t="str">
        <f t="shared" si="2318"/>
        <v>学校</v>
      </c>
      <c r="E6366" s="7" t="str">
        <f t="shared" si="2324"/>
        <v>大阪府大阪市　旭区太子橋３丁目</v>
      </c>
      <c r="F6366" s="7"/>
      <c r="G6366" s="7" t="str">
        <f t="shared" si="2328"/>
        <v>事業用資産</v>
      </c>
      <c r="H6366" s="7" t="str">
        <f t="shared" si="2320"/>
        <v>棚卸以外</v>
      </c>
      <c r="I6366" s="7">
        <v>86</v>
      </c>
      <c r="J6366" s="7" t="str">
        <f>"家庭科棟"</f>
        <v>家庭科棟</v>
      </c>
      <c r="K6366" s="7" t="str">
        <f>"鉄骨造"</f>
        <v>鉄骨造</v>
      </c>
      <c r="L6366" s="7" t="str">
        <f>"H08.01.29"</f>
        <v>H08.01.29</v>
      </c>
      <c r="M6366" s="7">
        <v>425.97</v>
      </c>
      <c r="N6366" s="7">
        <v>105274050</v>
      </c>
      <c r="O6366" s="7">
        <v>84043423</v>
      </c>
      <c r="P6366" s="7">
        <v>0</v>
      </c>
      <c r="Q6366" s="7" t="str">
        <f t="shared" si="2329"/>
        <v>教育庁</v>
      </c>
      <c r="R6366" s="7" t="str">
        <f t="shared" si="2325"/>
        <v>淀川工科高等学校</v>
      </c>
    </row>
    <row r="6367" spans="1:18" s="1" customFormat="1" x14ac:dyDescent="0.45">
      <c r="A6367" s="7" t="str">
        <f t="shared" si="2322"/>
        <v>10947000000</v>
      </c>
      <c r="B6367" s="7" t="str">
        <f t="shared" si="2323"/>
        <v>淀川工科高等学校</v>
      </c>
      <c r="C6367" s="7" t="str">
        <f t="shared" si="2326"/>
        <v>行政財産</v>
      </c>
      <c r="D6367" s="7" t="str">
        <f t="shared" si="2318"/>
        <v>学校</v>
      </c>
      <c r="E6367" s="7" t="str">
        <f t="shared" si="2324"/>
        <v>大阪府大阪市　旭区太子橋３丁目</v>
      </c>
      <c r="F6367" s="7"/>
      <c r="G6367" s="7" t="str">
        <f t="shared" si="2328"/>
        <v>事業用資産</v>
      </c>
      <c r="H6367" s="7" t="str">
        <f t="shared" si="2320"/>
        <v>棚卸以外</v>
      </c>
      <c r="I6367" s="7">
        <v>87</v>
      </c>
      <c r="J6367" s="7" t="str">
        <f>"危険物倉庫"</f>
        <v>危険物倉庫</v>
      </c>
      <c r="K6367" s="7" t="str">
        <f>"コンクリートブロック造"</f>
        <v>コンクリートブロック造</v>
      </c>
      <c r="L6367" s="7" t="str">
        <f>"H08.03.29"</f>
        <v>H08.03.29</v>
      </c>
      <c r="M6367" s="7">
        <v>18.739999999999998</v>
      </c>
      <c r="N6367" s="7">
        <v>4022000</v>
      </c>
      <c r="O6367" s="7">
        <v>3193992</v>
      </c>
      <c r="P6367" s="7">
        <v>0</v>
      </c>
      <c r="Q6367" s="7" t="str">
        <f t="shared" si="2329"/>
        <v>教育庁</v>
      </c>
      <c r="R6367" s="7" t="str">
        <f t="shared" si="2325"/>
        <v>淀川工科高等学校</v>
      </c>
    </row>
    <row r="6368" spans="1:18" s="1" customFormat="1" x14ac:dyDescent="0.45">
      <c r="A6368" s="7" t="str">
        <f t="shared" si="2322"/>
        <v>10947000000</v>
      </c>
      <c r="B6368" s="7" t="str">
        <f t="shared" si="2323"/>
        <v>淀川工科高等学校</v>
      </c>
      <c r="C6368" s="7" t="str">
        <f t="shared" si="2326"/>
        <v>行政財産</v>
      </c>
      <c r="D6368" s="7" t="str">
        <f t="shared" si="2318"/>
        <v>学校</v>
      </c>
      <c r="E6368" s="7" t="str">
        <f t="shared" si="2324"/>
        <v>大阪府大阪市　旭区太子橋３丁目</v>
      </c>
      <c r="F6368" s="7"/>
      <c r="G6368" s="7" t="str">
        <f t="shared" si="2328"/>
        <v>事業用資産</v>
      </c>
      <c r="H6368" s="7" t="str">
        <f t="shared" si="2320"/>
        <v>棚卸以外</v>
      </c>
      <c r="I6368" s="7">
        <v>88</v>
      </c>
      <c r="J6368" s="7" t="str">
        <f>"資材倉庫"</f>
        <v>資材倉庫</v>
      </c>
      <c r="K6368" s="7" t="str">
        <f>"土蔵造(簡易建物)"</f>
        <v>土蔵造(簡易建物)</v>
      </c>
      <c r="L6368" s="7" t="str">
        <f>"H09.06.13"</f>
        <v>H09.06.13</v>
      </c>
      <c r="M6368" s="7">
        <v>24.71</v>
      </c>
      <c r="N6368" s="7">
        <v>578000</v>
      </c>
      <c r="O6368" s="7">
        <v>577999</v>
      </c>
      <c r="P6368" s="7">
        <v>0</v>
      </c>
      <c r="Q6368" s="7" t="str">
        <f t="shared" si="2329"/>
        <v>教育庁</v>
      </c>
      <c r="R6368" s="7" t="str">
        <f t="shared" si="2325"/>
        <v>淀川工科高等学校</v>
      </c>
    </row>
    <row r="6369" spans="1:18" s="1" customFormat="1" x14ac:dyDescent="0.45">
      <c r="A6369" s="7" t="str">
        <f t="shared" si="2322"/>
        <v>10947000000</v>
      </c>
      <c r="B6369" s="7" t="str">
        <f t="shared" si="2323"/>
        <v>淀川工科高等学校</v>
      </c>
      <c r="C6369" s="7" t="str">
        <f t="shared" si="2326"/>
        <v>行政財産</v>
      </c>
      <c r="D6369" s="7" t="str">
        <f t="shared" si="2318"/>
        <v>学校</v>
      </c>
      <c r="E6369" s="7" t="str">
        <f t="shared" si="2324"/>
        <v>大阪府大阪市　旭区太子橋３丁目</v>
      </c>
      <c r="F6369" s="7"/>
      <c r="G6369" s="7" t="str">
        <f t="shared" si="2328"/>
        <v>事業用資産</v>
      </c>
      <c r="H6369" s="7" t="str">
        <f t="shared" si="2320"/>
        <v>棚卸以外</v>
      </c>
      <c r="I6369" s="7">
        <v>89</v>
      </c>
      <c r="J6369" s="7" t="str">
        <f>"実習棟（工風館）"</f>
        <v>実習棟（工風館）</v>
      </c>
      <c r="K6369" s="7" t="str">
        <f>"鉄筋コンクリート造"</f>
        <v>鉄筋コンクリート造</v>
      </c>
      <c r="L6369" s="7" t="str">
        <f>"H18.08.28"</f>
        <v>H18.08.28</v>
      </c>
      <c r="M6369" s="7">
        <v>468</v>
      </c>
      <c r="N6369" s="7">
        <v>126220000</v>
      </c>
      <c r="O6369" s="7">
        <v>44535603</v>
      </c>
      <c r="P6369" s="7">
        <v>0</v>
      </c>
      <c r="Q6369" s="7" t="str">
        <f t="shared" si="2329"/>
        <v>教育庁</v>
      </c>
      <c r="R6369" s="7" t="str">
        <f t="shared" si="2325"/>
        <v>淀川工科高等学校</v>
      </c>
    </row>
    <row r="6370" spans="1:18" s="1" customFormat="1" x14ac:dyDescent="0.45">
      <c r="A6370" s="7" t="str">
        <f t="shared" si="2322"/>
        <v>10947000000</v>
      </c>
      <c r="B6370" s="7" t="str">
        <f t="shared" si="2323"/>
        <v>淀川工科高等学校</v>
      </c>
      <c r="C6370" s="7" t="str">
        <f t="shared" si="2326"/>
        <v>行政財産</v>
      </c>
      <c r="D6370" s="7" t="str">
        <f t="shared" si="2318"/>
        <v>学校</v>
      </c>
      <c r="E6370" s="7" t="str">
        <f t="shared" si="2324"/>
        <v>大阪府大阪市　旭区太子橋３丁目</v>
      </c>
      <c r="F6370" s="7"/>
      <c r="G6370" s="7" t="str">
        <f t="shared" si="2328"/>
        <v>事業用資産</v>
      </c>
      <c r="H6370" s="7" t="str">
        <f t="shared" si="2320"/>
        <v>棚卸以外</v>
      </c>
      <c r="I6370" s="7">
        <v>90</v>
      </c>
      <c r="J6370" s="7" t="str">
        <f>"切粉・コンプレッサー置場棟"</f>
        <v>切粉・コンプレッサー置場棟</v>
      </c>
      <c r="K6370" s="7" t="str">
        <f>"鉄筋コンクリート造"</f>
        <v>鉄筋コンクリート造</v>
      </c>
      <c r="L6370" s="7" t="str">
        <f>"H18.08.28"</f>
        <v>H18.08.28</v>
      </c>
      <c r="M6370" s="7">
        <v>8.32</v>
      </c>
      <c r="N6370" s="7">
        <v>2176000</v>
      </c>
      <c r="O6370" s="7">
        <v>767941</v>
      </c>
      <c r="P6370" s="7">
        <v>0</v>
      </c>
      <c r="Q6370" s="7" t="str">
        <f t="shared" si="2329"/>
        <v>教育庁</v>
      </c>
      <c r="R6370" s="7" t="str">
        <f t="shared" si="2325"/>
        <v>淀川工科高等学校</v>
      </c>
    </row>
    <row r="6371" spans="1:18" s="1" customFormat="1" x14ac:dyDescent="0.45">
      <c r="A6371" s="7" t="str">
        <f t="shared" si="2322"/>
        <v>10947000000</v>
      </c>
      <c r="B6371" s="7" t="str">
        <f t="shared" si="2323"/>
        <v>淀川工科高等学校</v>
      </c>
      <c r="C6371" s="7" t="str">
        <f t="shared" si="2326"/>
        <v>行政財産</v>
      </c>
      <c r="D6371" s="7" t="str">
        <f t="shared" si="2318"/>
        <v>学校</v>
      </c>
      <c r="E6371" s="7" t="str">
        <f t="shared" si="2324"/>
        <v>大阪府大阪市　旭区太子橋３丁目</v>
      </c>
      <c r="F6371" s="7"/>
      <c r="G6371" s="7" t="str">
        <f t="shared" si="2328"/>
        <v>事業用資産</v>
      </c>
      <c r="H6371" s="7" t="str">
        <f t="shared" si="2320"/>
        <v>棚卸以外</v>
      </c>
      <c r="I6371" s="7">
        <v>91</v>
      </c>
      <c r="J6371" s="7" t="str">
        <f>"倉庫棟（生徒クラブ室）"</f>
        <v>倉庫棟（生徒クラブ室）</v>
      </c>
      <c r="K6371" s="7" t="str">
        <f>"鉄骨造"</f>
        <v>鉄骨造</v>
      </c>
      <c r="L6371" s="7" t="str">
        <f>"H17.03.31"</f>
        <v>H17.03.31</v>
      </c>
      <c r="M6371" s="7">
        <v>378.99</v>
      </c>
      <c r="N6371" s="7">
        <v>40859000</v>
      </c>
      <c r="O6371" s="7">
        <v>23724792</v>
      </c>
      <c r="P6371" s="7">
        <v>0</v>
      </c>
      <c r="Q6371" s="7" t="str">
        <f t="shared" si="2329"/>
        <v>教育庁</v>
      </c>
      <c r="R6371" s="7" t="str">
        <f t="shared" si="2325"/>
        <v>淀川工科高等学校</v>
      </c>
    </row>
    <row r="6372" spans="1:18" s="1" customFormat="1" x14ac:dyDescent="0.45">
      <c r="A6372" s="7" t="str">
        <f t="shared" si="2322"/>
        <v>10947000000</v>
      </c>
      <c r="B6372" s="7" t="str">
        <f t="shared" si="2323"/>
        <v>淀川工科高等学校</v>
      </c>
      <c r="C6372" s="7" t="str">
        <f t="shared" si="2326"/>
        <v>行政財産</v>
      </c>
      <c r="D6372" s="7" t="str">
        <f t="shared" si="2318"/>
        <v>学校</v>
      </c>
      <c r="E6372" s="7" t="str">
        <f t="shared" si="2324"/>
        <v>大阪府大阪市　旭区太子橋３丁目</v>
      </c>
      <c r="F6372" s="7"/>
      <c r="G6372" s="7" t="str">
        <f t="shared" si="2328"/>
        <v>事業用資産</v>
      </c>
      <c r="H6372" s="7" t="str">
        <f t="shared" si="2320"/>
        <v>棚卸以外</v>
      </c>
      <c r="I6372" s="7">
        <v>92</v>
      </c>
      <c r="J6372" s="7" t="str">
        <f>"物置"</f>
        <v>物置</v>
      </c>
      <c r="K6372" s="7" t="str">
        <f>"鉄骨造"</f>
        <v>鉄骨造</v>
      </c>
      <c r="L6372" s="7" t="str">
        <f>"H31.03.29"</f>
        <v>H31.03.29</v>
      </c>
      <c r="M6372" s="7">
        <v>9.67</v>
      </c>
      <c r="N6372" s="7">
        <v>736560</v>
      </c>
      <c r="O6372" s="7">
        <v>95040</v>
      </c>
      <c r="P6372" s="7">
        <v>0</v>
      </c>
      <c r="Q6372" s="7" t="str">
        <f t="shared" si="2329"/>
        <v>教育庁</v>
      </c>
      <c r="R6372" s="7" t="str">
        <f t="shared" si="2325"/>
        <v>淀川工科高等学校</v>
      </c>
    </row>
    <row r="6373" spans="1:18" s="1" customFormat="1" x14ac:dyDescent="0.45">
      <c r="A6373" s="7" t="str">
        <f t="shared" ref="A6373:A6400" si="2330">"10948000000"</f>
        <v>10948000000</v>
      </c>
      <c r="B6373" s="7" t="str">
        <f t="shared" ref="B6373:B6400" si="2331">"今宮工科高等学校"</f>
        <v>今宮工科高等学校</v>
      </c>
      <c r="C6373" s="7" t="str">
        <f t="shared" si="2326"/>
        <v>行政財産</v>
      </c>
      <c r="D6373" s="7" t="str">
        <f t="shared" si="2318"/>
        <v>学校</v>
      </c>
      <c r="E6373" s="7" t="str">
        <f t="shared" ref="E6373:E6400" si="2332">"大阪府大阪市　西成区出城１丁目"</f>
        <v>大阪府大阪市　西成区出城１丁目</v>
      </c>
      <c r="F6373" s="7"/>
      <c r="G6373" s="7" t="str">
        <f t="shared" si="2328"/>
        <v>事業用資産</v>
      </c>
      <c r="H6373" s="7" t="str">
        <f t="shared" si="2320"/>
        <v>棚卸以外</v>
      </c>
      <c r="I6373" s="7">
        <v>23</v>
      </c>
      <c r="J6373" s="7" t="str">
        <f>"北館Ａ棟"</f>
        <v>北館Ａ棟</v>
      </c>
      <c r="K6373" s="7" t="str">
        <f t="shared" ref="K6373:K6380" si="2333">"鉄筋コンクリート造"</f>
        <v>鉄筋コンクリート造</v>
      </c>
      <c r="L6373" s="7" t="str">
        <f>"S37.03.31"</f>
        <v>S37.03.31</v>
      </c>
      <c r="M6373" s="7">
        <v>755.99</v>
      </c>
      <c r="N6373" s="7">
        <v>125007193</v>
      </c>
      <c r="O6373" s="7">
        <v>114583782</v>
      </c>
      <c r="P6373" s="7">
        <v>0</v>
      </c>
      <c r="Q6373" s="7" t="str">
        <f t="shared" si="2329"/>
        <v>教育庁</v>
      </c>
      <c r="R6373" s="7" t="str">
        <f t="shared" ref="R6373:R6400" si="2334">"今宮工科高等学校"</f>
        <v>今宮工科高等学校</v>
      </c>
    </row>
    <row r="6374" spans="1:18" s="1" customFormat="1" x14ac:dyDescent="0.45">
      <c r="A6374" s="7" t="str">
        <f t="shared" si="2330"/>
        <v>10948000000</v>
      </c>
      <c r="B6374" s="7" t="str">
        <f t="shared" si="2331"/>
        <v>今宮工科高等学校</v>
      </c>
      <c r="C6374" s="7" t="str">
        <f t="shared" si="2326"/>
        <v>行政財産</v>
      </c>
      <c r="D6374" s="7" t="str">
        <f t="shared" si="2318"/>
        <v>学校</v>
      </c>
      <c r="E6374" s="7" t="str">
        <f t="shared" si="2332"/>
        <v>大阪府大阪市　西成区出城１丁目</v>
      </c>
      <c r="F6374" s="7"/>
      <c r="G6374" s="7" t="str">
        <f t="shared" si="2328"/>
        <v>事業用資産</v>
      </c>
      <c r="H6374" s="7" t="str">
        <f t="shared" si="2320"/>
        <v>棚卸以外</v>
      </c>
      <c r="I6374" s="7">
        <v>31</v>
      </c>
      <c r="J6374" s="7" t="str">
        <f>"同窓会館"</f>
        <v>同窓会館</v>
      </c>
      <c r="K6374" s="7" t="str">
        <f t="shared" si="2333"/>
        <v>鉄筋コンクリート造</v>
      </c>
      <c r="L6374" s="7" t="str">
        <f>"S34.05.05"</f>
        <v>S34.05.05</v>
      </c>
      <c r="M6374" s="7">
        <v>400.99</v>
      </c>
      <c r="N6374" s="7">
        <v>58237203</v>
      </c>
      <c r="O6374" s="7">
        <v>34571222</v>
      </c>
      <c r="P6374" s="7">
        <v>0</v>
      </c>
      <c r="Q6374" s="7" t="str">
        <f t="shared" si="2329"/>
        <v>教育庁</v>
      </c>
      <c r="R6374" s="7" t="str">
        <f t="shared" si="2334"/>
        <v>今宮工科高等学校</v>
      </c>
    </row>
    <row r="6375" spans="1:18" s="1" customFormat="1" x14ac:dyDescent="0.45">
      <c r="A6375" s="7" t="str">
        <f t="shared" si="2330"/>
        <v>10948000000</v>
      </c>
      <c r="B6375" s="7" t="str">
        <f t="shared" si="2331"/>
        <v>今宮工科高等学校</v>
      </c>
      <c r="C6375" s="7" t="str">
        <f t="shared" si="2326"/>
        <v>行政財産</v>
      </c>
      <c r="D6375" s="7" t="str">
        <f t="shared" si="2318"/>
        <v>学校</v>
      </c>
      <c r="E6375" s="7" t="str">
        <f t="shared" si="2332"/>
        <v>大阪府大阪市　西成区出城１丁目</v>
      </c>
      <c r="F6375" s="7"/>
      <c r="G6375" s="7" t="str">
        <f t="shared" si="2328"/>
        <v>事業用資産</v>
      </c>
      <c r="H6375" s="7" t="str">
        <f t="shared" si="2320"/>
        <v>棚卸以外</v>
      </c>
      <c r="I6375" s="7">
        <v>35</v>
      </c>
      <c r="J6375" s="7" t="str">
        <f>"北館Ｂ棟"</f>
        <v>北館Ｂ棟</v>
      </c>
      <c r="K6375" s="7" t="str">
        <f t="shared" si="2333"/>
        <v>鉄筋コンクリート造</v>
      </c>
      <c r="L6375" s="7" t="str">
        <f>"S41.03.28"</f>
        <v>S41.03.28</v>
      </c>
      <c r="M6375" s="7">
        <v>2311.2399999999998</v>
      </c>
      <c r="N6375" s="7">
        <v>317722118</v>
      </c>
      <c r="O6375" s="7">
        <v>296022164</v>
      </c>
      <c r="P6375" s="7">
        <v>0</v>
      </c>
      <c r="Q6375" s="7" t="str">
        <f t="shared" si="2329"/>
        <v>教育庁</v>
      </c>
      <c r="R6375" s="7" t="str">
        <f t="shared" si="2334"/>
        <v>今宮工科高等学校</v>
      </c>
    </row>
    <row r="6376" spans="1:18" s="1" customFormat="1" x14ac:dyDescent="0.45">
      <c r="A6376" s="7" t="str">
        <f t="shared" si="2330"/>
        <v>10948000000</v>
      </c>
      <c r="B6376" s="7" t="str">
        <f t="shared" si="2331"/>
        <v>今宮工科高等学校</v>
      </c>
      <c r="C6376" s="7" t="str">
        <f t="shared" si="2326"/>
        <v>行政財産</v>
      </c>
      <c r="D6376" s="7" t="str">
        <f t="shared" si="2318"/>
        <v>学校</v>
      </c>
      <c r="E6376" s="7" t="str">
        <f t="shared" si="2332"/>
        <v>大阪府大阪市　西成区出城１丁目</v>
      </c>
      <c r="F6376" s="7"/>
      <c r="G6376" s="7" t="str">
        <f t="shared" si="2328"/>
        <v>事業用資産</v>
      </c>
      <c r="H6376" s="7" t="str">
        <f t="shared" si="2320"/>
        <v>棚卸以外</v>
      </c>
      <c r="I6376" s="7">
        <v>36</v>
      </c>
      <c r="J6376" s="7" t="str">
        <f>"倉庫"</f>
        <v>倉庫</v>
      </c>
      <c r="K6376" s="7" t="str">
        <f t="shared" si="2333"/>
        <v>鉄筋コンクリート造</v>
      </c>
      <c r="L6376" s="7" t="str">
        <f>"S28.12.24"</f>
        <v>S28.12.24</v>
      </c>
      <c r="M6376" s="7">
        <v>11.05</v>
      </c>
      <c r="N6376" s="7">
        <v>321005</v>
      </c>
      <c r="O6376" s="7">
        <v>321004</v>
      </c>
      <c r="P6376" s="7">
        <v>0</v>
      </c>
      <c r="Q6376" s="7" t="str">
        <f t="shared" si="2329"/>
        <v>教育庁</v>
      </c>
      <c r="R6376" s="7" t="str">
        <f t="shared" si="2334"/>
        <v>今宮工科高等学校</v>
      </c>
    </row>
    <row r="6377" spans="1:18" s="1" customFormat="1" x14ac:dyDescent="0.45">
      <c r="A6377" s="7" t="str">
        <f t="shared" si="2330"/>
        <v>10948000000</v>
      </c>
      <c r="B6377" s="7" t="str">
        <f t="shared" si="2331"/>
        <v>今宮工科高等学校</v>
      </c>
      <c r="C6377" s="7" t="str">
        <f t="shared" si="2326"/>
        <v>行政財産</v>
      </c>
      <c r="D6377" s="7" t="str">
        <f t="shared" si="2318"/>
        <v>学校</v>
      </c>
      <c r="E6377" s="7" t="str">
        <f t="shared" si="2332"/>
        <v>大阪府大阪市　西成区出城１丁目</v>
      </c>
      <c r="F6377" s="7"/>
      <c r="G6377" s="7" t="str">
        <f t="shared" si="2328"/>
        <v>事業用資産</v>
      </c>
      <c r="H6377" s="7" t="str">
        <f t="shared" si="2320"/>
        <v>棚卸以外</v>
      </c>
      <c r="I6377" s="7">
        <v>37</v>
      </c>
      <c r="J6377" s="7" t="str">
        <f>"北館Ｃ棟"</f>
        <v>北館Ｃ棟</v>
      </c>
      <c r="K6377" s="7" t="str">
        <f t="shared" si="2333"/>
        <v>鉄筋コンクリート造</v>
      </c>
      <c r="L6377" s="7" t="str">
        <f>"S45.03.15"</f>
        <v>S45.03.15</v>
      </c>
      <c r="M6377" s="7">
        <v>1872.1</v>
      </c>
      <c r="N6377" s="7">
        <v>284400835</v>
      </c>
      <c r="O6377" s="7">
        <v>190185921</v>
      </c>
      <c r="P6377" s="7">
        <v>0</v>
      </c>
      <c r="Q6377" s="7" t="str">
        <f t="shared" si="2329"/>
        <v>教育庁</v>
      </c>
      <c r="R6377" s="7" t="str">
        <f t="shared" si="2334"/>
        <v>今宮工科高等学校</v>
      </c>
    </row>
    <row r="6378" spans="1:18" s="1" customFormat="1" x14ac:dyDescent="0.45">
      <c r="A6378" s="7" t="str">
        <f t="shared" si="2330"/>
        <v>10948000000</v>
      </c>
      <c r="B6378" s="7" t="str">
        <f t="shared" si="2331"/>
        <v>今宮工科高等学校</v>
      </c>
      <c r="C6378" s="7" t="str">
        <f t="shared" si="2326"/>
        <v>行政財産</v>
      </c>
      <c r="D6378" s="7" t="str">
        <f t="shared" si="2318"/>
        <v>学校</v>
      </c>
      <c r="E6378" s="7" t="str">
        <f t="shared" si="2332"/>
        <v>大阪府大阪市　西成区出城１丁目</v>
      </c>
      <c r="F6378" s="7"/>
      <c r="G6378" s="7" t="str">
        <f t="shared" si="2328"/>
        <v>事業用資産</v>
      </c>
      <c r="H6378" s="7" t="str">
        <f t="shared" si="2320"/>
        <v>棚卸以外</v>
      </c>
      <c r="I6378" s="7">
        <v>38</v>
      </c>
      <c r="J6378" s="7" t="str">
        <f>"北館Ｄ棟"</f>
        <v>北館Ｄ棟</v>
      </c>
      <c r="K6378" s="7" t="str">
        <f t="shared" si="2333"/>
        <v>鉄筋コンクリート造</v>
      </c>
      <c r="L6378" s="7" t="str">
        <f>"S46.03.15"</f>
        <v>S46.03.15</v>
      </c>
      <c r="M6378" s="7">
        <v>1723.54</v>
      </c>
      <c r="N6378" s="7">
        <v>265919158</v>
      </c>
      <c r="O6378" s="7">
        <v>169397335</v>
      </c>
      <c r="P6378" s="7">
        <v>0</v>
      </c>
      <c r="Q6378" s="7" t="str">
        <f t="shared" si="2329"/>
        <v>教育庁</v>
      </c>
      <c r="R6378" s="7" t="str">
        <f t="shared" si="2334"/>
        <v>今宮工科高等学校</v>
      </c>
    </row>
    <row r="6379" spans="1:18" s="1" customFormat="1" x14ac:dyDescent="0.45">
      <c r="A6379" s="7" t="str">
        <f t="shared" si="2330"/>
        <v>10948000000</v>
      </c>
      <c r="B6379" s="7" t="str">
        <f t="shared" si="2331"/>
        <v>今宮工科高等学校</v>
      </c>
      <c r="C6379" s="7" t="str">
        <f t="shared" si="2326"/>
        <v>行政財産</v>
      </c>
      <c r="D6379" s="7" t="str">
        <f t="shared" si="2318"/>
        <v>学校</v>
      </c>
      <c r="E6379" s="7" t="str">
        <f t="shared" si="2332"/>
        <v>大阪府大阪市　西成区出城１丁目</v>
      </c>
      <c r="F6379" s="7"/>
      <c r="G6379" s="7" t="str">
        <f t="shared" si="2328"/>
        <v>事業用資産</v>
      </c>
      <c r="H6379" s="7" t="str">
        <f t="shared" si="2320"/>
        <v>棚卸以外</v>
      </c>
      <c r="I6379" s="7">
        <v>43</v>
      </c>
      <c r="J6379" s="7" t="str">
        <f>"プール更衣室"</f>
        <v>プール更衣室</v>
      </c>
      <c r="K6379" s="7" t="str">
        <f t="shared" si="2333"/>
        <v>鉄筋コンクリート造</v>
      </c>
      <c r="L6379" s="7" t="str">
        <f>"S47.07.08"</f>
        <v>S47.07.08</v>
      </c>
      <c r="M6379" s="7">
        <v>113.4</v>
      </c>
      <c r="N6379" s="7">
        <v>9320478</v>
      </c>
      <c r="O6379" s="7">
        <v>9203349</v>
      </c>
      <c r="P6379" s="7">
        <v>0</v>
      </c>
      <c r="Q6379" s="7" t="str">
        <f t="shared" si="2329"/>
        <v>教育庁</v>
      </c>
      <c r="R6379" s="7" t="str">
        <f t="shared" si="2334"/>
        <v>今宮工科高等学校</v>
      </c>
    </row>
    <row r="6380" spans="1:18" s="1" customFormat="1" x14ac:dyDescent="0.45">
      <c r="A6380" s="7" t="str">
        <f t="shared" si="2330"/>
        <v>10948000000</v>
      </c>
      <c r="B6380" s="7" t="str">
        <f t="shared" si="2331"/>
        <v>今宮工科高等学校</v>
      </c>
      <c r="C6380" s="7" t="str">
        <f t="shared" si="2326"/>
        <v>行政財産</v>
      </c>
      <c r="D6380" s="7" t="str">
        <f t="shared" si="2318"/>
        <v>学校</v>
      </c>
      <c r="E6380" s="7" t="str">
        <f t="shared" si="2332"/>
        <v>大阪府大阪市　西成区出城１丁目</v>
      </c>
      <c r="F6380" s="7"/>
      <c r="G6380" s="7" t="str">
        <f t="shared" si="2328"/>
        <v>事業用資産</v>
      </c>
      <c r="H6380" s="7" t="str">
        <f t="shared" si="2320"/>
        <v>棚卸以外</v>
      </c>
      <c r="I6380" s="7">
        <v>46</v>
      </c>
      <c r="J6380" s="7" t="str">
        <f>"体育館"</f>
        <v>体育館</v>
      </c>
      <c r="K6380" s="7" t="str">
        <f t="shared" si="2333"/>
        <v>鉄筋コンクリート造</v>
      </c>
      <c r="L6380" s="7" t="str">
        <f>"S54.03.31"</f>
        <v>S54.03.31</v>
      </c>
      <c r="M6380" s="7">
        <v>2943.7</v>
      </c>
      <c r="N6380" s="7">
        <v>438346617</v>
      </c>
      <c r="O6380" s="7">
        <v>347468575</v>
      </c>
      <c r="P6380" s="7">
        <v>0</v>
      </c>
      <c r="Q6380" s="7" t="str">
        <f t="shared" si="2329"/>
        <v>教育庁</v>
      </c>
      <c r="R6380" s="7" t="str">
        <f t="shared" si="2334"/>
        <v>今宮工科高等学校</v>
      </c>
    </row>
    <row r="6381" spans="1:18" s="1" customFormat="1" ht="26.4" x14ac:dyDescent="0.45">
      <c r="A6381" s="7" t="str">
        <f t="shared" si="2330"/>
        <v>10948000000</v>
      </c>
      <c r="B6381" s="7" t="str">
        <f t="shared" si="2331"/>
        <v>今宮工科高等学校</v>
      </c>
      <c r="C6381" s="7" t="str">
        <f t="shared" si="2326"/>
        <v>行政財産</v>
      </c>
      <c r="D6381" s="7" t="str">
        <f t="shared" si="2318"/>
        <v>学校</v>
      </c>
      <c r="E6381" s="7" t="str">
        <f t="shared" si="2332"/>
        <v>大阪府大阪市　西成区出城１丁目</v>
      </c>
      <c r="F6381" s="7"/>
      <c r="G6381" s="7" t="str">
        <f t="shared" si="2328"/>
        <v>事業用資産</v>
      </c>
      <c r="H6381" s="7" t="str">
        <f t="shared" si="2320"/>
        <v>棚卸以外</v>
      </c>
      <c r="I6381" s="7">
        <v>49</v>
      </c>
      <c r="J6381" s="7" t="str">
        <f>"実習１号棟"</f>
        <v>実習１号棟</v>
      </c>
      <c r="K6381" s="7" t="str">
        <f>"鉄骨鉄筋コンクリート造"</f>
        <v>鉄骨鉄筋コンクリート造</v>
      </c>
      <c r="L6381" s="7" t="str">
        <f t="shared" ref="L6381:L6386" si="2335">"H01.11.24"</f>
        <v>H01.11.24</v>
      </c>
      <c r="M6381" s="7">
        <v>7166.12</v>
      </c>
      <c r="N6381" s="7">
        <v>1276438838</v>
      </c>
      <c r="O6381" s="7">
        <v>885740445</v>
      </c>
      <c r="P6381" s="7">
        <v>0</v>
      </c>
      <c r="Q6381" s="7" t="str">
        <f t="shared" si="2329"/>
        <v>教育庁</v>
      </c>
      <c r="R6381" s="7" t="str">
        <f t="shared" si="2334"/>
        <v>今宮工科高等学校</v>
      </c>
    </row>
    <row r="6382" spans="1:18" s="1" customFormat="1" x14ac:dyDescent="0.45">
      <c r="A6382" s="7" t="str">
        <f t="shared" si="2330"/>
        <v>10948000000</v>
      </c>
      <c r="B6382" s="7" t="str">
        <f t="shared" si="2331"/>
        <v>今宮工科高等学校</v>
      </c>
      <c r="C6382" s="7" t="str">
        <f t="shared" si="2326"/>
        <v>行政財産</v>
      </c>
      <c r="D6382" s="7" t="str">
        <f t="shared" si="2318"/>
        <v>学校</v>
      </c>
      <c r="E6382" s="7" t="str">
        <f t="shared" si="2332"/>
        <v>大阪府大阪市　西成区出城１丁目</v>
      </c>
      <c r="F6382" s="7"/>
      <c r="G6382" s="7" t="str">
        <f t="shared" si="2328"/>
        <v>事業用資産</v>
      </c>
      <c r="H6382" s="7" t="str">
        <f t="shared" si="2320"/>
        <v>棚卸以外</v>
      </c>
      <c r="I6382" s="7">
        <v>50</v>
      </c>
      <c r="J6382" s="7" t="str">
        <f>"実習２号棟"</f>
        <v>実習２号棟</v>
      </c>
      <c r="K6382" s="7" t="str">
        <f>"鉄筋コンクリート造"</f>
        <v>鉄筋コンクリート造</v>
      </c>
      <c r="L6382" s="7" t="str">
        <f t="shared" si="2335"/>
        <v>H01.11.24</v>
      </c>
      <c r="M6382" s="7">
        <v>1873.56</v>
      </c>
      <c r="N6382" s="7">
        <v>290817787</v>
      </c>
      <c r="O6382" s="7">
        <v>202464661</v>
      </c>
      <c r="P6382" s="7">
        <v>0</v>
      </c>
      <c r="Q6382" s="7" t="str">
        <f t="shared" si="2329"/>
        <v>教育庁</v>
      </c>
      <c r="R6382" s="7" t="str">
        <f t="shared" si="2334"/>
        <v>今宮工科高等学校</v>
      </c>
    </row>
    <row r="6383" spans="1:18" s="1" customFormat="1" x14ac:dyDescent="0.45">
      <c r="A6383" s="7" t="str">
        <f t="shared" si="2330"/>
        <v>10948000000</v>
      </c>
      <c r="B6383" s="7" t="str">
        <f t="shared" si="2331"/>
        <v>今宮工科高等学校</v>
      </c>
      <c r="C6383" s="7" t="str">
        <f t="shared" si="2326"/>
        <v>行政財産</v>
      </c>
      <c r="D6383" s="7" t="str">
        <f t="shared" si="2318"/>
        <v>学校</v>
      </c>
      <c r="E6383" s="7" t="str">
        <f t="shared" si="2332"/>
        <v>大阪府大阪市　西成区出城１丁目</v>
      </c>
      <c r="F6383" s="7"/>
      <c r="G6383" s="7" t="str">
        <f t="shared" si="2328"/>
        <v>事業用資産</v>
      </c>
      <c r="H6383" s="7" t="str">
        <f t="shared" si="2320"/>
        <v>棚卸以外</v>
      </c>
      <c r="I6383" s="7">
        <v>51</v>
      </c>
      <c r="J6383" s="7" t="str">
        <f>"実習３号棟"</f>
        <v>実習３号棟</v>
      </c>
      <c r="K6383" s="7" t="str">
        <f>"鉄筋コンクリート造"</f>
        <v>鉄筋コンクリート造</v>
      </c>
      <c r="L6383" s="7" t="str">
        <f t="shared" si="2335"/>
        <v>H01.11.24</v>
      </c>
      <c r="M6383" s="7">
        <v>1116.74</v>
      </c>
      <c r="N6383" s="7">
        <v>275540417</v>
      </c>
      <c r="O6383" s="7">
        <v>197196679</v>
      </c>
      <c r="P6383" s="7">
        <v>0</v>
      </c>
      <c r="Q6383" s="7" t="str">
        <f t="shared" si="2329"/>
        <v>教育庁</v>
      </c>
      <c r="R6383" s="7" t="str">
        <f t="shared" si="2334"/>
        <v>今宮工科高等学校</v>
      </c>
    </row>
    <row r="6384" spans="1:18" s="1" customFormat="1" x14ac:dyDescent="0.45">
      <c r="A6384" s="7" t="str">
        <f t="shared" si="2330"/>
        <v>10948000000</v>
      </c>
      <c r="B6384" s="7" t="str">
        <f t="shared" si="2331"/>
        <v>今宮工科高等学校</v>
      </c>
      <c r="C6384" s="7" t="str">
        <f t="shared" si="2326"/>
        <v>行政財産</v>
      </c>
      <c r="D6384" s="7" t="str">
        <f t="shared" si="2318"/>
        <v>学校</v>
      </c>
      <c r="E6384" s="7" t="str">
        <f t="shared" si="2332"/>
        <v>大阪府大阪市　西成区出城１丁目</v>
      </c>
      <c r="F6384" s="7"/>
      <c r="G6384" s="7" t="str">
        <f t="shared" si="2328"/>
        <v>事業用資産</v>
      </c>
      <c r="H6384" s="7" t="str">
        <f t="shared" si="2320"/>
        <v>棚卸以外</v>
      </c>
      <c r="I6384" s="7">
        <v>52</v>
      </c>
      <c r="J6384" s="7" t="str">
        <f>"３階上空連絡通路"</f>
        <v>３階上空連絡通路</v>
      </c>
      <c r="K6384" s="7" t="str">
        <f>"鉄骨造"</f>
        <v>鉄骨造</v>
      </c>
      <c r="L6384" s="7" t="str">
        <f t="shared" si="2335"/>
        <v>H01.11.24</v>
      </c>
      <c r="M6384" s="7">
        <v>160.97999999999999</v>
      </c>
      <c r="N6384" s="7">
        <v>46297000</v>
      </c>
      <c r="O6384" s="7">
        <v>46296999</v>
      </c>
      <c r="P6384" s="7">
        <v>0</v>
      </c>
      <c r="Q6384" s="7" t="str">
        <f t="shared" si="2329"/>
        <v>教育庁</v>
      </c>
      <c r="R6384" s="7" t="str">
        <f t="shared" si="2334"/>
        <v>今宮工科高等学校</v>
      </c>
    </row>
    <row r="6385" spans="1:18" s="1" customFormat="1" x14ac:dyDescent="0.45">
      <c r="A6385" s="7" t="str">
        <f t="shared" si="2330"/>
        <v>10948000000</v>
      </c>
      <c r="B6385" s="7" t="str">
        <f t="shared" si="2331"/>
        <v>今宮工科高等学校</v>
      </c>
      <c r="C6385" s="7" t="str">
        <f t="shared" si="2326"/>
        <v>行政財産</v>
      </c>
      <c r="D6385" s="7" t="str">
        <f t="shared" si="2318"/>
        <v>学校</v>
      </c>
      <c r="E6385" s="7" t="str">
        <f t="shared" si="2332"/>
        <v>大阪府大阪市　西成区出城１丁目</v>
      </c>
      <c r="F6385" s="7"/>
      <c r="G6385" s="7" t="str">
        <f t="shared" si="2328"/>
        <v>事業用資産</v>
      </c>
      <c r="H6385" s="7" t="str">
        <f t="shared" si="2320"/>
        <v>棚卸以外</v>
      </c>
      <c r="I6385" s="7">
        <v>53</v>
      </c>
      <c r="J6385" s="7" t="str">
        <f>"３階上空渡り廊下"</f>
        <v>３階上空渡り廊下</v>
      </c>
      <c r="K6385" s="7" t="str">
        <f>"鉄骨造"</f>
        <v>鉄骨造</v>
      </c>
      <c r="L6385" s="7" t="str">
        <f t="shared" si="2335"/>
        <v>H01.11.24</v>
      </c>
      <c r="M6385" s="7">
        <v>45.45</v>
      </c>
      <c r="N6385" s="7">
        <v>11896000</v>
      </c>
      <c r="O6385" s="7">
        <v>11895999</v>
      </c>
      <c r="P6385" s="7">
        <v>0</v>
      </c>
      <c r="Q6385" s="7" t="str">
        <f t="shared" si="2329"/>
        <v>教育庁</v>
      </c>
      <c r="R6385" s="7" t="str">
        <f t="shared" si="2334"/>
        <v>今宮工科高等学校</v>
      </c>
    </row>
    <row r="6386" spans="1:18" s="1" customFormat="1" x14ac:dyDescent="0.45">
      <c r="A6386" s="7" t="str">
        <f t="shared" si="2330"/>
        <v>10948000000</v>
      </c>
      <c r="B6386" s="7" t="str">
        <f t="shared" si="2331"/>
        <v>今宮工科高等学校</v>
      </c>
      <c r="C6386" s="7" t="str">
        <f t="shared" si="2326"/>
        <v>行政財産</v>
      </c>
      <c r="D6386" s="7" t="str">
        <f t="shared" si="2318"/>
        <v>学校</v>
      </c>
      <c r="E6386" s="7" t="str">
        <f t="shared" si="2332"/>
        <v>大阪府大阪市　西成区出城１丁目</v>
      </c>
      <c r="F6386" s="7"/>
      <c r="G6386" s="7" t="str">
        <f t="shared" si="2328"/>
        <v>事業用資産</v>
      </c>
      <c r="H6386" s="7" t="str">
        <f t="shared" si="2320"/>
        <v>棚卸以外</v>
      </c>
      <c r="I6386" s="7">
        <v>54</v>
      </c>
      <c r="J6386" s="7" t="str">
        <f>"１階渡り廊下"</f>
        <v>１階渡り廊下</v>
      </c>
      <c r="K6386" s="7" t="str">
        <f>"鉄筋コンクリート造"</f>
        <v>鉄筋コンクリート造</v>
      </c>
      <c r="L6386" s="7" t="str">
        <f t="shared" si="2335"/>
        <v>H01.11.24</v>
      </c>
      <c r="M6386" s="7">
        <v>25.96</v>
      </c>
      <c r="N6386" s="7">
        <v>6795000</v>
      </c>
      <c r="O6386" s="7">
        <v>5524400</v>
      </c>
      <c r="P6386" s="7">
        <v>0</v>
      </c>
      <c r="Q6386" s="7" t="str">
        <f t="shared" si="2329"/>
        <v>教育庁</v>
      </c>
      <c r="R6386" s="7" t="str">
        <f t="shared" si="2334"/>
        <v>今宮工科高等学校</v>
      </c>
    </row>
    <row r="6387" spans="1:18" s="1" customFormat="1" x14ac:dyDescent="0.45">
      <c r="A6387" s="7" t="str">
        <f t="shared" si="2330"/>
        <v>10948000000</v>
      </c>
      <c r="B6387" s="7" t="str">
        <f t="shared" si="2331"/>
        <v>今宮工科高等学校</v>
      </c>
      <c r="C6387" s="7" t="str">
        <f t="shared" si="2326"/>
        <v>行政財産</v>
      </c>
      <c r="D6387" s="7" t="str">
        <f t="shared" si="2318"/>
        <v>学校</v>
      </c>
      <c r="E6387" s="7" t="str">
        <f t="shared" si="2332"/>
        <v>大阪府大阪市　西成区出城１丁目</v>
      </c>
      <c r="F6387" s="7"/>
      <c r="G6387" s="7" t="str">
        <f t="shared" si="2328"/>
        <v>事業用資産</v>
      </c>
      <c r="H6387" s="7" t="str">
        <f t="shared" si="2320"/>
        <v>棚卸以外</v>
      </c>
      <c r="I6387" s="7">
        <v>55</v>
      </c>
      <c r="J6387" s="7" t="str">
        <f>"ゴミ置場"</f>
        <v>ゴミ置場</v>
      </c>
      <c r="K6387" s="7" t="str">
        <f>"鉄筋コンクリート造"</f>
        <v>鉄筋コンクリート造</v>
      </c>
      <c r="L6387" s="7" t="str">
        <f>"H01.12.11"</f>
        <v>H01.12.11</v>
      </c>
      <c r="M6387" s="7">
        <v>8.5</v>
      </c>
      <c r="N6387" s="7">
        <v>2426000</v>
      </c>
      <c r="O6387" s="7">
        <v>2123079</v>
      </c>
      <c r="P6387" s="7">
        <v>0</v>
      </c>
      <c r="Q6387" s="7" t="str">
        <f t="shared" si="2329"/>
        <v>教育庁</v>
      </c>
      <c r="R6387" s="7" t="str">
        <f t="shared" si="2334"/>
        <v>今宮工科高等学校</v>
      </c>
    </row>
    <row r="6388" spans="1:18" s="1" customFormat="1" x14ac:dyDescent="0.45">
      <c r="A6388" s="7" t="str">
        <f t="shared" si="2330"/>
        <v>10948000000</v>
      </c>
      <c r="B6388" s="7" t="str">
        <f t="shared" si="2331"/>
        <v>今宮工科高等学校</v>
      </c>
      <c r="C6388" s="7" t="str">
        <f t="shared" si="2326"/>
        <v>行政財産</v>
      </c>
      <c r="D6388" s="7" t="str">
        <f t="shared" si="2318"/>
        <v>学校</v>
      </c>
      <c r="E6388" s="7" t="str">
        <f t="shared" si="2332"/>
        <v>大阪府大阪市　西成区出城１丁目</v>
      </c>
      <c r="F6388" s="7"/>
      <c r="G6388" s="7" t="str">
        <f t="shared" si="2328"/>
        <v>事業用資産</v>
      </c>
      <c r="H6388" s="7" t="str">
        <f t="shared" si="2320"/>
        <v>棚卸以外</v>
      </c>
      <c r="I6388" s="7">
        <v>56</v>
      </c>
      <c r="J6388" s="7" t="str">
        <f>"油庫"</f>
        <v>油庫</v>
      </c>
      <c r="K6388" s="7" t="str">
        <f>"鉄筋コンクリート造"</f>
        <v>鉄筋コンクリート造</v>
      </c>
      <c r="L6388" s="7" t="str">
        <f>"H01.12.11"</f>
        <v>H01.12.11</v>
      </c>
      <c r="M6388" s="7">
        <v>21.5</v>
      </c>
      <c r="N6388" s="7">
        <v>4805000</v>
      </c>
      <c r="O6388" s="7">
        <v>4204662</v>
      </c>
      <c r="P6388" s="7">
        <v>0</v>
      </c>
      <c r="Q6388" s="7" t="str">
        <f t="shared" si="2329"/>
        <v>教育庁</v>
      </c>
      <c r="R6388" s="7" t="str">
        <f t="shared" si="2334"/>
        <v>今宮工科高等学校</v>
      </c>
    </row>
    <row r="6389" spans="1:18" s="1" customFormat="1" x14ac:dyDescent="0.45">
      <c r="A6389" s="7" t="str">
        <f t="shared" si="2330"/>
        <v>10948000000</v>
      </c>
      <c r="B6389" s="7" t="str">
        <f t="shared" si="2331"/>
        <v>今宮工科高等学校</v>
      </c>
      <c r="C6389" s="7" t="str">
        <f t="shared" si="2326"/>
        <v>行政財産</v>
      </c>
      <c r="D6389" s="7" t="str">
        <f t="shared" si="2318"/>
        <v>学校</v>
      </c>
      <c r="E6389" s="7" t="str">
        <f t="shared" si="2332"/>
        <v>大阪府大阪市　西成区出城１丁目</v>
      </c>
      <c r="F6389" s="7"/>
      <c r="G6389" s="7" t="str">
        <f t="shared" si="2328"/>
        <v>事業用資産</v>
      </c>
      <c r="H6389" s="7" t="str">
        <f t="shared" si="2320"/>
        <v>棚卸以外</v>
      </c>
      <c r="I6389" s="7">
        <v>57</v>
      </c>
      <c r="J6389" s="7" t="str">
        <f>"材料置場（１）"</f>
        <v>材料置場（１）</v>
      </c>
      <c r="K6389" s="7" t="str">
        <f>"鉄筋コンクリート造"</f>
        <v>鉄筋コンクリート造</v>
      </c>
      <c r="L6389" s="7" t="str">
        <f>"H01.12.11"</f>
        <v>H01.12.11</v>
      </c>
      <c r="M6389" s="7">
        <v>13.65</v>
      </c>
      <c r="N6389" s="7">
        <v>2901000</v>
      </c>
      <c r="O6389" s="7">
        <v>2538438</v>
      </c>
      <c r="P6389" s="7">
        <v>0</v>
      </c>
      <c r="Q6389" s="7" t="str">
        <f t="shared" si="2329"/>
        <v>教育庁</v>
      </c>
      <c r="R6389" s="7" t="str">
        <f t="shared" si="2334"/>
        <v>今宮工科高等学校</v>
      </c>
    </row>
    <row r="6390" spans="1:18" s="1" customFormat="1" x14ac:dyDescent="0.45">
      <c r="A6390" s="7" t="str">
        <f t="shared" si="2330"/>
        <v>10948000000</v>
      </c>
      <c r="B6390" s="7" t="str">
        <f t="shared" si="2331"/>
        <v>今宮工科高等学校</v>
      </c>
      <c r="C6390" s="7" t="str">
        <f t="shared" si="2326"/>
        <v>行政財産</v>
      </c>
      <c r="D6390" s="7" t="str">
        <f t="shared" si="2318"/>
        <v>学校</v>
      </c>
      <c r="E6390" s="7" t="str">
        <f t="shared" si="2332"/>
        <v>大阪府大阪市　西成区出城１丁目</v>
      </c>
      <c r="F6390" s="7"/>
      <c r="G6390" s="7" t="str">
        <f t="shared" si="2328"/>
        <v>事業用資産</v>
      </c>
      <c r="H6390" s="7" t="str">
        <f t="shared" si="2320"/>
        <v>棚卸以外</v>
      </c>
      <c r="I6390" s="7">
        <v>58</v>
      </c>
      <c r="J6390" s="7" t="str">
        <f>"材料置場（２）"</f>
        <v>材料置場（２）</v>
      </c>
      <c r="K6390" s="7" t="str">
        <f>"鉄筋コンクリート造"</f>
        <v>鉄筋コンクリート造</v>
      </c>
      <c r="L6390" s="7" t="str">
        <f>"H01.12.11"</f>
        <v>H01.12.11</v>
      </c>
      <c r="M6390" s="7">
        <v>7.75</v>
      </c>
      <c r="N6390" s="7">
        <v>2581000</v>
      </c>
      <c r="O6390" s="7">
        <v>2258739</v>
      </c>
      <c r="P6390" s="7">
        <v>0</v>
      </c>
      <c r="Q6390" s="7" t="str">
        <f t="shared" si="2329"/>
        <v>教育庁</v>
      </c>
      <c r="R6390" s="7" t="str">
        <f t="shared" si="2334"/>
        <v>今宮工科高等学校</v>
      </c>
    </row>
    <row r="6391" spans="1:18" s="1" customFormat="1" x14ac:dyDescent="0.45">
      <c r="A6391" s="7" t="str">
        <f t="shared" si="2330"/>
        <v>10948000000</v>
      </c>
      <c r="B6391" s="7" t="str">
        <f t="shared" si="2331"/>
        <v>今宮工科高等学校</v>
      </c>
      <c r="C6391" s="7" t="str">
        <f t="shared" si="2326"/>
        <v>行政財産</v>
      </c>
      <c r="D6391" s="7" t="str">
        <f t="shared" si="2318"/>
        <v>学校</v>
      </c>
      <c r="E6391" s="7" t="str">
        <f t="shared" si="2332"/>
        <v>大阪府大阪市　西成区出城１丁目</v>
      </c>
      <c r="F6391" s="7"/>
      <c r="G6391" s="7" t="str">
        <f t="shared" si="2328"/>
        <v>事業用資産</v>
      </c>
      <c r="H6391" s="7" t="str">
        <f t="shared" si="2320"/>
        <v>棚卸以外</v>
      </c>
      <c r="I6391" s="7">
        <v>60</v>
      </c>
      <c r="J6391" s="7" t="str">
        <f>"倉庫"</f>
        <v>倉庫</v>
      </c>
      <c r="K6391" s="7" t="str">
        <f>"軽量鉄骨造"</f>
        <v>軽量鉄骨造</v>
      </c>
      <c r="L6391" s="7" t="str">
        <f>"S49.08.16"</f>
        <v>S49.08.16</v>
      </c>
      <c r="M6391" s="7">
        <v>33.81</v>
      </c>
      <c r="N6391" s="7">
        <v>650000</v>
      </c>
      <c r="O6391" s="7">
        <v>649999</v>
      </c>
      <c r="P6391" s="7">
        <v>0</v>
      </c>
      <c r="Q6391" s="7" t="str">
        <f t="shared" si="2329"/>
        <v>教育庁</v>
      </c>
      <c r="R6391" s="7" t="str">
        <f t="shared" si="2334"/>
        <v>今宮工科高等学校</v>
      </c>
    </row>
    <row r="6392" spans="1:18" s="1" customFormat="1" x14ac:dyDescent="0.45">
      <c r="A6392" s="7" t="str">
        <f t="shared" si="2330"/>
        <v>10948000000</v>
      </c>
      <c r="B6392" s="7" t="str">
        <f t="shared" si="2331"/>
        <v>今宮工科高等学校</v>
      </c>
      <c r="C6392" s="7" t="str">
        <f t="shared" si="2326"/>
        <v>行政財産</v>
      </c>
      <c r="D6392" s="7" t="str">
        <f t="shared" si="2318"/>
        <v>学校</v>
      </c>
      <c r="E6392" s="7" t="str">
        <f t="shared" si="2332"/>
        <v>大阪府大阪市　西成区出城１丁目</v>
      </c>
      <c r="F6392" s="7"/>
      <c r="G6392" s="7" t="str">
        <f t="shared" si="2328"/>
        <v>事業用資産</v>
      </c>
      <c r="H6392" s="7" t="str">
        <f t="shared" si="2320"/>
        <v>棚卸以外</v>
      </c>
      <c r="I6392" s="7">
        <v>61</v>
      </c>
      <c r="J6392" s="7" t="str">
        <f>"家庭科棟"</f>
        <v>家庭科棟</v>
      </c>
      <c r="K6392" s="7" t="str">
        <f>"鉄骨造"</f>
        <v>鉄骨造</v>
      </c>
      <c r="L6392" s="7" t="str">
        <f>"H07.03.10"</f>
        <v>H07.03.10</v>
      </c>
      <c r="M6392" s="7">
        <v>553.86</v>
      </c>
      <c r="N6392" s="7">
        <v>114623059</v>
      </c>
      <c r="O6392" s="7">
        <v>93419633</v>
      </c>
      <c r="P6392" s="7">
        <v>0</v>
      </c>
      <c r="Q6392" s="7" t="str">
        <f t="shared" si="2329"/>
        <v>教育庁</v>
      </c>
      <c r="R6392" s="7" t="str">
        <f t="shared" si="2334"/>
        <v>今宮工科高等学校</v>
      </c>
    </row>
    <row r="6393" spans="1:18" s="1" customFormat="1" x14ac:dyDescent="0.45">
      <c r="A6393" s="7" t="str">
        <f t="shared" si="2330"/>
        <v>10948000000</v>
      </c>
      <c r="B6393" s="7" t="str">
        <f t="shared" si="2331"/>
        <v>今宮工科高等学校</v>
      </c>
      <c r="C6393" s="7" t="str">
        <f t="shared" si="2326"/>
        <v>行政財産</v>
      </c>
      <c r="D6393" s="7" t="str">
        <f t="shared" si="2318"/>
        <v>学校</v>
      </c>
      <c r="E6393" s="7" t="str">
        <f t="shared" si="2332"/>
        <v>大阪府大阪市　西成区出城１丁目</v>
      </c>
      <c r="F6393" s="7"/>
      <c r="G6393" s="7" t="str">
        <f t="shared" si="2328"/>
        <v>事業用資産</v>
      </c>
      <c r="H6393" s="7" t="str">
        <f t="shared" si="2320"/>
        <v>棚卸以外</v>
      </c>
      <c r="I6393" s="7">
        <v>62</v>
      </c>
      <c r="J6393" s="7" t="str">
        <f>"倉庫棟"</f>
        <v>倉庫棟</v>
      </c>
      <c r="K6393" s="7" t="str">
        <f>"鉄骨造"</f>
        <v>鉄骨造</v>
      </c>
      <c r="L6393" s="7" t="str">
        <f>"H07.03.10"</f>
        <v>H07.03.10</v>
      </c>
      <c r="M6393" s="7">
        <v>104.23</v>
      </c>
      <c r="N6393" s="7">
        <v>11109000</v>
      </c>
      <c r="O6393" s="7">
        <v>10033968</v>
      </c>
      <c r="P6393" s="7">
        <v>0</v>
      </c>
      <c r="Q6393" s="7" t="str">
        <f t="shared" si="2329"/>
        <v>教育庁</v>
      </c>
      <c r="R6393" s="7" t="str">
        <f t="shared" si="2334"/>
        <v>今宮工科高等学校</v>
      </c>
    </row>
    <row r="6394" spans="1:18" s="1" customFormat="1" x14ac:dyDescent="0.45">
      <c r="A6394" s="7" t="str">
        <f t="shared" si="2330"/>
        <v>10948000000</v>
      </c>
      <c r="B6394" s="7" t="str">
        <f t="shared" si="2331"/>
        <v>今宮工科高等学校</v>
      </c>
      <c r="C6394" s="7" t="str">
        <f t="shared" si="2326"/>
        <v>行政財産</v>
      </c>
      <c r="D6394" s="7" t="str">
        <f t="shared" si="2318"/>
        <v>学校</v>
      </c>
      <c r="E6394" s="7" t="str">
        <f t="shared" si="2332"/>
        <v>大阪府大阪市　西成区出城１丁目</v>
      </c>
      <c r="F6394" s="7"/>
      <c r="G6394" s="7" t="str">
        <f t="shared" si="2328"/>
        <v>事業用資産</v>
      </c>
      <c r="H6394" s="7" t="str">
        <f t="shared" si="2320"/>
        <v>棚卸以外</v>
      </c>
      <c r="I6394" s="7">
        <v>63</v>
      </c>
      <c r="J6394" s="7" t="str">
        <f>"倉庫"</f>
        <v>倉庫</v>
      </c>
      <c r="K6394" s="7" t="str">
        <f t="shared" ref="K6394:K6399" si="2336">"軽量鉄骨造"</f>
        <v>軽量鉄骨造</v>
      </c>
      <c r="L6394" s="7" t="str">
        <f>"H04.02.26"</f>
        <v>H04.02.26</v>
      </c>
      <c r="M6394" s="7">
        <v>49.11</v>
      </c>
      <c r="N6394" s="7">
        <v>999000</v>
      </c>
      <c r="O6394" s="7">
        <v>998999</v>
      </c>
      <c r="P6394" s="7">
        <v>0</v>
      </c>
      <c r="Q6394" s="7" t="str">
        <f t="shared" si="2329"/>
        <v>教育庁</v>
      </c>
      <c r="R6394" s="7" t="str">
        <f t="shared" si="2334"/>
        <v>今宮工科高等学校</v>
      </c>
    </row>
    <row r="6395" spans="1:18" s="1" customFormat="1" x14ac:dyDescent="0.45">
      <c r="A6395" s="7" t="str">
        <f t="shared" si="2330"/>
        <v>10948000000</v>
      </c>
      <c r="B6395" s="7" t="str">
        <f t="shared" si="2331"/>
        <v>今宮工科高等学校</v>
      </c>
      <c r="C6395" s="7" t="str">
        <f t="shared" si="2326"/>
        <v>行政財産</v>
      </c>
      <c r="D6395" s="7" t="str">
        <f t="shared" si="2318"/>
        <v>学校</v>
      </c>
      <c r="E6395" s="7" t="str">
        <f t="shared" si="2332"/>
        <v>大阪府大阪市　西成区出城１丁目</v>
      </c>
      <c r="F6395" s="7"/>
      <c r="G6395" s="7" t="str">
        <f t="shared" si="2328"/>
        <v>事業用資産</v>
      </c>
      <c r="H6395" s="7" t="str">
        <f t="shared" si="2320"/>
        <v>棚卸以外</v>
      </c>
      <c r="I6395" s="7">
        <v>64</v>
      </c>
      <c r="J6395" s="7" t="str">
        <f>"倉庫"</f>
        <v>倉庫</v>
      </c>
      <c r="K6395" s="7" t="str">
        <f t="shared" si="2336"/>
        <v>軽量鉄骨造</v>
      </c>
      <c r="L6395" s="7" t="str">
        <f>"H06.10.11"</f>
        <v>H06.10.11</v>
      </c>
      <c r="M6395" s="7">
        <v>12.83</v>
      </c>
      <c r="N6395" s="7">
        <v>351000</v>
      </c>
      <c r="O6395" s="7">
        <v>350999</v>
      </c>
      <c r="P6395" s="7">
        <v>0</v>
      </c>
      <c r="Q6395" s="7" t="str">
        <f t="shared" si="2329"/>
        <v>教育庁</v>
      </c>
      <c r="R6395" s="7" t="str">
        <f t="shared" si="2334"/>
        <v>今宮工科高等学校</v>
      </c>
    </row>
    <row r="6396" spans="1:18" s="1" customFormat="1" x14ac:dyDescent="0.45">
      <c r="A6396" s="7" t="str">
        <f t="shared" si="2330"/>
        <v>10948000000</v>
      </c>
      <c r="B6396" s="7" t="str">
        <f t="shared" si="2331"/>
        <v>今宮工科高等学校</v>
      </c>
      <c r="C6396" s="7" t="str">
        <f t="shared" si="2326"/>
        <v>行政財産</v>
      </c>
      <c r="D6396" s="7" t="str">
        <f t="shared" si="2318"/>
        <v>学校</v>
      </c>
      <c r="E6396" s="7" t="str">
        <f t="shared" si="2332"/>
        <v>大阪府大阪市　西成区出城１丁目</v>
      </c>
      <c r="F6396" s="7"/>
      <c r="G6396" s="7" t="str">
        <f t="shared" si="2328"/>
        <v>事業用資産</v>
      </c>
      <c r="H6396" s="7" t="str">
        <f t="shared" si="2320"/>
        <v>棚卸以外</v>
      </c>
      <c r="I6396" s="7">
        <v>65</v>
      </c>
      <c r="J6396" s="7" t="str">
        <f>"倉庫"</f>
        <v>倉庫</v>
      </c>
      <c r="K6396" s="7" t="str">
        <f t="shared" si="2336"/>
        <v>軽量鉄骨造</v>
      </c>
      <c r="L6396" s="7" t="str">
        <f>"H07.03.23"</f>
        <v>H07.03.23</v>
      </c>
      <c r="M6396" s="7">
        <v>6.92</v>
      </c>
      <c r="N6396" s="7">
        <v>236000</v>
      </c>
      <c r="O6396" s="7">
        <v>235999</v>
      </c>
      <c r="P6396" s="7">
        <v>0</v>
      </c>
      <c r="Q6396" s="7" t="str">
        <f t="shared" si="2329"/>
        <v>教育庁</v>
      </c>
      <c r="R6396" s="7" t="str">
        <f t="shared" si="2334"/>
        <v>今宮工科高等学校</v>
      </c>
    </row>
    <row r="6397" spans="1:18" s="1" customFormat="1" x14ac:dyDescent="0.45">
      <c r="A6397" s="7" t="str">
        <f t="shared" si="2330"/>
        <v>10948000000</v>
      </c>
      <c r="B6397" s="7" t="str">
        <f t="shared" si="2331"/>
        <v>今宮工科高等学校</v>
      </c>
      <c r="C6397" s="7" t="str">
        <f t="shared" si="2326"/>
        <v>行政財産</v>
      </c>
      <c r="D6397" s="7" t="str">
        <f t="shared" si="2318"/>
        <v>学校</v>
      </c>
      <c r="E6397" s="7" t="str">
        <f t="shared" si="2332"/>
        <v>大阪府大阪市　西成区出城１丁目</v>
      </c>
      <c r="F6397" s="7"/>
      <c r="G6397" s="7" t="str">
        <f t="shared" si="2328"/>
        <v>事業用資産</v>
      </c>
      <c r="H6397" s="7" t="str">
        <f t="shared" si="2320"/>
        <v>棚卸以外</v>
      </c>
      <c r="I6397" s="7">
        <v>66</v>
      </c>
      <c r="J6397" s="7" t="str">
        <f>"倉庫"</f>
        <v>倉庫</v>
      </c>
      <c r="K6397" s="7" t="str">
        <f t="shared" si="2336"/>
        <v>軽量鉄骨造</v>
      </c>
      <c r="L6397" s="7" t="str">
        <f>"H07.03.23"</f>
        <v>H07.03.23</v>
      </c>
      <c r="M6397" s="7">
        <v>6.92</v>
      </c>
      <c r="N6397" s="7">
        <v>236000</v>
      </c>
      <c r="O6397" s="7">
        <v>235999</v>
      </c>
      <c r="P6397" s="7">
        <v>0</v>
      </c>
      <c r="Q6397" s="7" t="str">
        <f t="shared" si="2329"/>
        <v>教育庁</v>
      </c>
      <c r="R6397" s="7" t="str">
        <f t="shared" si="2334"/>
        <v>今宮工科高等学校</v>
      </c>
    </row>
    <row r="6398" spans="1:18" s="1" customFormat="1" x14ac:dyDescent="0.45">
      <c r="A6398" s="7" t="str">
        <f t="shared" si="2330"/>
        <v>10948000000</v>
      </c>
      <c r="B6398" s="7" t="str">
        <f t="shared" si="2331"/>
        <v>今宮工科高等学校</v>
      </c>
      <c r="C6398" s="7" t="str">
        <f t="shared" si="2326"/>
        <v>行政財産</v>
      </c>
      <c r="D6398" s="7" t="str">
        <f t="shared" si="2318"/>
        <v>学校</v>
      </c>
      <c r="E6398" s="7" t="str">
        <f t="shared" si="2332"/>
        <v>大阪府大阪市　西成区出城１丁目</v>
      </c>
      <c r="F6398" s="7"/>
      <c r="G6398" s="7" t="str">
        <f t="shared" si="2328"/>
        <v>事業用資産</v>
      </c>
      <c r="H6398" s="7" t="str">
        <f t="shared" si="2320"/>
        <v>棚卸以外</v>
      </c>
      <c r="I6398" s="7">
        <v>67</v>
      </c>
      <c r="J6398" s="7" t="str">
        <f>"棒高飛用ポール収納庫"</f>
        <v>棒高飛用ポール収納庫</v>
      </c>
      <c r="K6398" s="7" t="str">
        <f t="shared" si="2336"/>
        <v>軽量鉄骨造</v>
      </c>
      <c r="L6398" s="7" t="str">
        <f>"H07.07.26"</f>
        <v>H07.07.26</v>
      </c>
      <c r="M6398" s="7">
        <v>6</v>
      </c>
      <c r="N6398" s="7">
        <v>431000</v>
      </c>
      <c r="O6398" s="7">
        <v>430999</v>
      </c>
      <c r="P6398" s="7">
        <v>0</v>
      </c>
      <c r="Q6398" s="7" t="str">
        <f t="shared" si="2329"/>
        <v>教育庁</v>
      </c>
      <c r="R6398" s="7" t="str">
        <f t="shared" si="2334"/>
        <v>今宮工科高等学校</v>
      </c>
    </row>
    <row r="6399" spans="1:18" s="1" customFormat="1" x14ac:dyDescent="0.45">
      <c r="A6399" s="7" t="str">
        <f t="shared" si="2330"/>
        <v>10948000000</v>
      </c>
      <c r="B6399" s="7" t="str">
        <f t="shared" si="2331"/>
        <v>今宮工科高等学校</v>
      </c>
      <c r="C6399" s="7" t="str">
        <f t="shared" si="2326"/>
        <v>行政財産</v>
      </c>
      <c r="D6399" s="7" t="str">
        <f t="shared" si="2318"/>
        <v>学校</v>
      </c>
      <c r="E6399" s="7" t="str">
        <f t="shared" si="2332"/>
        <v>大阪府大阪市　西成区出城１丁目</v>
      </c>
      <c r="F6399" s="7"/>
      <c r="G6399" s="7" t="str">
        <f t="shared" si="2328"/>
        <v>事業用資産</v>
      </c>
      <c r="H6399" s="7" t="str">
        <f t="shared" si="2320"/>
        <v>棚卸以外</v>
      </c>
      <c r="I6399" s="7">
        <v>68</v>
      </c>
      <c r="J6399" s="7" t="str">
        <f>"ゴミ置場"</f>
        <v>ゴミ置場</v>
      </c>
      <c r="K6399" s="7" t="str">
        <f t="shared" si="2336"/>
        <v>軽量鉄骨造</v>
      </c>
      <c r="L6399" s="7" t="str">
        <f>"H10.07.07"</f>
        <v>H10.07.07</v>
      </c>
      <c r="M6399" s="7">
        <v>21.44</v>
      </c>
      <c r="N6399" s="7">
        <v>628000</v>
      </c>
      <c r="O6399" s="7">
        <v>627999</v>
      </c>
      <c r="P6399" s="7">
        <v>0</v>
      </c>
      <c r="Q6399" s="7" t="str">
        <f t="shared" si="2329"/>
        <v>教育庁</v>
      </c>
      <c r="R6399" s="7" t="str">
        <f t="shared" si="2334"/>
        <v>今宮工科高等学校</v>
      </c>
    </row>
    <row r="6400" spans="1:18" s="1" customFormat="1" x14ac:dyDescent="0.45">
      <c r="A6400" s="7" t="str">
        <f t="shared" si="2330"/>
        <v>10948000000</v>
      </c>
      <c r="B6400" s="7" t="str">
        <f t="shared" si="2331"/>
        <v>今宮工科高等学校</v>
      </c>
      <c r="C6400" s="7" t="str">
        <f t="shared" si="2326"/>
        <v>行政財産</v>
      </c>
      <c r="D6400" s="7" t="str">
        <f t="shared" si="2318"/>
        <v>学校</v>
      </c>
      <c r="E6400" s="7" t="str">
        <f t="shared" si="2332"/>
        <v>大阪府大阪市　西成区出城１丁目</v>
      </c>
      <c r="F6400" s="7"/>
      <c r="G6400" s="7" t="str">
        <f t="shared" si="2328"/>
        <v>事業用資産</v>
      </c>
      <c r="H6400" s="7" t="str">
        <f t="shared" si="2320"/>
        <v>棚卸以外</v>
      </c>
      <c r="I6400" s="7">
        <v>69</v>
      </c>
      <c r="J6400" s="7" t="str">
        <f>"定時制専用棟"</f>
        <v>定時制専用棟</v>
      </c>
      <c r="K6400" s="7" t="str">
        <f>"鉄骨造"</f>
        <v>鉄骨造</v>
      </c>
      <c r="L6400" s="7" t="str">
        <f>"H18.07.31"</f>
        <v>H18.07.31</v>
      </c>
      <c r="M6400" s="7">
        <v>330.2</v>
      </c>
      <c r="N6400" s="7">
        <v>55554000</v>
      </c>
      <c r="O6400" s="7">
        <v>27232400</v>
      </c>
      <c r="P6400" s="7">
        <v>0</v>
      </c>
      <c r="Q6400" s="7" t="str">
        <f t="shared" si="2329"/>
        <v>教育庁</v>
      </c>
      <c r="R6400" s="7" t="str">
        <f t="shared" si="2334"/>
        <v>今宮工科高等学校</v>
      </c>
    </row>
    <row r="6401" spans="1:18" s="1" customFormat="1" x14ac:dyDescent="0.45">
      <c r="A6401" s="7" t="str">
        <f t="shared" ref="A6401:A6431" si="2337">"10949000000"</f>
        <v>10949000000</v>
      </c>
      <c r="B6401" s="7" t="str">
        <f t="shared" ref="B6401:B6431" si="2338">"茨木工科高等学校"</f>
        <v>茨木工科高等学校</v>
      </c>
      <c r="C6401" s="7" t="str">
        <f t="shared" si="2326"/>
        <v>行政財産</v>
      </c>
      <c r="D6401" s="7" t="str">
        <f t="shared" si="2318"/>
        <v>学校</v>
      </c>
      <c r="E6401" s="7" t="str">
        <f t="shared" ref="E6401:E6431" si="2339">"大阪府茨木市春日５丁目"</f>
        <v>大阪府茨木市春日５丁目</v>
      </c>
      <c r="F6401" s="7"/>
      <c r="G6401" s="7" t="str">
        <f t="shared" si="2328"/>
        <v>事業用資産</v>
      </c>
      <c r="H6401" s="7" t="str">
        <f t="shared" si="2320"/>
        <v>棚卸以外</v>
      </c>
      <c r="I6401" s="7">
        <v>1</v>
      </c>
      <c r="J6401" s="7" t="str">
        <f>"本館"</f>
        <v>本館</v>
      </c>
      <c r="K6401" s="7" t="str">
        <f>"鉄筋コンクリート造"</f>
        <v>鉄筋コンクリート造</v>
      </c>
      <c r="L6401" s="7" t="str">
        <f>"S38.02.21"</f>
        <v>S38.02.21</v>
      </c>
      <c r="M6401" s="7">
        <v>3994.4</v>
      </c>
      <c r="N6401" s="7">
        <v>202509649</v>
      </c>
      <c r="O6401" s="7">
        <v>122505373</v>
      </c>
      <c r="P6401" s="7">
        <v>0</v>
      </c>
      <c r="Q6401" s="7" t="str">
        <f t="shared" si="2329"/>
        <v>教育庁</v>
      </c>
      <c r="R6401" s="7" t="str">
        <f t="shared" ref="R6401:R6431" si="2340">"茨木工科高等学校"</f>
        <v>茨木工科高等学校</v>
      </c>
    </row>
    <row r="6402" spans="1:18" s="1" customFormat="1" x14ac:dyDescent="0.45">
      <c r="A6402" s="7" t="str">
        <f t="shared" si="2337"/>
        <v>10949000000</v>
      </c>
      <c r="B6402" s="7" t="str">
        <f t="shared" si="2338"/>
        <v>茨木工科高等学校</v>
      </c>
      <c r="C6402" s="7" t="str">
        <f t="shared" si="2326"/>
        <v>行政財産</v>
      </c>
      <c r="D6402" s="7" t="str">
        <f t="shared" si="2318"/>
        <v>学校</v>
      </c>
      <c r="E6402" s="7" t="str">
        <f t="shared" si="2339"/>
        <v>大阪府茨木市春日５丁目</v>
      </c>
      <c r="F6402" s="7"/>
      <c r="G6402" s="7" t="str">
        <f t="shared" si="2328"/>
        <v>事業用資産</v>
      </c>
      <c r="H6402" s="7" t="str">
        <f t="shared" si="2320"/>
        <v>棚卸以外</v>
      </c>
      <c r="I6402" s="7">
        <v>2</v>
      </c>
      <c r="J6402" s="7" t="str">
        <f>"クラブ室"</f>
        <v>クラブ室</v>
      </c>
      <c r="K6402" s="7" t="str">
        <f>"土蔵造(簡易建物)"</f>
        <v>土蔵造(簡易建物)</v>
      </c>
      <c r="L6402" s="7" t="str">
        <f>"S38.02.20"</f>
        <v>S38.02.20</v>
      </c>
      <c r="M6402" s="7">
        <v>90.72</v>
      </c>
      <c r="N6402" s="7">
        <v>1180000</v>
      </c>
      <c r="O6402" s="7">
        <v>1179999</v>
      </c>
      <c r="P6402" s="7">
        <v>0</v>
      </c>
      <c r="Q6402" s="7" t="str">
        <f t="shared" si="2329"/>
        <v>教育庁</v>
      </c>
      <c r="R6402" s="7" t="str">
        <f t="shared" si="2340"/>
        <v>茨木工科高等学校</v>
      </c>
    </row>
    <row r="6403" spans="1:18" s="1" customFormat="1" x14ac:dyDescent="0.45">
      <c r="A6403" s="7" t="str">
        <f t="shared" si="2337"/>
        <v>10949000000</v>
      </c>
      <c r="B6403" s="7" t="str">
        <f t="shared" si="2338"/>
        <v>茨木工科高等学校</v>
      </c>
      <c r="C6403" s="7" t="str">
        <f t="shared" si="2326"/>
        <v>行政財産</v>
      </c>
      <c r="D6403" s="7" t="str">
        <f t="shared" si="2318"/>
        <v>学校</v>
      </c>
      <c r="E6403" s="7" t="str">
        <f t="shared" si="2339"/>
        <v>大阪府茨木市春日５丁目</v>
      </c>
      <c r="F6403" s="7"/>
      <c r="G6403" s="7" t="str">
        <f t="shared" si="2328"/>
        <v>事業用資産</v>
      </c>
      <c r="H6403" s="7" t="str">
        <f t="shared" si="2320"/>
        <v>棚卸以外</v>
      </c>
      <c r="I6403" s="7">
        <v>3</v>
      </c>
      <c r="J6403" s="7" t="str">
        <f>"ポンプ室（浄化槽）"</f>
        <v>ポンプ室（浄化槽）</v>
      </c>
      <c r="K6403" s="7" t="str">
        <f t="shared" ref="K6403:K6413" si="2341">"鉄筋コンクリート造"</f>
        <v>鉄筋コンクリート造</v>
      </c>
      <c r="L6403" s="7" t="str">
        <f>"S38.02.20"</f>
        <v>S38.02.20</v>
      </c>
      <c r="M6403" s="7">
        <v>4</v>
      </c>
      <c r="N6403" s="7">
        <v>178300</v>
      </c>
      <c r="O6403" s="7">
        <v>178299</v>
      </c>
      <c r="P6403" s="7">
        <v>0</v>
      </c>
      <c r="Q6403" s="7" t="str">
        <f t="shared" si="2329"/>
        <v>教育庁</v>
      </c>
      <c r="R6403" s="7" t="str">
        <f t="shared" si="2340"/>
        <v>茨木工科高等学校</v>
      </c>
    </row>
    <row r="6404" spans="1:18" s="1" customFormat="1" x14ac:dyDescent="0.45">
      <c r="A6404" s="7" t="str">
        <f t="shared" si="2337"/>
        <v>10949000000</v>
      </c>
      <c r="B6404" s="7" t="str">
        <f t="shared" si="2338"/>
        <v>茨木工科高等学校</v>
      </c>
      <c r="C6404" s="7" t="str">
        <f t="shared" si="2326"/>
        <v>行政財産</v>
      </c>
      <c r="D6404" s="7" t="str">
        <f t="shared" ref="D6404:D6467" si="2342">"学校"</f>
        <v>学校</v>
      </c>
      <c r="E6404" s="7" t="str">
        <f t="shared" si="2339"/>
        <v>大阪府茨木市春日５丁目</v>
      </c>
      <c r="F6404" s="7"/>
      <c r="G6404" s="7" t="str">
        <f t="shared" si="2328"/>
        <v>事業用資産</v>
      </c>
      <c r="H6404" s="7" t="str">
        <f t="shared" ref="H6404:H6467" si="2343">"棚卸以外"</f>
        <v>棚卸以外</v>
      </c>
      <c r="I6404" s="7">
        <v>4</v>
      </c>
      <c r="J6404" s="7" t="str">
        <f>"ポンプ室（電気室）"</f>
        <v>ポンプ室（電気室）</v>
      </c>
      <c r="K6404" s="7" t="str">
        <f t="shared" si="2341"/>
        <v>鉄筋コンクリート造</v>
      </c>
      <c r="L6404" s="7" t="str">
        <f>"S38.02.20"</f>
        <v>S38.02.20</v>
      </c>
      <c r="M6404" s="7">
        <v>79.95</v>
      </c>
      <c r="N6404" s="7">
        <v>15577700</v>
      </c>
      <c r="O6404" s="7">
        <v>12071327</v>
      </c>
      <c r="P6404" s="7">
        <v>0</v>
      </c>
      <c r="Q6404" s="7" t="str">
        <f t="shared" si="2329"/>
        <v>教育庁</v>
      </c>
      <c r="R6404" s="7" t="str">
        <f t="shared" si="2340"/>
        <v>茨木工科高等学校</v>
      </c>
    </row>
    <row r="6405" spans="1:18" s="1" customFormat="1" x14ac:dyDescent="0.45">
      <c r="A6405" s="7" t="str">
        <f t="shared" si="2337"/>
        <v>10949000000</v>
      </c>
      <c r="B6405" s="7" t="str">
        <f t="shared" si="2338"/>
        <v>茨木工科高等学校</v>
      </c>
      <c r="C6405" s="7" t="str">
        <f t="shared" si="2326"/>
        <v>行政財産</v>
      </c>
      <c r="D6405" s="7" t="str">
        <f t="shared" si="2342"/>
        <v>学校</v>
      </c>
      <c r="E6405" s="7" t="str">
        <f t="shared" si="2339"/>
        <v>大阪府茨木市春日５丁目</v>
      </c>
      <c r="F6405" s="7"/>
      <c r="G6405" s="7" t="str">
        <f t="shared" si="2328"/>
        <v>事業用資産</v>
      </c>
      <c r="H6405" s="7" t="str">
        <f t="shared" si="2343"/>
        <v>棚卸以外</v>
      </c>
      <c r="I6405" s="7">
        <v>5</v>
      </c>
      <c r="J6405" s="7" t="str">
        <f>"門衛所"</f>
        <v>門衛所</v>
      </c>
      <c r="K6405" s="7" t="str">
        <f t="shared" si="2341"/>
        <v>鉄筋コンクリート造</v>
      </c>
      <c r="L6405" s="7" t="str">
        <f>"S38.02.20"</f>
        <v>S38.02.20</v>
      </c>
      <c r="M6405" s="7">
        <v>24.82</v>
      </c>
      <c r="N6405" s="7">
        <v>1002800</v>
      </c>
      <c r="O6405" s="7">
        <v>1002799</v>
      </c>
      <c r="P6405" s="7">
        <v>0</v>
      </c>
      <c r="Q6405" s="7" t="str">
        <f t="shared" si="2329"/>
        <v>教育庁</v>
      </c>
      <c r="R6405" s="7" t="str">
        <f t="shared" si="2340"/>
        <v>茨木工科高等学校</v>
      </c>
    </row>
    <row r="6406" spans="1:18" s="1" customFormat="1" x14ac:dyDescent="0.45">
      <c r="A6406" s="7" t="str">
        <f t="shared" si="2337"/>
        <v>10949000000</v>
      </c>
      <c r="B6406" s="7" t="str">
        <f t="shared" si="2338"/>
        <v>茨木工科高等学校</v>
      </c>
      <c r="C6406" s="7" t="str">
        <f t="shared" si="2326"/>
        <v>行政財産</v>
      </c>
      <c r="D6406" s="7" t="str">
        <f t="shared" si="2342"/>
        <v>学校</v>
      </c>
      <c r="E6406" s="7" t="str">
        <f t="shared" si="2339"/>
        <v>大阪府茨木市春日５丁目</v>
      </c>
      <c r="F6406" s="7"/>
      <c r="G6406" s="7" t="str">
        <f t="shared" si="2328"/>
        <v>事業用資産</v>
      </c>
      <c r="H6406" s="7" t="str">
        <f t="shared" si="2343"/>
        <v>棚卸以外</v>
      </c>
      <c r="I6406" s="7">
        <v>6</v>
      </c>
      <c r="J6406" s="7" t="str">
        <f>"実験棟"</f>
        <v>実験棟</v>
      </c>
      <c r="K6406" s="7" t="str">
        <f t="shared" si="2341"/>
        <v>鉄筋コンクリート造</v>
      </c>
      <c r="L6406" s="7" t="str">
        <f>"S39.02.25"</f>
        <v>S39.02.25</v>
      </c>
      <c r="M6406" s="7">
        <v>3428.49</v>
      </c>
      <c r="N6406" s="7">
        <v>285362544</v>
      </c>
      <c r="O6406" s="7">
        <v>154840520</v>
      </c>
      <c r="P6406" s="7">
        <v>0</v>
      </c>
      <c r="Q6406" s="7" t="str">
        <f t="shared" si="2329"/>
        <v>教育庁</v>
      </c>
      <c r="R6406" s="7" t="str">
        <f t="shared" si="2340"/>
        <v>茨木工科高等学校</v>
      </c>
    </row>
    <row r="6407" spans="1:18" s="1" customFormat="1" x14ac:dyDescent="0.45">
      <c r="A6407" s="7" t="str">
        <f t="shared" si="2337"/>
        <v>10949000000</v>
      </c>
      <c r="B6407" s="7" t="str">
        <f t="shared" si="2338"/>
        <v>茨木工科高等学校</v>
      </c>
      <c r="C6407" s="7" t="str">
        <f t="shared" si="2326"/>
        <v>行政財産</v>
      </c>
      <c r="D6407" s="7" t="str">
        <f t="shared" si="2342"/>
        <v>学校</v>
      </c>
      <c r="E6407" s="7" t="str">
        <f t="shared" si="2339"/>
        <v>大阪府茨木市春日５丁目</v>
      </c>
      <c r="F6407" s="7"/>
      <c r="G6407" s="7" t="str">
        <f t="shared" si="2328"/>
        <v>事業用資産</v>
      </c>
      <c r="H6407" s="7" t="str">
        <f t="shared" si="2343"/>
        <v>棚卸以外</v>
      </c>
      <c r="I6407" s="7">
        <v>7</v>
      </c>
      <c r="J6407" s="7" t="str">
        <f>"実習工場"</f>
        <v>実習工場</v>
      </c>
      <c r="K6407" s="7" t="str">
        <f t="shared" si="2341"/>
        <v>鉄筋コンクリート造</v>
      </c>
      <c r="L6407" s="7" t="str">
        <f>"S39.02.25"</f>
        <v>S39.02.25</v>
      </c>
      <c r="M6407" s="7">
        <v>1060.8499999999999</v>
      </c>
      <c r="N6407" s="7">
        <v>55562552</v>
      </c>
      <c r="O6407" s="7">
        <v>47727879</v>
      </c>
      <c r="P6407" s="7">
        <v>0</v>
      </c>
      <c r="Q6407" s="7" t="str">
        <f t="shared" si="2329"/>
        <v>教育庁</v>
      </c>
      <c r="R6407" s="7" t="str">
        <f t="shared" si="2340"/>
        <v>茨木工科高等学校</v>
      </c>
    </row>
    <row r="6408" spans="1:18" s="1" customFormat="1" x14ac:dyDescent="0.45">
      <c r="A6408" s="7" t="str">
        <f t="shared" si="2337"/>
        <v>10949000000</v>
      </c>
      <c r="B6408" s="7" t="str">
        <f t="shared" si="2338"/>
        <v>茨木工科高等学校</v>
      </c>
      <c r="C6408" s="7" t="str">
        <f t="shared" si="2326"/>
        <v>行政財産</v>
      </c>
      <c r="D6408" s="7" t="str">
        <f t="shared" si="2342"/>
        <v>学校</v>
      </c>
      <c r="E6408" s="7" t="str">
        <f t="shared" si="2339"/>
        <v>大阪府茨木市春日５丁目</v>
      </c>
      <c r="F6408" s="7"/>
      <c r="G6408" s="7" t="str">
        <f t="shared" si="2328"/>
        <v>事業用資産</v>
      </c>
      <c r="H6408" s="7" t="str">
        <f t="shared" si="2343"/>
        <v>棚卸以外</v>
      </c>
      <c r="I6408" s="7">
        <v>11</v>
      </c>
      <c r="J6408" s="7" t="str">
        <f>"実験棟"</f>
        <v>実験棟</v>
      </c>
      <c r="K6408" s="7" t="str">
        <f t="shared" si="2341"/>
        <v>鉄筋コンクリート造</v>
      </c>
      <c r="L6408" s="7" t="str">
        <f>"S40.02.28"</f>
        <v>S40.02.28</v>
      </c>
      <c r="M6408" s="7">
        <v>2599.5300000000002</v>
      </c>
      <c r="N6408" s="7">
        <v>227809761</v>
      </c>
      <c r="O6408" s="7">
        <v>125333348</v>
      </c>
      <c r="P6408" s="7">
        <v>0</v>
      </c>
      <c r="Q6408" s="7" t="str">
        <f t="shared" si="2329"/>
        <v>教育庁</v>
      </c>
      <c r="R6408" s="7" t="str">
        <f t="shared" si="2340"/>
        <v>茨木工科高等学校</v>
      </c>
    </row>
    <row r="6409" spans="1:18" s="1" customFormat="1" x14ac:dyDescent="0.45">
      <c r="A6409" s="7" t="str">
        <f t="shared" si="2337"/>
        <v>10949000000</v>
      </c>
      <c r="B6409" s="7" t="str">
        <f t="shared" si="2338"/>
        <v>茨木工科高等学校</v>
      </c>
      <c r="C6409" s="7" t="str">
        <f t="shared" si="2326"/>
        <v>行政財産</v>
      </c>
      <c r="D6409" s="7" t="str">
        <f t="shared" si="2342"/>
        <v>学校</v>
      </c>
      <c r="E6409" s="7" t="str">
        <f t="shared" si="2339"/>
        <v>大阪府茨木市春日５丁目</v>
      </c>
      <c r="F6409" s="7"/>
      <c r="G6409" s="7" t="str">
        <f t="shared" si="2328"/>
        <v>事業用資産</v>
      </c>
      <c r="H6409" s="7" t="str">
        <f t="shared" si="2343"/>
        <v>棚卸以外</v>
      </c>
      <c r="I6409" s="7">
        <v>12</v>
      </c>
      <c r="J6409" s="7" t="str">
        <f>"視聴覚教室"</f>
        <v>視聴覚教室</v>
      </c>
      <c r="K6409" s="7" t="str">
        <f t="shared" si="2341"/>
        <v>鉄筋コンクリート造</v>
      </c>
      <c r="L6409" s="7" t="str">
        <f>"S40.02.28"</f>
        <v>S40.02.28</v>
      </c>
      <c r="M6409" s="7">
        <v>1094.77</v>
      </c>
      <c r="N6409" s="7">
        <v>40658673</v>
      </c>
      <c r="O6409" s="7">
        <v>33163700</v>
      </c>
      <c r="P6409" s="7">
        <v>0</v>
      </c>
      <c r="Q6409" s="7" t="str">
        <f t="shared" si="2329"/>
        <v>教育庁</v>
      </c>
      <c r="R6409" s="7" t="str">
        <f t="shared" si="2340"/>
        <v>茨木工科高等学校</v>
      </c>
    </row>
    <row r="6410" spans="1:18" s="1" customFormat="1" x14ac:dyDescent="0.45">
      <c r="A6410" s="7" t="str">
        <f t="shared" si="2337"/>
        <v>10949000000</v>
      </c>
      <c r="B6410" s="7" t="str">
        <f t="shared" si="2338"/>
        <v>茨木工科高等学校</v>
      </c>
      <c r="C6410" s="7" t="str">
        <f t="shared" si="2326"/>
        <v>行政財産</v>
      </c>
      <c r="D6410" s="7" t="str">
        <f t="shared" si="2342"/>
        <v>学校</v>
      </c>
      <c r="E6410" s="7" t="str">
        <f t="shared" si="2339"/>
        <v>大阪府茨木市春日５丁目</v>
      </c>
      <c r="F6410" s="7"/>
      <c r="G6410" s="7" t="str">
        <f t="shared" si="2328"/>
        <v>事業用資産</v>
      </c>
      <c r="H6410" s="7" t="str">
        <f t="shared" si="2343"/>
        <v>棚卸以外</v>
      </c>
      <c r="I6410" s="7">
        <v>13</v>
      </c>
      <c r="J6410" s="7" t="str">
        <f>"実習工場"</f>
        <v>実習工場</v>
      </c>
      <c r="K6410" s="7" t="str">
        <f t="shared" si="2341"/>
        <v>鉄筋コンクリート造</v>
      </c>
      <c r="L6410" s="7" t="str">
        <f>"S40.02.28"</f>
        <v>S40.02.28</v>
      </c>
      <c r="M6410" s="7">
        <v>1164.1300000000001</v>
      </c>
      <c r="N6410" s="7">
        <v>33646725</v>
      </c>
      <c r="O6410" s="7">
        <v>25870388</v>
      </c>
      <c r="P6410" s="7">
        <v>0</v>
      </c>
      <c r="Q6410" s="7" t="str">
        <f t="shared" si="2329"/>
        <v>教育庁</v>
      </c>
      <c r="R6410" s="7" t="str">
        <f t="shared" si="2340"/>
        <v>茨木工科高等学校</v>
      </c>
    </row>
    <row r="6411" spans="1:18" s="1" customFormat="1" x14ac:dyDescent="0.45">
      <c r="A6411" s="7" t="str">
        <f t="shared" si="2337"/>
        <v>10949000000</v>
      </c>
      <c r="B6411" s="7" t="str">
        <f t="shared" si="2338"/>
        <v>茨木工科高等学校</v>
      </c>
      <c r="C6411" s="7" t="str">
        <f t="shared" si="2326"/>
        <v>行政財産</v>
      </c>
      <c r="D6411" s="7" t="str">
        <f t="shared" si="2342"/>
        <v>学校</v>
      </c>
      <c r="E6411" s="7" t="str">
        <f t="shared" si="2339"/>
        <v>大阪府茨木市春日５丁目</v>
      </c>
      <c r="F6411" s="7"/>
      <c r="G6411" s="7" t="str">
        <f t="shared" si="2328"/>
        <v>事業用資産</v>
      </c>
      <c r="H6411" s="7" t="str">
        <f t="shared" si="2343"/>
        <v>棚卸以外</v>
      </c>
      <c r="I6411" s="7">
        <v>14</v>
      </c>
      <c r="J6411" s="7" t="str">
        <f>"実習工場"</f>
        <v>実習工場</v>
      </c>
      <c r="K6411" s="7" t="str">
        <f t="shared" si="2341"/>
        <v>鉄筋コンクリート造</v>
      </c>
      <c r="L6411" s="7" t="str">
        <f>"S40.02.28"</f>
        <v>S40.02.28</v>
      </c>
      <c r="M6411" s="7">
        <v>306.08999999999997</v>
      </c>
      <c r="N6411" s="7">
        <v>21678394</v>
      </c>
      <c r="O6411" s="7">
        <v>13973695</v>
      </c>
      <c r="P6411" s="7">
        <v>0</v>
      </c>
      <c r="Q6411" s="7" t="str">
        <f t="shared" si="2329"/>
        <v>教育庁</v>
      </c>
      <c r="R6411" s="7" t="str">
        <f t="shared" si="2340"/>
        <v>茨木工科高等学校</v>
      </c>
    </row>
    <row r="6412" spans="1:18" s="1" customFormat="1" x14ac:dyDescent="0.45">
      <c r="A6412" s="7" t="str">
        <f t="shared" si="2337"/>
        <v>10949000000</v>
      </c>
      <c r="B6412" s="7" t="str">
        <f t="shared" si="2338"/>
        <v>茨木工科高等学校</v>
      </c>
      <c r="C6412" s="7" t="str">
        <f t="shared" si="2326"/>
        <v>行政財産</v>
      </c>
      <c r="D6412" s="7" t="str">
        <f t="shared" si="2342"/>
        <v>学校</v>
      </c>
      <c r="E6412" s="7" t="str">
        <f t="shared" si="2339"/>
        <v>大阪府茨木市春日５丁目</v>
      </c>
      <c r="F6412" s="7"/>
      <c r="G6412" s="7" t="str">
        <f t="shared" si="2328"/>
        <v>事業用資産</v>
      </c>
      <c r="H6412" s="7" t="str">
        <f t="shared" si="2343"/>
        <v>棚卸以外</v>
      </c>
      <c r="I6412" s="7">
        <v>17</v>
      </c>
      <c r="J6412" s="7" t="str">
        <f>"体育館"</f>
        <v>体育館</v>
      </c>
      <c r="K6412" s="7" t="str">
        <f t="shared" si="2341"/>
        <v>鉄筋コンクリート造</v>
      </c>
      <c r="L6412" s="7" t="str">
        <f>"S41.01.07"</f>
        <v>S41.01.07</v>
      </c>
      <c r="M6412" s="7">
        <v>2301.14</v>
      </c>
      <c r="N6412" s="7">
        <v>101753315</v>
      </c>
      <c r="O6412" s="7">
        <v>81231745</v>
      </c>
      <c r="P6412" s="7">
        <v>0</v>
      </c>
      <c r="Q6412" s="7" t="str">
        <f t="shared" si="2329"/>
        <v>教育庁</v>
      </c>
      <c r="R6412" s="7" t="str">
        <f t="shared" si="2340"/>
        <v>茨木工科高等学校</v>
      </c>
    </row>
    <row r="6413" spans="1:18" s="1" customFormat="1" x14ac:dyDescent="0.45">
      <c r="A6413" s="7" t="str">
        <f t="shared" si="2337"/>
        <v>10949000000</v>
      </c>
      <c r="B6413" s="7" t="str">
        <f t="shared" si="2338"/>
        <v>茨木工科高等学校</v>
      </c>
      <c r="C6413" s="7" t="str">
        <f t="shared" ref="C6413:C6476" si="2344">"行政財産"</f>
        <v>行政財産</v>
      </c>
      <c r="D6413" s="7" t="str">
        <f t="shared" si="2342"/>
        <v>学校</v>
      </c>
      <c r="E6413" s="7" t="str">
        <f t="shared" si="2339"/>
        <v>大阪府茨木市春日５丁目</v>
      </c>
      <c r="F6413" s="7"/>
      <c r="G6413" s="7" t="str">
        <f t="shared" si="2328"/>
        <v>事業用資産</v>
      </c>
      <c r="H6413" s="7" t="str">
        <f t="shared" si="2343"/>
        <v>棚卸以外</v>
      </c>
      <c r="I6413" s="7">
        <v>18</v>
      </c>
      <c r="J6413" s="7" t="str">
        <f>"渡り廊下"</f>
        <v>渡り廊下</v>
      </c>
      <c r="K6413" s="7" t="str">
        <f t="shared" si="2341"/>
        <v>鉄筋コンクリート造</v>
      </c>
      <c r="L6413" s="7" t="str">
        <f>"S41.01.07"</f>
        <v>S41.01.07</v>
      </c>
      <c r="M6413" s="7">
        <v>66</v>
      </c>
      <c r="N6413" s="7">
        <v>3535000</v>
      </c>
      <c r="O6413" s="7">
        <v>3102159</v>
      </c>
      <c r="P6413" s="7">
        <v>0</v>
      </c>
      <c r="Q6413" s="7" t="str">
        <f t="shared" si="2329"/>
        <v>教育庁</v>
      </c>
      <c r="R6413" s="7" t="str">
        <f t="shared" si="2340"/>
        <v>茨木工科高等学校</v>
      </c>
    </row>
    <row r="6414" spans="1:18" s="1" customFormat="1" x14ac:dyDescent="0.45">
      <c r="A6414" s="7" t="str">
        <f t="shared" si="2337"/>
        <v>10949000000</v>
      </c>
      <c r="B6414" s="7" t="str">
        <f t="shared" si="2338"/>
        <v>茨木工科高等学校</v>
      </c>
      <c r="C6414" s="7" t="str">
        <f t="shared" si="2344"/>
        <v>行政財産</v>
      </c>
      <c r="D6414" s="7" t="str">
        <f t="shared" si="2342"/>
        <v>学校</v>
      </c>
      <c r="E6414" s="7" t="str">
        <f t="shared" si="2339"/>
        <v>大阪府茨木市春日５丁目</v>
      </c>
      <c r="F6414" s="7"/>
      <c r="G6414" s="7" t="str">
        <f t="shared" si="2328"/>
        <v>事業用資産</v>
      </c>
      <c r="H6414" s="7" t="str">
        <f t="shared" si="2343"/>
        <v>棚卸以外</v>
      </c>
      <c r="I6414" s="7">
        <v>19</v>
      </c>
      <c r="J6414" s="7" t="str">
        <f>"管財倉庫"</f>
        <v>管財倉庫</v>
      </c>
      <c r="K6414" s="7" t="str">
        <f>"鉄骨コンクリート造"</f>
        <v>鉄骨コンクリート造</v>
      </c>
      <c r="L6414" s="7" t="str">
        <f>"S41.11.30"</f>
        <v>S41.11.30</v>
      </c>
      <c r="M6414" s="7">
        <v>63.86</v>
      </c>
      <c r="N6414" s="7">
        <v>1493000</v>
      </c>
      <c r="O6414" s="7">
        <v>1492999</v>
      </c>
      <c r="P6414" s="7">
        <v>0</v>
      </c>
      <c r="Q6414" s="7" t="str">
        <f t="shared" si="2329"/>
        <v>教育庁</v>
      </c>
      <c r="R6414" s="7" t="str">
        <f t="shared" si="2340"/>
        <v>茨木工科高等学校</v>
      </c>
    </row>
    <row r="6415" spans="1:18" s="1" customFormat="1" x14ac:dyDescent="0.45">
      <c r="A6415" s="7" t="str">
        <f t="shared" si="2337"/>
        <v>10949000000</v>
      </c>
      <c r="B6415" s="7" t="str">
        <f t="shared" si="2338"/>
        <v>茨木工科高等学校</v>
      </c>
      <c r="C6415" s="7" t="str">
        <f t="shared" si="2344"/>
        <v>行政財産</v>
      </c>
      <c r="D6415" s="7" t="str">
        <f t="shared" si="2342"/>
        <v>学校</v>
      </c>
      <c r="E6415" s="7" t="str">
        <f t="shared" si="2339"/>
        <v>大阪府茨木市春日５丁目</v>
      </c>
      <c r="F6415" s="7"/>
      <c r="G6415" s="7" t="str">
        <f t="shared" si="2328"/>
        <v>事業用資産</v>
      </c>
      <c r="H6415" s="7" t="str">
        <f t="shared" si="2343"/>
        <v>棚卸以外</v>
      </c>
      <c r="I6415" s="7">
        <v>21</v>
      </c>
      <c r="J6415" s="7" t="str">
        <f>"危険物倉庫"</f>
        <v>危険物倉庫</v>
      </c>
      <c r="K6415" s="7" t="str">
        <f>"鉄筋コンクリート造"</f>
        <v>鉄筋コンクリート造</v>
      </c>
      <c r="L6415" s="7" t="str">
        <f>"S41.11.30"</f>
        <v>S41.11.30</v>
      </c>
      <c r="M6415" s="7">
        <v>42</v>
      </c>
      <c r="N6415" s="7">
        <v>1161000</v>
      </c>
      <c r="O6415" s="7">
        <v>1160999</v>
      </c>
      <c r="P6415" s="7">
        <v>0</v>
      </c>
      <c r="Q6415" s="7" t="str">
        <f t="shared" si="2329"/>
        <v>教育庁</v>
      </c>
      <c r="R6415" s="7" t="str">
        <f t="shared" si="2340"/>
        <v>茨木工科高等学校</v>
      </c>
    </row>
    <row r="6416" spans="1:18" s="1" customFormat="1" x14ac:dyDescent="0.45">
      <c r="A6416" s="7" t="str">
        <f t="shared" si="2337"/>
        <v>10949000000</v>
      </c>
      <c r="B6416" s="7" t="str">
        <f t="shared" si="2338"/>
        <v>茨木工科高等学校</v>
      </c>
      <c r="C6416" s="7" t="str">
        <f t="shared" si="2344"/>
        <v>行政財産</v>
      </c>
      <c r="D6416" s="7" t="str">
        <f t="shared" si="2342"/>
        <v>学校</v>
      </c>
      <c r="E6416" s="7" t="str">
        <f t="shared" si="2339"/>
        <v>大阪府茨木市春日５丁目</v>
      </c>
      <c r="F6416" s="7"/>
      <c r="G6416" s="7" t="str">
        <f t="shared" si="2328"/>
        <v>事業用資産</v>
      </c>
      <c r="H6416" s="7" t="str">
        <f t="shared" si="2343"/>
        <v>棚卸以外</v>
      </c>
      <c r="I6416" s="7">
        <v>22</v>
      </c>
      <c r="J6416" s="7" t="str">
        <f>"工業化学科倉庫"</f>
        <v>工業化学科倉庫</v>
      </c>
      <c r="K6416" s="7" t="str">
        <f>"鉄筋コンクリート造"</f>
        <v>鉄筋コンクリート造</v>
      </c>
      <c r="L6416" s="7" t="str">
        <f>"S41.11.30"</f>
        <v>S41.11.30</v>
      </c>
      <c r="M6416" s="7">
        <v>7.5</v>
      </c>
      <c r="N6416" s="7">
        <v>286000</v>
      </c>
      <c r="O6416" s="7">
        <v>285999</v>
      </c>
      <c r="P6416" s="7">
        <v>0</v>
      </c>
      <c r="Q6416" s="7" t="str">
        <f t="shared" si="2329"/>
        <v>教育庁</v>
      </c>
      <c r="R6416" s="7" t="str">
        <f t="shared" si="2340"/>
        <v>茨木工科高等学校</v>
      </c>
    </row>
    <row r="6417" spans="1:18" s="1" customFormat="1" x14ac:dyDescent="0.45">
      <c r="A6417" s="7" t="str">
        <f t="shared" si="2337"/>
        <v>10949000000</v>
      </c>
      <c r="B6417" s="7" t="str">
        <f t="shared" si="2338"/>
        <v>茨木工科高等学校</v>
      </c>
      <c r="C6417" s="7" t="str">
        <f t="shared" si="2344"/>
        <v>行政財産</v>
      </c>
      <c r="D6417" s="7" t="str">
        <f t="shared" si="2342"/>
        <v>学校</v>
      </c>
      <c r="E6417" s="7" t="str">
        <f t="shared" si="2339"/>
        <v>大阪府茨木市春日５丁目</v>
      </c>
      <c r="F6417" s="7"/>
      <c r="G6417" s="7" t="str">
        <f t="shared" si="2328"/>
        <v>事業用資産</v>
      </c>
      <c r="H6417" s="7" t="str">
        <f t="shared" si="2343"/>
        <v>棚卸以外</v>
      </c>
      <c r="I6417" s="7">
        <v>25</v>
      </c>
      <c r="J6417" s="7" t="str">
        <f>"便所"</f>
        <v>便所</v>
      </c>
      <c r="K6417" s="7" t="str">
        <f>"鉄骨コンクリート造"</f>
        <v>鉄骨コンクリート造</v>
      </c>
      <c r="L6417" s="7" t="str">
        <f>"S41.11.30"</f>
        <v>S41.11.30</v>
      </c>
      <c r="M6417" s="7">
        <v>15.12</v>
      </c>
      <c r="N6417" s="7">
        <v>679000</v>
      </c>
      <c r="O6417" s="7">
        <v>678999</v>
      </c>
      <c r="P6417" s="7">
        <v>0</v>
      </c>
      <c r="Q6417" s="7" t="str">
        <f t="shared" si="2329"/>
        <v>教育庁</v>
      </c>
      <c r="R6417" s="7" t="str">
        <f t="shared" si="2340"/>
        <v>茨木工科高等学校</v>
      </c>
    </row>
    <row r="6418" spans="1:18" s="1" customFormat="1" x14ac:dyDescent="0.45">
      <c r="A6418" s="7" t="str">
        <f t="shared" si="2337"/>
        <v>10949000000</v>
      </c>
      <c r="B6418" s="7" t="str">
        <f t="shared" si="2338"/>
        <v>茨木工科高等学校</v>
      </c>
      <c r="C6418" s="7" t="str">
        <f t="shared" si="2344"/>
        <v>行政財産</v>
      </c>
      <c r="D6418" s="7" t="str">
        <f t="shared" si="2342"/>
        <v>学校</v>
      </c>
      <c r="E6418" s="7" t="str">
        <f t="shared" si="2339"/>
        <v>大阪府茨木市春日５丁目</v>
      </c>
      <c r="F6418" s="7"/>
      <c r="G6418" s="7" t="str">
        <f t="shared" si="2328"/>
        <v>事業用資産</v>
      </c>
      <c r="H6418" s="7" t="str">
        <f t="shared" si="2343"/>
        <v>棚卸以外</v>
      </c>
      <c r="I6418" s="7">
        <v>27</v>
      </c>
      <c r="J6418" s="7" t="str">
        <f>"自動車実習工場"</f>
        <v>自動車実習工場</v>
      </c>
      <c r="K6418" s="7" t="str">
        <f>"鉄骨造"</f>
        <v>鉄骨造</v>
      </c>
      <c r="L6418" s="7" t="str">
        <f>"S43.11.30"</f>
        <v>S43.11.30</v>
      </c>
      <c r="M6418" s="7">
        <v>600</v>
      </c>
      <c r="N6418" s="7">
        <v>16793840</v>
      </c>
      <c r="O6418" s="7">
        <v>14290505</v>
      </c>
      <c r="P6418" s="7">
        <v>0</v>
      </c>
      <c r="Q6418" s="7" t="str">
        <f t="shared" si="2329"/>
        <v>教育庁</v>
      </c>
      <c r="R6418" s="7" t="str">
        <f t="shared" si="2340"/>
        <v>茨木工科高等学校</v>
      </c>
    </row>
    <row r="6419" spans="1:18" s="1" customFormat="1" x14ac:dyDescent="0.45">
      <c r="A6419" s="7" t="str">
        <f t="shared" si="2337"/>
        <v>10949000000</v>
      </c>
      <c r="B6419" s="7" t="str">
        <f t="shared" si="2338"/>
        <v>茨木工科高等学校</v>
      </c>
      <c r="C6419" s="7" t="str">
        <f t="shared" si="2344"/>
        <v>行政財産</v>
      </c>
      <c r="D6419" s="7" t="str">
        <f t="shared" si="2342"/>
        <v>学校</v>
      </c>
      <c r="E6419" s="7" t="str">
        <f t="shared" si="2339"/>
        <v>大阪府茨木市春日５丁目</v>
      </c>
      <c r="F6419" s="7"/>
      <c r="G6419" s="7" t="str">
        <f t="shared" si="2328"/>
        <v>事業用資産</v>
      </c>
      <c r="H6419" s="7" t="str">
        <f t="shared" si="2343"/>
        <v>棚卸以外</v>
      </c>
      <c r="I6419" s="7">
        <v>29</v>
      </c>
      <c r="J6419" s="7" t="str">
        <f>"便所（プール）"</f>
        <v>便所（プール）</v>
      </c>
      <c r="K6419" s="7" t="str">
        <f>"レンガ、石積造"</f>
        <v>レンガ、石積造</v>
      </c>
      <c r="L6419" s="7" t="str">
        <f>"S44.08.31"</f>
        <v>S44.08.31</v>
      </c>
      <c r="M6419" s="7">
        <v>17.29</v>
      </c>
      <c r="N6419" s="7">
        <v>1428000</v>
      </c>
      <c r="O6419" s="7">
        <v>939543</v>
      </c>
      <c r="P6419" s="7">
        <v>0</v>
      </c>
      <c r="Q6419" s="7" t="str">
        <f t="shared" si="2329"/>
        <v>教育庁</v>
      </c>
      <c r="R6419" s="7" t="str">
        <f t="shared" si="2340"/>
        <v>茨木工科高等学校</v>
      </c>
    </row>
    <row r="6420" spans="1:18" s="1" customFormat="1" x14ac:dyDescent="0.45">
      <c r="A6420" s="7" t="str">
        <f t="shared" si="2337"/>
        <v>10949000000</v>
      </c>
      <c r="B6420" s="7" t="str">
        <f t="shared" si="2338"/>
        <v>茨木工科高等学校</v>
      </c>
      <c r="C6420" s="7" t="str">
        <f t="shared" si="2344"/>
        <v>行政財産</v>
      </c>
      <c r="D6420" s="7" t="str">
        <f t="shared" si="2342"/>
        <v>学校</v>
      </c>
      <c r="E6420" s="7" t="str">
        <f t="shared" si="2339"/>
        <v>大阪府茨木市春日５丁目</v>
      </c>
      <c r="F6420" s="7"/>
      <c r="G6420" s="7" t="str">
        <f t="shared" si="2328"/>
        <v>事業用資産</v>
      </c>
      <c r="H6420" s="7" t="str">
        <f t="shared" si="2343"/>
        <v>棚卸以外</v>
      </c>
      <c r="I6420" s="7">
        <v>30</v>
      </c>
      <c r="J6420" s="7" t="str">
        <f>"機械室（プール）"</f>
        <v>機械室（プール）</v>
      </c>
      <c r="K6420" s="7" t="str">
        <f>"レンガ、石積造"</f>
        <v>レンガ、石積造</v>
      </c>
      <c r="L6420" s="7" t="str">
        <f>"S44.08.31"</f>
        <v>S44.08.31</v>
      </c>
      <c r="M6420" s="7">
        <v>24.75</v>
      </c>
      <c r="N6420" s="7">
        <v>1239000</v>
      </c>
      <c r="O6420" s="7">
        <v>1028759</v>
      </c>
      <c r="P6420" s="7">
        <v>0</v>
      </c>
      <c r="Q6420" s="7" t="str">
        <f t="shared" si="2329"/>
        <v>教育庁</v>
      </c>
      <c r="R6420" s="7" t="str">
        <f t="shared" si="2340"/>
        <v>茨木工科高等学校</v>
      </c>
    </row>
    <row r="6421" spans="1:18" s="1" customFormat="1" x14ac:dyDescent="0.45">
      <c r="A6421" s="7" t="str">
        <f t="shared" si="2337"/>
        <v>10949000000</v>
      </c>
      <c r="B6421" s="7" t="str">
        <f t="shared" si="2338"/>
        <v>茨木工科高等学校</v>
      </c>
      <c r="C6421" s="7" t="str">
        <f t="shared" si="2344"/>
        <v>行政財産</v>
      </c>
      <c r="D6421" s="7" t="str">
        <f t="shared" si="2342"/>
        <v>学校</v>
      </c>
      <c r="E6421" s="7" t="str">
        <f t="shared" si="2339"/>
        <v>大阪府茨木市春日５丁目</v>
      </c>
      <c r="F6421" s="7"/>
      <c r="G6421" s="7" t="str">
        <f t="shared" si="2328"/>
        <v>事業用資産</v>
      </c>
      <c r="H6421" s="7" t="str">
        <f t="shared" si="2343"/>
        <v>棚卸以外</v>
      </c>
      <c r="I6421" s="7">
        <v>31</v>
      </c>
      <c r="J6421" s="7" t="str">
        <f>"クラブ室"</f>
        <v>クラブ室</v>
      </c>
      <c r="K6421" s="7" t="str">
        <f>"レンガ、石積造"</f>
        <v>レンガ、石積造</v>
      </c>
      <c r="L6421" s="7" t="str">
        <f>"S45.12.04"</f>
        <v>S45.12.04</v>
      </c>
      <c r="M6421" s="7">
        <v>33.24</v>
      </c>
      <c r="N6421" s="7">
        <v>350000</v>
      </c>
      <c r="O6421" s="7">
        <v>349999</v>
      </c>
      <c r="P6421" s="7">
        <v>0</v>
      </c>
      <c r="Q6421" s="7" t="str">
        <f t="shared" si="2329"/>
        <v>教育庁</v>
      </c>
      <c r="R6421" s="7" t="str">
        <f t="shared" si="2340"/>
        <v>茨木工科高等学校</v>
      </c>
    </row>
    <row r="6422" spans="1:18" s="1" customFormat="1" x14ac:dyDescent="0.45">
      <c r="A6422" s="7" t="str">
        <f t="shared" si="2337"/>
        <v>10949000000</v>
      </c>
      <c r="B6422" s="7" t="str">
        <f t="shared" si="2338"/>
        <v>茨木工科高等学校</v>
      </c>
      <c r="C6422" s="7" t="str">
        <f t="shared" si="2344"/>
        <v>行政財産</v>
      </c>
      <c r="D6422" s="7" t="str">
        <f t="shared" si="2342"/>
        <v>学校</v>
      </c>
      <c r="E6422" s="7" t="str">
        <f t="shared" si="2339"/>
        <v>大阪府茨木市春日５丁目</v>
      </c>
      <c r="F6422" s="7"/>
      <c r="G6422" s="7" t="str">
        <f t="shared" si="2328"/>
        <v>事業用資産</v>
      </c>
      <c r="H6422" s="7" t="str">
        <f t="shared" si="2343"/>
        <v>棚卸以外</v>
      </c>
      <c r="I6422" s="7">
        <v>32</v>
      </c>
      <c r="J6422" s="7" t="str">
        <f>"倉庫"</f>
        <v>倉庫</v>
      </c>
      <c r="K6422" s="7" t="str">
        <f>"レンガ、石積造"</f>
        <v>レンガ、石積造</v>
      </c>
      <c r="L6422" s="7" t="str">
        <f>"S46.03.09"</f>
        <v>S46.03.09</v>
      </c>
      <c r="M6422" s="7">
        <v>38.86</v>
      </c>
      <c r="N6422" s="7">
        <v>1297201</v>
      </c>
      <c r="O6422" s="7">
        <v>1297200</v>
      </c>
      <c r="P6422" s="7">
        <v>0</v>
      </c>
      <c r="Q6422" s="7" t="str">
        <f t="shared" si="2329"/>
        <v>教育庁</v>
      </c>
      <c r="R6422" s="7" t="str">
        <f t="shared" si="2340"/>
        <v>茨木工科高等学校</v>
      </c>
    </row>
    <row r="6423" spans="1:18" s="1" customFormat="1" x14ac:dyDescent="0.45">
      <c r="A6423" s="7" t="str">
        <f t="shared" si="2337"/>
        <v>10949000000</v>
      </c>
      <c r="B6423" s="7" t="str">
        <f t="shared" si="2338"/>
        <v>茨木工科高等学校</v>
      </c>
      <c r="C6423" s="7" t="str">
        <f t="shared" si="2344"/>
        <v>行政財産</v>
      </c>
      <c r="D6423" s="7" t="str">
        <f t="shared" si="2342"/>
        <v>学校</v>
      </c>
      <c r="E6423" s="7" t="str">
        <f t="shared" si="2339"/>
        <v>大阪府茨木市春日５丁目</v>
      </c>
      <c r="F6423" s="7"/>
      <c r="G6423" s="7" t="str">
        <f t="shared" ref="G6423:G6486" si="2345">"事業用資産"</f>
        <v>事業用資産</v>
      </c>
      <c r="H6423" s="7" t="str">
        <f t="shared" si="2343"/>
        <v>棚卸以外</v>
      </c>
      <c r="I6423" s="7">
        <v>33</v>
      </c>
      <c r="J6423" s="7" t="str">
        <f>"機械科倉庫"</f>
        <v>機械科倉庫</v>
      </c>
      <c r="K6423" s="7" t="str">
        <f>"レンガ、石積造"</f>
        <v>レンガ、石積造</v>
      </c>
      <c r="L6423" s="7" t="str">
        <f>"S50.03.07"</f>
        <v>S50.03.07</v>
      </c>
      <c r="M6423" s="7">
        <v>46</v>
      </c>
      <c r="N6423" s="7">
        <v>3900000</v>
      </c>
      <c r="O6423" s="7">
        <v>3899999</v>
      </c>
      <c r="P6423" s="7">
        <v>0</v>
      </c>
      <c r="Q6423" s="7" t="str">
        <f t="shared" si="2329"/>
        <v>教育庁</v>
      </c>
      <c r="R6423" s="7" t="str">
        <f t="shared" si="2340"/>
        <v>茨木工科高等学校</v>
      </c>
    </row>
    <row r="6424" spans="1:18" s="1" customFormat="1" x14ac:dyDescent="0.45">
      <c r="A6424" s="7" t="str">
        <f t="shared" si="2337"/>
        <v>10949000000</v>
      </c>
      <c r="B6424" s="7" t="str">
        <f t="shared" si="2338"/>
        <v>茨木工科高等学校</v>
      </c>
      <c r="C6424" s="7" t="str">
        <f t="shared" si="2344"/>
        <v>行政財産</v>
      </c>
      <c r="D6424" s="7" t="str">
        <f t="shared" si="2342"/>
        <v>学校</v>
      </c>
      <c r="E6424" s="7" t="str">
        <f t="shared" si="2339"/>
        <v>大阪府茨木市春日５丁目</v>
      </c>
      <c r="F6424" s="7"/>
      <c r="G6424" s="7" t="str">
        <f t="shared" si="2345"/>
        <v>事業用資産</v>
      </c>
      <c r="H6424" s="7" t="str">
        <f t="shared" si="2343"/>
        <v>棚卸以外</v>
      </c>
      <c r="I6424" s="7">
        <v>35</v>
      </c>
      <c r="J6424" s="7" t="str">
        <f>"ポンプ室"</f>
        <v>ポンプ室</v>
      </c>
      <c r="K6424" s="7" t="str">
        <f>"コンクリートブロック造"</f>
        <v>コンクリートブロック造</v>
      </c>
      <c r="L6424" s="7" t="str">
        <f>"S53.03.28"</f>
        <v>S53.03.28</v>
      </c>
      <c r="M6424" s="7">
        <v>6.56</v>
      </c>
      <c r="N6424" s="7">
        <v>5005004</v>
      </c>
      <c r="O6424" s="7">
        <v>4539278</v>
      </c>
      <c r="P6424" s="7">
        <v>0</v>
      </c>
      <c r="Q6424" s="7" t="str">
        <f t="shared" si="2329"/>
        <v>教育庁</v>
      </c>
      <c r="R6424" s="7" t="str">
        <f t="shared" si="2340"/>
        <v>茨木工科高等学校</v>
      </c>
    </row>
    <row r="6425" spans="1:18" s="1" customFormat="1" x14ac:dyDescent="0.45">
      <c r="A6425" s="7" t="str">
        <f t="shared" si="2337"/>
        <v>10949000000</v>
      </c>
      <c r="B6425" s="7" t="str">
        <f t="shared" si="2338"/>
        <v>茨木工科高等学校</v>
      </c>
      <c r="C6425" s="7" t="str">
        <f t="shared" si="2344"/>
        <v>行政財産</v>
      </c>
      <c r="D6425" s="7" t="str">
        <f t="shared" si="2342"/>
        <v>学校</v>
      </c>
      <c r="E6425" s="7" t="str">
        <f t="shared" si="2339"/>
        <v>大阪府茨木市春日５丁目</v>
      </c>
      <c r="F6425" s="7"/>
      <c r="G6425" s="7" t="str">
        <f t="shared" si="2345"/>
        <v>事業用資産</v>
      </c>
      <c r="H6425" s="7" t="str">
        <f t="shared" si="2343"/>
        <v>棚卸以外</v>
      </c>
      <c r="I6425" s="7">
        <v>36</v>
      </c>
      <c r="J6425" s="7" t="str">
        <f>"体育倉庫"</f>
        <v>体育倉庫</v>
      </c>
      <c r="K6425" s="7" t="str">
        <f>"コンクリートブロック造"</f>
        <v>コンクリートブロック造</v>
      </c>
      <c r="L6425" s="7" t="str">
        <f>"S62.07.04"</f>
        <v>S62.07.04</v>
      </c>
      <c r="M6425" s="7">
        <v>12.66</v>
      </c>
      <c r="N6425" s="7">
        <v>120000</v>
      </c>
      <c r="O6425" s="7">
        <v>119999</v>
      </c>
      <c r="P6425" s="7">
        <v>0</v>
      </c>
      <c r="Q6425" s="7" t="str">
        <f t="shared" si="2329"/>
        <v>教育庁</v>
      </c>
      <c r="R6425" s="7" t="str">
        <f t="shared" si="2340"/>
        <v>茨木工科高等学校</v>
      </c>
    </row>
    <row r="6426" spans="1:18" s="1" customFormat="1" x14ac:dyDescent="0.45">
      <c r="A6426" s="7" t="str">
        <f t="shared" si="2337"/>
        <v>10949000000</v>
      </c>
      <c r="B6426" s="7" t="str">
        <f t="shared" si="2338"/>
        <v>茨木工科高等学校</v>
      </c>
      <c r="C6426" s="7" t="str">
        <f t="shared" si="2344"/>
        <v>行政財産</v>
      </c>
      <c r="D6426" s="7" t="str">
        <f t="shared" si="2342"/>
        <v>学校</v>
      </c>
      <c r="E6426" s="7" t="str">
        <f t="shared" si="2339"/>
        <v>大阪府茨木市春日５丁目</v>
      </c>
      <c r="F6426" s="7"/>
      <c r="G6426" s="7" t="str">
        <f t="shared" si="2345"/>
        <v>事業用資産</v>
      </c>
      <c r="H6426" s="7" t="str">
        <f t="shared" si="2343"/>
        <v>棚卸以外</v>
      </c>
      <c r="I6426" s="7">
        <v>37</v>
      </c>
      <c r="J6426" s="7" t="str">
        <f>"危険物倉庫"</f>
        <v>危険物倉庫</v>
      </c>
      <c r="K6426" s="7" t="str">
        <f>"コンクリートブロック造"</f>
        <v>コンクリートブロック造</v>
      </c>
      <c r="L6426" s="7" t="str">
        <f>"S62.07.04"</f>
        <v>S62.07.04</v>
      </c>
      <c r="M6426" s="7">
        <v>15.1</v>
      </c>
      <c r="N6426" s="7">
        <v>1000000</v>
      </c>
      <c r="O6426" s="7">
        <v>999999</v>
      </c>
      <c r="P6426" s="7">
        <v>0</v>
      </c>
      <c r="Q6426" s="7" t="str">
        <f t="shared" si="2329"/>
        <v>教育庁</v>
      </c>
      <c r="R6426" s="7" t="str">
        <f t="shared" si="2340"/>
        <v>茨木工科高等学校</v>
      </c>
    </row>
    <row r="6427" spans="1:18" s="1" customFormat="1" x14ac:dyDescent="0.45">
      <c r="A6427" s="7" t="str">
        <f t="shared" si="2337"/>
        <v>10949000000</v>
      </c>
      <c r="B6427" s="7" t="str">
        <f t="shared" si="2338"/>
        <v>茨木工科高等学校</v>
      </c>
      <c r="C6427" s="7" t="str">
        <f t="shared" si="2344"/>
        <v>行政財産</v>
      </c>
      <c r="D6427" s="7" t="str">
        <f t="shared" si="2342"/>
        <v>学校</v>
      </c>
      <c r="E6427" s="7" t="str">
        <f t="shared" si="2339"/>
        <v>大阪府茨木市春日５丁目</v>
      </c>
      <c r="F6427" s="7"/>
      <c r="G6427" s="7" t="str">
        <f t="shared" si="2345"/>
        <v>事業用資産</v>
      </c>
      <c r="H6427" s="7" t="str">
        <f t="shared" si="2343"/>
        <v>棚卸以外</v>
      </c>
      <c r="I6427" s="7">
        <v>38</v>
      </c>
      <c r="J6427" s="7" t="str">
        <f>"屋外倉庫"</f>
        <v>屋外倉庫</v>
      </c>
      <c r="K6427" s="7" t="str">
        <f>"コンクリートブロック造"</f>
        <v>コンクリートブロック造</v>
      </c>
      <c r="L6427" s="7" t="str">
        <f>"H01.03.31"</f>
        <v>H01.03.31</v>
      </c>
      <c r="M6427" s="7">
        <v>202.5</v>
      </c>
      <c r="N6427" s="7">
        <v>8628000</v>
      </c>
      <c r="O6427" s="7">
        <v>8627999</v>
      </c>
      <c r="P6427" s="7">
        <v>0</v>
      </c>
      <c r="Q6427" s="7" t="str">
        <f t="shared" ref="Q6427:Q6490" si="2346">"教育庁"</f>
        <v>教育庁</v>
      </c>
      <c r="R6427" s="7" t="str">
        <f t="shared" si="2340"/>
        <v>茨木工科高等学校</v>
      </c>
    </row>
    <row r="6428" spans="1:18" s="1" customFormat="1" x14ac:dyDescent="0.45">
      <c r="A6428" s="7" t="str">
        <f t="shared" si="2337"/>
        <v>10949000000</v>
      </c>
      <c r="B6428" s="7" t="str">
        <f t="shared" si="2338"/>
        <v>茨木工科高等学校</v>
      </c>
      <c r="C6428" s="7" t="str">
        <f t="shared" si="2344"/>
        <v>行政財産</v>
      </c>
      <c r="D6428" s="7" t="str">
        <f t="shared" si="2342"/>
        <v>学校</v>
      </c>
      <c r="E6428" s="7" t="str">
        <f t="shared" si="2339"/>
        <v>大阪府茨木市春日５丁目</v>
      </c>
      <c r="F6428" s="7"/>
      <c r="G6428" s="7" t="str">
        <f t="shared" si="2345"/>
        <v>事業用資産</v>
      </c>
      <c r="H6428" s="7" t="str">
        <f t="shared" si="2343"/>
        <v>棚卸以外</v>
      </c>
      <c r="I6428" s="7">
        <v>39</v>
      </c>
      <c r="J6428" s="7" t="str">
        <f>"家庭科棟"</f>
        <v>家庭科棟</v>
      </c>
      <c r="K6428" s="7" t="str">
        <f>"鉄骨造"</f>
        <v>鉄骨造</v>
      </c>
      <c r="L6428" s="7" t="str">
        <f>"H07.03.10"</f>
        <v>H07.03.10</v>
      </c>
      <c r="M6428" s="7">
        <v>445.76</v>
      </c>
      <c r="N6428" s="7">
        <v>90413812</v>
      </c>
      <c r="O6428" s="7">
        <v>74071016</v>
      </c>
      <c r="P6428" s="7">
        <v>0</v>
      </c>
      <c r="Q6428" s="7" t="str">
        <f t="shared" si="2346"/>
        <v>教育庁</v>
      </c>
      <c r="R6428" s="7" t="str">
        <f t="shared" si="2340"/>
        <v>茨木工科高等学校</v>
      </c>
    </row>
    <row r="6429" spans="1:18" s="1" customFormat="1" x14ac:dyDescent="0.45">
      <c r="A6429" s="7" t="str">
        <f t="shared" si="2337"/>
        <v>10949000000</v>
      </c>
      <c r="B6429" s="7" t="str">
        <f t="shared" si="2338"/>
        <v>茨木工科高等学校</v>
      </c>
      <c r="C6429" s="7" t="str">
        <f t="shared" si="2344"/>
        <v>行政財産</v>
      </c>
      <c r="D6429" s="7" t="str">
        <f t="shared" si="2342"/>
        <v>学校</v>
      </c>
      <c r="E6429" s="7" t="str">
        <f t="shared" si="2339"/>
        <v>大阪府茨木市春日５丁目</v>
      </c>
      <c r="F6429" s="7"/>
      <c r="G6429" s="7" t="str">
        <f t="shared" si="2345"/>
        <v>事業用資産</v>
      </c>
      <c r="H6429" s="7" t="str">
        <f t="shared" si="2343"/>
        <v>棚卸以外</v>
      </c>
      <c r="I6429" s="7">
        <v>41</v>
      </c>
      <c r="J6429" s="7" t="str">
        <f>"倉庫"</f>
        <v>倉庫</v>
      </c>
      <c r="K6429" s="7" t="str">
        <f>"鉄骨造"</f>
        <v>鉄骨造</v>
      </c>
      <c r="L6429" s="7" t="str">
        <f>"H07.03.10"</f>
        <v>H07.03.10</v>
      </c>
      <c r="M6429" s="7">
        <v>40</v>
      </c>
      <c r="N6429" s="7">
        <v>5830000</v>
      </c>
      <c r="O6429" s="7">
        <v>5266128</v>
      </c>
      <c r="P6429" s="7">
        <v>0</v>
      </c>
      <c r="Q6429" s="7" t="str">
        <f t="shared" si="2346"/>
        <v>教育庁</v>
      </c>
      <c r="R6429" s="7" t="str">
        <f t="shared" si="2340"/>
        <v>茨木工科高等学校</v>
      </c>
    </row>
    <row r="6430" spans="1:18" s="1" customFormat="1" x14ac:dyDescent="0.45">
      <c r="A6430" s="7" t="str">
        <f t="shared" si="2337"/>
        <v>10949000000</v>
      </c>
      <c r="B6430" s="7" t="str">
        <f t="shared" si="2338"/>
        <v>茨木工科高等学校</v>
      </c>
      <c r="C6430" s="7" t="str">
        <f t="shared" si="2344"/>
        <v>行政財産</v>
      </c>
      <c r="D6430" s="7" t="str">
        <f t="shared" si="2342"/>
        <v>学校</v>
      </c>
      <c r="E6430" s="7" t="str">
        <f t="shared" si="2339"/>
        <v>大阪府茨木市春日５丁目</v>
      </c>
      <c r="F6430" s="7"/>
      <c r="G6430" s="7" t="str">
        <f t="shared" si="2345"/>
        <v>事業用資産</v>
      </c>
      <c r="H6430" s="7" t="str">
        <f t="shared" si="2343"/>
        <v>棚卸以外</v>
      </c>
      <c r="I6430" s="7">
        <v>42</v>
      </c>
      <c r="J6430" s="7" t="str">
        <f>"車庫"</f>
        <v>車庫</v>
      </c>
      <c r="K6430" s="7" t="str">
        <f>"土蔵造(簡易建物)"</f>
        <v>土蔵造(簡易建物)</v>
      </c>
      <c r="L6430" s="7" t="str">
        <f>"H07.11.10"</f>
        <v>H07.11.10</v>
      </c>
      <c r="M6430" s="7">
        <v>27.95</v>
      </c>
      <c r="N6430" s="7">
        <v>1969000</v>
      </c>
      <c r="O6430" s="7">
        <v>1968999</v>
      </c>
      <c r="P6430" s="7">
        <v>0</v>
      </c>
      <c r="Q6430" s="7" t="str">
        <f t="shared" si="2346"/>
        <v>教育庁</v>
      </c>
      <c r="R6430" s="7" t="str">
        <f t="shared" si="2340"/>
        <v>茨木工科高等学校</v>
      </c>
    </row>
    <row r="6431" spans="1:18" s="1" customFormat="1" x14ac:dyDescent="0.45">
      <c r="A6431" s="7" t="str">
        <f t="shared" si="2337"/>
        <v>10949000000</v>
      </c>
      <c r="B6431" s="7" t="str">
        <f t="shared" si="2338"/>
        <v>茨木工科高等学校</v>
      </c>
      <c r="C6431" s="7" t="str">
        <f t="shared" si="2344"/>
        <v>行政財産</v>
      </c>
      <c r="D6431" s="7" t="str">
        <f t="shared" si="2342"/>
        <v>学校</v>
      </c>
      <c r="E6431" s="7" t="str">
        <f t="shared" si="2339"/>
        <v>大阪府茨木市春日５丁目</v>
      </c>
      <c r="F6431" s="7"/>
      <c r="G6431" s="7" t="str">
        <f t="shared" si="2345"/>
        <v>事業用資産</v>
      </c>
      <c r="H6431" s="7" t="str">
        <f t="shared" si="2343"/>
        <v>棚卸以外</v>
      </c>
      <c r="I6431" s="7">
        <v>43</v>
      </c>
      <c r="J6431" s="7" t="str">
        <f>"実習・教室棟"</f>
        <v>実習・教室棟</v>
      </c>
      <c r="K6431" s="7" t="str">
        <f>"鉄骨造"</f>
        <v>鉄骨造</v>
      </c>
      <c r="L6431" s="7" t="str">
        <f>"H18.08.21"</f>
        <v>H18.08.21</v>
      </c>
      <c r="M6431" s="7">
        <v>533.62</v>
      </c>
      <c r="N6431" s="7">
        <v>78222089</v>
      </c>
      <c r="O6431" s="7">
        <v>38034007</v>
      </c>
      <c r="P6431" s="7">
        <v>0</v>
      </c>
      <c r="Q6431" s="7" t="str">
        <f t="shared" si="2346"/>
        <v>教育庁</v>
      </c>
      <c r="R6431" s="7" t="str">
        <f t="shared" si="2340"/>
        <v>茨木工科高等学校</v>
      </c>
    </row>
    <row r="6432" spans="1:18" s="1" customFormat="1" x14ac:dyDescent="0.45">
      <c r="A6432" s="7" t="str">
        <f t="shared" ref="A6432:A6458" si="2347">"10950000000"</f>
        <v>10950000000</v>
      </c>
      <c r="B6432" s="7" t="str">
        <f t="shared" ref="B6432:B6458" si="2348">"城東工科高等学校"</f>
        <v>城東工科高等学校</v>
      </c>
      <c r="C6432" s="7" t="str">
        <f t="shared" si="2344"/>
        <v>行政財産</v>
      </c>
      <c r="D6432" s="7" t="str">
        <f t="shared" si="2342"/>
        <v>学校</v>
      </c>
      <c r="E6432" s="7" t="str">
        <f t="shared" ref="E6432:E6458" si="2349">"大阪府東大阪市西鴻池町２丁目"</f>
        <v>大阪府東大阪市西鴻池町２丁目</v>
      </c>
      <c r="F6432" s="7"/>
      <c r="G6432" s="7" t="str">
        <f t="shared" si="2345"/>
        <v>事業用資産</v>
      </c>
      <c r="H6432" s="7" t="str">
        <f t="shared" si="2343"/>
        <v>棚卸以外</v>
      </c>
      <c r="I6432" s="7">
        <v>50</v>
      </c>
      <c r="J6432" s="7" t="str">
        <f>"電子科実習室"</f>
        <v>電子科実習室</v>
      </c>
      <c r="K6432" s="7" t="str">
        <f>"鉄筋コンクリート造"</f>
        <v>鉄筋コンクリート造</v>
      </c>
      <c r="L6432" s="7" t="str">
        <f>"S35.07.31"</f>
        <v>S35.07.31</v>
      </c>
      <c r="M6432" s="7">
        <v>929.98</v>
      </c>
      <c r="N6432" s="7">
        <v>39884608</v>
      </c>
      <c r="O6432" s="7">
        <v>24336576</v>
      </c>
      <c r="P6432" s="7">
        <v>0</v>
      </c>
      <c r="Q6432" s="7" t="str">
        <f t="shared" si="2346"/>
        <v>教育庁</v>
      </c>
      <c r="R6432" s="7" t="str">
        <f t="shared" ref="R6432:R6458" si="2350">"城東工科高等学校"</f>
        <v>城東工科高等学校</v>
      </c>
    </row>
    <row r="6433" spans="1:18" s="1" customFormat="1" x14ac:dyDescent="0.45">
      <c r="A6433" s="7" t="str">
        <f t="shared" si="2347"/>
        <v>10950000000</v>
      </c>
      <c r="B6433" s="7" t="str">
        <f t="shared" si="2348"/>
        <v>城東工科高等学校</v>
      </c>
      <c r="C6433" s="7" t="str">
        <f t="shared" si="2344"/>
        <v>行政財産</v>
      </c>
      <c r="D6433" s="7" t="str">
        <f t="shared" si="2342"/>
        <v>学校</v>
      </c>
      <c r="E6433" s="7" t="str">
        <f t="shared" si="2349"/>
        <v>大阪府東大阪市西鴻池町２丁目</v>
      </c>
      <c r="F6433" s="7"/>
      <c r="G6433" s="7" t="str">
        <f t="shared" si="2345"/>
        <v>事業用資産</v>
      </c>
      <c r="H6433" s="7" t="str">
        <f t="shared" si="2343"/>
        <v>棚卸以外</v>
      </c>
      <c r="I6433" s="7">
        <v>74</v>
      </c>
      <c r="J6433" s="7" t="str">
        <f>"電気電子実験棟"</f>
        <v>電気電子実験棟</v>
      </c>
      <c r="K6433" s="7" t="str">
        <f>"鉄筋コンクリート造"</f>
        <v>鉄筋コンクリート造</v>
      </c>
      <c r="L6433" s="7" t="str">
        <f>"S43.03.28"</f>
        <v>S43.03.28</v>
      </c>
      <c r="M6433" s="7">
        <v>2873.99</v>
      </c>
      <c r="N6433" s="7">
        <v>243643158</v>
      </c>
      <c r="O6433" s="7">
        <v>154484570</v>
      </c>
      <c r="P6433" s="7">
        <v>0</v>
      </c>
      <c r="Q6433" s="7" t="str">
        <f t="shared" si="2346"/>
        <v>教育庁</v>
      </c>
      <c r="R6433" s="7" t="str">
        <f t="shared" si="2350"/>
        <v>城東工科高等学校</v>
      </c>
    </row>
    <row r="6434" spans="1:18" s="1" customFormat="1" x14ac:dyDescent="0.45">
      <c r="A6434" s="7" t="str">
        <f t="shared" si="2347"/>
        <v>10950000000</v>
      </c>
      <c r="B6434" s="7" t="str">
        <f t="shared" si="2348"/>
        <v>城東工科高等学校</v>
      </c>
      <c r="C6434" s="7" t="str">
        <f t="shared" si="2344"/>
        <v>行政財産</v>
      </c>
      <c r="D6434" s="7" t="str">
        <f t="shared" si="2342"/>
        <v>学校</v>
      </c>
      <c r="E6434" s="7" t="str">
        <f t="shared" si="2349"/>
        <v>大阪府東大阪市西鴻池町２丁目</v>
      </c>
      <c r="F6434" s="7"/>
      <c r="G6434" s="7" t="str">
        <f t="shared" si="2345"/>
        <v>事業用資産</v>
      </c>
      <c r="H6434" s="7" t="str">
        <f t="shared" si="2343"/>
        <v>棚卸以外</v>
      </c>
      <c r="I6434" s="7">
        <v>75</v>
      </c>
      <c r="J6434" s="7" t="str">
        <f>"渡り廊下"</f>
        <v>渡り廊下</v>
      </c>
      <c r="K6434" s="7" t="str">
        <f>"鉄骨造"</f>
        <v>鉄骨造</v>
      </c>
      <c r="L6434" s="7" t="str">
        <f>"S43.03.28"</f>
        <v>S43.03.28</v>
      </c>
      <c r="M6434" s="7">
        <v>7.65</v>
      </c>
      <c r="N6434" s="7">
        <v>3024000</v>
      </c>
      <c r="O6434" s="7">
        <v>3023999</v>
      </c>
      <c r="P6434" s="7">
        <v>0</v>
      </c>
      <c r="Q6434" s="7" t="str">
        <f t="shared" si="2346"/>
        <v>教育庁</v>
      </c>
      <c r="R6434" s="7" t="str">
        <f t="shared" si="2350"/>
        <v>城東工科高等学校</v>
      </c>
    </row>
    <row r="6435" spans="1:18" s="1" customFormat="1" x14ac:dyDescent="0.45">
      <c r="A6435" s="7" t="str">
        <f t="shared" si="2347"/>
        <v>10950000000</v>
      </c>
      <c r="B6435" s="7" t="str">
        <f t="shared" si="2348"/>
        <v>城東工科高等学校</v>
      </c>
      <c r="C6435" s="7" t="str">
        <f t="shared" si="2344"/>
        <v>行政財産</v>
      </c>
      <c r="D6435" s="7" t="str">
        <f t="shared" si="2342"/>
        <v>学校</v>
      </c>
      <c r="E6435" s="7" t="str">
        <f t="shared" si="2349"/>
        <v>大阪府東大阪市西鴻池町２丁目</v>
      </c>
      <c r="F6435" s="7"/>
      <c r="G6435" s="7" t="str">
        <f t="shared" si="2345"/>
        <v>事業用資産</v>
      </c>
      <c r="H6435" s="7" t="str">
        <f t="shared" si="2343"/>
        <v>棚卸以外</v>
      </c>
      <c r="I6435" s="7">
        <v>76</v>
      </c>
      <c r="J6435" s="7" t="str">
        <f>"ポンプ室"</f>
        <v>ポンプ室</v>
      </c>
      <c r="K6435" s="7" t="str">
        <f>"鉄筋コンクリート造"</f>
        <v>鉄筋コンクリート造</v>
      </c>
      <c r="L6435" s="7" t="str">
        <f>"S43.03.28"</f>
        <v>S43.03.28</v>
      </c>
      <c r="M6435" s="7">
        <v>24</v>
      </c>
      <c r="N6435" s="7">
        <v>1504000</v>
      </c>
      <c r="O6435" s="7">
        <v>1503999</v>
      </c>
      <c r="P6435" s="7">
        <v>0</v>
      </c>
      <c r="Q6435" s="7" t="str">
        <f t="shared" si="2346"/>
        <v>教育庁</v>
      </c>
      <c r="R6435" s="7" t="str">
        <f t="shared" si="2350"/>
        <v>城東工科高等学校</v>
      </c>
    </row>
    <row r="6436" spans="1:18" s="1" customFormat="1" x14ac:dyDescent="0.45">
      <c r="A6436" s="7" t="str">
        <f t="shared" si="2347"/>
        <v>10950000000</v>
      </c>
      <c r="B6436" s="7" t="str">
        <f t="shared" si="2348"/>
        <v>城東工科高等学校</v>
      </c>
      <c r="C6436" s="7" t="str">
        <f t="shared" si="2344"/>
        <v>行政財産</v>
      </c>
      <c r="D6436" s="7" t="str">
        <f t="shared" si="2342"/>
        <v>学校</v>
      </c>
      <c r="E6436" s="7" t="str">
        <f t="shared" si="2349"/>
        <v>大阪府東大阪市西鴻池町２丁目</v>
      </c>
      <c r="F6436" s="7"/>
      <c r="G6436" s="7" t="str">
        <f t="shared" si="2345"/>
        <v>事業用資産</v>
      </c>
      <c r="H6436" s="7" t="str">
        <f t="shared" si="2343"/>
        <v>棚卸以外</v>
      </c>
      <c r="I6436" s="7">
        <v>78</v>
      </c>
      <c r="J6436" s="7" t="str">
        <f>"第３号棟"</f>
        <v>第３号棟</v>
      </c>
      <c r="K6436" s="7" t="str">
        <f>"鉄筋コンクリート造"</f>
        <v>鉄筋コンクリート造</v>
      </c>
      <c r="L6436" s="7" t="str">
        <f>"S45.03.28"</f>
        <v>S45.03.28</v>
      </c>
      <c r="M6436" s="7">
        <v>1738</v>
      </c>
      <c r="N6436" s="7">
        <v>267753380</v>
      </c>
      <c r="O6436" s="7">
        <v>109695608</v>
      </c>
      <c r="P6436" s="7">
        <v>0</v>
      </c>
      <c r="Q6436" s="7" t="str">
        <f t="shared" si="2346"/>
        <v>教育庁</v>
      </c>
      <c r="R6436" s="7" t="str">
        <f t="shared" si="2350"/>
        <v>城東工科高等学校</v>
      </c>
    </row>
    <row r="6437" spans="1:18" s="1" customFormat="1" x14ac:dyDescent="0.45">
      <c r="A6437" s="7" t="str">
        <f t="shared" si="2347"/>
        <v>10950000000</v>
      </c>
      <c r="B6437" s="7" t="str">
        <f t="shared" si="2348"/>
        <v>城東工科高等学校</v>
      </c>
      <c r="C6437" s="7" t="str">
        <f t="shared" si="2344"/>
        <v>行政財産</v>
      </c>
      <c r="D6437" s="7" t="str">
        <f t="shared" si="2342"/>
        <v>学校</v>
      </c>
      <c r="E6437" s="7" t="str">
        <f t="shared" si="2349"/>
        <v>大阪府東大阪市西鴻池町２丁目</v>
      </c>
      <c r="F6437" s="7"/>
      <c r="G6437" s="7" t="str">
        <f t="shared" si="2345"/>
        <v>事業用資産</v>
      </c>
      <c r="H6437" s="7" t="str">
        <f t="shared" si="2343"/>
        <v>棚卸以外</v>
      </c>
      <c r="I6437" s="7">
        <v>80</v>
      </c>
      <c r="J6437" s="7" t="str">
        <f>"機械科実習棟"</f>
        <v>機械科実習棟</v>
      </c>
      <c r="K6437" s="7" t="str">
        <f>"鉄骨造"</f>
        <v>鉄骨造</v>
      </c>
      <c r="L6437" s="7" t="str">
        <f>"S46.03.28"</f>
        <v>S46.03.28</v>
      </c>
      <c r="M6437" s="7">
        <v>768</v>
      </c>
      <c r="N6437" s="7">
        <v>76322385</v>
      </c>
      <c r="O6437" s="7">
        <v>58165324</v>
      </c>
      <c r="P6437" s="7">
        <v>0</v>
      </c>
      <c r="Q6437" s="7" t="str">
        <f t="shared" si="2346"/>
        <v>教育庁</v>
      </c>
      <c r="R6437" s="7" t="str">
        <f t="shared" si="2350"/>
        <v>城東工科高等学校</v>
      </c>
    </row>
    <row r="6438" spans="1:18" s="1" customFormat="1" x14ac:dyDescent="0.45">
      <c r="A6438" s="7" t="str">
        <f t="shared" si="2347"/>
        <v>10950000000</v>
      </c>
      <c r="B6438" s="7" t="str">
        <f t="shared" si="2348"/>
        <v>城東工科高等学校</v>
      </c>
      <c r="C6438" s="7" t="str">
        <f t="shared" si="2344"/>
        <v>行政財産</v>
      </c>
      <c r="D6438" s="7" t="str">
        <f t="shared" si="2342"/>
        <v>学校</v>
      </c>
      <c r="E6438" s="7" t="str">
        <f t="shared" si="2349"/>
        <v>大阪府東大阪市西鴻池町２丁目</v>
      </c>
      <c r="F6438" s="7"/>
      <c r="G6438" s="7" t="str">
        <f t="shared" si="2345"/>
        <v>事業用資産</v>
      </c>
      <c r="H6438" s="7" t="str">
        <f t="shared" si="2343"/>
        <v>棚卸以外</v>
      </c>
      <c r="I6438" s="7">
        <v>81</v>
      </c>
      <c r="J6438" s="7" t="str">
        <f>"機械科実習棟"</f>
        <v>機械科実習棟</v>
      </c>
      <c r="K6438" s="7" t="str">
        <f>"鉄筋コンクリート造"</f>
        <v>鉄筋コンクリート造</v>
      </c>
      <c r="L6438" s="7" t="str">
        <f>"S47.03.28"</f>
        <v>S47.03.28</v>
      </c>
      <c r="M6438" s="7">
        <v>2674.2</v>
      </c>
      <c r="N6438" s="7">
        <v>147510947</v>
      </c>
      <c r="O6438" s="7">
        <v>138441578</v>
      </c>
      <c r="P6438" s="7">
        <v>0</v>
      </c>
      <c r="Q6438" s="7" t="str">
        <f t="shared" si="2346"/>
        <v>教育庁</v>
      </c>
      <c r="R6438" s="7" t="str">
        <f t="shared" si="2350"/>
        <v>城東工科高等学校</v>
      </c>
    </row>
    <row r="6439" spans="1:18" s="1" customFormat="1" x14ac:dyDescent="0.45">
      <c r="A6439" s="7" t="str">
        <f t="shared" si="2347"/>
        <v>10950000000</v>
      </c>
      <c r="B6439" s="7" t="str">
        <f t="shared" si="2348"/>
        <v>城東工科高等学校</v>
      </c>
      <c r="C6439" s="7" t="str">
        <f t="shared" si="2344"/>
        <v>行政財産</v>
      </c>
      <c r="D6439" s="7" t="str">
        <f t="shared" si="2342"/>
        <v>学校</v>
      </c>
      <c r="E6439" s="7" t="str">
        <f t="shared" si="2349"/>
        <v>大阪府東大阪市西鴻池町２丁目</v>
      </c>
      <c r="F6439" s="7"/>
      <c r="G6439" s="7" t="str">
        <f t="shared" si="2345"/>
        <v>事業用資産</v>
      </c>
      <c r="H6439" s="7" t="str">
        <f t="shared" si="2343"/>
        <v>棚卸以外</v>
      </c>
      <c r="I6439" s="7">
        <v>82</v>
      </c>
      <c r="J6439" s="7" t="str">
        <f>"電気室"</f>
        <v>電気室</v>
      </c>
      <c r="K6439" s="7" t="str">
        <f>"コンクリートブロック造"</f>
        <v>コンクリートブロック造</v>
      </c>
      <c r="L6439" s="7" t="str">
        <f>"S47.03.28"</f>
        <v>S47.03.28</v>
      </c>
      <c r="M6439" s="7">
        <v>55.8</v>
      </c>
      <c r="N6439" s="7">
        <v>14677855</v>
      </c>
      <c r="O6439" s="7">
        <v>12714049</v>
      </c>
      <c r="P6439" s="7">
        <v>0</v>
      </c>
      <c r="Q6439" s="7" t="str">
        <f t="shared" si="2346"/>
        <v>教育庁</v>
      </c>
      <c r="R6439" s="7" t="str">
        <f t="shared" si="2350"/>
        <v>城東工科高等学校</v>
      </c>
    </row>
    <row r="6440" spans="1:18" s="1" customFormat="1" x14ac:dyDescent="0.45">
      <c r="A6440" s="7" t="str">
        <f t="shared" si="2347"/>
        <v>10950000000</v>
      </c>
      <c r="B6440" s="7" t="str">
        <f t="shared" si="2348"/>
        <v>城東工科高等学校</v>
      </c>
      <c r="C6440" s="7" t="str">
        <f t="shared" si="2344"/>
        <v>行政財産</v>
      </c>
      <c r="D6440" s="7" t="str">
        <f t="shared" si="2342"/>
        <v>学校</v>
      </c>
      <c r="E6440" s="7" t="str">
        <f t="shared" si="2349"/>
        <v>大阪府東大阪市西鴻池町２丁目</v>
      </c>
      <c r="F6440" s="7"/>
      <c r="G6440" s="7" t="str">
        <f t="shared" si="2345"/>
        <v>事業用資産</v>
      </c>
      <c r="H6440" s="7" t="str">
        <f t="shared" si="2343"/>
        <v>棚卸以外</v>
      </c>
      <c r="I6440" s="7">
        <v>84</v>
      </c>
      <c r="J6440" s="7" t="str">
        <f>"実験実習及び教室棟"</f>
        <v>実験実習及び教室棟</v>
      </c>
      <c r="K6440" s="7" t="str">
        <f>"鉄筋コンクリート造"</f>
        <v>鉄筋コンクリート造</v>
      </c>
      <c r="L6440" s="7" t="str">
        <f>"S48.03.15"</f>
        <v>S48.03.15</v>
      </c>
      <c r="M6440" s="7">
        <v>2935.64</v>
      </c>
      <c r="N6440" s="7">
        <v>257141835</v>
      </c>
      <c r="O6440" s="7">
        <v>178271272</v>
      </c>
      <c r="P6440" s="7">
        <v>0</v>
      </c>
      <c r="Q6440" s="7" t="str">
        <f t="shared" si="2346"/>
        <v>教育庁</v>
      </c>
      <c r="R6440" s="7" t="str">
        <f t="shared" si="2350"/>
        <v>城東工科高等学校</v>
      </c>
    </row>
    <row r="6441" spans="1:18" s="1" customFormat="1" x14ac:dyDescent="0.45">
      <c r="A6441" s="7" t="str">
        <f t="shared" si="2347"/>
        <v>10950000000</v>
      </c>
      <c r="B6441" s="7" t="str">
        <f t="shared" si="2348"/>
        <v>城東工科高等学校</v>
      </c>
      <c r="C6441" s="7" t="str">
        <f t="shared" si="2344"/>
        <v>行政財産</v>
      </c>
      <c r="D6441" s="7" t="str">
        <f t="shared" si="2342"/>
        <v>学校</v>
      </c>
      <c r="E6441" s="7" t="str">
        <f t="shared" si="2349"/>
        <v>大阪府東大阪市西鴻池町２丁目</v>
      </c>
      <c r="F6441" s="7"/>
      <c r="G6441" s="7" t="str">
        <f t="shared" si="2345"/>
        <v>事業用資産</v>
      </c>
      <c r="H6441" s="7" t="str">
        <f t="shared" si="2343"/>
        <v>棚卸以外</v>
      </c>
      <c r="I6441" s="7">
        <v>85</v>
      </c>
      <c r="J6441" s="7" t="str">
        <f>"東渡り廊下"</f>
        <v>東渡り廊下</v>
      </c>
      <c r="K6441" s="7" t="str">
        <f>"鉄筋コンクリート造"</f>
        <v>鉄筋コンクリート造</v>
      </c>
      <c r="L6441" s="7" t="str">
        <f>"S48.03.15"</f>
        <v>S48.03.15</v>
      </c>
      <c r="M6441" s="7">
        <v>248.04</v>
      </c>
      <c r="N6441" s="7">
        <v>14252000</v>
      </c>
      <c r="O6441" s="7">
        <v>13365313</v>
      </c>
      <c r="P6441" s="7">
        <v>0</v>
      </c>
      <c r="Q6441" s="7" t="str">
        <f t="shared" si="2346"/>
        <v>教育庁</v>
      </c>
      <c r="R6441" s="7" t="str">
        <f t="shared" si="2350"/>
        <v>城東工科高等学校</v>
      </c>
    </row>
    <row r="6442" spans="1:18" s="1" customFormat="1" x14ac:dyDescent="0.45">
      <c r="A6442" s="7" t="str">
        <f t="shared" si="2347"/>
        <v>10950000000</v>
      </c>
      <c r="B6442" s="7" t="str">
        <f t="shared" si="2348"/>
        <v>城東工科高等学校</v>
      </c>
      <c r="C6442" s="7" t="str">
        <f t="shared" si="2344"/>
        <v>行政財産</v>
      </c>
      <c r="D6442" s="7" t="str">
        <f t="shared" si="2342"/>
        <v>学校</v>
      </c>
      <c r="E6442" s="7" t="str">
        <f t="shared" si="2349"/>
        <v>大阪府東大阪市西鴻池町２丁目</v>
      </c>
      <c r="F6442" s="7"/>
      <c r="G6442" s="7" t="str">
        <f t="shared" si="2345"/>
        <v>事業用資産</v>
      </c>
      <c r="H6442" s="7" t="str">
        <f t="shared" si="2343"/>
        <v>棚卸以外</v>
      </c>
      <c r="I6442" s="7">
        <v>86</v>
      </c>
      <c r="J6442" s="7" t="str">
        <f>"西渡り廊下"</f>
        <v>西渡り廊下</v>
      </c>
      <c r="K6442" s="7" t="str">
        <f>"鉄筋コンクリート造"</f>
        <v>鉄筋コンクリート造</v>
      </c>
      <c r="L6442" s="7" t="str">
        <f>"S48.03.15"</f>
        <v>S48.03.15</v>
      </c>
      <c r="M6442" s="7">
        <v>226.2</v>
      </c>
      <c r="N6442" s="7">
        <v>13982000</v>
      </c>
      <c r="O6442" s="7">
        <v>13054193</v>
      </c>
      <c r="P6442" s="7">
        <v>0</v>
      </c>
      <c r="Q6442" s="7" t="str">
        <f t="shared" si="2346"/>
        <v>教育庁</v>
      </c>
      <c r="R6442" s="7" t="str">
        <f t="shared" si="2350"/>
        <v>城東工科高等学校</v>
      </c>
    </row>
    <row r="6443" spans="1:18" s="1" customFormat="1" x14ac:dyDescent="0.45">
      <c r="A6443" s="7" t="str">
        <f t="shared" si="2347"/>
        <v>10950000000</v>
      </c>
      <c r="B6443" s="7" t="str">
        <f t="shared" si="2348"/>
        <v>城東工科高等学校</v>
      </c>
      <c r="C6443" s="7" t="str">
        <f t="shared" si="2344"/>
        <v>行政財産</v>
      </c>
      <c r="D6443" s="7" t="str">
        <f t="shared" si="2342"/>
        <v>学校</v>
      </c>
      <c r="E6443" s="7" t="str">
        <f t="shared" si="2349"/>
        <v>大阪府東大阪市西鴻池町２丁目</v>
      </c>
      <c r="F6443" s="7"/>
      <c r="G6443" s="7" t="str">
        <f t="shared" si="2345"/>
        <v>事業用資産</v>
      </c>
      <c r="H6443" s="7" t="str">
        <f t="shared" si="2343"/>
        <v>棚卸以外</v>
      </c>
      <c r="I6443" s="7">
        <v>88</v>
      </c>
      <c r="J6443" s="7" t="str">
        <f>"体育館"</f>
        <v>体育館</v>
      </c>
      <c r="K6443" s="7" t="str">
        <f>"鉄筋コンクリート造"</f>
        <v>鉄筋コンクリート造</v>
      </c>
      <c r="L6443" s="7" t="str">
        <f>"S50.02.28"</f>
        <v>S50.02.28</v>
      </c>
      <c r="M6443" s="7">
        <v>2257</v>
      </c>
      <c r="N6443" s="7">
        <v>293881225</v>
      </c>
      <c r="O6443" s="7">
        <v>223181218</v>
      </c>
      <c r="P6443" s="7">
        <v>0</v>
      </c>
      <c r="Q6443" s="7" t="str">
        <f t="shared" si="2346"/>
        <v>教育庁</v>
      </c>
      <c r="R6443" s="7" t="str">
        <f t="shared" si="2350"/>
        <v>城東工科高等学校</v>
      </c>
    </row>
    <row r="6444" spans="1:18" s="1" customFormat="1" x14ac:dyDescent="0.45">
      <c r="A6444" s="7" t="str">
        <f t="shared" si="2347"/>
        <v>10950000000</v>
      </c>
      <c r="B6444" s="7" t="str">
        <f t="shared" si="2348"/>
        <v>城東工科高等学校</v>
      </c>
      <c r="C6444" s="7" t="str">
        <f t="shared" si="2344"/>
        <v>行政財産</v>
      </c>
      <c r="D6444" s="7" t="str">
        <f t="shared" si="2342"/>
        <v>学校</v>
      </c>
      <c r="E6444" s="7" t="str">
        <f t="shared" si="2349"/>
        <v>大阪府東大阪市西鴻池町２丁目</v>
      </c>
      <c r="F6444" s="7"/>
      <c r="G6444" s="7" t="str">
        <f t="shared" si="2345"/>
        <v>事業用資産</v>
      </c>
      <c r="H6444" s="7" t="str">
        <f t="shared" si="2343"/>
        <v>棚卸以外</v>
      </c>
      <c r="I6444" s="7">
        <v>89</v>
      </c>
      <c r="J6444" s="7" t="str">
        <f>"第２号棟東館"</f>
        <v>第２号棟東館</v>
      </c>
      <c r="K6444" s="7" t="str">
        <f>"鉄筋コンクリート造"</f>
        <v>鉄筋コンクリート造</v>
      </c>
      <c r="L6444" s="7" t="str">
        <f>"S51.09.20"</f>
        <v>S51.09.20</v>
      </c>
      <c r="M6444" s="7">
        <v>1905.83</v>
      </c>
      <c r="N6444" s="7">
        <v>296902805</v>
      </c>
      <c r="O6444" s="7">
        <v>223565869</v>
      </c>
      <c r="P6444" s="7">
        <v>0</v>
      </c>
      <c r="Q6444" s="7" t="str">
        <f t="shared" si="2346"/>
        <v>教育庁</v>
      </c>
      <c r="R6444" s="7" t="str">
        <f t="shared" si="2350"/>
        <v>城東工科高等学校</v>
      </c>
    </row>
    <row r="6445" spans="1:18" s="1" customFormat="1" x14ac:dyDescent="0.45">
      <c r="A6445" s="7" t="str">
        <f t="shared" si="2347"/>
        <v>10950000000</v>
      </c>
      <c r="B6445" s="7" t="str">
        <f t="shared" si="2348"/>
        <v>城東工科高等学校</v>
      </c>
      <c r="C6445" s="7" t="str">
        <f t="shared" si="2344"/>
        <v>行政財産</v>
      </c>
      <c r="D6445" s="7" t="str">
        <f t="shared" si="2342"/>
        <v>学校</v>
      </c>
      <c r="E6445" s="7" t="str">
        <f t="shared" si="2349"/>
        <v>大阪府東大阪市西鴻池町２丁目</v>
      </c>
      <c r="F6445" s="7"/>
      <c r="G6445" s="7" t="str">
        <f t="shared" si="2345"/>
        <v>事業用資産</v>
      </c>
      <c r="H6445" s="7" t="str">
        <f t="shared" si="2343"/>
        <v>棚卸以外</v>
      </c>
      <c r="I6445" s="7">
        <v>91</v>
      </c>
      <c r="J6445" s="7" t="str">
        <f>"屋外便所"</f>
        <v>屋外便所</v>
      </c>
      <c r="K6445" s="7" t="str">
        <f>"鉄骨造"</f>
        <v>鉄骨造</v>
      </c>
      <c r="L6445" s="7" t="str">
        <f>"S57.03.15"</f>
        <v>S57.03.15</v>
      </c>
      <c r="M6445" s="7">
        <v>45</v>
      </c>
      <c r="N6445" s="7">
        <v>6935000</v>
      </c>
      <c r="O6445" s="7">
        <v>6934999</v>
      </c>
      <c r="P6445" s="7">
        <v>0</v>
      </c>
      <c r="Q6445" s="7" t="str">
        <f t="shared" si="2346"/>
        <v>教育庁</v>
      </c>
      <c r="R6445" s="7" t="str">
        <f t="shared" si="2350"/>
        <v>城東工科高等学校</v>
      </c>
    </row>
    <row r="6446" spans="1:18" s="1" customFormat="1" x14ac:dyDescent="0.45">
      <c r="A6446" s="7" t="str">
        <f t="shared" si="2347"/>
        <v>10950000000</v>
      </c>
      <c r="B6446" s="7" t="str">
        <f t="shared" si="2348"/>
        <v>城東工科高等学校</v>
      </c>
      <c r="C6446" s="7" t="str">
        <f t="shared" si="2344"/>
        <v>行政財産</v>
      </c>
      <c r="D6446" s="7" t="str">
        <f t="shared" si="2342"/>
        <v>学校</v>
      </c>
      <c r="E6446" s="7" t="str">
        <f t="shared" si="2349"/>
        <v>大阪府東大阪市西鴻池町２丁目</v>
      </c>
      <c r="F6446" s="7"/>
      <c r="G6446" s="7" t="str">
        <f t="shared" si="2345"/>
        <v>事業用資産</v>
      </c>
      <c r="H6446" s="7" t="str">
        <f t="shared" si="2343"/>
        <v>棚卸以外</v>
      </c>
      <c r="I6446" s="7">
        <v>92</v>
      </c>
      <c r="J6446" s="7" t="str">
        <f>"実習室棟"</f>
        <v>実習室棟</v>
      </c>
      <c r="K6446" s="7" t="str">
        <f>"鉄骨造"</f>
        <v>鉄骨造</v>
      </c>
      <c r="L6446" s="7" t="str">
        <f>"S59.09.03"</f>
        <v>S59.09.03</v>
      </c>
      <c r="M6446" s="7">
        <v>486</v>
      </c>
      <c r="N6446" s="7">
        <v>22892877</v>
      </c>
      <c r="O6446" s="7">
        <v>22733019</v>
      </c>
      <c r="P6446" s="7">
        <v>0</v>
      </c>
      <c r="Q6446" s="7" t="str">
        <f t="shared" si="2346"/>
        <v>教育庁</v>
      </c>
      <c r="R6446" s="7" t="str">
        <f t="shared" si="2350"/>
        <v>城東工科高等学校</v>
      </c>
    </row>
    <row r="6447" spans="1:18" s="1" customFormat="1" x14ac:dyDescent="0.45">
      <c r="A6447" s="7" t="str">
        <f t="shared" si="2347"/>
        <v>10950000000</v>
      </c>
      <c r="B6447" s="7" t="str">
        <f t="shared" si="2348"/>
        <v>城東工科高等学校</v>
      </c>
      <c r="C6447" s="7" t="str">
        <f t="shared" si="2344"/>
        <v>行政財産</v>
      </c>
      <c r="D6447" s="7" t="str">
        <f t="shared" si="2342"/>
        <v>学校</v>
      </c>
      <c r="E6447" s="7" t="str">
        <f t="shared" si="2349"/>
        <v>大阪府東大阪市西鴻池町２丁目</v>
      </c>
      <c r="F6447" s="7"/>
      <c r="G6447" s="7" t="str">
        <f t="shared" si="2345"/>
        <v>事業用資産</v>
      </c>
      <c r="H6447" s="7" t="str">
        <f t="shared" si="2343"/>
        <v>棚卸以外</v>
      </c>
      <c r="I6447" s="7">
        <v>93</v>
      </c>
      <c r="J6447" s="7" t="str">
        <f>"消火栓ポンプ室"</f>
        <v>消火栓ポンプ室</v>
      </c>
      <c r="K6447" s="7" t="str">
        <f>"鉄筋コンクリート造"</f>
        <v>鉄筋コンクリート造</v>
      </c>
      <c r="L6447" s="7" t="str">
        <f>"S48.03.15"</f>
        <v>S48.03.15</v>
      </c>
      <c r="M6447" s="7">
        <v>7.45</v>
      </c>
      <c r="N6447" s="7">
        <v>8906000</v>
      </c>
      <c r="O6447" s="7">
        <v>7043517</v>
      </c>
      <c r="P6447" s="7">
        <v>0</v>
      </c>
      <c r="Q6447" s="7" t="str">
        <f t="shared" si="2346"/>
        <v>教育庁</v>
      </c>
      <c r="R6447" s="7" t="str">
        <f t="shared" si="2350"/>
        <v>城東工科高等学校</v>
      </c>
    </row>
    <row r="6448" spans="1:18" s="1" customFormat="1" x14ac:dyDescent="0.45">
      <c r="A6448" s="7" t="str">
        <f t="shared" si="2347"/>
        <v>10950000000</v>
      </c>
      <c r="B6448" s="7" t="str">
        <f t="shared" si="2348"/>
        <v>城東工科高等学校</v>
      </c>
      <c r="C6448" s="7" t="str">
        <f t="shared" si="2344"/>
        <v>行政財産</v>
      </c>
      <c r="D6448" s="7" t="str">
        <f t="shared" si="2342"/>
        <v>学校</v>
      </c>
      <c r="E6448" s="7" t="str">
        <f t="shared" si="2349"/>
        <v>大阪府東大阪市西鴻池町２丁目</v>
      </c>
      <c r="F6448" s="7"/>
      <c r="G6448" s="7" t="str">
        <f t="shared" si="2345"/>
        <v>事業用資産</v>
      </c>
      <c r="H6448" s="7" t="str">
        <f t="shared" si="2343"/>
        <v>棚卸以外</v>
      </c>
      <c r="I6448" s="7">
        <v>94</v>
      </c>
      <c r="J6448" s="7" t="str">
        <f>"創立６０周年記念会館"</f>
        <v>創立６０周年記念会館</v>
      </c>
      <c r="K6448" s="7" t="str">
        <f>"鉄骨造"</f>
        <v>鉄骨造</v>
      </c>
      <c r="L6448" s="7" t="str">
        <f>"H04.01.06"</f>
        <v>H04.01.06</v>
      </c>
      <c r="M6448" s="7">
        <v>468.46</v>
      </c>
      <c r="N6448" s="7">
        <v>83113383</v>
      </c>
      <c r="O6448" s="7">
        <v>65804855</v>
      </c>
      <c r="P6448" s="7">
        <v>0</v>
      </c>
      <c r="Q6448" s="7" t="str">
        <f t="shared" si="2346"/>
        <v>教育庁</v>
      </c>
      <c r="R6448" s="7" t="str">
        <f t="shared" si="2350"/>
        <v>城東工科高等学校</v>
      </c>
    </row>
    <row r="6449" spans="1:18" s="1" customFormat="1" x14ac:dyDescent="0.45">
      <c r="A6449" s="7" t="str">
        <f t="shared" si="2347"/>
        <v>10950000000</v>
      </c>
      <c r="B6449" s="7" t="str">
        <f t="shared" si="2348"/>
        <v>城東工科高等学校</v>
      </c>
      <c r="C6449" s="7" t="str">
        <f t="shared" si="2344"/>
        <v>行政財産</v>
      </c>
      <c r="D6449" s="7" t="str">
        <f t="shared" si="2342"/>
        <v>学校</v>
      </c>
      <c r="E6449" s="7" t="str">
        <f t="shared" si="2349"/>
        <v>大阪府東大阪市西鴻池町２丁目</v>
      </c>
      <c r="F6449" s="7"/>
      <c r="G6449" s="7" t="str">
        <f t="shared" si="2345"/>
        <v>事業用資産</v>
      </c>
      <c r="H6449" s="7" t="str">
        <f t="shared" si="2343"/>
        <v>棚卸以外</v>
      </c>
      <c r="I6449" s="7">
        <v>95</v>
      </c>
      <c r="J6449" s="7" t="str">
        <f>"油倉庫"</f>
        <v>油倉庫</v>
      </c>
      <c r="K6449" s="7" t="str">
        <f>"コンクリートブロック造"</f>
        <v>コンクリートブロック造</v>
      </c>
      <c r="L6449" s="7" t="str">
        <f>"H03.11.16"</f>
        <v>H03.11.16</v>
      </c>
      <c r="M6449" s="7">
        <v>13.9</v>
      </c>
      <c r="N6449" s="7">
        <v>3040000</v>
      </c>
      <c r="O6449" s="7">
        <v>2801576</v>
      </c>
      <c r="P6449" s="7">
        <v>0</v>
      </c>
      <c r="Q6449" s="7" t="str">
        <f t="shared" si="2346"/>
        <v>教育庁</v>
      </c>
      <c r="R6449" s="7" t="str">
        <f t="shared" si="2350"/>
        <v>城東工科高等学校</v>
      </c>
    </row>
    <row r="6450" spans="1:18" s="1" customFormat="1" x14ac:dyDescent="0.45">
      <c r="A6450" s="7" t="str">
        <f t="shared" si="2347"/>
        <v>10950000000</v>
      </c>
      <c r="B6450" s="7" t="str">
        <f t="shared" si="2348"/>
        <v>城東工科高等学校</v>
      </c>
      <c r="C6450" s="7" t="str">
        <f t="shared" si="2344"/>
        <v>行政財産</v>
      </c>
      <c r="D6450" s="7" t="str">
        <f t="shared" si="2342"/>
        <v>学校</v>
      </c>
      <c r="E6450" s="7" t="str">
        <f t="shared" si="2349"/>
        <v>大阪府東大阪市西鴻池町２丁目</v>
      </c>
      <c r="F6450" s="7"/>
      <c r="G6450" s="7" t="str">
        <f t="shared" si="2345"/>
        <v>事業用資産</v>
      </c>
      <c r="H6450" s="7" t="str">
        <f t="shared" si="2343"/>
        <v>棚卸以外</v>
      </c>
      <c r="I6450" s="7">
        <v>96</v>
      </c>
      <c r="J6450" s="7" t="str">
        <f>"仮クラブ室"</f>
        <v>仮クラブ室</v>
      </c>
      <c r="K6450" s="7" t="str">
        <f>"鉄骨造"</f>
        <v>鉄骨造</v>
      </c>
      <c r="L6450" s="7" t="str">
        <f>"H03.11.16"</f>
        <v>H03.11.16</v>
      </c>
      <c r="M6450" s="7">
        <v>46.44</v>
      </c>
      <c r="N6450" s="7">
        <v>5372000</v>
      </c>
      <c r="O6450" s="7">
        <v>5371999</v>
      </c>
      <c r="P6450" s="7">
        <v>0</v>
      </c>
      <c r="Q6450" s="7" t="str">
        <f t="shared" si="2346"/>
        <v>教育庁</v>
      </c>
      <c r="R6450" s="7" t="str">
        <f t="shared" si="2350"/>
        <v>城東工科高等学校</v>
      </c>
    </row>
    <row r="6451" spans="1:18" s="1" customFormat="1" x14ac:dyDescent="0.45">
      <c r="A6451" s="7" t="str">
        <f t="shared" si="2347"/>
        <v>10950000000</v>
      </c>
      <c r="B6451" s="7" t="str">
        <f t="shared" si="2348"/>
        <v>城東工科高等学校</v>
      </c>
      <c r="C6451" s="7" t="str">
        <f t="shared" si="2344"/>
        <v>行政財産</v>
      </c>
      <c r="D6451" s="7" t="str">
        <f t="shared" si="2342"/>
        <v>学校</v>
      </c>
      <c r="E6451" s="7" t="str">
        <f t="shared" si="2349"/>
        <v>大阪府東大阪市西鴻池町２丁目</v>
      </c>
      <c r="F6451" s="7"/>
      <c r="G6451" s="7" t="str">
        <f t="shared" si="2345"/>
        <v>事業用資産</v>
      </c>
      <c r="H6451" s="7" t="str">
        <f t="shared" si="2343"/>
        <v>棚卸以外</v>
      </c>
      <c r="I6451" s="7">
        <v>97</v>
      </c>
      <c r="J6451" s="7" t="str">
        <f>"第１校舎"</f>
        <v>第１校舎</v>
      </c>
      <c r="K6451" s="7" t="str">
        <f>"鉄筋コンクリート造"</f>
        <v>鉄筋コンクリート造</v>
      </c>
      <c r="L6451" s="7" t="str">
        <f>"H05.08.06"</f>
        <v>H05.08.06</v>
      </c>
      <c r="M6451" s="7">
        <v>2425.92</v>
      </c>
      <c r="N6451" s="7">
        <v>689937462</v>
      </c>
      <c r="O6451" s="7">
        <v>419639093</v>
      </c>
      <c r="P6451" s="7">
        <v>0</v>
      </c>
      <c r="Q6451" s="7" t="str">
        <f t="shared" si="2346"/>
        <v>教育庁</v>
      </c>
      <c r="R6451" s="7" t="str">
        <f t="shared" si="2350"/>
        <v>城東工科高等学校</v>
      </c>
    </row>
    <row r="6452" spans="1:18" s="1" customFormat="1" x14ac:dyDescent="0.45">
      <c r="A6452" s="7" t="str">
        <f t="shared" si="2347"/>
        <v>10950000000</v>
      </c>
      <c r="B6452" s="7" t="str">
        <f t="shared" si="2348"/>
        <v>城東工科高等学校</v>
      </c>
      <c r="C6452" s="7" t="str">
        <f t="shared" si="2344"/>
        <v>行政財産</v>
      </c>
      <c r="D6452" s="7" t="str">
        <f t="shared" si="2342"/>
        <v>学校</v>
      </c>
      <c r="E6452" s="7" t="str">
        <f t="shared" si="2349"/>
        <v>大阪府東大阪市西鴻池町２丁目</v>
      </c>
      <c r="F6452" s="7"/>
      <c r="G6452" s="7" t="str">
        <f t="shared" si="2345"/>
        <v>事業用資産</v>
      </c>
      <c r="H6452" s="7" t="str">
        <f t="shared" si="2343"/>
        <v>棚卸以外</v>
      </c>
      <c r="I6452" s="7">
        <v>98</v>
      </c>
      <c r="J6452" s="7" t="str">
        <f>"渡り廊下"</f>
        <v>渡り廊下</v>
      </c>
      <c r="K6452" s="7" t="str">
        <f>"鉄骨造"</f>
        <v>鉄骨造</v>
      </c>
      <c r="L6452" s="7" t="str">
        <f>"H05.08.06"</f>
        <v>H05.08.06</v>
      </c>
      <c r="M6452" s="7">
        <v>113.06</v>
      </c>
      <c r="N6452" s="7">
        <v>42535000</v>
      </c>
      <c r="O6452" s="7">
        <v>40591410</v>
      </c>
      <c r="P6452" s="7">
        <v>0</v>
      </c>
      <c r="Q6452" s="7" t="str">
        <f t="shared" si="2346"/>
        <v>教育庁</v>
      </c>
      <c r="R6452" s="7" t="str">
        <f t="shared" si="2350"/>
        <v>城東工科高等学校</v>
      </c>
    </row>
    <row r="6453" spans="1:18" s="1" customFormat="1" x14ac:dyDescent="0.45">
      <c r="A6453" s="7" t="str">
        <f t="shared" si="2347"/>
        <v>10950000000</v>
      </c>
      <c r="B6453" s="7" t="str">
        <f t="shared" si="2348"/>
        <v>城東工科高等学校</v>
      </c>
      <c r="C6453" s="7" t="str">
        <f t="shared" si="2344"/>
        <v>行政財産</v>
      </c>
      <c r="D6453" s="7" t="str">
        <f t="shared" si="2342"/>
        <v>学校</v>
      </c>
      <c r="E6453" s="7" t="str">
        <f t="shared" si="2349"/>
        <v>大阪府東大阪市西鴻池町２丁目</v>
      </c>
      <c r="F6453" s="7"/>
      <c r="G6453" s="7" t="str">
        <f t="shared" si="2345"/>
        <v>事業用資産</v>
      </c>
      <c r="H6453" s="7" t="str">
        <f t="shared" si="2343"/>
        <v>棚卸以外</v>
      </c>
      <c r="I6453" s="7">
        <v>99</v>
      </c>
      <c r="J6453" s="7" t="str">
        <f>"クラブ室"</f>
        <v>クラブ室</v>
      </c>
      <c r="K6453" s="7" t="str">
        <f>"コンクリートブロック造"</f>
        <v>コンクリートブロック造</v>
      </c>
      <c r="L6453" s="7" t="str">
        <f>"H06.03.31"</f>
        <v>H06.03.31</v>
      </c>
      <c r="M6453" s="7">
        <v>190.11</v>
      </c>
      <c r="N6453" s="7">
        <v>25901415</v>
      </c>
      <c r="O6453" s="7">
        <v>21792676</v>
      </c>
      <c r="P6453" s="7">
        <v>0</v>
      </c>
      <c r="Q6453" s="7" t="str">
        <f t="shared" si="2346"/>
        <v>教育庁</v>
      </c>
      <c r="R6453" s="7" t="str">
        <f t="shared" si="2350"/>
        <v>城東工科高等学校</v>
      </c>
    </row>
    <row r="6454" spans="1:18" s="1" customFormat="1" x14ac:dyDescent="0.45">
      <c r="A6454" s="7" t="str">
        <f t="shared" si="2347"/>
        <v>10950000000</v>
      </c>
      <c r="B6454" s="7" t="str">
        <f t="shared" si="2348"/>
        <v>城東工科高等学校</v>
      </c>
      <c r="C6454" s="7" t="str">
        <f t="shared" si="2344"/>
        <v>行政財産</v>
      </c>
      <c r="D6454" s="7" t="str">
        <f t="shared" si="2342"/>
        <v>学校</v>
      </c>
      <c r="E6454" s="7" t="str">
        <f t="shared" si="2349"/>
        <v>大阪府東大阪市西鴻池町２丁目</v>
      </c>
      <c r="F6454" s="7"/>
      <c r="G6454" s="7" t="str">
        <f t="shared" si="2345"/>
        <v>事業用資産</v>
      </c>
      <c r="H6454" s="7" t="str">
        <f t="shared" si="2343"/>
        <v>棚卸以外</v>
      </c>
      <c r="I6454" s="7">
        <v>101</v>
      </c>
      <c r="J6454" s="7" t="str">
        <f>"プール棟"</f>
        <v>プール棟</v>
      </c>
      <c r="K6454" s="7" t="str">
        <f>"鉄筋コンクリート造"</f>
        <v>鉄筋コンクリート造</v>
      </c>
      <c r="L6454" s="7" t="str">
        <f>"H11.03.10"</f>
        <v>H11.03.10</v>
      </c>
      <c r="M6454" s="7">
        <v>136.5</v>
      </c>
      <c r="N6454" s="7">
        <v>39029448</v>
      </c>
      <c r="O6454" s="7">
        <v>24593192</v>
      </c>
      <c r="P6454" s="7">
        <v>0</v>
      </c>
      <c r="Q6454" s="7" t="str">
        <f t="shared" si="2346"/>
        <v>教育庁</v>
      </c>
      <c r="R6454" s="7" t="str">
        <f t="shared" si="2350"/>
        <v>城東工科高等学校</v>
      </c>
    </row>
    <row r="6455" spans="1:18" s="1" customFormat="1" x14ac:dyDescent="0.45">
      <c r="A6455" s="7" t="str">
        <f t="shared" si="2347"/>
        <v>10950000000</v>
      </c>
      <c r="B6455" s="7" t="str">
        <f t="shared" si="2348"/>
        <v>城東工科高等学校</v>
      </c>
      <c r="C6455" s="7" t="str">
        <f t="shared" si="2344"/>
        <v>行政財産</v>
      </c>
      <c r="D6455" s="7" t="str">
        <f t="shared" si="2342"/>
        <v>学校</v>
      </c>
      <c r="E6455" s="7" t="str">
        <f t="shared" si="2349"/>
        <v>大阪府東大阪市西鴻池町２丁目</v>
      </c>
      <c r="F6455" s="7"/>
      <c r="G6455" s="7" t="str">
        <f t="shared" si="2345"/>
        <v>事業用資産</v>
      </c>
      <c r="H6455" s="7" t="str">
        <f t="shared" si="2343"/>
        <v>棚卸以外</v>
      </c>
      <c r="I6455" s="7">
        <v>102</v>
      </c>
      <c r="J6455" s="7" t="str">
        <f>"ゴミ置場"</f>
        <v>ゴミ置場</v>
      </c>
      <c r="K6455" s="7" t="str">
        <f>"コンクリートブロック造"</f>
        <v>コンクリートブロック造</v>
      </c>
      <c r="L6455" s="7" t="str">
        <f>"H10.03.27"</f>
        <v>H10.03.27</v>
      </c>
      <c r="M6455" s="7">
        <v>19.8</v>
      </c>
      <c r="N6455" s="7">
        <v>1357000</v>
      </c>
      <c r="O6455" s="7">
        <v>997800</v>
      </c>
      <c r="P6455" s="7">
        <v>0</v>
      </c>
      <c r="Q6455" s="7" t="str">
        <f t="shared" si="2346"/>
        <v>教育庁</v>
      </c>
      <c r="R6455" s="7" t="str">
        <f t="shared" si="2350"/>
        <v>城東工科高等学校</v>
      </c>
    </row>
    <row r="6456" spans="1:18" s="1" customFormat="1" x14ac:dyDescent="0.45">
      <c r="A6456" s="7" t="str">
        <f t="shared" si="2347"/>
        <v>10950000000</v>
      </c>
      <c r="B6456" s="7" t="str">
        <f t="shared" si="2348"/>
        <v>城東工科高等学校</v>
      </c>
      <c r="C6456" s="7" t="str">
        <f t="shared" si="2344"/>
        <v>行政財産</v>
      </c>
      <c r="D6456" s="7" t="str">
        <f t="shared" si="2342"/>
        <v>学校</v>
      </c>
      <c r="E6456" s="7" t="str">
        <f t="shared" si="2349"/>
        <v>大阪府東大阪市西鴻池町２丁目</v>
      </c>
      <c r="F6456" s="7"/>
      <c r="G6456" s="7" t="str">
        <f t="shared" si="2345"/>
        <v>事業用資産</v>
      </c>
      <c r="H6456" s="7" t="str">
        <f t="shared" si="2343"/>
        <v>棚卸以外</v>
      </c>
      <c r="I6456" s="7">
        <v>103</v>
      </c>
      <c r="J6456" s="7" t="str">
        <f>"クラブ室棟"</f>
        <v>クラブ室棟</v>
      </c>
      <c r="K6456" s="7" t="str">
        <f>"鉄骨造"</f>
        <v>鉄骨造</v>
      </c>
      <c r="L6456" s="7" t="str">
        <f>"S59.09.03"</f>
        <v>S59.09.03</v>
      </c>
      <c r="M6456" s="7">
        <v>22.7</v>
      </c>
      <c r="N6456" s="7">
        <v>371000</v>
      </c>
      <c r="O6456" s="7">
        <v>370999</v>
      </c>
      <c r="P6456" s="7">
        <v>0</v>
      </c>
      <c r="Q6456" s="7" t="str">
        <f t="shared" si="2346"/>
        <v>教育庁</v>
      </c>
      <c r="R6456" s="7" t="str">
        <f t="shared" si="2350"/>
        <v>城東工科高等学校</v>
      </c>
    </row>
    <row r="6457" spans="1:18" s="1" customFormat="1" x14ac:dyDescent="0.45">
      <c r="A6457" s="7" t="str">
        <f t="shared" si="2347"/>
        <v>10950000000</v>
      </c>
      <c r="B6457" s="7" t="str">
        <f t="shared" si="2348"/>
        <v>城東工科高等学校</v>
      </c>
      <c r="C6457" s="7" t="str">
        <f t="shared" si="2344"/>
        <v>行政財産</v>
      </c>
      <c r="D6457" s="7" t="str">
        <f t="shared" si="2342"/>
        <v>学校</v>
      </c>
      <c r="E6457" s="7" t="str">
        <f t="shared" si="2349"/>
        <v>大阪府東大阪市西鴻池町２丁目</v>
      </c>
      <c r="F6457" s="7"/>
      <c r="G6457" s="7" t="str">
        <f t="shared" si="2345"/>
        <v>事業用資産</v>
      </c>
      <c r="H6457" s="7" t="str">
        <f t="shared" si="2343"/>
        <v>棚卸以外</v>
      </c>
      <c r="I6457" s="7">
        <v>104</v>
      </c>
      <c r="J6457" s="7" t="str">
        <f>"ガス集合装置室"</f>
        <v>ガス集合装置室</v>
      </c>
      <c r="K6457" s="7" t="str">
        <f>"コンクリートブロック造"</f>
        <v>コンクリートブロック造</v>
      </c>
      <c r="L6457" s="7" t="str">
        <f>"S54.04.01"</f>
        <v>S54.04.01</v>
      </c>
      <c r="M6457" s="7">
        <v>4.4800000000000004</v>
      </c>
      <c r="N6457" s="7">
        <v>791000</v>
      </c>
      <c r="O6457" s="7">
        <v>790999</v>
      </c>
      <c r="P6457" s="7">
        <v>0</v>
      </c>
      <c r="Q6457" s="7" t="str">
        <f t="shared" si="2346"/>
        <v>教育庁</v>
      </c>
      <c r="R6457" s="7" t="str">
        <f t="shared" si="2350"/>
        <v>城東工科高等学校</v>
      </c>
    </row>
    <row r="6458" spans="1:18" s="1" customFormat="1" x14ac:dyDescent="0.45">
      <c r="A6458" s="7" t="str">
        <f t="shared" si="2347"/>
        <v>10950000000</v>
      </c>
      <c r="B6458" s="7" t="str">
        <f t="shared" si="2348"/>
        <v>城東工科高等学校</v>
      </c>
      <c r="C6458" s="7" t="str">
        <f t="shared" si="2344"/>
        <v>行政財産</v>
      </c>
      <c r="D6458" s="7" t="str">
        <f t="shared" si="2342"/>
        <v>学校</v>
      </c>
      <c r="E6458" s="7" t="str">
        <f t="shared" si="2349"/>
        <v>大阪府東大阪市西鴻池町２丁目</v>
      </c>
      <c r="F6458" s="7"/>
      <c r="G6458" s="7" t="str">
        <f t="shared" si="2345"/>
        <v>事業用資産</v>
      </c>
      <c r="H6458" s="7" t="str">
        <f t="shared" si="2343"/>
        <v>棚卸以外</v>
      </c>
      <c r="I6458" s="7">
        <v>105</v>
      </c>
      <c r="J6458" s="7" t="str">
        <f>"ＵＤ実習棟"</f>
        <v>ＵＤ実習棟</v>
      </c>
      <c r="K6458" s="7" t="str">
        <f>"鉄骨造"</f>
        <v>鉄骨造</v>
      </c>
      <c r="L6458" s="7" t="str">
        <f>"H18.08.29"</f>
        <v>H18.08.29</v>
      </c>
      <c r="M6458" s="7">
        <v>948.87</v>
      </c>
      <c r="N6458" s="7">
        <v>247262200</v>
      </c>
      <c r="O6458" s="7">
        <v>125115371</v>
      </c>
      <c r="P6458" s="7">
        <v>0</v>
      </c>
      <c r="Q6458" s="7" t="str">
        <f t="shared" si="2346"/>
        <v>教育庁</v>
      </c>
      <c r="R6458" s="7" t="str">
        <f t="shared" si="2350"/>
        <v>城東工科高等学校</v>
      </c>
    </row>
    <row r="6459" spans="1:18" s="1" customFormat="1" x14ac:dyDescent="0.45">
      <c r="A6459" s="7" t="str">
        <f t="shared" ref="A6459:A6483" si="2351">"10951000000"</f>
        <v>10951000000</v>
      </c>
      <c r="B6459" s="7" t="str">
        <f t="shared" ref="B6459:B6483" si="2352">"布施工科高等学校"</f>
        <v>布施工科高等学校</v>
      </c>
      <c r="C6459" s="7" t="str">
        <f t="shared" si="2344"/>
        <v>行政財産</v>
      </c>
      <c r="D6459" s="7" t="str">
        <f t="shared" si="2342"/>
        <v>学校</v>
      </c>
      <c r="E6459" s="7" t="str">
        <f t="shared" ref="E6459:E6483" si="2353">"大阪府東大阪市宝持３丁目"</f>
        <v>大阪府東大阪市宝持３丁目</v>
      </c>
      <c r="F6459" s="7"/>
      <c r="G6459" s="7" t="str">
        <f t="shared" si="2345"/>
        <v>事業用資産</v>
      </c>
      <c r="H6459" s="7" t="str">
        <f t="shared" si="2343"/>
        <v>棚卸以外</v>
      </c>
      <c r="I6459" s="7">
        <v>22</v>
      </c>
      <c r="J6459" s="7" t="str">
        <f>"生徒部室"</f>
        <v>生徒部室</v>
      </c>
      <c r="K6459" s="7" t="str">
        <f>"レンガ、石積造"</f>
        <v>レンガ、石積造</v>
      </c>
      <c r="L6459" s="7" t="str">
        <f>"S39.04.01"</f>
        <v>S39.04.01</v>
      </c>
      <c r="M6459" s="7">
        <v>92.56</v>
      </c>
      <c r="N6459" s="7">
        <v>1193071</v>
      </c>
      <c r="O6459" s="7">
        <v>1193070</v>
      </c>
      <c r="P6459" s="7">
        <v>0</v>
      </c>
      <c r="Q6459" s="7" t="str">
        <f t="shared" si="2346"/>
        <v>教育庁</v>
      </c>
      <c r="R6459" s="7" t="str">
        <f t="shared" ref="R6459:R6483" si="2354">"布施工科高等学校"</f>
        <v>布施工科高等学校</v>
      </c>
    </row>
    <row r="6460" spans="1:18" s="1" customFormat="1" x14ac:dyDescent="0.45">
      <c r="A6460" s="7" t="str">
        <f t="shared" si="2351"/>
        <v>10951000000</v>
      </c>
      <c r="B6460" s="7" t="str">
        <f t="shared" si="2352"/>
        <v>布施工科高等学校</v>
      </c>
      <c r="C6460" s="7" t="str">
        <f t="shared" si="2344"/>
        <v>行政財産</v>
      </c>
      <c r="D6460" s="7" t="str">
        <f t="shared" si="2342"/>
        <v>学校</v>
      </c>
      <c r="E6460" s="7" t="str">
        <f t="shared" si="2353"/>
        <v>大阪府東大阪市宝持３丁目</v>
      </c>
      <c r="F6460" s="7"/>
      <c r="G6460" s="7" t="str">
        <f t="shared" si="2345"/>
        <v>事業用資産</v>
      </c>
      <c r="H6460" s="7" t="str">
        <f t="shared" si="2343"/>
        <v>棚卸以外</v>
      </c>
      <c r="I6460" s="7">
        <v>36</v>
      </c>
      <c r="J6460" s="7" t="str">
        <f>"材料庫"</f>
        <v>材料庫</v>
      </c>
      <c r="K6460" s="7" t="str">
        <f>"レンガ、石積造"</f>
        <v>レンガ、石積造</v>
      </c>
      <c r="L6460" s="7" t="str">
        <f>"S39.04.01"</f>
        <v>S39.04.01</v>
      </c>
      <c r="M6460" s="7">
        <v>21.91</v>
      </c>
      <c r="N6460" s="7">
        <v>189840</v>
      </c>
      <c r="O6460" s="7">
        <v>189839</v>
      </c>
      <c r="P6460" s="7">
        <v>0</v>
      </c>
      <c r="Q6460" s="7" t="str">
        <f t="shared" si="2346"/>
        <v>教育庁</v>
      </c>
      <c r="R6460" s="7" t="str">
        <f t="shared" si="2354"/>
        <v>布施工科高等学校</v>
      </c>
    </row>
    <row r="6461" spans="1:18" s="1" customFormat="1" x14ac:dyDescent="0.45">
      <c r="A6461" s="7" t="str">
        <f t="shared" si="2351"/>
        <v>10951000000</v>
      </c>
      <c r="B6461" s="7" t="str">
        <f t="shared" si="2352"/>
        <v>布施工科高等学校</v>
      </c>
      <c r="C6461" s="7" t="str">
        <f t="shared" si="2344"/>
        <v>行政財産</v>
      </c>
      <c r="D6461" s="7" t="str">
        <f t="shared" si="2342"/>
        <v>学校</v>
      </c>
      <c r="E6461" s="7" t="str">
        <f t="shared" si="2353"/>
        <v>大阪府東大阪市宝持３丁目</v>
      </c>
      <c r="F6461" s="7"/>
      <c r="G6461" s="7" t="str">
        <f t="shared" si="2345"/>
        <v>事業用資産</v>
      </c>
      <c r="H6461" s="7" t="str">
        <f t="shared" si="2343"/>
        <v>棚卸以外</v>
      </c>
      <c r="I6461" s="7">
        <v>50</v>
      </c>
      <c r="J6461" s="7" t="str">
        <f>"生徒部室"</f>
        <v>生徒部室</v>
      </c>
      <c r="K6461" s="7" t="str">
        <f>"鉄筋コンクリート造"</f>
        <v>鉄筋コンクリート造</v>
      </c>
      <c r="L6461" s="7" t="str">
        <f>"S40.02.09"</f>
        <v>S40.02.09</v>
      </c>
      <c r="M6461" s="7">
        <v>132.65</v>
      </c>
      <c r="N6461" s="7">
        <v>5539400</v>
      </c>
      <c r="O6461" s="7">
        <v>5539399</v>
      </c>
      <c r="P6461" s="7">
        <v>0</v>
      </c>
      <c r="Q6461" s="7" t="str">
        <f t="shared" si="2346"/>
        <v>教育庁</v>
      </c>
      <c r="R6461" s="7" t="str">
        <f t="shared" si="2354"/>
        <v>布施工科高等学校</v>
      </c>
    </row>
    <row r="6462" spans="1:18" s="1" customFormat="1" x14ac:dyDescent="0.45">
      <c r="A6462" s="7" t="str">
        <f t="shared" si="2351"/>
        <v>10951000000</v>
      </c>
      <c r="B6462" s="7" t="str">
        <f t="shared" si="2352"/>
        <v>布施工科高等学校</v>
      </c>
      <c r="C6462" s="7" t="str">
        <f t="shared" si="2344"/>
        <v>行政財産</v>
      </c>
      <c r="D6462" s="7" t="str">
        <f t="shared" si="2342"/>
        <v>学校</v>
      </c>
      <c r="E6462" s="7" t="str">
        <f t="shared" si="2353"/>
        <v>大阪府東大阪市宝持３丁目</v>
      </c>
      <c r="F6462" s="7"/>
      <c r="G6462" s="7" t="str">
        <f t="shared" si="2345"/>
        <v>事業用資産</v>
      </c>
      <c r="H6462" s="7" t="str">
        <f t="shared" si="2343"/>
        <v>棚卸以外</v>
      </c>
      <c r="I6462" s="7">
        <v>52</v>
      </c>
      <c r="J6462" s="7" t="str">
        <f>"プール浄化槽ポンプ室"</f>
        <v>プール浄化槽ポンプ室</v>
      </c>
      <c r="K6462" s="7" t="str">
        <f>"コンクリートブロック造"</f>
        <v>コンクリートブロック造</v>
      </c>
      <c r="L6462" s="7" t="str">
        <f>"S42.06.16"</f>
        <v>S42.06.16</v>
      </c>
      <c r="M6462" s="7">
        <v>27.9</v>
      </c>
      <c r="N6462" s="7">
        <v>33052978</v>
      </c>
      <c r="O6462" s="7">
        <v>6112363</v>
      </c>
      <c r="P6462" s="7">
        <v>0</v>
      </c>
      <c r="Q6462" s="7" t="str">
        <f t="shared" si="2346"/>
        <v>教育庁</v>
      </c>
      <c r="R6462" s="7" t="str">
        <f t="shared" si="2354"/>
        <v>布施工科高等学校</v>
      </c>
    </row>
    <row r="6463" spans="1:18" s="1" customFormat="1" x14ac:dyDescent="0.45">
      <c r="A6463" s="7" t="str">
        <f t="shared" si="2351"/>
        <v>10951000000</v>
      </c>
      <c r="B6463" s="7" t="str">
        <f t="shared" si="2352"/>
        <v>布施工科高等学校</v>
      </c>
      <c r="C6463" s="7" t="str">
        <f t="shared" si="2344"/>
        <v>行政財産</v>
      </c>
      <c r="D6463" s="7" t="str">
        <f t="shared" si="2342"/>
        <v>学校</v>
      </c>
      <c r="E6463" s="7" t="str">
        <f t="shared" si="2353"/>
        <v>大阪府東大阪市宝持３丁目</v>
      </c>
      <c r="F6463" s="7"/>
      <c r="G6463" s="7" t="str">
        <f t="shared" si="2345"/>
        <v>事業用資産</v>
      </c>
      <c r="H6463" s="7" t="str">
        <f t="shared" si="2343"/>
        <v>棚卸以外</v>
      </c>
      <c r="I6463" s="7">
        <v>54</v>
      </c>
      <c r="J6463" s="7" t="str">
        <f>"機械科第２工場"</f>
        <v>機械科第２工場</v>
      </c>
      <c r="K6463" s="7" t="str">
        <f t="shared" ref="K6463:K6473" si="2355">"鉄筋コンクリート造"</f>
        <v>鉄筋コンクリート造</v>
      </c>
      <c r="L6463" s="7" t="str">
        <f>"S44.03.28"</f>
        <v>S44.03.28</v>
      </c>
      <c r="M6463" s="7">
        <v>2000.55</v>
      </c>
      <c r="N6463" s="7">
        <v>133675525</v>
      </c>
      <c r="O6463" s="7">
        <v>111320605</v>
      </c>
      <c r="P6463" s="7">
        <v>0</v>
      </c>
      <c r="Q6463" s="7" t="str">
        <f t="shared" si="2346"/>
        <v>教育庁</v>
      </c>
      <c r="R6463" s="7" t="str">
        <f t="shared" si="2354"/>
        <v>布施工科高等学校</v>
      </c>
    </row>
    <row r="6464" spans="1:18" s="1" customFormat="1" x14ac:dyDescent="0.45">
      <c r="A6464" s="7" t="str">
        <f t="shared" si="2351"/>
        <v>10951000000</v>
      </c>
      <c r="B6464" s="7" t="str">
        <f t="shared" si="2352"/>
        <v>布施工科高等学校</v>
      </c>
      <c r="C6464" s="7" t="str">
        <f t="shared" si="2344"/>
        <v>行政財産</v>
      </c>
      <c r="D6464" s="7" t="str">
        <f t="shared" si="2342"/>
        <v>学校</v>
      </c>
      <c r="E6464" s="7" t="str">
        <f t="shared" si="2353"/>
        <v>大阪府東大阪市宝持３丁目</v>
      </c>
      <c r="F6464" s="7"/>
      <c r="G6464" s="7" t="str">
        <f t="shared" si="2345"/>
        <v>事業用資産</v>
      </c>
      <c r="H6464" s="7" t="str">
        <f t="shared" si="2343"/>
        <v>棚卸以外</v>
      </c>
      <c r="I6464" s="7">
        <v>56</v>
      </c>
      <c r="J6464" s="7" t="str">
        <f>"建築科実習棟"</f>
        <v>建築科実習棟</v>
      </c>
      <c r="K6464" s="7" t="str">
        <f t="shared" si="2355"/>
        <v>鉄筋コンクリート造</v>
      </c>
      <c r="L6464" s="7" t="str">
        <f>"S45.03.28"</f>
        <v>S45.03.28</v>
      </c>
      <c r="M6464" s="7">
        <v>2490.11</v>
      </c>
      <c r="N6464" s="7">
        <v>113129189</v>
      </c>
      <c r="O6464" s="7">
        <v>105305749</v>
      </c>
      <c r="P6464" s="7">
        <v>0</v>
      </c>
      <c r="Q6464" s="7" t="str">
        <f t="shared" si="2346"/>
        <v>教育庁</v>
      </c>
      <c r="R6464" s="7" t="str">
        <f t="shared" si="2354"/>
        <v>布施工科高等学校</v>
      </c>
    </row>
    <row r="6465" spans="1:18" s="1" customFormat="1" x14ac:dyDescent="0.45">
      <c r="A6465" s="7" t="str">
        <f t="shared" si="2351"/>
        <v>10951000000</v>
      </c>
      <c r="B6465" s="7" t="str">
        <f t="shared" si="2352"/>
        <v>布施工科高等学校</v>
      </c>
      <c r="C6465" s="7" t="str">
        <f t="shared" si="2344"/>
        <v>行政財産</v>
      </c>
      <c r="D6465" s="7" t="str">
        <f t="shared" si="2342"/>
        <v>学校</v>
      </c>
      <c r="E6465" s="7" t="str">
        <f t="shared" si="2353"/>
        <v>大阪府東大阪市宝持３丁目</v>
      </c>
      <c r="F6465" s="7"/>
      <c r="G6465" s="7" t="str">
        <f t="shared" si="2345"/>
        <v>事業用資産</v>
      </c>
      <c r="H6465" s="7" t="str">
        <f t="shared" si="2343"/>
        <v>棚卸以外</v>
      </c>
      <c r="I6465" s="7">
        <v>57</v>
      </c>
      <c r="J6465" s="7" t="str">
        <f>"受水槽ポンプ室"</f>
        <v>受水槽ポンプ室</v>
      </c>
      <c r="K6465" s="7" t="str">
        <f t="shared" si="2355"/>
        <v>鉄筋コンクリート造</v>
      </c>
      <c r="L6465" s="7" t="str">
        <f>"S45.03.28"</f>
        <v>S45.03.28</v>
      </c>
      <c r="M6465" s="7">
        <v>50.15</v>
      </c>
      <c r="N6465" s="7">
        <v>4143000</v>
      </c>
      <c r="O6465" s="7">
        <v>4142999</v>
      </c>
      <c r="P6465" s="7">
        <v>0</v>
      </c>
      <c r="Q6465" s="7" t="str">
        <f t="shared" si="2346"/>
        <v>教育庁</v>
      </c>
      <c r="R6465" s="7" t="str">
        <f t="shared" si="2354"/>
        <v>布施工科高等学校</v>
      </c>
    </row>
    <row r="6466" spans="1:18" s="1" customFormat="1" x14ac:dyDescent="0.45">
      <c r="A6466" s="7" t="str">
        <f t="shared" si="2351"/>
        <v>10951000000</v>
      </c>
      <c r="B6466" s="7" t="str">
        <f t="shared" si="2352"/>
        <v>布施工科高等学校</v>
      </c>
      <c r="C6466" s="7" t="str">
        <f t="shared" si="2344"/>
        <v>行政財産</v>
      </c>
      <c r="D6466" s="7" t="str">
        <f t="shared" si="2342"/>
        <v>学校</v>
      </c>
      <c r="E6466" s="7" t="str">
        <f t="shared" si="2353"/>
        <v>大阪府東大阪市宝持３丁目</v>
      </c>
      <c r="F6466" s="7"/>
      <c r="G6466" s="7" t="str">
        <f t="shared" si="2345"/>
        <v>事業用資産</v>
      </c>
      <c r="H6466" s="7" t="str">
        <f t="shared" si="2343"/>
        <v>棚卸以外</v>
      </c>
      <c r="I6466" s="7">
        <v>58</v>
      </c>
      <c r="J6466" s="7" t="str">
        <f>"機械科棟第２工場間渡廊下"</f>
        <v>機械科棟第２工場間渡廊下</v>
      </c>
      <c r="K6466" s="7" t="str">
        <f t="shared" si="2355"/>
        <v>鉄筋コンクリート造</v>
      </c>
      <c r="L6466" s="7" t="str">
        <f>"S46.03.31"</f>
        <v>S46.03.31</v>
      </c>
      <c r="M6466" s="7">
        <v>45.93</v>
      </c>
      <c r="N6466" s="7">
        <v>3681026</v>
      </c>
      <c r="O6466" s="7">
        <v>2708269</v>
      </c>
      <c r="P6466" s="7">
        <v>0</v>
      </c>
      <c r="Q6466" s="7" t="str">
        <f t="shared" si="2346"/>
        <v>教育庁</v>
      </c>
      <c r="R6466" s="7" t="str">
        <f t="shared" si="2354"/>
        <v>布施工科高等学校</v>
      </c>
    </row>
    <row r="6467" spans="1:18" s="1" customFormat="1" x14ac:dyDescent="0.45">
      <c r="A6467" s="7" t="str">
        <f t="shared" si="2351"/>
        <v>10951000000</v>
      </c>
      <c r="B6467" s="7" t="str">
        <f t="shared" si="2352"/>
        <v>布施工科高等学校</v>
      </c>
      <c r="C6467" s="7" t="str">
        <f t="shared" si="2344"/>
        <v>行政財産</v>
      </c>
      <c r="D6467" s="7" t="str">
        <f t="shared" si="2342"/>
        <v>学校</v>
      </c>
      <c r="E6467" s="7" t="str">
        <f t="shared" si="2353"/>
        <v>大阪府東大阪市宝持３丁目</v>
      </c>
      <c r="F6467" s="7"/>
      <c r="G6467" s="7" t="str">
        <f t="shared" si="2345"/>
        <v>事業用資産</v>
      </c>
      <c r="H6467" s="7" t="str">
        <f t="shared" si="2343"/>
        <v>棚卸以外</v>
      </c>
      <c r="I6467" s="7">
        <v>59</v>
      </c>
      <c r="J6467" s="7" t="str">
        <f>"機械科電気科棟"</f>
        <v>機械科電気科棟</v>
      </c>
      <c r="K6467" s="7" t="str">
        <f t="shared" si="2355"/>
        <v>鉄筋コンクリート造</v>
      </c>
      <c r="L6467" s="7" t="str">
        <f>"S46.07.27"</f>
        <v>S46.07.27</v>
      </c>
      <c r="M6467" s="7">
        <v>4866.1499999999996</v>
      </c>
      <c r="N6467" s="7">
        <v>293830142</v>
      </c>
      <c r="O6467" s="7">
        <v>237167226</v>
      </c>
      <c r="P6467" s="7">
        <v>0</v>
      </c>
      <c r="Q6467" s="7" t="str">
        <f t="shared" si="2346"/>
        <v>教育庁</v>
      </c>
      <c r="R6467" s="7" t="str">
        <f t="shared" si="2354"/>
        <v>布施工科高等学校</v>
      </c>
    </row>
    <row r="6468" spans="1:18" s="1" customFormat="1" x14ac:dyDescent="0.45">
      <c r="A6468" s="7" t="str">
        <f t="shared" si="2351"/>
        <v>10951000000</v>
      </c>
      <c r="B6468" s="7" t="str">
        <f t="shared" si="2352"/>
        <v>布施工科高等学校</v>
      </c>
      <c r="C6468" s="7" t="str">
        <f t="shared" si="2344"/>
        <v>行政財産</v>
      </c>
      <c r="D6468" s="7" t="str">
        <f t="shared" ref="D6468:D6531" si="2356">"学校"</f>
        <v>学校</v>
      </c>
      <c r="E6468" s="7" t="str">
        <f t="shared" si="2353"/>
        <v>大阪府東大阪市宝持３丁目</v>
      </c>
      <c r="F6468" s="7"/>
      <c r="G6468" s="7" t="str">
        <f t="shared" si="2345"/>
        <v>事業用資産</v>
      </c>
      <c r="H6468" s="7" t="str">
        <f t="shared" ref="H6468:H6531" si="2357">"棚卸以外"</f>
        <v>棚卸以外</v>
      </c>
      <c r="I6468" s="7">
        <v>60</v>
      </c>
      <c r="J6468" s="7" t="str">
        <f>"機械科建築科間渡り廊下"</f>
        <v>機械科建築科間渡り廊下</v>
      </c>
      <c r="K6468" s="7" t="str">
        <f t="shared" si="2355"/>
        <v>鉄筋コンクリート造</v>
      </c>
      <c r="L6468" s="7" t="str">
        <f>"S46.07.27"</f>
        <v>S46.07.27</v>
      </c>
      <c r="M6468" s="7">
        <v>45.67</v>
      </c>
      <c r="N6468" s="7">
        <v>6709873</v>
      </c>
      <c r="O6468" s="7">
        <v>4216424</v>
      </c>
      <c r="P6468" s="7">
        <v>0</v>
      </c>
      <c r="Q6468" s="7" t="str">
        <f t="shared" si="2346"/>
        <v>教育庁</v>
      </c>
      <c r="R6468" s="7" t="str">
        <f t="shared" si="2354"/>
        <v>布施工科高等学校</v>
      </c>
    </row>
    <row r="6469" spans="1:18" s="1" customFormat="1" x14ac:dyDescent="0.45">
      <c r="A6469" s="7" t="str">
        <f t="shared" si="2351"/>
        <v>10951000000</v>
      </c>
      <c r="B6469" s="7" t="str">
        <f t="shared" si="2352"/>
        <v>布施工科高等学校</v>
      </c>
      <c r="C6469" s="7" t="str">
        <f t="shared" si="2344"/>
        <v>行政財産</v>
      </c>
      <c r="D6469" s="7" t="str">
        <f t="shared" si="2356"/>
        <v>学校</v>
      </c>
      <c r="E6469" s="7" t="str">
        <f t="shared" si="2353"/>
        <v>大阪府東大阪市宝持３丁目</v>
      </c>
      <c r="F6469" s="7"/>
      <c r="G6469" s="7" t="str">
        <f t="shared" si="2345"/>
        <v>事業用資産</v>
      </c>
      <c r="H6469" s="7" t="str">
        <f t="shared" si="2357"/>
        <v>棚卸以外</v>
      </c>
      <c r="I6469" s="7">
        <v>61</v>
      </c>
      <c r="J6469" s="7" t="str">
        <f>"電気室"</f>
        <v>電気室</v>
      </c>
      <c r="K6469" s="7" t="str">
        <f t="shared" si="2355"/>
        <v>鉄筋コンクリート造</v>
      </c>
      <c r="L6469" s="7" t="str">
        <f>"S46.07.27"</f>
        <v>S46.07.27</v>
      </c>
      <c r="M6469" s="7">
        <v>51.25</v>
      </c>
      <c r="N6469" s="7">
        <v>56017268</v>
      </c>
      <c r="O6469" s="7">
        <v>35827135</v>
      </c>
      <c r="P6469" s="7">
        <v>0</v>
      </c>
      <c r="Q6469" s="7" t="str">
        <f t="shared" si="2346"/>
        <v>教育庁</v>
      </c>
      <c r="R6469" s="7" t="str">
        <f t="shared" si="2354"/>
        <v>布施工科高等学校</v>
      </c>
    </row>
    <row r="6470" spans="1:18" s="1" customFormat="1" x14ac:dyDescent="0.45">
      <c r="A6470" s="7" t="str">
        <f t="shared" si="2351"/>
        <v>10951000000</v>
      </c>
      <c r="B6470" s="7" t="str">
        <f t="shared" si="2352"/>
        <v>布施工科高等学校</v>
      </c>
      <c r="C6470" s="7" t="str">
        <f t="shared" si="2344"/>
        <v>行政財産</v>
      </c>
      <c r="D6470" s="7" t="str">
        <f t="shared" si="2356"/>
        <v>学校</v>
      </c>
      <c r="E6470" s="7" t="str">
        <f t="shared" si="2353"/>
        <v>大阪府東大阪市宝持３丁目</v>
      </c>
      <c r="F6470" s="7"/>
      <c r="G6470" s="7" t="str">
        <f t="shared" si="2345"/>
        <v>事業用資産</v>
      </c>
      <c r="H6470" s="7" t="str">
        <f t="shared" si="2357"/>
        <v>棚卸以外</v>
      </c>
      <c r="I6470" s="7">
        <v>62</v>
      </c>
      <c r="J6470" s="7" t="str">
        <f>"第１号館"</f>
        <v>第１号館</v>
      </c>
      <c r="K6470" s="7" t="str">
        <f t="shared" si="2355"/>
        <v>鉄筋コンクリート造</v>
      </c>
      <c r="L6470" s="7" t="str">
        <f>"S47.07.30"</f>
        <v>S47.07.30</v>
      </c>
      <c r="M6470" s="7">
        <v>3909.69</v>
      </c>
      <c r="N6470" s="7">
        <v>396411477</v>
      </c>
      <c r="O6470" s="7">
        <v>256949477</v>
      </c>
      <c r="P6470" s="7">
        <v>0</v>
      </c>
      <c r="Q6470" s="7" t="str">
        <f t="shared" si="2346"/>
        <v>教育庁</v>
      </c>
      <c r="R6470" s="7" t="str">
        <f t="shared" si="2354"/>
        <v>布施工科高等学校</v>
      </c>
    </row>
    <row r="6471" spans="1:18" s="1" customFormat="1" x14ac:dyDescent="0.45">
      <c r="A6471" s="7" t="str">
        <f t="shared" si="2351"/>
        <v>10951000000</v>
      </c>
      <c r="B6471" s="7" t="str">
        <f t="shared" si="2352"/>
        <v>布施工科高等学校</v>
      </c>
      <c r="C6471" s="7" t="str">
        <f t="shared" si="2344"/>
        <v>行政財産</v>
      </c>
      <c r="D6471" s="7" t="str">
        <f t="shared" si="2356"/>
        <v>学校</v>
      </c>
      <c r="E6471" s="7" t="str">
        <f t="shared" si="2353"/>
        <v>大阪府東大阪市宝持３丁目</v>
      </c>
      <c r="F6471" s="7"/>
      <c r="G6471" s="7" t="str">
        <f t="shared" si="2345"/>
        <v>事業用資産</v>
      </c>
      <c r="H6471" s="7" t="str">
        <f t="shared" si="2357"/>
        <v>棚卸以外</v>
      </c>
      <c r="I6471" s="7">
        <v>64</v>
      </c>
      <c r="J6471" s="7" t="str">
        <f>"模型標本計画設備実習室"</f>
        <v>模型標本計画設備実習室</v>
      </c>
      <c r="K6471" s="7" t="str">
        <f t="shared" si="2355"/>
        <v>鉄筋コンクリート造</v>
      </c>
      <c r="L6471" s="7" t="str">
        <f>"S47.07.30"</f>
        <v>S47.07.30</v>
      </c>
      <c r="M6471" s="7">
        <v>336.79</v>
      </c>
      <c r="N6471" s="7">
        <v>18126854</v>
      </c>
      <c r="O6471" s="7">
        <v>15424025</v>
      </c>
      <c r="P6471" s="7">
        <v>0</v>
      </c>
      <c r="Q6471" s="7" t="str">
        <f t="shared" si="2346"/>
        <v>教育庁</v>
      </c>
      <c r="R6471" s="7" t="str">
        <f t="shared" si="2354"/>
        <v>布施工科高等学校</v>
      </c>
    </row>
    <row r="6472" spans="1:18" s="1" customFormat="1" x14ac:dyDescent="0.45">
      <c r="A6472" s="7" t="str">
        <f t="shared" si="2351"/>
        <v>10951000000</v>
      </c>
      <c r="B6472" s="7" t="str">
        <f t="shared" si="2352"/>
        <v>布施工科高等学校</v>
      </c>
      <c r="C6472" s="7" t="str">
        <f t="shared" si="2344"/>
        <v>行政財産</v>
      </c>
      <c r="D6472" s="7" t="str">
        <f t="shared" si="2356"/>
        <v>学校</v>
      </c>
      <c r="E6472" s="7" t="str">
        <f t="shared" si="2353"/>
        <v>大阪府東大阪市宝持３丁目</v>
      </c>
      <c r="F6472" s="7"/>
      <c r="G6472" s="7" t="str">
        <f t="shared" si="2345"/>
        <v>事業用資産</v>
      </c>
      <c r="H6472" s="7" t="str">
        <f t="shared" si="2357"/>
        <v>棚卸以外</v>
      </c>
      <c r="I6472" s="7">
        <v>69</v>
      </c>
      <c r="J6472" s="7" t="str">
        <f>"管理棟"</f>
        <v>管理棟</v>
      </c>
      <c r="K6472" s="7" t="str">
        <f t="shared" si="2355"/>
        <v>鉄筋コンクリート造</v>
      </c>
      <c r="L6472" s="7" t="str">
        <f>"S48.06.30"</f>
        <v>S48.06.30</v>
      </c>
      <c r="M6472" s="7">
        <v>3209.52</v>
      </c>
      <c r="N6472" s="7">
        <v>303930143</v>
      </c>
      <c r="O6472" s="7">
        <v>228768350</v>
      </c>
      <c r="P6472" s="7">
        <v>0</v>
      </c>
      <c r="Q6472" s="7" t="str">
        <f t="shared" si="2346"/>
        <v>教育庁</v>
      </c>
      <c r="R6472" s="7" t="str">
        <f t="shared" si="2354"/>
        <v>布施工科高等学校</v>
      </c>
    </row>
    <row r="6473" spans="1:18" s="1" customFormat="1" x14ac:dyDescent="0.45">
      <c r="A6473" s="7" t="str">
        <f t="shared" si="2351"/>
        <v>10951000000</v>
      </c>
      <c r="B6473" s="7" t="str">
        <f t="shared" si="2352"/>
        <v>布施工科高等学校</v>
      </c>
      <c r="C6473" s="7" t="str">
        <f t="shared" si="2344"/>
        <v>行政財産</v>
      </c>
      <c r="D6473" s="7" t="str">
        <f t="shared" si="2356"/>
        <v>学校</v>
      </c>
      <c r="E6473" s="7" t="str">
        <f t="shared" si="2353"/>
        <v>大阪府東大阪市宝持３丁目</v>
      </c>
      <c r="F6473" s="7"/>
      <c r="G6473" s="7" t="str">
        <f t="shared" si="2345"/>
        <v>事業用資産</v>
      </c>
      <c r="H6473" s="7" t="str">
        <f t="shared" si="2357"/>
        <v>棚卸以外</v>
      </c>
      <c r="I6473" s="7">
        <v>73</v>
      </c>
      <c r="J6473" s="7" t="str">
        <f>"体育館"</f>
        <v>体育館</v>
      </c>
      <c r="K6473" s="7" t="str">
        <f t="shared" si="2355"/>
        <v>鉄筋コンクリート造</v>
      </c>
      <c r="L6473" s="7" t="str">
        <f>"S51.10.18"</f>
        <v>S51.10.18</v>
      </c>
      <c r="M6473" s="7">
        <v>2952.55</v>
      </c>
      <c r="N6473" s="7">
        <v>380481753</v>
      </c>
      <c r="O6473" s="7">
        <v>313136840</v>
      </c>
      <c r="P6473" s="7">
        <v>0</v>
      </c>
      <c r="Q6473" s="7" t="str">
        <f t="shared" si="2346"/>
        <v>教育庁</v>
      </c>
      <c r="R6473" s="7" t="str">
        <f t="shared" si="2354"/>
        <v>布施工科高等学校</v>
      </c>
    </row>
    <row r="6474" spans="1:18" s="1" customFormat="1" x14ac:dyDescent="0.45">
      <c r="A6474" s="7" t="str">
        <f t="shared" si="2351"/>
        <v>10951000000</v>
      </c>
      <c r="B6474" s="7" t="str">
        <f t="shared" si="2352"/>
        <v>布施工科高等学校</v>
      </c>
      <c r="C6474" s="7" t="str">
        <f t="shared" si="2344"/>
        <v>行政財産</v>
      </c>
      <c r="D6474" s="7" t="str">
        <f t="shared" si="2356"/>
        <v>学校</v>
      </c>
      <c r="E6474" s="7" t="str">
        <f t="shared" si="2353"/>
        <v>大阪府東大阪市宝持３丁目</v>
      </c>
      <c r="F6474" s="7"/>
      <c r="G6474" s="7" t="str">
        <f t="shared" si="2345"/>
        <v>事業用資産</v>
      </c>
      <c r="H6474" s="7" t="str">
        <f t="shared" si="2357"/>
        <v>棚卸以外</v>
      </c>
      <c r="I6474" s="7">
        <v>74</v>
      </c>
      <c r="J6474" s="7" t="str">
        <f>"倉庫棟"</f>
        <v>倉庫棟</v>
      </c>
      <c r="K6474" s="7" t="str">
        <f>"鉄骨造"</f>
        <v>鉄骨造</v>
      </c>
      <c r="L6474" s="7" t="str">
        <f>"S51.10.18"</f>
        <v>S51.10.18</v>
      </c>
      <c r="M6474" s="7">
        <v>199.76</v>
      </c>
      <c r="N6474" s="7">
        <v>8976000</v>
      </c>
      <c r="O6474" s="7">
        <v>8975999</v>
      </c>
      <c r="P6474" s="7">
        <v>0</v>
      </c>
      <c r="Q6474" s="7" t="str">
        <f t="shared" si="2346"/>
        <v>教育庁</v>
      </c>
      <c r="R6474" s="7" t="str">
        <f t="shared" si="2354"/>
        <v>布施工科高等学校</v>
      </c>
    </row>
    <row r="6475" spans="1:18" s="1" customFormat="1" x14ac:dyDescent="0.45">
      <c r="A6475" s="7" t="str">
        <f t="shared" si="2351"/>
        <v>10951000000</v>
      </c>
      <c r="B6475" s="7" t="str">
        <f t="shared" si="2352"/>
        <v>布施工科高等学校</v>
      </c>
      <c r="C6475" s="7" t="str">
        <f t="shared" si="2344"/>
        <v>行政財産</v>
      </c>
      <c r="D6475" s="7" t="str">
        <f t="shared" si="2356"/>
        <v>学校</v>
      </c>
      <c r="E6475" s="7" t="str">
        <f t="shared" si="2353"/>
        <v>大阪府東大阪市宝持３丁目</v>
      </c>
      <c r="F6475" s="7"/>
      <c r="G6475" s="7" t="str">
        <f t="shared" si="2345"/>
        <v>事業用資産</v>
      </c>
      <c r="H6475" s="7" t="str">
        <f t="shared" si="2357"/>
        <v>棚卸以外</v>
      </c>
      <c r="I6475" s="7">
        <v>76</v>
      </c>
      <c r="J6475" s="7" t="str">
        <f>"体育館渡り廊下"</f>
        <v>体育館渡り廊下</v>
      </c>
      <c r="K6475" s="7" t="str">
        <f>"鉄筋コンクリート造"</f>
        <v>鉄筋コンクリート造</v>
      </c>
      <c r="L6475" s="7" t="str">
        <f>"S52.05.31"</f>
        <v>S52.05.31</v>
      </c>
      <c r="M6475" s="7">
        <v>192.09</v>
      </c>
      <c r="N6475" s="7">
        <v>13990000</v>
      </c>
      <c r="O6475" s="7">
        <v>13989999</v>
      </c>
      <c r="P6475" s="7">
        <v>0</v>
      </c>
      <c r="Q6475" s="7" t="str">
        <f t="shared" si="2346"/>
        <v>教育庁</v>
      </c>
      <c r="R6475" s="7" t="str">
        <f t="shared" si="2354"/>
        <v>布施工科高等学校</v>
      </c>
    </row>
    <row r="6476" spans="1:18" s="1" customFormat="1" x14ac:dyDescent="0.45">
      <c r="A6476" s="7" t="str">
        <f t="shared" si="2351"/>
        <v>10951000000</v>
      </c>
      <c r="B6476" s="7" t="str">
        <f t="shared" si="2352"/>
        <v>布施工科高等学校</v>
      </c>
      <c r="C6476" s="7" t="str">
        <f t="shared" si="2344"/>
        <v>行政財産</v>
      </c>
      <c r="D6476" s="7" t="str">
        <f t="shared" si="2356"/>
        <v>学校</v>
      </c>
      <c r="E6476" s="7" t="str">
        <f t="shared" si="2353"/>
        <v>大阪府東大阪市宝持３丁目</v>
      </c>
      <c r="F6476" s="7"/>
      <c r="G6476" s="7" t="str">
        <f t="shared" si="2345"/>
        <v>事業用資産</v>
      </c>
      <c r="H6476" s="7" t="str">
        <f t="shared" si="2357"/>
        <v>棚卸以外</v>
      </c>
      <c r="I6476" s="7">
        <v>77</v>
      </c>
      <c r="J6476" s="7" t="str">
        <f>"油庫"</f>
        <v>油庫</v>
      </c>
      <c r="K6476" s="7" t="str">
        <f>"レンガ、石積造"</f>
        <v>レンガ、石積造</v>
      </c>
      <c r="L6476" s="7" t="str">
        <f>"S52.03.31"</f>
        <v>S52.03.31</v>
      </c>
      <c r="M6476" s="7">
        <v>11.48</v>
      </c>
      <c r="N6476" s="7">
        <v>1197000</v>
      </c>
      <c r="O6476" s="7">
        <v>1196999</v>
      </c>
      <c r="P6476" s="7">
        <v>0</v>
      </c>
      <c r="Q6476" s="7" t="str">
        <f t="shared" si="2346"/>
        <v>教育庁</v>
      </c>
      <c r="R6476" s="7" t="str">
        <f t="shared" si="2354"/>
        <v>布施工科高等学校</v>
      </c>
    </row>
    <row r="6477" spans="1:18" s="1" customFormat="1" x14ac:dyDescent="0.45">
      <c r="A6477" s="7" t="str">
        <f t="shared" si="2351"/>
        <v>10951000000</v>
      </c>
      <c r="B6477" s="7" t="str">
        <f t="shared" si="2352"/>
        <v>布施工科高等学校</v>
      </c>
      <c r="C6477" s="7" t="str">
        <f t="shared" ref="C6477:C6540" si="2358">"行政財産"</f>
        <v>行政財産</v>
      </c>
      <c r="D6477" s="7" t="str">
        <f t="shared" si="2356"/>
        <v>学校</v>
      </c>
      <c r="E6477" s="7" t="str">
        <f t="shared" si="2353"/>
        <v>大阪府東大阪市宝持３丁目</v>
      </c>
      <c r="F6477" s="7"/>
      <c r="G6477" s="7" t="str">
        <f t="shared" si="2345"/>
        <v>事業用資産</v>
      </c>
      <c r="H6477" s="7" t="str">
        <f t="shared" si="2357"/>
        <v>棚卸以外</v>
      </c>
      <c r="I6477" s="7">
        <v>78</v>
      </c>
      <c r="J6477" s="7" t="str">
        <f>"同窓会館"</f>
        <v>同窓会館</v>
      </c>
      <c r="K6477" s="7" t="str">
        <f>"鉄筋コンクリート造"</f>
        <v>鉄筋コンクリート造</v>
      </c>
      <c r="L6477" s="7" t="str">
        <f>"S52.09.30"</f>
        <v>S52.09.30</v>
      </c>
      <c r="M6477" s="7">
        <v>264.60000000000002</v>
      </c>
      <c r="N6477" s="7">
        <v>29725918</v>
      </c>
      <c r="O6477" s="7">
        <v>26851844</v>
      </c>
      <c r="P6477" s="7">
        <v>0</v>
      </c>
      <c r="Q6477" s="7" t="str">
        <f t="shared" si="2346"/>
        <v>教育庁</v>
      </c>
      <c r="R6477" s="7" t="str">
        <f t="shared" si="2354"/>
        <v>布施工科高等学校</v>
      </c>
    </row>
    <row r="6478" spans="1:18" s="1" customFormat="1" x14ac:dyDescent="0.45">
      <c r="A6478" s="7" t="str">
        <f t="shared" si="2351"/>
        <v>10951000000</v>
      </c>
      <c r="B6478" s="7" t="str">
        <f t="shared" si="2352"/>
        <v>布施工科高等学校</v>
      </c>
      <c r="C6478" s="7" t="str">
        <f t="shared" si="2358"/>
        <v>行政財産</v>
      </c>
      <c r="D6478" s="7" t="str">
        <f t="shared" si="2356"/>
        <v>学校</v>
      </c>
      <c r="E6478" s="7" t="str">
        <f t="shared" si="2353"/>
        <v>大阪府東大阪市宝持３丁目</v>
      </c>
      <c r="F6478" s="7"/>
      <c r="G6478" s="7" t="str">
        <f t="shared" si="2345"/>
        <v>事業用資産</v>
      </c>
      <c r="H6478" s="7" t="str">
        <f t="shared" si="2357"/>
        <v>棚卸以外</v>
      </c>
      <c r="I6478" s="7">
        <v>80</v>
      </c>
      <c r="J6478" s="7" t="str">
        <f>"第２号館"</f>
        <v>第２号館</v>
      </c>
      <c r="K6478" s="7" t="str">
        <f>"鉄筋コンクリート造"</f>
        <v>鉄筋コンクリート造</v>
      </c>
      <c r="L6478" s="7" t="str">
        <f>"S49.08.15"</f>
        <v>S49.08.15</v>
      </c>
      <c r="M6478" s="7">
        <v>1391.42</v>
      </c>
      <c r="N6478" s="7">
        <v>163301807</v>
      </c>
      <c r="O6478" s="7">
        <v>134806186</v>
      </c>
      <c r="P6478" s="7">
        <v>0</v>
      </c>
      <c r="Q6478" s="7" t="str">
        <f t="shared" si="2346"/>
        <v>教育庁</v>
      </c>
      <c r="R6478" s="7" t="str">
        <f t="shared" si="2354"/>
        <v>布施工科高等学校</v>
      </c>
    </row>
    <row r="6479" spans="1:18" s="1" customFormat="1" x14ac:dyDescent="0.45">
      <c r="A6479" s="7" t="str">
        <f t="shared" si="2351"/>
        <v>10951000000</v>
      </c>
      <c r="B6479" s="7" t="str">
        <f t="shared" si="2352"/>
        <v>布施工科高等学校</v>
      </c>
      <c r="C6479" s="7" t="str">
        <f t="shared" si="2358"/>
        <v>行政財産</v>
      </c>
      <c r="D6479" s="7" t="str">
        <f t="shared" si="2356"/>
        <v>学校</v>
      </c>
      <c r="E6479" s="7" t="str">
        <f t="shared" si="2353"/>
        <v>大阪府東大阪市宝持３丁目</v>
      </c>
      <c r="F6479" s="7"/>
      <c r="G6479" s="7" t="str">
        <f t="shared" si="2345"/>
        <v>事業用資産</v>
      </c>
      <c r="H6479" s="7" t="str">
        <f t="shared" si="2357"/>
        <v>棚卸以外</v>
      </c>
      <c r="I6479" s="7">
        <v>82</v>
      </c>
      <c r="J6479" s="7" t="str">
        <f>"家庭科棟"</f>
        <v>家庭科棟</v>
      </c>
      <c r="K6479" s="7" t="str">
        <f>"鉄骨造"</f>
        <v>鉄骨造</v>
      </c>
      <c r="L6479" s="7" t="str">
        <f>"H06.03.10"</f>
        <v>H06.03.10</v>
      </c>
      <c r="M6479" s="7">
        <v>419.55</v>
      </c>
      <c r="N6479" s="7">
        <v>105866550</v>
      </c>
      <c r="O6479" s="7">
        <v>89929499</v>
      </c>
      <c r="P6479" s="7">
        <v>0</v>
      </c>
      <c r="Q6479" s="7" t="str">
        <f t="shared" si="2346"/>
        <v>教育庁</v>
      </c>
      <c r="R6479" s="7" t="str">
        <f t="shared" si="2354"/>
        <v>布施工科高等学校</v>
      </c>
    </row>
    <row r="6480" spans="1:18" s="1" customFormat="1" x14ac:dyDescent="0.45">
      <c r="A6480" s="7" t="str">
        <f t="shared" si="2351"/>
        <v>10951000000</v>
      </c>
      <c r="B6480" s="7" t="str">
        <f t="shared" si="2352"/>
        <v>布施工科高等学校</v>
      </c>
      <c r="C6480" s="7" t="str">
        <f t="shared" si="2358"/>
        <v>行政財産</v>
      </c>
      <c r="D6480" s="7" t="str">
        <f t="shared" si="2356"/>
        <v>学校</v>
      </c>
      <c r="E6480" s="7" t="str">
        <f t="shared" si="2353"/>
        <v>大阪府東大阪市宝持３丁目</v>
      </c>
      <c r="F6480" s="7"/>
      <c r="G6480" s="7" t="str">
        <f t="shared" si="2345"/>
        <v>事業用資産</v>
      </c>
      <c r="H6480" s="7" t="str">
        <f t="shared" si="2357"/>
        <v>棚卸以外</v>
      </c>
      <c r="I6480" s="7">
        <v>83</v>
      </c>
      <c r="J6480" s="7" t="str">
        <f>"クラブ室"</f>
        <v>クラブ室</v>
      </c>
      <c r="K6480" s="7" t="str">
        <f>"鉄骨造"</f>
        <v>鉄骨造</v>
      </c>
      <c r="L6480" s="7" t="str">
        <f>"H06.03.10"</f>
        <v>H06.03.10</v>
      </c>
      <c r="M6480" s="7">
        <v>72</v>
      </c>
      <c r="N6480" s="7">
        <v>10029000</v>
      </c>
      <c r="O6480" s="7">
        <v>9382080</v>
      </c>
      <c r="P6480" s="7">
        <v>0</v>
      </c>
      <c r="Q6480" s="7" t="str">
        <f t="shared" si="2346"/>
        <v>教育庁</v>
      </c>
      <c r="R6480" s="7" t="str">
        <f t="shared" si="2354"/>
        <v>布施工科高等学校</v>
      </c>
    </row>
    <row r="6481" spans="1:18" s="1" customFormat="1" x14ac:dyDescent="0.45">
      <c r="A6481" s="7" t="str">
        <f t="shared" si="2351"/>
        <v>10951000000</v>
      </c>
      <c r="B6481" s="7" t="str">
        <f t="shared" si="2352"/>
        <v>布施工科高等学校</v>
      </c>
      <c r="C6481" s="7" t="str">
        <f t="shared" si="2358"/>
        <v>行政財産</v>
      </c>
      <c r="D6481" s="7" t="str">
        <f t="shared" si="2356"/>
        <v>学校</v>
      </c>
      <c r="E6481" s="7" t="str">
        <f t="shared" si="2353"/>
        <v>大阪府東大阪市宝持３丁目</v>
      </c>
      <c r="F6481" s="7"/>
      <c r="G6481" s="7" t="str">
        <f t="shared" si="2345"/>
        <v>事業用資産</v>
      </c>
      <c r="H6481" s="7" t="str">
        <f t="shared" si="2357"/>
        <v>棚卸以外</v>
      </c>
      <c r="I6481" s="7">
        <v>85</v>
      </c>
      <c r="J6481" s="7" t="str">
        <f>"設備実習棟（１）配管加工実習室"</f>
        <v>設備実習棟（１）配管加工実習室</v>
      </c>
      <c r="K6481" s="7" t="str">
        <f>"鉄骨造"</f>
        <v>鉄骨造</v>
      </c>
      <c r="L6481" s="7" t="str">
        <f>"H18.08.15"</f>
        <v>H18.08.15</v>
      </c>
      <c r="M6481" s="7">
        <v>180</v>
      </c>
      <c r="N6481" s="7">
        <v>33515000</v>
      </c>
      <c r="O6481" s="7">
        <v>16346855</v>
      </c>
      <c r="P6481" s="7">
        <v>0</v>
      </c>
      <c r="Q6481" s="7" t="str">
        <f t="shared" si="2346"/>
        <v>教育庁</v>
      </c>
      <c r="R6481" s="7" t="str">
        <f t="shared" si="2354"/>
        <v>布施工科高等学校</v>
      </c>
    </row>
    <row r="6482" spans="1:18" s="1" customFormat="1" x14ac:dyDescent="0.45">
      <c r="A6482" s="7" t="str">
        <f t="shared" si="2351"/>
        <v>10951000000</v>
      </c>
      <c r="B6482" s="7" t="str">
        <f t="shared" si="2352"/>
        <v>布施工科高等学校</v>
      </c>
      <c r="C6482" s="7" t="str">
        <f t="shared" si="2358"/>
        <v>行政財産</v>
      </c>
      <c r="D6482" s="7" t="str">
        <f t="shared" si="2356"/>
        <v>学校</v>
      </c>
      <c r="E6482" s="7" t="str">
        <f t="shared" si="2353"/>
        <v>大阪府東大阪市宝持３丁目</v>
      </c>
      <c r="F6482" s="7"/>
      <c r="G6482" s="7" t="str">
        <f t="shared" si="2345"/>
        <v>事業用資産</v>
      </c>
      <c r="H6482" s="7" t="str">
        <f t="shared" si="2357"/>
        <v>棚卸以外</v>
      </c>
      <c r="I6482" s="7">
        <v>86</v>
      </c>
      <c r="J6482" s="7" t="str">
        <f>"設備実習棟（２）衛生流体実習室"</f>
        <v>設備実習棟（２）衛生流体実習室</v>
      </c>
      <c r="K6482" s="7" t="str">
        <f>"鉄骨造"</f>
        <v>鉄骨造</v>
      </c>
      <c r="L6482" s="7" t="str">
        <f>"H18.08.15"</f>
        <v>H18.08.15</v>
      </c>
      <c r="M6482" s="7">
        <v>108</v>
      </c>
      <c r="N6482" s="7">
        <v>20109000</v>
      </c>
      <c r="O6482" s="7">
        <v>9808113</v>
      </c>
      <c r="P6482" s="7">
        <v>0</v>
      </c>
      <c r="Q6482" s="7" t="str">
        <f t="shared" si="2346"/>
        <v>教育庁</v>
      </c>
      <c r="R6482" s="7" t="str">
        <f t="shared" si="2354"/>
        <v>布施工科高等学校</v>
      </c>
    </row>
    <row r="6483" spans="1:18" s="1" customFormat="1" x14ac:dyDescent="0.45">
      <c r="A6483" s="7" t="str">
        <f t="shared" si="2351"/>
        <v>10951000000</v>
      </c>
      <c r="B6483" s="7" t="str">
        <f t="shared" si="2352"/>
        <v>布施工科高等学校</v>
      </c>
      <c r="C6483" s="7" t="str">
        <f t="shared" si="2358"/>
        <v>行政財産</v>
      </c>
      <c r="D6483" s="7" t="str">
        <f t="shared" si="2356"/>
        <v>学校</v>
      </c>
      <c r="E6483" s="7" t="str">
        <f t="shared" si="2353"/>
        <v>大阪府東大阪市宝持３丁目</v>
      </c>
      <c r="F6483" s="7"/>
      <c r="G6483" s="7" t="str">
        <f t="shared" si="2345"/>
        <v>事業用資産</v>
      </c>
      <c r="H6483" s="7" t="str">
        <f t="shared" si="2357"/>
        <v>棚卸以外</v>
      </c>
      <c r="I6483" s="7">
        <v>87</v>
      </c>
      <c r="J6483" s="7" t="str">
        <f>"第２電気室"</f>
        <v>第２電気室</v>
      </c>
      <c r="K6483" s="7" t="str">
        <f t="shared" ref="K6483:K6492" si="2359">"鉄筋コンクリート造"</f>
        <v>鉄筋コンクリート造</v>
      </c>
      <c r="L6483" s="7" t="str">
        <f>"S52.02.17"</f>
        <v>S52.02.17</v>
      </c>
      <c r="M6483" s="7">
        <v>36</v>
      </c>
      <c r="N6483" s="7">
        <v>8015726</v>
      </c>
      <c r="O6483" s="7">
        <v>3794619</v>
      </c>
      <c r="P6483" s="7">
        <v>0</v>
      </c>
      <c r="Q6483" s="7" t="str">
        <f t="shared" si="2346"/>
        <v>教育庁</v>
      </c>
      <c r="R6483" s="7" t="str">
        <f t="shared" si="2354"/>
        <v>布施工科高等学校</v>
      </c>
    </row>
    <row r="6484" spans="1:18" s="1" customFormat="1" x14ac:dyDescent="0.45">
      <c r="A6484" s="7" t="str">
        <f t="shared" ref="A6484:A6514" si="2360">"10952000000"</f>
        <v>10952000000</v>
      </c>
      <c r="B6484" s="7" t="str">
        <f t="shared" ref="B6484:B6514" si="2361">"藤井寺工科高等学校"</f>
        <v>藤井寺工科高等学校</v>
      </c>
      <c r="C6484" s="7" t="str">
        <f t="shared" si="2358"/>
        <v>行政財産</v>
      </c>
      <c r="D6484" s="7" t="str">
        <f t="shared" si="2356"/>
        <v>学校</v>
      </c>
      <c r="E6484" s="7" t="str">
        <f t="shared" ref="E6484:E6514" si="2362">"大阪府藤井寺市御舟町"</f>
        <v>大阪府藤井寺市御舟町</v>
      </c>
      <c r="F6484" s="7"/>
      <c r="G6484" s="7" t="str">
        <f t="shared" si="2345"/>
        <v>事業用資産</v>
      </c>
      <c r="H6484" s="7" t="str">
        <f t="shared" si="2357"/>
        <v>棚卸以外</v>
      </c>
      <c r="I6484" s="7">
        <v>1</v>
      </c>
      <c r="J6484" s="7" t="str">
        <f>"本館"</f>
        <v>本館</v>
      </c>
      <c r="K6484" s="7" t="str">
        <f t="shared" si="2359"/>
        <v>鉄筋コンクリート造</v>
      </c>
      <c r="L6484" s="7" t="str">
        <f>"S38.01.15"</f>
        <v>S38.01.15</v>
      </c>
      <c r="M6484" s="7">
        <v>4432.7299999999996</v>
      </c>
      <c r="N6484" s="7">
        <v>315767356</v>
      </c>
      <c r="O6484" s="7">
        <v>145092890</v>
      </c>
      <c r="P6484" s="7">
        <v>0</v>
      </c>
      <c r="Q6484" s="7" t="str">
        <f t="shared" si="2346"/>
        <v>教育庁</v>
      </c>
      <c r="R6484" s="7" t="str">
        <f t="shared" ref="R6484:R6514" si="2363">"藤井寺工科高等学校"</f>
        <v>藤井寺工科高等学校</v>
      </c>
    </row>
    <row r="6485" spans="1:18" s="1" customFormat="1" x14ac:dyDescent="0.45">
      <c r="A6485" s="7" t="str">
        <f t="shared" si="2360"/>
        <v>10952000000</v>
      </c>
      <c r="B6485" s="7" t="str">
        <f t="shared" si="2361"/>
        <v>藤井寺工科高等学校</v>
      </c>
      <c r="C6485" s="7" t="str">
        <f t="shared" si="2358"/>
        <v>行政財産</v>
      </c>
      <c r="D6485" s="7" t="str">
        <f t="shared" si="2356"/>
        <v>学校</v>
      </c>
      <c r="E6485" s="7" t="str">
        <f t="shared" si="2362"/>
        <v>大阪府藤井寺市御舟町</v>
      </c>
      <c r="F6485" s="7"/>
      <c r="G6485" s="7" t="str">
        <f t="shared" si="2345"/>
        <v>事業用資産</v>
      </c>
      <c r="H6485" s="7" t="str">
        <f t="shared" si="2357"/>
        <v>棚卸以外</v>
      </c>
      <c r="I6485" s="7">
        <v>3</v>
      </c>
      <c r="J6485" s="7" t="str">
        <f>"門衛所"</f>
        <v>門衛所</v>
      </c>
      <c r="K6485" s="7" t="str">
        <f t="shared" si="2359"/>
        <v>鉄筋コンクリート造</v>
      </c>
      <c r="L6485" s="7" t="str">
        <f>"S38.01.15"</f>
        <v>S38.01.15</v>
      </c>
      <c r="M6485" s="7">
        <v>24.82</v>
      </c>
      <c r="N6485" s="7">
        <v>931865</v>
      </c>
      <c r="O6485" s="7">
        <v>931864</v>
      </c>
      <c r="P6485" s="7">
        <v>0</v>
      </c>
      <c r="Q6485" s="7" t="str">
        <f t="shared" si="2346"/>
        <v>教育庁</v>
      </c>
      <c r="R6485" s="7" t="str">
        <f t="shared" si="2363"/>
        <v>藤井寺工科高等学校</v>
      </c>
    </row>
    <row r="6486" spans="1:18" s="1" customFormat="1" x14ac:dyDescent="0.45">
      <c r="A6486" s="7" t="str">
        <f t="shared" si="2360"/>
        <v>10952000000</v>
      </c>
      <c r="B6486" s="7" t="str">
        <f t="shared" si="2361"/>
        <v>藤井寺工科高等学校</v>
      </c>
      <c r="C6486" s="7" t="str">
        <f t="shared" si="2358"/>
        <v>行政財産</v>
      </c>
      <c r="D6486" s="7" t="str">
        <f t="shared" si="2356"/>
        <v>学校</v>
      </c>
      <c r="E6486" s="7" t="str">
        <f t="shared" si="2362"/>
        <v>大阪府藤井寺市御舟町</v>
      </c>
      <c r="F6486" s="7"/>
      <c r="G6486" s="7" t="str">
        <f t="shared" si="2345"/>
        <v>事業用資産</v>
      </c>
      <c r="H6486" s="7" t="str">
        <f t="shared" si="2357"/>
        <v>棚卸以外</v>
      </c>
      <c r="I6486" s="7">
        <v>4</v>
      </c>
      <c r="J6486" s="7" t="str">
        <f>"電気室"</f>
        <v>電気室</v>
      </c>
      <c r="K6486" s="7" t="str">
        <f t="shared" si="2359"/>
        <v>鉄筋コンクリート造</v>
      </c>
      <c r="L6486" s="7" t="str">
        <f>"S38.01.15"</f>
        <v>S38.01.15</v>
      </c>
      <c r="M6486" s="7">
        <v>79.95</v>
      </c>
      <c r="N6486" s="7">
        <v>15475247</v>
      </c>
      <c r="O6486" s="7">
        <v>14332589</v>
      </c>
      <c r="P6486" s="7">
        <v>0</v>
      </c>
      <c r="Q6486" s="7" t="str">
        <f t="shared" si="2346"/>
        <v>教育庁</v>
      </c>
      <c r="R6486" s="7" t="str">
        <f t="shared" si="2363"/>
        <v>藤井寺工科高等学校</v>
      </c>
    </row>
    <row r="6487" spans="1:18" s="1" customFormat="1" x14ac:dyDescent="0.45">
      <c r="A6487" s="7" t="str">
        <f t="shared" si="2360"/>
        <v>10952000000</v>
      </c>
      <c r="B6487" s="7" t="str">
        <f t="shared" si="2361"/>
        <v>藤井寺工科高等学校</v>
      </c>
      <c r="C6487" s="7" t="str">
        <f t="shared" si="2358"/>
        <v>行政財産</v>
      </c>
      <c r="D6487" s="7" t="str">
        <f t="shared" si="2356"/>
        <v>学校</v>
      </c>
      <c r="E6487" s="7" t="str">
        <f t="shared" si="2362"/>
        <v>大阪府藤井寺市御舟町</v>
      </c>
      <c r="F6487" s="7"/>
      <c r="G6487" s="7" t="str">
        <f t="shared" ref="G6487:G6550" si="2364">"事業用資産"</f>
        <v>事業用資産</v>
      </c>
      <c r="H6487" s="7" t="str">
        <f t="shared" si="2357"/>
        <v>棚卸以外</v>
      </c>
      <c r="I6487" s="7">
        <v>7</v>
      </c>
      <c r="J6487" s="7" t="str">
        <f>"実験棟"</f>
        <v>実験棟</v>
      </c>
      <c r="K6487" s="7" t="str">
        <f t="shared" si="2359"/>
        <v>鉄筋コンクリート造</v>
      </c>
      <c r="L6487" s="7" t="str">
        <f>"S38.03.31"</f>
        <v>S38.03.31</v>
      </c>
      <c r="M6487" s="7">
        <v>6815.81</v>
      </c>
      <c r="N6487" s="7">
        <v>671867738</v>
      </c>
      <c r="O6487" s="7">
        <v>359674129</v>
      </c>
      <c r="P6487" s="7">
        <v>0</v>
      </c>
      <c r="Q6487" s="7" t="str">
        <f t="shared" si="2346"/>
        <v>教育庁</v>
      </c>
      <c r="R6487" s="7" t="str">
        <f t="shared" si="2363"/>
        <v>藤井寺工科高等学校</v>
      </c>
    </row>
    <row r="6488" spans="1:18" s="1" customFormat="1" x14ac:dyDescent="0.45">
      <c r="A6488" s="7" t="str">
        <f t="shared" si="2360"/>
        <v>10952000000</v>
      </c>
      <c r="B6488" s="7" t="str">
        <f t="shared" si="2361"/>
        <v>藤井寺工科高等学校</v>
      </c>
      <c r="C6488" s="7" t="str">
        <f t="shared" si="2358"/>
        <v>行政財産</v>
      </c>
      <c r="D6488" s="7" t="str">
        <f t="shared" si="2356"/>
        <v>学校</v>
      </c>
      <c r="E6488" s="7" t="str">
        <f t="shared" si="2362"/>
        <v>大阪府藤井寺市御舟町</v>
      </c>
      <c r="F6488" s="7"/>
      <c r="G6488" s="7" t="str">
        <f t="shared" si="2364"/>
        <v>事業用資産</v>
      </c>
      <c r="H6488" s="7" t="str">
        <f t="shared" si="2357"/>
        <v>棚卸以外</v>
      </c>
      <c r="I6488" s="7">
        <v>8</v>
      </c>
      <c r="J6488" s="7" t="str">
        <f>"実習棟"</f>
        <v>実習棟</v>
      </c>
      <c r="K6488" s="7" t="str">
        <f t="shared" si="2359"/>
        <v>鉄筋コンクリート造</v>
      </c>
      <c r="L6488" s="7" t="str">
        <f>"S38.03.31"</f>
        <v>S38.03.31</v>
      </c>
      <c r="M6488" s="7">
        <v>1204.6199999999999</v>
      </c>
      <c r="N6488" s="7">
        <v>107930570</v>
      </c>
      <c r="O6488" s="7">
        <v>64997581</v>
      </c>
      <c r="P6488" s="7">
        <v>0</v>
      </c>
      <c r="Q6488" s="7" t="str">
        <f t="shared" si="2346"/>
        <v>教育庁</v>
      </c>
      <c r="R6488" s="7" t="str">
        <f t="shared" si="2363"/>
        <v>藤井寺工科高等学校</v>
      </c>
    </row>
    <row r="6489" spans="1:18" s="1" customFormat="1" x14ac:dyDescent="0.45">
      <c r="A6489" s="7" t="str">
        <f t="shared" si="2360"/>
        <v>10952000000</v>
      </c>
      <c r="B6489" s="7" t="str">
        <f t="shared" si="2361"/>
        <v>藤井寺工科高等学校</v>
      </c>
      <c r="C6489" s="7" t="str">
        <f t="shared" si="2358"/>
        <v>行政財産</v>
      </c>
      <c r="D6489" s="7" t="str">
        <f t="shared" si="2356"/>
        <v>学校</v>
      </c>
      <c r="E6489" s="7" t="str">
        <f t="shared" si="2362"/>
        <v>大阪府藤井寺市御舟町</v>
      </c>
      <c r="F6489" s="7"/>
      <c r="G6489" s="7" t="str">
        <f t="shared" si="2364"/>
        <v>事業用資産</v>
      </c>
      <c r="H6489" s="7" t="str">
        <f t="shared" si="2357"/>
        <v>棚卸以外</v>
      </c>
      <c r="I6489" s="7">
        <v>9</v>
      </c>
      <c r="J6489" s="7" t="str">
        <f>"渡り廊下"</f>
        <v>渡り廊下</v>
      </c>
      <c r="K6489" s="7" t="str">
        <f t="shared" si="2359"/>
        <v>鉄筋コンクリート造</v>
      </c>
      <c r="L6489" s="7" t="str">
        <f>"S38.03.31"</f>
        <v>S38.03.31</v>
      </c>
      <c r="M6489" s="7">
        <v>120</v>
      </c>
      <c r="N6489" s="7">
        <v>4896160</v>
      </c>
      <c r="O6489" s="7">
        <v>3386309</v>
      </c>
      <c r="P6489" s="7">
        <v>0</v>
      </c>
      <c r="Q6489" s="7" t="str">
        <f t="shared" si="2346"/>
        <v>教育庁</v>
      </c>
      <c r="R6489" s="7" t="str">
        <f t="shared" si="2363"/>
        <v>藤井寺工科高等学校</v>
      </c>
    </row>
    <row r="6490" spans="1:18" s="1" customFormat="1" x14ac:dyDescent="0.45">
      <c r="A6490" s="7" t="str">
        <f t="shared" si="2360"/>
        <v>10952000000</v>
      </c>
      <c r="B6490" s="7" t="str">
        <f t="shared" si="2361"/>
        <v>藤井寺工科高等学校</v>
      </c>
      <c r="C6490" s="7" t="str">
        <f t="shared" si="2358"/>
        <v>行政財産</v>
      </c>
      <c r="D6490" s="7" t="str">
        <f t="shared" si="2356"/>
        <v>学校</v>
      </c>
      <c r="E6490" s="7" t="str">
        <f t="shared" si="2362"/>
        <v>大阪府藤井寺市御舟町</v>
      </c>
      <c r="F6490" s="7"/>
      <c r="G6490" s="7" t="str">
        <f t="shared" si="2364"/>
        <v>事業用資産</v>
      </c>
      <c r="H6490" s="7" t="str">
        <f t="shared" si="2357"/>
        <v>棚卸以外</v>
      </c>
      <c r="I6490" s="7">
        <v>10</v>
      </c>
      <c r="J6490" s="7" t="str">
        <f>"鋳鍛造板金実習室"</f>
        <v>鋳鍛造板金実習室</v>
      </c>
      <c r="K6490" s="7" t="str">
        <f t="shared" si="2359"/>
        <v>鉄筋コンクリート造</v>
      </c>
      <c r="L6490" s="7" t="str">
        <f>"S39.01.21"</f>
        <v>S39.01.21</v>
      </c>
      <c r="M6490" s="7">
        <v>510.02</v>
      </c>
      <c r="N6490" s="7">
        <v>23410650</v>
      </c>
      <c r="O6490" s="7">
        <v>17729035</v>
      </c>
      <c r="P6490" s="7">
        <v>0</v>
      </c>
      <c r="Q6490" s="7" t="str">
        <f t="shared" si="2346"/>
        <v>教育庁</v>
      </c>
      <c r="R6490" s="7" t="str">
        <f t="shared" si="2363"/>
        <v>藤井寺工科高等学校</v>
      </c>
    </row>
    <row r="6491" spans="1:18" s="1" customFormat="1" x14ac:dyDescent="0.45">
      <c r="A6491" s="7" t="str">
        <f t="shared" si="2360"/>
        <v>10952000000</v>
      </c>
      <c r="B6491" s="7" t="str">
        <f t="shared" si="2361"/>
        <v>藤井寺工科高等学校</v>
      </c>
      <c r="C6491" s="7" t="str">
        <f t="shared" si="2358"/>
        <v>行政財産</v>
      </c>
      <c r="D6491" s="7" t="str">
        <f t="shared" si="2356"/>
        <v>学校</v>
      </c>
      <c r="E6491" s="7" t="str">
        <f t="shared" si="2362"/>
        <v>大阪府藤井寺市御舟町</v>
      </c>
      <c r="F6491" s="7"/>
      <c r="G6491" s="7" t="str">
        <f t="shared" si="2364"/>
        <v>事業用資産</v>
      </c>
      <c r="H6491" s="7" t="str">
        <f t="shared" si="2357"/>
        <v>棚卸以外</v>
      </c>
      <c r="I6491" s="7">
        <v>11</v>
      </c>
      <c r="J6491" s="7" t="str">
        <f>"原動機自動車整備実習室"</f>
        <v>原動機自動車整備実習室</v>
      </c>
      <c r="K6491" s="7" t="str">
        <f t="shared" si="2359"/>
        <v>鉄筋コンクリート造</v>
      </c>
      <c r="L6491" s="7" t="str">
        <f>"S39.01.21"</f>
        <v>S39.01.21</v>
      </c>
      <c r="M6491" s="7">
        <v>365.88</v>
      </c>
      <c r="N6491" s="7">
        <v>24899561</v>
      </c>
      <c r="O6491" s="7">
        <v>15067910</v>
      </c>
      <c r="P6491" s="7">
        <v>0</v>
      </c>
      <c r="Q6491" s="7" t="str">
        <f t="shared" ref="Q6491:Q6554" si="2365">"教育庁"</f>
        <v>教育庁</v>
      </c>
      <c r="R6491" s="7" t="str">
        <f t="shared" si="2363"/>
        <v>藤井寺工科高等学校</v>
      </c>
    </row>
    <row r="6492" spans="1:18" s="1" customFormat="1" x14ac:dyDescent="0.45">
      <c r="A6492" s="7" t="str">
        <f t="shared" si="2360"/>
        <v>10952000000</v>
      </c>
      <c r="B6492" s="7" t="str">
        <f t="shared" si="2361"/>
        <v>藤井寺工科高等学校</v>
      </c>
      <c r="C6492" s="7" t="str">
        <f t="shared" si="2358"/>
        <v>行政財産</v>
      </c>
      <c r="D6492" s="7" t="str">
        <f t="shared" si="2356"/>
        <v>学校</v>
      </c>
      <c r="E6492" s="7" t="str">
        <f t="shared" si="2362"/>
        <v>大阪府藤井寺市御舟町</v>
      </c>
      <c r="F6492" s="7"/>
      <c r="G6492" s="7" t="str">
        <f t="shared" si="2364"/>
        <v>事業用資産</v>
      </c>
      <c r="H6492" s="7" t="str">
        <f t="shared" si="2357"/>
        <v>棚卸以外</v>
      </c>
      <c r="I6492" s="7">
        <v>12</v>
      </c>
      <c r="J6492" s="7" t="str">
        <f>"危険物倉庫"</f>
        <v>危険物倉庫</v>
      </c>
      <c r="K6492" s="7" t="str">
        <f t="shared" si="2359"/>
        <v>鉄筋コンクリート造</v>
      </c>
      <c r="L6492" s="7" t="str">
        <f>"S39.01.21"</f>
        <v>S39.01.21</v>
      </c>
      <c r="M6492" s="7">
        <v>43.04</v>
      </c>
      <c r="N6492" s="7">
        <v>1147600</v>
      </c>
      <c r="O6492" s="7">
        <v>1147599</v>
      </c>
      <c r="P6492" s="7">
        <v>0</v>
      </c>
      <c r="Q6492" s="7" t="str">
        <f t="shared" si="2365"/>
        <v>教育庁</v>
      </c>
      <c r="R6492" s="7" t="str">
        <f t="shared" si="2363"/>
        <v>藤井寺工科高等学校</v>
      </c>
    </row>
    <row r="6493" spans="1:18" s="1" customFormat="1" x14ac:dyDescent="0.45">
      <c r="A6493" s="7" t="str">
        <f t="shared" si="2360"/>
        <v>10952000000</v>
      </c>
      <c r="B6493" s="7" t="str">
        <f t="shared" si="2361"/>
        <v>藤井寺工科高等学校</v>
      </c>
      <c r="C6493" s="7" t="str">
        <f t="shared" si="2358"/>
        <v>行政財産</v>
      </c>
      <c r="D6493" s="7" t="str">
        <f t="shared" si="2356"/>
        <v>学校</v>
      </c>
      <c r="E6493" s="7" t="str">
        <f t="shared" si="2362"/>
        <v>大阪府藤井寺市御舟町</v>
      </c>
      <c r="F6493" s="7"/>
      <c r="G6493" s="7" t="str">
        <f t="shared" si="2364"/>
        <v>事業用資産</v>
      </c>
      <c r="H6493" s="7" t="str">
        <f t="shared" si="2357"/>
        <v>棚卸以外</v>
      </c>
      <c r="I6493" s="7">
        <v>13</v>
      </c>
      <c r="J6493" s="7" t="str">
        <f>"渡り廊下"</f>
        <v>渡り廊下</v>
      </c>
      <c r="K6493" s="7" t="str">
        <f>"鉄骨造"</f>
        <v>鉄骨造</v>
      </c>
      <c r="L6493" s="7" t="str">
        <f>"S39.01.21"</f>
        <v>S39.01.21</v>
      </c>
      <c r="M6493" s="7">
        <v>75</v>
      </c>
      <c r="N6493" s="7">
        <v>522900</v>
      </c>
      <c r="O6493" s="7">
        <v>522899</v>
      </c>
      <c r="P6493" s="7">
        <v>0</v>
      </c>
      <c r="Q6493" s="7" t="str">
        <f t="shared" si="2365"/>
        <v>教育庁</v>
      </c>
      <c r="R6493" s="7" t="str">
        <f t="shared" si="2363"/>
        <v>藤井寺工科高等学校</v>
      </c>
    </row>
    <row r="6494" spans="1:18" s="1" customFormat="1" x14ac:dyDescent="0.45">
      <c r="A6494" s="7" t="str">
        <f t="shared" si="2360"/>
        <v>10952000000</v>
      </c>
      <c r="B6494" s="7" t="str">
        <f t="shared" si="2361"/>
        <v>藤井寺工科高等学校</v>
      </c>
      <c r="C6494" s="7" t="str">
        <f t="shared" si="2358"/>
        <v>行政財産</v>
      </c>
      <c r="D6494" s="7" t="str">
        <f t="shared" si="2356"/>
        <v>学校</v>
      </c>
      <c r="E6494" s="7" t="str">
        <f t="shared" si="2362"/>
        <v>大阪府藤井寺市御舟町</v>
      </c>
      <c r="F6494" s="7"/>
      <c r="G6494" s="7" t="str">
        <f t="shared" si="2364"/>
        <v>事業用資産</v>
      </c>
      <c r="H6494" s="7" t="str">
        <f t="shared" si="2357"/>
        <v>棚卸以外</v>
      </c>
      <c r="I6494" s="7">
        <v>14</v>
      </c>
      <c r="J6494" s="7" t="str">
        <f>"渡り廊下"</f>
        <v>渡り廊下</v>
      </c>
      <c r="K6494" s="7" t="str">
        <f>"鉄筋コンクリート造"</f>
        <v>鉄筋コンクリート造</v>
      </c>
      <c r="L6494" s="7" t="str">
        <f>"S39.04.01"</f>
        <v>S39.04.01</v>
      </c>
      <c r="M6494" s="7">
        <v>269.36</v>
      </c>
      <c r="N6494" s="7">
        <v>30904833</v>
      </c>
      <c r="O6494" s="7">
        <v>16069403</v>
      </c>
      <c r="P6494" s="7">
        <v>0</v>
      </c>
      <c r="Q6494" s="7" t="str">
        <f t="shared" si="2365"/>
        <v>教育庁</v>
      </c>
      <c r="R6494" s="7" t="str">
        <f t="shared" si="2363"/>
        <v>藤井寺工科高等学校</v>
      </c>
    </row>
    <row r="6495" spans="1:18" s="1" customFormat="1" x14ac:dyDescent="0.45">
      <c r="A6495" s="7" t="str">
        <f t="shared" si="2360"/>
        <v>10952000000</v>
      </c>
      <c r="B6495" s="7" t="str">
        <f t="shared" si="2361"/>
        <v>藤井寺工科高等学校</v>
      </c>
      <c r="C6495" s="7" t="str">
        <f t="shared" si="2358"/>
        <v>行政財産</v>
      </c>
      <c r="D6495" s="7" t="str">
        <f t="shared" si="2356"/>
        <v>学校</v>
      </c>
      <c r="E6495" s="7" t="str">
        <f t="shared" si="2362"/>
        <v>大阪府藤井寺市御舟町</v>
      </c>
      <c r="F6495" s="7"/>
      <c r="G6495" s="7" t="str">
        <f t="shared" si="2364"/>
        <v>事業用資産</v>
      </c>
      <c r="H6495" s="7" t="str">
        <f t="shared" si="2357"/>
        <v>棚卸以外</v>
      </c>
      <c r="I6495" s="7">
        <v>15</v>
      </c>
      <c r="J6495" s="7" t="str">
        <f>"渡り廊下"</f>
        <v>渡り廊下</v>
      </c>
      <c r="K6495" s="7" t="str">
        <f>"軽量鉄骨造"</f>
        <v>軽量鉄骨造</v>
      </c>
      <c r="L6495" s="7" t="str">
        <f>"S39.04.01"</f>
        <v>S39.04.01</v>
      </c>
      <c r="M6495" s="7">
        <v>20</v>
      </c>
      <c r="N6495" s="7">
        <v>219400</v>
      </c>
      <c r="O6495" s="7">
        <v>219399</v>
      </c>
      <c r="P6495" s="7">
        <v>0</v>
      </c>
      <c r="Q6495" s="7" t="str">
        <f t="shared" si="2365"/>
        <v>教育庁</v>
      </c>
      <c r="R6495" s="7" t="str">
        <f t="shared" si="2363"/>
        <v>藤井寺工科高等学校</v>
      </c>
    </row>
    <row r="6496" spans="1:18" s="1" customFormat="1" x14ac:dyDescent="0.45">
      <c r="A6496" s="7" t="str">
        <f t="shared" si="2360"/>
        <v>10952000000</v>
      </c>
      <c r="B6496" s="7" t="str">
        <f t="shared" si="2361"/>
        <v>藤井寺工科高等学校</v>
      </c>
      <c r="C6496" s="7" t="str">
        <f t="shared" si="2358"/>
        <v>行政財産</v>
      </c>
      <c r="D6496" s="7" t="str">
        <f t="shared" si="2356"/>
        <v>学校</v>
      </c>
      <c r="E6496" s="7" t="str">
        <f t="shared" si="2362"/>
        <v>大阪府藤井寺市御舟町</v>
      </c>
      <c r="F6496" s="7"/>
      <c r="G6496" s="7" t="str">
        <f t="shared" si="2364"/>
        <v>事業用資産</v>
      </c>
      <c r="H6496" s="7" t="str">
        <f t="shared" si="2357"/>
        <v>棚卸以外</v>
      </c>
      <c r="I6496" s="7">
        <v>17</v>
      </c>
      <c r="J6496" s="7" t="str">
        <f>"体育館"</f>
        <v>体育館</v>
      </c>
      <c r="K6496" s="7" t="str">
        <f>"鉄筋コンクリート造"</f>
        <v>鉄筋コンクリート造</v>
      </c>
      <c r="L6496" s="7" t="str">
        <f>"S41.01.07"</f>
        <v>S41.01.07</v>
      </c>
      <c r="M6496" s="7">
        <v>2200.89</v>
      </c>
      <c r="N6496" s="7">
        <v>166265016</v>
      </c>
      <c r="O6496" s="7">
        <v>106666291</v>
      </c>
      <c r="P6496" s="7">
        <v>0</v>
      </c>
      <c r="Q6496" s="7" t="str">
        <f t="shared" si="2365"/>
        <v>教育庁</v>
      </c>
      <c r="R6496" s="7" t="str">
        <f t="shared" si="2363"/>
        <v>藤井寺工科高等学校</v>
      </c>
    </row>
    <row r="6497" spans="1:18" s="1" customFormat="1" x14ac:dyDescent="0.45">
      <c r="A6497" s="7" t="str">
        <f t="shared" si="2360"/>
        <v>10952000000</v>
      </c>
      <c r="B6497" s="7" t="str">
        <f t="shared" si="2361"/>
        <v>藤井寺工科高等学校</v>
      </c>
      <c r="C6497" s="7" t="str">
        <f t="shared" si="2358"/>
        <v>行政財産</v>
      </c>
      <c r="D6497" s="7" t="str">
        <f t="shared" si="2356"/>
        <v>学校</v>
      </c>
      <c r="E6497" s="7" t="str">
        <f t="shared" si="2362"/>
        <v>大阪府藤井寺市御舟町</v>
      </c>
      <c r="F6497" s="7"/>
      <c r="G6497" s="7" t="str">
        <f t="shared" si="2364"/>
        <v>事業用資産</v>
      </c>
      <c r="H6497" s="7" t="str">
        <f t="shared" si="2357"/>
        <v>棚卸以外</v>
      </c>
      <c r="I6497" s="7">
        <v>18</v>
      </c>
      <c r="J6497" s="7" t="str">
        <f>"渡り廊下"</f>
        <v>渡り廊下</v>
      </c>
      <c r="K6497" s="7" t="str">
        <f>"鉄筋コンクリート造"</f>
        <v>鉄筋コンクリート造</v>
      </c>
      <c r="L6497" s="7" t="str">
        <f>"S41.01.07"</f>
        <v>S41.01.07</v>
      </c>
      <c r="M6497" s="7">
        <v>48</v>
      </c>
      <c r="N6497" s="7">
        <v>4544670</v>
      </c>
      <c r="O6497" s="7">
        <v>3113014</v>
      </c>
      <c r="P6497" s="7">
        <v>0</v>
      </c>
      <c r="Q6497" s="7" t="str">
        <f t="shared" si="2365"/>
        <v>教育庁</v>
      </c>
      <c r="R6497" s="7" t="str">
        <f t="shared" si="2363"/>
        <v>藤井寺工科高等学校</v>
      </c>
    </row>
    <row r="6498" spans="1:18" s="1" customFormat="1" x14ac:dyDescent="0.45">
      <c r="A6498" s="7" t="str">
        <f t="shared" si="2360"/>
        <v>10952000000</v>
      </c>
      <c r="B6498" s="7" t="str">
        <f t="shared" si="2361"/>
        <v>藤井寺工科高等学校</v>
      </c>
      <c r="C6498" s="7" t="str">
        <f t="shared" si="2358"/>
        <v>行政財産</v>
      </c>
      <c r="D6498" s="7" t="str">
        <f t="shared" si="2356"/>
        <v>学校</v>
      </c>
      <c r="E6498" s="7" t="str">
        <f t="shared" si="2362"/>
        <v>大阪府藤井寺市御舟町</v>
      </c>
      <c r="F6498" s="7"/>
      <c r="G6498" s="7" t="str">
        <f t="shared" si="2364"/>
        <v>事業用資産</v>
      </c>
      <c r="H6498" s="7" t="str">
        <f t="shared" si="2357"/>
        <v>棚卸以外</v>
      </c>
      <c r="I6498" s="7">
        <v>19</v>
      </c>
      <c r="J6498" s="7" t="str">
        <f>"便所"</f>
        <v>便所</v>
      </c>
      <c r="K6498" s="7" t="str">
        <f>"鉄筋コンクリート造"</f>
        <v>鉄筋コンクリート造</v>
      </c>
      <c r="L6498" s="7" t="str">
        <f>"S41.01.07"</f>
        <v>S41.01.07</v>
      </c>
      <c r="M6498" s="7">
        <v>103.69</v>
      </c>
      <c r="N6498" s="7">
        <v>16172070</v>
      </c>
      <c r="O6498" s="7">
        <v>7268562</v>
      </c>
      <c r="P6498" s="7">
        <v>0</v>
      </c>
      <c r="Q6498" s="7" t="str">
        <f t="shared" si="2365"/>
        <v>教育庁</v>
      </c>
      <c r="R6498" s="7" t="str">
        <f t="shared" si="2363"/>
        <v>藤井寺工科高等学校</v>
      </c>
    </row>
    <row r="6499" spans="1:18" s="1" customFormat="1" x14ac:dyDescent="0.45">
      <c r="A6499" s="7" t="str">
        <f t="shared" si="2360"/>
        <v>10952000000</v>
      </c>
      <c r="B6499" s="7" t="str">
        <f t="shared" si="2361"/>
        <v>藤井寺工科高等学校</v>
      </c>
      <c r="C6499" s="7" t="str">
        <f t="shared" si="2358"/>
        <v>行政財産</v>
      </c>
      <c r="D6499" s="7" t="str">
        <f t="shared" si="2356"/>
        <v>学校</v>
      </c>
      <c r="E6499" s="7" t="str">
        <f t="shared" si="2362"/>
        <v>大阪府藤井寺市御舟町</v>
      </c>
      <c r="F6499" s="7"/>
      <c r="G6499" s="7" t="str">
        <f t="shared" si="2364"/>
        <v>事業用資産</v>
      </c>
      <c r="H6499" s="7" t="str">
        <f t="shared" si="2357"/>
        <v>棚卸以外</v>
      </c>
      <c r="I6499" s="7">
        <v>20</v>
      </c>
      <c r="J6499" s="7" t="str">
        <f>"便所"</f>
        <v>便所</v>
      </c>
      <c r="K6499" s="7" t="str">
        <f>"鉄筋コンクリート造"</f>
        <v>鉄筋コンクリート造</v>
      </c>
      <c r="L6499" s="7" t="str">
        <f>"S41.01.07"</f>
        <v>S41.01.07</v>
      </c>
      <c r="M6499" s="7">
        <v>21.62</v>
      </c>
      <c r="N6499" s="7">
        <v>1050512</v>
      </c>
      <c r="O6499" s="7">
        <v>1050511</v>
      </c>
      <c r="P6499" s="7">
        <v>0</v>
      </c>
      <c r="Q6499" s="7" t="str">
        <f t="shared" si="2365"/>
        <v>教育庁</v>
      </c>
      <c r="R6499" s="7" t="str">
        <f t="shared" si="2363"/>
        <v>藤井寺工科高等学校</v>
      </c>
    </row>
    <row r="6500" spans="1:18" s="1" customFormat="1" x14ac:dyDescent="0.45">
      <c r="A6500" s="7" t="str">
        <f t="shared" si="2360"/>
        <v>10952000000</v>
      </c>
      <c r="B6500" s="7" t="str">
        <f t="shared" si="2361"/>
        <v>藤井寺工科高等学校</v>
      </c>
      <c r="C6500" s="7" t="str">
        <f t="shared" si="2358"/>
        <v>行政財産</v>
      </c>
      <c r="D6500" s="7" t="str">
        <f t="shared" si="2356"/>
        <v>学校</v>
      </c>
      <c r="E6500" s="7" t="str">
        <f t="shared" si="2362"/>
        <v>大阪府藤井寺市御舟町</v>
      </c>
      <c r="F6500" s="7"/>
      <c r="G6500" s="7" t="str">
        <f t="shared" si="2364"/>
        <v>事業用資産</v>
      </c>
      <c r="H6500" s="7" t="str">
        <f t="shared" si="2357"/>
        <v>棚卸以外</v>
      </c>
      <c r="I6500" s="7">
        <v>22</v>
      </c>
      <c r="J6500" s="7" t="str">
        <f>"管財倉庫"</f>
        <v>管財倉庫</v>
      </c>
      <c r="K6500" s="7" t="str">
        <f>"鉄骨コンクリート造"</f>
        <v>鉄骨コンクリート造</v>
      </c>
      <c r="L6500" s="7" t="str">
        <f>"S41.11.30"</f>
        <v>S41.11.30</v>
      </c>
      <c r="M6500" s="7">
        <v>63.86</v>
      </c>
      <c r="N6500" s="7">
        <v>1686000</v>
      </c>
      <c r="O6500" s="7">
        <v>1685999</v>
      </c>
      <c r="P6500" s="7">
        <v>0</v>
      </c>
      <c r="Q6500" s="7" t="str">
        <f t="shared" si="2365"/>
        <v>教育庁</v>
      </c>
      <c r="R6500" s="7" t="str">
        <f t="shared" si="2363"/>
        <v>藤井寺工科高等学校</v>
      </c>
    </row>
    <row r="6501" spans="1:18" s="1" customFormat="1" x14ac:dyDescent="0.45">
      <c r="A6501" s="7" t="str">
        <f t="shared" si="2360"/>
        <v>10952000000</v>
      </c>
      <c r="B6501" s="7" t="str">
        <f t="shared" si="2361"/>
        <v>藤井寺工科高等学校</v>
      </c>
      <c r="C6501" s="7" t="str">
        <f t="shared" si="2358"/>
        <v>行政財産</v>
      </c>
      <c r="D6501" s="7" t="str">
        <f t="shared" si="2356"/>
        <v>学校</v>
      </c>
      <c r="E6501" s="7" t="str">
        <f t="shared" si="2362"/>
        <v>大阪府藤井寺市御舟町</v>
      </c>
      <c r="F6501" s="7"/>
      <c r="G6501" s="7" t="str">
        <f t="shared" si="2364"/>
        <v>事業用資産</v>
      </c>
      <c r="H6501" s="7" t="str">
        <f t="shared" si="2357"/>
        <v>棚卸以外</v>
      </c>
      <c r="I6501" s="7">
        <v>23</v>
      </c>
      <c r="J6501" s="7" t="str">
        <f>"材料倉庫"</f>
        <v>材料倉庫</v>
      </c>
      <c r="K6501" s="7" t="str">
        <f>"鉄骨コンクリート造"</f>
        <v>鉄骨コンクリート造</v>
      </c>
      <c r="L6501" s="7" t="str">
        <f>"S41.11.30"</f>
        <v>S41.11.30</v>
      </c>
      <c r="M6501" s="7">
        <v>75.33</v>
      </c>
      <c r="N6501" s="7">
        <v>1812000</v>
      </c>
      <c r="O6501" s="7">
        <v>1811999</v>
      </c>
      <c r="P6501" s="7">
        <v>0</v>
      </c>
      <c r="Q6501" s="7" t="str">
        <f t="shared" si="2365"/>
        <v>教育庁</v>
      </c>
      <c r="R6501" s="7" t="str">
        <f t="shared" si="2363"/>
        <v>藤井寺工科高等学校</v>
      </c>
    </row>
    <row r="6502" spans="1:18" s="1" customFormat="1" x14ac:dyDescent="0.45">
      <c r="A6502" s="7" t="str">
        <f t="shared" si="2360"/>
        <v>10952000000</v>
      </c>
      <c r="B6502" s="7" t="str">
        <f t="shared" si="2361"/>
        <v>藤井寺工科高等学校</v>
      </c>
      <c r="C6502" s="7" t="str">
        <f t="shared" si="2358"/>
        <v>行政財産</v>
      </c>
      <c r="D6502" s="7" t="str">
        <f t="shared" si="2356"/>
        <v>学校</v>
      </c>
      <c r="E6502" s="7" t="str">
        <f t="shared" si="2362"/>
        <v>大阪府藤井寺市御舟町</v>
      </c>
      <c r="F6502" s="7"/>
      <c r="G6502" s="7" t="str">
        <f t="shared" si="2364"/>
        <v>事業用資産</v>
      </c>
      <c r="H6502" s="7" t="str">
        <f t="shared" si="2357"/>
        <v>棚卸以外</v>
      </c>
      <c r="I6502" s="7">
        <v>25</v>
      </c>
      <c r="J6502" s="7" t="str">
        <f>"プール機械室"</f>
        <v>プール機械室</v>
      </c>
      <c r="K6502" s="7" t="str">
        <f>"レンガ、石積造"</f>
        <v>レンガ、石積造</v>
      </c>
      <c r="L6502" s="7" t="str">
        <f>"S43.04.15"</f>
        <v>S43.04.15</v>
      </c>
      <c r="M6502" s="7">
        <v>28.32</v>
      </c>
      <c r="N6502" s="7">
        <v>1072634</v>
      </c>
      <c r="O6502" s="7">
        <v>1072633</v>
      </c>
      <c r="P6502" s="7">
        <v>0</v>
      </c>
      <c r="Q6502" s="7" t="str">
        <f t="shared" si="2365"/>
        <v>教育庁</v>
      </c>
      <c r="R6502" s="7" t="str">
        <f t="shared" si="2363"/>
        <v>藤井寺工科高等学校</v>
      </c>
    </row>
    <row r="6503" spans="1:18" s="1" customFormat="1" x14ac:dyDescent="0.45">
      <c r="A6503" s="7" t="str">
        <f t="shared" si="2360"/>
        <v>10952000000</v>
      </c>
      <c r="B6503" s="7" t="str">
        <f t="shared" si="2361"/>
        <v>藤井寺工科高等学校</v>
      </c>
      <c r="C6503" s="7" t="str">
        <f t="shared" si="2358"/>
        <v>行政財産</v>
      </c>
      <c r="D6503" s="7" t="str">
        <f t="shared" si="2356"/>
        <v>学校</v>
      </c>
      <c r="E6503" s="7" t="str">
        <f t="shared" si="2362"/>
        <v>大阪府藤井寺市御舟町</v>
      </c>
      <c r="F6503" s="7"/>
      <c r="G6503" s="7" t="str">
        <f t="shared" si="2364"/>
        <v>事業用資産</v>
      </c>
      <c r="H6503" s="7" t="str">
        <f t="shared" si="2357"/>
        <v>棚卸以外</v>
      </c>
      <c r="I6503" s="7">
        <v>26</v>
      </c>
      <c r="J6503" s="7" t="str">
        <f>"自動車実習室"</f>
        <v>自動車実習室</v>
      </c>
      <c r="K6503" s="7" t="str">
        <f>"鉄骨造"</f>
        <v>鉄骨造</v>
      </c>
      <c r="L6503" s="7" t="str">
        <f>"S44.03.31"</f>
        <v>S44.03.31</v>
      </c>
      <c r="M6503" s="7">
        <v>527</v>
      </c>
      <c r="N6503" s="7">
        <v>73935594</v>
      </c>
      <c r="O6503" s="7">
        <v>32274599</v>
      </c>
      <c r="P6503" s="7">
        <v>0</v>
      </c>
      <c r="Q6503" s="7" t="str">
        <f t="shared" si="2365"/>
        <v>教育庁</v>
      </c>
      <c r="R6503" s="7" t="str">
        <f t="shared" si="2363"/>
        <v>藤井寺工科高等学校</v>
      </c>
    </row>
    <row r="6504" spans="1:18" s="1" customFormat="1" x14ac:dyDescent="0.45">
      <c r="A6504" s="7" t="str">
        <f t="shared" si="2360"/>
        <v>10952000000</v>
      </c>
      <c r="B6504" s="7" t="str">
        <f t="shared" si="2361"/>
        <v>藤井寺工科高等学校</v>
      </c>
      <c r="C6504" s="7" t="str">
        <f t="shared" si="2358"/>
        <v>行政財産</v>
      </c>
      <c r="D6504" s="7" t="str">
        <f t="shared" si="2356"/>
        <v>学校</v>
      </c>
      <c r="E6504" s="7" t="str">
        <f t="shared" si="2362"/>
        <v>大阪府藤井寺市御舟町</v>
      </c>
      <c r="F6504" s="7"/>
      <c r="G6504" s="7" t="str">
        <f t="shared" si="2364"/>
        <v>事業用資産</v>
      </c>
      <c r="H6504" s="7" t="str">
        <f t="shared" si="2357"/>
        <v>棚卸以外</v>
      </c>
      <c r="I6504" s="7">
        <v>31</v>
      </c>
      <c r="J6504" s="7" t="str">
        <f>"管財倉庫２"</f>
        <v>管財倉庫２</v>
      </c>
      <c r="K6504" s="7" t="str">
        <f>"コンクリートブロック造"</f>
        <v>コンクリートブロック造</v>
      </c>
      <c r="L6504" s="7" t="str">
        <f>"S52.03.30"</f>
        <v>S52.03.30</v>
      </c>
      <c r="M6504" s="7">
        <v>5.34</v>
      </c>
      <c r="N6504" s="7">
        <v>3445000</v>
      </c>
      <c r="O6504" s="7">
        <v>3444999</v>
      </c>
      <c r="P6504" s="7">
        <v>0</v>
      </c>
      <c r="Q6504" s="7" t="str">
        <f t="shared" si="2365"/>
        <v>教育庁</v>
      </c>
      <c r="R6504" s="7" t="str">
        <f t="shared" si="2363"/>
        <v>藤井寺工科高等学校</v>
      </c>
    </row>
    <row r="6505" spans="1:18" s="1" customFormat="1" x14ac:dyDescent="0.45">
      <c r="A6505" s="7" t="str">
        <f t="shared" si="2360"/>
        <v>10952000000</v>
      </c>
      <c r="B6505" s="7" t="str">
        <f t="shared" si="2361"/>
        <v>藤井寺工科高等学校</v>
      </c>
      <c r="C6505" s="7" t="str">
        <f t="shared" si="2358"/>
        <v>行政財産</v>
      </c>
      <c r="D6505" s="7" t="str">
        <f t="shared" si="2356"/>
        <v>学校</v>
      </c>
      <c r="E6505" s="7" t="str">
        <f t="shared" si="2362"/>
        <v>大阪府藤井寺市御舟町</v>
      </c>
      <c r="F6505" s="7"/>
      <c r="G6505" s="7" t="str">
        <f t="shared" si="2364"/>
        <v>事業用資産</v>
      </c>
      <c r="H6505" s="7" t="str">
        <f t="shared" si="2357"/>
        <v>棚卸以外</v>
      </c>
      <c r="I6505" s="7">
        <v>33</v>
      </c>
      <c r="J6505" s="7" t="str">
        <f>"実習棟"</f>
        <v>実習棟</v>
      </c>
      <c r="K6505" s="7" t="str">
        <f>"鉄骨造"</f>
        <v>鉄骨造</v>
      </c>
      <c r="L6505" s="7" t="str">
        <f>"S60.10.22"</f>
        <v>S60.10.22</v>
      </c>
      <c r="M6505" s="7">
        <v>752.53</v>
      </c>
      <c r="N6505" s="7">
        <v>68302068</v>
      </c>
      <c r="O6505" s="7">
        <v>64411663</v>
      </c>
      <c r="P6505" s="7">
        <v>0</v>
      </c>
      <c r="Q6505" s="7" t="str">
        <f t="shared" si="2365"/>
        <v>教育庁</v>
      </c>
      <c r="R6505" s="7" t="str">
        <f t="shared" si="2363"/>
        <v>藤井寺工科高等学校</v>
      </c>
    </row>
    <row r="6506" spans="1:18" s="1" customFormat="1" x14ac:dyDescent="0.45">
      <c r="A6506" s="7" t="str">
        <f t="shared" si="2360"/>
        <v>10952000000</v>
      </c>
      <c r="B6506" s="7" t="str">
        <f t="shared" si="2361"/>
        <v>藤井寺工科高等学校</v>
      </c>
      <c r="C6506" s="7" t="str">
        <f t="shared" si="2358"/>
        <v>行政財産</v>
      </c>
      <c r="D6506" s="7" t="str">
        <f t="shared" si="2356"/>
        <v>学校</v>
      </c>
      <c r="E6506" s="7" t="str">
        <f t="shared" si="2362"/>
        <v>大阪府藤井寺市御舟町</v>
      </c>
      <c r="F6506" s="7"/>
      <c r="G6506" s="7" t="str">
        <f t="shared" si="2364"/>
        <v>事業用資産</v>
      </c>
      <c r="H6506" s="7" t="str">
        <f t="shared" si="2357"/>
        <v>棚卸以外</v>
      </c>
      <c r="I6506" s="7">
        <v>35</v>
      </c>
      <c r="J6506" s="7" t="str">
        <f>"下足室"</f>
        <v>下足室</v>
      </c>
      <c r="K6506" s="7" t="str">
        <f>"鉄骨造"</f>
        <v>鉄骨造</v>
      </c>
      <c r="L6506" s="7" t="str">
        <f>"S60.10.22"</f>
        <v>S60.10.22</v>
      </c>
      <c r="M6506" s="7">
        <v>88.7</v>
      </c>
      <c r="N6506" s="7">
        <v>5563000</v>
      </c>
      <c r="O6506" s="7">
        <v>5562999</v>
      </c>
      <c r="P6506" s="7">
        <v>0</v>
      </c>
      <c r="Q6506" s="7" t="str">
        <f t="shared" si="2365"/>
        <v>教育庁</v>
      </c>
      <c r="R6506" s="7" t="str">
        <f t="shared" si="2363"/>
        <v>藤井寺工科高等学校</v>
      </c>
    </row>
    <row r="6507" spans="1:18" s="1" customFormat="1" x14ac:dyDescent="0.45">
      <c r="A6507" s="7" t="str">
        <f t="shared" si="2360"/>
        <v>10952000000</v>
      </c>
      <c r="B6507" s="7" t="str">
        <f t="shared" si="2361"/>
        <v>藤井寺工科高等学校</v>
      </c>
      <c r="C6507" s="7" t="str">
        <f t="shared" si="2358"/>
        <v>行政財産</v>
      </c>
      <c r="D6507" s="7" t="str">
        <f t="shared" si="2356"/>
        <v>学校</v>
      </c>
      <c r="E6507" s="7" t="str">
        <f t="shared" si="2362"/>
        <v>大阪府藤井寺市御舟町</v>
      </c>
      <c r="F6507" s="7"/>
      <c r="G6507" s="7" t="str">
        <f t="shared" si="2364"/>
        <v>事業用資産</v>
      </c>
      <c r="H6507" s="7" t="str">
        <f t="shared" si="2357"/>
        <v>棚卸以外</v>
      </c>
      <c r="I6507" s="7">
        <v>36</v>
      </c>
      <c r="J6507" s="7" t="str">
        <f>"体育倉庫"</f>
        <v>体育倉庫</v>
      </c>
      <c r="K6507" s="7" t="str">
        <f>"コンクリートブロック造"</f>
        <v>コンクリートブロック造</v>
      </c>
      <c r="L6507" s="7" t="str">
        <f>"H04.09.30"</f>
        <v>H04.09.30</v>
      </c>
      <c r="M6507" s="7">
        <v>7.26</v>
      </c>
      <c r="N6507" s="7">
        <v>1186000</v>
      </c>
      <c r="O6507" s="7">
        <v>1063962</v>
      </c>
      <c r="P6507" s="7">
        <v>0</v>
      </c>
      <c r="Q6507" s="7" t="str">
        <f t="shared" si="2365"/>
        <v>教育庁</v>
      </c>
      <c r="R6507" s="7" t="str">
        <f t="shared" si="2363"/>
        <v>藤井寺工科高等学校</v>
      </c>
    </row>
    <row r="6508" spans="1:18" s="1" customFormat="1" x14ac:dyDescent="0.45">
      <c r="A6508" s="7" t="str">
        <f t="shared" si="2360"/>
        <v>10952000000</v>
      </c>
      <c r="B6508" s="7" t="str">
        <f t="shared" si="2361"/>
        <v>藤井寺工科高等学校</v>
      </c>
      <c r="C6508" s="7" t="str">
        <f t="shared" si="2358"/>
        <v>行政財産</v>
      </c>
      <c r="D6508" s="7" t="str">
        <f t="shared" si="2356"/>
        <v>学校</v>
      </c>
      <c r="E6508" s="7" t="str">
        <f t="shared" si="2362"/>
        <v>大阪府藤井寺市御舟町</v>
      </c>
      <c r="F6508" s="7"/>
      <c r="G6508" s="7" t="str">
        <f t="shared" si="2364"/>
        <v>事業用資産</v>
      </c>
      <c r="H6508" s="7" t="str">
        <f t="shared" si="2357"/>
        <v>棚卸以外</v>
      </c>
      <c r="I6508" s="7">
        <v>37</v>
      </c>
      <c r="J6508" s="7" t="str">
        <f>"ポンプ室"</f>
        <v>ポンプ室</v>
      </c>
      <c r="K6508" s="7" t="str">
        <f>"コンクリートブロック造"</f>
        <v>コンクリートブロック造</v>
      </c>
      <c r="L6508" s="7" t="str">
        <f>"H13.03.27"</f>
        <v>H13.03.27</v>
      </c>
      <c r="M6508" s="7">
        <v>12</v>
      </c>
      <c r="N6508" s="7">
        <v>5054000</v>
      </c>
      <c r="O6508" s="7">
        <v>4459680</v>
      </c>
      <c r="P6508" s="7">
        <v>0</v>
      </c>
      <c r="Q6508" s="7" t="str">
        <f t="shared" si="2365"/>
        <v>教育庁</v>
      </c>
      <c r="R6508" s="7" t="str">
        <f t="shared" si="2363"/>
        <v>藤井寺工科高等学校</v>
      </c>
    </row>
    <row r="6509" spans="1:18" s="1" customFormat="1" x14ac:dyDescent="0.45">
      <c r="A6509" s="7" t="str">
        <f t="shared" si="2360"/>
        <v>10952000000</v>
      </c>
      <c r="B6509" s="7" t="str">
        <f t="shared" si="2361"/>
        <v>藤井寺工科高等学校</v>
      </c>
      <c r="C6509" s="7" t="str">
        <f t="shared" si="2358"/>
        <v>行政財産</v>
      </c>
      <c r="D6509" s="7" t="str">
        <f t="shared" si="2356"/>
        <v>学校</v>
      </c>
      <c r="E6509" s="7" t="str">
        <f t="shared" si="2362"/>
        <v>大阪府藤井寺市御舟町</v>
      </c>
      <c r="F6509" s="7"/>
      <c r="G6509" s="7" t="str">
        <f t="shared" si="2364"/>
        <v>事業用資産</v>
      </c>
      <c r="H6509" s="7" t="str">
        <f t="shared" si="2357"/>
        <v>棚卸以外</v>
      </c>
      <c r="I6509" s="7">
        <v>38</v>
      </c>
      <c r="J6509" s="7" t="str">
        <f>"ごみ置き場"</f>
        <v>ごみ置き場</v>
      </c>
      <c r="K6509" s="7" t="str">
        <f>"鉄骨造"</f>
        <v>鉄骨造</v>
      </c>
      <c r="L6509" s="7" t="str">
        <f>"H18.07.31"</f>
        <v>H18.07.31</v>
      </c>
      <c r="M6509" s="7">
        <v>29.23</v>
      </c>
      <c r="N6509" s="7">
        <v>3324000</v>
      </c>
      <c r="O6509" s="7">
        <v>3216960</v>
      </c>
      <c r="P6509" s="7">
        <v>0</v>
      </c>
      <c r="Q6509" s="7" t="str">
        <f t="shared" si="2365"/>
        <v>教育庁</v>
      </c>
      <c r="R6509" s="7" t="str">
        <f t="shared" si="2363"/>
        <v>藤井寺工科高等学校</v>
      </c>
    </row>
    <row r="6510" spans="1:18" s="1" customFormat="1" x14ac:dyDescent="0.45">
      <c r="A6510" s="7" t="str">
        <f t="shared" si="2360"/>
        <v>10952000000</v>
      </c>
      <c r="B6510" s="7" t="str">
        <f t="shared" si="2361"/>
        <v>藤井寺工科高等学校</v>
      </c>
      <c r="C6510" s="7" t="str">
        <f t="shared" si="2358"/>
        <v>行政財産</v>
      </c>
      <c r="D6510" s="7" t="str">
        <f t="shared" si="2356"/>
        <v>学校</v>
      </c>
      <c r="E6510" s="7" t="str">
        <f t="shared" si="2362"/>
        <v>大阪府藤井寺市御舟町</v>
      </c>
      <c r="F6510" s="7"/>
      <c r="G6510" s="7" t="str">
        <f t="shared" si="2364"/>
        <v>事業用資産</v>
      </c>
      <c r="H6510" s="7" t="str">
        <f t="shared" si="2357"/>
        <v>棚卸以外</v>
      </c>
      <c r="I6510" s="7">
        <v>39</v>
      </c>
      <c r="J6510" s="7" t="str">
        <f>"実習棟"</f>
        <v>実習棟</v>
      </c>
      <c r="K6510" s="7" t="str">
        <f>"鉄骨造"</f>
        <v>鉄骨造</v>
      </c>
      <c r="L6510" s="7" t="str">
        <f>"H18.07.31"</f>
        <v>H18.07.31</v>
      </c>
      <c r="M6510" s="7">
        <v>304.5</v>
      </c>
      <c r="N6510" s="7">
        <v>50659000</v>
      </c>
      <c r="O6510" s="7">
        <v>44699400</v>
      </c>
      <c r="P6510" s="7">
        <v>0</v>
      </c>
      <c r="Q6510" s="7" t="str">
        <f t="shared" si="2365"/>
        <v>教育庁</v>
      </c>
      <c r="R6510" s="7" t="str">
        <f t="shared" si="2363"/>
        <v>藤井寺工科高等学校</v>
      </c>
    </row>
    <row r="6511" spans="1:18" s="1" customFormat="1" x14ac:dyDescent="0.45">
      <c r="A6511" s="7" t="str">
        <f t="shared" si="2360"/>
        <v>10952000000</v>
      </c>
      <c r="B6511" s="7" t="str">
        <f t="shared" si="2361"/>
        <v>藤井寺工科高等学校</v>
      </c>
      <c r="C6511" s="7" t="str">
        <f t="shared" si="2358"/>
        <v>行政財産</v>
      </c>
      <c r="D6511" s="7" t="str">
        <f t="shared" si="2356"/>
        <v>学校</v>
      </c>
      <c r="E6511" s="7" t="str">
        <f t="shared" si="2362"/>
        <v>大阪府藤井寺市御舟町</v>
      </c>
      <c r="F6511" s="7"/>
      <c r="G6511" s="7" t="str">
        <f t="shared" si="2364"/>
        <v>事業用資産</v>
      </c>
      <c r="H6511" s="7" t="str">
        <f t="shared" si="2357"/>
        <v>棚卸以外</v>
      </c>
      <c r="I6511" s="7">
        <v>40</v>
      </c>
      <c r="J6511" s="7" t="str">
        <f>"教室棟"</f>
        <v>教室棟</v>
      </c>
      <c r="K6511" s="7" t="str">
        <f>"鉄筋コンクリート造"</f>
        <v>鉄筋コンクリート造</v>
      </c>
      <c r="L6511" s="7" t="str">
        <f>"H18.07.31"</f>
        <v>H18.07.31</v>
      </c>
      <c r="M6511" s="7">
        <v>270.2</v>
      </c>
      <c r="N6511" s="7">
        <v>38381000</v>
      </c>
      <c r="O6511" s="7">
        <v>24498720</v>
      </c>
      <c r="P6511" s="7">
        <v>0</v>
      </c>
      <c r="Q6511" s="7" t="str">
        <f t="shared" si="2365"/>
        <v>教育庁</v>
      </c>
      <c r="R6511" s="7" t="str">
        <f t="shared" si="2363"/>
        <v>藤井寺工科高等学校</v>
      </c>
    </row>
    <row r="6512" spans="1:18" s="1" customFormat="1" x14ac:dyDescent="0.45">
      <c r="A6512" s="7" t="str">
        <f t="shared" si="2360"/>
        <v>10952000000</v>
      </c>
      <c r="B6512" s="7" t="str">
        <f t="shared" si="2361"/>
        <v>藤井寺工科高等学校</v>
      </c>
      <c r="C6512" s="7" t="str">
        <f t="shared" si="2358"/>
        <v>行政財産</v>
      </c>
      <c r="D6512" s="7" t="str">
        <f t="shared" si="2356"/>
        <v>学校</v>
      </c>
      <c r="E6512" s="7" t="str">
        <f t="shared" si="2362"/>
        <v>大阪府藤井寺市御舟町</v>
      </c>
      <c r="F6512" s="7"/>
      <c r="G6512" s="7" t="str">
        <f t="shared" si="2364"/>
        <v>事業用資産</v>
      </c>
      <c r="H6512" s="7" t="str">
        <f t="shared" si="2357"/>
        <v>棚卸以外</v>
      </c>
      <c r="I6512" s="7">
        <v>41</v>
      </c>
      <c r="J6512" s="7" t="str">
        <f>"実習棟渡廊下"</f>
        <v>実習棟渡廊下</v>
      </c>
      <c r="K6512" s="7" t="str">
        <f>"鉄骨造"</f>
        <v>鉄骨造</v>
      </c>
      <c r="L6512" s="7" t="str">
        <f>"H18.07.31"</f>
        <v>H18.07.31</v>
      </c>
      <c r="M6512" s="7">
        <v>115.85</v>
      </c>
      <c r="N6512" s="7">
        <v>3948000</v>
      </c>
      <c r="O6512" s="7">
        <v>3483720</v>
      </c>
      <c r="P6512" s="7">
        <v>0</v>
      </c>
      <c r="Q6512" s="7" t="str">
        <f t="shared" si="2365"/>
        <v>教育庁</v>
      </c>
      <c r="R6512" s="7" t="str">
        <f t="shared" si="2363"/>
        <v>藤井寺工科高等学校</v>
      </c>
    </row>
    <row r="6513" spans="1:18" s="1" customFormat="1" x14ac:dyDescent="0.45">
      <c r="A6513" s="7" t="str">
        <f t="shared" si="2360"/>
        <v>10952000000</v>
      </c>
      <c r="B6513" s="7" t="str">
        <f t="shared" si="2361"/>
        <v>藤井寺工科高等学校</v>
      </c>
      <c r="C6513" s="7" t="str">
        <f t="shared" si="2358"/>
        <v>行政財産</v>
      </c>
      <c r="D6513" s="7" t="str">
        <f t="shared" si="2356"/>
        <v>学校</v>
      </c>
      <c r="E6513" s="7" t="str">
        <f t="shared" si="2362"/>
        <v>大阪府藤井寺市御舟町</v>
      </c>
      <c r="F6513" s="7"/>
      <c r="G6513" s="7" t="str">
        <f t="shared" si="2364"/>
        <v>事業用資産</v>
      </c>
      <c r="H6513" s="7" t="str">
        <f t="shared" si="2357"/>
        <v>棚卸以外</v>
      </c>
      <c r="I6513" s="7">
        <v>42</v>
      </c>
      <c r="J6513" s="7" t="str">
        <f>"教室棟渡廊下"</f>
        <v>教室棟渡廊下</v>
      </c>
      <c r="K6513" s="7" t="str">
        <f>"鉄骨造"</f>
        <v>鉄骨造</v>
      </c>
      <c r="L6513" s="7" t="str">
        <f>"H18.07.31"</f>
        <v>H18.07.31</v>
      </c>
      <c r="M6513" s="7">
        <v>36.19</v>
      </c>
      <c r="N6513" s="7">
        <v>1953000</v>
      </c>
      <c r="O6513" s="7">
        <v>1723320</v>
      </c>
      <c r="P6513" s="7">
        <v>0</v>
      </c>
      <c r="Q6513" s="7" t="str">
        <f t="shared" si="2365"/>
        <v>教育庁</v>
      </c>
      <c r="R6513" s="7" t="str">
        <f t="shared" si="2363"/>
        <v>藤井寺工科高等学校</v>
      </c>
    </row>
    <row r="6514" spans="1:18" s="1" customFormat="1" x14ac:dyDescent="0.45">
      <c r="A6514" s="7" t="str">
        <f t="shared" si="2360"/>
        <v>10952000000</v>
      </c>
      <c r="B6514" s="7" t="str">
        <f t="shared" si="2361"/>
        <v>藤井寺工科高等学校</v>
      </c>
      <c r="C6514" s="7" t="str">
        <f t="shared" si="2358"/>
        <v>行政財産</v>
      </c>
      <c r="D6514" s="7" t="str">
        <f t="shared" si="2356"/>
        <v>学校</v>
      </c>
      <c r="E6514" s="7" t="str">
        <f t="shared" si="2362"/>
        <v>大阪府藤井寺市御舟町</v>
      </c>
      <c r="F6514" s="7"/>
      <c r="G6514" s="7" t="str">
        <f t="shared" si="2364"/>
        <v>事業用資産</v>
      </c>
      <c r="H6514" s="7" t="str">
        <f t="shared" si="2357"/>
        <v>棚卸以外</v>
      </c>
      <c r="I6514" s="7">
        <v>43</v>
      </c>
      <c r="J6514" s="7" t="str">
        <f>"同窓会館"</f>
        <v>同窓会館</v>
      </c>
      <c r="K6514" s="7" t="str">
        <f>"軽量鉄骨造"</f>
        <v>軽量鉄骨造</v>
      </c>
      <c r="L6514" s="7" t="str">
        <f>"H24.11.16"</f>
        <v>H24.11.16</v>
      </c>
      <c r="M6514" s="7">
        <v>346.58</v>
      </c>
      <c r="N6514" s="7">
        <v>42000000</v>
      </c>
      <c r="O6514" s="7">
        <v>14466708</v>
      </c>
      <c r="P6514" s="7">
        <v>0</v>
      </c>
      <c r="Q6514" s="7" t="str">
        <f t="shared" si="2365"/>
        <v>教育庁</v>
      </c>
      <c r="R6514" s="7" t="str">
        <f t="shared" si="2363"/>
        <v>藤井寺工科高等学校</v>
      </c>
    </row>
    <row r="6515" spans="1:18" s="1" customFormat="1" x14ac:dyDescent="0.45">
      <c r="A6515" s="7" t="str">
        <f t="shared" ref="A6515:A6537" si="2366">"10953000000"</f>
        <v>10953000000</v>
      </c>
      <c r="B6515" s="7" t="str">
        <f t="shared" ref="B6515:B6537" si="2367">"堺工科高等学校"</f>
        <v>堺工科高等学校</v>
      </c>
      <c r="C6515" s="7" t="str">
        <f t="shared" si="2358"/>
        <v>行政財産</v>
      </c>
      <c r="D6515" s="7" t="str">
        <f t="shared" si="2356"/>
        <v>学校</v>
      </c>
      <c r="E6515" s="7" t="str">
        <f t="shared" ref="E6515:E6537" si="2368">"大阪府堺市　堺区大仙中町"</f>
        <v>大阪府堺市　堺区大仙中町</v>
      </c>
      <c r="F6515" s="7"/>
      <c r="G6515" s="7" t="str">
        <f t="shared" si="2364"/>
        <v>事業用資産</v>
      </c>
      <c r="H6515" s="7" t="str">
        <f t="shared" si="2357"/>
        <v>棚卸以外</v>
      </c>
      <c r="I6515" s="7">
        <v>3</v>
      </c>
      <c r="J6515" s="7" t="str">
        <f>"蜂巣校舎"</f>
        <v>蜂巣校舎</v>
      </c>
      <c r="K6515" s="7" t="str">
        <f>"鉄筋コンクリート造"</f>
        <v>鉄筋コンクリート造</v>
      </c>
      <c r="L6515" s="7" t="str">
        <f>"S34.05.15"</f>
        <v>S34.05.15</v>
      </c>
      <c r="M6515" s="7">
        <v>905.15</v>
      </c>
      <c r="N6515" s="7">
        <v>28280647</v>
      </c>
      <c r="O6515" s="7">
        <v>20559209</v>
      </c>
      <c r="P6515" s="7">
        <v>0</v>
      </c>
      <c r="Q6515" s="7" t="str">
        <f t="shared" si="2365"/>
        <v>教育庁</v>
      </c>
      <c r="R6515" s="7" t="str">
        <f t="shared" ref="R6515:R6537" si="2369">"堺工科高等学校"</f>
        <v>堺工科高等学校</v>
      </c>
    </row>
    <row r="6516" spans="1:18" s="1" customFormat="1" x14ac:dyDescent="0.45">
      <c r="A6516" s="7" t="str">
        <f t="shared" si="2366"/>
        <v>10953000000</v>
      </c>
      <c r="B6516" s="7" t="str">
        <f t="shared" si="2367"/>
        <v>堺工科高等学校</v>
      </c>
      <c r="C6516" s="7" t="str">
        <f t="shared" si="2358"/>
        <v>行政財産</v>
      </c>
      <c r="D6516" s="7" t="str">
        <f t="shared" si="2356"/>
        <v>学校</v>
      </c>
      <c r="E6516" s="7" t="str">
        <f t="shared" si="2368"/>
        <v>大阪府堺市　堺区大仙中町</v>
      </c>
      <c r="F6516" s="7"/>
      <c r="G6516" s="7" t="str">
        <f t="shared" si="2364"/>
        <v>事業用資産</v>
      </c>
      <c r="H6516" s="7" t="str">
        <f t="shared" si="2357"/>
        <v>棚卸以外</v>
      </c>
      <c r="I6516" s="7">
        <v>16</v>
      </c>
      <c r="J6516" s="7" t="str">
        <f>"電気科Ａ棟"</f>
        <v>電気科Ａ棟</v>
      </c>
      <c r="K6516" s="7" t="str">
        <f>"鉄筋コンクリート造"</f>
        <v>鉄筋コンクリート造</v>
      </c>
      <c r="L6516" s="7" t="str">
        <f>"S35.08.22"</f>
        <v>S35.08.22</v>
      </c>
      <c r="M6516" s="7">
        <v>921.81</v>
      </c>
      <c r="N6516" s="7">
        <v>26506220</v>
      </c>
      <c r="O6516" s="7">
        <v>20246950</v>
      </c>
      <c r="P6516" s="7">
        <v>0</v>
      </c>
      <c r="Q6516" s="7" t="str">
        <f t="shared" si="2365"/>
        <v>教育庁</v>
      </c>
      <c r="R6516" s="7" t="str">
        <f t="shared" si="2369"/>
        <v>堺工科高等学校</v>
      </c>
    </row>
    <row r="6517" spans="1:18" s="1" customFormat="1" x14ac:dyDescent="0.45">
      <c r="A6517" s="7" t="str">
        <f t="shared" si="2366"/>
        <v>10953000000</v>
      </c>
      <c r="B6517" s="7" t="str">
        <f t="shared" si="2367"/>
        <v>堺工科高等学校</v>
      </c>
      <c r="C6517" s="7" t="str">
        <f t="shared" si="2358"/>
        <v>行政財産</v>
      </c>
      <c r="D6517" s="7" t="str">
        <f t="shared" si="2356"/>
        <v>学校</v>
      </c>
      <c r="E6517" s="7" t="str">
        <f t="shared" si="2368"/>
        <v>大阪府堺市　堺区大仙中町</v>
      </c>
      <c r="F6517" s="7"/>
      <c r="G6517" s="7" t="str">
        <f t="shared" si="2364"/>
        <v>事業用資産</v>
      </c>
      <c r="H6517" s="7" t="str">
        <f t="shared" si="2357"/>
        <v>棚卸以外</v>
      </c>
      <c r="I6517" s="7">
        <v>17</v>
      </c>
      <c r="J6517" s="7" t="str">
        <f>"電気科Ｂ棟"</f>
        <v>電気科Ｂ棟</v>
      </c>
      <c r="K6517" s="7" t="str">
        <f>"鉄筋コンクリート造"</f>
        <v>鉄筋コンクリート造</v>
      </c>
      <c r="L6517" s="7" t="str">
        <f>"S37.03.31"</f>
        <v>S37.03.31</v>
      </c>
      <c r="M6517" s="7">
        <v>775.14</v>
      </c>
      <c r="N6517" s="7">
        <v>29835115</v>
      </c>
      <c r="O6517" s="7">
        <v>21632736</v>
      </c>
      <c r="P6517" s="7">
        <v>0</v>
      </c>
      <c r="Q6517" s="7" t="str">
        <f t="shared" si="2365"/>
        <v>教育庁</v>
      </c>
      <c r="R6517" s="7" t="str">
        <f t="shared" si="2369"/>
        <v>堺工科高等学校</v>
      </c>
    </row>
    <row r="6518" spans="1:18" s="1" customFormat="1" x14ac:dyDescent="0.45">
      <c r="A6518" s="7" t="str">
        <f t="shared" si="2366"/>
        <v>10953000000</v>
      </c>
      <c r="B6518" s="7" t="str">
        <f t="shared" si="2367"/>
        <v>堺工科高等学校</v>
      </c>
      <c r="C6518" s="7" t="str">
        <f t="shared" si="2358"/>
        <v>行政財産</v>
      </c>
      <c r="D6518" s="7" t="str">
        <f t="shared" si="2356"/>
        <v>学校</v>
      </c>
      <c r="E6518" s="7" t="str">
        <f t="shared" si="2368"/>
        <v>大阪府堺市　堺区大仙中町</v>
      </c>
      <c r="F6518" s="7"/>
      <c r="G6518" s="7" t="str">
        <f t="shared" si="2364"/>
        <v>事業用資産</v>
      </c>
      <c r="H6518" s="7" t="str">
        <f t="shared" si="2357"/>
        <v>棚卸以外</v>
      </c>
      <c r="I6518" s="7">
        <v>35</v>
      </c>
      <c r="J6518" s="7" t="str">
        <f>"金属実習室１号棟"</f>
        <v>金属実習室１号棟</v>
      </c>
      <c r="K6518" s="7" t="str">
        <f>"鉄筋コンクリート造"</f>
        <v>鉄筋コンクリート造</v>
      </c>
      <c r="L6518" s="7" t="str">
        <f>"S42.03.28"</f>
        <v>S42.03.28</v>
      </c>
      <c r="M6518" s="7">
        <v>1856</v>
      </c>
      <c r="N6518" s="7">
        <v>83779162</v>
      </c>
      <c r="O6518" s="7">
        <v>67186768</v>
      </c>
      <c r="P6518" s="7">
        <v>0</v>
      </c>
      <c r="Q6518" s="7" t="str">
        <f t="shared" si="2365"/>
        <v>教育庁</v>
      </c>
      <c r="R6518" s="7" t="str">
        <f t="shared" si="2369"/>
        <v>堺工科高等学校</v>
      </c>
    </row>
    <row r="6519" spans="1:18" s="1" customFormat="1" x14ac:dyDescent="0.45">
      <c r="A6519" s="7" t="str">
        <f t="shared" si="2366"/>
        <v>10953000000</v>
      </c>
      <c r="B6519" s="7" t="str">
        <f t="shared" si="2367"/>
        <v>堺工科高等学校</v>
      </c>
      <c r="C6519" s="7" t="str">
        <f t="shared" si="2358"/>
        <v>行政財産</v>
      </c>
      <c r="D6519" s="7" t="str">
        <f t="shared" si="2356"/>
        <v>学校</v>
      </c>
      <c r="E6519" s="7" t="str">
        <f t="shared" si="2368"/>
        <v>大阪府堺市　堺区大仙中町</v>
      </c>
      <c r="F6519" s="7"/>
      <c r="G6519" s="7" t="str">
        <f t="shared" si="2364"/>
        <v>事業用資産</v>
      </c>
      <c r="H6519" s="7" t="str">
        <f t="shared" si="2357"/>
        <v>棚卸以外</v>
      </c>
      <c r="I6519" s="7">
        <v>39</v>
      </c>
      <c r="J6519" s="7" t="str">
        <f>"工業化学及び機械科棟"</f>
        <v>工業化学及び機械科棟</v>
      </c>
      <c r="K6519" s="7" t="str">
        <f>"鉄筋コンクリート造"</f>
        <v>鉄筋コンクリート造</v>
      </c>
      <c r="L6519" s="7" t="str">
        <f>"S46.10.31"</f>
        <v>S46.10.31</v>
      </c>
      <c r="M6519" s="7">
        <v>6687.92</v>
      </c>
      <c r="N6519" s="7">
        <v>421839392</v>
      </c>
      <c r="O6519" s="7">
        <v>288284203</v>
      </c>
      <c r="P6519" s="7">
        <v>0</v>
      </c>
      <c r="Q6519" s="7" t="str">
        <f t="shared" si="2365"/>
        <v>教育庁</v>
      </c>
      <c r="R6519" s="7" t="str">
        <f t="shared" si="2369"/>
        <v>堺工科高等学校</v>
      </c>
    </row>
    <row r="6520" spans="1:18" s="1" customFormat="1" x14ac:dyDescent="0.45">
      <c r="A6520" s="7" t="str">
        <f t="shared" si="2366"/>
        <v>10953000000</v>
      </c>
      <c r="B6520" s="7" t="str">
        <f t="shared" si="2367"/>
        <v>堺工科高等学校</v>
      </c>
      <c r="C6520" s="7" t="str">
        <f t="shared" si="2358"/>
        <v>行政財産</v>
      </c>
      <c r="D6520" s="7" t="str">
        <f t="shared" si="2356"/>
        <v>学校</v>
      </c>
      <c r="E6520" s="7" t="str">
        <f t="shared" si="2368"/>
        <v>大阪府堺市　堺区大仙中町</v>
      </c>
      <c r="F6520" s="7"/>
      <c r="G6520" s="7" t="str">
        <f t="shared" si="2364"/>
        <v>事業用資産</v>
      </c>
      <c r="H6520" s="7" t="str">
        <f t="shared" si="2357"/>
        <v>棚卸以外</v>
      </c>
      <c r="I6520" s="7">
        <v>40</v>
      </c>
      <c r="J6520" s="7" t="str">
        <f>"危険物倉庫"</f>
        <v>危険物倉庫</v>
      </c>
      <c r="K6520" s="7" t="str">
        <f>"コンクリートブロック造"</f>
        <v>コンクリートブロック造</v>
      </c>
      <c r="L6520" s="7" t="str">
        <f>"S46.10.31"</f>
        <v>S46.10.31</v>
      </c>
      <c r="M6520" s="7">
        <v>26.88</v>
      </c>
      <c r="N6520" s="7">
        <v>443100</v>
      </c>
      <c r="O6520" s="7">
        <v>443099</v>
      </c>
      <c r="P6520" s="7">
        <v>0</v>
      </c>
      <c r="Q6520" s="7" t="str">
        <f t="shared" si="2365"/>
        <v>教育庁</v>
      </c>
      <c r="R6520" s="7" t="str">
        <f t="shared" si="2369"/>
        <v>堺工科高等学校</v>
      </c>
    </row>
    <row r="6521" spans="1:18" s="1" customFormat="1" x14ac:dyDescent="0.45">
      <c r="A6521" s="7" t="str">
        <f t="shared" si="2366"/>
        <v>10953000000</v>
      </c>
      <c r="B6521" s="7" t="str">
        <f t="shared" si="2367"/>
        <v>堺工科高等学校</v>
      </c>
      <c r="C6521" s="7" t="str">
        <f t="shared" si="2358"/>
        <v>行政財産</v>
      </c>
      <c r="D6521" s="7" t="str">
        <f t="shared" si="2356"/>
        <v>学校</v>
      </c>
      <c r="E6521" s="7" t="str">
        <f t="shared" si="2368"/>
        <v>大阪府堺市　堺区大仙中町</v>
      </c>
      <c r="F6521" s="7"/>
      <c r="G6521" s="7" t="str">
        <f t="shared" si="2364"/>
        <v>事業用資産</v>
      </c>
      <c r="H6521" s="7" t="str">
        <f t="shared" si="2357"/>
        <v>棚卸以外</v>
      </c>
      <c r="I6521" s="7">
        <v>41</v>
      </c>
      <c r="J6521" s="7" t="str">
        <f>"ポンプ室"</f>
        <v>ポンプ室</v>
      </c>
      <c r="K6521" s="7" t="str">
        <f>"鉄筋コンクリート造"</f>
        <v>鉄筋コンクリート造</v>
      </c>
      <c r="L6521" s="7" t="str">
        <f>"S46.10.31"</f>
        <v>S46.10.31</v>
      </c>
      <c r="M6521" s="7">
        <v>33.200000000000003</v>
      </c>
      <c r="N6521" s="7">
        <v>3744243</v>
      </c>
      <c r="O6521" s="7">
        <v>2402185</v>
      </c>
      <c r="P6521" s="7">
        <v>0</v>
      </c>
      <c r="Q6521" s="7" t="str">
        <f t="shared" si="2365"/>
        <v>教育庁</v>
      </c>
      <c r="R6521" s="7" t="str">
        <f t="shared" si="2369"/>
        <v>堺工科高等学校</v>
      </c>
    </row>
    <row r="6522" spans="1:18" s="1" customFormat="1" x14ac:dyDescent="0.45">
      <c r="A6522" s="7" t="str">
        <f t="shared" si="2366"/>
        <v>10953000000</v>
      </c>
      <c r="B6522" s="7" t="str">
        <f t="shared" si="2367"/>
        <v>堺工科高等学校</v>
      </c>
      <c r="C6522" s="7" t="str">
        <f t="shared" si="2358"/>
        <v>行政財産</v>
      </c>
      <c r="D6522" s="7" t="str">
        <f t="shared" si="2356"/>
        <v>学校</v>
      </c>
      <c r="E6522" s="7" t="str">
        <f t="shared" si="2368"/>
        <v>大阪府堺市　堺区大仙中町</v>
      </c>
      <c r="F6522" s="7"/>
      <c r="G6522" s="7" t="str">
        <f t="shared" si="2364"/>
        <v>事業用資産</v>
      </c>
      <c r="H6522" s="7" t="str">
        <f t="shared" si="2357"/>
        <v>棚卸以外</v>
      </c>
      <c r="I6522" s="7">
        <v>43</v>
      </c>
      <c r="J6522" s="7" t="str">
        <f>"金属実習室２号棟"</f>
        <v>金属実習室２号棟</v>
      </c>
      <c r="K6522" s="7" t="str">
        <f>"鉄筋コンクリート造"</f>
        <v>鉄筋コンクリート造</v>
      </c>
      <c r="L6522" s="7" t="str">
        <f>"S47.08.15"</f>
        <v>S47.08.15</v>
      </c>
      <c r="M6522" s="7">
        <v>1733.81</v>
      </c>
      <c r="N6522" s="7">
        <v>155124505</v>
      </c>
      <c r="O6522" s="7">
        <v>128420607</v>
      </c>
      <c r="P6522" s="7">
        <v>0</v>
      </c>
      <c r="Q6522" s="7" t="str">
        <f t="shared" si="2365"/>
        <v>教育庁</v>
      </c>
      <c r="R6522" s="7" t="str">
        <f t="shared" si="2369"/>
        <v>堺工科高等学校</v>
      </c>
    </row>
    <row r="6523" spans="1:18" s="1" customFormat="1" x14ac:dyDescent="0.45">
      <c r="A6523" s="7" t="str">
        <f t="shared" si="2366"/>
        <v>10953000000</v>
      </c>
      <c r="B6523" s="7" t="str">
        <f t="shared" si="2367"/>
        <v>堺工科高等学校</v>
      </c>
      <c r="C6523" s="7" t="str">
        <f t="shared" si="2358"/>
        <v>行政財産</v>
      </c>
      <c r="D6523" s="7" t="str">
        <f t="shared" si="2356"/>
        <v>学校</v>
      </c>
      <c r="E6523" s="7" t="str">
        <f t="shared" si="2368"/>
        <v>大阪府堺市　堺区大仙中町</v>
      </c>
      <c r="F6523" s="7"/>
      <c r="G6523" s="7" t="str">
        <f t="shared" si="2364"/>
        <v>事業用資産</v>
      </c>
      <c r="H6523" s="7" t="str">
        <f t="shared" si="2357"/>
        <v>棚卸以外</v>
      </c>
      <c r="I6523" s="7">
        <v>44</v>
      </c>
      <c r="J6523" s="7" t="str">
        <f>"油庫"</f>
        <v>油庫</v>
      </c>
      <c r="K6523" s="7" t="str">
        <f>"無筋コンクリート造"</f>
        <v>無筋コンクリート造</v>
      </c>
      <c r="L6523" s="7" t="str">
        <f>"S47.08.15"</f>
        <v>S47.08.15</v>
      </c>
      <c r="M6523" s="7">
        <v>50</v>
      </c>
      <c r="N6523" s="7">
        <v>2473000</v>
      </c>
      <c r="O6523" s="7">
        <v>2472999</v>
      </c>
      <c r="P6523" s="7">
        <v>0</v>
      </c>
      <c r="Q6523" s="7" t="str">
        <f t="shared" si="2365"/>
        <v>教育庁</v>
      </c>
      <c r="R6523" s="7" t="str">
        <f t="shared" si="2369"/>
        <v>堺工科高等学校</v>
      </c>
    </row>
    <row r="6524" spans="1:18" s="1" customFormat="1" x14ac:dyDescent="0.45">
      <c r="A6524" s="7" t="str">
        <f t="shared" si="2366"/>
        <v>10953000000</v>
      </c>
      <c r="B6524" s="7" t="str">
        <f t="shared" si="2367"/>
        <v>堺工科高等学校</v>
      </c>
      <c r="C6524" s="7" t="str">
        <f t="shared" si="2358"/>
        <v>行政財産</v>
      </c>
      <c r="D6524" s="7" t="str">
        <f t="shared" si="2356"/>
        <v>学校</v>
      </c>
      <c r="E6524" s="7" t="str">
        <f t="shared" si="2368"/>
        <v>大阪府堺市　堺区大仙中町</v>
      </c>
      <c r="F6524" s="7"/>
      <c r="G6524" s="7" t="str">
        <f t="shared" si="2364"/>
        <v>事業用資産</v>
      </c>
      <c r="H6524" s="7" t="str">
        <f t="shared" si="2357"/>
        <v>棚卸以外</v>
      </c>
      <c r="I6524" s="7">
        <v>46</v>
      </c>
      <c r="J6524" s="7" t="str">
        <f>"ボンベ置場"</f>
        <v>ボンベ置場</v>
      </c>
      <c r="K6524" s="7" t="str">
        <f>"コンクリートブロック造"</f>
        <v>コンクリートブロック造</v>
      </c>
      <c r="L6524" s="7" t="str">
        <f>"S48.03.15"</f>
        <v>S48.03.15</v>
      </c>
      <c r="M6524" s="7">
        <v>2.0699999999999998</v>
      </c>
      <c r="N6524" s="7">
        <v>212000</v>
      </c>
      <c r="O6524" s="7">
        <v>211999</v>
      </c>
      <c r="P6524" s="7">
        <v>0</v>
      </c>
      <c r="Q6524" s="7" t="str">
        <f t="shared" si="2365"/>
        <v>教育庁</v>
      </c>
      <c r="R6524" s="7" t="str">
        <f t="shared" si="2369"/>
        <v>堺工科高等学校</v>
      </c>
    </row>
    <row r="6525" spans="1:18" s="1" customFormat="1" x14ac:dyDescent="0.45">
      <c r="A6525" s="7" t="str">
        <f t="shared" si="2366"/>
        <v>10953000000</v>
      </c>
      <c r="B6525" s="7" t="str">
        <f t="shared" si="2367"/>
        <v>堺工科高等学校</v>
      </c>
      <c r="C6525" s="7" t="str">
        <f t="shared" si="2358"/>
        <v>行政財産</v>
      </c>
      <c r="D6525" s="7" t="str">
        <f t="shared" si="2356"/>
        <v>学校</v>
      </c>
      <c r="E6525" s="7" t="str">
        <f t="shared" si="2368"/>
        <v>大阪府堺市　堺区大仙中町</v>
      </c>
      <c r="F6525" s="7"/>
      <c r="G6525" s="7" t="str">
        <f t="shared" si="2364"/>
        <v>事業用資産</v>
      </c>
      <c r="H6525" s="7" t="str">
        <f t="shared" si="2357"/>
        <v>棚卸以外</v>
      </c>
      <c r="I6525" s="7">
        <v>48</v>
      </c>
      <c r="J6525" s="7" t="str">
        <f>"プール附属棟"</f>
        <v>プール附属棟</v>
      </c>
      <c r="K6525" s="7" t="str">
        <f>"コンクリートブロック造"</f>
        <v>コンクリートブロック造</v>
      </c>
      <c r="L6525" s="7" t="str">
        <f>"S48.05.20"</f>
        <v>S48.05.20</v>
      </c>
      <c r="M6525" s="7">
        <v>127.8</v>
      </c>
      <c r="N6525" s="7">
        <v>17660695</v>
      </c>
      <c r="O6525" s="7">
        <v>17568041</v>
      </c>
      <c r="P6525" s="7">
        <v>0</v>
      </c>
      <c r="Q6525" s="7" t="str">
        <f t="shared" si="2365"/>
        <v>教育庁</v>
      </c>
      <c r="R6525" s="7" t="str">
        <f t="shared" si="2369"/>
        <v>堺工科高等学校</v>
      </c>
    </row>
    <row r="6526" spans="1:18" s="1" customFormat="1" x14ac:dyDescent="0.45">
      <c r="A6526" s="7" t="str">
        <f t="shared" si="2366"/>
        <v>10953000000</v>
      </c>
      <c r="B6526" s="7" t="str">
        <f t="shared" si="2367"/>
        <v>堺工科高等学校</v>
      </c>
      <c r="C6526" s="7" t="str">
        <f t="shared" si="2358"/>
        <v>行政財産</v>
      </c>
      <c r="D6526" s="7" t="str">
        <f t="shared" si="2356"/>
        <v>学校</v>
      </c>
      <c r="E6526" s="7" t="str">
        <f t="shared" si="2368"/>
        <v>大阪府堺市　堺区大仙中町</v>
      </c>
      <c r="F6526" s="7"/>
      <c r="G6526" s="7" t="str">
        <f t="shared" si="2364"/>
        <v>事業用資産</v>
      </c>
      <c r="H6526" s="7" t="str">
        <f t="shared" si="2357"/>
        <v>棚卸以外</v>
      </c>
      <c r="I6526" s="7">
        <v>51</v>
      </c>
      <c r="J6526" s="7" t="str">
        <f>"体育館"</f>
        <v>体育館</v>
      </c>
      <c r="K6526" s="7" t="str">
        <f>"鉄筋コンクリート造"</f>
        <v>鉄筋コンクリート造</v>
      </c>
      <c r="L6526" s="7" t="str">
        <f>"S49.11.30"</f>
        <v>S49.11.30</v>
      </c>
      <c r="M6526" s="7">
        <v>2561.11</v>
      </c>
      <c r="N6526" s="7">
        <v>258334995</v>
      </c>
      <c r="O6526" s="7">
        <v>238223988</v>
      </c>
      <c r="P6526" s="7">
        <v>0</v>
      </c>
      <c r="Q6526" s="7" t="str">
        <f t="shared" si="2365"/>
        <v>教育庁</v>
      </c>
      <c r="R6526" s="7" t="str">
        <f t="shared" si="2369"/>
        <v>堺工科高等学校</v>
      </c>
    </row>
    <row r="6527" spans="1:18" s="1" customFormat="1" x14ac:dyDescent="0.45">
      <c r="A6527" s="7" t="str">
        <f t="shared" si="2366"/>
        <v>10953000000</v>
      </c>
      <c r="B6527" s="7" t="str">
        <f t="shared" si="2367"/>
        <v>堺工科高等学校</v>
      </c>
      <c r="C6527" s="7" t="str">
        <f t="shared" si="2358"/>
        <v>行政財産</v>
      </c>
      <c r="D6527" s="7" t="str">
        <f t="shared" si="2356"/>
        <v>学校</v>
      </c>
      <c r="E6527" s="7" t="str">
        <f t="shared" si="2368"/>
        <v>大阪府堺市　堺区大仙中町</v>
      </c>
      <c r="F6527" s="7"/>
      <c r="G6527" s="7" t="str">
        <f t="shared" si="2364"/>
        <v>事業用資産</v>
      </c>
      <c r="H6527" s="7" t="str">
        <f t="shared" si="2357"/>
        <v>棚卸以外</v>
      </c>
      <c r="I6527" s="7">
        <v>52</v>
      </c>
      <c r="J6527" s="7" t="str">
        <f>"電気科便所"</f>
        <v>電気科便所</v>
      </c>
      <c r="K6527" s="7" t="str">
        <f>"鉄骨造"</f>
        <v>鉄骨造</v>
      </c>
      <c r="L6527" s="7" t="str">
        <f>"S50.02.28"</f>
        <v>S50.02.28</v>
      </c>
      <c r="M6527" s="7">
        <v>77.989999999999995</v>
      </c>
      <c r="N6527" s="7">
        <v>6896050</v>
      </c>
      <c r="O6527" s="7">
        <v>6327916</v>
      </c>
      <c r="P6527" s="7">
        <v>0</v>
      </c>
      <c r="Q6527" s="7" t="str">
        <f t="shared" si="2365"/>
        <v>教育庁</v>
      </c>
      <c r="R6527" s="7" t="str">
        <f t="shared" si="2369"/>
        <v>堺工科高等学校</v>
      </c>
    </row>
    <row r="6528" spans="1:18" s="1" customFormat="1" x14ac:dyDescent="0.45">
      <c r="A6528" s="7" t="str">
        <f t="shared" si="2366"/>
        <v>10953000000</v>
      </c>
      <c r="B6528" s="7" t="str">
        <f t="shared" si="2367"/>
        <v>堺工科高等学校</v>
      </c>
      <c r="C6528" s="7" t="str">
        <f t="shared" si="2358"/>
        <v>行政財産</v>
      </c>
      <c r="D6528" s="7" t="str">
        <f t="shared" si="2356"/>
        <v>学校</v>
      </c>
      <c r="E6528" s="7" t="str">
        <f t="shared" si="2368"/>
        <v>大阪府堺市　堺区大仙中町</v>
      </c>
      <c r="F6528" s="7"/>
      <c r="G6528" s="7" t="str">
        <f t="shared" si="2364"/>
        <v>事業用資産</v>
      </c>
      <c r="H6528" s="7" t="str">
        <f t="shared" si="2357"/>
        <v>棚卸以外</v>
      </c>
      <c r="I6528" s="7">
        <v>54</v>
      </c>
      <c r="J6528" s="7" t="str">
        <f>"本館管理棟"</f>
        <v>本館管理棟</v>
      </c>
      <c r="K6528" s="7" t="str">
        <f>"鉄筋コンクリート造"</f>
        <v>鉄筋コンクリート造</v>
      </c>
      <c r="L6528" s="7" t="str">
        <f>"S50.12.20"</f>
        <v>S50.12.20</v>
      </c>
      <c r="M6528" s="7">
        <v>7411.06</v>
      </c>
      <c r="N6528" s="7">
        <v>511653041</v>
      </c>
      <c r="O6528" s="7">
        <v>396975203</v>
      </c>
      <c r="P6528" s="7">
        <v>0</v>
      </c>
      <c r="Q6528" s="7" t="str">
        <f t="shared" si="2365"/>
        <v>教育庁</v>
      </c>
      <c r="R6528" s="7" t="str">
        <f t="shared" si="2369"/>
        <v>堺工科高等学校</v>
      </c>
    </row>
    <row r="6529" spans="1:18" s="1" customFormat="1" x14ac:dyDescent="0.45">
      <c r="A6529" s="7" t="str">
        <f t="shared" si="2366"/>
        <v>10953000000</v>
      </c>
      <c r="B6529" s="7" t="str">
        <f t="shared" si="2367"/>
        <v>堺工科高等学校</v>
      </c>
      <c r="C6529" s="7" t="str">
        <f t="shared" si="2358"/>
        <v>行政財産</v>
      </c>
      <c r="D6529" s="7" t="str">
        <f t="shared" si="2356"/>
        <v>学校</v>
      </c>
      <c r="E6529" s="7" t="str">
        <f t="shared" si="2368"/>
        <v>大阪府堺市　堺区大仙中町</v>
      </c>
      <c r="F6529" s="7"/>
      <c r="G6529" s="7" t="str">
        <f t="shared" si="2364"/>
        <v>事業用資産</v>
      </c>
      <c r="H6529" s="7" t="str">
        <f t="shared" si="2357"/>
        <v>棚卸以外</v>
      </c>
      <c r="I6529" s="7">
        <v>55</v>
      </c>
      <c r="J6529" s="7" t="str">
        <f>"第２ポンプ室"</f>
        <v>第２ポンプ室</v>
      </c>
      <c r="K6529" s="7" t="str">
        <f>"鉄筋コンクリート造"</f>
        <v>鉄筋コンクリート造</v>
      </c>
      <c r="L6529" s="7" t="str">
        <f>"S50.12.20"</f>
        <v>S50.12.20</v>
      </c>
      <c r="M6529" s="7">
        <v>33.200000000000003</v>
      </c>
      <c r="N6529" s="7">
        <v>7914000</v>
      </c>
      <c r="O6529" s="7">
        <v>7913999</v>
      </c>
      <c r="P6529" s="7">
        <v>0</v>
      </c>
      <c r="Q6529" s="7" t="str">
        <f t="shared" si="2365"/>
        <v>教育庁</v>
      </c>
      <c r="R6529" s="7" t="str">
        <f t="shared" si="2369"/>
        <v>堺工科高等学校</v>
      </c>
    </row>
    <row r="6530" spans="1:18" s="1" customFormat="1" x14ac:dyDescent="0.45">
      <c r="A6530" s="7" t="str">
        <f t="shared" si="2366"/>
        <v>10953000000</v>
      </c>
      <c r="B6530" s="7" t="str">
        <f t="shared" si="2367"/>
        <v>堺工科高等学校</v>
      </c>
      <c r="C6530" s="7" t="str">
        <f t="shared" si="2358"/>
        <v>行政財産</v>
      </c>
      <c r="D6530" s="7" t="str">
        <f t="shared" si="2356"/>
        <v>学校</v>
      </c>
      <c r="E6530" s="7" t="str">
        <f t="shared" si="2368"/>
        <v>大阪府堺市　堺区大仙中町</v>
      </c>
      <c r="F6530" s="7"/>
      <c r="G6530" s="7" t="str">
        <f t="shared" si="2364"/>
        <v>事業用資産</v>
      </c>
      <c r="H6530" s="7" t="str">
        <f t="shared" si="2357"/>
        <v>棚卸以外</v>
      </c>
      <c r="I6530" s="7">
        <v>58</v>
      </c>
      <c r="J6530" s="7" t="str">
        <f>"車庫倉庫棟"</f>
        <v>車庫倉庫棟</v>
      </c>
      <c r="K6530" s="7" t="str">
        <f>"鉄骨造"</f>
        <v>鉄骨造</v>
      </c>
      <c r="L6530" s="7" t="str">
        <f>"S52.10.31"</f>
        <v>S52.10.31</v>
      </c>
      <c r="M6530" s="7">
        <v>195</v>
      </c>
      <c r="N6530" s="7">
        <v>12433000</v>
      </c>
      <c r="O6530" s="7">
        <v>12432999</v>
      </c>
      <c r="P6530" s="7">
        <v>0</v>
      </c>
      <c r="Q6530" s="7" t="str">
        <f t="shared" si="2365"/>
        <v>教育庁</v>
      </c>
      <c r="R6530" s="7" t="str">
        <f t="shared" si="2369"/>
        <v>堺工科高等学校</v>
      </c>
    </row>
    <row r="6531" spans="1:18" s="1" customFormat="1" x14ac:dyDescent="0.45">
      <c r="A6531" s="7" t="str">
        <f t="shared" si="2366"/>
        <v>10953000000</v>
      </c>
      <c r="B6531" s="7" t="str">
        <f t="shared" si="2367"/>
        <v>堺工科高等学校</v>
      </c>
      <c r="C6531" s="7" t="str">
        <f t="shared" si="2358"/>
        <v>行政財産</v>
      </c>
      <c r="D6531" s="7" t="str">
        <f t="shared" si="2356"/>
        <v>学校</v>
      </c>
      <c r="E6531" s="7" t="str">
        <f t="shared" si="2368"/>
        <v>大阪府堺市　堺区大仙中町</v>
      </c>
      <c r="F6531" s="7"/>
      <c r="G6531" s="7" t="str">
        <f t="shared" si="2364"/>
        <v>事業用資産</v>
      </c>
      <c r="H6531" s="7" t="str">
        <f t="shared" si="2357"/>
        <v>棚卸以外</v>
      </c>
      <c r="I6531" s="7">
        <v>61</v>
      </c>
      <c r="J6531" s="7" t="str">
        <f>"弓道場的場棟"</f>
        <v>弓道場的場棟</v>
      </c>
      <c r="K6531" s="7" t="str">
        <f>"コンクリートブロック造"</f>
        <v>コンクリートブロック造</v>
      </c>
      <c r="L6531" s="7" t="str">
        <f>"S52.10.31"</f>
        <v>S52.10.31</v>
      </c>
      <c r="M6531" s="7">
        <v>29.28</v>
      </c>
      <c r="N6531" s="7">
        <v>1566000</v>
      </c>
      <c r="O6531" s="7">
        <v>1565999</v>
      </c>
      <c r="P6531" s="7">
        <v>0</v>
      </c>
      <c r="Q6531" s="7" t="str">
        <f t="shared" si="2365"/>
        <v>教育庁</v>
      </c>
      <c r="R6531" s="7" t="str">
        <f t="shared" si="2369"/>
        <v>堺工科高等学校</v>
      </c>
    </row>
    <row r="6532" spans="1:18" s="1" customFormat="1" x14ac:dyDescent="0.45">
      <c r="A6532" s="7" t="str">
        <f t="shared" si="2366"/>
        <v>10953000000</v>
      </c>
      <c r="B6532" s="7" t="str">
        <f t="shared" si="2367"/>
        <v>堺工科高等学校</v>
      </c>
      <c r="C6532" s="7" t="str">
        <f t="shared" si="2358"/>
        <v>行政財産</v>
      </c>
      <c r="D6532" s="7" t="str">
        <f t="shared" ref="D6532:D6595" si="2370">"学校"</f>
        <v>学校</v>
      </c>
      <c r="E6532" s="7" t="str">
        <f t="shared" si="2368"/>
        <v>大阪府堺市　堺区大仙中町</v>
      </c>
      <c r="F6532" s="7"/>
      <c r="G6532" s="7" t="str">
        <f t="shared" si="2364"/>
        <v>事業用資産</v>
      </c>
      <c r="H6532" s="7" t="str">
        <f t="shared" ref="H6532:H6595" si="2371">"棚卸以外"</f>
        <v>棚卸以外</v>
      </c>
      <c r="I6532" s="7">
        <v>62</v>
      </c>
      <c r="J6532" s="7" t="str">
        <f>"屋外倉庫"</f>
        <v>屋外倉庫</v>
      </c>
      <c r="K6532" s="7" t="str">
        <f>"鉄骨造"</f>
        <v>鉄骨造</v>
      </c>
      <c r="L6532" s="7" t="str">
        <f>"S54.10.22"</f>
        <v>S54.10.22</v>
      </c>
      <c r="M6532" s="7">
        <v>21.52</v>
      </c>
      <c r="N6532" s="7">
        <v>967000</v>
      </c>
      <c r="O6532" s="7">
        <v>966999</v>
      </c>
      <c r="P6532" s="7">
        <v>0</v>
      </c>
      <c r="Q6532" s="7" t="str">
        <f t="shared" si="2365"/>
        <v>教育庁</v>
      </c>
      <c r="R6532" s="7" t="str">
        <f t="shared" si="2369"/>
        <v>堺工科高等学校</v>
      </c>
    </row>
    <row r="6533" spans="1:18" s="1" customFormat="1" x14ac:dyDescent="0.45">
      <c r="A6533" s="7" t="str">
        <f t="shared" si="2366"/>
        <v>10953000000</v>
      </c>
      <c r="B6533" s="7" t="str">
        <f t="shared" si="2367"/>
        <v>堺工科高等学校</v>
      </c>
      <c r="C6533" s="7" t="str">
        <f t="shared" si="2358"/>
        <v>行政財産</v>
      </c>
      <c r="D6533" s="7" t="str">
        <f t="shared" si="2370"/>
        <v>学校</v>
      </c>
      <c r="E6533" s="7" t="str">
        <f t="shared" si="2368"/>
        <v>大阪府堺市　堺区大仙中町</v>
      </c>
      <c r="F6533" s="7"/>
      <c r="G6533" s="7" t="str">
        <f t="shared" si="2364"/>
        <v>事業用資産</v>
      </c>
      <c r="H6533" s="7" t="str">
        <f t="shared" si="2371"/>
        <v>棚卸以外</v>
      </c>
      <c r="I6533" s="7">
        <v>63</v>
      </c>
      <c r="J6533" s="7" t="str">
        <f>"ボンベ収納庫"</f>
        <v>ボンベ収納庫</v>
      </c>
      <c r="K6533" s="7" t="str">
        <f>"コンクリートブロック造"</f>
        <v>コンクリートブロック造</v>
      </c>
      <c r="L6533" s="7" t="str">
        <f>"S57.03.31"</f>
        <v>S57.03.31</v>
      </c>
      <c r="M6533" s="7">
        <v>3.78</v>
      </c>
      <c r="N6533" s="7">
        <v>1791000</v>
      </c>
      <c r="O6533" s="7">
        <v>1436387</v>
      </c>
      <c r="P6533" s="7">
        <v>0</v>
      </c>
      <c r="Q6533" s="7" t="str">
        <f t="shared" si="2365"/>
        <v>教育庁</v>
      </c>
      <c r="R6533" s="7" t="str">
        <f t="shared" si="2369"/>
        <v>堺工科高等学校</v>
      </c>
    </row>
    <row r="6534" spans="1:18" s="1" customFormat="1" x14ac:dyDescent="0.45">
      <c r="A6534" s="7" t="str">
        <f t="shared" si="2366"/>
        <v>10953000000</v>
      </c>
      <c r="B6534" s="7" t="str">
        <f t="shared" si="2367"/>
        <v>堺工科高等学校</v>
      </c>
      <c r="C6534" s="7" t="str">
        <f t="shared" si="2358"/>
        <v>行政財産</v>
      </c>
      <c r="D6534" s="7" t="str">
        <f t="shared" si="2370"/>
        <v>学校</v>
      </c>
      <c r="E6534" s="7" t="str">
        <f t="shared" si="2368"/>
        <v>大阪府堺市　堺区大仙中町</v>
      </c>
      <c r="F6534" s="7"/>
      <c r="G6534" s="7" t="str">
        <f t="shared" si="2364"/>
        <v>事業用資産</v>
      </c>
      <c r="H6534" s="7" t="str">
        <f t="shared" si="2371"/>
        <v>棚卸以外</v>
      </c>
      <c r="I6534" s="7">
        <v>65</v>
      </c>
      <c r="J6534" s="7" t="str">
        <f>"電気科ＳＢ棟"</f>
        <v>電気科ＳＢ棟</v>
      </c>
      <c r="K6534" s="7" t="str">
        <f>"軽量鉄骨造"</f>
        <v>軽量鉄骨造</v>
      </c>
      <c r="L6534" s="7" t="str">
        <f>"S59.08.31"</f>
        <v>S59.08.31</v>
      </c>
      <c r="M6534" s="7">
        <v>101.25</v>
      </c>
      <c r="N6534" s="7">
        <v>10361000</v>
      </c>
      <c r="O6534" s="7">
        <v>10360999</v>
      </c>
      <c r="P6534" s="7">
        <v>0</v>
      </c>
      <c r="Q6534" s="7" t="str">
        <f t="shared" si="2365"/>
        <v>教育庁</v>
      </c>
      <c r="R6534" s="7" t="str">
        <f t="shared" si="2369"/>
        <v>堺工科高等学校</v>
      </c>
    </row>
    <row r="6535" spans="1:18" s="1" customFormat="1" x14ac:dyDescent="0.45">
      <c r="A6535" s="7" t="str">
        <f t="shared" si="2366"/>
        <v>10953000000</v>
      </c>
      <c r="B6535" s="7" t="str">
        <f t="shared" si="2367"/>
        <v>堺工科高等学校</v>
      </c>
      <c r="C6535" s="7" t="str">
        <f t="shared" si="2358"/>
        <v>行政財産</v>
      </c>
      <c r="D6535" s="7" t="str">
        <f t="shared" si="2370"/>
        <v>学校</v>
      </c>
      <c r="E6535" s="7" t="str">
        <f t="shared" si="2368"/>
        <v>大阪府堺市　堺区大仙中町</v>
      </c>
      <c r="F6535" s="7"/>
      <c r="G6535" s="7" t="str">
        <f t="shared" si="2364"/>
        <v>事業用資産</v>
      </c>
      <c r="H6535" s="7" t="str">
        <f t="shared" si="2371"/>
        <v>棚卸以外</v>
      </c>
      <c r="I6535" s="7">
        <v>66</v>
      </c>
      <c r="J6535" s="7" t="str">
        <f>"家庭科棟"</f>
        <v>家庭科棟</v>
      </c>
      <c r="K6535" s="7" t="str">
        <f>"鉄骨造"</f>
        <v>鉄骨造</v>
      </c>
      <c r="L6535" s="7" t="str">
        <f>"H07.03.10"</f>
        <v>H07.03.10</v>
      </c>
      <c r="M6535" s="7">
        <v>417.41</v>
      </c>
      <c r="N6535" s="7">
        <v>101738739</v>
      </c>
      <c r="O6535" s="7">
        <v>83769714</v>
      </c>
      <c r="P6535" s="7">
        <v>0</v>
      </c>
      <c r="Q6535" s="7" t="str">
        <f t="shared" si="2365"/>
        <v>教育庁</v>
      </c>
      <c r="R6535" s="7" t="str">
        <f t="shared" si="2369"/>
        <v>堺工科高等学校</v>
      </c>
    </row>
    <row r="6536" spans="1:18" s="1" customFormat="1" x14ac:dyDescent="0.45">
      <c r="A6536" s="7" t="str">
        <f t="shared" si="2366"/>
        <v>10953000000</v>
      </c>
      <c r="B6536" s="7" t="str">
        <f t="shared" si="2367"/>
        <v>堺工科高等学校</v>
      </c>
      <c r="C6536" s="7" t="str">
        <f t="shared" si="2358"/>
        <v>行政財産</v>
      </c>
      <c r="D6536" s="7" t="str">
        <f t="shared" si="2370"/>
        <v>学校</v>
      </c>
      <c r="E6536" s="7" t="str">
        <f t="shared" si="2368"/>
        <v>大阪府堺市　堺区大仙中町</v>
      </c>
      <c r="F6536" s="7"/>
      <c r="G6536" s="7" t="str">
        <f t="shared" si="2364"/>
        <v>事業用資産</v>
      </c>
      <c r="H6536" s="7" t="str">
        <f t="shared" si="2371"/>
        <v>棚卸以外</v>
      </c>
      <c r="I6536" s="7">
        <v>67</v>
      </c>
      <c r="J6536" s="7" t="str">
        <f>"車庫"</f>
        <v>車庫</v>
      </c>
      <c r="K6536" s="7" t="str">
        <f>"軽量鉄骨造"</f>
        <v>軽量鉄骨造</v>
      </c>
      <c r="L6536" s="7" t="str">
        <f>"H12.10.02"</f>
        <v>H12.10.02</v>
      </c>
      <c r="M6536" s="7">
        <v>30.04</v>
      </c>
      <c r="N6536" s="7">
        <v>900000</v>
      </c>
      <c r="O6536" s="7">
        <v>840625</v>
      </c>
      <c r="P6536" s="7">
        <v>0</v>
      </c>
      <c r="Q6536" s="7" t="str">
        <f t="shared" si="2365"/>
        <v>教育庁</v>
      </c>
      <c r="R6536" s="7" t="str">
        <f t="shared" si="2369"/>
        <v>堺工科高等学校</v>
      </c>
    </row>
    <row r="6537" spans="1:18" s="1" customFormat="1" x14ac:dyDescent="0.45">
      <c r="A6537" s="7" t="str">
        <f t="shared" si="2366"/>
        <v>10953000000</v>
      </c>
      <c r="B6537" s="7" t="str">
        <f t="shared" si="2367"/>
        <v>堺工科高等学校</v>
      </c>
      <c r="C6537" s="7" t="str">
        <f t="shared" si="2358"/>
        <v>行政財産</v>
      </c>
      <c r="D6537" s="7" t="str">
        <f t="shared" si="2370"/>
        <v>学校</v>
      </c>
      <c r="E6537" s="7" t="str">
        <f t="shared" si="2368"/>
        <v>大阪府堺市　堺区大仙中町</v>
      </c>
      <c r="F6537" s="7"/>
      <c r="G6537" s="7" t="str">
        <f t="shared" si="2364"/>
        <v>事業用資産</v>
      </c>
      <c r="H6537" s="7" t="str">
        <f t="shared" si="2371"/>
        <v>棚卸以外</v>
      </c>
      <c r="I6537" s="7">
        <v>68</v>
      </c>
      <c r="J6537" s="7" t="str">
        <f>"教室棟"</f>
        <v>教室棟</v>
      </c>
      <c r="K6537" s="7" t="str">
        <f>"鉄骨造"</f>
        <v>鉄骨造</v>
      </c>
      <c r="L6537" s="7" t="str">
        <f>"H18.03.30"</f>
        <v>H18.03.30</v>
      </c>
      <c r="M6537" s="7">
        <v>151.36000000000001</v>
      </c>
      <c r="N6537" s="7">
        <v>32638000</v>
      </c>
      <c r="O6537" s="7">
        <v>16319184</v>
      </c>
      <c r="P6537" s="7">
        <v>0</v>
      </c>
      <c r="Q6537" s="7" t="str">
        <f t="shared" si="2365"/>
        <v>教育庁</v>
      </c>
      <c r="R6537" s="7" t="str">
        <f t="shared" si="2369"/>
        <v>堺工科高等学校</v>
      </c>
    </row>
    <row r="6538" spans="1:18" s="1" customFormat="1" x14ac:dyDescent="0.45">
      <c r="A6538" s="7" t="str">
        <f t="shared" ref="A6538:A6560" si="2372">"10954000000"</f>
        <v>10954000000</v>
      </c>
      <c r="B6538" s="7" t="str">
        <f t="shared" ref="B6538:B6560" si="2373">"佐野工科高等学校"</f>
        <v>佐野工科高等学校</v>
      </c>
      <c r="C6538" s="7" t="str">
        <f t="shared" si="2358"/>
        <v>行政財産</v>
      </c>
      <c r="D6538" s="7" t="str">
        <f t="shared" si="2370"/>
        <v>学校</v>
      </c>
      <c r="E6538" s="7" t="str">
        <f t="shared" ref="E6538:E6560" si="2374">"大阪府泉佐野市高松東１丁目"</f>
        <v>大阪府泉佐野市高松東１丁目</v>
      </c>
      <c r="F6538" s="7"/>
      <c r="G6538" s="7" t="str">
        <f t="shared" si="2364"/>
        <v>事業用資産</v>
      </c>
      <c r="H6538" s="7" t="str">
        <f t="shared" si="2371"/>
        <v>棚卸以外</v>
      </c>
      <c r="I6538" s="7">
        <v>39</v>
      </c>
      <c r="J6538" s="7" t="str">
        <f>"佐工会館"</f>
        <v>佐工会館</v>
      </c>
      <c r="K6538" s="7" t="str">
        <f>"鉄筋コンクリート造"</f>
        <v>鉄筋コンクリート造</v>
      </c>
      <c r="L6538" s="7" t="str">
        <f>"S40.12.22"</f>
        <v>S40.12.22</v>
      </c>
      <c r="M6538" s="7">
        <v>291.99</v>
      </c>
      <c r="N6538" s="7">
        <v>19007675</v>
      </c>
      <c r="O6538" s="7">
        <v>15648501</v>
      </c>
      <c r="P6538" s="7">
        <v>0</v>
      </c>
      <c r="Q6538" s="7" t="str">
        <f t="shared" si="2365"/>
        <v>教育庁</v>
      </c>
      <c r="R6538" s="7" t="str">
        <f t="shared" ref="R6538:R6560" si="2375">"佐野工科高等学校"</f>
        <v>佐野工科高等学校</v>
      </c>
    </row>
    <row r="6539" spans="1:18" s="1" customFormat="1" x14ac:dyDescent="0.45">
      <c r="A6539" s="7" t="str">
        <f t="shared" si="2372"/>
        <v>10954000000</v>
      </c>
      <c r="B6539" s="7" t="str">
        <f t="shared" si="2373"/>
        <v>佐野工科高等学校</v>
      </c>
      <c r="C6539" s="7" t="str">
        <f t="shared" si="2358"/>
        <v>行政財産</v>
      </c>
      <c r="D6539" s="7" t="str">
        <f t="shared" si="2370"/>
        <v>学校</v>
      </c>
      <c r="E6539" s="7" t="str">
        <f t="shared" si="2374"/>
        <v>大阪府泉佐野市高松東１丁目</v>
      </c>
      <c r="F6539" s="7"/>
      <c r="G6539" s="7" t="str">
        <f t="shared" si="2364"/>
        <v>事業用資産</v>
      </c>
      <c r="H6539" s="7" t="str">
        <f t="shared" si="2371"/>
        <v>棚卸以外</v>
      </c>
      <c r="I6539" s="7">
        <v>41</v>
      </c>
      <c r="J6539" s="7" t="str">
        <f>"自動車科実習室"</f>
        <v>自動車科実習室</v>
      </c>
      <c r="K6539" s="7" t="str">
        <f>"鉄骨造"</f>
        <v>鉄骨造</v>
      </c>
      <c r="L6539" s="7" t="str">
        <f>"S43.11.20"</f>
        <v>S43.11.20</v>
      </c>
      <c r="M6539" s="7">
        <v>645.39</v>
      </c>
      <c r="N6539" s="7">
        <v>23603245</v>
      </c>
      <c r="O6539" s="7">
        <v>21643954</v>
      </c>
      <c r="P6539" s="7">
        <v>0</v>
      </c>
      <c r="Q6539" s="7" t="str">
        <f t="shared" si="2365"/>
        <v>教育庁</v>
      </c>
      <c r="R6539" s="7" t="str">
        <f t="shared" si="2375"/>
        <v>佐野工科高等学校</v>
      </c>
    </row>
    <row r="6540" spans="1:18" s="1" customFormat="1" x14ac:dyDescent="0.45">
      <c r="A6540" s="7" t="str">
        <f t="shared" si="2372"/>
        <v>10954000000</v>
      </c>
      <c r="B6540" s="7" t="str">
        <f t="shared" si="2373"/>
        <v>佐野工科高等学校</v>
      </c>
      <c r="C6540" s="7" t="str">
        <f t="shared" si="2358"/>
        <v>行政財産</v>
      </c>
      <c r="D6540" s="7" t="str">
        <f t="shared" si="2370"/>
        <v>学校</v>
      </c>
      <c r="E6540" s="7" t="str">
        <f t="shared" si="2374"/>
        <v>大阪府泉佐野市高松東１丁目</v>
      </c>
      <c r="F6540" s="7"/>
      <c r="G6540" s="7" t="str">
        <f t="shared" si="2364"/>
        <v>事業用資産</v>
      </c>
      <c r="H6540" s="7" t="str">
        <f t="shared" si="2371"/>
        <v>棚卸以外</v>
      </c>
      <c r="I6540" s="7">
        <v>49</v>
      </c>
      <c r="J6540" s="7" t="str">
        <f>"機械実習室４"</f>
        <v>機械実習室４</v>
      </c>
      <c r="K6540" s="7" t="str">
        <f>"鉄筋コンクリート造"</f>
        <v>鉄筋コンクリート造</v>
      </c>
      <c r="L6540" s="7" t="str">
        <f>"S45.05.15"</f>
        <v>S45.05.15</v>
      </c>
      <c r="M6540" s="7">
        <v>782.1</v>
      </c>
      <c r="N6540" s="7">
        <v>44661832</v>
      </c>
      <c r="O6540" s="7">
        <v>39960312</v>
      </c>
      <c r="P6540" s="7">
        <v>0</v>
      </c>
      <c r="Q6540" s="7" t="str">
        <f t="shared" si="2365"/>
        <v>教育庁</v>
      </c>
      <c r="R6540" s="7" t="str">
        <f t="shared" si="2375"/>
        <v>佐野工科高等学校</v>
      </c>
    </row>
    <row r="6541" spans="1:18" s="1" customFormat="1" x14ac:dyDescent="0.45">
      <c r="A6541" s="7" t="str">
        <f t="shared" si="2372"/>
        <v>10954000000</v>
      </c>
      <c r="B6541" s="7" t="str">
        <f t="shared" si="2373"/>
        <v>佐野工科高等学校</v>
      </c>
      <c r="C6541" s="7" t="str">
        <f t="shared" ref="C6541:C6604" si="2376">"行政財産"</f>
        <v>行政財産</v>
      </c>
      <c r="D6541" s="7" t="str">
        <f t="shared" si="2370"/>
        <v>学校</v>
      </c>
      <c r="E6541" s="7" t="str">
        <f t="shared" si="2374"/>
        <v>大阪府泉佐野市高松東１丁目</v>
      </c>
      <c r="F6541" s="7"/>
      <c r="G6541" s="7" t="str">
        <f t="shared" si="2364"/>
        <v>事業用資産</v>
      </c>
      <c r="H6541" s="7" t="str">
        <f t="shared" si="2371"/>
        <v>棚卸以外</v>
      </c>
      <c r="I6541" s="7">
        <v>50</v>
      </c>
      <c r="J6541" s="7" t="str">
        <f>"ガスボンベ収納庫"</f>
        <v>ガスボンベ収納庫</v>
      </c>
      <c r="K6541" s="7" t="str">
        <f>"レンガ、石積造"</f>
        <v>レンガ、石積造</v>
      </c>
      <c r="L6541" s="7" t="str">
        <f>"S45.05.15"</f>
        <v>S45.05.15</v>
      </c>
      <c r="M6541" s="7">
        <v>5.76</v>
      </c>
      <c r="N6541" s="7">
        <v>165000</v>
      </c>
      <c r="O6541" s="7">
        <v>164999</v>
      </c>
      <c r="P6541" s="7">
        <v>0</v>
      </c>
      <c r="Q6541" s="7" t="str">
        <f t="shared" si="2365"/>
        <v>教育庁</v>
      </c>
      <c r="R6541" s="7" t="str">
        <f t="shared" si="2375"/>
        <v>佐野工科高等学校</v>
      </c>
    </row>
    <row r="6542" spans="1:18" s="1" customFormat="1" x14ac:dyDescent="0.45">
      <c r="A6542" s="7" t="str">
        <f t="shared" si="2372"/>
        <v>10954000000</v>
      </c>
      <c r="B6542" s="7" t="str">
        <f t="shared" si="2373"/>
        <v>佐野工科高等学校</v>
      </c>
      <c r="C6542" s="7" t="str">
        <f t="shared" si="2376"/>
        <v>行政財産</v>
      </c>
      <c r="D6542" s="7" t="str">
        <f t="shared" si="2370"/>
        <v>学校</v>
      </c>
      <c r="E6542" s="7" t="str">
        <f t="shared" si="2374"/>
        <v>大阪府泉佐野市高松東１丁目</v>
      </c>
      <c r="F6542" s="7"/>
      <c r="G6542" s="7" t="str">
        <f t="shared" si="2364"/>
        <v>事業用資産</v>
      </c>
      <c r="H6542" s="7" t="str">
        <f t="shared" si="2371"/>
        <v>棚卸以外</v>
      </c>
      <c r="I6542" s="7">
        <v>51</v>
      </c>
      <c r="J6542" s="7" t="str">
        <f>"機械科実習室５"</f>
        <v>機械科実習室５</v>
      </c>
      <c r="K6542" s="7" t="str">
        <f>"鉄筋コンクリート造"</f>
        <v>鉄筋コンクリート造</v>
      </c>
      <c r="L6542" s="7" t="str">
        <f>"S46.03.17"</f>
        <v>S46.03.17</v>
      </c>
      <c r="M6542" s="7">
        <v>1064.3</v>
      </c>
      <c r="N6542" s="7">
        <v>58137244</v>
      </c>
      <c r="O6542" s="7">
        <v>51446239</v>
      </c>
      <c r="P6542" s="7">
        <v>0</v>
      </c>
      <c r="Q6542" s="7" t="str">
        <f t="shared" si="2365"/>
        <v>教育庁</v>
      </c>
      <c r="R6542" s="7" t="str">
        <f t="shared" si="2375"/>
        <v>佐野工科高等学校</v>
      </c>
    </row>
    <row r="6543" spans="1:18" s="1" customFormat="1" x14ac:dyDescent="0.45">
      <c r="A6543" s="7" t="str">
        <f t="shared" si="2372"/>
        <v>10954000000</v>
      </c>
      <c r="B6543" s="7" t="str">
        <f t="shared" si="2373"/>
        <v>佐野工科高等学校</v>
      </c>
      <c r="C6543" s="7" t="str">
        <f t="shared" si="2376"/>
        <v>行政財産</v>
      </c>
      <c r="D6543" s="7" t="str">
        <f t="shared" si="2370"/>
        <v>学校</v>
      </c>
      <c r="E6543" s="7" t="str">
        <f t="shared" si="2374"/>
        <v>大阪府泉佐野市高松東１丁目</v>
      </c>
      <c r="F6543" s="7"/>
      <c r="G6543" s="7" t="str">
        <f t="shared" si="2364"/>
        <v>事業用資産</v>
      </c>
      <c r="H6543" s="7" t="str">
        <f t="shared" si="2371"/>
        <v>棚卸以外</v>
      </c>
      <c r="I6543" s="7">
        <v>56</v>
      </c>
      <c r="J6543" s="7" t="str">
        <f>"繊維工業科機械科実習室"</f>
        <v>繊維工業科機械科実習室</v>
      </c>
      <c r="K6543" s="7" t="str">
        <f>"鉄筋コンクリート造"</f>
        <v>鉄筋コンクリート造</v>
      </c>
      <c r="L6543" s="7" t="str">
        <f>"S47.03.11"</f>
        <v>S47.03.11</v>
      </c>
      <c r="M6543" s="7">
        <v>3412.68</v>
      </c>
      <c r="N6543" s="7">
        <v>203954979</v>
      </c>
      <c r="O6543" s="7">
        <v>157242793</v>
      </c>
      <c r="P6543" s="7">
        <v>0</v>
      </c>
      <c r="Q6543" s="7" t="str">
        <f t="shared" si="2365"/>
        <v>教育庁</v>
      </c>
      <c r="R6543" s="7" t="str">
        <f t="shared" si="2375"/>
        <v>佐野工科高等学校</v>
      </c>
    </row>
    <row r="6544" spans="1:18" s="1" customFormat="1" x14ac:dyDescent="0.45">
      <c r="A6544" s="7" t="str">
        <f t="shared" si="2372"/>
        <v>10954000000</v>
      </c>
      <c r="B6544" s="7" t="str">
        <f t="shared" si="2373"/>
        <v>佐野工科高等学校</v>
      </c>
      <c r="C6544" s="7" t="str">
        <f t="shared" si="2376"/>
        <v>行政財産</v>
      </c>
      <c r="D6544" s="7" t="str">
        <f t="shared" si="2370"/>
        <v>学校</v>
      </c>
      <c r="E6544" s="7" t="str">
        <f t="shared" si="2374"/>
        <v>大阪府泉佐野市高松東１丁目</v>
      </c>
      <c r="F6544" s="7"/>
      <c r="G6544" s="7" t="str">
        <f t="shared" si="2364"/>
        <v>事業用資産</v>
      </c>
      <c r="H6544" s="7" t="str">
        <f t="shared" si="2371"/>
        <v>棚卸以外</v>
      </c>
      <c r="I6544" s="7">
        <v>58</v>
      </c>
      <c r="J6544" s="7" t="str">
        <f>"ポンプ室"</f>
        <v>ポンプ室</v>
      </c>
      <c r="K6544" s="7" t="str">
        <f>"鉄筋コンクリート造"</f>
        <v>鉄筋コンクリート造</v>
      </c>
      <c r="L6544" s="7" t="str">
        <f>"S47.03.11"</f>
        <v>S47.03.11</v>
      </c>
      <c r="M6544" s="7">
        <v>28.16</v>
      </c>
      <c r="N6544" s="7">
        <v>5052303</v>
      </c>
      <c r="O6544" s="7">
        <v>4770302</v>
      </c>
      <c r="P6544" s="7">
        <v>0</v>
      </c>
      <c r="Q6544" s="7" t="str">
        <f t="shared" si="2365"/>
        <v>教育庁</v>
      </c>
      <c r="R6544" s="7" t="str">
        <f t="shared" si="2375"/>
        <v>佐野工科高等学校</v>
      </c>
    </row>
    <row r="6545" spans="1:18" s="1" customFormat="1" x14ac:dyDescent="0.45">
      <c r="A6545" s="7" t="str">
        <f t="shared" si="2372"/>
        <v>10954000000</v>
      </c>
      <c r="B6545" s="7" t="str">
        <f t="shared" si="2373"/>
        <v>佐野工科高等学校</v>
      </c>
      <c r="C6545" s="7" t="str">
        <f t="shared" si="2376"/>
        <v>行政財産</v>
      </c>
      <c r="D6545" s="7" t="str">
        <f t="shared" si="2370"/>
        <v>学校</v>
      </c>
      <c r="E6545" s="7" t="str">
        <f t="shared" si="2374"/>
        <v>大阪府泉佐野市高松東１丁目</v>
      </c>
      <c r="F6545" s="7"/>
      <c r="G6545" s="7" t="str">
        <f t="shared" si="2364"/>
        <v>事業用資産</v>
      </c>
      <c r="H6545" s="7" t="str">
        <f t="shared" si="2371"/>
        <v>棚卸以外</v>
      </c>
      <c r="I6545" s="7">
        <v>59</v>
      </c>
      <c r="J6545" s="7" t="str">
        <f>"仮設倉庫Ｄ"</f>
        <v>仮設倉庫Ｄ</v>
      </c>
      <c r="K6545" s="7" t="str">
        <f>"土蔵造(簡易建物)"</f>
        <v>土蔵造(簡易建物)</v>
      </c>
      <c r="L6545" s="7" t="str">
        <f>"S48.12.04"</f>
        <v>S48.12.04</v>
      </c>
      <c r="M6545" s="7">
        <v>33.119999999999997</v>
      </c>
      <c r="N6545" s="7">
        <v>567000</v>
      </c>
      <c r="O6545" s="7">
        <v>566999</v>
      </c>
      <c r="P6545" s="7">
        <v>0</v>
      </c>
      <c r="Q6545" s="7" t="str">
        <f t="shared" si="2365"/>
        <v>教育庁</v>
      </c>
      <c r="R6545" s="7" t="str">
        <f t="shared" si="2375"/>
        <v>佐野工科高等学校</v>
      </c>
    </row>
    <row r="6546" spans="1:18" s="1" customFormat="1" x14ac:dyDescent="0.45">
      <c r="A6546" s="7" t="str">
        <f t="shared" si="2372"/>
        <v>10954000000</v>
      </c>
      <c r="B6546" s="7" t="str">
        <f t="shared" si="2373"/>
        <v>佐野工科高等学校</v>
      </c>
      <c r="C6546" s="7" t="str">
        <f t="shared" si="2376"/>
        <v>行政財産</v>
      </c>
      <c r="D6546" s="7" t="str">
        <f t="shared" si="2370"/>
        <v>学校</v>
      </c>
      <c r="E6546" s="7" t="str">
        <f t="shared" si="2374"/>
        <v>大阪府泉佐野市高松東１丁目</v>
      </c>
      <c r="F6546" s="7"/>
      <c r="G6546" s="7" t="str">
        <f t="shared" si="2364"/>
        <v>事業用資産</v>
      </c>
      <c r="H6546" s="7" t="str">
        <f t="shared" si="2371"/>
        <v>棚卸以外</v>
      </c>
      <c r="I6546" s="7">
        <v>60</v>
      </c>
      <c r="J6546" s="7" t="str">
        <f>"自動車庫"</f>
        <v>自動車庫</v>
      </c>
      <c r="K6546" s="7" t="str">
        <f>"鉄骨造"</f>
        <v>鉄骨造</v>
      </c>
      <c r="L6546" s="7" t="str">
        <f>"S48.12.04"</f>
        <v>S48.12.04</v>
      </c>
      <c r="M6546" s="7">
        <v>49.6</v>
      </c>
      <c r="N6546" s="7">
        <v>1829000</v>
      </c>
      <c r="O6546" s="7">
        <v>1828999</v>
      </c>
      <c r="P6546" s="7">
        <v>0</v>
      </c>
      <c r="Q6546" s="7" t="str">
        <f t="shared" si="2365"/>
        <v>教育庁</v>
      </c>
      <c r="R6546" s="7" t="str">
        <f t="shared" si="2375"/>
        <v>佐野工科高等学校</v>
      </c>
    </row>
    <row r="6547" spans="1:18" s="1" customFormat="1" x14ac:dyDescent="0.45">
      <c r="A6547" s="7" t="str">
        <f t="shared" si="2372"/>
        <v>10954000000</v>
      </c>
      <c r="B6547" s="7" t="str">
        <f t="shared" si="2373"/>
        <v>佐野工科高等学校</v>
      </c>
      <c r="C6547" s="7" t="str">
        <f t="shared" si="2376"/>
        <v>行政財産</v>
      </c>
      <c r="D6547" s="7" t="str">
        <f t="shared" si="2370"/>
        <v>学校</v>
      </c>
      <c r="E6547" s="7" t="str">
        <f t="shared" si="2374"/>
        <v>大阪府泉佐野市高松東１丁目</v>
      </c>
      <c r="F6547" s="7"/>
      <c r="G6547" s="7" t="str">
        <f t="shared" si="2364"/>
        <v>事業用資産</v>
      </c>
      <c r="H6547" s="7" t="str">
        <f t="shared" si="2371"/>
        <v>棚卸以外</v>
      </c>
      <c r="I6547" s="7">
        <v>61</v>
      </c>
      <c r="J6547" s="7" t="str">
        <f>"シャシ実習室"</f>
        <v>シャシ実習室</v>
      </c>
      <c r="K6547" s="7" t="str">
        <f>"鉄骨造"</f>
        <v>鉄骨造</v>
      </c>
      <c r="L6547" s="7" t="str">
        <f>"S49.03.30"</f>
        <v>S49.03.30</v>
      </c>
      <c r="M6547" s="7">
        <v>120.3</v>
      </c>
      <c r="N6547" s="7">
        <v>7400000</v>
      </c>
      <c r="O6547" s="7">
        <v>7399999</v>
      </c>
      <c r="P6547" s="7">
        <v>0</v>
      </c>
      <c r="Q6547" s="7" t="str">
        <f t="shared" si="2365"/>
        <v>教育庁</v>
      </c>
      <c r="R6547" s="7" t="str">
        <f t="shared" si="2375"/>
        <v>佐野工科高等学校</v>
      </c>
    </row>
    <row r="6548" spans="1:18" s="1" customFormat="1" x14ac:dyDescent="0.45">
      <c r="A6548" s="7" t="str">
        <f t="shared" si="2372"/>
        <v>10954000000</v>
      </c>
      <c r="B6548" s="7" t="str">
        <f t="shared" si="2373"/>
        <v>佐野工科高等学校</v>
      </c>
      <c r="C6548" s="7" t="str">
        <f t="shared" si="2376"/>
        <v>行政財産</v>
      </c>
      <c r="D6548" s="7" t="str">
        <f t="shared" si="2370"/>
        <v>学校</v>
      </c>
      <c r="E6548" s="7" t="str">
        <f t="shared" si="2374"/>
        <v>大阪府泉佐野市高松東１丁目</v>
      </c>
      <c r="F6548" s="7"/>
      <c r="G6548" s="7" t="str">
        <f t="shared" si="2364"/>
        <v>事業用資産</v>
      </c>
      <c r="H6548" s="7" t="str">
        <f t="shared" si="2371"/>
        <v>棚卸以外</v>
      </c>
      <c r="I6548" s="7">
        <v>62</v>
      </c>
      <c r="J6548" s="7" t="str">
        <f>"体育館"</f>
        <v>体育館</v>
      </c>
      <c r="K6548" s="7" t="str">
        <f>"鉄骨造"</f>
        <v>鉄骨造</v>
      </c>
      <c r="L6548" s="7" t="str">
        <f>"S49.10.15"</f>
        <v>S49.10.15</v>
      </c>
      <c r="M6548" s="7">
        <v>2304.4</v>
      </c>
      <c r="N6548" s="7">
        <v>308005501</v>
      </c>
      <c r="O6548" s="7">
        <v>245978767</v>
      </c>
      <c r="P6548" s="7">
        <v>0</v>
      </c>
      <c r="Q6548" s="7" t="str">
        <f t="shared" si="2365"/>
        <v>教育庁</v>
      </c>
      <c r="R6548" s="7" t="str">
        <f t="shared" si="2375"/>
        <v>佐野工科高等学校</v>
      </c>
    </row>
    <row r="6549" spans="1:18" s="1" customFormat="1" x14ac:dyDescent="0.45">
      <c r="A6549" s="7" t="str">
        <f t="shared" si="2372"/>
        <v>10954000000</v>
      </c>
      <c r="B6549" s="7" t="str">
        <f t="shared" si="2373"/>
        <v>佐野工科高等学校</v>
      </c>
      <c r="C6549" s="7" t="str">
        <f t="shared" si="2376"/>
        <v>行政財産</v>
      </c>
      <c r="D6549" s="7" t="str">
        <f t="shared" si="2370"/>
        <v>学校</v>
      </c>
      <c r="E6549" s="7" t="str">
        <f t="shared" si="2374"/>
        <v>大阪府泉佐野市高松東１丁目</v>
      </c>
      <c r="F6549" s="7"/>
      <c r="G6549" s="7" t="str">
        <f t="shared" si="2364"/>
        <v>事業用資産</v>
      </c>
      <c r="H6549" s="7" t="str">
        <f t="shared" si="2371"/>
        <v>棚卸以外</v>
      </c>
      <c r="I6549" s="7">
        <v>65</v>
      </c>
      <c r="J6549" s="7" t="str">
        <f>"４階校舎"</f>
        <v>４階校舎</v>
      </c>
      <c r="K6549" s="7" t="str">
        <f>"鉄筋コンクリート造"</f>
        <v>鉄筋コンクリート造</v>
      </c>
      <c r="L6549" s="7" t="str">
        <f>"S50.09.30"</f>
        <v>S50.09.30</v>
      </c>
      <c r="M6549" s="7">
        <v>1781.29</v>
      </c>
      <c r="N6549" s="7">
        <v>315975766</v>
      </c>
      <c r="O6549" s="7">
        <v>225840819</v>
      </c>
      <c r="P6549" s="7">
        <v>0</v>
      </c>
      <c r="Q6549" s="7" t="str">
        <f t="shared" si="2365"/>
        <v>教育庁</v>
      </c>
      <c r="R6549" s="7" t="str">
        <f t="shared" si="2375"/>
        <v>佐野工科高等学校</v>
      </c>
    </row>
    <row r="6550" spans="1:18" s="1" customFormat="1" x14ac:dyDescent="0.45">
      <c r="A6550" s="7" t="str">
        <f t="shared" si="2372"/>
        <v>10954000000</v>
      </c>
      <c r="B6550" s="7" t="str">
        <f t="shared" si="2373"/>
        <v>佐野工科高等学校</v>
      </c>
      <c r="C6550" s="7" t="str">
        <f t="shared" si="2376"/>
        <v>行政財産</v>
      </c>
      <c r="D6550" s="7" t="str">
        <f t="shared" si="2370"/>
        <v>学校</v>
      </c>
      <c r="E6550" s="7" t="str">
        <f t="shared" si="2374"/>
        <v>大阪府泉佐野市高松東１丁目</v>
      </c>
      <c r="F6550" s="7"/>
      <c r="G6550" s="7" t="str">
        <f t="shared" si="2364"/>
        <v>事業用資産</v>
      </c>
      <c r="H6550" s="7" t="str">
        <f t="shared" si="2371"/>
        <v>棚卸以外</v>
      </c>
      <c r="I6550" s="7">
        <v>68</v>
      </c>
      <c r="J6550" s="7" t="str">
        <f>"仮設油倉庫"</f>
        <v>仮設油倉庫</v>
      </c>
      <c r="K6550" s="7" t="str">
        <f>"コンクリートブロック造"</f>
        <v>コンクリートブロック造</v>
      </c>
      <c r="L6550" s="7" t="str">
        <f>"S51.03.06"</f>
        <v>S51.03.06</v>
      </c>
      <c r="M6550" s="7">
        <v>11.88</v>
      </c>
      <c r="N6550" s="7">
        <v>932000</v>
      </c>
      <c r="O6550" s="7">
        <v>859622</v>
      </c>
      <c r="P6550" s="7">
        <v>0</v>
      </c>
      <c r="Q6550" s="7" t="str">
        <f t="shared" si="2365"/>
        <v>教育庁</v>
      </c>
      <c r="R6550" s="7" t="str">
        <f t="shared" si="2375"/>
        <v>佐野工科高等学校</v>
      </c>
    </row>
    <row r="6551" spans="1:18" s="1" customFormat="1" x14ac:dyDescent="0.45">
      <c r="A6551" s="7" t="str">
        <f t="shared" si="2372"/>
        <v>10954000000</v>
      </c>
      <c r="B6551" s="7" t="str">
        <f t="shared" si="2373"/>
        <v>佐野工科高等学校</v>
      </c>
      <c r="C6551" s="7" t="str">
        <f t="shared" si="2376"/>
        <v>行政財産</v>
      </c>
      <c r="D6551" s="7" t="str">
        <f t="shared" si="2370"/>
        <v>学校</v>
      </c>
      <c r="E6551" s="7" t="str">
        <f t="shared" si="2374"/>
        <v>大阪府泉佐野市高松東１丁目</v>
      </c>
      <c r="F6551" s="7"/>
      <c r="G6551" s="7" t="str">
        <f t="shared" ref="G6551:G6614" si="2377">"事業用資産"</f>
        <v>事業用資産</v>
      </c>
      <c r="H6551" s="7" t="str">
        <f t="shared" si="2371"/>
        <v>棚卸以外</v>
      </c>
      <c r="I6551" s="7">
        <v>69</v>
      </c>
      <c r="J6551" s="7" t="str">
        <f>"特別教室棟"</f>
        <v>特別教室棟</v>
      </c>
      <c r="K6551" s="7" t="str">
        <f>"鉄筋コンクリート造"</f>
        <v>鉄筋コンクリート造</v>
      </c>
      <c r="L6551" s="7" t="str">
        <f>"S51.09.22"</f>
        <v>S51.09.22</v>
      </c>
      <c r="M6551" s="7">
        <v>1786.15</v>
      </c>
      <c r="N6551" s="7">
        <v>202588979</v>
      </c>
      <c r="O6551" s="7">
        <v>188805158</v>
      </c>
      <c r="P6551" s="7">
        <v>0</v>
      </c>
      <c r="Q6551" s="7" t="str">
        <f t="shared" si="2365"/>
        <v>教育庁</v>
      </c>
      <c r="R6551" s="7" t="str">
        <f t="shared" si="2375"/>
        <v>佐野工科高等学校</v>
      </c>
    </row>
    <row r="6552" spans="1:18" s="1" customFormat="1" x14ac:dyDescent="0.45">
      <c r="A6552" s="7" t="str">
        <f t="shared" si="2372"/>
        <v>10954000000</v>
      </c>
      <c r="B6552" s="7" t="str">
        <f t="shared" si="2373"/>
        <v>佐野工科高等学校</v>
      </c>
      <c r="C6552" s="7" t="str">
        <f t="shared" si="2376"/>
        <v>行政財産</v>
      </c>
      <c r="D6552" s="7" t="str">
        <f t="shared" si="2370"/>
        <v>学校</v>
      </c>
      <c r="E6552" s="7" t="str">
        <f t="shared" si="2374"/>
        <v>大阪府泉佐野市高松東１丁目</v>
      </c>
      <c r="F6552" s="7"/>
      <c r="G6552" s="7" t="str">
        <f t="shared" si="2377"/>
        <v>事業用資産</v>
      </c>
      <c r="H6552" s="7" t="str">
        <f t="shared" si="2371"/>
        <v>棚卸以外</v>
      </c>
      <c r="I6552" s="7">
        <v>73</v>
      </c>
      <c r="J6552" s="7" t="str">
        <f>"実習棟前便所"</f>
        <v>実習棟前便所</v>
      </c>
      <c r="K6552" s="7" t="str">
        <f>"鉄筋コンクリート造"</f>
        <v>鉄筋コンクリート造</v>
      </c>
      <c r="L6552" s="7" t="str">
        <f>"S55.03.28"</f>
        <v>S55.03.28</v>
      </c>
      <c r="M6552" s="7">
        <v>26.8</v>
      </c>
      <c r="N6552" s="7">
        <v>9263728</v>
      </c>
      <c r="O6552" s="7">
        <v>7470360</v>
      </c>
      <c r="P6552" s="7">
        <v>0</v>
      </c>
      <c r="Q6552" s="7" t="str">
        <f t="shared" si="2365"/>
        <v>教育庁</v>
      </c>
      <c r="R6552" s="7" t="str">
        <f t="shared" si="2375"/>
        <v>佐野工科高等学校</v>
      </c>
    </row>
    <row r="6553" spans="1:18" s="1" customFormat="1" x14ac:dyDescent="0.45">
      <c r="A6553" s="7" t="str">
        <f t="shared" si="2372"/>
        <v>10954000000</v>
      </c>
      <c r="B6553" s="7" t="str">
        <f t="shared" si="2373"/>
        <v>佐野工科高等学校</v>
      </c>
      <c r="C6553" s="7" t="str">
        <f t="shared" si="2376"/>
        <v>行政財産</v>
      </c>
      <c r="D6553" s="7" t="str">
        <f t="shared" si="2370"/>
        <v>学校</v>
      </c>
      <c r="E6553" s="7" t="str">
        <f t="shared" si="2374"/>
        <v>大阪府泉佐野市高松東１丁目</v>
      </c>
      <c r="F6553" s="7"/>
      <c r="G6553" s="7" t="str">
        <f t="shared" si="2377"/>
        <v>事業用資産</v>
      </c>
      <c r="H6553" s="7" t="str">
        <f t="shared" si="2371"/>
        <v>棚卸以外</v>
      </c>
      <c r="I6553" s="7">
        <v>74</v>
      </c>
      <c r="J6553" s="7" t="str">
        <f>"電気科実習棟"</f>
        <v>電気科実習棟</v>
      </c>
      <c r="K6553" s="7" t="str">
        <f>"鉄筋コンクリート造"</f>
        <v>鉄筋コンクリート造</v>
      </c>
      <c r="L6553" s="7" t="str">
        <f>"S58.02.28"</f>
        <v>S58.02.28</v>
      </c>
      <c r="M6553" s="7">
        <v>1672.92</v>
      </c>
      <c r="N6553" s="7">
        <v>222163699</v>
      </c>
      <c r="O6553" s="7">
        <v>184001774</v>
      </c>
      <c r="P6553" s="7">
        <v>0</v>
      </c>
      <c r="Q6553" s="7" t="str">
        <f t="shared" si="2365"/>
        <v>教育庁</v>
      </c>
      <c r="R6553" s="7" t="str">
        <f t="shared" si="2375"/>
        <v>佐野工科高等学校</v>
      </c>
    </row>
    <row r="6554" spans="1:18" s="1" customFormat="1" x14ac:dyDescent="0.45">
      <c r="A6554" s="7" t="str">
        <f t="shared" si="2372"/>
        <v>10954000000</v>
      </c>
      <c r="B6554" s="7" t="str">
        <f t="shared" si="2373"/>
        <v>佐野工科高等学校</v>
      </c>
      <c r="C6554" s="7" t="str">
        <f t="shared" si="2376"/>
        <v>行政財産</v>
      </c>
      <c r="D6554" s="7" t="str">
        <f t="shared" si="2370"/>
        <v>学校</v>
      </c>
      <c r="E6554" s="7" t="str">
        <f t="shared" si="2374"/>
        <v>大阪府泉佐野市高松東１丁目</v>
      </c>
      <c r="F6554" s="7"/>
      <c r="G6554" s="7" t="str">
        <f t="shared" si="2377"/>
        <v>事業用資産</v>
      </c>
      <c r="H6554" s="7" t="str">
        <f t="shared" si="2371"/>
        <v>棚卸以外</v>
      </c>
      <c r="I6554" s="7">
        <v>78</v>
      </c>
      <c r="J6554" s="7" t="str">
        <f>"本館"</f>
        <v>本館</v>
      </c>
      <c r="K6554" s="7" t="str">
        <f>"鉄筋コンクリート造"</f>
        <v>鉄筋コンクリート造</v>
      </c>
      <c r="L6554" s="7" t="str">
        <f>"H08.07.04"</f>
        <v>H08.07.04</v>
      </c>
      <c r="M6554" s="7">
        <v>3551.18</v>
      </c>
      <c r="N6554" s="7">
        <v>921833589</v>
      </c>
      <c r="O6554" s="7">
        <v>483196392</v>
      </c>
      <c r="P6554" s="7">
        <v>0</v>
      </c>
      <c r="Q6554" s="7" t="str">
        <f t="shared" si="2365"/>
        <v>教育庁</v>
      </c>
      <c r="R6554" s="7" t="str">
        <f t="shared" si="2375"/>
        <v>佐野工科高等学校</v>
      </c>
    </row>
    <row r="6555" spans="1:18" s="1" customFormat="1" x14ac:dyDescent="0.45">
      <c r="A6555" s="7" t="str">
        <f t="shared" si="2372"/>
        <v>10954000000</v>
      </c>
      <c r="B6555" s="7" t="str">
        <f t="shared" si="2373"/>
        <v>佐野工科高等学校</v>
      </c>
      <c r="C6555" s="7" t="str">
        <f t="shared" si="2376"/>
        <v>行政財産</v>
      </c>
      <c r="D6555" s="7" t="str">
        <f t="shared" si="2370"/>
        <v>学校</v>
      </c>
      <c r="E6555" s="7" t="str">
        <f t="shared" si="2374"/>
        <v>大阪府泉佐野市高松東１丁目</v>
      </c>
      <c r="F6555" s="7"/>
      <c r="G6555" s="7" t="str">
        <f t="shared" si="2377"/>
        <v>事業用資産</v>
      </c>
      <c r="H6555" s="7" t="str">
        <f t="shared" si="2371"/>
        <v>棚卸以外</v>
      </c>
      <c r="I6555" s="7">
        <v>79</v>
      </c>
      <c r="J6555" s="7" t="str">
        <f>"渡廊下"</f>
        <v>渡廊下</v>
      </c>
      <c r="K6555" s="7" t="str">
        <f>"鉄骨造"</f>
        <v>鉄骨造</v>
      </c>
      <c r="L6555" s="7" t="str">
        <f>"H08.07.04"</f>
        <v>H08.07.04</v>
      </c>
      <c r="M6555" s="7">
        <v>116</v>
      </c>
      <c r="N6555" s="7">
        <v>38700000</v>
      </c>
      <c r="O6555" s="7">
        <v>33290560</v>
      </c>
      <c r="P6555" s="7">
        <v>0</v>
      </c>
      <c r="Q6555" s="7" t="str">
        <f t="shared" ref="Q6555:Q6618" si="2378">"教育庁"</f>
        <v>教育庁</v>
      </c>
      <c r="R6555" s="7" t="str">
        <f t="shared" si="2375"/>
        <v>佐野工科高等学校</v>
      </c>
    </row>
    <row r="6556" spans="1:18" s="1" customFormat="1" x14ac:dyDescent="0.45">
      <c r="A6556" s="7" t="str">
        <f t="shared" si="2372"/>
        <v>10954000000</v>
      </c>
      <c r="B6556" s="7" t="str">
        <f t="shared" si="2373"/>
        <v>佐野工科高等学校</v>
      </c>
      <c r="C6556" s="7" t="str">
        <f t="shared" si="2376"/>
        <v>行政財産</v>
      </c>
      <c r="D6556" s="7" t="str">
        <f t="shared" si="2370"/>
        <v>学校</v>
      </c>
      <c r="E6556" s="7" t="str">
        <f t="shared" si="2374"/>
        <v>大阪府泉佐野市高松東１丁目</v>
      </c>
      <c r="F6556" s="7"/>
      <c r="G6556" s="7" t="str">
        <f t="shared" si="2377"/>
        <v>事業用資産</v>
      </c>
      <c r="H6556" s="7" t="str">
        <f t="shared" si="2371"/>
        <v>棚卸以外</v>
      </c>
      <c r="I6556" s="7">
        <v>80</v>
      </c>
      <c r="J6556" s="7" t="str">
        <f>"屋外電気室"</f>
        <v>屋外電気室</v>
      </c>
      <c r="K6556" s="7" t="str">
        <f>"鉄筋コンクリート造"</f>
        <v>鉄筋コンクリート造</v>
      </c>
      <c r="L6556" s="7" t="str">
        <f>"S50.09.30"</f>
        <v>S50.09.30</v>
      </c>
      <c r="M6556" s="7">
        <v>44</v>
      </c>
      <c r="N6556" s="7">
        <v>17328000</v>
      </c>
      <c r="O6556" s="7">
        <v>17327999</v>
      </c>
      <c r="P6556" s="7">
        <v>0</v>
      </c>
      <c r="Q6556" s="7" t="str">
        <f t="shared" si="2378"/>
        <v>教育庁</v>
      </c>
      <c r="R6556" s="7" t="str">
        <f t="shared" si="2375"/>
        <v>佐野工科高等学校</v>
      </c>
    </row>
    <row r="6557" spans="1:18" s="1" customFormat="1" x14ac:dyDescent="0.45">
      <c r="A6557" s="7" t="str">
        <f t="shared" si="2372"/>
        <v>10954000000</v>
      </c>
      <c r="B6557" s="7" t="str">
        <f t="shared" si="2373"/>
        <v>佐野工科高等学校</v>
      </c>
      <c r="C6557" s="7" t="str">
        <f t="shared" si="2376"/>
        <v>行政財産</v>
      </c>
      <c r="D6557" s="7" t="str">
        <f t="shared" si="2370"/>
        <v>学校</v>
      </c>
      <c r="E6557" s="7" t="str">
        <f t="shared" si="2374"/>
        <v>大阪府泉佐野市高松東１丁目</v>
      </c>
      <c r="F6557" s="7"/>
      <c r="G6557" s="7" t="str">
        <f t="shared" si="2377"/>
        <v>事業用資産</v>
      </c>
      <c r="H6557" s="7" t="str">
        <f t="shared" si="2371"/>
        <v>棚卸以外</v>
      </c>
      <c r="I6557" s="7">
        <v>81</v>
      </c>
      <c r="J6557" s="7" t="str">
        <f>"倉庫Ｅ"</f>
        <v>倉庫Ｅ</v>
      </c>
      <c r="K6557" s="7" t="str">
        <f>"土蔵造(簡易建物)"</f>
        <v>土蔵造(簡易建物)</v>
      </c>
      <c r="L6557" s="7" t="str">
        <f>"H12.10.17"</f>
        <v>H12.10.17</v>
      </c>
      <c r="M6557" s="7">
        <v>19.829999999999998</v>
      </c>
      <c r="N6557" s="7">
        <v>903000</v>
      </c>
      <c r="O6557" s="7">
        <v>843584</v>
      </c>
      <c r="P6557" s="7">
        <v>0</v>
      </c>
      <c r="Q6557" s="7" t="str">
        <f t="shared" si="2378"/>
        <v>教育庁</v>
      </c>
      <c r="R6557" s="7" t="str">
        <f t="shared" si="2375"/>
        <v>佐野工科高等学校</v>
      </c>
    </row>
    <row r="6558" spans="1:18" s="1" customFormat="1" x14ac:dyDescent="0.45">
      <c r="A6558" s="7" t="str">
        <f t="shared" si="2372"/>
        <v>10954000000</v>
      </c>
      <c r="B6558" s="7" t="str">
        <f t="shared" si="2373"/>
        <v>佐野工科高等学校</v>
      </c>
      <c r="C6558" s="7" t="str">
        <f t="shared" si="2376"/>
        <v>行政財産</v>
      </c>
      <c r="D6558" s="7" t="str">
        <f t="shared" si="2370"/>
        <v>学校</v>
      </c>
      <c r="E6558" s="7" t="str">
        <f t="shared" si="2374"/>
        <v>大阪府泉佐野市高松東１丁目</v>
      </c>
      <c r="F6558" s="7"/>
      <c r="G6558" s="7" t="str">
        <f t="shared" si="2377"/>
        <v>事業用資産</v>
      </c>
      <c r="H6558" s="7" t="str">
        <f t="shared" si="2371"/>
        <v>棚卸以外</v>
      </c>
      <c r="I6558" s="7">
        <v>82</v>
      </c>
      <c r="J6558" s="7" t="str">
        <f>"プール付属棟"</f>
        <v>プール付属棟</v>
      </c>
      <c r="K6558" s="7" t="str">
        <f>"鉄筋コンクリート造"</f>
        <v>鉄筋コンクリート造</v>
      </c>
      <c r="L6558" s="7" t="str">
        <f>"H14.02.15"</f>
        <v>H14.02.15</v>
      </c>
      <c r="M6558" s="7">
        <v>136.5</v>
      </c>
      <c r="N6558" s="7">
        <v>49276214</v>
      </c>
      <c r="O6558" s="7">
        <v>27266563</v>
      </c>
      <c r="P6558" s="7">
        <v>0</v>
      </c>
      <c r="Q6558" s="7" t="str">
        <f t="shared" si="2378"/>
        <v>教育庁</v>
      </c>
      <c r="R6558" s="7" t="str">
        <f t="shared" si="2375"/>
        <v>佐野工科高等学校</v>
      </c>
    </row>
    <row r="6559" spans="1:18" s="1" customFormat="1" x14ac:dyDescent="0.45">
      <c r="A6559" s="7" t="str">
        <f t="shared" si="2372"/>
        <v>10954000000</v>
      </c>
      <c r="B6559" s="7" t="str">
        <f t="shared" si="2373"/>
        <v>佐野工科高等学校</v>
      </c>
      <c r="C6559" s="7" t="str">
        <f t="shared" si="2376"/>
        <v>行政財産</v>
      </c>
      <c r="D6559" s="7" t="str">
        <f t="shared" si="2370"/>
        <v>学校</v>
      </c>
      <c r="E6559" s="7" t="str">
        <f t="shared" si="2374"/>
        <v>大阪府泉佐野市高松東１丁目</v>
      </c>
      <c r="F6559" s="7"/>
      <c r="G6559" s="7" t="str">
        <f t="shared" si="2377"/>
        <v>事業用資産</v>
      </c>
      <c r="H6559" s="7" t="str">
        <f t="shared" si="2371"/>
        <v>棚卸以外</v>
      </c>
      <c r="I6559" s="7">
        <v>83</v>
      </c>
      <c r="J6559" s="7" t="str">
        <f>"倉庫Ｆ"</f>
        <v>倉庫Ｆ</v>
      </c>
      <c r="K6559" s="7" t="str">
        <f>"鉄骨造"</f>
        <v>鉄骨造</v>
      </c>
      <c r="L6559" s="7" t="str">
        <f>"H14.02.15"</f>
        <v>H14.02.15</v>
      </c>
      <c r="M6559" s="7">
        <v>82.9</v>
      </c>
      <c r="N6559" s="7">
        <v>10520000</v>
      </c>
      <c r="O6559" s="7">
        <v>7154840</v>
      </c>
      <c r="P6559" s="7">
        <v>0</v>
      </c>
      <c r="Q6559" s="7" t="str">
        <f t="shared" si="2378"/>
        <v>教育庁</v>
      </c>
      <c r="R6559" s="7" t="str">
        <f t="shared" si="2375"/>
        <v>佐野工科高等学校</v>
      </c>
    </row>
    <row r="6560" spans="1:18" s="1" customFormat="1" x14ac:dyDescent="0.45">
      <c r="A6560" s="7" t="str">
        <f t="shared" si="2372"/>
        <v>10954000000</v>
      </c>
      <c r="B6560" s="7" t="str">
        <f t="shared" si="2373"/>
        <v>佐野工科高等学校</v>
      </c>
      <c r="C6560" s="7" t="str">
        <f t="shared" si="2376"/>
        <v>行政財産</v>
      </c>
      <c r="D6560" s="7" t="str">
        <f t="shared" si="2370"/>
        <v>学校</v>
      </c>
      <c r="E6560" s="7" t="str">
        <f t="shared" si="2374"/>
        <v>大阪府泉佐野市高松東１丁目</v>
      </c>
      <c r="F6560" s="7"/>
      <c r="G6560" s="7" t="str">
        <f t="shared" si="2377"/>
        <v>事業用資産</v>
      </c>
      <c r="H6560" s="7" t="str">
        <f t="shared" si="2371"/>
        <v>棚卸以外</v>
      </c>
      <c r="I6560" s="7">
        <v>84</v>
      </c>
      <c r="J6560" s="7" t="str">
        <f>"教室棟"</f>
        <v>教室棟</v>
      </c>
      <c r="K6560" s="7" t="str">
        <f>"鉄骨造"</f>
        <v>鉄骨造</v>
      </c>
      <c r="L6560" s="7" t="str">
        <f>"H18.07.31"</f>
        <v>H18.07.31</v>
      </c>
      <c r="M6560" s="7">
        <v>252.67</v>
      </c>
      <c r="N6560" s="7">
        <v>55051726</v>
      </c>
      <c r="O6560" s="7">
        <v>26985606</v>
      </c>
      <c r="P6560" s="7">
        <v>0</v>
      </c>
      <c r="Q6560" s="7" t="str">
        <f t="shared" si="2378"/>
        <v>教育庁</v>
      </c>
      <c r="R6560" s="7" t="str">
        <f t="shared" si="2375"/>
        <v>佐野工科高等学校</v>
      </c>
    </row>
    <row r="6561" spans="1:18" s="1" customFormat="1" x14ac:dyDescent="0.45">
      <c r="A6561" s="7" t="str">
        <f t="shared" ref="A6561:A6574" si="2379">"10037000000"</f>
        <v>10037000000</v>
      </c>
      <c r="B6561" s="7" t="str">
        <f t="shared" ref="B6561:B6574" si="2380">"緑風冠高等学校"</f>
        <v>緑風冠高等学校</v>
      </c>
      <c r="C6561" s="7" t="str">
        <f t="shared" si="2376"/>
        <v>行政財産</v>
      </c>
      <c r="D6561" s="7" t="str">
        <f t="shared" si="2370"/>
        <v>学校</v>
      </c>
      <c r="E6561" s="7" t="str">
        <f t="shared" ref="E6561:E6574" si="2381">"大阪府大東市深野４丁目"</f>
        <v>大阪府大東市深野４丁目</v>
      </c>
      <c r="F6561" s="7"/>
      <c r="G6561" s="7" t="str">
        <f t="shared" si="2377"/>
        <v>事業用資産</v>
      </c>
      <c r="H6561" s="7" t="str">
        <f t="shared" si="2371"/>
        <v>棚卸以外</v>
      </c>
      <c r="I6561" s="7">
        <v>1</v>
      </c>
      <c r="J6561" s="7" t="str">
        <f>"本館"</f>
        <v>本館</v>
      </c>
      <c r="K6561" s="7" t="str">
        <f>"鉄筋コンクリート造"</f>
        <v>鉄筋コンクリート造</v>
      </c>
      <c r="L6561" s="7" t="str">
        <f>"S47.04.04"</f>
        <v>S47.04.04</v>
      </c>
      <c r="M6561" s="7">
        <v>2439.56</v>
      </c>
      <c r="N6561" s="7">
        <v>235586298</v>
      </c>
      <c r="O6561" s="7">
        <v>155502685</v>
      </c>
      <c r="P6561" s="7">
        <v>0</v>
      </c>
      <c r="Q6561" s="7" t="str">
        <f t="shared" si="2378"/>
        <v>教育庁</v>
      </c>
      <c r="R6561" s="7" t="str">
        <f t="shared" ref="R6561:R6574" si="2382">"緑風冠高等学校"</f>
        <v>緑風冠高等学校</v>
      </c>
    </row>
    <row r="6562" spans="1:18" s="1" customFormat="1" x14ac:dyDescent="0.45">
      <c r="A6562" s="7" t="str">
        <f t="shared" si="2379"/>
        <v>10037000000</v>
      </c>
      <c r="B6562" s="7" t="str">
        <f t="shared" si="2380"/>
        <v>緑風冠高等学校</v>
      </c>
      <c r="C6562" s="7" t="str">
        <f t="shared" si="2376"/>
        <v>行政財産</v>
      </c>
      <c r="D6562" s="7" t="str">
        <f t="shared" si="2370"/>
        <v>学校</v>
      </c>
      <c r="E6562" s="7" t="str">
        <f t="shared" si="2381"/>
        <v>大阪府大東市深野４丁目</v>
      </c>
      <c r="F6562" s="7"/>
      <c r="G6562" s="7" t="str">
        <f t="shared" si="2377"/>
        <v>事業用資産</v>
      </c>
      <c r="H6562" s="7" t="str">
        <f t="shared" si="2371"/>
        <v>棚卸以外</v>
      </c>
      <c r="I6562" s="7">
        <v>2</v>
      </c>
      <c r="J6562" s="7" t="str">
        <f>"設備棟"</f>
        <v>設備棟</v>
      </c>
      <c r="K6562" s="7" t="str">
        <f>"鉄筋コンクリート造"</f>
        <v>鉄筋コンクリート造</v>
      </c>
      <c r="L6562" s="7" t="str">
        <f>"S47.04.03"</f>
        <v>S47.04.03</v>
      </c>
      <c r="M6562" s="7">
        <v>100.44</v>
      </c>
      <c r="N6562" s="7">
        <v>13985894</v>
      </c>
      <c r="O6562" s="7">
        <v>9653195</v>
      </c>
      <c r="P6562" s="7">
        <v>0</v>
      </c>
      <c r="Q6562" s="7" t="str">
        <f t="shared" si="2378"/>
        <v>教育庁</v>
      </c>
      <c r="R6562" s="7" t="str">
        <f t="shared" si="2382"/>
        <v>緑風冠高等学校</v>
      </c>
    </row>
    <row r="6563" spans="1:18" s="1" customFormat="1" x14ac:dyDescent="0.45">
      <c r="A6563" s="7" t="str">
        <f t="shared" si="2379"/>
        <v>10037000000</v>
      </c>
      <c r="B6563" s="7" t="str">
        <f t="shared" si="2380"/>
        <v>緑風冠高等学校</v>
      </c>
      <c r="C6563" s="7" t="str">
        <f t="shared" si="2376"/>
        <v>行政財産</v>
      </c>
      <c r="D6563" s="7" t="str">
        <f t="shared" si="2370"/>
        <v>学校</v>
      </c>
      <c r="E6563" s="7" t="str">
        <f t="shared" si="2381"/>
        <v>大阪府大東市深野４丁目</v>
      </c>
      <c r="F6563" s="7"/>
      <c r="G6563" s="7" t="str">
        <f t="shared" si="2377"/>
        <v>事業用資産</v>
      </c>
      <c r="H6563" s="7" t="str">
        <f t="shared" si="2371"/>
        <v>棚卸以外</v>
      </c>
      <c r="I6563" s="7">
        <v>3</v>
      </c>
      <c r="J6563" s="7" t="str">
        <f>"倉庫"</f>
        <v>倉庫</v>
      </c>
      <c r="K6563" s="7" t="str">
        <f>"軽量鉄骨造"</f>
        <v>軽量鉄骨造</v>
      </c>
      <c r="L6563" s="7" t="str">
        <f>"S47.04.02"</f>
        <v>S47.04.02</v>
      </c>
      <c r="M6563" s="7">
        <v>97.76</v>
      </c>
      <c r="N6563" s="7">
        <v>2291000</v>
      </c>
      <c r="O6563" s="7">
        <v>2290999</v>
      </c>
      <c r="P6563" s="7">
        <v>0</v>
      </c>
      <c r="Q6563" s="7" t="str">
        <f t="shared" si="2378"/>
        <v>教育庁</v>
      </c>
      <c r="R6563" s="7" t="str">
        <f t="shared" si="2382"/>
        <v>緑風冠高等学校</v>
      </c>
    </row>
    <row r="6564" spans="1:18" s="1" customFormat="1" x14ac:dyDescent="0.45">
      <c r="A6564" s="7" t="str">
        <f t="shared" si="2379"/>
        <v>10037000000</v>
      </c>
      <c r="B6564" s="7" t="str">
        <f t="shared" si="2380"/>
        <v>緑風冠高等学校</v>
      </c>
      <c r="C6564" s="7" t="str">
        <f t="shared" si="2376"/>
        <v>行政財産</v>
      </c>
      <c r="D6564" s="7" t="str">
        <f t="shared" si="2370"/>
        <v>学校</v>
      </c>
      <c r="E6564" s="7" t="str">
        <f t="shared" si="2381"/>
        <v>大阪府大東市深野４丁目</v>
      </c>
      <c r="F6564" s="7"/>
      <c r="G6564" s="7" t="str">
        <f t="shared" si="2377"/>
        <v>事業用資産</v>
      </c>
      <c r="H6564" s="7" t="str">
        <f t="shared" si="2371"/>
        <v>棚卸以外</v>
      </c>
      <c r="I6564" s="7">
        <v>4</v>
      </c>
      <c r="J6564" s="7" t="str">
        <f>"自転車置場"</f>
        <v>自転車置場</v>
      </c>
      <c r="K6564" s="7" t="str">
        <f>"軽量鉄骨造"</f>
        <v>軽量鉄骨造</v>
      </c>
      <c r="L6564" s="7" t="str">
        <f>"S47.04.01"</f>
        <v>S47.04.01</v>
      </c>
      <c r="M6564" s="7">
        <v>120</v>
      </c>
      <c r="N6564" s="7">
        <v>1838000</v>
      </c>
      <c r="O6564" s="7">
        <v>1837999</v>
      </c>
      <c r="P6564" s="7">
        <v>0</v>
      </c>
      <c r="Q6564" s="7" t="str">
        <f t="shared" si="2378"/>
        <v>教育庁</v>
      </c>
      <c r="R6564" s="7" t="str">
        <f t="shared" si="2382"/>
        <v>緑風冠高等学校</v>
      </c>
    </row>
    <row r="6565" spans="1:18" s="1" customFormat="1" x14ac:dyDescent="0.45">
      <c r="A6565" s="7" t="str">
        <f t="shared" si="2379"/>
        <v>10037000000</v>
      </c>
      <c r="B6565" s="7" t="str">
        <f t="shared" si="2380"/>
        <v>緑風冠高等学校</v>
      </c>
      <c r="C6565" s="7" t="str">
        <f t="shared" si="2376"/>
        <v>行政財産</v>
      </c>
      <c r="D6565" s="7" t="str">
        <f t="shared" si="2370"/>
        <v>学校</v>
      </c>
      <c r="E6565" s="7" t="str">
        <f t="shared" si="2381"/>
        <v>大阪府大東市深野４丁目</v>
      </c>
      <c r="F6565" s="7"/>
      <c r="G6565" s="7" t="str">
        <f t="shared" si="2377"/>
        <v>事業用資産</v>
      </c>
      <c r="H6565" s="7" t="str">
        <f t="shared" si="2371"/>
        <v>棚卸以外</v>
      </c>
      <c r="I6565" s="7">
        <v>6</v>
      </c>
      <c r="J6565" s="7" t="str">
        <f>"特別Ａ棟"</f>
        <v>特別Ａ棟</v>
      </c>
      <c r="K6565" s="7" t="str">
        <f>"鉄筋コンクリート造"</f>
        <v>鉄筋コンクリート造</v>
      </c>
      <c r="L6565" s="7" t="str">
        <f>"S48.02.28"</f>
        <v>S48.02.28</v>
      </c>
      <c r="M6565" s="7">
        <v>2634.58</v>
      </c>
      <c r="N6565" s="7">
        <v>206252481</v>
      </c>
      <c r="O6565" s="7">
        <v>147021273</v>
      </c>
      <c r="P6565" s="7">
        <v>0</v>
      </c>
      <c r="Q6565" s="7" t="str">
        <f t="shared" si="2378"/>
        <v>教育庁</v>
      </c>
      <c r="R6565" s="7" t="str">
        <f t="shared" si="2382"/>
        <v>緑風冠高等学校</v>
      </c>
    </row>
    <row r="6566" spans="1:18" s="1" customFormat="1" x14ac:dyDescent="0.45">
      <c r="A6566" s="7" t="str">
        <f t="shared" si="2379"/>
        <v>10037000000</v>
      </c>
      <c r="B6566" s="7" t="str">
        <f t="shared" si="2380"/>
        <v>緑風冠高等学校</v>
      </c>
      <c r="C6566" s="7" t="str">
        <f t="shared" si="2376"/>
        <v>行政財産</v>
      </c>
      <c r="D6566" s="7" t="str">
        <f t="shared" si="2370"/>
        <v>学校</v>
      </c>
      <c r="E6566" s="7" t="str">
        <f t="shared" si="2381"/>
        <v>大阪府大東市深野４丁目</v>
      </c>
      <c r="F6566" s="7"/>
      <c r="G6566" s="7" t="str">
        <f t="shared" si="2377"/>
        <v>事業用資産</v>
      </c>
      <c r="H6566" s="7" t="str">
        <f t="shared" si="2371"/>
        <v>棚卸以外</v>
      </c>
      <c r="I6566" s="7">
        <v>7</v>
      </c>
      <c r="J6566" s="7" t="str">
        <f>"特別Ｂ棟"</f>
        <v>特別Ｂ棟</v>
      </c>
      <c r="K6566" s="7" t="str">
        <f>"鉄筋コンクリート造"</f>
        <v>鉄筋コンクリート造</v>
      </c>
      <c r="L6566" s="7" t="str">
        <f>"S48.02.28"</f>
        <v>S48.02.28</v>
      </c>
      <c r="M6566" s="7">
        <v>2842.37</v>
      </c>
      <c r="N6566" s="7">
        <v>200733493</v>
      </c>
      <c r="O6566" s="7">
        <v>152354366</v>
      </c>
      <c r="P6566" s="7">
        <v>0</v>
      </c>
      <c r="Q6566" s="7" t="str">
        <f t="shared" si="2378"/>
        <v>教育庁</v>
      </c>
      <c r="R6566" s="7" t="str">
        <f t="shared" si="2382"/>
        <v>緑風冠高等学校</v>
      </c>
    </row>
    <row r="6567" spans="1:18" s="1" customFormat="1" x14ac:dyDescent="0.45">
      <c r="A6567" s="7" t="str">
        <f t="shared" si="2379"/>
        <v>10037000000</v>
      </c>
      <c r="B6567" s="7" t="str">
        <f t="shared" si="2380"/>
        <v>緑風冠高等学校</v>
      </c>
      <c r="C6567" s="7" t="str">
        <f t="shared" si="2376"/>
        <v>行政財産</v>
      </c>
      <c r="D6567" s="7" t="str">
        <f t="shared" si="2370"/>
        <v>学校</v>
      </c>
      <c r="E6567" s="7" t="str">
        <f t="shared" si="2381"/>
        <v>大阪府大東市深野４丁目</v>
      </c>
      <c r="F6567" s="7"/>
      <c r="G6567" s="7" t="str">
        <f t="shared" si="2377"/>
        <v>事業用資産</v>
      </c>
      <c r="H6567" s="7" t="str">
        <f t="shared" si="2371"/>
        <v>棚卸以外</v>
      </c>
      <c r="I6567" s="7">
        <v>8</v>
      </c>
      <c r="J6567" s="7" t="str">
        <f>"渡り廊下"</f>
        <v>渡り廊下</v>
      </c>
      <c r="K6567" s="7" t="str">
        <f>"鉄筋コンクリート造"</f>
        <v>鉄筋コンクリート造</v>
      </c>
      <c r="L6567" s="7" t="str">
        <f>"S48.02.28"</f>
        <v>S48.02.28</v>
      </c>
      <c r="M6567" s="7">
        <v>172.74</v>
      </c>
      <c r="N6567" s="7">
        <v>8068000</v>
      </c>
      <c r="O6567" s="7">
        <v>7369334</v>
      </c>
      <c r="P6567" s="7">
        <v>0</v>
      </c>
      <c r="Q6567" s="7" t="str">
        <f t="shared" si="2378"/>
        <v>教育庁</v>
      </c>
      <c r="R6567" s="7" t="str">
        <f t="shared" si="2382"/>
        <v>緑風冠高等学校</v>
      </c>
    </row>
    <row r="6568" spans="1:18" s="1" customFormat="1" x14ac:dyDescent="0.45">
      <c r="A6568" s="7" t="str">
        <f t="shared" si="2379"/>
        <v>10037000000</v>
      </c>
      <c r="B6568" s="7" t="str">
        <f t="shared" si="2380"/>
        <v>緑風冠高等学校</v>
      </c>
      <c r="C6568" s="7" t="str">
        <f t="shared" si="2376"/>
        <v>行政財産</v>
      </c>
      <c r="D6568" s="7" t="str">
        <f t="shared" si="2370"/>
        <v>学校</v>
      </c>
      <c r="E6568" s="7" t="str">
        <f t="shared" si="2381"/>
        <v>大阪府大東市深野４丁目</v>
      </c>
      <c r="F6568" s="7"/>
      <c r="G6568" s="7" t="str">
        <f t="shared" si="2377"/>
        <v>事業用資産</v>
      </c>
      <c r="H6568" s="7" t="str">
        <f t="shared" si="2371"/>
        <v>棚卸以外</v>
      </c>
      <c r="I6568" s="7">
        <v>9</v>
      </c>
      <c r="J6568" s="7" t="str">
        <f>"体育館"</f>
        <v>体育館</v>
      </c>
      <c r="K6568" s="7" t="str">
        <f>"鉄筋コンクリート造"</f>
        <v>鉄筋コンクリート造</v>
      </c>
      <c r="L6568" s="7" t="str">
        <f>"S48.04.30"</f>
        <v>S48.04.30</v>
      </c>
      <c r="M6568" s="7">
        <v>3119.7</v>
      </c>
      <c r="N6568" s="7">
        <v>274353897</v>
      </c>
      <c r="O6568" s="7">
        <v>188820776</v>
      </c>
      <c r="P6568" s="7">
        <v>0</v>
      </c>
      <c r="Q6568" s="7" t="str">
        <f t="shared" si="2378"/>
        <v>教育庁</v>
      </c>
      <c r="R6568" s="7" t="str">
        <f t="shared" si="2382"/>
        <v>緑風冠高等学校</v>
      </c>
    </row>
    <row r="6569" spans="1:18" s="1" customFormat="1" x14ac:dyDescent="0.45">
      <c r="A6569" s="7" t="str">
        <f t="shared" si="2379"/>
        <v>10037000000</v>
      </c>
      <c r="B6569" s="7" t="str">
        <f t="shared" si="2380"/>
        <v>緑風冠高等学校</v>
      </c>
      <c r="C6569" s="7" t="str">
        <f t="shared" si="2376"/>
        <v>行政財産</v>
      </c>
      <c r="D6569" s="7" t="str">
        <f t="shared" si="2370"/>
        <v>学校</v>
      </c>
      <c r="E6569" s="7" t="str">
        <f t="shared" si="2381"/>
        <v>大阪府大東市深野４丁目</v>
      </c>
      <c r="F6569" s="7"/>
      <c r="G6569" s="7" t="str">
        <f t="shared" si="2377"/>
        <v>事業用資産</v>
      </c>
      <c r="H6569" s="7" t="str">
        <f t="shared" si="2371"/>
        <v>棚卸以外</v>
      </c>
      <c r="I6569" s="7">
        <v>10</v>
      </c>
      <c r="J6569" s="7" t="str">
        <f>"プール附属棟"</f>
        <v>プール附属棟</v>
      </c>
      <c r="K6569" s="7" t="str">
        <f>"鉄筋コンクリート造"</f>
        <v>鉄筋コンクリート造</v>
      </c>
      <c r="L6569" s="7" t="str">
        <f>"S48.05.15"</f>
        <v>S48.05.15</v>
      </c>
      <c r="M6569" s="7">
        <v>138</v>
      </c>
      <c r="N6569" s="7">
        <v>11757400</v>
      </c>
      <c r="O6569" s="7">
        <v>11700279</v>
      </c>
      <c r="P6569" s="7">
        <v>0</v>
      </c>
      <c r="Q6569" s="7" t="str">
        <f t="shared" si="2378"/>
        <v>教育庁</v>
      </c>
      <c r="R6569" s="7" t="str">
        <f t="shared" si="2382"/>
        <v>緑風冠高等学校</v>
      </c>
    </row>
    <row r="6570" spans="1:18" s="1" customFormat="1" x14ac:dyDescent="0.45">
      <c r="A6570" s="7" t="str">
        <f t="shared" si="2379"/>
        <v>10037000000</v>
      </c>
      <c r="B6570" s="7" t="str">
        <f t="shared" si="2380"/>
        <v>緑風冠高等学校</v>
      </c>
      <c r="C6570" s="7" t="str">
        <f t="shared" si="2376"/>
        <v>行政財産</v>
      </c>
      <c r="D6570" s="7" t="str">
        <f t="shared" si="2370"/>
        <v>学校</v>
      </c>
      <c r="E6570" s="7" t="str">
        <f t="shared" si="2381"/>
        <v>大阪府大東市深野４丁目</v>
      </c>
      <c r="F6570" s="7"/>
      <c r="G6570" s="7" t="str">
        <f t="shared" si="2377"/>
        <v>事業用資産</v>
      </c>
      <c r="H6570" s="7" t="str">
        <f t="shared" si="2371"/>
        <v>棚卸以外</v>
      </c>
      <c r="I6570" s="7">
        <v>11</v>
      </c>
      <c r="J6570" s="7" t="str">
        <f>"プロパンガス置場"</f>
        <v>プロパンガス置場</v>
      </c>
      <c r="K6570" s="7" t="str">
        <f>"コンクリートブロック造"</f>
        <v>コンクリートブロック造</v>
      </c>
      <c r="L6570" s="7" t="str">
        <f>"S48.04.30"</f>
        <v>S48.04.30</v>
      </c>
      <c r="M6570" s="7">
        <v>15.84</v>
      </c>
      <c r="N6570" s="7">
        <v>1557000</v>
      </c>
      <c r="O6570" s="7">
        <v>1556999</v>
      </c>
      <c r="P6570" s="7">
        <v>0</v>
      </c>
      <c r="Q6570" s="7" t="str">
        <f t="shared" si="2378"/>
        <v>教育庁</v>
      </c>
      <c r="R6570" s="7" t="str">
        <f t="shared" si="2382"/>
        <v>緑風冠高等学校</v>
      </c>
    </row>
    <row r="6571" spans="1:18" s="1" customFormat="1" x14ac:dyDescent="0.45">
      <c r="A6571" s="7" t="str">
        <f t="shared" si="2379"/>
        <v>10037000000</v>
      </c>
      <c r="B6571" s="7" t="str">
        <f t="shared" si="2380"/>
        <v>緑風冠高等学校</v>
      </c>
      <c r="C6571" s="7" t="str">
        <f t="shared" si="2376"/>
        <v>行政財産</v>
      </c>
      <c r="D6571" s="7" t="str">
        <f t="shared" si="2370"/>
        <v>学校</v>
      </c>
      <c r="E6571" s="7" t="str">
        <f t="shared" si="2381"/>
        <v>大阪府大東市深野４丁目</v>
      </c>
      <c r="F6571" s="7"/>
      <c r="G6571" s="7" t="str">
        <f t="shared" si="2377"/>
        <v>事業用資産</v>
      </c>
      <c r="H6571" s="7" t="str">
        <f t="shared" si="2371"/>
        <v>棚卸以外</v>
      </c>
      <c r="I6571" s="7">
        <v>12</v>
      </c>
      <c r="J6571" s="7" t="str">
        <f>"普通Ａ棟"</f>
        <v>普通Ａ棟</v>
      </c>
      <c r="K6571" s="7" t="str">
        <f>"鉄筋コンクリート造"</f>
        <v>鉄筋コンクリート造</v>
      </c>
      <c r="L6571" s="7" t="str">
        <f>"S49.03.28"</f>
        <v>S49.03.28</v>
      </c>
      <c r="M6571" s="7">
        <v>1885.37</v>
      </c>
      <c r="N6571" s="7">
        <v>163753963</v>
      </c>
      <c r="O6571" s="7">
        <v>123248983</v>
      </c>
      <c r="P6571" s="7">
        <v>0</v>
      </c>
      <c r="Q6571" s="7" t="str">
        <f t="shared" si="2378"/>
        <v>教育庁</v>
      </c>
      <c r="R6571" s="7" t="str">
        <f t="shared" si="2382"/>
        <v>緑風冠高等学校</v>
      </c>
    </row>
    <row r="6572" spans="1:18" s="1" customFormat="1" x14ac:dyDescent="0.45">
      <c r="A6572" s="7" t="str">
        <f t="shared" si="2379"/>
        <v>10037000000</v>
      </c>
      <c r="B6572" s="7" t="str">
        <f t="shared" si="2380"/>
        <v>緑風冠高等学校</v>
      </c>
      <c r="C6572" s="7" t="str">
        <f t="shared" si="2376"/>
        <v>行政財産</v>
      </c>
      <c r="D6572" s="7" t="str">
        <f t="shared" si="2370"/>
        <v>学校</v>
      </c>
      <c r="E6572" s="7" t="str">
        <f t="shared" si="2381"/>
        <v>大阪府大東市深野４丁目</v>
      </c>
      <c r="F6572" s="7"/>
      <c r="G6572" s="7" t="str">
        <f t="shared" si="2377"/>
        <v>事業用資産</v>
      </c>
      <c r="H6572" s="7" t="str">
        <f t="shared" si="2371"/>
        <v>棚卸以外</v>
      </c>
      <c r="I6572" s="7">
        <v>13</v>
      </c>
      <c r="J6572" s="7" t="str">
        <f>"普通Ｂ棟"</f>
        <v>普通Ｂ棟</v>
      </c>
      <c r="K6572" s="7" t="str">
        <f>"鉄筋コンクリート造"</f>
        <v>鉄筋コンクリート造</v>
      </c>
      <c r="L6572" s="7" t="str">
        <f>"S49.03.28"</f>
        <v>S49.03.28</v>
      </c>
      <c r="M6572" s="7">
        <v>2229.11</v>
      </c>
      <c r="N6572" s="7">
        <v>277373178</v>
      </c>
      <c r="O6572" s="7">
        <v>163892604</v>
      </c>
      <c r="P6572" s="7">
        <v>0</v>
      </c>
      <c r="Q6572" s="7" t="str">
        <f t="shared" si="2378"/>
        <v>教育庁</v>
      </c>
      <c r="R6572" s="7" t="str">
        <f t="shared" si="2382"/>
        <v>緑風冠高等学校</v>
      </c>
    </row>
    <row r="6573" spans="1:18" s="1" customFormat="1" x14ac:dyDescent="0.45">
      <c r="A6573" s="7" t="str">
        <f t="shared" si="2379"/>
        <v>10037000000</v>
      </c>
      <c r="B6573" s="7" t="str">
        <f t="shared" si="2380"/>
        <v>緑風冠高等学校</v>
      </c>
      <c r="C6573" s="7" t="str">
        <f t="shared" si="2376"/>
        <v>行政財産</v>
      </c>
      <c r="D6573" s="7" t="str">
        <f t="shared" si="2370"/>
        <v>学校</v>
      </c>
      <c r="E6573" s="7" t="str">
        <f t="shared" si="2381"/>
        <v>大阪府大東市深野４丁目</v>
      </c>
      <c r="F6573" s="7"/>
      <c r="G6573" s="7" t="str">
        <f t="shared" si="2377"/>
        <v>事業用資産</v>
      </c>
      <c r="H6573" s="7" t="str">
        <f t="shared" si="2371"/>
        <v>棚卸以外</v>
      </c>
      <c r="I6573" s="7">
        <v>14</v>
      </c>
      <c r="J6573" s="7" t="str">
        <f>"渡り廊下"</f>
        <v>渡り廊下</v>
      </c>
      <c r="K6573" s="7" t="str">
        <f>"鉄筋コンクリート造"</f>
        <v>鉄筋コンクリート造</v>
      </c>
      <c r="L6573" s="7" t="str">
        <f>"S49.03.28"</f>
        <v>S49.03.28</v>
      </c>
      <c r="M6573" s="7">
        <v>448.7</v>
      </c>
      <c r="N6573" s="7">
        <v>23049187</v>
      </c>
      <c r="O6573" s="7">
        <v>20351249</v>
      </c>
      <c r="P6573" s="7">
        <v>0</v>
      </c>
      <c r="Q6573" s="7" t="str">
        <f t="shared" si="2378"/>
        <v>教育庁</v>
      </c>
      <c r="R6573" s="7" t="str">
        <f t="shared" si="2382"/>
        <v>緑風冠高等学校</v>
      </c>
    </row>
    <row r="6574" spans="1:18" s="1" customFormat="1" x14ac:dyDescent="0.45">
      <c r="A6574" s="7" t="str">
        <f t="shared" si="2379"/>
        <v>10037000000</v>
      </c>
      <c r="B6574" s="7" t="str">
        <f t="shared" si="2380"/>
        <v>緑風冠高等学校</v>
      </c>
      <c r="C6574" s="7" t="str">
        <f t="shared" si="2376"/>
        <v>行政財産</v>
      </c>
      <c r="D6574" s="7" t="str">
        <f t="shared" si="2370"/>
        <v>学校</v>
      </c>
      <c r="E6574" s="7" t="str">
        <f t="shared" si="2381"/>
        <v>大阪府大東市深野４丁目</v>
      </c>
      <c r="F6574" s="7"/>
      <c r="G6574" s="7" t="str">
        <f t="shared" si="2377"/>
        <v>事業用資産</v>
      </c>
      <c r="H6574" s="7" t="str">
        <f t="shared" si="2371"/>
        <v>棚卸以外</v>
      </c>
      <c r="I6574" s="7">
        <v>16</v>
      </c>
      <c r="J6574" s="7" t="str">
        <f>"自転車置場"</f>
        <v>自転車置場</v>
      </c>
      <c r="K6574" s="7" t="str">
        <f>"軽量鉄骨造"</f>
        <v>軽量鉄骨造</v>
      </c>
      <c r="L6574" s="7" t="str">
        <f>"S51.03.31"</f>
        <v>S51.03.31</v>
      </c>
      <c r="M6574" s="7">
        <v>34.5</v>
      </c>
      <c r="N6574" s="7">
        <v>714000</v>
      </c>
      <c r="O6574" s="7">
        <v>713999</v>
      </c>
      <c r="P6574" s="7">
        <v>0</v>
      </c>
      <c r="Q6574" s="7" t="str">
        <f t="shared" si="2378"/>
        <v>教育庁</v>
      </c>
      <c r="R6574" s="7" t="str">
        <f t="shared" si="2382"/>
        <v>緑風冠高等学校</v>
      </c>
    </row>
    <row r="6575" spans="1:18" s="1" customFormat="1" x14ac:dyDescent="0.45">
      <c r="A6575" s="7" t="str">
        <f t="shared" ref="A6575:A6586" si="2383">"10038000055"</f>
        <v>10038000055</v>
      </c>
      <c r="B6575" s="7" t="str">
        <f t="shared" ref="B6575:B6586" si="2384">"だいせん聴覚高等支援学校"</f>
        <v>だいせん聴覚高等支援学校</v>
      </c>
      <c r="C6575" s="7" t="str">
        <f t="shared" si="2376"/>
        <v>行政財産</v>
      </c>
      <c r="D6575" s="7" t="str">
        <f t="shared" si="2370"/>
        <v>学校</v>
      </c>
      <c r="E6575" s="7" t="str">
        <f t="shared" ref="E6575:E6586" si="2385">"大阪府堺市　堺区大仙町"</f>
        <v>大阪府堺市　堺区大仙町</v>
      </c>
      <c r="F6575" s="7"/>
      <c r="G6575" s="7" t="str">
        <f t="shared" si="2377"/>
        <v>事業用資産</v>
      </c>
      <c r="H6575" s="7" t="str">
        <f t="shared" si="2371"/>
        <v>棚卸以外</v>
      </c>
      <c r="I6575" s="7">
        <v>1</v>
      </c>
      <c r="J6575" s="7" t="str">
        <f>"倉庫"</f>
        <v>倉庫</v>
      </c>
      <c r="K6575" s="7" t="str">
        <f>"鉄骨造"</f>
        <v>鉄骨造</v>
      </c>
      <c r="L6575" s="7" t="str">
        <f>"S45.04.18"</f>
        <v>S45.04.18</v>
      </c>
      <c r="M6575" s="7">
        <v>91.91</v>
      </c>
      <c r="N6575" s="7">
        <v>2933360</v>
      </c>
      <c r="O6575" s="7">
        <v>2933359</v>
      </c>
      <c r="P6575" s="7">
        <v>0</v>
      </c>
      <c r="Q6575" s="7" t="str">
        <f t="shared" si="2378"/>
        <v>教育庁</v>
      </c>
      <c r="R6575" s="7" t="str">
        <f t="shared" ref="R6575:R6586" si="2386">"だいせん聴覚高等支援学校"</f>
        <v>だいせん聴覚高等支援学校</v>
      </c>
    </row>
    <row r="6576" spans="1:18" s="1" customFormat="1" x14ac:dyDescent="0.45">
      <c r="A6576" s="7" t="str">
        <f t="shared" si="2383"/>
        <v>10038000055</v>
      </c>
      <c r="B6576" s="7" t="str">
        <f t="shared" si="2384"/>
        <v>だいせん聴覚高等支援学校</v>
      </c>
      <c r="C6576" s="7" t="str">
        <f t="shared" si="2376"/>
        <v>行政財産</v>
      </c>
      <c r="D6576" s="7" t="str">
        <f t="shared" si="2370"/>
        <v>学校</v>
      </c>
      <c r="E6576" s="7" t="str">
        <f t="shared" si="2385"/>
        <v>大阪府堺市　堺区大仙町</v>
      </c>
      <c r="F6576" s="7"/>
      <c r="G6576" s="7" t="str">
        <f t="shared" si="2377"/>
        <v>事業用資産</v>
      </c>
      <c r="H6576" s="7" t="str">
        <f t="shared" si="2371"/>
        <v>棚卸以外</v>
      </c>
      <c r="I6576" s="7">
        <v>2</v>
      </c>
      <c r="J6576" s="7" t="str">
        <f>"実習棟"</f>
        <v>実習棟</v>
      </c>
      <c r="K6576" s="7" t="str">
        <f>"鉄筋コンクリート造"</f>
        <v>鉄筋コンクリート造</v>
      </c>
      <c r="L6576" s="7" t="str">
        <f>"S45.07.07"</f>
        <v>S45.07.07</v>
      </c>
      <c r="M6576" s="7">
        <v>2815.05</v>
      </c>
      <c r="N6576" s="7">
        <v>380403810</v>
      </c>
      <c r="O6576" s="7">
        <v>231252755</v>
      </c>
      <c r="P6576" s="7">
        <v>0</v>
      </c>
      <c r="Q6576" s="7" t="str">
        <f t="shared" si="2378"/>
        <v>教育庁</v>
      </c>
      <c r="R6576" s="7" t="str">
        <f t="shared" si="2386"/>
        <v>だいせん聴覚高等支援学校</v>
      </c>
    </row>
    <row r="6577" spans="1:18" s="1" customFormat="1" x14ac:dyDescent="0.45">
      <c r="A6577" s="7" t="str">
        <f t="shared" si="2383"/>
        <v>10038000055</v>
      </c>
      <c r="B6577" s="7" t="str">
        <f t="shared" si="2384"/>
        <v>だいせん聴覚高等支援学校</v>
      </c>
      <c r="C6577" s="7" t="str">
        <f t="shared" si="2376"/>
        <v>行政財産</v>
      </c>
      <c r="D6577" s="7" t="str">
        <f t="shared" si="2370"/>
        <v>学校</v>
      </c>
      <c r="E6577" s="7" t="str">
        <f t="shared" si="2385"/>
        <v>大阪府堺市　堺区大仙町</v>
      </c>
      <c r="F6577" s="7"/>
      <c r="G6577" s="7" t="str">
        <f t="shared" si="2377"/>
        <v>事業用資産</v>
      </c>
      <c r="H6577" s="7" t="str">
        <f t="shared" si="2371"/>
        <v>棚卸以外</v>
      </c>
      <c r="I6577" s="7">
        <v>3</v>
      </c>
      <c r="J6577" s="7" t="str">
        <f>"設備棟"</f>
        <v>設備棟</v>
      </c>
      <c r="K6577" s="7" t="str">
        <f>"鉄筋コンクリート造"</f>
        <v>鉄筋コンクリート造</v>
      </c>
      <c r="L6577" s="7" t="str">
        <f>"S45.07.07"</f>
        <v>S45.07.07</v>
      </c>
      <c r="M6577" s="7">
        <v>88.44</v>
      </c>
      <c r="N6577" s="7">
        <v>14447039</v>
      </c>
      <c r="O6577" s="7">
        <v>10327070</v>
      </c>
      <c r="P6577" s="7">
        <v>0</v>
      </c>
      <c r="Q6577" s="7" t="str">
        <f t="shared" si="2378"/>
        <v>教育庁</v>
      </c>
      <c r="R6577" s="7" t="str">
        <f t="shared" si="2386"/>
        <v>だいせん聴覚高等支援学校</v>
      </c>
    </row>
    <row r="6578" spans="1:18" s="1" customFormat="1" x14ac:dyDescent="0.45">
      <c r="A6578" s="7" t="str">
        <f t="shared" si="2383"/>
        <v>10038000055</v>
      </c>
      <c r="B6578" s="7" t="str">
        <f t="shared" si="2384"/>
        <v>だいせん聴覚高等支援学校</v>
      </c>
      <c r="C6578" s="7" t="str">
        <f t="shared" si="2376"/>
        <v>行政財産</v>
      </c>
      <c r="D6578" s="7" t="str">
        <f t="shared" si="2370"/>
        <v>学校</v>
      </c>
      <c r="E6578" s="7" t="str">
        <f t="shared" si="2385"/>
        <v>大阪府堺市　堺区大仙町</v>
      </c>
      <c r="F6578" s="7"/>
      <c r="G6578" s="7" t="str">
        <f t="shared" si="2377"/>
        <v>事業用資産</v>
      </c>
      <c r="H6578" s="7" t="str">
        <f t="shared" si="2371"/>
        <v>棚卸以外</v>
      </c>
      <c r="I6578" s="7">
        <v>6</v>
      </c>
      <c r="J6578" s="7" t="str">
        <f>"管理教室棟"</f>
        <v>管理教室棟</v>
      </c>
      <c r="K6578" s="7" t="str">
        <f>"鉄筋コンクリート造"</f>
        <v>鉄筋コンクリート造</v>
      </c>
      <c r="L6578" s="7" t="str">
        <f t="shared" ref="L6578:L6583" si="2387">"S46.06.07"</f>
        <v>S46.06.07</v>
      </c>
      <c r="M6578" s="7">
        <v>3585.6</v>
      </c>
      <c r="N6578" s="7">
        <v>383190472</v>
      </c>
      <c r="O6578" s="7">
        <v>229293128</v>
      </c>
      <c r="P6578" s="7">
        <v>0</v>
      </c>
      <c r="Q6578" s="7" t="str">
        <f t="shared" si="2378"/>
        <v>教育庁</v>
      </c>
      <c r="R6578" s="7" t="str">
        <f t="shared" si="2386"/>
        <v>だいせん聴覚高等支援学校</v>
      </c>
    </row>
    <row r="6579" spans="1:18" s="1" customFormat="1" x14ac:dyDescent="0.45">
      <c r="A6579" s="7" t="str">
        <f t="shared" si="2383"/>
        <v>10038000055</v>
      </c>
      <c r="B6579" s="7" t="str">
        <f t="shared" si="2384"/>
        <v>だいせん聴覚高等支援学校</v>
      </c>
      <c r="C6579" s="7" t="str">
        <f t="shared" si="2376"/>
        <v>行政財産</v>
      </c>
      <c r="D6579" s="7" t="str">
        <f t="shared" si="2370"/>
        <v>学校</v>
      </c>
      <c r="E6579" s="7" t="str">
        <f t="shared" si="2385"/>
        <v>大阪府堺市　堺区大仙町</v>
      </c>
      <c r="F6579" s="7"/>
      <c r="G6579" s="7" t="str">
        <f t="shared" si="2377"/>
        <v>事業用資産</v>
      </c>
      <c r="H6579" s="7" t="str">
        <f t="shared" si="2371"/>
        <v>棚卸以外</v>
      </c>
      <c r="I6579" s="7">
        <v>7</v>
      </c>
      <c r="J6579" s="7" t="str">
        <f>"地域連携室"</f>
        <v>地域連携室</v>
      </c>
      <c r="K6579" s="7" t="str">
        <f>"鉄骨造"</f>
        <v>鉄骨造</v>
      </c>
      <c r="L6579" s="7" t="str">
        <f t="shared" si="2387"/>
        <v>S46.06.07</v>
      </c>
      <c r="M6579" s="7">
        <v>146.5</v>
      </c>
      <c r="N6579" s="7">
        <v>26520845</v>
      </c>
      <c r="O6579" s="7">
        <v>17707123</v>
      </c>
      <c r="P6579" s="7">
        <v>0</v>
      </c>
      <c r="Q6579" s="7" t="str">
        <f t="shared" si="2378"/>
        <v>教育庁</v>
      </c>
      <c r="R6579" s="7" t="str">
        <f t="shared" si="2386"/>
        <v>だいせん聴覚高等支援学校</v>
      </c>
    </row>
    <row r="6580" spans="1:18" s="1" customFormat="1" x14ac:dyDescent="0.45">
      <c r="A6580" s="7" t="str">
        <f t="shared" si="2383"/>
        <v>10038000055</v>
      </c>
      <c r="B6580" s="7" t="str">
        <f t="shared" si="2384"/>
        <v>だいせん聴覚高等支援学校</v>
      </c>
      <c r="C6580" s="7" t="str">
        <f t="shared" si="2376"/>
        <v>行政財産</v>
      </c>
      <c r="D6580" s="7" t="str">
        <f t="shared" si="2370"/>
        <v>学校</v>
      </c>
      <c r="E6580" s="7" t="str">
        <f t="shared" si="2385"/>
        <v>大阪府堺市　堺区大仙町</v>
      </c>
      <c r="F6580" s="7"/>
      <c r="G6580" s="7" t="str">
        <f t="shared" si="2377"/>
        <v>事業用資産</v>
      </c>
      <c r="H6580" s="7" t="str">
        <f t="shared" si="2371"/>
        <v>棚卸以外</v>
      </c>
      <c r="I6580" s="7">
        <v>9</v>
      </c>
      <c r="J6580" s="7" t="str">
        <f>"体育館"</f>
        <v>体育館</v>
      </c>
      <c r="K6580" s="7" t="str">
        <f>"鉄筋コンクリート造"</f>
        <v>鉄筋コンクリート造</v>
      </c>
      <c r="L6580" s="7" t="str">
        <f t="shared" si="2387"/>
        <v>S46.06.07</v>
      </c>
      <c r="M6580" s="7">
        <v>1590.5</v>
      </c>
      <c r="N6580" s="7">
        <v>155479030</v>
      </c>
      <c r="O6580" s="7">
        <v>86126907</v>
      </c>
      <c r="P6580" s="7">
        <v>0</v>
      </c>
      <c r="Q6580" s="7" t="str">
        <f t="shared" si="2378"/>
        <v>教育庁</v>
      </c>
      <c r="R6580" s="7" t="str">
        <f t="shared" si="2386"/>
        <v>だいせん聴覚高等支援学校</v>
      </c>
    </row>
    <row r="6581" spans="1:18" s="1" customFormat="1" x14ac:dyDescent="0.45">
      <c r="A6581" s="7" t="str">
        <f t="shared" si="2383"/>
        <v>10038000055</v>
      </c>
      <c r="B6581" s="7" t="str">
        <f t="shared" si="2384"/>
        <v>だいせん聴覚高等支援学校</v>
      </c>
      <c r="C6581" s="7" t="str">
        <f t="shared" si="2376"/>
        <v>行政財産</v>
      </c>
      <c r="D6581" s="7" t="str">
        <f t="shared" si="2370"/>
        <v>学校</v>
      </c>
      <c r="E6581" s="7" t="str">
        <f t="shared" si="2385"/>
        <v>大阪府堺市　堺区大仙町</v>
      </c>
      <c r="F6581" s="7"/>
      <c r="G6581" s="7" t="str">
        <f t="shared" si="2377"/>
        <v>事業用資産</v>
      </c>
      <c r="H6581" s="7" t="str">
        <f t="shared" si="2371"/>
        <v>棚卸以外</v>
      </c>
      <c r="I6581" s="7">
        <v>10</v>
      </c>
      <c r="J6581" s="7" t="str">
        <f>"特別教室棟"</f>
        <v>特別教室棟</v>
      </c>
      <c r="K6581" s="7" t="str">
        <f>"鉄筋コンクリート造"</f>
        <v>鉄筋コンクリート造</v>
      </c>
      <c r="L6581" s="7" t="str">
        <f t="shared" si="2387"/>
        <v>S46.06.07</v>
      </c>
      <c r="M6581" s="7">
        <v>2926.84</v>
      </c>
      <c r="N6581" s="7">
        <v>327683682</v>
      </c>
      <c r="O6581" s="7">
        <v>187303969</v>
      </c>
      <c r="P6581" s="7">
        <v>0</v>
      </c>
      <c r="Q6581" s="7" t="str">
        <f t="shared" si="2378"/>
        <v>教育庁</v>
      </c>
      <c r="R6581" s="7" t="str">
        <f t="shared" si="2386"/>
        <v>だいせん聴覚高等支援学校</v>
      </c>
    </row>
    <row r="6582" spans="1:18" s="1" customFormat="1" x14ac:dyDescent="0.45">
      <c r="A6582" s="7" t="str">
        <f t="shared" si="2383"/>
        <v>10038000055</v>
      </c>
      <c r="B6582" s="7" t="str">
        <f t="shared" si="2384"/>
        <v>だいせん聴覚高等支援学校</v>
      </c>
      <c r="C6582" s="7" t="str">
        <f t="shared" si="2376"/>
        <v>行政財産</v>
      </c>
      <c r="D6582" s="7" t="str">
        <f t="shared" si="2370"/>
        <v>学校</v>
      </c>
      <c r="E6582" s="7" t="str">
        <f t="shared" si="2385"/>
        <v>大阪府堺市　堺区大仙町</v>
      </c>
      <c r="F6582" s="7"/>
      <c r="G6582" s="7" t="str">
        <f t="shared" si="2377"/>
        <v>事業用資産</v>
      </c>
      <c r="H6582" s="7" t="str">
        <f t="shared" si="2371"/>
        <v>棚卸以外</v>
      </c>
      <c r="I6582" s="7">
        <v>11</v>
      </c>
      <c r="J6582" s="7" t="str">
        <f>"渡り廊下"</f>
        <v>渡り廊下</v>
      </c>
      <c r="K6582" s="7" t="str">
        <f>"鉄筋コンクリート造"</f>
        <v>鉄筋コンクリート造</v>
      </c>
      <c r="L6582" s="7" t="str">
        <f t="shared" si="2387"/>
        <v>S46.06.07</v>
      </c>
      <c r="M6582" s="7">
        <v>132</v>
      </c>
      <c r="N6582" s="7">
        <v>5454418</v>
      </c>
      <c r="O6582" s="7">
        <v>4479341</v>
      </c>
      <c r="P6582" s="7">
        <v>0</v>
      </c>
      <c r="Q6582" s="7" t="str">
        <f t="shared" si="2378"/>
        <v>教育庁</v>
      </c>
      <c r="R6582" s="7" t="str">
        <f t="shared" si="2386"/>
        <v>だいせん聴覚高等支援学校</v>
      </c>
    </row>
    <row r="6583" spans="1:18" s="1" customFormat="1" x14ac:dyDescent="0.45">
      <c r="A6583" s="7" t="str">
        <f t="shared" si="2383"/>
        <v>10038000055</v>
      </c>
      <c r="B6583" s="7" t="str">
        <f t="shared" si="2384"/>
        <v>だいせん聴覚高等支援学校</v>
      </c>
      <c r="C6583" s="7" t="str">
        <f t="shared" si="2376"/>
        <v>行政財産</v>
      </c>
      <c r="D6583" s="7" t="str">
        <f t="shared" si="2370"/>
        <v>学校</v>
      </c>
      <c r="E6583" s="7" t="str">
        <f t="shared" si="2385"/>
        <v>大阪府堺市　堺区大仙町</v>
      </c>
      <c r="F6583" s="7"/>
      <c r="G6583" s="7" t="str">
        <f t="shared" si="2377"/>
        <v>事業用資産</v>
      </c>
      <c r="H6583" s="7" t="str">
        <f t="shared" si="2371"/>
        <v>棚卸以外</v>
      </c>
      <c r="I6583" s="7">
        <v>13</v>
      </c>
      <c r="J6583" s="7" t="str">
        <f>"プールポンプ室"</f>
        <v>プールポンプ室</v>
      </c>
      <c r="K6583" s="7" t="str">
        <f>"鉄筋コンクリート造"</f>
        <v>鉄筋コンクリート造</v>
      </c>
      <c r="L6583" s="7" t="str">
        <f t="shared" si="2387"/>
        <v>S46.06.07</v>
      </c>
      <c r="M6583" s="7">
        <v>74.510000000000005</v>
      </c>
      <c r="N6583" s="7">
        <v>12861716</v>
      </c>
      <c r="O6583" s="7">
        <v>8651943</v>
      </c>
      <c r="P6583" s="7">
        <v>0</v>
      </c>
      <c r="Q6583" s="7" t="str">
        <f t="shared" si="2378"/>
        <v>教育庁</v>
      </c>
      <c r="R6583" s="7" t="str">
        <f t="shared" si="2386"/>
        <v>だいせん聴覚高等支援学校</v>
      </c>
    </row>
    <row r="6584" spans="1:18" s="1" customFormat="1" ht="26.4" x14ac:dyDescent="0.45">
      <c r="A6584" s="7" t="str">
        <f t="shared" si="2383"/>
        <v>10038000055</v>
      </c>
      <c r="B6584" s="7" t="str">
        <f t="shared" si="2384"/>
        <v>だいせん聴覚高等支援学校</v>
      </c>
      <c r="C6584" s="7" t="str">
        <f t="shared" si="2376"/>
        <v>行政財産</v>
      </c>
      <c r="D6584" s="7" t="str">
        <f t="shared" si="2370"/>
        <v>学校</v>
      </c>
      <c r="E6584" s="7" t="str">
        <f t="shared" si="2385"/>
        <v>大阪府堺市　堺区大仙町</v>
      </c>
      <c r="F6584" s="7"/>
      <c r="G6584" s="7" t="str">
        <f t="shared" si="2377"/>
        <v>事業用資産</v>
      </c>
      <c r="H6584" s="7" t="str">
        <f t="shared" si="2371"/>
        <v>棚卸以外</v>
      </c>
      <c r="I6584" s="7">
        <v>18</v>
      </c>
      <c r="J6584" s="7" t="str">
        <f>"ＥＶ棟"</f>
        <v>ＥＶ棟</v>
      </c>
      <c r="K6584" s="7" t="str">
        <f>"鉄骨鉄筋コンクリート造"</f>
        <v>鉄骨鉄筋コンクリート造</v>
      </c>
      <c r="L6584" s="7" t="str">
        <f>"H17.12.20"</f>
        <v>H17.12.20</v>
      </c>
      <c r="M6584" s="7">
        <v>347.76</v>
      </c>
      <c r="N6584" s="7">
        <v>80261000</v>
      </c>
      <c r="O6584" s="7">
        <v>29457549</v>
      </c>
      <c r="P6584" s="7">
        <v>0</v>
      </c>
      <c r="Q6584" s="7" t="str">
        <f t="shared" si="2378"/>
        <v>教育庁</v>
      </c>
      <c r="R6584" s="7" t="str">
        <f t="shared" si="2386"/>
        <v>だいせん聴覚高等支援学校</v>
      </c>
    </row>
    <row r="6585" spans="1:18" s="1" customFormat="1" x14ac:dyDescent="0.45">
      <c r="A6585" s="7" t="str">
        <f t="shared" si="2383"/>
        <v>10038000055</v>
      </c>
      <c r="B6585" s="7" t="str">
        <f t="shared" si="2384"/>
        <v>だいせん聴覚高等支援学校</v>
      </c>
      <c r="C6585" s="7" t="str">
        <f t="shared" si="2376"/>
        <v>行政財産</v>
      </c>
      <c r="D6585" s="7" t="str">
        <f t="shared" si="2370"/>
        <v>学校</v>
      </c>
      <c r="E6585" s="7" t="str">
        <f t="shared" si="2385"/>
        <v>大阪府堺市　堺区大仙町</v>
      </c>
      <c r="F6585" s="7"/>
      <c r="G6585" s="7" t="str">
        <f t="shared" si="2377"/>
        <v>事業用資産</v>
      </c>
      <c r="H6585" s="7" t="str">
        <f t="shared" si="2371"/>
        <v>棚卸以外</v>
      </c>
      <c r="I6585" s="7">
        <v>19</v>
      </c>
      <c r="J6585" s="7" t="str">
        <f>"鋼材室"</f>
        <v>鋼材室</v>
      </c>
      <c r="K6585" s="7" t="str">
        <f>"鉄骨造"</f>
        <v>鉄骨造</v>
      </c>
      <c r="L6585" s="7" t="str">
        <f>"H17.12.20"</f>
        <v>H17.12.20</v>
      </c>
      <c r="M6585" s="7">
        <v>32</v>
      </c>
      <c r="N6585" s="7">
        <v>3540000</v>
      </c>
      <c r="O6585" s="7">
        <v>1796139</v>
      </c>
      <c r="P6585" s="7">
        <v>0</v>
      </c>
      <c r="Q6585" s="7" t="str">
        <f t="shared" si="2378"/>
        <v>教育庁</v>
      </c>
      <c r="R6585" s="7" t="str">
        <f t="shared" si="2386"/>
        <v>だいせん聴覚高等支援学校</v>
      </c>
    </row>
    <row r="6586" spans="1:18" s="1" customFormat="1" x14ac:dyDescent="0.45">
      <c r="A6586" s="7" t="str">
        <f t="shared" si="2383"/>
        <v>10038000055</v>
      </c>
      <c r="B6586" s="7" t="str">
        <f t="shared" si="2384"/>
        <v>だいせん聴覚高等支援学校</v>
      </c>
      <c r="C6586" s="7" t="str">
        <f t="shared" si="2376"/>
        <v>行政財産</v>
      </c>
      <c r="D6586" s="7" t="str">
        <f t="shared" si="2370"/>
        <v>学校</v>
      </c>
      <c r="E6586" s="7" t="str">
        <f t="shared" si="2385"/>
        <v>大阪府堺市　堺区大仙町</v>
      </c>
      <c r="F6586" s="7"/>
      <c r="G6586" s="7" t="str">
        <f t="shared" si="2377"/>
        <v>事業用資産</v>
      </c>
      <c r="H6586" s="7" t="str">
        <f t="shared" si="2371"/>
        <v>棚卸以外</v>
      </c>
      <c r="I6586" s="7">
        <v>20</v>
      </c>
      <c r="J6586" s="7" t="str">
        <f>"陶芸窯室"</f>
        <v>陶芸窯室</v>
      </c>
      <c r="K6586" s="7" t="str">
        <f>"鉄筋コンクリート造"</f>
        <v>鉄筋コンクリート造</v>
      </c>
      <c r="L6586" s="7" t="str">
        <f>"H17.12.20"</f>
        <v>H17.12.20</v>
      </c>
      <c r="M6586" s="7">
        <v>20.25</v>
      </c>
      <c r="N6586" s="7">
        <v>1420000</v>
      </c>
      <c r="O6586" s="7">
        <v>521226</v>
      </c>
      <c r="P6586" s="7">
        <v>0</v>
      </c>
      <c r="Q6586" s="7" t="str">
        <f t="shared" si="2378"/>
        <v>教育庁</v>
      </c>
      <c r="R6586" s="7" t="str">
        <f t="shared" si="2386"/>
        <v>だいせん聴覚高等支援学校</v>
      </c>
    </row>
    <row r="6587" spans="1:18" s="1" customFormat="1" x14ac:dyDescent="0.45">
      <c r="A6587" s="7" t="str">
        <f t="shared" ref="A6587:A6596" si="2388">"10039000049"</f>
        <v>10039000049</v>
      </c>
      <c r="B6587" s="7" t="str">
        <f t="shared" ref="B6587:B6596" si="2389">"たまがわ高等支援学校"</f>
        <v>たまがわ高等支援学校</v>
      </c>
      <c r="C6587" s="7" t="str">
        <f t="shared" si="2376"/>
        <v>行政財産</v>
      </c>
      <c r="D6587" s="7" t="str">
        <f t="shared" si="2370"/>
        <v>学校</v>
      </c>
      <c r="E6587" s="7" t="str">
        <f t="shared" ref="E6587:E6596" si="2390">"大阪府東大阪市稲葉"</f>
        <v>大阪府東大阪市稲葉</v>
      </c>
      <c r="F6587" s="7"/>
      <c r="G6587" s="7" t="str">
        <f t="shared" si="2377"/>
        <v>事業用資産</v>
      </c>
      <c r="H6587" s="7" t="str">
        <f t="shared" si="2371"/>
        <v>棚卸以外</v>
      </c>
      <c r="I6587" s="7">
        <v>1</v>
      </c>
      <c r="J6587" s="7" t="str">
        <f>"校舎棟"</f>
        <v>校舎棟</v>
      </c>
      <c r="K6587" s="7" t="str">
        <f>"鉄筋コンクリート造"</f>
        <v>鉄筋コンクリート造</v>
      </c>
      <c r="L6587" s="7" t="str">
        <f>"S60.11.05"</f>
        <v>S60.11.05</v>
      </c>
      <c r="M6587" s="7">
        <v>8614.9500000000007</v>
      </c>
      <c r="N6587" s="7">
        <v>527029258</v>
      </c>
      <c r="O6587" s="7">
        <v>199394514</v>
      </c>
      <c r="P6587" s="7">
        <v>0</v>
      </c>
      <c r="Q6587" s="7" t="str">
        <f t="shared" si="2378"/>
        <v>教育庁</v>
      </c>
      <c r="R6587" s="7" t="str">
        <f t="shared" ref="R6587:R6596" si="2391">"たまがわ高等支援学校"</f>
        <v>たまがわ高等支援学校</v>
      </c>
    </row>
    <row r="6588" spans="1:18" s="1" customFormat="1" x14ac:dyDescent="0.45">
      <c r="A6588" s="7" t="str">
        <f t="shared" si="2388"/>
        <v>10039000049</v>
      </c>
      <c r="B6588" s="7" t="str">
        <f t="shared" si="2389"/>
        <v>たまがわ高等支援学校</v>
      </c>
      <c r="C6588" s="7" t="str">
        <f t="shared" si="2376"/>
        <v>行政財産</v>
      </c>
      <c r="D6588" s="7" t="str">
        <f t="shared" si="2370"/>
        <v>学校</v>
      </c>
      <c r="E6588" s="7" t="str">
        <f t="shared" si="2390"/>
        <v>大阪府東大阪市稲葉</v>
      </c>
      <c r="F6588" s="7"/>
      <c r="G6588" s="7" t="str">
        <f t="shared" si="2377"/>
        <v>事業用資産</v>
      </c>
      <c r="H6588" s="7" t="str">
        <f t="shared" si="2371"/>
        <v>棚卸以外</v>
      </c>
      <c r="I6588" s="7">
        <v>2</v>
      </c>
      <c r="J6588" s="7" t="str">
        <f>"体育館"</f>
        <v>体育館</v>
      </c>
      <c r="K6588" s="7" t="str">
        <f>"鉄骨造"</f>
        <v>鉄骨造</v>
      </c>
      <c r="L6588" s="7" t="str">
        <f>"S61.09.05"</f>
        <v>S61.09.05</v>
      </c>
      <c r="M6588" s="7">
        <v>1612.76</v>
      </c>
      <c r="N6588" s="7">
        <v>293488133</v>
      </c>
      <c r="O6588" s="7">
        <v>260784344</v>
      </c>
      <c r="P6588" s="7">
        <v>0</v>
      </c>
      <c r="Q6588" s="7" t="str">
        <f t="shared" si="2378"/>
        <v>教育庁</v>
      </c>
      <c r="R6588" s="7" t="str">
        <f t="shared" si="2391"/>
        <v>たまがわ高等支援学校</v>
      </c>
    </row>
    <row r="6589" spans="1:18" s="1" customFormat="1" x14ac:dyDescent="0.45">
      <c r="A6589" s="7" t="str">
        <f t="shared" si="2388"/>
        <v>10039000049</v>
      </c>
      <c r="B6589" s="7" t="str">
        <f t="shared" si="2389"/>
        <v>たまがわ高等支援学校</v>
      </c>
      <c r="C6589" s="7" t="str">
        <f t="shared" si="2376"/>
        <v>行政財産</v>
      </c>
      <c r="D6589" s="7" t="str">
        <f t="shared" si="2370"/>
        <v>学校</v>
      </c>
      <c r="E6589" s="7" t="str">
        <f t="shared" si="2390"/>
        <v>大阪府東大阪市稲葉</v>
      </c>
      <c r="F6589" s="7"/>
      <c r="G6589" s="7" t="str">
        <f t="shared" si="2377"/>
        <v>事業用資産</v>
      </c>
      <c r="H6589" s="7" t="str">
        <f t="shared" si="2371"/>
        <v>棚卸以外</v>
      </c>
      <c r="I6589" s="7">
        <v>3</v>
      </c>
      <c r="J6589" s="7" t="str">
        <f>"プール・実習棟"</f>
        <v>プール・実習棟</v>
      </c>
      <c r="K6589" s="7" t="str">
        <f>"鉄筋コンクリート造"</f>
        <v>鉄筋コンクリート造</v>
      </c>
      <c r="L6589" s="7" t="str">
        <f>"S61.12.27"</f>
        <v>S61.12.27</v>
      </c>
      <c r="M6589" s="7">
        <v>1832.33</v>
      </c>
      <c r="N6589" s="7">
        <v>302825766</v>
      </c>
      <c r="O6589" s="7">
        <v>234445516</v>
      </c>
      <c r="P6589" s="7">
        <v>0</v>
      </c>
      <c r="Q6589" s="7" t="str">
        <f t="shared" si="2378"/>
        <v>教育庁</v>
      </c>
      <c r="R6589" s="7" t="str">
        <f t="shared" si="2391"/>
        <v>たまがわ高等支援学校</v>
      </c>
    </row>
    <row r="6590" spans="1:18" s="1" customFormat="1" x14ac:dyDescent="0.45">
      <c r="A6590" s="7" t="str">
        <f t="shared" si="2388"/>
        <v>10039000049</v>
      </c>
      <c r="B6590" s="7" t="str">
        <f t="shared" si="2389"/>
        <v>たまがわ高等支援学校</v>
      </c>
      <c r="C6590" s="7" t="str">
        <f t="shared" si="2376"/>
        <v>行政財産</v>
      </c>
      <c r="D6590" s="7" t="str">
        <f t="shared" si="2370"/>
        <v>学校</v>
      </c>
      <c r="E6590" s="7" t="str">
        <f t="shared" si="2390"/>
        <v>大阪府東大阪市稲葉</v>
      </c>
      <c r="F6590" s="7"/>
      <c r="G6590" s="7" t="str">
        <f t="shared" si="2377"/>
        <v>事業用資産</v>
      </c>
      <c r="H6590" s="7" t="str">
        <f t="shared" si="2371"/>
        <v>棚卸以外</v>
      </c>
      <c r="I6590" s="7">
        <v>4</v>
      </c>
      <c r="J6590" s="7" t="str">
        <f>"汚水処理場"</f>
        <v>汚水処理場</v>
      </c>
      <c r="K6590" s="7" t="str">
        <f>"鉄筋コンクリート造"</f>
        <v>鉄筋コンクリート造</v>
      </c>
      <c r="L6590" s="7" t="str">
        <f>"S60.10.14"</f>
        <v>S60.10.14</v>
      </c>
      <c r="M6590" s="7">
        <v>113.55</v>
      </c>
      <c r="N6590" s="7">
        <v>41000000</v>
      </c>
      <c r="O6590" s="7">
        <v>40370937</v>
      </c>
      <c r="P6590" s="7">
        <v>0</v>
      </c>
      <c r="Q6590" s="7" t="str">
        <f t="shared" si="2378"/>
        <v>教育庁</v>
      </c>
      <c r="R6590" s="7" t="str">
        <f t="shared" si="2391"/>
        <v>たまがわ高等支援学校</v>
      </c>
    </row>
    <row r="6591" spans="1:18" s="1" customFormat="1" x14ac:dyDescent="0.45">
      <c r="A6591" s="7" t="str">
        <f t="shared" si="2388"/>
        <v>10039000049</v>
      </c>
      <c r="B6591" s="7" t="str">
        <f t="shared" si="2389"/>
        <v>たまがわ高等支援学校</v>
      </c>
      <c r="C6591" s="7" t="str">
        <f t="shared" si="2376"/>
        <v>行政財産</v>
      </c>
      <c r="D6591" s="7" t="str">
        <f t="shared" si="2370"/>
        <v>学校</v>
      </c>
      <c r="E6591" s="7" t="str">
        <f t="shared" si="2390"/>
        <v>大阪府東大阪市稲葉</v>
      </c>
      <c r="F6591" s="7"/>
      <c r="G6591" s="7" t="str">
        <f t="shared" si="2377"/>
        <v>事業用資産</v>
      </c>
      <c r="H6591" s="7" t="str">
        <f t="shared" si="2371"/>
        <v>棚卸以外</v>
      </c>
      <c r="I6591" s="7">
        <v>5</v>
      </c>
      <c r="J6591" s="7" t="str">
        <f>"倉庫"</f>
        <v>倉庫</v>
      </c>
      <c r="K6591" s="7" t="str">
        <f>"鉄骨造"</f>
        <v>鉄骨造</v>
      </c>
      <c r="L6591" s="7" t="str">
        <f>"S63.03.31"</f>
        <v>S63.03.31</v>
      </c>
      <c r="M6591" s="7">
        <v>401.03</v>
      </c>
      <c r="N6591" s="7">
        <v>30383000</v>
      </c>
      <c r="O6591" s="7">
        <v>29138047</v>
      </c>
      <c r="P6591" s="7">
        <v>0</v>
      </c>
      <c r="Q6591" s="7" t="str">
        <f t="shared" si="2378"/>
        <v>教育庁</v>
      </c>
      <c r="R6591" s="7" t="str">
        <f t="shared" si="2391"/>
        <v>たまがわ高等支援学校</v>
      </c>
    </row>
    <row r="6592" spans="1:18" s="1" customFormat="1" x14ac:dyDescent="0.45">
      <c r="A6592" s="7" t="str">
        <f t="shared" si="2388"/>
        <v>10039000049</v>
      </c>
      <c r="B6592" s="7" t="str">
        <f t="shared" si="2389"/>
        <v>たまがわ高等支援学校</v>
      </c>
      <c r="C6592" s="7" t="str">
        <f t="shared" si="2376"/>
        <v>行政財産</v>
      </c>
      <c r="D6592" s="7" t="str">
        <f t="shared" si="2370"/>
        <v>学校</v>
      </c>
      <c r="E6592" s="7" t="str">
        <f t="shared" si="2390"/>
        <v>大阪府東大阪市稲葉</v>
      </c>
      <c r="F6592" s="7"/>
      <c r="G6592" s="7" t="str">
        <f t="shared" si="2377"/>
        <v>事業用資産</v>
      </c>
      <c r="H6592" s="7" t="str">
        <f t="shared" si="2371"/>
        <v>棚卸以外</v>
      </c>
      <c r="I6592" s="7">
        <v>6</v>
      </c>
      <c r="J6592" s="7" t="str">
        <f>"ゴミ置場"</f>
        <v>ゴミ置場</v>
      </c>
      <c r="K6592" s="7" t="str">
        <f>"鉄筋コンクリート造"</f>
        <v>鉄筋コンクリート造</v>
      </c>
      <c r="L6592" s="7" t="str">
        <f>"H01.01.31"</f>
        <v>H01.01.31</v>
      </c>
      <c r="M6592" s="7">
        <v>10</v>
      </c>
      <c r="N6592" s="7">
        <v>986000</v>
      </c>
      <c r="O6592" s="7">
        <v>886830</v>
      </c>
      <c r="P6592" s="7">
        <v>0</v>
      </c>
      <c r="Q6592" s="7" t="str">
        <f t="shared" si="2378"/>
        <v>教育庁</v>
      </c>
      <c r="R6592" s="7" t="str">
        <f t="shared" si="2391"/>
        <v>たまがわ高等支援学校</v>
      </c>
    </row>
    <row r="6593" spans="1:18" s="1" customFormat="1" x14ac:dyDescent="0.45">
      <c r="A6593" s="7" t="str">
        <f t="shared" si="2388"/>
        <v>10039000049</v>
      </c>
      <c r="B6593" s="7" t="str">
        <f t="shared" si="2389"/>
        <v>たまがわ高等支援学校</v>
      </c>
      <c r="C6593" s="7" t="str">
        <f t="shared" si="2376"/>
        <v>行政財産</v>
      </c>
      <c r="D6593" s="7" t="str">
        <f t="shared" si="2370"/>
        <v>学校</v>
      </c>
      <c r="E6593" s="7" t="str">
        <f t="shared" si="2390"/>
        <v>大阪府東大阪市稲葉</v>
      </c>
      <c r="F6593" s="7"/>
      <c r="G6593" s="7" t="str">
        <f t="shared" si="2377"/>
        <v>事業用資産</v>
      </c>
      <c r="H6593" s="7" t="str">
        <f t="shared" si="2371"/>
        <v>棚卸以外</v>
      </c>
      <c r="I6593" s="7">
        <v>7</v>
      </c>
      <c r="J6593" s="7" t="str">
        <f>"ゴミ置場"</f>
        <v>ゴミ置場</v>
      </c>
      <c r="K6593" s="7" t="str">
        <f>"鉄筋コンクリート造"</f>
        <v>鉄筋コンクリート造</v>
      </c>
      <c r="L6593" s="7" t="str">
        <f>"H09.01.31"</f>
        <v>H09.01.31</v>
      </c>
      <c r="M6593" s="7">
        <v>1.8</v>
      </c>
      <c r="N6593" s="7">
        <v>367000</v>
      </c>
      <c r="O6593" s="7">
        <v>252770</v>
      </c>
      <c r="P6593" s="7">
        <v>0</v>
      </c>
      <c r="Q6593" s="7" t="str">
        <f t="shared" si="2378"/>
        <v>教育庁</v>
      </c>
      <c r="R6593" s="7" t="str">
        <f t="shared" si="2391"/>
        <v>たまがわ高等支援学校</v>
      </c>
    </row>
    <row r="6594" spans="1:18" s="1" customFormat="1" x14ac:dyDescent="0.45">
      <c r="A6594" s="7" t="str">
        <f t="shared" si="2388"/>
        <v>10039000049</v>
      </c>
      <c r="B6594" s="7" t="str">
        <f t="shared" si="2389"/>
        <v>たまがわ高等支援学校</v>
      </c>
      <c r="C6594" s="7" t="str">
        <f t="shared" si="2376"/>
        <v>行政財産</v>
      </c>
      <c r="D6594" s="7" t="str">
        <f t="shared" si="2370"/>
        <v>学校</v>
      </c>
      <c r="E6594" s="7" t="str">
        <f t="shared" si="2390"/>
        <v>大阪府東大阪市稲葉</v>
      </c>
      <c r="F6594" s="7"/>
      <c r="G6594" s="7" t="str">
        <f t="shared" si="2377"/>
        <v>事業用資産</v>
      </c>
      <c r="H6594" s="7" t="str">
        <f t="shared" si="2371"/>
        <v>棚卸以外</v>
      </c>
      <c r="I6594" s="7">
        <v>8</v>
      </c>
      <c r="J6594" s="7" t="str">
        <f>"物流センター"</f>
        <v>物流センター</v>
      </c>
      <c r="K6594" s="7" t="str">
        <f>"軽量鉄骨造"</f>
        <v>軽量鉄骨造</v>
      </c>
      <c r="L6594" s="7" t="str">
        <f>"H18.02.28"</f>
        <v>H18.02.28</v>
      </c>
      <c r="M6594" s="7">
        <v>239.8</v>
      </c>
      <c r="N6594" s="7">
        <v>32580296</v>
      </c>
      <c r="O6594" s="7">
        <v>19129204</v>
      </c>
      <c r="P6594" s="7">
        <v>0</v>
      </c>
      <c r="Q6594" s="7" t="str">
        <f t="shared" si="2378"/>
        <v>教育庁</v>
      </c>
      <c r="R6594" s="7" t="str">
        <f t="shared" si="2391"/>
        <v>たまがわ高等支援学校</v>
      </c>
    </row>
    <row r="6595" spans="1:18" s="1" customFormat="1" x14ac:dyDescent="0.45">
      <c r="A6595" s="7" t="str">
        <f t="shared" si="2388"/>
        <v>10039000049</v>
      </c>
      <c r="B6595" s="7" t="str">
        <f t="shared" si="2389"/>
        <v>たまがわ高等支援学校</v>
      </c>
      <c r="C6595" s="7" t="str">
        <f t="shared" si="2376"/>
        <v>行政財産</v>
      </c>
      <c r="D6595" s="7" t="str">
        <f t="shared" si="2370"/>
        <v>学校</v>
      </c>
      <c r="E6595" s="7" t="str">
        <f t="shared" si="2390"/>
        <v>大阪府東大阪市稲葉</v>
      </c>
      <c r="F6595" s="7"/>
      <c r="G6595" s="7" t="str">
        <f t="shared" si="2377"/>
        <v>事業用資産</v>
      </c>
      <c r="H6595" s="7" t="str">
        <f t="shared" si="2371"/>
        <v>棚卸以外</v>
      </c>
      <c r="I6595" s="7">
        <v>9</v>
      </c>
      <c r="J6595" s="7" t="str">
        <f>"温室"</f>
        <v>温室</v>
      </c>
      <c r="K6595" s="7" t="str">
        <f>"鉄骨造"</f>
        <v>鉄骨造</v>
      </c>
      <c r="L6595" s="7" t="str">
        <f>"H18.02.28"</f>
        <v>H18.02.28</v>
      </c>
      <c r="M6595" s="7">
        <v>118.13</v>
      </c>
      <c r="N6595" s="7">
        <v>15400000</v>
      </c>
      <c r="O6595" s="7">
        <v>8486590</v>
      </c>
      <c r="P6595" s="7">
        <v>0</v>
      </c>
      <c r="Q6595" s="7" t="str">
        <f t="shared" si="2378"/>
        <v>教育庁</v>
      </c>
      <c r="R6595" s="7" t="str">
        <f t="shared" si="2391"/>
        <v>たまがわ高等支援学校</v>
      </c>
    </row>
    <row r="6596" spans="1:18" s="1" customFormat="1" x14ac:dyDescent="0.45">
      <c r="A6596" s="7" t="str">
        <f t="shared" si="2388"/>
        <v>10039000049</v>
      </c>
      <c r="B6596" s="7" t="str">
        <f t="shared" si="2389"/>
        <v>たまがわ高等支援学校</v>
      </c>
      <c r="C6596" s="7" t="str">
        <f t="shared" si="2376"/>
        <v>行政財産</v>
      </c>
      <c r="D6596" s="7" t="str">
        <f t="shared" ref="D6596:D6659" si="2392">"学校"</f>
        <v>学校</v>
      </c>
      <c r="E6596" s="7" t="str">
        <f t="shared" si="2390"/>
        <v>大阪府東大阪市稲葉</v>
      </c>
      <c r="F6596" s="7"/>
      <c r="G6596" s="7" t="str">
        <f t="shared" si="2377"/>
        <v>事業用資産</v>
      </c>
      <c r="H6596" s="7" t="str">
        <f t="shared" ref="H6596:H6659" si="2393">"棚卸以外"</f>
        <v>棚卸以外</v>
      </c>
      <c r="I6596" s="7">
        <v>10</v>
      </c>
      <c r="J6596" s="7" t="str">
        <f>"ゴミ置場"</f>
        <v>ゴミ置場</v>
      </c>
      <c r="K6596" s="7" t="str">
        <f>"鉄筋コンクリート造"</f>
        <v>鉄筋コンクリート造</v>
      </c>
      <c r="L6596" s="7" t="str">
        <f>"H18.02.28"</f>
        <v>H18.02.28</v>
      </c>
      <c r="M6596" s="7">
        <v>12.5</v>
      </c>
      <c r="N6596" s="7">
        <v>1805000</v>
      </c>
      <c r="O6596" s="7">
        <v>811595</v>
      </c>
      <c r="P6596" s="7">
        <v>0</v>
      </c>
      <c r="Q6596" s="7" t="str">
        <f t="shared" si="2378"/>
        <v>教育庁</v>
      </c>
      <c r="R6596" s="7" t="str">
        <f t="shared" si="2391"/>
        <v>たまがわ高等支援学校</v>
      </c>
    </row>
    <row r="6597" spans="1:18" s="1" customFormat="1" x14ac:dyDescent="0.45">
      <c r="A6597" s="7" t="str">
        <f t="shared" ref="A6597:A6610" si="2394">"10124000000"</f>
        <v>10124000000</v>
      </c>
      <c r="B6597" s="7" t="str">
        <f t="shared" ref="B6597:B6610" si="2395">"千里青雲高等学校"</f>
        <v>千里青雲高等学校</v>
      </c>
      <c r="C6597" s="7" t="str">
        <f t="shared" si="2376"/>
        <v>行政財産</v>
      </c>
      <c r="D6597" s="7" t="str">
        <f t="shared" si="2392"/>
        <v>学校</v>
      </c>
      <c r="E6597" s="7" t="str">
        <f t="shared" ref="E6597:E6610" si="2396">"大阪府豊中市新千里南町１丁目"</f>
        <v>大阪府豊中市新千里南町１丁目</v>
      </c>
      <c r="F6597" s="7"/>
      <c r="G6597" s="7" t="str">
        <f t="shared" si="2377"/>
        <v>事業用資産</v>
      </c>
      <c r="H6597" s="7" t="str">
        <f t="shared" si="2393"/>
        <v>棚卸以外</v>
      </c>
      <c r="I6597" s="7">
        <v>1</v>
      </c>
      <c r="J6597" s="7" t="str">
        <f>"１号館"</f>
        <v>１号館</v>
      </c>
      <c r="K6597" s="7" t="str">
        <f>"鉄筋コンクリート造"</f>
        <v>鉄筋コンクリート造</v>
      </c>
      <c r="L6597" s="7" t="str">
        <f>"S46.04.24"</f>
        <v>S46.04.24</v>
      </c>
      <c r="M6597" s="7">
        <v>2256.1999999999998</v>
      </c>
      <c r="N6597" s="7">
        <v>203564280</v>
      </c>
      <c r="O6597" s="7">
        <v>124302152</v>
      </c>
      <c r="P6597" s="7">
        <v>0</v>
      </c>
      <c r="Q6597" s="7" t="str">
        <f t="shared" si="2378"/>
        <v>教育庁</v>
      </c>
      <c r="R6597" s="7" t="str">
        <f t="shared" ref="R6597:R6610" si="2397">"千里青雲高等学校"</f>
        <v>千里青雲高等学校</v>
      </c>
    </row>
    <row r="6598" spans="1:18" s="1" customFormat="1" x14ac:dyDescent="0.45">
      <c r="A6598" s="7" t="str">
        <f t="shared" si="2394"/>
        <v>10124000000</v>
      </c>
      <c r="B6598" s="7" t="str">
        <f t="shared" si="2395"/>
        <v>千里青雲高等学校</v>
      </c>
      <c r="C6598" s="7" t="str">
        <f t="shared" si="2376"/>
        <v>行政財産</v>
      </c>
      <c r="D6598" s="7" t="str">
        <f t="shared" si="2392"/>
        <v>学校</v>
      </c>
      <c r="E6598" s="7" t="str">
        <f t="shared" si="2396"/>
        <v>大阪府豊中市新千里南町１丁目</v>
      </c>
      <c r="F6598" s="7"/>
      <c r="G6598" s="7" t="str">
        <f t="shared" si="2377"/>
        <v>事業用資産</v>
      </c>
      <c r="H6598" s="7" t="str">
        <f t="shared" si="2393"/>
        <v>棚卸以外</v>
      </c>
      <c r="I6598" s="7">
        <v>4</v>
      </c>
      <c r="J6598" s="7" t="str">
        <f>"設備棟"</f>
        <v>設備棟</v>
      </c>
      <c r="K6598" s="7" t="str">
        <f>"鉄筋コンクリート造"</f>
        <v>鉄筋コンクリート造</v>
      </c>
      <c r="L6598" s="7" t="str">
        <f>"S46.04.24"</f>
        <v>S46.04.24</v>
      </c>
      <c r="M6598" s="7">
        <v>93</v>
      </c>
      <c r="N6598" s="7">
        <v>7729191</v>
      </c>
      <c r="O6598" s="7">
        <v>7636427</v>
      </c>
      <c r="P6598" s="7">
        <v>0</v>
      </c>
      <c r="Q6598" s="7" t="str">
        <f t="shared" si="2378"/>
        <v>教育庁</v>
      </c>
      <c r="R6598" s="7" t="str">
        <f t="shared" si="2397"/>
        <v>千里青雲高等学校</v>
      </c>
    </row>
    <row r="6599" spans="1:18" s="1" customFormat="1" x14ac:dyDescent="0.45">
      <c r="A6599" s="7" t="str">
        <f t="shared" si="2394"/>
        <v>10124000000</v>
      </c>
      <c r="B6599" s="7" t="str">
        <f t="shared" si="2395"/>
        <v>千里青雲高等学校</v>
      </c>
      <c r="C6599" s="7" t="str">
        <f t="shared" si="2376"/>
        <v>行政財産</v>
      </c>
      <c r="D6599" s="7" t="str">
        <f t="shared" si="2392"/>
        <v>学校</v>
      </c>
      <c r="E6599" s="7" t="str">
        <f t="shared" si="2396"/>
        <v>大阪府豊中市新千里南町１丁目</v>
      </c>
      <c r="F6599" s="7"/>
      <c r="G6599" s="7" t="str">
        <f t="shared" si="2377"/>
        <v>事業用資産</v>
      </c>
      <c r="H6599" s="7" t="str">
        <f t="shared" si="2393"/>
        <v>棚卸以外</v>
      </c>
      <c r="I6599" s="7">
        <v>6</v>
      </c>
      <c r="J6599" s="7" t="str">
        <f>"仮設棟"</f>
        <v>仮設棟</v>
      </c>
      <c r="K6599" s="7" t="str">
        <f>"軽量鉄骨造"</f>
        <v>軽量鉄骨造</v>
      </c>
      <c r="L6599" s="7" t="str">
        <f>"S46.04.24"</f>
        <v>S46.04.24</v>
      </c>
      <c r="M6599" s="7">
        <v>237.37</v>
      </c>
      <c r="N6599" s="7">
        <v>5928346</v>
      </c>
      <c r="O6599" s="7">
        <v>5928345</v>
      </c>
      <c r="P6599" s="7">
        <v>0</v>
      </c>
      <c r="Q6599" s="7" t="str">
        <f t="shared" si="2378"/>
        <v>教育庁</v>
      </c>
      <c r="R6599" s="7" t="str">
        <f t="shared" si="2397"/>
        <v>千里青雲高等学校</v>
      </c>
    </row>
    <row r="6600" spans="1:18" s="1" customFormat="1" x14ac:dyDescent="0.45">
      <c r="A6600" s="7" t="str">
        <f t="shared" si="2394"/>
        <v>10124000000</v>
      </c>
      <c r="B6600" s="7" t="str">
        <f t="shared" si="2395"/>
        <v>千里青雲高等学校</v>
      </c>
      <c r="C6600" s="7" t="str">
        <f t="shared" si="2376"/>
        <v>行政財産</v>
      </c>
      <c r="D6600" s="7" t="str">
        <f t="shared" si="2392"/>
        <v>学校</v>
      </c>
      <c r="E6600" s="7" t="str">
        <f t="shared" si="2396"/>
        <v>大阪府豊中市新千里南町１丁目</v>
      </c>
      <c r="F6600" s="7"/>
      <c r="G6600" s="7" t="str">
        <f t="shared" si="2377"/>
        <v>事業用資産</v>
      </c>
      <c r="H6600" s="7" t="str">
        <f t="shared" si="2393"/>
        <v>棚卸以外</v>
      </c>
      <c r="I6600" s="7">
        <v>7</v>
      </c>
      <c r="J6600" s="7" t="str">
        <f>"２号館"</f>
        <v>２号館</v>
      </c>
      <c r="K6600" s="7" t="str">
        <f>"鉄筋コンクリート造"</f>
        <v>鉄筋コンクリート造</v>
      </c>
      <c r="L6600" s="7" t="str">
        <f>"S47.03.15"</f>
        <v>S47.03.15</v>
      </c>
      <c r="M6600" s="7">
        <v>3616.07</v>
      </c>
      <c r="N6600" s="7">
        <v>343883691</v>
      </c>
      <c r="O6600" s="7">
        <v>201703260</v>
      </c>
      <c r="P6600" s="7">
        <v>0</v>
      </c>
      <c r="Q6600" s="7" t="str">
        <f t="shared" si="2378"/>
        <v>教育庁</v>
      </c>
      <c r="R6600" s="7" t="str">
        <f t="shared" si="2397"/>
        <v>千里青雲高等学校</v>
      </c>
    </row>
    <row r="6601" spans="1:18" s="1" customFormat="1" x14ac:dyDescent="0.45">
      <c r="A6601" s="7" t="str">
        <f t="shared" si="2394"/>
        <v>10124000000</v>
      </c>
      <c r="B6601" s="7" t="str">
        <f t="shared" si="2395"/>
        <v>千里青雲高等学校</v>
      </c>
      <c r="C6601" s="7" t="str">
        <f t="shared" si="2376"/>
        <v>行政財産</v>
      </c>
      <c r="D6601" s="7" t="str">
        <f t="shared" si="2392"/>
        <v>学校</v>
      </c>
      <c r="E6601" s="7" t="str">
        <f t="shared" si="2396"/>
        <v>大阪府豊中市新千里南町１丁目</v>
      </c>
      <c r="F6601" s="7"/>
      <c r="G6601" s="7" t="str">
        <f t="shared" si="2377"/>
        <v>事業用資産</v>
      </c>
      <c r="H6601" s="7" t="str">
        <f t="shared" si="2393"/>
        <v>棚卸以外</v>
      </c>
      <c r="I6601" s="7">
        <v>8</v>
      </c>
      <c r="J6601" s="7" t="str">
        <f>"３号館"</f>
        <v>３号館</v>
      </c>
      <c r="K6601" s="7" t="str">
        <f>"鉄筋コンクリート造"</f>
        <v>鉄筋コンクリート造</v>
      </c>
      <c r="L6601" s="7" t="str">
        <f>"S47.03.15"</f>
        <v>S47.03.15</v>
      </c>
      <c r="M6601" s="7">
        <v>3760.52</v>
      </c>
      <c r="N6601" s="7">
        <v>321129640</v>
      </c>
      <c r="O6601" s="7">
        <v>252226575</v>
      </c>
      <c r="P6601" s="7">
        <v>0</v>
      </c>
      <c r="Q6601" s="7" t="str">
        <f t="shared" si="2378"/>
        <v>教育庁</v>
      </c>
      <c r="R6601" s="7" t="str">
        <f t="shared" si="2397"/>
        <v>千里青雲高等学校</v>
      </c>
    </row>
    <row r="6602" spans="1:18" s="1" customFormat="1" x14ac:dyDescent="0.45">
      <c r="A6602" s="7" t="str">
        <f t="shared" si="2394"/>
        <v>10124000000</v>
      </c>
      <c r="B6602" s="7" t="str">
        <f t="shared" si="2395"/>
        <v>千里青雲高等学校</v>
      </c>
      <c r="C6602" s="7" t="str">
        <f t="shared" si="2376"/>
        <v>行政財産</v>
      </c>
      <c r="D6602" s="7" t="str">
        <f t="shared" si="2392"/>
        <v>学校</v>
      </c>
      <c r="E6602" s="7" t="str">
        <f t="shared" si="2396"/>
        <v>大阪府豊中市新千里南町１丁目</v>
      </c>
      <c r="F6602" s="7"/>
      <c r="G6602" s="7" t="str">
        <f t="shared" si="2377"/>
        <v>事業用資産</v>
      </c>
      <c r="H6602" s="7" t="str">
        <f t="shared" si="2393"/>
        <v>棚卸以外</v>
      </c>
      <c r="I6602" s="7">
        <v>9</v>
      </c>
      <c r="J6602" s="7" t="str">
        <f>"渡り廊下"</f>
        <v>渡り廊下</v>
      </c>
      <c r="K6602" s="7" t="str">
        <f>"鉄筋コンクリート造"</f>
        <v>鉄筋コンクリート造</v>
      </c>
      <c r="L6602" s="7" t="str">
        <f>"S47.03.15"</f>
        <v>S47.03.15</v>
      </c>
      <c r="M6602" s="7">
        <v>596.5</v>
      </c>
      <c r="N6602" s="7">
        <v>36632010</v>
      </c>
      <c r="O6602" s="7">
        <v>31621847</v>
      </c>
      <c r="P6602" s="7">
        <v>0</v>
      </c>
      <c r="Q6602" s="7" t="str">
        <f t="shared" si="2378"/>
        <v>教育庁</v>
      </c>
      <c r="R6602" s="7" t="str">
        <f t="shared" si="2397"/>
        <v>千里青雲高等学校</v>
      </c>
    </row>
    <row r="6603" spans="1:18" s="1" customFormat="1" x14ac:dyDescent="0.45">
      <c r="A6603" s="7" t="str">
        <f t="shared" si="2394"/>
        <v>10124000000</v>
      </c>
      <c r="B6603" s="7" t="str">
        <f t="shared" si="2395"/>
        <v>千里青雲高等学校</v>
      </c>
      <c r="C6603" s="7" t="str">
        <f t="shared" si="2376"/>
        <v>行政財産</v>
      </c>
      <c r="D6603" s="7" t="str">
        <f t="shared" si="2392"/>
        <v>学校</v>
      </c>
      <c r="E6603" s="7" t="str">
        <f t="shared" si="2396"/>
        <v>大阪府豊中市新千里南町１丁目</v>
      </c>
      <c r="F6603" s="7"/>
      <c r="G6603" s="7" t="str">
        <f t="shared" si="2377"/>
        <v>事業用資産</v>
      </c>
      <c r="H6603" s="7" t="str">
        <f t="shared" si="2393"/>
        <v>棚卸以外</v>
      </c>
      <c r="I6603" s="7">
        <v>10</v>
      </c>
      <c r="J6603" s="7" t="str">
        <f>"プール附属棟"</f>
        <v>プール附属棟</v>
      </c>
      <c r="K6603" s="7" t="str">
        <f>"コンクリートブロック造"</f>
        <v>コンクリートブロック造</v>
      </c>
      <c r="L6603" s="7" t="str">
        <f>"S47.08.29"</f>
        <v>S47.08.29</v>
      </c>
      <c r="M6603" s="7">
        <v>128.4</v>
      </c>
      <c r="N6603" s="7">
        <v>11958340</v>
      </c>
      <c r="O6603" s="7">
        <v>11958339</v>
      </c>
      <c r="P6603" s="7">
        <v>0</v>
      </c>
      <c r="Q6603" s="7" t="str">
        <f t="shared" si="2378"/>
        <v>教育庁</v>
      </c>
      <c r="R6603" s="7" t="str">
        <f t="shared" si="2397"/>
        <v>千里青雲高等学校</v>
      </c>
    </row>
    <row r="6604" spans="1:18" s="1" customFormat="1" x14ac:dyDescent="0.45">
      <c r="A6604" s="7" t="str">
        <f t="shared" si="2394"/>
        <v>10124000000</v>
      </c>
      <c r="B6604" s="7" t="str">
        <f t="shared" si="2395"/>
        <v>千里青雲高等学校</v>
      </c>
      <c r="C6604" s="7" t="str">
        <f t="shared" si="2376"/>
        <v>行政財産</v>
      </c>
      <c r="D6604" s="7" t="str">
        <f t="shared" si="2392"/>
        <v>学校</v>
      </c>
      <c r="E6604" s="7" t="str">
        <f t="shared" si="2396"/>
        <v>大阪府豊中市新千里南町１丁目</v>
      </c>
      <c r="F6604" s="7"/>
      <c r="G6604" s="7" t="str">
        <f t="shared" si="2377"/>
        <v>事業用資産</v>
      </c>
      <c r="H6604" s="7" t="str">
        <f t="shared" si="2393"/>
        <v>棚卸以外</v>
      </c>
      <c r="I6604" s="7">
        <v>11</v>
      </c>
      <c r="J6604" s="7" t="str">
        <f>"体育館"</f>
        <v>体育館</v>
      </c>
      <c r="K6604" s="7" t="str">
        <f>"鉄筋コンクリート造"</f>
        <v>鉄筋コンクリート造</v>
      </c>
      <c r="L6604" s="7" t="str">
        <f>"S47.09.12"</f>
        <v>S47.09.12</v>
      </c>
      <c r="M6604" s="7">
        <v>2295.1</v>
      </c>
      <c r="N6604" s="7">
        <v>172786142</v>
      </c>
      <c r="O6604" s="7">
        <v>120747459</v>
      </c>
      <c r="P6604" s="7">
        <v>0</v>
      </c>
      <c r="Q6604" s="7" t="str">
        <f t="shared" si="2378"/>
        <v>教育庁</v>
      </c>
      <c r="R6604" s="7" t="str">
        <f t="shared" si="2397"/>
        <v>千里青雲高等学校</v>
      </c>
    </row>
    <row r="6605" spans="1:18" s="1" customFormat="1" x14ac:dyDescent="0.45">
      <c r="A6605" s="7" t="str">
        <f t="shared" si="2394"/>
        <v>10124000000</v>
      </c>
      <c r="B6605" s="7" t="str">
        <f t="shared" si="2395"/>
        <v>千里青雲高等学校</v>
      </c>
      <c r="C6605" s="7" t="str">
        <f t="shared" ref="C6605:C6668" si="2398">"行政財産"</f>
        <v>行政財産</v>
      </c>
      <c r="D6605" s="7" t="str">
        <f t="shared" si="2392"/>
        <v>学校</v>
      </c>
      <c r="E6605" s="7" t="str">
        <f t="shared" si="2396"/>
        <v>大阪府豊中市新千里南町１丁目</v>
      </c>
      <c r="F6605" s="7"/>
      <c r="G6605" s="7" t="str">
        <f t="shared" si="2377"/>
        <v>事業用資産</v>
      </c>
      <c r="H6605" s="7" t="str">
        <f t="shared" si="2393"/>
        <v>棚卸以外</v>
      </c>
      <c r="I6605" s="7">
        <v>12</v>
      </c>
      <c r="J6605" s="7" t="str">
        <f>"食堂"</f>
        <v>食堂</v>
      </c>
      <c r="K6605" s="7" t="str">
        <f>"鉄筋コンクリート造"</f>
        <v>鉄筋コンクリート造</v>
      </c>
      <c r="L6605" s="7" t="str">
        <f>"S48.03.15"</f>
        <v>S48.03.15</v>
      </c>
      <c r="M6605" s="7">
        <v>597.79999999999995</v>
      </c>
      <c r="N6605" s="7">
        <v>70416191</v>
      </c>
      <c r="O6605" s="7">
        <v>59556804</v>
      </c>
      <c r="P6605" s="7">
        <v>0</v>
      </c>
      <c r="Q6605" s="7" t="str">
        <f t="shared" si="2378"/>
        <v>教育庁</v>
      </c>
      <c r="R6605" s="7" t="str">
        <f t="shared" si="2397"/>
        <v>千里青雲高等学校</v>
      </c>
    </row>
    <row r="6606" spans="1:18" s="1" customFormat="1" x14ac:dyDescent="0.45">
      <c r="A6606" s="7" t="str">
        <f t="shared" si="2394"/>
        <v>10124000000</v>
      </c>
      <c r="B6606" s="7" t="str">
        <f t="shared" si="2395"/>
        <v>千里青雲高等学校</v>
      </c>
      <c r="C6606" s="7" t="str">
        <f t="shared" si="2398"/>
        <v>行政財産</v>
      </c>
      <c r="D6606" s="7" t="str">
        <f t="shared" si="2392"/>
        <v>学校</v>
      </c>
      <c r="E6606" s="7" t="str">
        <f t="shared" si="2396"/>
        <v>大阪府豊中市新千里南町１丁目</v>
      </c>
      <c r="F6606" s="7"/>
      <c r="G6606" s="7" t="str">
        <f t="shared" si="2377"/>
        <v>事業用資産</v>
      </c>
      <c r="H6606" s="7" t="str">
        <f t="shared" si="2393"/>
        <v>棚卸以外</v>
      </c>
      <c r="I6606" s="7">
        <v>13</v>
      </c>
      <c r="J6606" s="7" t="str">
        <f>"渡り廊下"</f>
        <v>渡り廊下</v>
      </c>
      <c r="K6606" s="7" t="str">
        <f>"鉄骨造"</f>
        <v>鉄骨造</v>
      </c>
      <c r="L6606" s="7" t="str">
        <f>"S48.03.15"</f>
        <v>S48.03.15</v>
      </c>
      <c r="M6606" s="7">
        <v>271.10000000000002</v>
      </c>
      <c r="N6606" s="7">
        <v>7342675</v>
      </c>
      <c r="O6606" s="7">
        <v>6595547</v>
      </c>
      <c r="P6606" s="7">
        <v>0</v>
      </c>
      <c r="Q6606" s="7" t="str">
        <f t="shared" si="2378"/>
        <v>教育庁</v>
      </c>
      <c r="R6606" s="7" t="str">
        <f t="shared" si="2397"/>
        <v>千里青雲高等学校</v>
      </c>
    </row>
    <row r="6607" spans="1:18" s="1" customFormat="1" x14ac:dyDescent="0.45">
      <c r="A6607" s="7" t="str">
        <f t="shared" si="2394"/>
        <v>10124000000</v>
      </c>
      <c r="B6607" s="7" t="str">
        <f t="shared" si="2395"/>
        <v>千里青雲高等学校</v>
      </c>
      <c r="C6607" s="7" t="str">
        <f t="shared" si="2398"/>
        <v>行政財産</v>
      </c>
      <c r="D6607" s="7" t="str">
        <f t="shared" si="2392"/>
        <v>学校</v>
      </c>
      <c r="E6607" s="7" t="str">
        <f t="shared" si="2396"/>
        <v>大阪府豊中市新千里南町１丁目</v>
      </c>
      <c r="F6607" s="7"/>
      <c r="G6607" s="7" t="str">
        <f t="shared" si="2377"/>
        <v>事業用資産</v>
      </c>
      <c r="H6607" s="7" t="str">
        <f t="shared" si="2393"/>
        <v>棚卸以外</v>
      </c>
      <c r="I6607" s="7">
        <v>14</v>
      </c>
      <c r="J6607" s="7" t="str">
        <f>"渡り廊下"</f>
        <v>渡り廊下</v>
      </c>
      <c r="K6607" s="7" t="str">
        <f>"鉄筋コンクリート造"</f>
        <v>鉄筋コンクリート造</v>
      </c>
      <c r="L6607" s="7" t="str">
        <f>"S47.09.12"</f>
        <v>S47.09.12</v>
      </c>
      <c r="M6607" s="7">
        <v>174.64</v>
      </c>
      <c r="N6607" s="7">
        <v>8221252</v>
      </c>
      <c r="O6607" s="7">
        <v>8221251</v>
      </c>
      <c r="P6607" s="7">
        <v>0</v>
      </c>
      <c r="Q6607" s="7" t="str">
        <f t="shared" si="2378"/>
        <v>教育庁</v>
      </c>
      <c r="R6607" s="7" t="str">
        <f t="shared" si="2397"/>
        <v>千里青雲高等学校</v>
      </c>
    </row>
    <row r="6608" spans="1:18" s="1" customFormat="1" x14ac:dyDescent="0.45">
      <c r="A6608" s="7" t="str">
        <f t="shared" si="2394"/>
        <v>10124000000</v>
      </c>
      <c r="B6608" s="7" t="str">
        <f t="shared" si="2395"/>
        <v>千里青雲高等学校</v>
      </c>
      <c r="C6608" s="7" t="str">
        <f t="shared" si="2398"/>
        <v>行政財産</v>
      </c>
      <c r="D6608" s="7" t="str">
        <f t="shared" si="2392"/>
        <v>学校</v>
      </c>
      <c r="E6608" s="7" t="str">
        <f t="shared" si="2396"/>
        <v>大阪府豊中市新千里南町１丁目</v>
      </c>
      <c r="F6608" s="7"/>
      <c r="G6608" s="7" t="str">
        <f t="shared" si="2377"/>
        <v>事業用資産</v>
      </c>
      <c r="H6608" s="7" t="str">
        <f t="shared" si="2393"/>
        <v>棚卸以外</v>
      </c>
      <c r="I6608" s="7">
        <v>15</v>
      </c>
      <c r="J6608" s="7" t="str">
        <f>"第２体育館"</f>
        <v>第２体育館</v>
      </c>
      <c r="K6608" s="7" t="str">
        <f>"鉄筋コンクリート造"</f>
        <v>鉄筋コンクリート造</v>
      </c>
      <c r="L6608" s="7" t="str">
        <f>"S50.03.31"</f>
        <v>S50.03.31</v>
      </c>
      <c r="M6608" s="7">
        <v>544</v>
      </c>
      <c r="N6608" s="7">
        <v>91320402</v>
      </c>
      <c r="O6608" s="7">
        <v>75654186</v>
      </c>
      <c r="P6608" s="7">
        <v>0</v>
      </c>
      <c r="Q6608" s="7" t="str">
        <f t="shared" si="2378"/>
        <v>教育庁</v>
      </c>
      <c r="R6608" s="7" t="str">
        <f t="shared" si="2397"/>
        <v>千里青雲高等学校</v>
      </c>
    </row>
    <row r="6609" spans="1:18" s="1" customFormat="1" x14ac:dyDescent="0.45">
      <c r="A6609" s="7" t="str">
        <f t="shared" si="2394"/>
        <v>10124000000</v>
      </c>
      <c r="B6609" s="7" t="str">
        <f t="shared" si="2395"/>
        <v>千里青雲高等学校</v>
      </c>
      <c r="C6609" s="7" t="str">
        <f t="shared" si="2398"/>
        <v>行政財産</v>
      </c>
      <c r="D6609" s="7" t="str">
        <f t="shared" si="2392"/>
        <v>学校</v>
      </c>
      <c r="E6609" s="7" t="str">
        <f t="shared" si="2396"/>
        <v>大阪府豊中市新千里南町１丁目</v>
      </c>
      <c r="F6609" s="7"/>
      <c r="G6609" s="7" t="str">
        <f t="shared" si="2377"/>
        <v>事業用資産</v>
      </c>
      <c r="H6609" s="7" t="str">
        <f t="shared" si="2393"/>
        <v>棚卸以外</v>
      </c>
      <c r="I6609" s="7">
        <v>16</v>
      </c>
      <c r="J6609" s="7" t="str">
        <f>"体育倉庫"</f>
        <v>体育倉庫</v>
      </c>
      <c r="K6609" s="7" t="str">
        <f>"鉄骨造"</f>
        <v>鉄骨造</v>
      </c>
      <c r="L6609" s="7" t="str">
        <f>"S53.03.31"</f>
        <v>S53.03.31</v>
      </c>
      <c r="M6609" s="7">
        <v>49.8</v>
      </c>
      <c r="N6609" s="7">
        <v>3655000</v>
      </c>
      <c r="O6609" s="7">
        <v>3654999</v>
      </c>
      <c r="P6609" s="7">
        <v>0</v>
      </c>
      <c r="Q6609" s="7" t="str">
        <f t="shared" si="2378"/>
        <v>教育庁</v>
      </c>
      <c r="R6609" s="7" t="str">
        <f t="shared" si="2397"/>
        <v>千里青雲高等学校</v>
      </c>
    </row>
    <row r="6610" spans="1:18" s="1" customFormat="1" ht="26.4" x14ac:dyDescent="0.45">
      <c r="A6610" s="7" t="str">
        <f t="shared" si="2394"/>
        <v>10124000000</v>
      </c>
      <c r="B6610" s="7" t="str">
        <f t="shared" si="2395"/>
        <v>千里青雲高等学校</v>
      </c>
      <c r="C6610" s="7" t="str">
        <f t="shared" si="2398"/>
        <v>行政財産</v>
      </c>
      <c r="D6610" s="7" t="str">
        <f t="shared" si="2392"/>
        <v>学校</v>
      </c>
      <c r="E6610" s="7" t="str">
        <f t="shared" si="2396"/>
        <v>大阪府豊中市新千里南町１丁目</v>
      </c>
      <c r="F6610" s="7"/>
      <c r="G6610" s="7" t="str">
        <f t="shared" si="2377"/>
        <v>事業用資産</v>
      </c>
      <c r="H6610" s="7" t="str">
        <f t="shared" si="2393"/>
        <v>棚卸以外</v>
      </c>
      <c r="I6610" s="7">
        <v>17</v>
      </c>
      <c r="J6610" s="7" t="str">
        <f>"実習棟"</f>
        <v>実習棟</v>
      </c>
      <c r="K6610" s="7" t="str">
        <f>"鉄骨鉄筋コンクリート造"</f>
        <v>鉄骨鉄筋コンクリート造</v>
      </c>
      <c r="L6610" s="7" t="str">
        <f>"H20.09.24"</f>
        <v>H20.09.24</v>
      </c>
      <c r="M6610" s="7">
        <v>479.56</v>
      </c>
      <c r="N6610" s="7">
        <v>128248425</v>
      </c>
      <c r="O6610" s="7">
        <v>40632573</v>
      </c>
      <c r="P6610" s="7">
        <v>0</v>
      </c>
      <c r="Q6610" s="7" t="str">
        <f t="shared" si="2378"/>
        <v>教育庁</v>
      </c>
      <c r="R6610" s="7" t="str">
        <f t="shared" si="2397"/>
        <v>千里青雲高等学校</v>
      </c>
    </row>
    <row r="6611" spans="1:18" s="1" customFormat="1" x14ac:dyDescent="0.45">
      <c r="A6611" s="7" t="str">
        <f t="shared" ref="A6611:A6616" si="2399">"10125000000"</f>
        <v>10125000000</v>
      </c>
      <c r="B6611" s="7" t="str">
        <f t="shared" ref="B6611:B6616" si="2400">"大阪府立北摂つばさ高等学校"</f>
        <v>大阪府立北摂つばさ高等学校</v>
      </c>
      <c r="C6611" s="7" t="str">
        <f t="shared" si="2398"/>
        <v>行政財産</v>
      </c>
      <c r="D6611" s="7" t="str">
        <f t="shared" si="2392"/>
        <v>学校</v>
      </c>
      <c r="E6611" s="7" t="str">
        <f t="shared" ref="E6611:E6616" si="2401">"大阪府茨木市玉島台"</f>
        <v>大阪府茨木市玉島台</v>
      </c>
      <c r="F6611" s="7"/>
      <c r="G6611" s="7" t="str">
        <f t="shared" si="2377"/>
        <v>事業用資産</v>
      </c>
      <c r="H6611" s="7" t="str">
        <f t="shared" si="2393"/>
        <v>棚卸以外</v>
      </c>
      <c r="I6611" s="7">
        <v>1</v>
      </c>
      <c r="J6611" s="7" t="str">
        <f>"本館"</f>
        <v>本館</v>
      </c>
      <c r="K6611" s="7" t="str">
        <f>"鉄筋コンクリート造"</f>
        <v>鉄筋コンクリート造</v>
      </c>
      <c r="L6611" s="7" t="str">
        <f>"S54.03.01"</f>
        <v>S54.03.01</v>
      </c>
      <c r="M6611" s="7">
        <v>10988.83</v>
      </c>
      <c r="N6611" s="7">
        <v>1372878114</v>
      </c>
      <c r="O6611" s="7">
        <v>1207259102</v>
      </c>
      <c r="P6611" s="7">
        <v>0</v>
      </c>
      <c r="Q6611" s="7" t="str">
        <f t="shared" si="2378"/>
        <v>教育庁</v>
      </c>
      <c r="R6611" s="7" t="str">
        <f t="shared" ref="R6611:R6616" si="2402">"北摂つばさ高等学校"</f>
        <v>北摂つばさ高等学校</v>
      </c>
    </row>
    <row r="6612" spans="1:18" s="1" customFormat="1" x14ac:dyDescent="0.45">
      <c r="A6612" s="7" t="str">
        <f t="shared" si="2399"/>
        <v>10125000000</v>
      </c>
      <c r="B6612" s="7" t="str">
        <f t="shared" si="2400"/>
        <v>大阪府立北摂つばさ高等学校</v>
      </c>
      <c r="C6612" s="7" t="str">
        <f t="shared" si="2398"/>
        <v>行政財産</v>
      </c>
      <c r="D6612" s="7" t="str">
        <f t="shared" si="2392"/>
        <v>学校</v>
      </c>
      <c r="E6612" s="7" t="str">
        <f t="shared" si="2401"/>
        <v>大阪府茨木市玉島台</v>
      </c>
      <c r="F6612" s="7"/>
      <c r="G6612" s="7" t="str">
        <f t="shared" si="2377"/>
        <v>事業用資産</v>
      </c>
      <c r="H6612" s="7" t="str">
        <f t="shared" si="2393"/>
        <v>棚卸以外</v>
      </c>
      <c r="I6612" s="7">
        <v>5</v>
      </c>
      <c r="J6612" s="7" t="str">
        <f>"倉庫"</f>
        <v>倉庫</v>
      </c>
      <c r="K6612" s="7" t="str">
        <f>"鉄骨造"</f>
        <v>鉄骨造</v>
      </c>
      <c r="L6612" s="7" t="str">
        <f>"S54.05.14"</f>
        <v>S54.05.14</v>
      </c>
      <c r="M6612" s="7">
        <v>100</v>
      </c>
      <c r="N6612" s="7">
        <v>6966000</v>
      </c>
      <c r="O6612" s="7">
        <v>6965999</v>
      </c>
      <c r="P6612" s="7">
        <v>0</v>
      </c>
      <c r="Q6612" s="7" t="str">
        <f t="shared" si="2378"/>
        <v>教育庁</v>
      </c>
      <c r="R6612" s="7" t="str">
        <f t="shared" si="2402"/>
        <v>北摂つばさ高等学校</v>
      </c>
    </row>
    <row r="6613" spans="1:18" s="1" customFormat="1" x14ac:dyDescent="0.45">
      <c r="A6613" s="7" t="str">
        <f t="shared" si="2399"/>
        <v>10125000000</v>
      </c>
      <c r="B6613" s="7" t="str">
        <f t="shared" si="2400"/>
        <v>大阪府立北摂つばさ高等学校</v>
      </c>
      <c r="C6613" s="7" t="str">
        <f t="shared" si="2398"/>
        <v>行政財産</v>
      </c>
      <c r="D6613" s="7" t="str">
        <f t="shared" si="2392"/>
        <v>学校</v>
      </c>
      <c r="E6613" s="7" t="str">
        <f t="shared" si="2401"/>
        <v>大阪府茨木市玉島台</v>
      </c>
      <c r="F6613" s="7"/>
      <c r="G6613" s="7" t="str">
        <f t="shared" si="2377"/>
        <v>事業用資産</v>
      </c>
      <c r="H6613" s="7" t="str">
        <f t="shared" si="2393"/>
        <v>棚卸以外</v>
      </c>
      <c r="I6613" s="7">
        <v>6</v>
      </c>
      <c r="J6613" s="7" t="str">
        <f>"プロパン庫"</f>
        <v>プロパン庫</v>
      </c>
      <c r="K6613" s="7" t="str">
        <f>"コンクリートブロック造"</f>
        <v>コンクリートブロック造</v>
      </c>
      <c r="L6613" s="7" t="str">
        <f>"S54.05.14"</f>
        <v>S54.05.14</v>
      </c>
      <c r="M6613" s="7">
        <v>17.07</v>
      </c>
      <c r="N6613" s="7">
        <v>1080000</v>
      </c>
      <c r="O6613" s="7">
        <v>1079999</v>
      </c>
      <c r="P6613" s="7">
        <v>0</v>
      </c>
      <c r="Q6613" s="7" t="str">
        <f t="shared" si="2378"/>
        <v>教育庁</v>
      </c>
      <c r="R6613" s="7" t="str">
        <f t="shared" si="2402"/>
        <v>北摂つばさ高等学校</v>
      </c>
    </row>
    <row r="6614" spans="1:18" s="1" customFormat="1" x14ac:dyDescent="0.45">
      <c r="A6614" s="7" t="str">
        <f t="shared" si="2399"/>
        <v>10125000000</v>
      </c>
      <c r="B6614" s="7" t="str">
        <f t="shared" si="2400"/>
        <v>大阪府立北摂つばさ高等学校</v>
      </c>
      <c r="C6614" s="7" t="str">
        <f t="shared" si="2398"/>
        <v>行政財産</v>
      </c>
      <c r="D6614" s="7" t="str">
        <f t="shared" si="2392"/>
        <v>学校</v>
      </c>
      <c r="E6614" s="7" t="str">
        <f t="shared" si="2401"/>
        <v>大阪府茨木市玉島台</v>
      </c>
      <c r="F6614" s="7"/>
      <c r="G6614" s="7" t="str">
        <f t="shared" si="2377"/>
        <v>事業用資産</v>
      </c>
      <c r="H6614" s="7" t="str">
        <f t="shared" si="2393"/>
        <v>棚卸以外</v>
      </c>
      <c r="I6614" s="7">
        <v>7</v>
      </c>
      <c r="J6614" s="7" t="str">
        <f>"附属棟"</f>
        <v>附属棟</v>
      </c>
      <c r="K6614" s="7" t="str">
        <f>"鉄筋コンクリート造"</f>
        <v>鉄筋コンクリート造</v>
      </c>
      <c r="L6614" s="7" t="str">
        <f>"S55.07.11"</f>
        <v>S55.07.11</v>
      </c>
      <c r="M6614" s="7">
        <v>138</v>
      </c>
      <c r="N6614" s="7">
        <v>47483000</v>
      </c>
      <c r="O6614" s="7">
        <v>47482999</v>
      </c>
      <c r="P6614" s="7">
        <v>0</v>
      </c>
      <c r="Q6614" s="7" t="str">
        <f t="shared" si="2378"/>
        <v>教育庁</v>
      </c>
      <c r="R6614" s="7" t="str">
        <f t="shared" si="2402"/>
        <v>北摂つばさ高等学校</v>
      </c>
    </row>
    <row r="6615" spans="1:18" s="1" customFormat="1" x14ac:dyDescent="0.45">
      <c r="A6615" s="7" t="str">
        <f t="shared" si="2399"/>
        <v>10125000000</v>
      </c>
      <c r="B6615" s="7" t="str">
        <f t="shared" si="2400"/>
        <v>大阪府立北摂つばさ高等学校</v>
      </c>
      <c r="C6615" s="7" t="str">
        <f t="shared" si="2398"/>
        <v>行政財産</v>
      </c>
      <c r="D6615" s="7" t="str">
        <f t="shared" si="2392"/>
        <v>学校</v>
      </c>
      <c r="E6615" s="7" t="str">
        <f t="shared" si="2401"/>
        <v>大阪府茨木市玉島台</v>
      </c>
      <c r="F6615" s="7"/>
      <c r="G6615" s="7" t="str">
        <f t="shared" ref="G6615:G6678" si="2403">"事業用資産"</f>
        <v>事業用資産</v>
      </c>
      <c r="H6615" s="7" t="str">
        <f t="shared" si="2393"/>
        <v>棚卸以外</v>
      </c>
      <c r="I6615" s="7">
        <v>8</v>
      </c>
      <c r="J6615" s="7" t="str">
        <f>"倉庫"</f>
        <v>倉庫</v>
      </c>
      <c r="K6615" s="7" t="str">
        <f>"鉄骨造"</f>
        <v>鉄骨造</v>
      </c>
      <c r="L6615" s="7" t="str">
        <f>"S55.07.11"</f>
        <v>S55.07.11</v>
      </c>
      <c r="M6615" s="7">
        <v>100</v>
      </c>
      <c r="N6615" s="7">
        <v>7785000</v>
      </c>
      <c r="O6615" s="7">
        <v>7784999</v>
      </c>
      <c r="P6615" s="7">
        <v>0</v>
      </c>
      <c r="Q6615" s="7" t="str">
        <f t="shared" si="2378"/>
        <v>教育庁</v>
      </c>
      <c r="R6615" s="7" t="str">
        <f t="shared" si="2402"/>
        <v>北摂つばさ高等学校</v>
      </c>
    </row>
    <row r="6616" spans="1:18" s="1" customFormat="1" x14ac:dyDescent="0.45">
      <c r="A6616" s="7" t="str">
        <f t="shared" si="2399"/>
        <v>10125000000</v>
      </c>
      <c r="B6616" s="7" t="str">
        <f t="shared" si="2400"/>
        <v>大阪府立北摂つばさ高等学校</v>
      </c>
      <c r="C6616" s="7" t="str">
        <f t="shared" si="2398"/>
        <v>行政財産</v>
      </c>
      <c r="D6616" s="7" t="str">
        <f t="shared" si="2392"/>
        <v>学校</v>
      </c>
      <c r="E6616" s="7" t="str">
        <f t="shared" si="2401"/>
        <v>大阪府茨木市玉島台</v>
      </c>
      <c r="F6616" s="7"/>
      <c r="G6616" s="7" t="str">
        <f t="shared" si="2403"/>
        <v>事業用資産</v>
      </c>
      <c r="H6616" s="7" t="str">
        <f t="shared" si="2393"/>
        <v>棚卸以外</v>
      </c>
      <c r="I6616" s="7">
        <v>9</v>
      </c>
      <c r="J6616" s="7" t="str">
        <f>"体育館"</f>
        <v>体育館</v>
      </c>
      <c r="K6616" s="7" t="str">
        <f>"鉄筋コンクリート造"</f>
        <v>鉄筋コンクリート造</v>
      </c>
      <c r="L6616" s="7" t="str">
        <f>"S55.09.09"</f>
        <v>S55.09.09</v>
      </c>
      <c r="M6616" s="7">
        <v>3031.24</v>
      </c>
      <c r="N6616" s="7">
        <v>485872320</v>
      </c>
      <c r="O6616" s="7">
        <v>368341927</v>
      </c>
      <c r="P6616" s="7">
        <v>0</v>
      </c>
      <c r="Q6616" s="7" t="str">
        <f t="shared" si="2378"/>
        <v>教育庁</v>
      </c>
      <c r="R6616" s="7" t="str">
        <f t="shared" si="2402"/>
        <v>北摂つばさ高等学校</v>
      </c>
    </row>
    <row r="6617" spans="1:18" s="1" customFormat="1" x14ac:dyDescent="0.45">
      <c r="A6617" s="7" t="str">
        <f t="shared" ref="A6617:A6625" si="2404">"10184000000"</f>
        <v>10184000000</v>
      </c>
      <c r="B6617" s="7" t="str">
        <f t="shared" ref="B6617:B6625" si="2405">"北かわち皐が丘高等学校"</f>
        <v>北かわち皐が丘高等学校</v>
      </c>
      <c r="C6617" s="7" t="str">
        <f t="shared" si="2398"/>
        <v>行政財産</v>
      </c>
      <c r="D6617" s="7" t="str">
        <f t="shared" si="2392"/>
        <v>学校</v>
      </c>
      <c r="E6617" s="7" t="str">
        <f t="shared" ref="E6617:E6625" si="2406">"大阪府寝屋川市寝屋北町"</f>
        <v>大阪府寝屋川市寝屋北町</v>
      </c>
      <c r="F6617" s="7"/>
      <c r="G6617" s="7" t="str">
        <f t="shared" si="2403"/>
        <v>事業用資産</v>
      </c>
      <c r="H6617" s="7" t="str">
        <f t="shared" si="2393"/>
        <v>棚卸以外</v>
      </c>
      <c r="I6617" s="7">
        <v>1</v>
      </c>
      <c r="J6617" s="7" t="str">
        <f>"本館"</f>
        <v>本館</v>
      </c>
      <c r="K6617" s="7" t="str">
        <f>"鉄骨コンクリート造"</f>
        <v>鉄骨コンクリート造</v>
      </c>
      <c r="L6617" s="7" t="str">
        <f>"S53.07.31"</f>
        <v>S53.07.31</v>
      </c>
      <c r="M6617" s="7">
        <v>11067.08</v>
      </c>
      <c r="N6617" s="7">
        <v>1396224795</v>
      </c>
      <c r="O6617" s="7">
        <v>1233108433</v>
      </c>
      <c r="P6617" s="7">
        <v>0</v>
      </c>
      <c r="Q6617" s="7" t="str">
        <f t="shared" si="2378"/>
        <v>教育庁</v>
      </c>
      <c r="R6617" s="7" t="str">
        <f t="shared" ref="R6617:R6625" si="2407">"北かわち皐が丘高等学校"</f>
        <v>北かわち皐が丘高等学校</v>
      </c>
    </row>
    <row r="6618" spans="1:18" s="1" customFormat="1" x14ac:dyDescent="0.45">
      <c r="A6618" s="7" t="str">
        <f t="shared" si="2404"/>
        <v>10184000000</v>
      </c>
      <c r="B6618" s="7" t="str">
        <f t="shared" si="2405"/>
        <v>北かわち皐が丘高等学校</v>
      </c>
      <c r="C6618" s="7" t="str">
        <f t="shared" si="2398"/>
        <v>行政財産</v>
      </c>
      <c r="D6618" s="7" t="str">
        <f t="shared" si="2392"/>
        <v>学校</v>
      </c>
      <c r="E6618" s="7" t="str">
        <f t="shared" si="2406"/>
        <v>大阪府寝屋川市寝屋北町</v>
      </c>
      <c r="F6618" s="7"/>
      <c r="G6618" s="7" t="str">
        <f t="shared" si="2403"/>
        <v>事業用資産</v>
      </c>
      <c r="H6618" s="7" t="str">
        <f t="shared" si="2393"/>
        <v>棚卸以外</v>
      </c>
      <c r="I6618" s="7">
        <v>2</v>
      </c>
      <c r="J6618" s="7" t="str">
        <f>"プール附属棟"</f>
        <v>プール附属棟</v>
      </c>
      <c r="K6618" s="7" t="str">
        <f>"鉄筋コンクリート造"</f>
        <v>鉄筋コンクリート造</v>
      </c>
      <c r="L6618" s="7" t="str">
        <f>"S54.06.14"</f>
        <v>S54.06.14</v>
      </c>
      <c r="M6618" s="7">
        <v>138</v>
      </c>
      <c r="N6618" s="7">
        <v>26358801</v>
      </c>
      <c r="O6618" s="7">
        <v>24981567</v>
      </c>
      <c r="P6618" s="7">
        <v>0</v>
      </c>
      <c r="Q6618" s="7" t="str">
        <f t="shared" si="2378"/>
        <v>教育庁</v>
      </c>
      <c r="R6618" s="7" t="str">
        <f t="shared" si="2407"/>
        <v>北かわち皐が丘高等学校</v>
      </c>
    </row>
    <row r="6619" spans="1:18" s="1" customFormat="1" x14ac:dyDescent="0.45">
      <c r="A6619" s="7" t="str">
        <f t="shared" si="2404"/>
        <v>10184000000</v>
      </c>
      <c r="B6619" s="7" t="str">
        <f t="shared" si="2405"/>
        <v>北かわち皐が丘高等学校</v>
      </c>
      <c r="C6619" s="7" t="str">
        <f t="shared" si="2398"/>
        <v>行政財産</v>
      </c>
      <c r="D6619" s="7" t="str">
        <f t="shared" si="2392"/>
        <v>学校</v>
      </c>
      <c r="E6619" s="7" t="str">
        <f t="shared" si="2406"/>
        <v>大阪府寝屋川市寝屋北町</v>
      </c>
      <c r="F6619" s="7"/>
      <c r="G6619" s="7" t="str">
        <f t="shared" si="2403"/>
        <v>事業用資産</v>
      </c>
      <c r="H6619" s="7" t="str">
        <f t="shared" si="2393"/>
        <v>棚卸以外</v>
      </c>
      <c r="I6619" s="7">
        <v>3</v>
      </c>
      <c r="J6619" s="7" t="str">
        <f>"体育館"</f>
        <v>体育館</v>
      </c>
      <c r="K6619" s="7" t="str">
        <f>"鉄筋コンクリート造"</f>
        <v>鉄筋コンクリート造</v>
      </c>
      <c r="L6619" s="7" t="str">
        <f>"S54.09.22"</f>
        <v>S54.09.22</v>
      </c>
      <c r="M6619" s="7">
        <v>3211.88</v>
      </c>
      <c r="N6619" s="7">
        <v>416014758</v>
      </c>
      <c r="O6619" s="7">
        <v>325486886</v>
      </c>
      <c r="P6619" s="7">
        <v>0</v>
      </c>
      <c r="Q6619" s="7" t="str">
        <f t="shared" ref="Q6619:Q6682" si="2408">"教育庁"</f>
        <v>教育庁</v>
      </c>
      <c r="R6619" s="7" t="str">
        <f t="shared" si="2407"/>
        <v>北かわち皐が丘高等学校</v>
      </c>
    </row>
    <row r="6620" spans="1:18" s="1" customFormat="1" x14ac:dyDescent="0.45">
      <c r="A6620" s="7" t="str">
        <f t="shared" si="2404"/>
        <v>10184000000</v>
      </c>
      <c r="B6620" s="7" t="str">
        <f t="shared" si="2405"/>
        <v>北かわち皐が丘高等学校</v>
      </c>
      <c r="C6620" s="7" t="str">
        <f t="shared" si="2398"/>
        <v>行政財産</v>
      </c>
      <c r="D6620" s="7" t="str">
        <f t="shared" si="2392"/>
        <v>学校</v>
      </c>
      <c r="E6620" s="7" t="str">
        <f t="shared" si="2406"/>
        <v>大阪府寝屋川市寝屋北町</v>
      </c>
      <c r="F6620" s="7"/>
      <c r="G6620" s="7" t="str">
        <f t="shared" si="2403"/>
        <v>事業用資産</v>
      </c>
      <c r="H6620" s="7" t="str">
        <f t="shared" si="2393"/>
        <v>棚卸以外</v>
      </c>
      <c r="I6620" s="7">
        <v>4</v>
      </c>
      <c r="J6620" s="7" t="str">
        <f>"倉庫１"</f>
        <v>倉庫１</v>
      </c>
      <c r="K6620" s="7" t="str">
        <f>"鉄骨造"</f>
        <v>鉄骨造</v>
      </c>
      <c r="L6620" s="7" t="str">
        <f>"S54.09.22"</f>
        <v>S54.09.22</v>
      </c>
      <c r="M6620" s="7">
        <v>100</v>
      </c>
      <c r="N6620" s="7">
        <v>6510000</v>
      </c>
      <c r="O6620" s="7">
        <v>6509999</v>
      </c>
      <c r="P6620" s="7">
        <v>0</v>
      </c>
      <c r="Q6620" s="7" t="str">
        <f t="shared" si="2408"/>
        <v>教育庁</v>
      </c>
      <c r="R6620" s="7" t="str">
        <f t="shared" si="2407"/>
        <v>北かわち皐が丘高等学校</v>
      </c>
    </row>
    <row r="6621" spans="1:18" s="1" customFormat="1" x14ac:dyDescent="0.45">
      <c r="A6621" s="7" t="str">
        <f t="shared" si="2404"/>
        <v>10184000000</v>
      </c>
      <c r="B6621" s="7" t="str">
        <f t="shared" si="2405"/>
        <v>北かわち皐が丘高等学校</v>
      </c>
      <c r="C6621" s="7" t="str">
        <f t="shared" si="2398"/>
        <v>行政財産</v>
      </c>
      <c r="D6621" s="7" t="str">
        <f t="shared" si="2392"/>
        <v>学校</v>
      </c>
      <c r="E6621" s="7" t="str">
        <f t="shared" si="2406"/>
        <v>大阪府寝屋川市寝屋北町</v>
      </c>
      <c r="F6621" s="7"/>
      <c r="G6621" s="7" t="str">
        <f t="shared" si="2403"/>
        <v>事業用資産</v>
      </c>
      <c r="H6621" s="7" t="str">
        <f t="shared" si="2393"/>
        <v>棚卸以外</v>
      </c>
      <c r="I6621" s="7">
        <v>5</v>
      </c>
      <c r="J6621" s="7" t="str">
        <f>"倉庫２"</f>
        <v>倉庫２</v>
      </c>
      <c r="K6621" s="7" t="str">
        <f>"鉄骨造"</f>
        <v>鉄骨造</v>
      </c>
      <c r="L6621" s="7" t="str">
        <f>"S54.08.31"</f>
        <v>S54.08.31</v>
      </c>
      <c r="M6621" s="7">
        <v>100</v>
      </c>
      <c r="N6621" s="7">
        <v>7458000</v>
      </c>
      <c r="O6621" s="7">
        <v>7457999</v>
      </c>
      <c r="P6621" s="7">
        <v>0</v>
      </c>
      <c r="Q6621" s="7" t="str">
        <f t="shared" si="2408"/>
        <v>教育庁</v>
      </c>
      <c r="R6621" s="7" t="str">
        <f t="shared" si="2407"/>
        <v>北かわち皐が丘高等学校</v>
      </c>
    </row>
    <row r="6622" spans="1:18" s="1" customFormat="1" x14ac:dyDescent="0.45">
      <c r="A6622" s="7" t="str">
        <f t="shared" si="2404"/>
        <v>10184000000</v>
      </c>
      <c r="B6622" s="7" t="str">
        <f t="shared" si="2405"/>
        <v>北かわち皐が丘高等学校</v>
      </c>
      <c r="C6622" s="7" t="str">
        <f t="shared" si="2398"/>
        <v>行政財産</v>
      </c>
      <c r="D6622" s="7" t="str">
        <f t="shared" si="2392"/>
        <v>学校</v>
      </c>
      <c r="E6622" s="7" t="str">
        <f t="shared" si="2406"/>
        <v>大阪府寝屋川市寝屋北町</v>
      </c>
      <c r="F6622" s="7"/>
      <c r="G6622" s="7" t="str">
        <f t="shared" si="2403"/>
        <v>事業用資産</v>
      </c>
      <c r="H6622" s="7" t="str">
        <f t="shared" si="2393"/>
        <v>棚卸以外</v>
      </c>
      <c r="I6622" s="7">
        <v>6</v>
      </c>
      <c r="J6622" s="7" t="str">
        <f>"石灰置場Ａ"</f>
        <v>石灰置場Ａ</v>
      </c>
      <c r="K6622" s="7" t="str">
        <f>"コンクリートブロック造"</f>
        <v>コンクリートブロック造</v>
      </c>
      <c r="L6622" s="7" t="str">
        <f>"S56.03.31"</f>
        <v>S56.03.31</v>
      </c>
      <c r="M6622" s="7">
        <v>15.05</v>
      </c>
      <c r="N6622" s="7">
        <v>1096000</v>
      </c>
      <c r="O6622" s="7">
        <v>1095999</v>
      </c>
      <c r="P6622" s="7">
        <v>0</v>
      </c>
      <c r="Q6622" s="7" t="str">
        <f t="shared" si="2408"/>
        <v>教育庁</v>
      </c>
      <c r="R6622" s="7" t="str">
        <f t="shared" si="2407"/>
        <v>北かわち皐が丘高等学校</v>
      </c>
    </row>
    <row r="6623" spans="1:18" s="1" customFormat="1" x14ac:dyDescent="0.45">
      <c r="A6623" s="7" t="str">
        <f t="shared" si="2404"/>
        <v>10184000000</v>
      </c>
      <c r="B6623" s="7" t="str">
        <f t="shared" si="2405"/>
        <v>北かわち皐が丘高等学校</v>
      </c>
      <c r="C6623" s="7" t="str">
        <f t="shared" si="2398"/>
        <v>行政財産</v>
      </c>
      <c r="D6623" s="7" t="str">
        <f t="shared" si="2392"/>
        <v>学校</v>
      </c>
      <c r="E6623" s="7" t="str">
        <f t="shared" si="2406"/>
        <v>大阪府寝屋川市寝屋北町</v>
      </c>
      <c r="F6623" s="7"/>
      <c r="G6623" s="7" t="str">
        <f t="shared" si="2403"/>
        <v>事業用資産</v>
      </c>
      <c r="H6623" s="7" t="str">
        <f t="shared" si="2393"/>
        <v>棚卸以外</v>
      </c>
      <c r="I6623" s="7">
        <v>7</v>
      </c>
      <c r="J6623" s="7" t="str">
        <f>"石灰置場Ｂ"</f>
        <v>石灰置場Ｂ</v>
      </c>
      <c r="K6623" s="7" t="str">
        <f>"コンクリートブロック造"</f>
        <v>コンクリートブロック造</v>
      </c>
      <c r="L6623" s="7" t="str">
        <f>"S56.03.31"</f>
        <v>S56.03.31</v>
      </c>
      <c r="M6623" s="7">
        <v>11.4</v>
      </c>
      <c r="N6623" s="7">
        <v>963000</v>
      </c>
      <c r="O6623" s="7">
        <v>962999</v>
      </c>
      <c r="P6623" s="7">
        <v>0</v>
      </c>
      <c r="Q6623" s="7" t="str">
        <f t="shared" si="2408"/>
        <v>教育庁</v>
      </c>
      <c r="R6623" s="7" t="str">
        <f t="shared" si="2407"/>
        <v>北かわち皐が丘高等学校</v>
      </c>
    </row>
    <row r="6624" spans="1:18" s="1" customFormat="1" ht="26.4" x14ac:dyDescent="0.45">
      <c r="A6624" s="7" t="str">
        <f t="shared" si="2404"/>
        <v>10184000000</v>
      </c>
      <c r="B6624" s="7" t="str">
        <f t="shared" si="2405"/>
        <v>北かわち皐が丘高等学校</v>
      </c>
      <c r="C6624" s="7" t="str">
        <f t="shared" si="2398"/>
        <v>行政財産</v>
      </c>
      <c r="D6624" s="7" t="str">
        <f t="shared" si="2392"/>
        <v>学校</v>
      </c>
      <c r="E6624" s="7" t="str">
        <f t="shared" si="2406"/>
        <v>大阪府寝屋川市寝屋北町</v>
      </c>
      <c r="F6624" s="7"/>
      <c r="G6624" s="7" t="str">
        <f t="shared" si="2403"/>
        <v>事業用資産</v>
      </c>
      <c r="H6624" s="7" t="str">
        <f t="shared" si="2393"/>
        <v>棚卸以外</v>
      </c>
      <c r="I6624" s="7">
        <v>8</v>
      </c>
      <c r="J6624" s="7" t="str">
        <f>"渡廊下"</f>
        <v>渡廊下</v>
      </c>
      <c r="K6624" s="7" t="str">
        <f>"鉄骨鉄筋コンクリート造"</f>
        <v>鉄骨鉄筋コンクリート造</v>
      </c>
      <c r="L6624" s="7" t="str">
        <f>"S62.03.25"</f>
        <v>S62.03.25</v>
      </c>
      <c r="M6624" s="7">
        <v>119.25</v>
      </c>
      <c r="N6624" s="7">
        <v>25736000</v>
      </c>
      <c r="O6624" s="7">
        <v>22597488</v>
      </c>
      <c r="P6624" s="7">
        <v>0</v>
      </c>
      <c r="Q6624" s="7" t="str">
        <f t="shared" si="2408"/>
        <v>教育庁</v>
      </c>
      <c r="R6624" s="7" t="str">
        <f t="shared" si="2407"/>
        <v>北かわち皐が丘高等学校</v>
      </c>
    </row>
    <row r="6625" spans="1:18" s="1" customFormat="1" x14ac:dyDescent="0.45">
      <c r="A6625" s="7" t="str">
        <f t="shared" si="2404"/>
        <v>10184000000</v>
      </c>
      <c r="B6625" s="7" t="str">
        <f t="shared" si="2405"/>
        <v>北かわち皐が丘高等学校</v>
      </c>
      <c r="C6625" s="7" t="str">
        <f t="shared" si="2398"/>
        <v>行政財産</v>
      </c>
      <c r="D6625" s="7" t="str">
        <f t="shared" si="2392"/>
        <v>学校</v>
      </c>
      <c r="E6625" s="7" t="str">
        <f t="shared" si="2406"/>
        <v>大阪府寝屋川市寝屋北町</v>
      </c>
      <c r="F6625" s="7"/>
      <c r="G6625" s="7" t="str">
        <f t="shared" si="2403"/>
        <v>事業用資産</v>
      </c>
      <c r="H6625" s="7" t="str">
        <f t="shared" si="2393"/>
        <v>棚卸以外</v>
      </c>
      <c r="I6625" s="7">
        <v>9</v>
      </c>
      <c r="J6625" s="7" t="str">
        <f>"別館"</f>
        <v>別館</v>
      </c>
      <c r="K6625" s="7" t="str">
        <f>"鉄筋コンクリート造"</f>
        <v>鉄筋コンクリート造</v>
      </c>
      <c r="L6625" s="7" t="str">
        <f>"S62.03.31"</f>
        <v>S62.03.31</v>
      </c>
      <c r="M6625" s="7">
        <v>922.36</v>
      </c>
      <c r="N6625" s="7">
        <v>134285839</v>
      </c>
      <c r="O6625" s="7">
        <v>101263939</v>
      </c>
      <c r="P6625" s="7">
        <v>0</v>
      </c>
      <c r="Q6625" s="7" t="str">
        <f t="shared" si="2408"/>
        <v>教育庁</v>
      </c>
      <c r="R6625" s="7" t="str">
        <f t="shared" si="2407"/>
        <v>北かわち皐が丘高等学校</v>
      </c>
    </row>
    <row r="6626" spans="1:18" s="1" customFormat="1" x14ac:dyDescent="0.45">
      <c r="A6626" s="7" t="str">
        <f t="shared" ref="A6626:A6638" si="2409">"10185000000"</f>
        <v>10185000000</v>
      </c>
      <c r="B6626" s="7" t="str">
        <f t="shared" ref="B6626:B6638" si="2410">"みどり清朋高等学校"</f>
        <v>みどり清朋高等学校</v>
      </c>
      <c r="C6626" s="7" t="str">
        <f t="shared" si="2398"/>
        <v>行政財産</v>
      </c>
      <c r="D6626" s="7" t="str">
        <f t="shared" si="2392"/>
        <v>学校</v>
      </c>
      <c r="E6626" s="7" t="str">
        <f t="shared" ref="E6626:E6638" si="2411">"大阪府東大阪市池島町６丁目"</f>
        <v>大阪府東大阪市池島町６丁目</v>
      </c>
      <c r="F6626" s="7"/>
      <c r="G6626" s="7" t="str">
        <f t="shared" si="2403"/>
        <v>事業用資産</v>
      </c>
      <c r="H6626" s="7" t="str">
        <f t="shared" si="2393"/>
        <v>棚卸以外</v>
      </c>
      <c r="I6626" s="7">
        <v>1</v>
      </c>
      <c r="J6626" s="7" t="str">
        <f>"普通教室棟"</f>
        <v>普通教室棟</v>
      </c>
      <c r="K6626" s="7" t="str">
        <f>"鉄筋コンクリート造"</f>
        <v>鉄筋コンクリート造</v>
      </c>
      <c r="L6626" s="7" t="str">
        <f t="shared" ref="L6626:L6632" si="2412">"S49.04.01"</f>
        <v>S49.04.01</v>
      </c>
      <c r="M6626" s="7">
        <v>5783.26</v>
      </c>
      <c r="N6626" s="7">
        <v>629687128</v>
      </c>
      <c r="O6626" s="7">
        <v>495868224</v>
      </c>
      <c r="P6626" s="7">
        <v>0</v>
      </c>
      <c r="Q6626" s="7" t="str">
        <f t="shared" si="2408"/>
        <v>教育庁</v>
      </c>
      <c r="R6626" s="7" t="str">
        <f t="shared" ref="R6626:R6638" si="2413">"みどり清朋高等学校"</f>
        <v>みどり清朋高等学校</v>
      </c>
    </row>
    <row r="6627" spans="1:18" s="1" customFormat="1" x14ac:dyDescent="0.45">
      <c r="A6627" s="7" t="str">
        <f t="shared" si="2409"/>
        <v>10185000000</v>
      </c>
      <c r="B6627" s="7" t="str">
        <f t="shared" si="2410"/>
        <v>みどり清朋高等学校</v>
      </c>
      <c r="C6627" s="7" t="str">
        <f t="shared" si="2398"/>
        <v>行政財産</v>
      </c>
      <c r="D6627" s="7" t="str">
        <f t="shared" si="2392"/>
        <v>学校</v>
      </c>
      <c r="E6627" s="7" t="str">
        <f t="shared" si="2411"/>
        <v>大阪府東大阪市池島町６丁目</v>
      </c>
      <c r="F6627" s="7"/>
      <c r="G6627" s="7" t="str">
        <f t="shared" si="2403"/>
        <v>事業用資産</v>
      </c>
      <c r="H6627" s="7" t="str">
        <f t="shared" si="2393"/>
        <v>棚卸以外</v>
      </c>
      <c r="I6627" s="7">
        <v>2</v>
      </c>
      <c r="J6627" s="7" t="str">
        <f>"特別教室棟"</f>
        <v>特別教室棟</v>
      </c>
      <c r="K6627" s="7" t="str">
        <f>"鉄筋コンクリート造"</f>
        <v>鉄筋コンクリート造</v>
      </c>
      <c r="L6627" s="7" t="str">
        <f t="shared" si="2412"/>
        <v>S49.04.01</v>
      </c>
      <c r="M6627" s="7">
        <v>5385.85</v>
      </c>
      <c r="N6627" s="7">
        <v>576291170</v>
      </c>
      <c r="O6627" s="7">
        <v>447009564</v>
      </c>
      <c r="P6627" s="7">
        <v>0</v>
      </c>
      <c r="Q6627" s="7" t="str">
        <f t="shared" si="2408"/>
        <v>教育庁</v>
      </c>
      <c r="R6627" s="7" t="str">
        <f t="shared" si="2413"/>
        <v>みどり清朋高等学校</v>
      </c>
    </row>
    <row r="6628" spans="1:18" s="1" customFormat="1" x14ac:dyDescent="0.45">
      <c r="A6628" s="7" t="str">
        <f t="shared" si="2409"/>
        <v>10185000000</v>
      </c>
      <c r="B6628" s="7" t="str">
        <f t="shared" si="2410"/>
        <v>みどり清朋高等学校</v>
      </c>
      <c r="C6628" s="7" t="str">
        <f t="shared" si="2398"/>
        <v>行政財産</v>
      </c>
      <c r="D6628" s="7" t="str">
        <f t="shared" si="2392"/>
        <v>学校</v>
      </c>
      <c r="E6628" s="7" t="str">
        <f t="shared" si="2411"/>
        <v>大阪府東大阪市池島町６丁目</v>
      </c>
      <c r="F6628" s="7"/>
      <c r="G6628" s="7" t="str">
        <f t="shared" si="2403"/>
        <v>事業用資産</v>
      </c>
      <c r="H6628" s="7" t="str">
        <f t="shared" si="2393"/>
        <v>棚卸以外</v>
      </c>
      <c r="I6628" s="7">
        <v>3</v>
      </c>
      <c r="J6628" s="7" t="str">
        <f>"渡り廊下"</f>
        <v>渡り廊下</v>
      </c>
      <c r="K6628" s="7" t="str">
        <f>"鉄筋コンクリート造"</f>
        <v>鉄筋コンクリート造</v>
      </c>
      <c r="L6628" s="7" t="str">
        <f t="shared" si="2412"/>
        <v>S49.04.01</v>
      </c>
      <c r="M6628" s="7">
        <v>358.27</v>
      </c>
      <c r="N6628" s="7">
        <v>21927721</v>
      </c>
      <c r="O6628" s="7">
        <v>21553905</v>
      </c>
      <c r="P6628" s="7">
        <v>0</v>
      </c>
      <c r="Q6628" s="7" t="str">
        <f t="shared" si="2408"/>
        <v>教育庁</v>
      </c>
      <c r="R6628" s="7" t="str">
        <f t="shared" si="2413"/>
        <v>みどり清朋高等学校</v>
      </c>
    </row>
    <row r="6629" spans="1:18" s="1" customFormat="1" x14ac:dyDescent="0.45">
      <c r="A6629" s="7" t="str">
        <f t="shared" si="2409"/>
        <v>10185000000</v>
      </c>
      <c r="B6629" s="7" t="str">
        <f t="shared" si="2410"/>
        <v>みどり清朋高等学校</v>
      </c>
      <c r="C6629" s="7" t="str">
        <f t="shared" si="2398"/>
        <v>行政財産</v>
      </c>
      <c r="D6629" s="7" t="str">
        <f t="shared" si="2392"/>
        <v>学校</v>
      </c>
      <c r="E6629" s="7" t="str">
        <f t="shared" si="2411"/>
        <v>大阪府東大阪市池島町６丁目</v>
      </c>
      <c r="F6629" s="7"/>
      <c r="G6629" s="7" t="str">
        <f t="shared" si="2403"/>
        <v>事業用資産</v>
      </c>
      <c r="H6629" s="7" t="str">
        <f t="shared" si="2393"/>
        <v>棚卸以外</v>
      </c>
      <c r="I6629" s="7">
        <v>4</v>
      </c>
      <c r="J6629" s="7" t="str">
        <f>"設備棟"</f>
        <v>設備棟</v>
      </c>
      <c r="K6629" s="7" t="str">
        <f>"鉄筋コンクリート造"</f>
        <v>鉄筋コンクリート造</v>
      </c>
      <c r="L6629" s="7" t="str">
        <f t="shared" si="2412"/>
        <v>S49.04.01</v>
      </c>
      <c r="M6629" s="7">
        <v>117</v>
      </c>
      <c r="N6629" s="7">
        <v>17369468</v>
      </c>
      <c r="O6629" s="7">
        <v>16892399</v>
      </c>
      <c r="P6629" s="7">
        <v>0</v>
      </c>
      <c r="Q6629" s="7" t="str">
        <f t="shared" si="2408"/>
        <v>教育庁</v>
      </c>
      <c r="R6629" s="7" t="str">
        <f t="shared" si="2413"/>
        <v>みどり清朋高等学校</v>
      </c>
    </row>
    <row r="6630" spans="1:18" s="1" customFormat="1" x14ac:dyDescent="0.45">
      <c r="A6630" s="7" t="str">
        <f t="shared" si="2409"/>
        <v>10185000000</v>
      </c>
      <c r="B6630" s="7" t="str">
        <f t="shared" si="2410"/>
        <v>みどり清朋高等学校</v>
      </c>
      <c r="C6630" s="7" t="str">
        <f t="shared" si="2398"/>
        <v>行政財産</v>
      </c>
      <c r="D6630" s="7" t="str">
        <f t="shared" si="2392"/>
        <v>学校</v>
      </c>
      <c r="E6630" s="7" t="str">
        <f t="shared" si="2411"/>
        <v>大阪府東大阪市池島町６丁目</v>
      </c>
      <c r="F6630" s="7"/>
      <c r="G6630" s="7" t="str">
        <f t="shared" si="2403"/>
        <v>事業用資産</v>
      </c>
      <c r="H6630" s="7" t="str">
        <f t="shared" si="2393"/>
        <v>棚卸以外</v>
      </c>
      <c r="I6630" s="7">
        <v>5</v>
      </c>
      <c r="J6630" s="7" t="str">
        <f>"倉庫棟"</f>
        <v>倉庫棟</v>
      </c>
      <c r="K6630" s="7" t="str">
        <f>"鉄骨造"</f>
        <v>鉄骨造</v>
      </c>
      <c r="L6630" s="7" t="str">
        <f t="shared" si="2412"/>
        <v>S49.04.01</v>
      </c>
      <c r="M6630" s="7">
        <v>50</v>
      </c>
      <c r="N6630" s="7">
        <v>2194000</v>
      </c>
      <c r="O6630" s="7">
        <v>2193999</v>
      </c>
      <c r="P6630" s="7">
        <v>0</v>
      </c>
      <c r="Q6630" s="7" t="str">
        <f t="shared" si="2408"/>
        <v>教育庁</v>
      </c>
      <c r="R6630" s="7" t="str">
        <f t="shared" si="2413"/>
        <v>みどり清朋高等学校</v>
      </c>
    </row>
    <row r="6631" spans="1:18" s="1" customFormat="1" x14ac:dyDescent="0.45">
      <c r="A6631" s="7" t="str">
        <f t="shared" si="2409"/>
        <v>10185000000</v>
      </c>
      <c r="B6631" s="7" t="str">
        <f t="shared" si="2410"/>
        <v>みどり清朋高等学校</v>
      </c>
      <c r="C6631" s="7" t="str">
        <f t="shared" si="2398"/>
        <v>行政財産</v>
      </c>
      <c r="D6631" s="7" t="str">
        <f t="shared" si="2392"/>
        <v>学校</v>
      </c>
      <c r="E6631" s="7" t="str">
        <f t="shared" si="2411"/>
        <v>大阪府東大阪市池島町６丁目</v>
      </c>
      <c r="F6631" s="7"/>
      <c r="G6631" s="7" t="str">
        <f t="shared" si="2403"/>
        <v>事業用資産</v>
      </c>
      <c r="H6631" s="7" t="str">
        <f t="shared" si="2393"/>
        <v>棚卸以外</v>
      </c>
      <c r="I6631" s="7">
        <v>6</v>
      </c>
      <c r="J6631" s="7" t="str">
        <f>"自転車置場"</f>
        <v>自転車置場</v>
      </c>
      <c r="K6631" s="7" t="str">
        <f>"鉄骨造"</f>
        <v>鉄骨造</v>
      </c>
      <c r="L6631" s="7" t="str">
        <f t="shared" si="2412"/>
        <v>S49.04.01</v>
      </c>
      <c r="M6631" s="7">
        <v>105</v>
      </c>
      <c r="N6631" s="7">
        <v>2432000</v>
      </c>
      <c r="O6631" s="7">
        <v>2431999</v>
      </c>
      <c r="P6631" s="7">
        <v>0</v>
      </c>
      <c r="Q6631" s="7" t="str">
        <f t="shared" si="2408"/>
        <v>教育庁</v>
      </c>
      <c r="R6631" s="7" t="str">
        <f t="shared" si="2413"/>
        <v>みどり清朋高等学校</v>
      </c>
    </row>
    <row r="6632" spans="1:18" s="1" customFormat="1" x14ac:dyDescent="0.45">
      <c r="A6632" s="7" t="str">
        <f t="shared" si="2409"/>
        <v>10185000000</v>
      </c>
      <c r="B6632" s="7" t="str">
        <f t="shared" si="2410"/>
        <v>みどり清朋高等学校</v>
      </c>
      <c r="C6632" s="7" t="str">
        <f t="shared" si="2398"/>
        <v>行政財産</v>
      </c>
      <c r="D6632" s="7" t="str">
        <f t="shared" si="2392"/>
        <v>学校</v>
      </c>
      <c r="E6632" s="7" t="str">
        <f t="shared" si="2411"/>
        <v>大阪府東大阪市池島町６丁目</v>
      </c>
      <c r="F6632" s="7"/>
      <c r="G6632" s="7" t="str">
        <f t="shared" si="2403"/>
        <v>事業用資産</v>
      </c>
      <c r="H6632" s="7" t="str">
        <f t="shared" si="2393"/>
        <v>棚卸以外</v>
      </c>
      <c r="I6632" s="7">
        <v>7</v>
      </c>
      <c r="J6632" s="7" t="str">
        <f>"汚水処理場"</f>
        <v>汚水処理場</v>
      </c>
      <c r="K6632" s="7" t="str">
        <f>"鉄筋コンクリート造"</f>
        <v>鉄筋コンクリート造</v>
      </c>
      <c r="L6632" s="7" t="str">
        <f t="shared" si="2412"/>
        <v>S49.04.01</v>
      </c>
      <c r="M6632" s="7">
        <v>165.23</v>
      </c>
      <c r="N6632" s="7">
        <v>26323000</v>
      </c>
      <c r="O6632" s="7">
        <v>25926507</v>
      </c>
      <c r="P6632" s="7">
        <v>0</v>
      </c>
      <c r="Q6632" s="7" t="str">
        <f t="shared" si="2408"/>
        <v>教育庁</v>
      </c>
      <c r="R6632" s="7" t="str">
        <f t="shared" si="2413"/>
        <v>みどり清朋高等学校</v>
      </c>
    </row>
    <row r="6633" spans="1:18" s="1" customFormat="1" x14ac:dyDescent="0.45">
      <c r="A6633" s="7" t="str">
        <f t="shared" si="2409"/>
        <v>10185000000</v>
      </c>
      <c r="B6633" s="7" t="str">
        <f t="shared" si="2410"/>
        <v>みどり清朋高等学校</v>
      </c>
      <c r="C6633" s="7" t="str">
        <f t="shared" si="2398"/>
        <v>行政財産</v>
      </c>
      <c r="D6633" s="7" t="str">
        <f t="shared" si="2392"/>
        <v>学校</v>
      </c>
      <c r="E6633" s="7" t="str">
        <f t="shared" si="2411"/>
        <v>大阪府東大阪市池島町６丁目</v>
      </c>
      <c r="F6633" s="7"/>
      <c r="G6633" s="7" t="str">
        <f t="shared" si="2403"/>
        <v>事業用資産</v>
      </c>
      <c r="H6633" s="7" t="str">
        <f t="shared" si="2393"/>
        <v>棚卸以外</v>
      </c>
      <c r="I6633" s="7">
        <v>8</v>
      </c>
      <c r="J6633" s="7" t="str">
        <f>"プール附属棟"</f>
        <v>プール附属棟</v>
      </c>
      <c r="K6633" s="7" t="str">
        <f>"コンクリートブロック造"</f>
        <v>コンクリートブロック造</v>
      </c>
      <c r="L6633" s="7" t="str">
        <f>"S49.12.12"</f>
        <v>S49.12.12</v>
      </c>
      <c r="M6633" s="7">
        <v>128.4</v>
      </c>
      <c r="N6633" s="7">
        <v>20972300</v>
      </c>
      <c r="O6633" s="7">
        <v>20882523</v>
      </c>
      <c r="P6633" s="7">
        <v>0</v>
      </c>
      <c r="Q6633" s="7" t="str">
        <f t="shared" si="2408"/>
        <v>教育庁</v>
      </c>
      <c r="R6633" s="7" t="str">
        <f t="shared" si="2413"/>
        <v>みどり清朋高等学校</v>
      </c>
    </row>
    <row r="6634" spans="1:18" s="1" customFormat="1" x14ac:dyDescent="0.45">
      <c r="A6634" s="7" t="str">
        <f t="shared" si="2409"/>
        <v>10185000000</v>
      </c>
      <c r="B6634" s="7" t="str">
        <f t="shared" si="2410"/>
        <v>みどり清朋高等学校</v>
      </c>
      <c r="C6634" s="7" t="str">
        <f t="shared" si="2398"/>
        <v>行政財産</v>
      </c>
      <c r="D6634" s="7" t="str">
        <f t="shared" si="2392"/>
        <v>学校</v>
      </c>
      <c r="E6634" s="7" t="str">
        <f t="shared" si="2411"/>
        <v>大阪府東大阪市池島町６丁目</v>
      </c>
      <c r="F6634" s="7"/>
      <c r="G6634" s="7" t="str">
        <f t="shared" si="2403"/>
        <v>事業用資産</v>
      </c>
      <c r="H6634" s="7" t="str">
        <f t="shared" si="2393"/>
        <v>棚卸以外</v>
      </c>
      <c r="I6634" s="7">
        <v>9</v>
      </c>
      <c r="J6634" s="7" t="str">
        <f>"体育館"</f>
        <v>体育館</v>
      </c>
      <c r="K6634" s="7" t="str">
        <f>"鉄筋コンクリート造"</f>
        <v>鉄筋コンクリート造</v>
      </c>
      <c r="L6634" s="7" t="str">
        <f>"S49.12.12"</f>
        <v>S49.12.12</v>
      </c>
      <c r="M6634" s="7">
        <v>2967.77</v>
      </c>
      <c r="N6634" s="7">
        <v>271938422</v>
      </c>
      <c r="O6634" s="7">
        <v>246856503</v>
      </c>
      <c r="P6634" s="7">
        <v>0</v>
      </c>
      <c r="Q6634" s="7" t="str">
        <f t="shared" si="2408"/>
        <v>教育庁</v>
      </c>
      <c r="R6634" s="7" t="str">
        <f t="shared" si="2413"/>
        <v>みどり清朋高等学校</v>
      </c>
    </row>
    <row r="6635" spans="1:18" s="1" customFormat="1" x14ac:dyDescent="0.45">
      <c r="A6635" s="7" t="str">
        <f t="shared" si="2409"/>
        <v>10185000000</v>
      </c>
      <c r="B6635" s="7" t="str">
        <f t="shared" si="2410"/>
        <v>みどり清朋高等学校</v>
      </c>
      <c r="C6635" s="7" t="str">
        <f t="shared" si="2398"/>
        <v>行政財産</v>
      </c>
      <c r="D6635" s="7" t="str">
        <f t="shared" si="2392"/>
        <v>学校</v>
      </c>
      <c r="E6635" s="7" t="str">
        <f t="shared" si="2411"/>
        <v>大阪府東大阪市池島町６丁目</v>
      </c>
      <c r="F6635" s="7"/>
      <c r="G6635" s="7" t="str">
        <f t="shared" si="2403"/>
        <v>事業用資産</v>
      </c>
      <c r="H6635" s="7" t="str">
        <f t="shared" si="2393"/>
        <v>棚卸以外</v>
      </c>
      <c r="I6635" s="7">
        <v>10</v>
      </c>
      <c r="J6635" s="7" t="str">
        <f>"食堂棟"</f>
        <v>食堂棟</v>
      </c>
      <c r="K6635" s="7" t="str">
        <f>"鉄筋コンクリート造"</f>
        <v>鉄筋コンクリート造</v>
      </c>
      <c r="L6635" s="7" t="str">
        <f>"S50.01.20"</f>
        <v>S50.01.20</v>
      </c>
      <c r="M6635" s="7">
        <v>324.02999999999997</v>
      </c>
      <c r="N6635" s="7">
        <v>31610681</v>
      </c>
      <c r="O6635" s="7">
        <v>31499175</v>
      </c>
      <c r="P6635" s="7">
        <v>0</v>
      </c>
      <c r="Q6635" s="7" t="str">
        <f t="shared" si="2408"/>
        <v>教育庁</v>
      </c>
      <c r="R6635" s="7" t="str">
        <f t="shared" si="2413"/>
        <v>みどり清朋高等学校</v>
      </c>
    </row>
    <row r="6636" spans="1:18" s="1" customFormat="1" x14ac:dyDescent="0.45">
      <c r="A6636" s="7" t="str">
        <f t="shared" si="2409"/>
        <v>10185000000</v>
      </c>
      <c r="B6636" s="7" t="str">
        <f t="shared" si="2410"/>
        <v>みどり清朋高等学校</v>
      </c>
      <c r="C6636" s="7" t="str">
        <f t="shared" si="2398"/>
        <v>行政財産</v>
      </c>
      <c r="D6636" s="7" t="str">
        <f t="shared" si="2392"/>
        <v>学校</v>
      </c>
      <c r="E6636" s="7" t="str">
        <f t="shared" si="2411"/>
        <v>大阪府東大阪市池島町６丁目</v>
      </c>
      <c r="F6636" s="7"/>
      <c r="G6636" s="7" t="str">
        <f t="shared" si="2403"/>
        <v>事業用資産</v>
      </c>
      <c r="H6636" s="7" t="str">
        <f t="shared" si="2393"/>
        <v>棚卸以外</v>
      </c>
      <c r="I6636" s="7">
        <v>14</v>
      </c>
      <c r="J6636" s="7" t="str">
        <f>"渡り廊下"</f>
        <v>渡り廊下</v>
      </c>
      <c r="K6636" s="7" t="str">
        <f>"鉄筋コンクリート造"</f>
        <v>鉄筋コンクリート造</v>
      </c>
      <c r="L6636" s="7" t="str">
        <f>"S51.04.07"</f>
        <v>S51.04.07</v>
      </c>
      <c r="M6636" s="7">
        <v>336.75</v>
      </c>
      <c r="N6636" s="7">
        <v>28003739</v>
      </c>
      <c r="O6636" s="7">
        <v>27657449</v>
      </c>
      <c r="P6636" s="7">
        <v>0</v>
      </c>
      <c r="Q6636" s="7" t="str">
        <f t="shared" si="2408"/>
        <v>教育庁</v>
      </c>
      <c r="R6636" s="7" t="str">
        <f t="shared" si="2413"/>
        <v>みどり清朋高等学校</v>
      </c>
    </row>
    <row r="6637" spans="1:18" s="1" customFormat="1" x14ac:dyDescent="0.45">
      <c r="A6637" s="7" t="str">
        <f t="shared" si="2409"/>
        <v>10185000000</v>
      </c>
      <c r="B6637" s="7" t="str">
        <f t="shared" si="2410"/>
        <v>みどり清朋高等学校</v>
      </c>
      <c r="C6637" s="7" t="str">
        <f t="shared" si="2398"/>
        <v>行政財産</v>
      </c>
      <c r="D6637" s="7" t="str">
        <f t="shared" si="2392"/>
        <v>学校</v>
      </c>
      <c r="E6637" s="7" t="str">
        <f t="shared" si="2411"/>
        <v>大阪府東大阪市池島町６丁目</v>
      </c>
      <c r="F6637" s="7"/>
      <c r="G6637" s="7" t="str">
        <f t="shared" si="2403"/>
        <v>事業用資産</v>
      </c>
      <c r="H6637" s="7" t="str">
        <f t="shared" si="2393"/>
        <v>棚卸以外</v>
      </c>
      <c r="I6637" s="7">
        <v>16</v>
      </c>
      <c r="J6637" s="7" t="str">
        <f>"倉庫棟"</f>
        <v>倉庫棟</v>
      </c>
      <c r="K6637" s="7" t="str">
        <f>"鉄骨造"</f>
        <v>鉄骨造</v>
      </c>
      <c r="L6637" s="7" t="str">
        <f>"S52.02.17"</f>
        <v>S52.02.17</v>
      </c>
      <c r="M6637" s="7">
        <v>105.04</v>
      </c>
      <c r="N6637" s="7">
        <v>5829000</v>
      </c>
      <c r="O6637" s="7">
        <v>5828999</v>
      </c>
      <c r="P6637" s="7">
        <v>0</v>
      </c>
      <c r="Q6637" s="7" t="str">
        <f t="shared" si="2408"/>
        <v>教育庁</v>
      </c>
      <c r="R6637" s="7" t="str">
        <f t="shared" si="2413"/>
        <v>みどり清朋高等学校</v>
      </c>
    </row>
    <row r="6638" spans="1:18" s="1" customFormat="1" x14ac:dyDescent="0.45">
      <c r="A6638" s="7" t="str">
        <f t="shared" si="2409"/>
        <v>10185000000</v>
      </c>
      <c r="B6638" s="7" t="str">
        <f t="shared" si="2410"/>
        <v>みどり清朋高等学校</v>
      </c>
      <c r="C6638" s="7" t="str">
        <f t="shared" si="2398"/>
        <v>行政財産</v>
      </c>
      <c r="D6638" s="7" t="str">
        <f t="shared" si="2392"/>
        <v>学校</v>
      </c>
      <c r="E6638" s="7" t="str">
        <f t="shared" si="2411"/>
        <v>大阪府東大阪市池島町６丁目</v>
      </c>
      <c r="F6638" s="7"/>
      <c r="G6638" s="7" t="str">
        <f t="shared" si="2403"/>
        <v>事業用資産</v>
      </c>
      <c r="H6638" s="7" t="str">
        <f t="shared" si="2393"/>
        <v>棚卸以外</v>
      </c>
      <c r="I6638" s="7">
        <v>18</v>
      </c>
      <c r="J6638" s="7" t="str">
        <f>"倉庫（４）"</f>
        <v>倉庫（４）</v>
      </c>
      <c r="K6638" s="7" t="str">
        <f>"軽量鉄骨造"</f>
        <v>軽量鉄骨造</v>
      </c>
      <c r="L6638" s="7" t="str">
        <f>"H09.10.24"</f>
        <v>H09.10.24</v>
      </c>
      <c r="M6638" s="7">
        <v>26.45</v>
      </c>
      <c r="N6638" s="7">
        <v>3341000</v>
      </c>
      <c r="O6638" s="7">
        <v>3340999</v>
      </c>
      <c r="P6638" s="7">
        <v>0</v>
      </c>
      <c r="Q6638" s="7" t="str">
        <f t="shared" si="2408"/>
        <v>教育庁</v>
      </c>
      <c r="R6638" s="7" t="str">
        <f t="shared" si="2413"/>
        <v>みどり清朋高等学校</v>
      </c>
    </row>
    <row r="6639" spans="1:18" s="1" customFormat="1" x14ac:dyDescent="0.45">
      <c r="A6639" s="7" t="str">
        <f t="shared" ref="A6639:A6656" si="2414">"10434000000"</f>
        <v>10434000000</v>
      </c>
      <c r="B6639" s="7" t="str">
        <f t="shared" ref="B6639:B6656" si="2415">"懐風館高等学校"</f>
        <v>懐風館高等学校</v>
      </c>
      <c r="C6639" s="7" t="str">
        <f t="shared" si="2398"/>
        <v>行政財産</v>
      </c>
      <c r="D6639" s="7" t="str">
        <f t="shared" si="2392"/>
        <v>学校</v>
      </c>
      <c r="E6639" s="7" t="str">
        <f t="shared" ref="E6639:E6656" si="2416">"大阪府羽曳野市大黒"</f>
        <v>大阪府羽曳野市大黒</v>
      </c>
      <c r="F6639" s="7"/>
      <c r="G6639" s="7" t="str">
        <f t="shared" si="2403"/>
        <v>事業用資産</v>
      </c>
      <c r="H6639" s="7" t="str">
        <f t="shared" si="2393"/>
        <v>棚卸以外</v>
      </c>
      <c r="I6639" s="7">
        <v>1</v>
      </c>
      <c r="J6639" s="7" t="str">
        <f>"教室棟"</f>
        <v>教室棟</v>
      </c>
      <c r="K6639" s="7" t="str">
        <f>"鉄筋コンクリート造"</f>
        <v>鉄筋コンクリート造</v>
      </c>
      <c r="L6639" s="7" t="str">
        <f>"S46.03.15"</f>
        <v>S46.03.15</v>
      </c>
      <c r="M6639" s="7">
        <v>4124.37</v>
      </c>
      <c r="N6639" s="7">
        <v>154509945</v>
      </c>
      <c r="O6639" s="7">
        <v>100209498</v>
      </c>
      <c r="P6639" s="7">
        <v>0</v>
      </c>
      <c r="Q6639" s="7" t="str">
        <f t="shared" si="2408"/>
        <v>教育庁</v>
      </c>
      <c r="R6639" s="7" t="str">
        <f t="shared" ref="R6639:R6656" si="2417">"懐風館高等学校"</f>
        <v>懐風館高等学校</v>
      </c>
    </row>
    <row r="6640" spans="1:18" s="1" customFormat="1" x14ac:dyDescent="0.45">
      <c r="A6640" s="7" t="str">
        <f t="shared" si="2414"/>
        <v>10434000000</v>
      </c>
      <c r="B6640" s="7" t="str">
        <f t="shared" si="2415"/>
        <v>懐風館高等学校</v>
      </c>
      <c r="C6640" s="7" t="str">
        <f t="shared" si="2398"/>
        <v>行政財産</v>
      </c>
      <c r="D6640" s="7" t="str">
        <f t="shared" si="2392"/>
        <v>学校</v>
      </c>
      <c r="E6640" s="7" t="str">
        <f t="shared" si="2416"/>
        <v>大阪府羽曳野市大黒</v>
      </c>
      <c r="F6640" s="7"/>
      <c r="G6640" s="7" t="str">
        <f t="shared" si="2403"/>
        <v>事業用資産</v>
      </c>
      <c r="H6640" s="7" t="str">
        <f t="shared" si="2393"/>
        <v>棚卸以外</v>
      </c>
      <c r="I6640" s="7">
        <v>2</v>
      </c>
      <c r="J6640" s="7" t="str">
        <f>"管理棟"</f>
        <v>管理棟</v>
      </c>
      <c r="K6640" s="7" t="str">
        <f>"鉄筋コンクリート造"</f>
        <v>鉄筋コンクリート造</v>
      </c>
      <c r="L6640" s="7" t="str">
        <f>"S46.03.31"</f>
        <v>S46.03.31</v>
      </c>
      <c r="M6640" s="7">
        <v>4283.13</v>
      </c>
      <c r="N6640" s="7">
        <v>132209120</v>
      </c>
      <c r="O6640" s="7">
        <v>66006350</v>
      </c>
      <c r="P6640" s="7">
        <v>0</v>
      </c>
      <c r="Q6640" s="7" t="str">
        <f t="shared" si="2408"/>
        <v>教育庁</v>
      </c>
      <c r="R6640" s="7" t="str">
        <f t="shared" si="2417"/>
        <v>懐風館高等学校</v>
      </c>
    </row>
    <row r="6641" spans="1:18" s="1" customFormat="1" x14ac:dyDescent="0.45">
      <c r="A6641" s="7" t="str">
        <f t="shared" si="2414"/>
        <v>10434000000</v>
      </c>
      <c r="B6641" s="7" t="str">
        <f t="shared" si="2415"/>
        <v>懐風館高等学校</v>
      </c>
      <c r="C6641" s="7" t="str">
        <f t="shared" si="2398"/>
        <v>行政財産</v>
      </c>
      <c r="D6641" s="7" t="str">
        <f t="shared" si="2392"/>
        <v>学校</v>
      </c>
      <c r="E6641" s="7" t="str">
        <f t="shared" si="2416"/>
        <v>大阪府羽曳野市大黒</v>
      </c>
      <c r="F6641" s="7"/>
      <c r="G6641" s="7" t="str">
        <f t="shared" si="2403"/>
        <v>事業用資産</v>
      </c>
      <c r="H6641" s="7" t="str">
        <f t="shared" si="2393"/>
        <v>棚卸以外</v>
      </c>
      <c r="I6641" s="7">
        <v>3</v>
      </c>
      <c r="J6641" s="7" t="str">
        <f>"設備棟"</f>
        <v>設備棟</v>
      </c>
      <c r="K6641" s="7" t="str">
        <f>"鉄筋コンクリート造"</f>
        <v>鉄筋コンクリート造</v>
      </c>
      <c r="L6641" s="7" t="str">
        <f>"S46.03.15"</f>
        <v>S46.03.15</v>
      </c>
      <c r="M6641" s="7">
        <v>93</v>
      </c>
      <c r="N6641" s="7">
        <v>14391549</v>
      </c>
      <c r="O6641" s="7">
        <v>12662079</v>
      </c>
      <c r="P6641" s="7">
        <v>0</v>
      </c>
      <c r="Q6641" s="7" t="str">
        <f t="shared" si="2408"/>
        <v>教育庁</v>
      </c>
      <c r="R6641" s="7" t="str">
        <f t="shared" si="2417"/>
        <v>懐風館高等学校</v>
      </c>
    </row>
    <row r="6642" spans="1:18" s="1" customFormat="1" x14ac:dyDescent="0.45">
      <c r="A6642" s="7" t="str">
        <f t="shared" si="2414"/>
        <v>10434000000</v>
      </c>
      <c r="B6642" s="7" t="str">
        <f t="shared" si="2415"/>
        <v>懐風館高等学校</v>
      </c>
      <c r="C6642" s="7" t="str">
        <f t="shared" si="2398"/>
        <v>行政財産</v>
      </c>
      <c r="D6642" s="7" t="str">
        <f t="shared" si="2392"/>
        <v>学校</v>
      </c>
      <c r="E6642" s="7" t="str">
        <f t="shared" si="2416"/>
        <v>大阪府羽曳野市大黒</v>
      </c>
      <c r="F6642" s="7"/>
      <c r="G6642" s="7" t="str">
        <f t="shared" si="2403"/>
        <v>事業用資産</v>
      </c>
      <c r="H6642" s="7" t="str">
        <f t="shared" si="2393"/>
        <v>棚卸以外</v>
      </c>
      <c r="I6642" s="7">
        <v>5</v>
      </c>
      <c r="J6642" s="7" t="str">
        <f>"守衛室棟"</f>
        <v>守衛室棟</v>
      </c>
      <c r="K6642" s="7" t="str">
        <f>"鉄筋コンクリート造"</f>
        <v>鉄筋コンクリート造</v>
      </c>
      <c r="L6642" s="7" t="str">
        <f>"S46.03.15"</f>
        <v>S46.03.15</v>
      </c>
      <c r="M6642" s="7">
        <v>10.5</v>
      </c>
      <c r="N6642" s="7">
        <v>1020000</v>
      </c>
      <c r="O6642" s="7">
        <v>1019999</v>
      </c>
      <c r="P6642" s="7">
        <v>0</v>
      </c>
      <c r="Q6642" s="7" t="str">
        <f t="shared" si="2408"/>
        <v>教育庁</v>
      </c>
      <c r="R6642" s="7" t="str">
        <f t="shared" si="2417"/>
        <v>懐風館高等学校</v>
      </c>
    </row>
    <row r="6643" spans="1:18" s="1" customFormat="1" x14ac:dyDescent="0.45">
      <c r="A6643" s="7" t="str">
        <f t="shared" si="2414"/>
        <v>10434000000</v>
      </c>
      <c r="B6643" s="7" t="str">
        <f t="shared" si="2415"/>
        <v>懐風館高等学校</v>
      </c>
      <c r="C6643" s="7" t="str">
        <f t="shared" si="2398"/>
        <v>行政財産</v>
      </c>
      <c r="D6643" s="7" t="str">
        <f t="shared" si="2392"/>
        <v>学校</v>
      </c>
      <c r="E6643" s="7" t="str">
        <f t="shared" si="2416"/>
        <v>大阪府羽曳野市大黒</v>
      </c>
      <c r="F6643" s="7"/>
      <c r="G6643" s="7" t="str">
        <f t="shared" si="2403"/>
        <v>事業用資産</v>
      </c>
      <c r="H6643" s="7" t="str">
        <f t="shared" si="2393"/>
        <v>棚卸以外</v>
      </c>
      <c r="I6643" s="7">
        <v>8</v>
      </c>
      <c r="J6643" s="7" t="str">
        <f>"渡り廊下"</f>
        <v>渡り廊下</v>
      </c>
      <c r="K6643" s="7" t="str">
        <f>"鉄筋コンクリート造"</f>
        <v>鉄筋コンクリート造</v>
      </c>
      <c r="L6643" s="7" t="str">
        <f>"S47.03.15"</f>
        <v>S47.03.15</v>
      </c>
      <c r="M6643" s="7">
        <v>333</v>
      </c>
      <c r="N6643" s="7">
        <v>12201000</v>
      </c>
      <c r="O6643" s="7">
        <v>12200999</v>
      </c>
      <c r="P6643" s="7">
        <v>0</v>
      </c>
      <c r="Q6643" s="7" t="str">
        <f t="shared" si="2408"/>
        <v>教育庁</v>
      </c>
      <c r="R6643" s="7" t="str">
        <f t="shared" si="2417"/>
        <v>懐風館高等学校</v>
      </c>
    </row>
    <row r="6644" spans="1:18" s="1" customFormat="1" x14ac:dyDescent="0.45">
      <c r="A6644" s="7" t="str">
        <f t="shared" si="2414"/>
        <v>10434000000</v>
      </c>
      <c r="B6644" s="7" t="str">
        <f t="shared" si="2415"/>
        <v>懐風館高等学校</v>
      </c>
      <c r="C6644" s="7" t="str">
        <f t="shared" si="2398"/>
        <v>行政財産</v>
      </c>
      <c r="D6644" s="7" t="str">
        <f t="shared" si="2392"/>
        <v>学校</v>
      </c>
      <c r="E6644" s="7" t="str">
        <f t="shared" si="2416"/>
        <v>大阪府羽曳野市大黒</v>
      </c>
      <c r="F6644" s="7"/>
      <c r="G6644" s="7" t="str">
        <f t="shared" si="2403"/>
        <v>事業用資産</v>
      </c>
      <c r="H6644" s="7" t="str">
        <f t="shared" si="2393"/>
        <v>棚卸以外</v>
      </c>
      <c r="I6644" s="7">
        <v>9</v>
      </c>
      <c r="J6644" s="7" t="str">
        <f>"クラブ倉庫"</f>
        <v>クラブ倉庫</v>
      </c>
      <c r="K6644" s="7" t="str">
        <f>"土蔵造(簡易建物)"</f>
        <v>土蔵造(簡易建物)</v>
      </c>
      <c r="L6644" s="7" t="str">
        <f>"S47.04.25"</f>
        <v>S47.04.25</v>
      </c>
      <c r="M6644" s="7">
        <v>100</v>
      </c>
      <c r="N6644" s="7">
        <v>3320000</v>
      </c>
      <c r="O6644" s="7">
        <v>3319999</v>
      </c>
      <c r="P6644" s="7">
        <v>0</v>
      </c>
      <c r="Q6644" s="7" t="str">
        <f t="shared" si="2408"/>
        <v>教育庁</v>
      </c>
      <c r="R6644" s="7" t="str">
        <f t="shared" si="2417"/>
        <v>懐風館高等学校</v>
      </c>
    </row>
    <row r="6645" spans="1:18" s="1" customFormat="1" x14ac:dyDescent="0.45">
      <c r="A6645" s="7" t="str">
        <f t="shared" si="2414"/>
        <v>10434000000</v>
      </c>
      <c r="B6645" s="7" t="str">
        <f t="shared" si="2415"/>
        <v>懐風館高等学校</v>
      </c>
      <c r="C6645" s="7" t="str">
        <f t="shared" si="2398"/>
        <v>行政財産</v>
      </c>
      <c r="D6645" s="7" t="str">
        <f t="shared" si="2392"/>
        <v>学校</v>
      </c>
      <c r="E6645" s="7" t="str">
        <f t="shared" si="2416"/>
        <v>大阪府羽曳野市大黒</v>
      </c>
      <c r="F6645" s="7"/>
      <c r="G6645" s="7" t="str">
        <f t="shared" si="2403"/>
        <v>事業用資産</v>
      </c>
      <c r="H6645" s="7" t="str">
        <f t="shared" si="2393"/>
        <v>棚卸以外</v>
      </c>
      <c r="I6645" s="7">
        <v>10</v>
      </c>
      <c r="J6645" s="7" t="str">
        <f>"体育館"</f>
        <v>体育館</v>
      </c>
      <c r="K6645" s="7" t="str">
        <f>"鉄筋コンクリート造"</f>
        <v>鉄筋コンクリート造</v>
      </c>
      <c r="L6645" s="7" t="str">
        <f>"S47.03.31"</f>
        <v>S47.03.31</v>
      </c>
      <c r="M6645" s="7">
        <v>2022.07</v>
      </c>
      <c r="N6645" s="7">
        <v>180073529</v>
      </c>
      <c r="O6645" s="7">
        <v>123999985</v>
      </c>
      <c r="P6645" s="7">
        <v>0</v>
      </c>
      <c r="Q6645" s="7" t="str">
        <f t="shared" si="2408"/>
        <v>教育庁</v>
      </c>
      <c r="R6645" s="7" t="str">
        <f t="shared" si="2417"/>
        <v>懐風館高等学校</v>
      </c>
    </row>
    <row r="6646" spans="1:18" s="1" customFormat="1" x14ac:dyDescent="0.45">
      <c r="A6646" s="7" t="str">
        <f t="shared" si="2414"/>
        <v>10434000000</v>
      </c>
      <c r="B6646" s="7" t="str">
        <f t="shared" si="2415"/>
        <v>懐風館高等学校</v>
      </c>
      <c r="C6646" s="7" t="str">
        <f t="shared" si="2398"/>
        <v>行政財産</v>
      </c>
      <c r="D6646" s="7" t="str">
        <f t="shared" si="2392"/>
        <v>学校</v>
      </c>
      <c r="E6646" s="7" t="str">
        <f t="shared" si="2416"/>
        <v>大阪府羽曳野市大黒</v>
      </c>
      <c r="F6646" s="7"/>
      <c r="G6646" s="7" t="str">
        <f t="shared" si="2403"/>
        <v>事業用資産</v>
      </c>
      <c r="H6646" s="7" t="str">
        <f t="shared" si="2393"/>
        <v>棚卸以外</v>
      </c>
      <c r="I6646" s="7">
        <v>12</v>
      </c>
      <c r="J6646" s="7" t="str">
        <f>"プール附属棟"</f>
        <v>プール附属棟</v>
      </c>
      <c r="K6646" s="7" t="str">
        <f>"レンガ、石積造"</f>
        <v>レンガ、石積造</v>
      </c>
      <c r="L6646" s="7" t="str">
        <f>"S47.08.10"</f>
        <v>S47.08.10</v>
      </c>
      <c r="M6646" s="7">
        <v>128.4</v>
      </c>
      <c r="N6646" s="7">
        <v>11410000</v>
      </c>
      <c r="O6646" s="7">
        <v>11409999</v>
      </c>
      <c r="P6646" s="7">
        <v>0</v>
      </c>
      <c r="Q6646" s="7" t="str">
        <f t="shared" si="2408"/>
        <v>教育庁</v>
      </c>
      <c r="R6646" s="7" t="str">
        <f t="shared" si="2417"/>
        <v>懐風館高等学校</v>
      </c>
    </row>
    <row r="6647" spans="1:18" s="1" customFormat="1" x14ac:dyDescent="0.45">
      <c r="A6647" s="7" t="str">
        <f t="shared" si="2414"/>
        <v>10434000000</v>
      </c>
      <c r="B6647" s="7" t="str">
        <f t="shared" si="2415"/>
        <v>懐風館高等学校</v>
      </c>
      <c r="C6647" s="7" t="str">
        <f t="shared" si="2398"/>
        <v>行政財産</v>
      </c>
      <c r="D6647" s="7" t="str">
        <f t="shared" si="2392"/>
        <v>学校</v>
      </c>
      <c r="E6647" s="7" t="str">
        <f t="shared" si="2416"/>
        <v>大阪府羽曳野市大黒</v>
      </c>
      <c r="F6647" s="7"/>
      <c r="G6647" s="7" t="str">
        <f t="shared" si="2403"/>
        <v>事業用資産</v>
      </c>
      <c r="H6647" s="7" t="str">
        <f t="shared" si="2393"/>
        <v>棚卸以外</v>
      </c>
      <c r="I6647" s="7">
        <v>13</v>
      </c>
      <c r="J6647" s="7" t="str">
        <f>"汚水処理場"</f>
        <v>汚水処理場</v>
      </c>
      <c r="K6647" s="7" t="str">
        <f>"鉄筋コンクリート造"</f>
        <v>鉄筋コンクリート造</v>
      </c>
      <c r="L6647" s="7" t="str">
        <f>"S47.07.31"</f>
        <v>S47.07.31</v>
      </c>
      <c r="M6647" s="7">
        <v>210.59</v>
      </c>
      <c r="N6647" s="7">
        <v>50599000</v>
      </c>
      <c r="O6647" s="7">
        <v>50598999</v>
      </c>
      <c r="P6647" s="7">
        <v>0</v>
      </c>
      <c r="Q6647" s="7" t="str">
        <f t="shared" si="2408"/>
        <v>教育庁</v>
      </c>
      <c r="R6647" s="7" t="str">
        <f t="shared" si="2417"/>
        <v>懐風館高等学校</v>
      </c>
    </row>
    <row r="6648" spans="1:18" s="1" customFormat="1" x14ac:dyDescent="0.45">
      <c r="A6648" s="7" t="str">
        <f t="shared" si="2414"/>
        <v>10434000000</v>
      </c>
      <c r="B6648" s="7" t="str">
        <f t="shared" si="2415"/>
        <v>懐風館高等学校</v>
      </c>
      <c r="C6648" s="7" t="str">
        <f t="shared" si="2398"/>
        <v>行政財産</v>
      </c>
      <c r="D6648" s="7" t="str">
        <f t="shared" si="2392"/>
        <v>学校</v>
      </c>
      <c r="E6648" s="7" t="str">
        <f t="shared" si="2416"/>
        <v>大阪府羽曳野市大黒</v>
      </c>
      <c r="F6648" s="7"/>
      <c r="G6648" s="7" t="str">
        <f t="shared" si="2403"/>
        <v>事業用資産</v>
      </c>
      <c r="H6648" s="7" t="str">
        <f t="shared" si="2393"/>
        <v>棚卸以外</v>
      </c>
      <c r="I6648" s="7">
        <v>14</v>
      </c>
      <c r="J6648" s="7" t="str">
        <f>"特別教室棟（南棟）"</f>
        <v>特別教室棟（南棟）</v>
      </c>
      <c r="K6648" s="7" t="str">
        <f>"鉄筋コンクリート造"</f>
        <v>鉄筋コンクリート造</v>
      </c>
      <c r="L6648" s="7" t="str">
        <f t="shared" ref="L6648:L6653" si="2418">"S48.03.15"</f>
        <v>S48.03.15</v>
      </c>
      <c r="M6648" s="7">
        <v>1920.11</v>
      </c>
      <c r="N6648" s="7">
        <v>111988732</v>
      </c>
      <c r="O6648" s="7">
        <v>96669517</v>
      </c>
      <c r="P6648" s="7">
        <v>0</v>
      </c>
      <c r="Q6648" s="7" t="str">
        <f t="shared" si="2408"/>
        <v>教育庁</v>
      </c>
      <c r="R6648" s="7" t="str">
        <f t="shared" si="2417"/>
        <v>懐風館高等学校</v>
      </c>
    </row>
    <row r="6649" spans="1:18" s="1" customFormat="1" x14ac:dyDescent="0.45">
      <c r="A6649" s="7" t="str">
        <f t="shared" si="2414"/>
        <v>10434000000</v>
      </c>
      <c r="B6649" s="7" t="str">
        <f t="shared" si="2415"/>
        <v>懐風館高等学校</v>
      </c>
      <c r="C6649" s="7" t="str">
        <f t="shared" si="2398"/>
        <v>行政財産</v>
      </c>
      <c r="D6649" s="7" t="str">
        <f t="shared" si="2392"/>
        <v>学校</v>
      </c>
      <c r="E6649" s="7" t="str">
        <f t="shared" si="2416"/>
        <v>大阪府羽曳野市大黒</v>
      </c>
      <c r="F6649" s="7"/>
      <c r="G6649" s="7" t="str">
        <f t="shared" si="2403"/>
        <v>事業用資産</v>
      </c>
      <c r="H6649" s="7" t="str">
        <f t="shared" si="2393"/>
        <v>棚卸以外</v>
      </c>
      <c r="I6649" s="7">
        <v>15</v>
      </c>
      <c r="J6649" s="7" t="str">
        <f>"食堂棟（東棟）"</f>
        <v>食堂棟（東棟）</v>
      </c>
      <c r="K6649" s="7" t="str">
        <f>"鉄筋コンクリート造"</f>
        <v>鉄筋コンクリート造</v>
      </c>
      <c r="L6649" s="7" t="str">
        <f t="shared" si="2418"/>
        <v>S48.03.15</v>
      </c>
      <c r="M6649" s="7">
        <v>652.28</v>
      </c>
      <c r="N6649" s="7">
        <v>28331554</v>
      </c>
      <c r="O6649" s="7">
        <v>27906971</v>
      </c>
      <c r="P6649" s="7">
        <v>0</v>
      </c>
      <c r="Q6649" s="7" t="str">
        <f t="shared" si="2408"/>
        <v>教育庁</v>
      </c>
      <c r="R6649" s="7" t="str">
        <f t="shared" si="2417"/>
        <v>懐風館高等学校</v>
      </c>
    </row>
    <row r="6650" spans="1:18" s="1" customFormat="1" x14ac:dyDescent="0.45">
      <c r="A6650" s="7" t="str">
        <f t="shared" si="2414"/>
        <v>10434000000</v>
      </c>
      <c r="B6650" s="7" t="str">
        <f t="shared" si="2415"/>
        <v>懐風館高等学校</v>
      </c>
      <c r="C6650" s="7" t="str">
        <f t="shared" si="2398"/>
        <v>行政財産</v>
      </c>
      <c r="D6650" s="7" t="str">
        <f t="shared" si="2392"/>
        <v>学校</v>
      </c>
      <c r="E6650" s="7" t="str">
        <f t="shared" si="2416"/>
        <v>大阪府羽曳野市大黒</v>
      </c>
      <c r="F6650" s="7"/>
      <c r="G6650" s="7" t="str">
        <f t="shared" si="2403"/>
        <v>事業用資産</v>
      </c>
      <c r="H6650" s="7" t="str">
        <f t="shared" si="2393"/>
        <v>棚卸以外</v>
      </c>
      <c r="I6650" s="7">
        <v>16</v>
      </c>
      <c r="J6650" s="7" t="str">
        <f>"渡り廊下"</f>
        <v>渡り廊下</v>
      </c>
      <c r="K6650" s="7" t="str">
        <f>"鉄筋コンクリート造"</f>
        <v>鉄筋コンクリート造</v>
      </c>
      <c r="L6650" s="7" t="str">
        <f t="shared" si="2418"/>
        <v>S48.03.15</v>
      </c>
      <c r="M6650" s="7">
        <v>183</v>
      </c>
      <c r="N6650" s="7">
        <v>6769000</v>
      </c>
      <c r="O6650" s="7">
        <v>6768999</v>
      </c>
      <c r="P6650" s="7">
        <v>0</v>
      </c>
      <c r="Q6650" s="7" t="str">
        <f t="shared" si="2408"/>
        <v>教育庁</v>
      </c>
      <c r="R6650" s="7" t="str">
        <f t="shared" si="2417"/>
        <v>懐風館高等学校</v>
      </c>
    </row>
    <row r="6651" spans="1:18" s="1" customFormat="1" x14ac:dyDescent="0.45">
      <c r="A6651" s="7" t="str">
        <f t="shared" si="2414"/>
        <v>10434000000</v>
      </c>
      <c r="B6651" s="7" t="str">
        <f t="shared" si="2415"/>
        <v>懐風館高等学校</v>
      </c>
      <c r="C6651" s="7" t="str">
        <f t="shared" si="2398"/>
        <v>行政財産</v>
      </c>
      <c r="D6651" s="7" t="str">
        <f t="shared" si="2392"/>
        <v>学校</v>
      </c>
      <c r="E6651" s="7" t="str">
        <f t="shared" si="2416"/>
        <v>大阪府羽曳野市大黒</v>
      </c>
      <c r="F6651" s="7"/>
      <c r="G6651" s="7" t="str">
        <f t="shared" si="2403"/>
        <v>事業用資産</v>
      </c>
      <c r="H6651" s="7" t="str">
        <f t="shared" si="2393"/>
        <v>棚卸以外</v>
      </c>
      <c r="I6651" s="7">
        <v>17</v>
      </c>
      <c r="J6651" s="7" t="str">
        <f>"渡り廊下"</f>
        <v>渡り廊下</v>
      </c>
      <c r="K6651" s="7" t="str">
        <f>"鉄筋コンクリート造"</f>
        <v>鉄筋コンクリート造</v>
      </c>
      <c r="L6651" s="7" t="str">
        <f t="shared" si="2418"/>
        <v>S48.03.15</v>
      </c>
      <c r="M6651" s="7">
        <v>79.94</v>
      </c>
      <c r="N6651" s="7">
        <v>6897485</v>
      </c>
      <c r="O6651" s="7">
        <v>6367299</v>
      </c>
      <c r="P6651" s="7">
        <v>0</v>
      </c>
      <c r="Q6651" s="7" t="str">
        <f t="shared" si="2408"/>
        <v>教育庁</v>
      </c>
      <c r="R6651" s="7" t="str">
        <f t="shared" si="2417"/>
        <v>懐風館高等学校</v>
      </c>
    </row>
    <row r="6652" spans="1:18" s="1" customFormat="1" x14ac:dyDescent="0.45">
      <c r="A6652" s="7" t="str">
        <f t="shared" si="2414"/>
        <v>10434000000</v>
      </c>
      <c r="B6652" s="7" t="str">
        <f t="shared" si="2415"/>
        <v>懐風館高等学校</v>
      </c>
      <c r="C6652" s="7" t="str">
        <f t="shared" si="2398"/>
        <v>行政財産</v>
      </c>
      <c r="D6652" s="7" t="str">
        <f t="shared" si="2392"/>
        <v>学校</v>
      </c>
      <c r="E6652" s="7" t="str">
        <f t="shared" si="2416"/>
        <v>大阪府羽曳野市大黒</v>
      </c>
      <c r="F6652" s="7"/>
      <c r="G6652" s="7" t="str">
        <f t="shared" si="2403"/>
        <v>事業用資産</v>
      </c>
      <c r="H6652" s="7" t="str">
        <f t="shared" si="2393"/>
        <v>棚卸以外</v>
      </c>
      <c r="I6652" s="7">
        <v>18</v>
      </c>
      <c r="J6652" s="7" t="str">
        <f>"自転車置場"</f>
        <v>自転車置場</v>
      </c>
      <c r="K6652" s="7" t="str">
        <f>"軽量鉄骨造"</f>
        <v>軽量鉄骨造</v>
      </c>
      <c r="L6652" s="7" t="str">
        <f t="shared" si="2418"/>
        <v>S48.03.15</v>
      </c>
      <c r="M6652" s="7">
        <v>97.5</v>
      </c>
      <c r="N6652" s="7">
        <v>1037000</v>
      </c>
      <c r="O6652" s="7">
        <v>1036999</v>
      </c>
      <c r="P6652" s="7">
        <v>0</v>
      </c>
      <c r="Q6652" s="7" t="str">
        <f t="shared" si="2408"/>
        <v>教育庁</v>
      </c>
      <c r="R6652" s="7" t="str">
        <f t="shared" si="2417"/>
        <v>懐風館高等学校</v>
      </c>
    </row>
    <row r="6653" spans="1:18" s="1" customFormat="1" x14ac:dyDescent="0.45">
      <c r="A6653" s="7" t="str">
        <f t="shared" si="2414"/>
        <v>10434000000</v>
      </c>
      <c r="B6653" s="7" t="str">
        <f t="shared" si="2415"/>
        <v>懐風館高等学校</v>
      </c>
      <c r="C6653" s="7" t="str">
        <f t="shared" si="2398"/>
        <v>行政財産</v>
      </c>
      <c r="D6653" s="7" t="str">
        <f t="shared" si="2392"/>
        <v>学校</v>
      </c>
      <c r="E6653" s="7" t="str">
        <f t="shared" si="2416"/>
        <v>大阪府羽曳野市大黒</v>
      </c>
      <c r="F6653" s="7"/>
      <c r="G6653" s="7" t="str">
        <f t="shared" si="2403"/>
        <v>事業用資産</v>
      </c>
      <c r="H6653" s="7" t="str">
        <f t="shared" si="2393"/>
        <v>棚卸以外</v>
      </c>
      <c r="I6653" s="7">
        <v>19</v>
      </c>
      <c r="J6653" s="7" t="str">
        <f>"クラブ倉庫"</f>
        <v>クラブ倉庫</v>
      </c>
      <c r="K6653" s="7" t="str">
        <f>"軽量鉄骨造"</f>
        <v>軽量鉄骨造</v>
      </c>
      <c r="L6653" s="7" t="str">
        <f t="shared" si="2418"/>
        <v>S48.03.15</v>
      </c>
      <c r="M6653" s="7">
        <v>100</v>
      </c>
      <c r="N6653" s="7">
        <v>3430000</v>
      </c>
      <c r="O6653" s="7">
        <v>3429999</v>
      </c>
      <c r="P6653" s="7">
        <v>0</v>
      </c>
      <c r="Q6653" s="7" t="str">
        <f t="shared" si="2408"/>
        <v>教育庁</v>
      </c>
      <c r="R6653" s="7" t="str">
        <f t="shared" si="2417"/>
        <v>懐風館高等学校</v>
      </c>
    </row>
    <row r="6654" spans="1:18" s="1" customFormat="1" x14ac:dyDescent="0.45">
      <c r="A6654" s="7" t="str">
        <f t="shared" si="2414"/>
        <v>10434000000</v>
      </c>
      <c r="B6654" s="7" t="str">
        <f t="shared" si="2415"/>
        <v>懐風館高等学校</v>
      </c>
      <c r="C6654" s="7" t="str">
        <f t="shared" si="2398"/>
        <v>行政財産</v>
      </c>
      <c r="D6654" s="7" t="str">
        <f t="shared" si="2392"/>
        <v>学校</v>
      </c>
      <c r="E6654" s="7" t="str">
        <f t="shared" si="2416"/>
        <v>大阪府羽曳野市大黒</v>
      </c>
      <c r="F6654" s="7"/>
      <c r="G6654" s="7" t="str">
        <f t="shared" si="2403"/>
        <v>事業用資産</v>
      </c>
      <c r="H6654" s="7" t="str">
        <f t="shared" si="2393"/>
        <v>棚卸以外</v>
      </c>
      <c r="I6654" s="7">
        <v>20</v>
      </c>
      <c r="J6654" s="7" t="str">
        <f>"自転車置場"</f>
        <v>自転車置場</v>
      </c>
      <c r="K6654" s="7" t="str">
        <f>"鉄骨造"</f>
        <v>鉄骨造</v>
      </c>
      <c r="L6654" s="7" t="str">
        <f>"S48.11.28"</f>
        <v>S48.11.28</v>
      </c>
      <c r="M6654" s="7">
        <v>30</v>
      </c>
      <c r="N6654" s="7">
        <v>721000</v>
      </c>
      <c r="O6654" s="7">
        <v>720999</v>
      </c>
      <c r="P6654" s="7">
        <v>0</v>
      </c>
      <c r="Q6654" s="7" t="str">
        <f t="shared" si="2408"/>
        <v>教育庁</v>
      </c>
      <c r="R6654" s="7" t="str">
        <f t="shared" si="2417"/>
        <v>懐風館高等学校</v>
      </c>
    </row>
    <row r="6655" spans="1:18" s="1" customFormat="1" x14ac:dyDescent="0.45">
      <c r="A6655" s="7" t="str">
        <f t="shared" si="2414"/>
        <v>10434000000</v>
      </c>
      <c r="B6655" s="7" t="str">
        <f t="shared" si="2415"/>
        <v>懐風館高等学校</v>
      </c>
      <c r="C6655" s="7" t="str">
        <f t="shared" si="2398"/>
        <v>行政財産</v>
      </c>
      <c r="D6655" s="7" t="str">
        <f t="shared" si="2392"/>
        <v>学校</v>
      </c>
      <c r="E6655" s="7" t="str">
        <f t="shared" si="2416"/>
        <v>大阪府羽曳野市大黒</v>
      </c>
      <c r="F6655" s="7"/>
      <c r="G6655" s="7" t="str">
        <f t="shared" si="2403"/>
        <v>事業用資産</v>
      </c>
      <c r="H6655" s="7" t="str">
        <f t="shared" si="2393"/>
        <v>棚卸以外</v>
      </c>
      <c r="I6655" s="7">
        <v>21</v>
      </c>
      <c r="J6655" s="7" t="str">
        <f>"自転車置場"</f>
        <v>自転車置場</v>
      </c>
      <c r="K6655" s="7" t="str">
        <f>"鉄骨造"</f>
        <v>鉄骨造</v>
      </c>
      <c r="L6655" s="7" t="str">
        <f>"S48.11.28"</f>
        <v>S48.11.28</v>
      </c>
      <c r="M6655" s="7">
        <v>22.5</v>
      </c>
      <c r="N6655" s="7">
        <v>540000</v>
      </c>
      <c r="O6655" s="7">
        <v>539999</v>
      </c>
      <c r="P6655" s="7">
        <v>0</v>
      </c>
      <c r="Q6655" s="7" t="str">
        <f t="shared" si="2408"/>
        <v>教育庁</v>
      </c>
      <c r="R6655" s="7" t="str">
        <f t="shared" si="2417"/>
        <v>懐風館高等学校</v>
      </c>
    </row>
    <row r="6656" spans="1:18" s="1" customFormat="1" x14ac:dyDescent="0.45">
      <c r="A6656" s="7" t="str">
        <f t="shared" si="2414"/>
        <v>10434000000</v>
      </c>
      <c r="B6656" s="7" t="str">
        <f t="shared" si="2415"/>
        <v>懐風館高等学校</v>
      </c>
      <c r="C6656" s="7" t="str">
        <f t="shared" si="2398"/>
        <v>行政財産</v>
      </c>
      <c r="D6656" s="7" t="str">
        <f t="shared" si="2392"/>
        <v>学校</v>
      </c>
      <c r="E6656" s="7" t="str">
        <f t="shared" si="2416"/>
        <v>大阪府羽曳野市大黒</v>
      </c>
      <c r="F6656" s="7"/>
      <c r="G6656" s="7" t="str">
        <f t="shared" si="2403"/>
        <v>事業用資産</v>
      </c>
      <c r="H6656" s="7" t="str">
        <f t="shared" si="2393"/>
        <v>棚卸以外</v>
      </c>
      <c r="I6656" s="7">
        <v>22</v>
      </c>
      <c r="J6656" s="7" t="str">
        <f>"第２体育館"</f>
        <v>第２体育館</v>
      </c>
      <c r="K6656" s="7" t="str">
        <f>"鉄筋コンクリート造"</f>
        <v>鉄筋コンクリート造</v>
      </c>
      <c r="L6656" s="7" t="str">
        <f>"S50.04.30"</f>
        <v>S50.04.30</v>
      </c>
      <c r="M6656" s="7">
        <v>544</v>
      </c>
      <c r="N6656" s="7">
        <v>78576401</v>
      </c>
      <c r="O6656" s="7">
        <v>69296023</v>
      </c>
      <c r="P6656" s="7">
        <v>0</v>
      </c>
      <c r="Q6656" s="7" t="str">
        <f t="shared" si="2408"/>
        <v>教育庁</v>
      </c>
      <c r="R6656" s="7" t="str">
        <f t="shared" si="2417"/>
        <v>懐風館高等学校</v>
      </c>
    </row>
    <row r="6657" spans="1:18" s="1" customFormat="1" x14ac:dyDescent="0.45">
      <c r="A6657" s="7" t="str">
        <f t="shared" ref="A6657:A6672" si="2419">"10466000000"</f>
        <v>10466000000</v>
      </c>
      <c r="B6657" s="7" t="str">
        <f t="shared" ref="B6657:B6672" si="2420">"りんくう翔南高等学校"</f>
        <v>りんくう翔南高等学校</v>
      </c>
      <c r="C6657" s="7" t="str">
        <f t="shared" si="2398"/>
        <v>行政財産</v>
      </c>
      <c r="D6657" s="7" t="str">
        <f t="shared" si="2392"/>
        <v>学校</v>
      </c>
      <c r="E6657" s="7" t="str">
        <f t="shared" ref="E6657:E6672" si="2421">"大阪府泉南市樽井２丁目"</f>
        <v>大阪府泉南市樽井２丁目</v>
      </c>
      <c r="F6657" s="7"/>
      <c r="G6657" s="7" t="str">
        <f t="shared" si="2403"/>
        <v>事業用資産</v>
      </c>
      <c r="H6657" s="7" t="str">
        <f t="shared" si="2393"/>
        <v>棚卸以外</v>
      </c>
      <c r="I6657" s="7">
        <v>24</v>
      </c>
      <c r="J6657" s="7" t="str">
        <f>"第５教棟"</f>
        <v>第５教棟</v>
      </c>
      <c r="K6657" s="7" t="str">
        <f>"鉄筋コンクリート造"</f>
        <v>鉄筋コンクリート造</v>
      </c>
      <c r="L6657" s="7" t="str">
        <f>"S38.01.31"</f>
        <v>S38.01.31</v>
      </c>
      <c r="M6657" s="7">
        <v>1597.27</v>
      </c>
      <c r="N6657" s="7">
        <v>126921782</v>
      </c>
      <c r="O6657" s="7">
        <v>93561112</v>
      </c>
      <c r="P6657" s="7">
        <v>0</v>
      </c>
      <c r="Q6657" s="7" t="str">
        <f t="shared" si="2408"/>
        <v>教育庁</v>
      </c>
      <c r="R6657" s="7" t="str">
        <f t="shared" ref="R6657:R6672" si="2422">"りんくう翔南高等学校"</f>
        <v>りんくう翔南高等学校</v>
      </c>
    </row>
    <row r="6658" spans="1:18" s="1" customFormat="1" x14ac:dyDescent="0.45">
      <c r="A6658" s="7" t="str">
        <f t="shared" si="2419"/>
        <v>10466000000</v>
      </c>
      <c r="B6658" s="7" t="str">
        <f t="shared" si="2420"/>
        <v>りんくう翔南高等学校</v>
      </c>
      <c r="C6658" s="7" t="str">
        <f t="shared" si="2398"/>
        <v>行政財産</v>
      </c>
      <c r="D6658" s="7" t="str">
        <f t="shared" si="2392"/>
        <v>学校</v>
      </c>
      <c r="E6658" s="7" t="str">
        <f t="shared" si="2421"/>
        <v>大阪府泉南市樽井２丁目</v>
      </c>
      <c r="F6658" s="7"/>
      <c r="G6658" s="7" t="str">
        <f t="shared" si="2403"/>
        <v>事業用資産</v>
      </c>
      <c r="H6658" s="7" t="str">
        <f t="shared" si="2393"/>
        <v>棚卸以外</v>
      </c>
      <c r="I6658" s="7">
        <v>28</v>
      </c>
      <c r="J6658" s="7" t="str">
        <f>"ポンプ室．水槽"</f>
        <v>ポンプ室．水槽</v>
      </c>
      <c r="K6658" s="7" t="str">
        <f>"鉄筋コンクリート造"</f>
        <v>鉄筋コンクリート造</v>
      </c>
      <c r="L6658" s="7" t="str">
        <f>"S39.01.31"</f>
        <v>S39.01.31</v>
      </c>
      <c r="M6658" s="7">
        <v>17.98</v>
      </c>
      <c r="N6658" s="7">
        <v>1185140</v>
      </c>
      <c r="O6658" s="7">
        <v>1185139</v>
      </c>
      <c r="P6658" s="7">
        <v>0</v>
      </c>
      <c r="Q6658" s="7" t="str">
        <f t="shared" si="2408"/>
        <v>教育庁</v>
      </c>
      <c r="R6658" s="7" t="str">
        <f t="shared" si="2422"/>
        <v>りんくう翔南高等学校</v>
      </c>
    </row>
    <row r="6659" spans="1:18" s="1" customFormat="1" x14ac:dyDescent="0.45">
      <c r="A6659" s="7" t="str">
        <f t="shared" si="2419"/>
        <v>10466000000</v>
      </c>
      <c r="B6659" s="7" t="str">
        <f t="shared" si="2420"/>
        <v>りんくう翔南高等学校</v>
      </c>
      <c r="C6659" s="7" t="str">
        <f t="shared" si="2398"/>
        <v>行政財産</v>
      </c>
      <c r="D6659" s="7" t="str">
        <f t="shared" si="2392"/>
        <v>学校</v>
      </c>
      <c r="E6659" s="7" t="str">
        <f t="shared" si="2421"/>
        <v>大阪府泉南市樽井２丁目</v>
      </c>
      <c r="F6659" s="7"/>
      <c r="G6659" s="7" t="str">
        <f t="shared" si="2403"/>
        <v>事業用資産</v>
      </c>
      <c r="H6659" s="7" t="str">
        <f t="shared" si="2393"/>
        <v>棚卸以外</v>
      </c>
      <c r="I6659" s="7">
        <v>40</v>
      </c>
      <c r="J6659" s="7" t="str">
        <f>"保健室"</f>
        <v>保健室</v>
      </c>
      <c r="K6659" s="7" t="str">
        <f>"鉄筋コンクリート造"</f>
        <v>鉄筋コンクリート造</v>
      </c>
      <c r="L6659" s="7" t="str">
        <f>"S41.12.26"</f>
        <v>S41.12.26</v>
      </c>
      <c r="M6659" s="7">
        <v>64.8</v>
      </c>
      <c r="N6659" s="7">
        <v>3839000</v>
      </c>
      <c r="O6659" s="7">
        <v>3838998</v>
      </c>
      <c r="P6659" s="7">
        <v>0</v>
      </c>
      <c r="Q6659" s="7" t="str">
        <f t="shared" si="2408"/>
        <v>教育庁</v>
      </c>
      <c r="R6659" s="7" t="str">
        <f t="shared" si="2422"/>
        <v>りんくう翔南高等学校</v>
      </c>
    </row>
    <row r="6660" spans="1:18" s="1" customFormat="1" x14ac:dyDescent="0.45">
      <c r="A6660" s="7" t="str">
        <f t="shared" si="2419"/>
        <v>10466000000</v>
      </c>
      <c r="B6660" s="7" t="str">
        <f t="shared" si="2420"/>
        <v>りんくう翔南高等学校</v>
      </c>
      <c r="C6660" s="7" t="str">
        <f t="shared" si="2398"/>
        <v>行政財産</v>
      </c>
      <c r="D6660" s="7" t="str">
        <f t="shared" ref="D6660:D6723" si="2423">"学校"</f>
        <v>学校</v>
      </c>
      <c r="E6660" s="7" t="str">
        <f t="shared" si="2421"/>
        <v>大阪府泉南市樽井２丁目</v>
      </c>
      <c r="F6660" s="7"/>
      <c r="G6660" s="7" t="str">
        <f t="shared" si="2403"/>
        <v>事業用資産</v>
      </c>
      <c r="H6660" s="7" t="str">
        <f t="shared" ref="H6660:H6723" si="2424">"棚卸以外"</f>
        <v>棚卸以外</v>
      </c>
      <c r="I6660" s="7">
        <v>41</v>
      </c>
      <c r="J6660" s="7" t="str">
        <f>"プール附属屋"</f>
        <v>プール附属屋</v>
      </c>
      <c r="K6660" s="7" t="str">
        <f>"コンクリートブロック造"</f>
        <v>コンクリートブロック造</v>
      </c>
      <c r="L6660" s="7" t="str">
        <f>"S42.08.23"</f>
        <v>S42.08.23</v>
      </c>
      <c r="M6660" s="7">
        <v>108.9</v>
      </c>
      <c r="N6660" s="7">
        <v>2879910</v>
      </c>
      <c r="O6660" s="7">
        <v>2831263</v>
      </c>
      <c r="P6660" s="7">
        <v>0</v>
      </c>
      <c r="Q6660" s="7" t="str">
        <f t="shared" si="2408"/>
        <v>教育庁</v>
      </c>
      <c r="R6660" s="7" t="str">
        <f t="shared" si="2422"/>
        <v>りんくう翔南高等学校</v>
      </c>
    </row>
    <row r="6661" spans="1:18" s="1" customFormat="1" x14ac:dyDescent="0.45">
      <c r="A6661" s="7" t="str">
        <f t="shared" si="2419"/>
        <v>10466000000</v>
      </c>
      <c r="B6661" s="7" t="str">
        <f t="shared" si="2420"/>
        <v>りんくう翔南高等学校</v>
      </c>
      <c r="C6661" s="7" t="str">
        <f t="shared" si="2398"/>
        <v>行政財産</v>
      </c>
      <c r="D6661" s="7" t="str">
        <f t="shared" si="2423"/>
        <v>学校</v>
      </c>
      <c r="E6661" s="7" t="str">
        <f t="shared" si="2421"/>
        <v>大阪府泉南市樽井２丁目</v>
      </c>
      <c r="F6661" s="7"/>
      <c r="G6661" s="7" t="str">
        <f t="shared" si="2403"/>
        <v>事業用資産</v>
      </c>
      <c r="H6661" s="7" t="str">
        <f t="shared" si="2424"/>
        <v>棚卸以外</v>
      </c>
      <c r="I6661" s="7">
        <v>43</v>
      </c>
      <c r="J6661" s="7" t="str">
        <f>"第１教棟"</f>
        <v>第１教棟</v>
      </c>
      <c r="K6661" s="7" t="str">
        <f>"鉄筋コンクリート造"</f>
        <v>鉄筋コンクリート造</v>
      </c>
      <c r="L6661" s="7" t="str">
        <f>"S44.02.20"</f>
        <v>S44.02.20</v>
      </c>
      <c r="M6661" s="7">
        <v>2520</v>
      </c>
      <c r="N6661" s="7">
        <v>137082253</v>
      </c>
      <c r="O6661" s="7">
        <v>101405712</v>
      </c>
      <c r="P6661" s="7">
        <v>0</v>
      </c>
      <c r="Q6661" s="7" t="str">
        <f t="shared" si="2408"/>
        <v>教育庁</v>
      </c>
      <c r="R6661" s="7" t="str">
        <f t="shared" si="2422"/>
        <v>りんくう翔南高等学校</v>
      </c>
    </row>
    <row r="6662" spans="1:18" s="1" customFormat="1" x14ac:dyDescent="0.45">
      <c r="A6662" s="7" t="str">
        <f t="shared" si="2419"/>
        <v>10466000000</v>
      </c>
      <c r="B6662" s="7" t="str">
        <f t="shared" si="2420"/>
        <v>りんくう翔南高等学校</v>
      </c>
      <c r="C6662" s="7" t="str">
        <f t="shared" si="2398"/>
        <v>行政財産</v>
      </c>
      <c r="D6662" s="7" t="str">
        <f t="shared" si="2423"/>
        <v>学校</v>
      </c>
      <c r="E6662" s="7" t="str">
        <f t="shared" si="2421"/>
        <v>大阪府泉南市樽井２丁目</v>
      </c>
      <c r="F6662" s="7"/>
      <c r="G6662" s="7" t="str">
        <f t="shared" si="2403"/>
        <v>事業用資産</v>
      </c>
      <c r="H6662" s="7" t="str">
        <f t="shared" si="2424"/>
        <v>棚卸以外</v>
      </c>
      <c r="I6662" s="7">
        <v>48</v>
      </c>
      <c r="J6662" s="7" t="str">
        <f>"第２教棟"</f>
        <v>第２教棟</v>
      </c>
      <c r="K6662" s="7" t="str">
        <f>"鉄筋コンクリート造"</f>
        <v>鉄筋コンクリート造</v>
      </c>
      <c r="L6662" s="7" t="str">
        <f>"S45.03.28"</f>
        <v>S45.03.28</v>
      </c>
      <c r="M6662" s="7">
        <v>2764.24</v>
      </c>
      <c r="N6662" s="7">
        <v>225629214</v>
      </c>
      <c r="O6662" s="7">
        <v>178838938</v>
      </c>
      <c r="P6662" s="7">
        <v>0</v>
      </c>
      <c r="Q6662" s="7" t="str">
        <f t="shared" si="2408"/>
        <v>教育庁</v>
      </c>
      <c r="R6662" s="7" t="str">
        <f t="shared" si="2422"/>
        <v>りんくう翔南高等学校</v>
      </c>
    </row>
    <row r="6663" spans="1:18" s="1" customFormat="1" x14ac:dyDescent="0.45">
      <c r="A6663" s="7" t="str">
        <f t="shared" si="2419"/>
        <v>10466000000</v>
      </c>
      <c r="B6663" s="7" t="str">
        <f t="shared" si="2420"/>
        <v>りんくう翔南高等学校</v>
      </c>
      <c r="C6663" s="7" t="str">
        <f t="shared" si="2398"/>
        <v>行政財産</v>
      </c>
      <c r="D6663" s="7" t="str">
        <f t="shared" si="2423"/>
        <v>学校</v>
      </c>
      <c r="E6663" s="7" t="str">
        <f t="shared" si="2421"/>
        <v>大阪府泉南市樽井２丁目</v>
      </c>
      <c r="F6663" s="7"/>
      <c r="G6663" s="7" t="str">
        <f t="shared" si="2403"/>
        <v>事業用資産</v>
      </c>
      <c r="H6663" s="7" t="str">
        <f t="shared" si="2424"/>
        <v>棚卸以外</v>
      </c>
      <c r="I6663" s="7">
        <v>49</v>
      </c>
      <c r="J6663" s="7" t="str">
        <f>"渡り廊下棟"</f>
        <v>渡り廊下棟</v>
      </c>
      <c r="K6663" s="7" t="str">
        <f>"鉄筋コンクリート造"</f>
        <v>鉄筋コンクリート造</v>
      </c>
      <c r="L6663" s="7" t="str">
        <f>"S45.03.28"</f>
        <v>S45.03.28</v>
      </c>
      <c r="M6663" s="7">
        <v>161.91999999999999</v>
      </c>
      <c r="N6663" s="7">
        <v>10324937</v>
      </c>
      <c r="O6663" s="7">
        <v>6214955</v>
      </c>
      <c r="P6663" s="7">
        <v>0</v>
      </c>
      <c r="Q6663" s="7" t="str">
        <f t="shared" si="2408"/>
        <v>教育庁</v>
      </c>
      <c r="R6663" s="7" t="str">
        <f t="shared" si="2422"/>
        <v>りんくう翔南高等学校</v>
      </c>
    </row>
    <row r="6664" spans="1:18" s="1" customFormat="1" x14ac:dyDescent="0.45">
      <c r="A6664" s="7" t="str">
        <f t="shared" si="2419"/>
        <v>10466000000</v>
      </c>
      <c r="B6664" s="7" t="str">
        <f t="shared" si="2420"/>
        <v>りんくう翔南高等学校</v>
      </c>
      <c r="C6664" s="7" t="str">
        <f t="shared" si="2398"/>
        <v>行政財産</v>
      </c>
      <c r="D6664" s="7" t="str">
        <f t="shared" si="2423"/>
        <v>学校</v>
      </c>
      <c r="E6664" s="7" t="str">
        <f t="shared" si="2421"/>
        <v>大阪府泉南市樽井２丁目</v>
      </c>
      <c r="F6664" s="7"/>
      <c r="G6664" s="7" t="str">
        <f t="shared" si="2403"/>
        <v>事業用資産</v>
      </c>
      <c r="H6664" s="7" t="str">
        <f t="shared" si="2424"/>
        <v>棚卸以外</v>
      </c>
      <c r="I6664" s="7">
        <v>51</v>
      </c>
      <c r="J6664" s="7" t="str">
        <f>"第３教棟"</f>
        <v>第３教棟</v>
      </c>
      <c r="K6664" s="7" t="str">
        <f>"鉄筋コンクリート造"</f>
        <v>鉄筋コンクリート造</v>
      </c>
      <c r="L6664" s="7" t="str">
        <f>"S47.03.20"</f>
        <v>S47.03.20</v>
      </c>
      <c r="M6664" s="7">
        <v>3710.38</v>
      </c>
      <c r="N6664" s="7">
        <v>214599261</v>
      </c>
      <c r="O6664" s="7">
        <v>176831959</v>
      </c>
      <c r="P6664" s="7">
        <v>0</v>
      </c>
      <c r="Q6664" s="7" t="str">
        <f t="shared" si="2408"/>
        <v>教育庁</v>
      </c>
      <c r="R6664" s="7" t="str">
        <f t="shared" si="2422"/>
        <v>りんくう翔南高等学校</v>
      </c>
    </row>
    <row r="6665" spans="1:18" s="1" customFormat="1" x14ac:dyDescent="0.45">
      <c r="A6665" s="7" t="str">
        <f t="shared" si="2419"/>
        <v>10466000000</v>
      </c>
      <c r="B6665" s="7" t="str">
        <f t="shared" si="2420"/>
        <v>りんくう翔南高等学校</v>
      </c>
      <c r="C6665" s="7" t="str">
        <f t="shared" si="2398"/>
        <v>行政財産</v>
      </c>
      <c r="D6665" s="7" t="str">
        <f t="shared" si="2423"/>
        <v>学校</v>
      </c>
      <c r="E6665" s="7" t="str">
        <f t="shared" si="2421"/>
        <v>大阪府泉南市樽井２丁目</v>
      </c>
      <c r="F6665" s="7"/>
      <c r="G6665" s="7" t="str">
        <f t="shared" si="2403"/>
        <v>事業用資産</v>
      </c>
      <c r="H6665" s="7" t="str">
        <f t="shared" si="2424"/>
        <v>棚卸以外</v>
      </c>
      <c r="I6665" s="7">
        <v>55</v>
      </c>
      <c r="J6665" s="7" t="str">
        <f>"ボンベ室"</f>
        <v>ボンベ室</v>
      </c>
      <c r="K6665" s="7" t="str">
        <f>"コンクリートブロック造"</f>
        <v>コンクリートブロック造</v>
      </c>
      <c r="L6665" s="7" t="str">
        <f>"S48.03.28"</f>
        <v>S48.03.28</v>
      </c>
      <c r="M6665" s="7">
        <v>17.079999999999998</v>
      </c>
      <c r="N6665" s="7">
        <v>247000</v>
      </c>
      <c r="O6665" s="7">
        <v>246999</v>
      </c>
      <c r="P6665" s="7">
        <v>0</v>
      </c>
      <c r="Q6665" s="7" t="str">
        <f t="shared" si="2408"/>
        <v>教育庁</v>
      </c>
      <c r="R6665" s="7" t="str">
        <f t="shared" si="2422"/>
        <v>りんくう翔南高等学校</v>
      </c>
    </row>
    <row r="6666" spans="1:18" s="1" customFormat="1" x14ac:dyDescent="0.45">
      <c r="A6666" s="7" t="str">
        <f t="shared" si="2419"/>
        <v>10466000000</v>
      </c>
      <c r="B6666" s="7" t="str">
        <f t="shared" si="2420"/>
        <v>りんくう翔南高等学校</v>
      </c>
      <c r="C6666" s="7" t="str">
        <f t="shared" si="2398"/>
        <v>行政財産</v>
      </c>
      <c r="D6666" s="7" t="str">
        <f t="shared" si="2423"/>
        <v>学校</v>
      </c>
      <c r="E6666" s="7" t="str">
        <f t="shared" si="2421"/>
        <v>大阪府泉南市樽井２丁目</v>
      </c>
      <c r="F6666" s="7"/>
      <c r="G6666" s="7" t="str">
        <f t="shared" si="2403"/>
        <v>事業用資産</v>
      </c>
      <c r="H6666" s="7" t="str">
        <f t="shared" si="2424"/>
        <v>棚卸以外</v>
      </c>
      <c r="I6666" s="7">
        <v>56</v>
      </c>
      <c r="J6666" s="7" t="str">
        <f>"女子更衣室"</f>
        <v>女子更衣室</v>
      </c>
      <c r="K6666" s="7" t="str">
        <f>"鉄骨造"</f>
        <v>鉄骨造</v>
      </c>
      <c r="L6666" s="7" t="str">
        <f>"S48.10.24"</f>
        <v>S48.10.24</v>
      </c>
      <c r="M6666" s="7">
        <v>120</v>
      </c>
      <c r="N6666" s="7">
        <v>4624000</v>
      </c>
      <c r="O6666" s="7">
        <v>4623999</v>
      </c>
      <c r="P6666" s="7">
        <v>0</v>
      </c>
      <c r="Q6666" s="7" t="str">
        <f t="shared" si="2408"/>
        <v>教育庁</v>
      </c>
      <c r="R6666" s="7" t="str">
        <f t="shared" si="2422"/>
        <v>りんくう翔南高等学校</v>
      </c>
    </row>
    <row r="6667" spans="1:18" s="1" customFormat="1" x14ac:dyDescent="0.45">
      <c r="A6667" s="7" t="str">
        <f t="shared" si="2419"/>
        <v>10466000000</v>
      </c>
      <c r="B6667" s="7" t="str">
        <f t="shared" si="2420"/>
        <v>りんくう翔南高等学校</v>
      </c>
      <c r="C6667" s="7" t="str">
        <f t="shared" si="2398"/>
        <v>行政財産</v>
      </c>
      <c r="D6667" s="7" t="str">
        <f t="shared" si="2423"/>
        <v>学校</v>
      </c>
      <c r="E6667" s="7" t="str">
        <f t="shared" si="2421"/>
        <v>大阪府泉南市樽井２丁目</v>
      </c>
      <c r="F6667" s="7"/>
      <c r="G6667" s="7" t="str">
        <f t="shared" si="2403"/>
        <v>事業用資産</v>
      </c>
      <c r="H6667" s="7" t="str">
        <f t="shared" si="2424"/>
        <v>棚卸以外</v>
      </c>
      <c r="I6667" s="7">
        <v>57</v>
      </c>
      <c r="J6667" s="7" t="str">
        <f>"体育教官室"</f>
        <v>体育教官室</v>
      </c>
      <c r="K6667" s="7" t="str">
        <f>"鉄骨造"</f>
        <v>鉄骨造</v>
      </c>
      <c r="L6667" s="7" t="str">
        <f>"S48.10.24"</f>
        <v>S48.10.24</v>
      </c>
      <c r="M6667" s="7">
        <v>31.2</v>
      </c>
      <c r="N6667" s="7">
        <v>1202000</v>
      </c>
      <c r="O6667" s="7">
        <v>1201999</v>
      </c>
      <c r="P6667" s="7">
        <v>0</v>
      </c>
      <c r="Q6667" s="7" t="str">
        <f t="shared" si="2408"/>
        <v>教育庁</v>
      </c>
      <c r="R6667" s="7" t="str">
        <f t="shared" si="2422"/>
        <v>りんくう翔南高等学校</v>
      </c>
    </row>
    <row r="6668" spans="1:18" s="1" customFormat="1" x14ac:dyDescent="0.45">
      <c r="A6668" s="7" t="str">
        <f t="shared" si="2419"/>
        <v>10466000000</v>
      </c>
      <c r="B6668" s="7" t="str">
        <f t="shared" si="2420"/>
        <v>りんくう翔南高等学校</v>
      </c>
      <c r="C6668" s="7" t="str">
        <f t="shared" si="2398"/>
        <v>行政財産</v>
      </c>
      <c r="D6668" s="7" t="str">
        <f t="shared" si="2423"/>
        <v>学校</v>
      </c>
      <c r="E6668" s="7" t="str">
        <f t="shared" si="2421"/>
        <v>大阪府泉南市樽井２丁目</v>
      </c>
      <c r="F6668" s="7"/>
      <c r="G6668" s="7" t="str">
        <f t="shared" si="2403"/>
        <v>事業用資産</v>
      </c>
      <c r="H6668" s="7" t="str">
        <f t="shared" si="2424"/>
        <v>棚卸以外</v>
      </c>
      <c r="I6668" s="7">
        <v>58</v>
      </c>
      <c r="J6668" s="7" t="str">
        <f>"第４教棟"</f>
        <v>第４教棟</v>
      </c>
      <c r="K6668" s="7" t="str">
        <f>"鉄筋コンクリート造"</f>
        <v>鉄筋コンクリート造</v>
      </c>
      <c r="L6668" s="7" t="str">
        <f>"S49.05.10"</f>
        <v>S49.05.10</v>
      </c>
      <c r="M6668" s="7">
        <v>1340</v>
      </c>
      <c r="N6668" s="7">
        <v>86348362</v>
      </c>
      <c r="O6668" s="7">
        <v>84172619</v>
      </c>
      <c r="P6668" s="7">
        <v>0</v>
      </c>
      <c r="Q6668" s="7" t="str">
        <f t="shared" si="2408"/>
        <v>教育庁</v>
      </c>
      <c r="R6668" s="7" t="str">
        <f t="shared" si="2422"/>
        <v>りんくう翔南高等学校</v>
      </c>
    </row>
    <row r="6669" spans="1:18" s="1" customFormat="1" x14ac:dyDescent="0.45">
      <c r="A6669" s="7" t="str">
        <f t="shared" si="2419"/>
        <v>10466000000</v>
      </c>
      <c r="B6669" s="7" t="str">
        <f t="shared" si="2420"/>
        <v>りんくう翔南高等学校</v>
      </c>
      <c r="C6669" s="7" t="str">
        <f t="shared" ref="C6669:C6732" si="2425">"行政財産"</f>
        <v>行政財産</v>
      </c>
      <c r="D6669" s="7" t="str">
        <f t="shared" si="2423"/>
        <v>学校</v>
      </c>
      <c r="E6669" s="7" t="str">
        <f t="shared" si="2421"/>
        <v>大阪府泉南市樽井２丁目</v>
      </c>
      <c r="F6669" s="7"/>
      <c r="G6669" s="7" t="str">
        <f t="shared" si="2403"/>
        <v>事業用資産</v>
      </c>
      <c r="H6669" s="7" t="str">
        <f t="shared" si="2424"/>
        <v>棚卸以外</v>
      </c>
      <c r="I6669" s="7">
        <v>59</v>
      </c>
      <c r="J6669" s="7" t="str">
        <f>"武道場"</f>
        <v>武道場</v>
      </c>
      <c r="K6669" s="7" t="str">
        <f>"鉄骨造"</f>
        <v>鉄骨造</v>
      </c>
      <c r="L6669" s="7" t="str">
        <f>"S50.05.15"</f>
        <v>S50.05.15</v>
      </c>
      <c r="M6669" s="7">
        <v>200</v>
      </c>
      <c r="N6669" s="7">
        <v>14958007</v>
      </c>
      <c r="O6669" s="7">
        <v>14677367</v>
      </c>
      <c r="P6669" s="7">
        <v>0</v>
      </c>
      <c r="Q6669" s="7" t="str">
        <f t="shared" si="2408"/>
        <v>教育庁</v>
      </c>
      <c r="R6669" s="7" t="str">
        <f t="shared" si="2422"/>
        <v>りんくう翔南高等学校</v>
      </c>
    </row>
    <row r="6670" spans="1:18" s="1" customFormat="1" x14ac:dyDescent="0.45">
      <c r="A6670" s="7" t="str">
        <f t="shared" si="2419"/>
        <v>10466000000</v>
      </c>
      <c r="B6670" s="7" t="str">
        <f t="shared" si="2420"/>
        <v>りんくう翔南高等学校</v>
      </c>
      <c r="C6670" s="7" t="str">
        <f t="shared" si="2425"/>
        <v>行政財産</v>
      </c>
      <c r="D6670" s="7" t="str">
        <f t="shared" si="2423"/>
        <v>学校</v>
      </c>
      <c r="E6670" s="7" t="str">
        <f t="shared" si="2421"/>
        <v>大阪府泉南市樽井２丁目</v>
      </c>
      <c r="F6670" s="7"/>
      <c r="G6670" s="7" t="str">
        <f t="shared" si="2403"/>
        <v>事業用資産</v>
      </c>
      <c r="H6670" s="7" t="str">
        <f t="shared" si="2424"/>
        <v>棚卸以外</v>
      </c>
      <c r="I6670" s="7">
        <v>61</v>
      </c>
      <c r="J6670" s="7" t="str">
        <f>"体育館"</f>
        <v>体育館</v>
      </c>
      <c r="K6670" s="7" t="str">
        <f t="shared" ref="K6670:K6675" si="2426">"鉄筋コンクリート造"</f>
        <v>鉄筋コンクリート造</v>
      </c>
      <c r="L6670" s="7" t="str">
        <f>"S51.09.14"</f>
        <v>S51.09.14</v>
      </c>
      <c r="M6670" s="7">
        <v>2946.4</v>
      </c>
      <c r="N6670" s="7">
        <v>292543011</v>
      </c>
      <c r="O6670" s="7">
        <v>235547829</v>
      </c>
      <c r="P6670" s="7">
        <v>0</v>
      </c>
      <c r="Q6670" s="7" t="str">
        <f t="shared" si="2408"/>
        <v>教育庁</v>
      </c>
      <c r="R6670" s="7" t="str">
        <f t="shared" si="2422"/>
        <v>りんくう翔南高等学校</v>
      </c>
    </row>
    <row r="6671" spans="1:18" s="1" customFormat="1" x14ac:dyDescent="0.45">
      <c r="A6671" s="7" t="str">
        <f t="shared" si="2419"/>
        <v>10466000000</v>
      </c>
      <c r="B6671" s="7" t="str">
        <f t="shared" si="2420"/>
        <v>りんくう翔南高等学校</v>
      </c>
      <c r="C6671" s="7" t="str">
        <f t="shared" si="2425"/>
        <v>行政財産</v>
      </c>
      <c r="D6671" s="7" t="str">
        <f t="shared" si="2423"/>
        <v>学校</v>
      </c>
      <c r="E6671" s="7" t="str">
        <f t="shared" si="2421"/>
        <v>大阪府泉南市樽井２丁目</v>
      </c>
      <c r="F6671" s="7"/>
      <c r="G6671" s="7" t="str">
        <f t="shared" si="2403"/>
        <v>事業用資産</v>
      </c>
      <c r="H6671" s="7" t="str">
        <f t="shared" si="2424"/>
        <v>棚卸以外</v>
      </c>
      <c r="I6671" s="7">
        <v>62</v>
      </c>
      <c r="J6671" s="7" t="str">
        <f>"食堂図書館"</f>
        <v>食堂図書館</v>
      </c>
      <c r="K6671" s="7" t="str">
        <f t="shared" si="2426"/>
        <v>鉄筋コンクリート造</v>
      </c>
      <c r="L6671" s="7" t="str">
        <f>"S51.09.14"</f>
        <v>S51.09.14</v>
      </c>
      <c r="M6671" s="7">
        <v>1056</v>
      </c>
      <c r="N6671" s="7">
        <v>96633639</v>
      </c>
      <c r="O6671" s="7">
        <v>93798549</v>
      </c>
      <c r="P6671" s="7">
        <v>0</v>
      </c>
      <c r="Q6671" s="7" t="str">
        <f t="shared" si="2408"/>
        <v>教育庁</v>
      </c>
      <c r="R6671" s="7" t="str">
        <f t="shared" si="2422"/>
        <v>りんくう翔南高等学校</v>
      </c>
    </row>
    <row r="6672" spans="1:18" s="1" customFormat="1" x14ac:dyDescent="0.45">
      <c r="A6672" s="7" t="str">
        <f t="shared" si="2419"/>
        <v>10466000000</v>
      </c>
      <c r="B6672" s="7" t="str">
        <f t="shared" si="2420"/>
        <v>りんくう翔南高等学校</v>
      </c>
      <c r="C6672" s="7" t="str">
        <f t="shared" si="2425"/>
        <v>行政財産</v>
      </c>
      <c r="D6672" s="7" t="str">
        <f t="shared" si="2423"/>
        <v>学校</v>
      </c>
      <c r="E6672" s="7" t="str">
        <f t="shared" si="2421"/>
        <v>大阪府泉南市樽井２丁目</v>
      </c>
      <c r="F6672" s="7"/>
      <c r="G6672" s="7" t="str">
        <f t="shared" si="2403"/>
        <v>事業用資産</v>
      </c>
      <c r="H6672" s="7" t="str">
        <f t="shared" si="2424"/>
        <v>棚卸以外</v>
      </c>
      <c r="I6672" s="7">
        <v>64</v>
      </c>
      <c r="J6672" s="7" t="str">
        <f>"倉庫"</f>
        <v>倉庫</v>
      </c>
      <c r="K6672" s="7" t="str">
        <f t="shared" si="2426"/>
        <v>鉄筋コンクリート造</v>
      </c>
      <c r="L6672" s="7" t="str">
        <f>"S52.12.13"</f>
        <v>S52.12.13</v>
      </c>
      <c r="M6672" s="7">
        <v>97.91</v>
      </c>
      <c r="N6672" s="7">
        <v>4335000</v>
      </c>
      <c r="O6672" s="7">
        <v>4334999</v>
      </c>
      <c r="P6672" s="7">
        <v>0</v>
      </c>
      <c r="Q6672" s="7" t="str">
        <f t="shared" si="2408"/>
        <v>教育庁</v>
      </c>
      <c r="R6672" s="7" t="str">
        <f t="shared" si="2422"/>
        <v>りんくう翔南高等学校</v>
      </c>
    </row>
    <row r="6673" spans="1:18" s="1" customFormat="1" x14ac:dyDescent="0.45">
      <c r="A6673" s="7" t="str">
        <f t="shared" ref="A6673:A6689" si="2427">"10361000000"</f>
        <v>10361000000</v>
      </c>
      <c r="B6673" s="7" t="str">
        <f t="shared" ref="B6673:B6689" si="2428">"大阪府教育センター附属高等学校"</f>
        <v>大阪府教育センター附属高等学校</v>
      </c>
      <c r="C6673" s="7" t="str">
        <f t="shared" si="2425"/>
        <v>行政財産</v>
      </c>
      <c r="D6673" s="7" t="str">
        <f t="shared" si="2423"/>
        <v>学校</v>
      </c>
      <c r="E6673" s="7" t="str">
        <f t="shared" ref="E6673:E6689" si="2429">"大阪府大阪市　住吉区苅田４丁目"</f>
        <v>大阪府大阪市　住吉区苅田４丁目</v>
      </c>
      <c r="F6673" s="7"/>
      <c r="G6673" s="7" t="str">
        <f t="shared" si="2403"/>
        <v>事業用資産</v>
      </c>
      <c r="H6673" s="7" t="str">
        <f t="shared" si="2424"/>
        <v>棚卸以外</v>
      </c>
      <c r="I6673" s="7">
        <v>1</v>
      </c>
      <c r="J6673" s="7" t="str">
        <f>"普通教室棟"</f>
        <v>普通教室棟</v>
      </c>
      <c r="K6673" s="7" t="str">
        <f t="shared" si="2426"/>
        <v>鉄筋コンクリート造</v>
      </c>
      <c r="L6673" s="7" t="str">
        <f t="shared" ref="L6673:L6689" si="2430">"S25.01.01"</f>
        <v>S25.01.01</v>
      </c>
      <c r="M6673" s="7">
        <v>2628.53</v>
      </c>
      <c r="N6673" s="7">
        <v>257464741</v>
      </c>
      <c r="O6673" s="7">
        <v>142119534</v>
      </c>
      <c r="P6673" s="7">
        <v>0</v>
      </c>
      <c r="Q6673" s="7" t="str">
        <f t="shared" si="2408"/>
        <v>教育庁</v>
      </c>
      <c r="R6673" s="7" t="str">
        <f t="shared" ref="R6673:R6689" si="2431">"大阪府教育センター附属高等学校"</f>
        <v>大阪府教育センター附属高等学校</v>
      </c>
    </row>
    <row r="6674" spans="1:18" s="1" customFormat="1" x14ac:dyDescent="0.45">
      <c r="A6674" s="7" t="str">
        <f t="shared" si="2427"/>
        <v>10361000000</v>
      </c>
      <c r="B6674" s="7" t="str">
        <f t="shared" si="2428"/>
        <v>大阪府教育センター附属高等学校</v>
      </c>
      <c r="C6674" s="7" t="str">
        <f t="shared" si="2425"/>
        <v>行政財産</v>
      </c>
      <c r="D6674" s="7" t="str">
        <f t="shared" si="2423"/>
        <v>学校</v>
      </c>
      <c r="E6674" s="7" t="str">
        <f t="shared" si="2429"/>
        <v>大阪府大阪市　住吉区苅田４丁目</v>
      </c>
      <c r="F6674" s="7"/>
      <c r="G6674" s="7" t="str">
        <f t="shared" si="2403"/>
        <v>事業用資産</v>
      </c>
      <c r="H6674" s="7" t="str">
        <f t="shared" si="2424"/>
        <v>棚卸以外</v>
      </c>
      <c r="I6674" s="7">
        <v>2</v>
      </c>
      <c r="J6674" s="7" t="str">
        <f>"渡り廊下"</f>
        <v>渡り廊下</v>
      </c>
      <c r="K6674" s="7" t="str">
        <f t="shared" si="2426"/>
        <v>鉄筋コンクリート造</v>
      </c>
      <c r="L6674" s="7" t="str">
        <f t="shared" si="2430"/>
        <v>S25.01.01</v>
      </c>
      <c r="M6674" s="7">
        <v>200.6</v>
      </c>
      <c r="N6674" s="7">
        <v>8004714</v>
      </c>
      <c r="O6674" s="7">
        <v>7556916</v>
      </c>
      <c r="P6674" s="7">
        <v>0</v>
      </c>
      <c r="Q6674" s="7" t="str">
        <f t="shared" si="2408"/>
        <v>教育庁</v>
      </c>
      <c r="R6674" s="7" t="str">
        <f t="shared" si="2431"/>
        <v>大阪府教育センター附属高等学校</v>
      </c>
    </row>
    <row r="6675" spans="1:18" s="1" customFormat="1" x14ac:dyDescent="0.45">
      <c r="A6675" s="7" t="str">
        <f t="shared" si="2427"/>
        <v>10361000000</v>
      </c>
      <c r="B6675" s="7" t="str">
        <f t="shared" si="2428"/>
        <v>大阪府教育センター附属高等学校</v>
      </c>
      <c r="C6675" s="7" t="str">
        <f t="shared" si="2425"/>
        <v>行政財産</v>
      </c>
      <c r="D6675" s="7" t="str">
        <f t="shared" si="2423"/>
        <v>学校</v>
      </c>
      <c r="E6675" s="7" t="str">
        <f t="shared" si="2429"/>
        <v>大阪府大阪市　住吉区苅田４丁目</v>
      </c>
      <c r="F6675" s="7"/>
      <c r="G6675" s="7" t="str">
        <f t="shared" si="2403"/>
        <v>事業用資産</v>
      </c>
      <c r="H6675" s="7" t="str">
        <f t="shared" si="2424"/>
        <v>棚卸以外</v>
      </c>
      <c r="I6675" s="7">
        <v>3</v>
      </c>
      <c r="J6675" s="7" t="str">
        <f>"特別教室棟"</f>
        <v>特別教室棟</v>
      </c>
      <c r="K6675" s="7" t="str">
        <f t="shared" si="2426"/>
        <v>鉄筋コンクリート造</v>
      </c>
      <c r="L6675" s="7" t="str">
        <f t="shared" si="2430"/>
        <v>S25.01.01</v>
      </c>
      <c r="M6675" s="7">
        <v>2767.92</v>
      </c>
      <c r="N6675" s="7">
        <v>179418505</v>
      </c>
      <c r="O6675" s="7">
        <v>148937601</v>
      </c>
      <c r="P6675" s="7">
        <v>0</v>
      </c>
      <c r="Q6675" s="7" t="str">
        <f t="shared" si="2408"/>
        <v>教育庁</v>
      </c>
      <c r="R6675" s="7" t="str">
        <f t="shared" si="2431"/>
        <v>大阪府教育センター附属高等学校</v>
      </c>
    </row>
    <row r="6676" spans="1:18" s="1" customFormat="1" x14ac:dyDescent="0.45">
      <c r="A6676" s="7" t="str">
        <f t="shared" si="2427"/>
        <v>10361000000</v>
      </c>
      <c r="B6676" s="7" t="str">
        <f t="shared" si="2428"/>
        <v>大阪府教育センター附属高等学校</v>
      </c>
      <c r="C6676" s="7" t="str">
        <f t="shared" si="2425"/>
        <v>行政財産</v>
      </c>
      <c r="D6676" s="7" t="str">
        <f t="shared" si="2423"/>
        <v>学校</v>
      </c>
      <c r="E6676" s="7" t="str">
        <f t="shared" si="2429"/>
        <v>大阪府大阪市　住吉区苅田４丁目</v>
      </c>
      <c r="F6676" s="7"/>
      <c r="G6676" s="7" t="str">
        <f t="shared" si="2403"/>
        <v>事業用資産</v>
      </c>
      <c r="H6676" s="7" t="str">
        <f t="shared" si="2424"/>
        <v>棚卸以外</v>
      </c>
      <c r="I6676" s="7">
        <v>5</v>
      </c>
      <c r="J6676" s="7" t="str">
        <f>"倉庫"</f>
        <v>倉庫</v>
      </c>
      <c r="K6676" s="7" t="str">
        <f>"軽量鉄骨造"</f>
        <v>軽量鉄骨造</v>
      </c>
      <c r="L6676" s="7" t="str">
        <f t="shared" si="2430"/>
        <v>S25.01.01</v>
      </c>
      <c r="M6676" s="7">
        <v>101.01</v>
      </c>
      <c r="N6676" s="7">
        <v>1087400</v>
      </c>
      <c r="O6676" s="7">
        <v>1087399</v>
      </c>
      <c r="P6676" s="7">
        <v>0</v>
      </c>
      <c r="Q6676" s="7" t="str">
        <f t="shared" si="2408"/>
        <v>教育庁</v>
      </c>
      <c r="R6676" s="7" t="str">
        <f t="shared" si="2431"/>
        <v>大阪府教育センター附属高等学校</v>
      </c>
    </row>
    <row r="6677" spans="1:18" s="1" customFormat="1" x14ac:dyDescent="0.45">
      <c r="A6677" s="7" t="str">
        <f t="shared" si="2427"/>
        <v>10361000000</v>
      </c>
      <c r="B6677" s="7" t="str">
        <f t="shared" si="2428"/>
        <v>大阪府教育センター附属高等学校</v>
      </c>
      <c r="C6677" s="7" t="str">
        <f t="shared" si="2425"/>
        <v>行政財産</v>
      </c>
      <c r="D6677" s="7" t="str">
        <f t="shared" si="2423"/>
        <v>学校</v>
      </c>
      <c r="E6677" s="7" t="str">
        <f t="shared" si="2429"/>
        <v>大阪府大阪市　住吉区苅田４丁目</v>
      </c>
      <c r="F6677" s="7"/>
      <c r="G6677" s="7" t="str">
        <f t="shared" si="2403"/>
        <v>事業用資産</v>
      </c>
      <c r="H6677" s="7" t="str">
        <f t="shared" si="2424"/>
        <v>棚卸以外</v>
      </c>
      <c r="I6677" s="7">
        <v>6</v>
      </c>
      <c r="J6677" s="7" t="str">
        <f>"電気ポンプ室"</f>
        <v>電気ポンプ室</v>
      </c>
      <c r="K6677" s="7" t="str">
        <f>"鉄筋コンクリート造"</f>
        <v>鉄筋コンクリート造</v>
      </c>
      <c r="L6677" s="7" t="str">
        <f t="shared" si="2430"/>
        <v>S25.01.01</v>
      </c>
      <c r="M6677" s="7">
        <v>35</v>
      </c>
      <c r="N6677" s="7">
        <v>10083797</v>
      </c>
      <c r="O6677" s="7">
        <v>8066071</v>
      </c>
      <c r="P6677" s="7">
        <v>0</v>
      </c>
      <c r="Q6677" s="7" t="str">
        <f t="shared" si="2408"/>
        <v>教育庁</v>
      </c>
      <c r="R6677" s="7" t="str">
        <f t="shared" si="2431"/>
        <v>大阪府教育センター附属高等学校</v>
      </c>
    </row>
    <row r="6678" spans="1:18" s="1" customFormat="1" x14ac:dyDescent="0.45">
      <c r="A6678" s="7" t="str">
        <f t="shared" si="2427"/>
        <v>10361000000</v>
      </c>
      <c r="B6678" s="7" t="str">
        <f t="shared" si="2428"/>
        <v>大阪府教育センター附属高等学校</v>
      </c>
      <c r="C6678" s="7" t="str">
        <f t="shared" si="2425"/>
        <v>行政財産</v>
      </c>
      <c r="D6678" s="7" t="str">
        <f t="shared" si="2423"/>
        <v>学校</v>
      </c>
      <c r="E6678" s="7" t="str">
        <f t="shared" si="2429"/>
        <v>大阪府大阪市　住吉区苅田４丁目</v>
      </c>
      <c r="F6678" s="7"/>
      <c r="G6678" s="7" t="str">
        <f t="shared" si="2403"/>
        <v>事業用資産</v>
      </c>
      <c r="H6678" s="7" t="str">
        <f t="shared" si="2424"/>
        <v>棚卸以外</v>
      </c>
      <c r="I6678" s="7">
        <v>9</v>
      </c>
      <c r="J6678" s="7" t="str">
        <f>"管理棟"</f>
        <v>管理棟</v>
      </c>
      <c r="K6678" s="7" t="str">
        <f>"鉄筋コンクリート造"</f>
        <v>鉄筋コンクリート造</v>
      </c>
      <c r="L6678" s="7" t="str">
        <f t="shared" si="2430"/>
        <v>S25.01.01</v>
      </c>
      <c r="M6678" s="7">
        <v>2697.82</v>
      </c>
      <c r="N6678" s="7">
        <v>271111623</v>
      </c>
      <c r="O6678" s="7">
        <v>143417978</v>
      </c>
      <c r="P6678" s="7">
        <v>0</v>
      </c>
      <c r="Q6678" s="7" t="str">
        <f t="shared" si="2408"/>
        <v>教育庁</v>
      </c>
      <c r="R6678" s="7" t="str">
        <f t="shared" si="2431"/>
        <v>大阪府教育センター附属高等学校</v>
      </c>
    </row>
    <row r="6679" spans="1:18" s="1" customFormat="1" x14ac:dyDescent="0.45">
      <c r="A6679" s="7" t="str">
        <f t="shared" si="2427"/>
        <v>10361000000</v>
      </c>
      <c r="B6679" s="7" t="str">
        <f t="shared" si="2428"/>
        <v>大阪府教育センター附属高等学校</v>
      </c>
      <c r="C6679" s="7" t="str">
        <f t="shared" si="2425"/>
        <v>行政財産</v>
      </c>
      <c r="D6679" s="7" t="str">
        <f t="shared" si="2423"/>
        <v>学校</v>
      </c>
      <c r="E6679" s="7" t="str">
        <f t="shared" si="2429"/>
        <v>大阪府大阪市　住吉区苅田４丁目</v>
      </c>
      <c r="F6679" s="7"/>
      <c r="G6679" s="7" t="str">
        <f t="shared" ref="G6679:G6742" si="2432">"事業用資産"</f>
        <v>事業用資産</v>
      </c>
      <c r="H6679" s="7" t="str">
        <f t="shared" si="2424"/>
        <v>棚卸以外</v>
      </c>
      <c r="I6679" s="7">
        <v>10</v>
      </c>
      <c r="J6679" s="7" t="str">
        <f>"渡り廊下"</f>
        <v>渡り廊下</v>
      </c>
      <c r="K6679" s="7" t="str">
        <f>"鉄筋コンクリート造"</f>
        <v>鉄筋コンクリート造</v>
      </c>
      <c r="L6679" s="7" t="str">
        <f t="shared" si="2430"/>
        <v>S25.01.01</v>
      </c>
      <c r="M6679" s="7">
        <v>166.6</v>
      </c>
      <c r="N6679" s="7">
        <v>10191236</v>
      </c>
      <c r="O6679" s="7">
        <v>10191235</v>
      </c>
      <c r="P6679" s="7">
        <v>0</v>
      </c>
      <c r="Q6679" s="7" t="str">
        <f t="shared" si="2408"/>
        <v>教育庁</v>
      </c>
      <c r="R6679" s="7" t="str">
        <f t="shared" si="2431"/>
        <v>大阪府教育センター附属高等学校</v>
      </c>
    </row>
    <row r="6680" spans="1:18" s="1" customFormat="1" x14ac:dyDescent="0.45">
      <c r="A6680" s="7" t="str">
        <f t="shared" si="2427"/>
        <v>10361000000</v>
      </c>
      <c r="B6680" s="7" t="str">
        <f t="shared" si="2428"/>
        <v>大阪府教育センター附属高等学校</v>
      </c>
      <c r="C6680" s="7" t="str">
        <f t="shared" si="2425"/>
        <v>行政財産</v>
      </c>
      <c r="D6680" s="7" t="str">
        <f t="shared" si="2423"/>
        <v>学校</v>
      </c>
      <c r="E6680" s="7" t="str">
        <f t="shared" si="2429"/>
        <v>大阪府大阪市　住吉区苅田４丁目</v>
      </c>
      <c r="F6680" s="7"/>
      <c r="G6680" s="7" t="str">
        <f t="shared" si="2432"/>
        <v>事業用資産</v>
      </c>
      <c r="H6680" s="7" t="str">
        <f t="shared" si="2424"/>
        <v>棚卸以外</v>
      </c>
      <c r="I6680" s="7">
        <v>11</v>
      </c>
      <c r="J6680" s="7" t="str">
        <f>"渡り廊下"</f>
        <v>渡り廊下</v>
      </c>
      <c r="K6680" s="7" t="str">
        <f>"鉄筋コンクリート造"</f>
        <v>鉄筋コンクリート造</v>
      </c>
      <c r="L6680" s="7" t="str">
        <f t="shared" si="2430"/>
        <v>S25.01.01</v>
      </c>
      <c r="M6680" s="7">
        <v>166.6</v>
      </c>
      <c r="N6680" s="7">
        <v>10353415</v>
      </c>
      <c r="O6680" s="7">
        <v>10353414</v>
      </c>
      <c r="P6680" s="7">
        <v>0</v>
      </c>
      <c r="Q6680" s="7" t="str">
        <f t="shared" si="2408"/>
        <v>教育庁</v>
      </c>
      <c r="R6680" s="7" t="str">
        <f t="shared" si="2431"/>
        <v>大阪府教育センター附属高等学校</v>
      </c>
    </row>
    <row r="6681" spans="1:18" s="1" customFormat="1" x14ac:dyDescent="0.45">
      <c r="A6681" s="7" t="str">
        <f t="shared" si="2427"/>
        <v>10361000000</v>
      </c>
      <c r="B6681" s="7" t="str">
        <f t="shared" si="2428"/>
        <v>大阪府教育センター附属高等学校</v>
      </c>
      <c r="C6681" s="7" t="str">
        <f t="shared" si="2425"/>
        <v>行政財産</v>
      </c>
      <c r="D6681" s="7" t="str">
        <f t="shared" si="2423"/>
        <v>学校</v>
      </c>
      <c r="E6681" s="7" t="str">
        <f t="shared" si="2429"/>
        <v>大阪府大阪市　住吉区苅田４丁目</v>
      </c>
      <c r="F6681" s="7"/>
      <c r="G6681" s="7" t="str">
        <f t="shared" si="2432"/>
        <v>事業用資産</v>
      </c>
      <c r="H6681" s="7" t="str">
        <f t="shared" si="2424"/>
        <v>棚卸以外</v>
      </c>
      <c r="I6681" s="7">
        <v>14</v>
      </c>
      <c r="J6681" s="7" t="str">
        <f>"体育館"</f>
        <v>体育館</v>
      </c>
      <c r="K6681" s="7" t="str">
        <f>"鉄筋コンクリート造"</f>
        <v>鉄筋コンクリート造</v>
      </c>
      <c r="L6681" s="7" t="str">
        <f t="shared" si="2430"/>
        <v>S25.01.01</v>
      </c>
      <c r="M6681" s="7">
        <v>2201.6</v>
      </c>
      <c r="N6681" s="7">
        <v>112033970</v>
      </c>
      <c r="O6681" s="7">
        <v>82812717</v>
      </c>
      <c r="P6681" s="7">
        <v>0</v>
      </c>
      <c r="Q6681" s="7" t="str">
        <f t="shared" si="2408"/>
        <v>教育庁</v>
      </c>
      <c r="R6681" s="7" t="str">
        <f t="shared" si="2431"/>
        <v>大阪府教育センター附属高等学校</v>
      </c>
    </row>
    <row r="6682" spans="1:18" s="1" customFormat="1" x14ac:dyDescent="0.45">
      <c r="A6682" s="7" t="str">
        <f t="shared" si="2427"/>
        <v>10361000000</v>
      </c>
      <c r="B6682" s="7" t="str">
        <f t="shared" si="2428"/>
        <v>大阪府教育センター附属高等学校</v>
      </c>
      <c r="C6682" s="7" t="str">
        <f t="shared" si="2425"/>
        <v>行政財産</v>
      </c>
      <c r="D6682" s="7" t="str">
        <f t="shared" si="2423"/>
        <v>学校</v>
      </c>
      <c r="E6682" s="7" t="str">
        <f t="shared" si="2429"/>
        <v>大阪府大阪市　住吉区苅田４丁目</v>
      </c>
      <c r="F6682" s="7"/>
      <c r="G6682" s="7" t="str">
        <f t="shared" si="2432"/>
        <v>事業用資産</v>
      </c>
      <c r="H6682" s="7" t="str">
        <f t="shared" si="2424"/>
        <v>棚卸以外</v>
      </c>
      <c r="I6682" s="7">
        <v>16</v>
      </c>
      <c r="J6682" s="7" t="str">
        <f>"食堂"</f>
        <v>食堂</v>
      </c>
      <c r="K6682" s="7" t="str">
        <f>"鉄骨造"</f>
        <v>鉄骨造</v>
      </c>
      <c r="L6682" s="7" t="str">
        <f t="shared" si="2430"/>
        <v>S25.01.01</v>
      </c>
      <c r="M6682" s="7">
        <v>322</v>
      </c>
      <c r="N6682" s="7">
        <v>16857236</v>
      </c>
      <c r="O6682" s="7">
        <v>14903185</v>
      </c>
      <c r="P6682" s="7">
        <v>0</v>
      </c>
      <c r="Q6682" s="7" t="str">
        <f t="shared" si="2408"/>
        <v>教育庁</v>
      </c>
      <c r="R6682" s="7" t="str">
        <f t="shared" si="2431"/>
        <v>大阪府教育センター附属高等学校</v>
      </c>
    </row>
    <row r="6683" spans="1:18" s="1" customFormat="1" x14ac:dyDescent="0.45">
      <c r="A6683" s="7" t="str">
        <f t="shared" si="2427"/>
        <v>10361000000</v>
      </c>
      <c r="B6683" s="7" t="str">
        <f t="shared" si="2428"/>
        <v>大阪府教育センター附属高等学校</v>
      </c>
      <c r="C6683" s="7" t="str">
        <f t="shared" si="2425"/>
        <v>行政財産</v>
      </c>
      <c r="D6683" s="7" t="str">
        <f t="shared" si="2423"/>
        <v>学校</v>
      </c>
      <c r="E6683" s="7" t="str">
        <f t="shared" si="2429"/>
        <v>大阪府大阪市　住吉区苅田４丁目</v>
      </c>
      <c r="F6683" s="7"/>
      <c r="G6683" s="7" t="str">
        <f t="shared" si="2432"/>
        <v>事業用資産</v>
      </c>
      <c r="H6683" s="7" t="str">
        <f t="shared" si="2424"/>
        <v>棚卸以外</v>
      </c>
      <c r="I6683" s="7">
        <v>22</v>
      </c>
      <c r="J6683" s="7" t="str">
        <f>"プール機械室"</f>
        <v>プール機械室</v>
      </c>
      <c r="K6683" s="7" t="str">
        <f>"コンクリートブロック造"</f>
        <v>コンクリートブロック造</v>
      </c>
      <c r="L6683" s="7" t="str">
        <f t="shared" si="2430"/>
        <v>S25.01.01</v>
      </c>
      <c r="M6683" s="7">
        <v>9.9</v>
      </c>
      <c r="N6683" s="7">
        <v>4985365</v>
      </c>
      <c r="O6683" s="7">
        <v>4921157</v>
      </c>
      <c r="P6683" s="7">
        <v>0</v>
      </c>
      <c r="Q6683" s="7" t="str">
        <f t="shared" ref="Q6683:Q6746" si="2433">"教育庁"</f>
        <v>教育庁</v>
      </c>
      <c r="R6683" s="7" t="str">
        <f t="shared" si="2431"/>
        <v>大阪府教育センター附属高等学校</v>
      </c>
    </row>
    <row r="6684" spans="1:18" s="1" customFormat="1" x14ac:dyDescent="0.45">
      <c r="A6684" s="7" t="str">
        <f t="shared" si="2427"/>
        <v>10361000000</v>
      </c>
      <c r="B6684" s="7" t="str">
        <f t="shared" si="2428"/>
        <v>大阪府教育センター附属高等学校</v>
      </c>
      <c r="C6684" s="7" t="str">
        <f t="shared" si="2425"/>
        <v>行政財産</v>
      </c>
      <c r="D6684" s="7" t="str">
        <f t="shared" si="2423"/>
        <v>学校</v>
      </c>
      <c r="E6684" s="7" t="str">
        <f t="shared" si="2429"/>
        <v>大阪府大阪市　住吉区苅田４丁目</v>
      </c>
      <c r="F6684" s="7"/>
      <c r="G6684" s="7" t="str">
        <f t="shared" si="2432"/>
        <v>事業用資産</v>
      </c>
      <c r="H6684" s="7" t="str">
        <f t="shared" si="2424"/>
        <v>棚卸以外</v>
      </c>
      <c r="I6684" s="7">
        <v>23</v>
      </c>
      <c r="J6684" s="7" t="str">
        <f>"シャワー室"</f>
        <v>シャワー室</v>
      </c>
      <c r="K6684" s="7" t="str">
        <f>"コンクリートブロック造"</f>
        <v>コンクリートブロック造</v>
      </c>
      <c r="L6684" s="7" t="str">
        <f t="shared" si="2430"/>
        <v>S25.01.01</v>
      </c>
      <c r="M6684" s="7">
        <v>96</v>
      </c>
      <c r="N6684" s="7">
        <v>3489233</v>
      </c>
      <c r="O6684" s="7">
        <v>3479447</v>
      </c>
      <c r="P6684" s="7">
        <v>0</v>
      </c>
      <c r="Q6684" s="7" t="str">
        <f t="shared" si="2433"/>
        <v>教育庁</v>
      </c>
      <c r="R6684" s="7" t="str">
        <f t="shared" si="2431"/>
        <v>大阪府教育センター附属高等学校</v>
      </c>
    </row>
    <row r="6685" spans="1:18" s="1" customFormat="1" x14ac:dyDescent="0.45">
      <c r="A6685" s="7" t="str">
        <f t="shared" si="2427"/>
        <v>10361000000</v>
      </c>
      <c r="B6685" s="7" t="str">
        <f t="shared" si="2428"/>
        <v>大阪府教育センター附属高等学校</v>
      </c>
      <c r="C6685" s="7" t="str">
        <f t="shared" si="2425"/>
        <v>行政財産</v>
      </c>
      <c r="D6685" s="7" t="str">
        <f t="shared" si="2423"/>
        <v>学校</v>
      </c>
      <c r="E6685" s="7" t="str">
        <f t="shared" si="2429"/>
        <v>大阪府大阪市　住吉区苅田４丁目</v>
      </c>
      <c r="F6685" s="7"/>
      <c r="G6685" s="7" t="str">
        <f t="shared" si="2432"/>
        <v>事業用資産</v>
      </c>
      <c r="H6685" s="7" t="str">
        <f t="shared" si="2424"/>
        <v>棚卸以外</v>
      </c>
      <c r="I6685" s="7">
        <v>27</v>
      </c>
      <c r="J6685" s="7" t="str">
        <f>"普通教室棟"</f>
        <v>普通教室棟</v>
      </c>
      <c r="K6685" s="7" t="str">
        <f>"鉄筋コンクリート造"</f>
        <v>鉄筋コンクリート造</v>
      </c>
      <c r="L6685" s="7" t="str">
        <f t="shared" si="2430"/>
        <v>S25.01.01</v>
      </c>
      <c r="M6685" s="7">
        <v>648.82000000000005</v>
      </c>
      <c r="N6685" s="7">
        <v>69362478</v>
      </c>
      <c r="O6685" s="7">
        <v>62337413</v>
      </c>
      <c r="P6685" s="7">
        <v>0</v>
      </c>
      <c r="Q6685" s="7" t="str">
        <f t="shared" si="2433"/>
        <v>教育庁</v>
      </c>
      <c r="R6685" s="7" t="str">
        <f t="shared" si="2431"/>
        <v>大阪府教育センター附属高等学校</v>
      </c>
    </row>
    <row r="6686" spans="1:18" s="1" customFormat="1" x14ac:dyDescent="0.45">
      <c r="A6686" s="7" t="str">
        <f t="shared" si="2427"/>
        <v>10361000000</v>
      </c>
      <c r="B6686" s="7" t="str">
        <f t="shared" si="2428"/>
        <v>大阪府教育センター附属高等学校</v>
      </c>
      <c r="C6686" s="7" t="str">
        <f t="shared" si="2425"/>
        <v>行政財産</v>
      </c>
      <c r="D6686" s="7" t="str">
        <f t="shared" si="2423"/>
        <v>学校</v>
      </c>
      <c r="E6686" s="7" t="str">
        <f t="shared" si="2429"/>
        <v>大阪府大阪市　住吉区苅田４丁目</v>
      </c>
      <c r="F6686" s="7"/>
      <c r="G6686" s="7" t="str">
        <f t="shared" si="2432"/>
        <v>事業用資産</v>
      </c>
      <c r="H6686" s="7" t="str">
        <f t="shared" si="2424"/>
        <v>棚卸以外</v>
      </c>
      <c r="I6686" s="7">
        <v>28</v>
      </c>
      <c r="J6686" s="7" t="str">
        <f>"渡り廊下"</f>
        <v>渡り廊下</v>
      </c>
      <c r="K6686" s="7" t="str">
        <f>"鉄筋コンクリート造"</f>
        <v>鉄筋コンクリート造</v>
      </c>
      <c r="L6686" s="7" t="str">
        <f t="shared" si="2430"/>
        <v>S25.01.01</v>
      </c>
      <c r="M6686" s="7">
        <v>160</v>
      </c>
      <c r="N6686" s="7">
        <v>16781505</v>
      </c>
      <c r="O6686" s="7">
        <v>15771999</v>
      </c>
      <c r="P6686" s="7">
        <v>0</v>
      </c>
      <c r="Q6686" s="7" t="str">
        <f t="shared" si="2433"/>
        <v>教育庁</v>
      </c>
      <c r="R6686" s="7" t="str">
        <f t="shared" si="2431"/>
        <v>大阪府教育センター附属高等学校</v>
      </c>
    </row>
    <row r="6687" spans="1:18" s="1" customFormat="1" x14ac:dyDescent="0.45">
      <c r="A6687" s="7" t="str">
        <f t="shared" si="2427"/>
        <v>10361000000</v>
      </c>
      <c r="B6687" s="7" t="str">
        <f t="shared" si="2428"/>
        <v>大阪府教育センター附属高等学校</v>
      </c>
      <c r="C6687" s="7" t="str">
        <f t="shared" si="2425"/>
        <v>行政財産</v>
      </c>
      <c r="D6687" s="7" t="str">
        <f t="shared" si="2423"/>
        <v>学校</v>
      </c>
      <c r="E6687" s="7" t="str">
        <f t="shared" si="2429"/>
        <v>大阪府大阪市　住吉区苅田４丁目</v>
      </c>
      <c r="F6687" s="7"/>
      <c r="G6687" s="7" t="str">
        <f t="shared" si="2432"/>
        <v>事業用資産</v>
      </c>
      <c r="H6687" s="7" t="str">
        <f t="shared" si="2424"/>
        <v>棚卸以外</v>
      </c>
      <c r="I6687" s="7">
        <v>30</v>
      </c>
      <c r="J6687" s="7" t="str">
        <f>"倉庫"</f>
        <v>倉庫</v>
      </c>
      <c r="K6687" s="7" t="str">
        <f>"土蔵造(簡易建物)"</f>
        <v>土蔵造(簡易建物)</v>
      </c>
      <c r="L6687" s="7" t="str">
        <f t="shared" si="2430"/>
        <v>S25.01.01</v>
      </c>
      <c r="M6687" s="7">
        <v>145.80000000000001</v>
      </c>
      <c r="N6687" s="7">
        <v>8146000</v>
      </c>
      <c r="O6687" s="7">
        <v>8145999</v>
      </c>
      <c r="P6687" s="7">
        <v>0</v>
      </c>
      <c r="Q6687" s="7" t="str">
        <f t="shared" si="2433"/>
        <v>教育庁</v>
      </c>
      <c r="R6687" s="7" t="str">
        <f t="shared" si="2431"/>
        <v>大阪府教育センター附属高等学校</v>
      </c>
    </row>
    <row r="6688" spans="1:18" s="1" customFormat="1" x14ac:dyDescent="0.45">
      <c r="A6688" s="7" t="str">
        <f t="shared" si="2427"/>
        <v>10361000000</v>
      </c>
      <c r="B6688" s="7" t="str">
        <f t="shared" si="2428"/>
        <v>大阪府教育センター附属高等学校</v>
      </c>
      <c r="C6688" s="7" t="str">
        <f t="shared" si="2425"/>
        <v>行政財産</v>
      </c>
      <c r="D6688" s="7" t="str">
        <f t="shared" si="2423"/>
        <v>学校</v>
      </c>
      <c r="E6688" s="7" t="str">
        <f t="shared" si="2429"/>
        <v>大阪府大阪市　住吉区苅田４丁目</v>
      </c>
      <c r="F6688" s="7"/>
      <c r="G6688" s="7" t="str">
        <f t="shared" si="2432"/>
        <v>事業用資産</v>
      </c>
      <c r="H6688" s="7" t="str">
        <f t="shared" si="2424"/>
        <v>棚卸以外</v>
      </c>
      <c r="I6688" s="7">
        <v>31</v>
      </c>
      <c r="J6688" s="7" t="str">
        <f>"薬品庫"</f>
        <v>薬品庫</v>
      </c>
      <c r="K6688" s="7" t="str">
        <f>"土蔵造(簡易建物)"</f>
        <v>土蔵造(簡易建物)</v>
      </c>
      <c r="L6688" s="7" t="str">
        <f t="shared" si="2430"/>
        <v>S25.01.01</v>
      </c>
      <c r="M6688" s="7">
        <v>8.1199999999999992</v>
      </c>
      <c r="N6688" s="7">
        <v>964000</v>
      </c>
      <c r="O6688" s="7">
        <v>963999</v>
      </c>
      <c r="P6688" s="7">
        <v>0</v>
      </c>
      <c r="Q6688" s="7" t="str">
        <f t="shared" si="2433"/>
        <v>教育庁</v>
      </c>
      <c r="R6688" s="7" t="str">
        <f t="shared" si="2431"/>
        <v>大阪府教育センター附属高等学校</v>
      </c>
    </row>
    <row r="6689" spans="1:18" s="1" customFormat="1" x14ac:dyDescent="0.45">
      <c r="A6689" s="7" t="str">
        <f t="shared" si="2427"/>
        <v>10361000000</v>
      </c>
      <c r="B6689" s="7" t="str">
        <f t="shared" si="2428"/>
        <v>大阪府教育センター附属高等学校</v>
      </c>
      <c r="C6689" s="7" t="str">
        <f t="shared" si="2425"/>
        <v>行政財産</v>
      </c>
      <c r="D6689" s="7" t="str">
        <f t="shared" si="2423"/>
        <v>学校</v>
      </c>
      <c r="E6689" s="7" t="str">
        <f t="shared" si="2429"/>
        <v>大阪府大阪市　住吉区苅田４丁目</v>
      </c>
      <c r="F6689" s="7"/>
      <c r="G6689" s="7" t="str">
        <f t="shared" si="2432"/>
        <v>事業用資産</v>
      </c>
      <c r="H6689" s="7" t="str">
        <f t="shared" si="2424"/>
        <v>棚卸以外</v>
      </c>
      <c r="I6689" s="7">
        <v>32</v>
      </c>
      <c r="J6689" s="7" t="str">
        <f>"倉庫"</f>
        <v>倉庫</v>
      </c>
      <c r="K6689" s="7" t="str">
        <f>"鉄骨造"</f>
        <v>鉄骨造</v>
      </c>
      <c r="L6689" s="7" t="str">
        <f t="shared" si="2430"/>
        <v>S25.01.01</v>
      </c>
      <c r="M6689" s="7">
        <v>121.5</v>
      </c>
      <c r="N6689" s="7">
        <v>8123000</v>
      </c>
      <c r="O6689" s="7">
        <v>8122999</v>
      </c>
      <c r="P6689" s="7">
        <v>0</v>
      </c>
      <c r="Q6689" s="7" t="str">
        <f t="shared" si="2433"/>
        <v>教育庁</v>
      </c>
      <c r="R6689" s="7" t="str">
        <f t="shared" si="2431"/>
        <v>大阪府教育センター附属高等学校</v>
      </c>
    </row>
    <row r="6690" spans="1:18" s="1" customFormat="1" x14ac:dyDescent="0.45">
      <c r="A6690" s="7" t="str">
        <f t="shared" ref="A6690:A6697" si="2434">"10516000094"</f>
        <v>10516000094</v>
      </c>
      <c r="B6690" s="7" t="str">
        <f t="shared" ref="B6690:B6704" si="2435">"摂津支援学校"</f>
        <v>摂津支援学校</v>
      </c>
      <c r="C6690" s="7" t="str">
        <f t="shared" si="2425"/>
        <v>行政財産</v>
      </c>
      <c r="D6690" s="7" t="str">
        <f t="shared" si="2423"/>
        <v>学校</v>
      </c>
      <c r="E6690" s="7" t="str">
        <f t="shared" ref="E6690:E6704" si="2436">"大阪府高槻市柱本南町"</f>
        <v>大阪府高槻市柱本南町</v>
      </c>
      <c r="F6690" s="7"/>
      <c r="G6690" s="7" t="str">
        <f t="shared" si="2432"/>
        <v>事業用資産</v>
      </c>
      <c r="H6690" s="7" t="str">
        <f t="shared" si="2424"/>
        <v>棚卸以外</v>
      </c>
      <c r="I6690" s="7">
        <v>1</v>
      </c>
      <c r="J6690" s="7" t="str">
        <f>"本館"</f>
        <v>本館</v>
      </c>
      <c r="K6690" s="7" t="str">
        <f>"鉄筋コンクリート造"</f>
        <v>鉄筋コンクリート造</v>
      </c>
      <c r="L6690" s="7" t="str">
        <f>"S55.04.01"</f>
        <v>S55.04.01</v>
      </c>
      <c r="M6690" s="7">
        <v>7302.72</v>
      </c>
      <c r="N6690" s="7">
        <v>1401444952</v>
      </c>
      <c r="O6690" s="7">
        <v>1063456108</v>
      </c>
      <c r="P6690" s="7">
        <v>0</v>
      </c>
      <c r="Q6690" s="7" t="str">
        <f t="shared" si="2433"/>
        <v>教育庁</v>
      </c>
      <c r="R6690" s="7" t="str">
        <f t="shared" ref="R6690:R6697" si="2437">"摂津支援学校"</f>
        <v>摂津支援学校</v>
      </c>
    </row>
    <row r="6691" spans="1:18" s="1" customFormat="1" x14ac:dyDescent="0.45">
      <c r="A6691" s="7" t="str">
        <f t="shared" si="2434"/>
        <v>10516000094</v>
      </c>
      <c r="B6691" s="7" t="str">
        <f t="shared" si="2435"/>
        <v>摂津支援学校</v>
      </c>
      <c r="C6691" s="7" t="str">
        <f t="shared" si="2425"/>
        <v>行政財産</v>
      </c>
      <c r="D6691" s="7" t="str">
        <f t="shared" si="2423"/>
        <v>学校</v>
      </c>
      <c r="E6691" s="7" t="str">
        <f t="shared" si="2436"/>
        <v>大阪府高槻市柱本南町</v>
      </c>
      <c r="F6691" s="7"/>
      <c r="G6691" s="7" t="str">
        <f t="shared" si="2432"/>
        <v>事業用資産</v>
      </c>
      <c r="H6691" s="7" t="str">
        <f t="shared" si="2424"/>
        <v>棚卸以外</v>
      </c>
      <c r="I6691" s="7">
        <v>3</v>
      </c>
      <c r="J6691" s="7" t="str">
        <f>"倉庫"</f>
        <v>倉庫</v>
      </c>
      <c r="K6691" s="7" t="str">
        <f>"鉄骨造"</f>
        <v>鉄骨造</v>
      </c>
      <c r="L6691" s="7" t="str">
        <f>"S55.06.13"</f>
        <v>S55.06.13</v>
      </c>
      <c r="M6691" s="7">
        <v>79.900000000000006</v>
      </c>
      <c r="N6691" s="7">
        <v>7282746</v>
      </c>
      <c r="O6691" s="7">
        <v>7282745</v>
      </c>
      <c r="P6691" s="7">
        <v>0</v>
      </c>
      <c r="Q6691" s="7" t="str">
        <f t="shared" si="2433"/>
        <v>教育庁</v>
      </c>
      <c r="R6691" s="7" t="str">
        <f t="shared" si="2437"/>
        <v>摂津支援学校</v>
      </c>
    </row>
    <row r="6692" spans="1:18" s="1" customFormat="1" x14ac:dyDescent="0.45">
      <c r="A6692" s="7" t="str">
        <f t="shared" si="2434"/>
        <v>10516000094</v>
      </c>
      <c r="B6692" s="7" t="str">
        <f t="shared" si="2435"/>
        <v>摂津支援学校</v>
      </c>
      <c r="C6692" s="7" t="str">
        <f t="shared" si="2425"/>
        <v>行政財産</v>
      </c>
      <c r="D6692" s="7" t="str">
        <f t="shared" si="2423"/>
        <v>学校</v>
      </c>
      <c r="E6692" s="7" t="str">
        <f t="shared" si="2436"/>
        <v>大阪府高槻市柱本南町</v>
      </c>
      <c r="F6692" s="7"/>
      <c r="G6692" s="7" t="str">
        <f t="shared" si="2432"/>
        <v>事業用資産</v>
      </c>
      <c r="H6692" s="7" t="str">
        <f t="shared" si="2424"/>
        <v>棚卸以外</v>
      </c>
      <c r="I6692" s="7">
        <v>4</v>
      </c>
      <c r="J6692" s="7" t="str">
        <f>"体育館"</f>
        <v>体育館</v>
      </c>
      <c r="K6692" s="7" t="str">
        <f>"鉄筋コンクリート造"</f>
        <v>鉄筋コンクリート造</v>
      </c>
      <c r="L6692" s="7" t="str">
        <f>"S56.03.28"</f>
        <v>S56.03.28</v>
      </c>
      <c r="M6692" s="7">
        <v>2249.15</v>
      </c>
      <c r="N6692" s="7">
        <v>542891099</v>
      </c>
      <c r="O6692" s="7">
        <v>398344259</v>
      </c>
      <c r="P6692" s="7">
        <v>0</v>
      </c>
      <c r="Q6692" s="7" t="str">
        <f t="shared" si="2433"/>
        <v>教育庁</v>
      </c>
      <c r="R6692" s="7" t="str">
        <f t="shared" si="2437"/>
        <v>摂津支援学校</v>
      </c>
    </row>
    <row r="6693" spans="1:18" s="1" customFormat="1" x14ac:dyDescent="0.45">
      <c r="A6693" s="7" t="str">
        <f t="shared" si="2434"/>
        <v>10516000094</v>
      </c>
      <c r="B6693" s="7" t="str">
        <f t="shared" si="2435"/>
        <v>摂津支援学校</v>
      </c>
      <c r="C6693" s="7" t="str">
        <f t="shared" si="2425"/>
        <v>行政財産</v>
      </c>
      <c r="D6693" s="7" t="str">
        <f t="shared" si="2423"/>
        <v>学校</v>
      </c>
      <c r="E6693" s="7" t="str">
        <f t="shared" si="2436"/>
        <v>大阪府高槻市柱本南町</v>
      </c>
      <c r="F6693" s="7"/>
      <c r="G6693" s="7" t="str">
        <f t="shared" si="2432"/>
        <v>事業用資産</v>
      </c>
      <c r="H6693" s="7" t="str">
        <f t="shared" si="2424"/>
        <v>棚卸以外</v>
      </c>
      <c r="I6693" s="7">
        <v>5</v>
      </c>
      <c r="J6693" s="7" t="str">
        <f>"プール附属棟"</f>
        <v>プール附属棟</v>
      </c>
      <c r="K6693" s="7" t="str">
        <f>"鉄筋コンクリート造"</f>
        <v>鉄筋コンクリート造</v>
      </c>
      <c r="L6693" s="7" t="str">
        <f>"S56.03.28"</f>
        <v>S56.03.28</v>
      </c>
      <c r="M6693" s="7">
        <v>110.26</v>
      </c>
      <c r="N6693" s="7">
        <v>35748760</v>
      </c>
      <c r="O6693" s="7">
        <v>30144840</v>
      </c>
      <c r="P6693" s="7">
        <v>0</v>
      </c>
      <c r="Q6693" s="7" t="str">
        <f t="shared" si="2433"/>
        <v>教育庁</v>
      </c>
      <c r="R6693" s="7" t="str">
        <f t="shared" si="2437"/>
        <v>摂津支援学校</v>
      </c>
    </row>
    <row r="6694" spans="1:18" s="1" customFormat="1" x14ac:dyDescent="0.45">
      <c r="A6694" s="7" t="str">
        <f t="shared" si="2434"/>
        <v>10516000094</v>
      </c>
      <c r="B6694" s="7" t="str">
        <f t="shared" si="2435"/>
        <v>摂津支援学校</v>
      </c>
      <c r="C6694" s="7" t="str">
        <f t="shared" si="2425"/>
        <v>行政財産</v>
      </c>
      <c r="D6694" s="7" t="str">
        <f t="shared" si="2423"/>
        <v>学校</v>
      </c>
      <c r="E6694" s="7" t="str">
        <f t="shared" si="2436"/>
        <v>大阪府高槻市柱本南町</v>
      </c>
      <c r="F6694" s="7"/>
      <c r="G6694" s="7" t="str">
        <f t="shared" si="2432"/>
        <v>事業用資産</v>
      </c>
      <c r="H6694" s="7" t="str">
        <f t="shared" si="2424"/>
        <v>棚卸以外</v>
      </c>
      <c r="I6694" s="7">
        <v>8</v>
      </c>
      <c r="J6694" s="7" t="str">
        <f>"倉庫"</f>
        <v>倉庫</v>
      </c>
      <c r="K6694" s="7" t="str">
        <f>"コンクリートブロック造"</f>
        <v>コンクリートブロック造</v>
      </c>
      <c r="L6694" s="7" t="str">
        <f>"S58.03.25"</f>
        <v>S58.03.25</v>
      </c>
      <c r="M6694" s="7">
        <v>3.2</v>
      </c>
      <c r="N6694" s="7">
        <v>313740</v>
      </c>
      <c r="O6694" s="7">
        <v>313739</v>
      </c>
      <c r="P6694" s="7">
        <v>0</v>
      </c>
      <c r="Q6694" s="7" t="str">
        <f t="shared" si="2433"/>
        <v>教育庁</v>
      </c>
      <c r="R6694" s="7" t="str">
        <f t="shared" si="2437"/>
        <v>摂津支援学校</v>
      </c>
    </row>
    <row r="6695" spans="1:18" s="1" customFormat="1" x14ac:dyDescent="0.45">
      <c r="A6695" s="7" t="str">
        <f t="shared" si="2434"/>
        <v>10516000094</v>
      </c>
      <c r="B6695" s="7" t="str">
        <f t="shared" si="2435"/>
        <v>摂津支援学校</v>
      </c>
      <c r="C6695" s="7" t="str">
        <f t="shared" si="2425"/>
        <v>行政財産</v>
      </c>
      <c r="D6695" s="7" t="str">
        <f t="shared" si="2423"/>
        <v>学校</v>
      </c>
      <c r="E6695" s="7" t="str">
        <f t="shared" si="2436"/>
        <v>大阪府高槻市柱本南町</v>
      </c>
      <c r="F6695" s="7"/>
      <c r="G6695" s="7" t="str">
        <f t="shared" si="2432"/>
        <v>事業用資産</v>
      </c>
      <c r="H6695" s="7" t="str">
        <f t="shared" si="2424"/>
        <v>棚卸以外</v>
      </c>
      <c r="I6695" s="7">
        <v>9</v>
      </c>
      <c r="J6695" s="7" t="str">
        <f>"倉庫"</f>
        <v>倉庫</v>
      </c>
      <c r="K6695" s="7" t="str">
        <f>"軽量鉄骨造"</f>
        <v>軽量鉄骨造</v>
      </c>
      <c r="L6695" s="7" t="str">
        <f>"H09.03.31"</f>
        <v>H09.03.31</v>
      </c>
      <c r="M6695" s="7">
        <v>99.84</v>
      </c>
      <c r="N6695" s="7">
        <v>7146067</v>
      </c>
      <c r="O6695" s="7">
        <v>7146066</v>
      </c>
      <c r="P6695" s="7">
        <v>0</v>
      </c>
      <c r="Q6695" s="7" t="str">
        <f t="shared" si="2433"/>
        <v>教育庁</v>
      </c>
      <c r="R6695" s="7" t="str">
        <f t="shared" si="2437"/>
        <v>摂津支援学校</v>
      </c>
    </row>
    <row r="6696" spans="1:18" s="1" customFormat="1" x14ac:dyDescent="0.45">
      <c r="A6696" s="7" t="str">
        <f t="shared" si="2434"/>
        <v>10516000094</v>
      </c>
      <c r="B6696" s="7" t="str">
        <f t="shared" si="2435"/>
        <v>摂津支援学校</v>
      </c>
      <c r="C6696" s="7" t="str">
        <f t="shared" si="2425"/>
        <v>行政財産</v>
      </c>
      <c r="D6696" s="7" t="str">
        <f t="shared" si="2423"/>
        <v>学校</v>
      </c>
      <c r="E6696" s="7" t="str">
        <f t="shared" si="2436"/>
        <v>大阪府高槻市柱本南町</v>
      </c>
      <c r="F6696" s="7"/>
      <c r="G6696" s="7" t="str">
        <f t="shared" si="2432"/>
        <v>事業用資産</v>
      </c>
      <c r="H6696" s="7" t="str">
        <f t="shared" si="2424"/>
        <v>棚卸以外</v>
      </c>
      <c r="I6696" s="7">
        <v>10</v>
      </c>
      <c r="J6696" s="7" t="str">
        <f>"校舎（小学部）"</f>
        <v>校舎（小学部）</v>
      </c>
      <c r="K6696" s="7" t="str">
        <f>"鉄筋コンクリート造"</f>
        <v>鉄筋コンクリート造</v>
      </c>
      <c r="L6696" s="7" t="str">
        <f>"H25.03.05"</f>
        <v>H25.03.05</v>
      </c>
      <c r="M6696" s="7">
        <v>3535.47</v>
      </c>
      <c r="N6696" s="7">
        <v>598718785</v>
      </c>
      <c r="O6696" s="7">
        <v>217327445</v>
      </c>
      <c r="P6696" s="7">
        <v>0</v>
      </c>
      <c r="Q6696" s="7" t="str">
        <f t="shared" si="2433"/>
        <v>教育庁</v>
      </c>
      <c r="R6696" s="7" t="str">
        <f t="shared" si="2437"/>
        <v>摂津支援学校</v>
      </c>
    </row>
    <row r="6697" spans="1:18" s="1" customFormat="1" x14ac:dyDescent="0.45">
      <c r="A6697" s="7" t="str">
        <f t="shared" si="2434"/>
        <v>10516000094</v>
      </c>
      <c r="B6697" s="7" t="str">
        <f t="shared" si="2435"/>
        <v>摂津支援学校</v>
      </c>
      <c r="C6697" s="7" t="str">
        <f t="shared" si="2425"/>
        <v>行政財産</v>
      </c>
      <c r="D6697" s="7" t="str">
        <f t="shared" si="2423"/>
        <v>学校</v>
      </c>
      <c r="E6697" s="7" t="str">
        <f t="shared" si="2436"/>
        <v>大阪府高槻市柱本南町</v>
      </c>
      <c r="F6697" s="7"/>
      <c r="G6697" s="7" t="str">
        <f t="shared" si="2432"/>
        <v>事業用資産</v>
      </c>
      <c r="H6697" s="7" t="str">
        <f t="shared" si="2424"/>
        <v>棚卸以外</v>
      </c>
      <c r="I6697" s="7">
        <v>11</v>
      </c>
      <c r="J6697" s="7" t="str">
        <f>"渡り廊下（増築）"</f>
        <v>渡り廊下（増築）</v>
      </c>
      <c r="K6697" s="7" t="str">
        <f>"鉄骨造"</f>
        <v>鉄骨造</v>
      </c>
      <c r="L6697" s="7" t="str">
        <f>"H25.03.05"</f>
        <v>H25.03.05</v>
      </c>
      <c r="M6697" s="7">
        <v>84.29</v>
      </c>
      <c r="N6697" s="7">
        <v>11873675</v>
      </c>
      <c r="O6697" s="7">
        <v>3830280</v>
      </c>
      <c r="P6697" s="7">
        <v>0</v>
      </c>
      <c r="Q6697" s="7" t="str">
        <f t="shared" si="2433"/>
        <v>教育庁</v>
      </c>
      <c r="R6697" s="7" t="str">
        <f t="shared" si="2437"/>
        <v>摂津支援学校</v>
      </c>
    </row>
    <row r="6698" spans="1:18" s="1" customFormat="1" x14ac:dyDescent="0.45">
      <c r="A6698" s="7" t="str">
        <f t="shared" ref="A6698:A6704" si="2438">"10452000000"</f>
        <v>10452000000</v>
      </c>
      <c r="B6698" s="7" t="str">
        <f t="shared" si="2435"/>
        <v>摂津支援学校</v>
      </c>
      <c r="C6698" s="7" t="str">
        <f t="shared" si="2425"/>
        <v>行政財産</v>
      </c>
      <c r="D6698" s="7" t="str">
        <f t="shared" si="2423"/>
        <v>学校</v>
      </c>
      <c r="E6698" s="7" t="str">
        <f t="shared" si="2436"/>
        <v>大阪府高槻市柱本南町</v>
      </c>
      <c r="F6698" s="7"/>
      <c r="G6698" s="7" t="str">
        <f t="shared" si="2432"/>
        <v>事業用資産</v>
      </c>
      <c r="H6698" s="7" t="str">
        <f t="shared" si="2424"/>
        <v>棚卸以外</v>
      </c>
      <c r="I6698" s="7">
        <v>1</v>
      </c>
      <c r="J6698" s="7" t="str">
        <f>"本館"</f>
        <v>本館</v>
      </c>
      <c r="K6698" s="7" t="str">
        <f>"鉄筋コンクリート造"</f>
        <v>鉄筋コンクリート造</v>
      </c>
      <c r="L6698" s="7" t="str">
        <f>"S55.04.01"</f>
        <v>S55.04.01</v>
      </c>
      <c r="M6698" s="7">
        <v>3656.03</v>
      </c>
      <c r="N6698" s="7">
        <v>477116334</v>
      </c>
      <c r="O6698" s="7">
        <v>333606205</v>
      </c>
      <c r="P6698" s="7">
        <v>0</v>
      </c>
      <c r="Q6698" s="7" t="str">
        <f t="shared" si="2433"/>
        <v>教育庁</v>
      </c>
      <c r="R6698" s="7" t="str">
        <f t="shared" ref="R6698:R6704" si="2439">"とりかい高等支援学校"</f>
        <v>とりかい高等支援学校</v>
      </c>
    </row>
    <row r="6699" spans="1:18" s="1" customFormat="1" x14ac:dyDescent="0.45">
      <c r="A6699" s="7" t="str">
        <f t="shared" si="2438"/>
        <v>10452000000</v>
      </c>
      <c r="B6699" s="7" t="str">
        <f t="shared" si="2435"/>
        <v>摂津支援学校</v>
      </c>
      <c r="C6699" s="7" t="str">
        <f t="shared" si="2425"/>
        <v>行政財産</v>
      </c>
      <c r="D6699" s="7" t="str">
        <f t="shared" si="2423"/>
        <v>学校</v>
      </c>
      <c r="E6699" s="7" t="str">
        <f t="shared" si="2436"/>
        <v>大阪府高槻市柱本南町</v>
      </c>
      <c r="F6699" s="7"/>
      <c r="G6699" s="7" t="str">
        <f t="shared" si="2432"/>
        <v>事業用資産</v>
      </c>
      <c r="H6699" s="7" t="str">
        <f t="shared" si="2424"/>
        <v>棚卸以外</v>
      </c>
      <c r="I6699" s="7">
        <v>2</v>
      </c>
      <c r="J6699" s="7" t="str">
        <f>"倉庫"</f>
        <v>倉庫</v>
      </c>
      <c r="K6699" s="7" t="str">
        <f>"鉄骨造"</f>
        <v>鉄骨造</v>
      </c>
      <c r="L6699" s="7" t="str">
        <f>"S55.06.13"</f>
        <v>S55.06.13</v>
      </c>
      <c r="M6699" s="7">
        <v>20.100000000000001</v>
      </c>
      <c r="N6699" s="7">
        <v>431254</v>
      </c>
      <c r="O6699" s="7">
        <v>431253</v>
      </c>
      <c r="P6699" s="7">
        <v>0</v>
      </c>
      <c r="Q6699" s="7" t="str">
        <f t="shared" si="2433"/>
        <v>教育庁</v>
      </c>
      <c r="R6699" s="7" t="str">
        <f t="shared" si="2439"/>
        <v>とりかい高等支援学校</v>
      </c>
    </row>
    <row r="6700" spans="1:18" s="1" customFormat="1" x14ac:dyDescent="0.45">
      <c r="A6700" s="7" t="str">
        <f t="shared" si="2438"/>
        <v>10452000000</v>
      </c>
      <c r="B6700" s="7" t="str">
        <f t="shared" si="2435"/>
        <v>摂津支援学校</v>
      </c>
      <c r="C6700" s="7" t="str">
        <f t="shared" si="2425"/>
        <v>行政財産</v>
      </c>
      <c r="D6700" s="7" t="str">
        <f t="shared" si="2423"/>
        <v>学校</v>
      </c>
      <c r="E6700" s="7" t="str">
        <f t="shared" si="2436"/>
        <v>大阪府高槻市柱本南町</v>
      </c>
      <c r="F6700" s="7"/>
      <c r="G6700" s="7" t="str">
        <f t="shared" si="2432"/>
        <v>事業用資産</v>
      </c>
      <c r="H6700" s="7" t="str">
        <f t="shared" si="2424"/>
        <v>棚卸以外</v>
      </c>
      <c r="I6700" s="7">
        <v>3</v>
      </c>
      <c r="J6700" s="7" t="str">
        <f>"体育館"</f>
        <v>体育館</v>
      </c>
      <c r="K6700" s="7" t="str">
        <f>"鉄筋コンクリート造"</f>
        <v>鉄筋コンクリート造</v>
      </c>
      <c r="L6700" s="7" t="str">
        <f>"S56.03.28"</f>
        <v>S56.03.28</v>
      </c>
      <c r="M6700" s="7">
        <v>782.09</v>
      </c>
      <c r="N6700" s="7">
        <v>181758063</v>
      </c>
      <c r="O6700" s="7">
        <v>138775165</v>
      </c>
      <c r="P6700" s="7">
        <v>0</v>
      </c>
      <c r="Q6700" s="7" t="str">
        <f t="shared" si="2433"/>
        <v>教育庁</v>
      </c>
      <c r="R6700" s="7" t="str">
        <f t="shared" si="2439"/>
        <v>とりかい高等支援学校</v>
      </c>
    </row>
    <row r="6701" spans="1:18" s="1" customFormat="1" x14ac:dyDescent="0.45">
      <c r="A6701" s="7" t="str">
        <f t="shared" si="2438"/>
        <v>10452000000</v>
      </c>
      <c r="B6701" s="7" t="str">
        <f t="shared" si="2435"/>
        <v>摂津支援学校</v>
      </c>
      <c r="C6701" s="7" t="str">
        <f t="shared" si="2425"/>
        <v>行政財産</v>
      </c>
      <c r="D6701" s="7" t="str">
        <f t="shared" si="2423"/>
        <v>学校</v>
      </c>
      <c r="E6701" s="7" t="str">
        <f t="shared" si="2436"/>
        <v>大阪府高槻市柱本南町</v>
      </c>
      <c r="F6701" s="7"/>
      <c r="G6701" s="7" t="str">
        <f t="shared" si="2432"/>
        <v>事業用資産</v>
      </c>
      <c r="H6701" s="7" t="str">
        <f t="shared" si="2424"/>
        <v>棚卸以外</v>
      </c>
      <c r="I6701" s="7">
        <v>4</v>
      </c>
      <c r="J6701" s="7" t="str">
        <f>"プール附属棟"</f>
        <v>プール附属棟</v>
      </c>
      <c r="K6701" s="7" t="str">
        <f>"鉄筋コンクリート造"</f>
        <v>鉄筋コンクリート造</v>
      </c>
      <c r="L6701" s="7" t="str">
        <f>"S56.03.28"</f>
        <v>S56.03.28</v>
      </c>
      <c r="M6701" s="7">
        <v>27.74</v>
      </c>
      <c r="N6701" s="7">
        <v>8993117</v>
      </c>
      <c r="O6701" s="7">
        <v>7584000</v>
      </c>
      <c r="P6701" s="7">
        <v>0</v>
      </c>
      <c r="Q6701" s="7" t="str">
        <f t="shared" si="2433"/>
        <v>教育庁</v>
      </c>
      <c r="R6701" s="7" t="str">
        <f t="shared" si="2439"/>
        <v>とりかい高等支援学校</v>
      </c>
    </row>
    <row r="6702" spans="1:18" s="1" customFormat="1" x14ac:dyDescent="0.45">
      <c r="A6702" s="7" t="str">
        <f t="shared" si="2438"/>
        <v>10452000000</v>
      </c>
      <c r="B6702" s="7" t="str">
        <f t="shared" si="2435"/>
        <v>摂津支援学校</v>
      </c>
      <c r="C6702" s="7" t="str">
        <f t="shared" si="2425"/>
        <v>行政財産</v>
      </c>
      <c r="D6702" s="7" t="str">
        <f t="shared" si="2423"/>
        <v>学校</v>
      </c>
      <c r="E6702" s="7" t="str">
        <f t="shared" si="2436"/>
        <v>大阪府高槻市柱本南町</v>
      </c>
      <c r="F6702" s="7"/>
      <c r="G6702" s="7" t="str">
        <f t="shared" si="2432"/>
        <v>事業用資産</v>
      </c>
      <c r="H6702" s="7" t="str">
        <f t="shared" si="2424"/>
        <v>棚卸以外</v>
      </c>
      <c r="I6702" s="7">
        <v>5</v>
      </c>
      <c r="J6702" s="7" t="str">
        <f>"倉庫"</f>
        <v>倉庫</v>
      </c>
      <c r="K6702" s="7" t="str">
        <f>"コンクリートブロック造"</f>
        <v>コンクリートブロック造</v>
      </c>
      <c r="L6702" s="7" t="str">
        <f>"S58.03.25"</f>
        <v>S58.03.25</v>
      </c>
      <c r="M6702" s="7">
        <v>0.8</v>
      </c>
      <c r="N6702" s="7">
        <v>34260</v>
      </c>
      <c r="O6702" s="7">
        <v>34259</v>
      </c>
      <c r="P6702" s="7">
        <v>0</v>
      </c>
      <c r="Q6702" s="7" t="str">
        <f t="shared" si="2433"/>
        <v>教育庁</v>
      </c>
      <c r="R6702" s="7" t="str">
        <f t="shared" si="2439"/>
        <v>とりかい高等支援学校</v>
      </c>
    </row>
    <row r="6703" spans="1:18" s="1" customFormat="1" x14ac:dyDescent="0.45">
      <c r="A6703" s="7" t="str">
        <f t="shared" si="2438"/>
        <v>10452000000</v>
      </c>
      <c r="B6703" s="7" t="str">
        <f t="shared" si="2435"/>
        <v>摂津支援学校</v>
      </c>
      <c r="C6703" s="7" t="str">
        <f t="shared" si="2425"/>
        <v>行政財産</v>
      </c>
      <c r="D6703" s="7" t="str">
        <f t="shared" si="2423"/>
        <v>学校</v>
      </c>
      <c r="E6703" s="7" t="str">
        <f t="shared" si="2436"/>
        <v>大阪府高槻市柱本南町</v>
      </c>
      <c r="F6703" s="7"/>
      <c r="G6703" s="7" t="str">
        <f t="shared" si="2432"/>
        <v>事業用資産</v>
      </c>
      <c r="H6703" s="7" t="str">
        <f t="shared" si="2424"/>
        <v>棚卸以外</v>
      </c>
      <c r="I6703" s="7">
        <v>6</v>
      </c>
      <c r="J6703" s="7" t="str">
        <f>"倉庫"</f>
        <v>倉庫</v>
      </c>
      <c r="K6703" s="7" t="str">
        <f>"軽量鉄骨造"</f>
        <v>軽量鉄骨造</v>
      </c>
      <c r="L6703" s="7" t="str">
        <f>"H09.03.31"</f>
        <v>H09.03.31</v>
      </c>
      <c r="M6703" s="7">
        <v>25.11</v>
      </c>
      <c r="N6703" s="7">
        <v>831933</v>
      </c>
      <c r="O6703" s="7">
        <v>831932</v>
      </c>
      <c r="P6703" s="7">
        <v>0</v>
      </c>
      <c r="Q6703" s="7" t="str">
        <f t="shared" si="2433"/>
        <v>教育庁</v>
      </c>
      <c r="R6703" s="7" t="str">
        <f t="shared" si="2439"/>
        <v>とりかい高等支援学校</v>
      </c>
    </row>
    <row r="6704" spans="1:18" s="1" customFormat="1" x14ac:dyDescent="0.45">
      <c r="A6704" s="7" t="str">
        <f t="shared" si="2438"/>
        <v>10452000000</v>
      </c>
      <c r="B6704" s="7" t="str">
        <f t="shared" si="2435"/>
        <v>摂津支援学校</v>
      </c>
      <c r="C6704" s="7" t="str">
        <f t="shared" si="2425"/>
        <v>行政財産</v>
      </c>
      <c r="D6704" s="7" t="str">
        <f t="shared" si="2423"/>
        <v>学校</v>
      </c>
      <c r="E6704" s="7" t="str">
        <f t="shared" si="2436"/>
        <v>大阪府高槻市柱本南町</v>
      </c>
      <c r="F6704" s="7"/>
      <c r="G6704" s="7" t="str">
        <f t="shared" si="2432"/>
        <v>事業用資産</v>
      </c>
      <c r="H6704" s="7" t="str">
        <f t="shared" si="2424"/>
        <v>棚卸以外</v>
      </c>
      <c r="I6704" s="7">
        <v>7</v>
      </c>
      <c r="J6704" s="7" t="str">
        <f>"渡り廊下（増築）"</f>
        <v>渡り廊下（増築）</v>
      </c>
      <c r="K6704" s="7" t="str">
        <f>"鉄骨造"</f>
        <v>鉄骨造</v>
      </c>
      <c r="L6704" s="7" t="str">
        <f>"H25.03.05"</f>
        <v>H25.03.05</v>
      </c>
      <c r="M6704" s="7">
        <v>21.21</v>
      </c>
      <c r="N6704" s="7">
        <v>2986993</v>
      </c>
      <c r="O6704" s="7">
        <v>963600</v>
      </c>
      <c r="P6704" s="7">
        <v>0</v>
      </c>
      <c r="Q6704" s="7" t="str">
        <f t="shared" si="2433"/>
        <v>教育庁</v>
      </c>
      <c r="R6704" s="7" t="str">
        <f t="shared" si="2439"/>
        <v>とりかい高等支援学校</v>
      </c>
    </row>
    <row r="6705" spans="1:18" s="1" customFormat="1" x14ac:dyDescent="0.45">
      <c r="A6705" s="7" t="str">
        <f t="shared" ref="A6705:A6714" si="2440">"10467000500"</f>
        <v>10467000500</v>
      </c>
      <c r="B6705" s="7" t="str">
        <f t="shared" ref="B6705:B6714" si="2441">"泉南支援学校"</f>
        <v>泉南支援学校</v>
      </c>
      <c r="C6705" s="7" t="str">
        <f t="shared" si="2425"/>
        <v>行政財産</v>
      </c>
      <c r="D6705" s="7" t="str">
        <f t="shared" si="2423"/>
        <v>学校</v>
      </c>
      <c r="E6705" s="7" t="str">
        <f t="shared" ref="E6705:E6722" si="2442">"大阪府泉南市信達牧野"</f>
        <v>大阪府泉南市信達牧野</v>
      </c>
      <c r="F6705" s="7"/>
      <c r="G6705" s="7" t="str">
        <f t="shared" si="2432"/>
        <v>事業用資産</v>
      </c>
      <c r="H6705" s="7" t="str">
        <f t="shared" si="2424"/>
        <v>棚卸以外</v>
      </c>
      <c r="I6705" s="7">
        <v>4</v>
      </c>
      <c r="J6705" s="7" t="str">
        <f>"体育館"</f>
        <v>体育館</v>
      </c>
      <c r="K6705" s="7" t="str">
        <f>"鉄筋コンクリート造"</f>
        <v>鉄筋コンクリート造</v>
      </c>
      <c r="L6705" s="7" t="str">
        <f>"S58.12.27"</f>
        <v>S58.12.27</v>
      </c>
      <c r="M6705" s="7">
        <v>2769.95</v>
      </c>
      <c r="N6705" s="7">
        <v>561717559</v>
      </c>
      <c r="O6705" s="7">
        <v>401459448</v>
      </c>
      <c r="P6705" s="7">
        <v>0</v>
      </c>
      <c r="Q6705" s="7" t="str">
        <f t="shared" si="2433"/>
        <v>教育庁</v>
      </c>
      <c r="R6705" s="7" t="str">
        <f t="shared" ref="R6705:R6714" si="2443">"泉南支援学校"</f>
        <v>泉南支援学校</v>
      </c>
    </row>
    <row r="6706" spans="1:18" s="1" customFormat="1" x14ac:dyDescent="0.45">
      <c r="A6706" s="7" t="str">
        <f t="shared" si="2440"/>
        <v>10467000500</v>
      </c>
      <c r="B6706" s="7" t="str">
        <f t="shared" si="2441"/>
        <v>泉南支援学校</v>
      </c>
      <c r="C6706" s="7" t="str">
        <f t="shared" si="2425"/>
        <v>行政財産</v>
      </c>
      <c r="D6706" s="7" t="str">
        <f t="shared" si="2423"/>
        <v>学校</v>
      </c>
      <c r="E6706" s="7" t="str">
        <f t="shared" si="2442"/>
        <v>大阪府泉南市信達牧野</v>
      </c>
      <c r="F6706" s="7"/>
      <c r="G6706" s="7" t="str">
        <f t="shared" si="2432"/>
        <v>事業用資産</v>
      </c>
      <c r="H6706" s="7" t="str">
        <f t="shared" si="2424"/>
        <v>棚卸以外</v>
      </c>
      <c r="I6706" s="7">
        <v>5</v>
      </c>
      <c r="J6706" s="7" t="str">
        <f>"倉庫棟"</f>
        <v>倉庫棟</v>
      </c>
      <c r="K6706" s="7" t="str">
        <f>"鉄骨造"</f>
        <v>鉄骨造</v>
      </c>
      <c r="L6706" s="7" t="str">
        <f>"S59.03.01"</f>
        <v>S59.03.01</v>
      </c>
      <c r="M6706" s="7">
        <v>72.45</v>
      </c>
      <c r="N6706" s="7">
        <v>7291343</v>
      </c>
      <c r="O6706" s="7">
        <v>7291342</v>
      </c>
      <c r="P6706" s="7">
        <v>0</v>
      </c>
      <c r="Q6706" s="7" t="str">
        <f t="shared" si="2433"/>
        <v>教育庁</v>
      </c>
      <c r="R6706" s="7" t="str">
        <f t="shared" si="2443"/>
        <v>泉南支援学校</v>
      </c>
    </row>
    <row r="6707" spans="1:18" s="1" customFormat="1" x14ac:dyDescent="0.45">
      <c r="A6707" s="7" t="str">
        <f t="shared" si="2440"/>
        <v>10467000500</v>
      </c>
      <c r="B6707" s="7" t="str">
        <f t="shared" si="2441"/>
        <v>泉南支援学校</v>
      </c>
      <c r="C6707" s="7" t="str">
        <f t="shared" si="2425"/>
        <v>行政財産</v>
      </c>
      <c r="D6707" s="7" t="str">
        <f t="shared" si="2423"/>
        <v>学校</v>
      </c>
      <c r="E6707" s="7" t="str">
        <f t="shared" si="2442"/>
        <v>大阪府泉南市信達牧野</v>
      </c>
      <c r="F6707" s="7"/>
      <c r="G6707" s="7" t="str">
        <f t="shared" si="2432"/>
        <v>事業用資産</v>
      </c>
      <c r="H6707" s="7" t="str">
        <f t="shared" si="2424"/>
        <v>棚卸以外</v>
      </c>
      <c r="I6707" s="7">
        <v>6</v>
      </c>
      <c r="J6707" s="7" t="str">
        <f>"フ゜－ル附属棟"</f>
        <v>フ゜－ル附属棟</v>
      </c>
      <c r="K6707" s="7" t="str">
        <f>"鉄筋コンクリート造"</f>
        <v>鉄筋コンクリート造</v>
      </c>
      <c r="L6707" s="7" t="str">
        <f>"S59.04.09"</f>
        <v>S59.04.09</v>
      </c>
      <c r="M6707" s="7">
        <v>99.98</v>
      </c>
      <c r="N6707" s="7">
        <v>52914672</v>
      </c>
      <c r="O6707" s="7">
        <v>29742292</v>
      </c>
      <c r="P6707" s="7">
        <v>0</v>
      </c>
      <c r="Q6707" s="7" t="str">
        <f t="shared" si="2433"/>
        <v>教育庁</v>
      </c>
      <c r="R6707" s="7" t="str">
        <f t="shared" si="2443"/>
        <v>泉南支援学校</v>
      </c>
    </row>
    <row r="6708" spans="1:18" s="1" customFormat="1" x14ac:dyDescent="0.45">
      <c r="A6708" s="7" t="str">
        <f t="shared" si="2440"/>
        <v>10467000500</v>
      </c>
      <c r="B6708" s="7" t="str">
        <f t="shared" si="2441"/>
        <v>泉南支援学校</v>
      </c>
      <c r="C6708" s="7" t="str">
        <f t="shared" si="2425"/>
        <v>行政財産</v>
      </c>
      <c r="D6708" s="7" t="str">
        <f t="shared" si="2423"/>
        <v>学校</v>
      </c>
      <c r="E6708" s="7" t="str">
        <f t="shared" si="2442"/>
        <v>大阪府泉南市信達牧野</v>
      </c>
      <c r="F6708" s="7"/>
      <c r="G6708" s="7" t="str">
        <f t="shared" si="2432"/>
        <v>事業用資産</v>
      </c>
      <c r="H6708" s="7" t="str">
        <f t="shared" si="2424"/>
        <v>棚卸以外</v>
      </c>
      <c r="I6708" s="7">
        <v>7</v>
      </c>
      <c r="J6708" s="7" t="str">
        <f>"運動場倉庫棟"</f>
        <v>運動場倉庫棟</v>
      </c>
      <c r="K6708" s="7" t="str">
        <f>"鉄骨造"</f>
        <v>鉄骨造</v>
      </c>
      <c r="L6708" s="7" t="str">
        <f>"S59.04.09"</f>
        <v>S59.04.09</v>
      </c>
      <c r="M6708" s="7">
        <v>36.229999999999997</v>
      </c>
      <c r="N6708" s="7">
        <v>4674839</v>
      </c>
      <c r="O6708" s="7">
        <v>4674838</v>
      </c>
      <c r="P6708" s="7">
        <v>0</v>
      </c>
      <c r="Q6708" s="7" t="str">
        <f t="shared" si="2433"/>
        <v>教育庁</v>
      </c>
      <c r="R6708" s="7" t="str">
        <f t="shared" si="2443"/>
        <v>泉南支援学校</v>
      </c>
    </row>
    <row r="6709" spans="1:18" s="1" customFormat="1" x14ac:dyDescent="0.45">
      <c r="A6709" s="7" t="str">
        <f t="shared" si="2440"/>
        <v>10467000500</v>
      </c>
      <c r="B6709" s="7" t="str">
        <f t="shared" si="2441"/>
        <v>泉南支援学校</v>
      </c>
      <c r="C6709" s="7" t="str">
        <f t="shared" si="2425"/>
        <v>行政財産</v>
      </c>
      <c r="D6709" s="7" t="str">
        <f t="shared" si="2423"/>
        <v>学校</v>
      </c>
      <c r="E6709" s="7" t="str">
        <f t="shared" si="2442"/>
        <v>大阪府泉南市信達牧野</v>
      </c>
      <c r="F6709" s="7"/>
      <c r="G6709" s="7" t="str">
        <f t="shared" si="2432"/>
        <v>事業用資産</v>
      </c>
      <c r="H6709" s="7" t="str">
        <f t="shared" si="2424"/>
        <v>棚卸以外</v>
      </c>
      <c r="I6709" s="7">
        <v>8</v>
      </c>
      <c r="J6709" s="7" t="str">
        <f>"校舎棟"</f>
        <v>校舎棟</v>
      </c>
      <c r="K6709" s="7" t="str">
        <f>"鉄筋コンクリート造"</f>
        <v>鉄筋コンクリート造</v>
      </c>
      <c r="L6709" s="7" t="str">
        <f>"S58.03.31"</f>
        <v>S58.03.31</v>
      </c>
      <c r="M6709" s="7">
        <v>6775.61</v>
      </c>
      <c r="N6709" s="7">
        <v>1736614599</v>
      </c>
      <c r="O6709" s="7">
        <v>1182852333</v>
      </c>
      <c r="P6709" s="7">
        <v>0</v>
      </c>
      <c r="Q6709" s="7" t="str">
        <f t="shared" si="2433"/>
        <v>教育庁</v>
      </c>
      <c r="R6709" s="7" t="str">
        <f t="shared" si="2443"/>
        <v>泉南支援学校</v>
      </c>
    </row>
    <row r="6710" spans="1:18" s="1" customFormat="1" x14ac:dyDescent="0.45">
      <c r="A6710" s="7" t="str">
        <f t="shared" si="2440"/>
        <v>10467000500</v>
      </c>
      <c r="B6710" s="7" t="str">
        <f t="shared" si="2441"/>
        <v>泉南支援学校</v>
      </c>
      <c r="C6710" s="7" t="str">
        <f t="shared" si="2425"/>
        <v>行政財産</v>
      </c>
      <c r="D6710" s="7" t="str">
        <f t="shared" si="2423"/>
        <v>学校</v>
      </c>
      <c r="E6710" s="7" t="str">
        <f t="shared" si="2442"/>
        <v>大阪府泉南市信達牧野</v>
      </c>
      <c r="F6710" s="7"/>
      <c r="G6710" s="7" t="str">
        <f t="shared" si="2432"/>
        <v>事業用資産</v>
      </c>
      <c r="H6710" s="7" t="str">
        <f t="shared" si="2424"/>
        <v>棚卸以外</v>
      </c>
      <c r="I6710" s="7">
        <v>9</v>
      </c>
      <c r="J6710" s="7" t="str">
        <f>"汚水処理棟"</f>
        <v>汚水処理棟</v>
      </c>
      <c r="K6710" s="7" t="str">
        <f>"鉄筋コンクリート造"</f>
        <v>鉄筋コンクリート造</v>
      </c>
      <c r="L6710" s="7" t="str">
        <f>"S58.03.31"</f>
        <v>S58.03.31</v>
      </c>
      <c r="M6710" s="7">
        <v>82.28</v>
      </c>
      <c r="N6710" s="7">
        <v>66437246</v>
      </c>
      <c r="O6710" s="7">
        <v>61558838</v>
      </c>
      <c r="P6710" s="7">
        <v>0</v>
      </c>
      <c r="Q6710" s="7" t="str">
        <f t="shared" si="2433"/>
        <v>教育庁</v>
      </c>
      <c r="R6710" s="7" t="str">
        <f t="shared" si="2443"/>
        <v>泉南支援学校</v>
      </c>
    </row>
    <row r="6711" spans="1:18" s="1" customFormat="1" x14ac:dyDescent="0.45">
      <c r="A6711" s="7" t="str">
        <f t="shared" si="2440"/>
        <v>10467000500</v>
      </c>
      <c r="B6711" s="7" t="str">
        <f t="shared" si="2441"/>
        <v>泉南支援学校</v>
      </c>
      <c r="C6711" s="7" t="str">
        <f t="shared" si="2425"/>
        <v>行政財産</v>
      </c>
      <c r="D6711" s="7" t="str">
        <f t="shared" si="2423"/>
        <v>学校</v>
      </c>
      <c r="E6711" s="7" t="str">
        <f t="shared" si="2442"/>
        <v>大阪府泉南市信達牧野</v>
      </c>
      <c r="F6711" s="7"/>
      <c r="G6711" s="7" t="str">
        <f t="shared" si="2432"/>
        <v>事業用資産</v>
      </c>
      <c r="H6711" s="7" t="str">
        <f t="shared" si="2424"/>
        <v>棚卸以外</v>
      </c>
      <c r="I6711" s="7">
        <v>11</v>
      </c>
      <c r="J6711" s="7" t="str">
        <f>"倉庫棟"</f>
        <v>倉庫棟</v>
      </c>
      <c r="K6711" s="7" t="str">
        <f>"鉄骨造"</f>
        <v>鉄骨造</v>
      </c>
      <c r="L6711" s="7" t="str">
        <f>"S60.02.28"</f>
        <v>S60.02.28</v>
      </c>
      <c r="M6711" s="7">
        <v>36.229999999999997</v>
      </c>
      <c r="N6711" s="7">
        <v>4942289</v>
      </c>
      <c r="O6711" s="7">
        <v>4942288</v>
      </c>
      <c r="P6711" s="7">
        <v>0</v>
      </c>
      <c r="Q6711" s="7" t="str">
        <f t="shared" si="2433"/>
        <v>教育庁</v>
      </c>
      <c r="R6711" s="7" t="str">
        <f t="shared" si="2443"/>
        <v>泉南支援学校</v>
      </c>
    </row>
    <row r="6712" spans="1:18" s="1" customFormat="1" x14ac:dyDescent="0.45">
      <c r="A6712" s="7" t="str">
        <f t="shared" si="2440"/>
        <v>10467000500</v>
      </c>
      <c r="B6712" s="7" t="str">
        <f t="shared" si="2441"/>
        <v>泉南支援学校</v>
      </c>
      <c r="C6712" s="7" t="str">
        <f t="shared" si="2425"/>
        <v>行政財産</v>
      </c>
      <c r="D6712" s="7" t="str">
        <f t="shared" si="2423"/>
        <v>学校</v>
      </c>
      <c r="E6712" s="7" t="str">
        <f t="shared" si="2442"/>
        <v>大阪府泉南市信達牧野</v>
      </c>
      <c r="F6712" s="7"/>
      <c r="G6712" s="7" t="str">
        <f t="shared" si="2432"/>
        <v>事業用資産</v>
      </c>
      <c r="H6712" s="7" t="str">
        <f t="shared" si="2424"/>
        <v>棚卸以外</v>
      </c>
      <c r="I6712" s="7">
        <v>12</v>
      </c>
      <c r="J6712" s="7" t="str">
        <f>"石灰庫"</f>
        <v>石灰庫</v>
      </c>
      <c r="K6712" s="7" t="str">
        <f>"コンクリートブロック造"</f>
        <v>コンクリートブロック造</v>
      </c>
      <c r="L6712" s="7" t="str">
        <f>"S60.10.07"</f>
        <v>S60.10.07</v>
      </c>
      <c r="M6712" s="7">
        <v>4.71</v>
      </c>
      <c r="N6712" s="7">
        <v>566061</v>
      </c>
      <c r="O6712" s="7">
        <v>566060</v>
      </c>
      <c r="P6712" s="7">
        <v>0</v>
      </c>
      <c r="Q6712" s="7" t="str">
        <f t="shared" si="2433"/>
        <v>教育庁</v>
      </c>
      <c r="R6712" s="7" t="str">
        <f t="shared" si="2443"/>
        <v>泉南支援学校</v>
      </c>
    </row>
    <row r="6713" spans="1:18" s="1" customFormat="1" x14ac:dyDescent="0.45">
      <c r="A6713" s="7" t="str">
        <f t="shared" si="2440"/>
        <v>10467000500</v>
      </c>
      <c r="B6713" s="7" t="str">
        <f t="shared" si="2441"/>
        <v>泉南支援学校</v>
      </c>
      <c r="C6713" s="7" t="str">
        <f t="shared" si="2425"/>
        <v>行政財産</v>
      </c>
      <c r="D6713" s="7" t="str">
        <f t="shared" si="2423"/>
        <v>学校</v>
      </c>
      <c r="E6713" s="7" t="str">
        <f t="shared" si="2442"/>
        <v>大阪府泉南市信達牧野</v>
      </c>
      <c r="F6713" s="7"/>
      <c r="G6713" s="7" t="str">
        <f t="shared" si="2432"/>
        <v>事業用資産</v>
      </c>
      <c r="H6713" s="7" t="str">
        <f t="shared" si="2424"/>
        <v>棚卸以外</v>
      </c>
      <c r="I6713" s="7">
        <v>13</v>
      </c>
      <c r="J6713" s="7" t="str">
        <f>"小学部棟"</f>
        <v>小学部棟</v>
      </c>
      <c r="K6713" s="7" t="str">
        <f>"鉄筋コンクリート造"</f>
        <v>鉄筋コンクリート造</v>
      </c>
      <c r="L6713" s="7" t="str">
        <f>"H26.03.28"</f>
        <v>H26.03.28</v>
      </c>
      <c r="M6713" s="7">
        <v>3585.64</v>
      </c>
      <c r="N6713" s="7">
        <v>690952594</v>
      </c>
      <c r="O6713" s="7">
        <v>212548763</v>
      </c>
      <c r="P6713" s="7">
        <v>0</v>
      </c>
      <c r="Q6713" s="7" t="str">
        <f t="shared" si="2433"/>
        <v>教育庁</v>
      </c>
      <c r="R6713" s="7" t="str">
        <f t="shared" si="2443"/>
        <v>泉南支援学校</v>
      </c>
    </row>
    <row r="6714" spans="1:18" s="1" customFormat="1" x14ac:dyDescent="0.45">
      <c r="A6714" s="7" t="str">
        <f t="shared" si="2440"/>
        <v>10467000500</v>
      </c>
      <c r="B6714" s="7" t="str">
        <f t="shared" si="2441"/>
        <v>泉南支援学校</v>
      </c>
      <c r="C6714" s="7" t="str">
        <f t="shared" si="2425"/>
        <v>行政財産</v>
      </c>
      <c r="D6714" s="7" t="str">
        <f t="shared" si="2423"/>
        <v>学校</v>
      </c>
      <c r="E6714" s="7" t="str">
        <f t="shared" si="2442"/>
        <v>大阪府泉南市信達牧野</v>
      </c>
      <c r="F6714" s="7"/>
      <c r="G6714" s="7" t="str">
        <f t="shared" si="2432"/>
        <v>事業用資産</v>
      </c>
      <c r="H6714" s="7" t="str">
        <f t="shared" si="2424"/>
        <v>棚卸以外</v>
      </c>
      <c r="I6714" s="7">
        <v>14</v>
      </c>
      <c r="J6714" s="7" t="str">
        <f>"渡り廊下"</f>
        <v>渡り廊下</v>
      </c>
      <c r="K6714" s="7" t="str">
        <f>"鉄骨造"</f>
        <v>鉄骨造</v>
      </c>
      <c r="L6714" s="7" t="str">
        <f>"H26.03.28"</f>
        <v>H26.03.28</v>
      </c>
      <c r="M6714" s="7">
        <v>177.02</v>
      </c>
      <c r="N6714" s="7">
        <v>35889084</v>
      </c>
      <c r="O6714" s="7">
        <v>10419516</v>
      </c>
      <c r="P6714" s="7">
        <v>0</v>
      </c>
      <c r="Q6714" s="7" t="str">
        <f t="shared" si="2433"/>
        <v>教育庁</v>
      </c>
      <c r="R6714" s="7" t="str">
        <f t="shared" si="2443"/>
        <v>泉南支援学校</v>
      </c>
    </row>
    <row r="6715" spans="1:18" s="1" customFormat="1" x14ac:dyDescent="0.45">
      <c r="A6715" s="7" t="str">
        <f t="shared" ref="A6715:A6722" si="2444">"10515000000"</f>
        <v>10515000000</v>
      </c>
      <c r="B6715" s="7" t="str">
        <f t="shared" ref="B6715:B6722" si="2445">"すながわ高等支援学校"</f>
        <v>すながわ高等支援学校</v>
      </c>
      <c r="C6715" s="7" t="str">
        <f t="shared" si="2425"/>
        <v>行政財産</v>
      </c>
      <c r="D6715" s="7" t="str">
        <f t="shared" si="2423"/>
        <v>学校</v>
      </c>
      <c r="E6715" s="7" t="str">
        <f t="shared" si="2442"/>
        <v>大阪府泉南市信達牧野</v>
      </c>
      <c r="F6715" s="7"/>
      <c r="G6715" s="7" t="str">
        <f t="shared" si="2432"/>
        <v>事業用資産</v>
      </c>
      <c r="H6715" s="7" t="str">
        <f t="shared" si="2424"/>
        <v>棚卸以外</v>
      </c>
      <c r="I6715" s="7">
        <v>1</v>
      </c>
      <c r="J6715" s="7" t="str">
        <f>"体育館"</f>
        <v>体育館</v>
      </c>
      <c r="K6715" s="7" t="str">
        <f>"鉄筋コンクリート造"</f>
        <v>鉄筋コンクリート造</v>
      </c>
      <c r="L6715" s="7" t="str">
        <f>"S58.12.27"</f>
        <v>S58.12.27</v>
      </c>
      <c r="M6715" s="7">
        <v>283.94</v>
      </c>
      <c r="N6715" s="7">
        <v>35491741</v>
      </c>
      <c r="O6715" s="7">
        <v>29639559</v>
      </c>
      <c r="P6715" s="7">
        <v>0</v>
      </c>
      <c r="Q6715" s="7" t="str">
        <f t="shared" si="2433"/>
        <v>教育庁</v>
      </c>
      <c r="R6715" s="7" t="str">
        <f t="shared" ref="R6715:R6722" si="2446">"すながわ高等支援学校"</f>
        <v>すながわ高等支援学校</v>
      </c>
    </row>
    <row r="6716" spans="1:18" s="1" customFormat="1" x14ac:dyDescent="0.45">
      <c r="A6716" s="7" t="str">
        <f t="shared" si="2444"/>
        <v>10515000000</v>
      </c>
      <c r="B6716" s="7" t="str">
        <f t="shared" si="2445"/>
        <v>すながわ高等支援学校</v>
      </c>
      <c r="C6716" s="7" t="str">
        <f t="shared" si="2425"/>
        <v>行政財産</v>
      </c>
      <c r="D6716" s="7" t="str">
        <f t="shared" si="2423"/>
        <v>学校</v>
      </c>
      <c r="E6716" s="7" t="str">
        <f t="shared" si="2442"/>
        <v>大阪府泉南市信達牧野</v>
      </c>
      <c r="F6716" s="7"/>
      <c r="G6716" s="7" t="str">
        <f t="shared" si="2432"/>
        <v>事業用資産</v>
      </c>
      <c r="H6716" s="7" t="str">
        <f t="shared" si="2424"/>
        <v>棚卸以外</v>
      </c>
      <c r="I6716" s="7">
        <v>2</v>
      </c>
      <c r="J6716" s="7" t="str">
        <f>"倉庫棟"</f>
        <v>倉庫棟</v>
      </c>
      <c r="K6716" s="7" t="str">
        <f>"鉄骨造"</f>
        <v>鉄骨造</v>
      </c>
      <c r="L6716" s="7" t="str">
        <f>"S59.03.01"</f>
        <v>S59.03.01</v>
      </c>
      <c r="M6716" s="7">
        <v>27.55</v>
      </c>
      <c r="N6716" s="7">
        <v>777657</v>
      </c>
      <c r="O6716" s="7">
        <v>777656</v>
      </c>
      <c r="P6716" s="7">
        <v>0</v>
      </c>
      <c r="Q6716" s="7" t="str">
        <f t="shared" si="2433"/>
        <v>教育庁</v>
      </c>
      <c r="R6716" s="7" t="str">
        <f t="shared" si="2446"/>
        <v>すながわ高等支援学校</v>
      </c>
    </row>
    <row r="6717" spans="1:18" s="1" customFormat="1" x14ac:dyDescent="0.45">
      <c r="A6717" s="7" t="str">
        <f t="shared" si="2444"/>
        <v>10515000000</v>
      </c>
      <c r="B6717" s="7" t="str">
        <f t="shared" si="2445"/>
        <v>すながわ高等支援学校</v>
      </c>
      <c r="C6717" s="7" t="str">
        <f t="shared" si="2425"/>
        <v>行政財産</v>
      </c>
      <c r="D6717" s="7" t="str">
        <f t="shared" si="2423"/>
        <v>学校</v>
      </c>
      <c r="E6717" s="7" t="str">
        <f t="shared" si="2442"/>
        <v>大阪府泉南市信達牧野</v>
      </c>
      <c r="F6717" s="7"/>
      <c r="G6717" s="7" t="str">
        <f t="shared" si="2432"/>
        <v>事業用資産</v>
      </c>
      <c r="H6717" s="7" t="str">
        <f t="shared" si="2424"/>
        <v>棚卸以外</v>
      </c>
      <c r="I6717" s="7">
        <v>3</v>
      </c>
      <c r="J6717" s="7" t="str">
        <f>"フ゜－ル附属棟"</f>
        <v>フ゜－ル附属棟</v>
      </c>
      <c r="K6717" s="7" t="str">
        <f>"鉄骨造"</f>
        <v>鉄骨造</v>
      </c>
      <c r="L6717" s="7" t="str">
        <f>"S59.04.09"</f>
        <v>S59.04.09</v>
      </c>
      <c r="M6717" s="7">
        <v>38.020000000000003</v>
      </c>
      <c r="N6717" s="7">
        <v>13333348</v>
      </c>
      <c r="O6717" s="7">
        <v>11040347</v>
      </c>
      <c r="P6717" s="7">
        <v>0</v>
      </c>
      <c r="Q6717" s="7" t="str">
        <f t="shared" si="2433"/>
        <v>教育庁</v>
      </c>
      <c r="R6717" s="7" t="str">
        <f t="shared" si="2446"/>
        <v>すながわ高等支援学校</v>
      </c>
    </row>
    <row r="6718" spans="1:18" s="1" customFormat="1" x14ac:dyDescent="0.45">
      <c r="A6718" s="7" t="str">
        <f t="shared" si="2444"/>
        <v>10515000000</v>
      </c>
      <c r="B6718" s="7" t="str">
        <f t="shared" si="2445"/>
        <v>すながわ高等支援学校</v>
      </c>
      <c r="C6718" s="7" t="str">
        <f t="shared" si="2425"/>
        <v>行政財産</v>
      </c>
      <c r="D6718" s="7" t="str">
        <f t="shared" si="2423"/>
        <v>学校</v>
      </c>
      <c r="E6718" s="7" t="str">
        <f t="shared" si="2442"/>
        <v>大阪府泉南市信達牧野</v>
      </c>
      <c r="F6718" s="7"/>
      <c r="G6718" s="7" t="str">
        <f t="shared" si="2432"/>
        <v>事業用資産</v>
      </c>
      <c r="H6718" s="7" t="str">
        <f t="shared" si="2424"/>
        <v>棚卸以外</v>
      </c>
      <c r="I6718" s="7">
        <v>4</v>
      </c>
      <c r="J6718" s="7" t="str">
        <f>"運動場倉庫棟"</f>
        <v>運動場倉庫棟</v>
      </c>
      <c r="K6718" s="7" t="str">
        <f>"鉄骨造"</f>
        <v>鉄骨造</v>
      </c>
      <c r="L6718" s="7" t="str">
        <f>"S59.04.09"</f>
        <v>S59.04.09</v>
      </c>
      <c r="M6718" s="7">
        <v>13.77</v>
      </c>
      <c r="N6718" s="7">
        <v>480161</v>
      </c>
      <c r="O6718" s="7">
        <v>480160</v>
      </c>
      <c r="P6718" s="7">
        <v>0</v>
      </c>
      <c r="Q6718" s="7" t="str">
        <f t="shared" si="2433"/>
        <v>教育庁</v>
      </c>
      <c r="R6718" s="7" t="str">
        <f t="shared" si="2446"/>
        <v>すながわ高等支援学校</v>
      </c>
    </row>
    <row r="6719" spans="1:18" s="1" customFormat="1" x14ac:dyDescent="0.45">
      <c r="A6719" s="7" t="str">
        <f t="shared" si="2444"/>
        <v>10515000000</v>
      </c>
      <c r="B6719" s="7" t="str">
        <f t="shared" si="2445"/>
        <v>すながわ高等支援学校</v>
      </c>
      <c r="C6719" s="7" t="str">
        <f t="shared" si="2425"/>
        <v>行政財産</v>
      </c>
      <c r="D6719" s="7" t="str">
        <f t="shared" si="2423"/>
        <v>学校</v>
      </c>
      <c r="E6719" s="7" t="str">
        <f t="shared" si="2442"/>
        <v>大阪府泉南市信達牧野</v>
      </c>
      <c r="F6719" s="7"/>
      <c r="G6719" s="7" t="str">
        <f t="shared" si="2432"/>
        <v>事業用資産</v>
      </c>
      <c r="H6719" s="7" t="str">
        <f t="shared" si="2424"/>
        <v>棚卸以外</v>
      </c>
      <c r="I6719" s="7">
        <v>5</v>
      </c>
      <c r="J6719" s="7" t="str">
        <f>"校舎棟"</f>
        <v>校舎棟</v>
      </c>
      <c r="K6719" s="7" t="str">
        <f>"鉄筋コンクリート造"</f>
        <v>鉄筋コンクリート造</v>
      </c>
      <c r="L6719" s="7" t="str">
        <f>"S58.03.31"</f>
        <v>S58.03.31</v>
      </c>
      <c r="M6719" s="7">
        <v>4174.1400000000003</v>
      </c>
      <c r="N6719" s="7">
        <v>633177710</v>
      </c>
      <c r="O6719" s="7">
        <v>537977915</v>
      </c>
      <c r="P6719" s="7">
        <v>0</v>
      </c>
      <c r="Q6719" s="7" t="str">
        <f t="shared" si="2433"/>
        <v>教育庁</v>
      </c>
      <c r="R6719" s="7" t="str">
        <f t="shared" si="2446"/>
        <v>すながわ高等支援学校</v>
      </c>
    </row>
    <row r="6720" spans="1:18" s="1" customFormat="1" x14ac:dyDescent="0.45">
      <c r="A6720" s="7" t="str">
        <f t="shared" si="2444"/>
        <v>10515000000</v>
      </c>
      <c r="B6720" s="7" t="str">
        <f t="shared" si="2445"/>
        <v>すながわ高等支援学校</v>
      </c>
      <c r="C6720" s="7" t="str">
        <f t="shared" si="2425"/>
        <v>行政財産</v>
      </c>
      <c r="D6720" s="7" t="str">
        <f t="shared" si="2423"/>
        <v>学校</v>
      </c>
      <c r="E6720" s="7" t="str">
        <f t="shared" si="2442"/>
        <v>大阪府泉南市信達牧野</v>
      </c>
      <c r="F6720" s="7"/>
      <c r="G6720" s="7" t="str">
        <f t="shared" si="2432"/>
        <v>事業用資産</v>
      </c>
      <c r="H6720" s="7" t="str">
        <f t="shared" si="2424"/>
        <v>棚卸以外</v>
      </c>
      <c r="I6720" s="7">
        <v>6</v>
      </c>
      <c r="J6720" s="7" t="str">
        <f>"汚水処理棟"</f>
        <v>汚水処理棟</v>
      </c>
      <c r="K6720" s="7" t="str">
        <f>"鉄筋コンクリート造"</f>
        <v>鉄筋コンクリート造</v>
      </c>
      <c r="L6720" s="7" t="str">
        <f>"S58.03.31"</f>
        <v>S58.03.31</v>
      </c>
      <c r="M6720" s="7">
        <v>31.28</v>
      </c>
      <c r="N6720" s="7">
        <v>12072696</v>
      </c>
      <c r="O6720" s="7">
        <v>12072695</v>
      </c>
      <c r="P6720" s="7">
        <v>0</v>
      </c>
      <c r="Q6720" s="7" t="str">
        <f t="shared" si="2433"/>
        <v>教育庁</v>
      </c>
      <c r="R6720" s="7" t="str">
        <f t="shared" si="2446"/>
        <v>すながわ高等支援学校</v>
      </c>
    </row>
    <row r="6721" spans="1:18" s="1" customFormat="1" x14ac:dyDescent="0.45">
      <c r="A6721" s="7" t="str">
        <f t="shared" si="2444"/>
        <v>10515000000</v>
      </c>
      <c r="B6721" s="7" t="str">
        <f t="shared" si="2445"/>
        <v>すながわ高等支援学校</v>
      </c>
      <c r="C6721" s="7" t="str">
        <f t="shared" si="2425"/>
        <v>行政財産</v>
      </c>
      <c r="D6721" s="7" t="str">
        <f t="shared" si="2423"/>
        <v>学校</v>
      </c>
      <c r="E6721" s="7" t="str">
        <f t="shared" si="2442"/>
        <v>大阪府泉南市信達牧野</v>
      </c>
      <c r="F6721" s="7"/>
      <c r="G6721" s="7" t="str">
        <f t="shared" si="2432"/>
        <v>事業用資産</v>
      </c>
      <c r="H6721" s="7" t="str">
        <f t="shared" si="2424"/>
        <v>棚卸以外</v>
      </c>
      <c r="I6721" s="7">
        <v>7</v>
      </c>
      <c r="J6721" s="7" t="str">
        <f>"倉庫棟"</f>
        <v>倉庫棟</v>
      </c>
      <c r="K6721" s="7" t="str">
        <f>"鉄骨造"</f>
        <v>鉄骨造</v>
      </c>
      <c r="L6721" s="7" t="str">
        <f>"S60.02.28"</f>
        <v>S60.02.28</v>
      </c>
      <c r="M6721" s="7">
        <v>13.77</v>
      </c>
      <c r="N6721" s="7">
        <v>507711</v>
      </c>
      <c r="O6721" s="7">
        <v>507710</v>
      </c>
      <c r="P6721" s="7">
        <v>0</v>
      </c>
      <c r="Q6721" s="7" t="str">
        <f t="shared" si="2433"/>
        <v>教育庁</v>
      </c>
      <c r="R6721" s="7" t="str">
        <f t="shared" si="2446"/>
        <v>すながわ高等支援学校</v>
      </c>
    </row>
    <row r="6722" spans="1:18" s="1" customFormat="1" x14ac:dyDescent="0.45">
      <c r="A6722" s="7" t="str">
        <f t="shared" si="2444"/>
        <v>10515000000</v>
      </c>
      <c r="B6722" s="7" t="str">
        <f t="shared" si="2445"/>
        <v>すながわ高等支援学校</v>
      </c>
      <c r="C6722" s="7" t="str">
        <f t="shared" si="2425"/>
        <v>行政財産</v>
      </c>
      <c r="D6722" s="7" t="str">
        <f t="shared" si="2423"/>
        <v>学校</v>
      </c>
      <c r="E6722" s="7" t="str">
        <f t="shared" si="2442"/>
        <v>大阪府泉南市信達牧野</v>
      </c>
      <c r="F6722" s="7"/>
      <c r="G6722" s="7" t="str">
        <f t="shared" si="2432"/>
        <v>事業用資産</v>
      </c>
      <c r="H6722" s="7" t="str">
        <f t="shared" si="2424"/>
        <v>棚卸以外</v>
      </c>
      <c r="I6722" s="7">
        <v>8</v>
      </c>
      <c r="J6722" s="7" t="str">
        <f>"石灰庫"</f>
        <v>石灰庫</v>
      </c>
      <c r="K6722" s="7" t="str">
        <f>"コンクリートブロック造"</f>
        <v>コンクリートブロック造</v>
      </c>
      <c r="L6722" s="7" t="str">
        <f>"S60.10.07"</f>
        <v>S60.10.07</v>
      </c>
      <c r="M6722" s="7">
        <v>1.79</v>
      </c>
      <c r="N6722" s="7">
        <v>98939</v>
      </c>
      <c r="O6722" s="7">
        <v>98938</v>
      </c>
      <c r="P6722" s="7">
        <v>0</v>
      </c>
      <c r="Q6722" s="7" t="str">
        <f t="shared" si="2433"/>
        <v>教育庁</v>
      </c>
      <c r="R6722" s="7" t="str">
        <f t="shared" si="2446"/>
        <v>すながわ高等支援学校</v>
      </c>
    </row>
    <row r="6723" spans="1:18" s="1" customFormat="1" ht="26.4" x14ac:dyDescent="0.45">
      <c r="A6723" s="7" t="str">
        <f>"10263000088"</f>
        <v>10263000088</v>
      </c>
      <c r="B6723" s="7" t="str">
        <f>"枚方支援学校"</f>
        <v>枚方支援学校</v>
      </c>
      <c r="C6723" s="7" t="str">
        <f t="shared" si="2425"/>
        <v>行政財産</v>
      </c>
      <c r="D6723" s="7" t="str">
        <f t="shared" si="2423"/>
        <v>学校</v>
      </c>
      <c r="E6723" s="7" t="str">
        <f t="shared" ref="E6723:E6728" si="2447">"大阪府枚方市村野西町"</f>
        <v>大阪府枚方市村野西町</v>
      </c>
      <c r="F6723" s="7"/>
      <c r="G6723" s="7" t="str">
        <f t="shared" si="2432"/>
        <v>事業用資産</v>
      </c>
      <c r="H6723" s="7" t="str">
        <f t="shared" si="2424"/>
        <v>棚卸以外</v>
      </c>
      <c r="I6723" s="7">
        <v>15</v>
      </c>
      <c r="J6723" s="7" t="str">
        <f>"支援学校棟"</f>
        <v>支援学校棟</v>
      </c>
      <c r="K6723" s="7" t="str">
        <f>"鉄骨鉄筋コンクリート造"</f>
        <v>鉄骨鉄筋コンクリート造</v>
      </c>
      <c r="L6723" s="7" t="str">
        <f>"H27.03.02"</f>
        <v>H27.03.02</v>
      </c>
      <c r="M6723" s="7">
        <v>9265.57</v>
      </c>
      <c r="N6723" s="7">
        <v>1912683050</v>
      </c>
      <c r="O6723" s="7">
        <v>325949705</v>
      </c>
      <c r="P6723" s="7">
        <v>0</v>
      </c>
      <c r="Q6723" s="7" t="str">
        <f t="shared" si="2433"/>
        <v>教育庁</v>
      </c>
      <c r="R6723" s="7" t="str">
        <f>"枚方支援学校"</f>
        <v>枚方支援学校</v>
      </c>
    </row>
    <row r="6724" spans="1:18" s="1" customFormat="1" x14ac:dyDescent="0.45">
      <c r="A6724" s="7" t="str">
        <f>"10263000088"</f>
        <v>10263000088</v>
      </c>
      <c r="B6724" s="7" t="str">
        <f>"枚方支援学校"</f>
        <v>枚方支援学校</v>
      </c>
      <c r="C6724" s="7" t="str">
        <f t="shared" si="2425"/>
        <v>行政財産</v>
      </c>
      <c r="D6724" s="7" t="str">
        <f t="shared" ref="D6724:D6787" si="2448">"学校"</f>
        <v>学校</v>
      </c>
      <c r="E6724" s="7" t="str">
        <f t="shared" si="2447"/>
        <v>大阪府枚方市村野西町</v>
      </c>
      <c r="F6724" s="7"/>
      <c r="G6724" s="7" t="str">
        <f t="shared" si="2432"/>
        <v>事業用資産</v>
      </c>
      <c r="H6724" s="7" t="str">
        <f t="shared" ref="H6724:H6787" si="2449">"棚卸以外"</f>
        <v>棚卸以外</v>
      </c>
      <c r="I6724" s="7">
        <v>17</v>
      </c>
      <c r="J6724" s="7" t="str">
        <f>"体育館棟"</f>
        <v>体育館棟</v>
      </c>
      <c r="K6724" s="7" t="str">
        <f>"鉄筋コンクリート造"</f>
        <v>鉄筋コンクリート造</v>
      </c>
      <c r="L6724" s="7" t="str">
        <f>"H27.03.02"</f>
        <v>H27.03.02</v>
      </c>
      <c r="M6724" s="7">
        <v>3716.33</v>
      </c>
      <c r="N6724" s="7">
        <v>814635981</v>
      </c>
      <c r="O6724" s="7">
        <v>139023622</v>
      </c>
      <c r="P6724" s="7">
        <v>0</v>
      </c>
      <c r="Q6724" s="7" t="str">
        <f t="shared" si="2433"/>
        <v>教育庁</v>
      </c>
      <c r="R6724" s="7" t="str">
        <f>"枚方支援学校"</f>
        <v>枚方支援学校</v>
      </c>
    </row>
    <row r="6725" spans="1:18" s="1" customFormat="1" x14ac:dyDescent="0.45">
      <c r="A6725" s="7" t="str">
        <f>"10263000088"</f>
        <v>10263000088</v>
      </c>
      <c r="B6725" s="7" t="str">
        <f>"枚方支援学校"</f>
        <v>枚方支援学校</v>
      </c>
      <c r="C6725" s="7" t="str">
        <f t="shared" si="2425"/>
        <v>行政財産</v>
      </c>
      <c r="D6725" s="7" t="str">
        <f t="shared" si="2448"/>
        <v>学校</v>
      </c>
      <c r="E6725" s="7" t="str">
        <f t="shared" si="2447"/>
        <v>大阪府枚方市村野西町</v>
      </c>
      <c r="F6725" s="7"/>
      <c r="G6725" s="7" t="str">
        <f t="shared" si="2432"/>
        <v>事業用資産</v>
      </c>
      <c r="H6725" s="7" t="str">
        <f t="shared" si="2449"/>
        <v>棚卸以外</v>
      </c>
      <c r="I6725" s="7">
        <v>19</v>
      </c>
      <c r="J6725" s="7" t="str">
        <f>"受付員ボックス"</f>
        <v>受付員ボックス</v>
      </c>
      <c r="K6725" s="7" t="str">
        <f>"区分なし"</f>
        <v>区分なし</v>
      </c>
      <c r="L6725" s="7" t="str">
        <f>"H27.03.02"</f>
        <v>H27.03.02</v>
      </c>
      <c r="M6725" s="7">
        <v>4.84</v>
      </c>
      <c r="N6725" s="7">
        <v>2736285</v>
      </c>
      <c r="O6725" s="7">
        <v>437856</v>
      </c>
      <c r="P6725" s="7">
        <v>0</v>
      </c>
      <c r="Q6725" s="7" t="str">
        <f t="shared" si="2433"/>
        <v>教育庁</v>
      </c>
      <c r="R6725" s="7" t="str">
        <f>"枚方支援学校"</f>
        <v>枚方支援学校</v>
      </c>
    </row>
    <row r="6726" spans="1:18" s="1" customFormat="1" x14ac:dyDescent="0.45">
      <c r="A6726" s="7" t="str">
        <f>"10263000088"</f>
        <v>10263000088</v>
      </c>
      <c r="B6726" s="7" t="str">
        <f>"枚方支援学校"</f>
        <v>枚方支援学校</v>
      </c>
      <c r="C6726" s="7" t="str">
        <f t="shared" si="2425"/>
        <v>行政財産</v>
      </c>
      <c r="D6726" s="7" t="str">
        <f t="shared" si="2448"/>
        <v>学校</v>
      </c>
      <c r="E6726" s="7" t="str">
        <f t="shared" si="2447"/>
        <v>大阪府枚方市村野西町</v>
      </c>
      <c r="F6726" s="7"/>
      <c r="G6726" s="7" t="str">
        <f t="shared" si="2432"/>
        <v>事業用資産</v>
      </c>
      <c r="H6726" s="7" t="str">
        <f t="shared" si="2449"/>
        <v>棚卸以外</v>
      </c>
      <c r="I6726" s="7">
        <v>21</v>
      </c>
      <c r="J6726" s="7" t="str">
        <f>"ゴミ置き場"</f>
        <v>ゴミ置き場</v>
      </c>
      <c r="K6726" s="7" t="str">
        <f>"区分なし"</f>
        <v>区分なし</v>
      </c>
      <c r="L6726" s="7" t="str">
        <f>"H27.03.02"</f>
        <v>H27.03.02</v>
      </c>
      <c r="M6726" s="7">
        <v>30</v>
      </c>
      <c r="N6726" s="7">
        <v>5815034</v>
      </c>
      <c r="O6726" s="7">
        <v>1224288</v>
      </c>
      <c r="P6726" s="7">
        <v>0</v>
      </c>
      <c r="Q6726" s="7" t="str">
        <f t="shared" si="2433"/>
        <v>教育庁</v>
      </c>
      <c r="R6726" s="7" t="str">
        <f>"枚方支援学校"</f>
        <v>枚方支援学校</v>
      </c>
    </row>
    <row r="6727" spans="1:18" s="1" customFormat="1" x14ac:dyDescent="0.45">
      <c r="A6727" s="7" t="str">
        <f>"10263000088"</f>
        <v>10263000088</v>
      </c>
      <c r="B6727" s="7" t="str">
        <f>"枚方支援学校"</f>
        <v>枚方支援学校</v>
      </c>
      <c r="C6727" s="7" t="str">
        <f t="shared" si="2425"/>
        <v>行政財産</v>
      </c>
      <c r="D6727" s="7" t="str">
        <f t="shared" si="2448"/>
        <v>学校</v>
      </c>
      <c r="E6727" s="7" t="str">
        <f t="shared" si="2447"/>
        <v>大阪府枚方市村野西町</v>
      </c>
      <c r="F6727" s="7"/>
      <c r="G6727" s="7" t="str">
        <f t="shared" si="2432"/>
        <v>事業用資産</v>
      </c>
      <c r="H6727" s="7" t="str">
        <f t="shared" si="2449"/>
        <v>棚卸以外</v>
      </c>
      <c r="I6727" s="7">
        <v>25</v>
      </c>
      <c r="J6727" s="7" t="str">
        <f>"備蓄倉庫"</f>
        <v>備蓄倉庫</v>
      </c>
      <c r="K6727" s="7" t="str">
        <f>"土蔵造(簡易建物)"</f>
        <v>土蔵造(簡易建物)</v>
      </c>
      <c r="L6727" s="7" t="str">
        <f>"R05.03.29"</f>
        <v>R05.03.29</v>
      </c>
      <c r="M6727" s="7">
        <v>9.42</v>
      </c>
      <c r="N6727" s="7">
        <v>1287000</v>
      </c>
      <c r="O6727" s="7">
        <v>0</v>
      </c>
      <c r="P6727" s="7">
        <v>0</v>
      </c>
      <c r="Q6727" s="7" t="str">
        <f t="shared" si="2433"/>
        <v>教育庁</v>
      </c>
      <c r="R6727" s="7" t="str">
        <f>"枚方支援学校"</f>
        <v>枚方支援学校</v>
      </c>
    </row>
    <row r="6728" spans="1:18" s="1" customFormat="1" x14ac:dyDescent="0.45">
      <c r="A6728" s="7" t="str">
        <f>"10542000000"</f>
        <v>10542000000</v>
      </c>
      <c r="B6728" s="7" t="str">
        <f>"むらの高等支援学校"</f>
        <v>むらの高等支援学校</v>
      </c>
      <c r="C6728" s="7" t="str">
        <f t="shared" si="2425"/>
        <v>行政財産</v>
      </c>
      <c r="D6728" s="7" t="str">
        <f t="shared" si="2448"/>
        <v>学校</v>
      </c>
      <c r="E6728" s="7" t="str">
        <f t="shared" si="2447"/>
        <v>大阪府枚方市村野西町</v>
      </c>
      <c r="F6728" s="7" t="str">
        <f>"60-1"</f>
        <v>60-1</v>
      </c>
      <c r="G6728" s="7" t="str">
        <f t="shared" si="2432"/>
        <v>事業用資産</v>
      </c>
      <c r="H6728" s="7" t="str">
        <f t="shared" si="2449"/>
        <v>棚卸以外</v>
      </c>
      <c r="I6728" s="7">
        <v>1</v>
      </c>
      <c r="J6728" s="7" t="str">
        <f>"高等支援学校棟"</f>
        <v>高等支援学校棟</v>
      </c>
      <c r="K6728" s="7" t="str">
        <f>"鉄筋コンクリート造"</f>
        <v>鉄筋コンクリート造</v>
      </c>
      <c r="L6728" s="7" t="str">
        <f>"H27.03.02"</f>
        <v>H27.03.02</v>
      </c>
      <c r="M6728" s="7">
        <v>3077.18</v>
      </c>
      <c r="N6728" s="7">
        <v>592587559</v>
      </c>
      <c r="O6728" s="7">
        <v>101169574</v>
      </c>
      <c r="P6728" s="7">
        <v>0</v>
      </c>
      <c r="Q6728" s="7" t="str">
        <f t="shared" si="2433"/>
        <v>教育庁</v>
      </c>
      <c r="R6728" s="7" t="str">
        <f>"むらの高等支援学校"</f>
        <v>むらの高等支援学校</v>
      </c>
    </row>
    <row r="6729" spans="1:18" s="1" customFormat="1" x14ac:dyDescent="0.45">
      <c r="A6729" s="7" t="str">
        <f t="shared" ref="A6729:A6741" si="2450">"10435000000"</f>
        <v>10435000000</v>
      </c>
      <c r="B6729" s="7" t="str">
        <f t="shared" ref="B6729:B6741" si="2451">"西浦支援学校"</f>
        <v>西浦支援学校</v>
      </c>
      <c r="C6729" s="7" t="str">
        <f t="shared" si="2425"/>
        <v>行政財産</v>
      </c>
      <c r="D6729" s="7" t="str">
        <f t="shared" si="2448"/>
        <v>学校</v>
      </c>
      <c r="E6729" s="7" t="str">
        <f t="shared" ref="E6729:E6741" si="2452">"大阪府羽曳野市西浦２丁目"</f>
        <v>大阪府羽曳野市西浦２丁目</v>
      </c>
      <c r="F6729" s="7"/>
      <c r="G6729" s="7" t="str">
        <f t="shared" si="2432"/>
        <v>事業用資産</v>
      </c>
      <c r="H6729" s="7" t="str">
        <f t="shared" si="2449"/>
        <v>棚卸以外</v>
      </c>
      <c r="I6729" s="7">
        <v>1</v>
      </c>
      <c r="J6729" s="7" t="str">
        <f>"管理教室棟"</f>
        <v>管理教室棟</v>
      </c>
      <c r="K6729" s="7" t="str">
        <f>"鉄筋コンクリート造"</f>
        <v>鉄筋コンクリート造</v>
      </c>
      <c r="L6729" s="7" t="str">
        <f>"S53.02.22"</f>
        <v>S53.02.22</v>
      </c>
      <c r="M6729" s="7">
        <v>10899.35</v>
      </c>
      <c r="N6729" s="7">
        <v>2101397436</v>
      </c>
      <c r="O6729" s="7">
        <v>1182754843</v>
      </c>
      <c r="P6729" s="7">
        <v>0</v>
      </c>
      <c r="Q6729" s="7" t="str">
        <f t="shared" si="2433"/>
        <v>教育庁</v>
      </c>
      <c r="R6729" s="7" t="str">
        <f t="shared" ref="R6729:R6741" si="2453">"西浦支援学校"</f>
        <v>西浦支援学校</v>
      </c>
    </row>
    <row r="6730" spans="1:18" s="1" customFormat="1" x14ac:dyDescent="0.45">
      <c r="A6730" s="7" t="str">
        <f t="shared" si="2450"/>
        <v>10435000000</v>
      </c>
      <c r="B6730" s="7" t="str">
        <f t="shared" si="2451"/>
        <v>西浦支援学校</v>
      </c>
      <c r="C6730" s="7" t="str">
        <f t="shared" si="2425"/>
        <v>行政財産</v>
      </c>
      <c r="D6730" s="7" t="str">
        <f t="shared" si="2448"/>
        <v>学校</v>
      </c>
      <c r="E6730" s="7" t="str">
        <f t="shared" si="2452"/>
        <v>大阪府羽曳野市西浦２丁目</v>
      </c>
      <c r="F6730" s="7"/>
      <c r="G6730" s="7" t="str">
        <f t="shared" si="2432"/>
        <v>事業用資産</v>
      </c>
      <c r="H6730" s="7" t="str">
        <f t="shared" si="2449"/>
        <v>棚卸以外</v>
      </c>
      <c r="I6730" s="7">
        <v>2</v>
      </c>
      <c r="J6730" s="7" t="str">
        <f>"汚水処理場"</f>
        <v>汚水処理場</v>
      </c>
      <c r="K6730" s="7" t="str">
        <f>"鉄筋コンクリート造"</f>
        <v>鉄筋コンクリート造</v>
      </c>
      <c r="L6730" s="7" t="str">
        <f>"S53.03.29"</f>
        <v>S53.03.29</v>
      </c>
      <c r="M6730" s="7">
        <v>66.53</v>
      </c>
      <c r="N6730" s="7">
        <v>58612069</v>
      </c>
      <c r="O6730" s="7">
        <v>49997279</v>
      </c>
      <c r="P6730" s="7">
        <v>0</v>
      </c>
      <c r="Q6730" s="7" t="str">
        <f t="shared" si="2433"/>
        <v>教育庁</v>
      </c>
      <c r="R6730" s="7" t="str">
        <f t="shared" si="2453"/>
        <v>西浦支援学校</v>
      </c>
    </row>
    <row r="6731" spans="1:18" s="1" customFormat="1" x14ac:dyDescent="0.45">
      <c r="A6731" s="7" t="str">
        <f t="shared" si="2450"/>
        <v>10435000000</v>
      </c>
      <c r="B6731" s="7" t="str">
        <f t="shared" si="2451"/>
        <v>西浦支援学校</v>
      </c>
      <c r="C6731" s="7" t="str">
        <f t="shared" si="2425"/>
        <v>行政財産</v>
      </c>
      <c r="D6731" s="7" t="str">
        <f t="shared" si="2448"/>
        <v>学校</v>
      </c>
      <c r="E6731" s="7" t="str">
        <f t="shared" si="2452"/>
        <v>大阪府羽曳野市西浦２丁目</v>
      </c>
      <c r="F6731" s="7"/>
      <c r="G6731" s="7" t="str">
        <f t="shared" si="2432"/>
        <v>事業用資産</v>
      </c>
      <c r="H6731" s="7" t="str">
        <f t="shared" si="2449"/>
        <v>棚卸以外</v>
      </c>
      <c r="I6731" s="7">
        <v>3</v>
      </c>
      <c r="J6731" s="7" t="str">
        <f>"倉庫Ａ"</f>
        <v>倉庫Ａ</v>
      </c>
      <c r="K6731" s="7" t="str">
        <f>"鉄骨造"</f>
        <v>鉄骨造</v>
      </c>
      <c r="L6731" s="7" t="str">
        <f>"S54.03.31"</f>
        <v>S54.03.31</v>
      </c>
      <c r="M6731" s="7">
        <v>50</v>
      </c>
      <c r="N6731" s="7">
        <v>3867429</v>
      </c>
      <c r="O6731" s="7">
        <v>3534063</v>
      </c>
      <c r="P6731" s="7">
        <v>0</v>
      </c>
      <c r="Q6731" s="7" t="str">
        <f t="shared" si="2433"/>
        <v>教育庁</v>
      </c>
      <c r="R6731" s="7" t="str">
        <f t="shared" si="2453"/>
        <v>西浦支援学校</v>
      </c>
    </row>
    <row r="6732" spans="1:18" s="1" customFormat="1" x14ac:dyDescent="0.45">
      <c r="A6732" s="7" t="str">
        <f t="shared" si="2450"/>
        <v>10435000000</v>
      </c>
      <c r="B6732" s="7" t="str">
        <f t="shared" si="2451"/>
        <v>西浦支援学校</v>
      </c>
      <c r="C6732" s="7" t="str">
        <f t="shared" si="2425"/>
        <v>行政財産</v>
      </c>
      <c r="D6732" s="7" t="str">
        <f t="shared" si="2448"/>
        <v>学校</v>
      </c>
      <c r="E6732" s="7" t="str">
        <f t="shared" si="2452"/>
        <v>大阪府羽曳野市西浦２丁目</v>
      </c>
      <c r="F6732" s="7"/>
      <c r="G6732" s="7" t="str">
        <f t="shared" si="2432"/>
        <v>事業用資産</v>
      </c>
      <c r="H6732" s="7" t="str">
        <f t="shared" si="2449"/>
        <v>棚卸以外</v>
      </c>
      <c r="I6732" s="7">
        <v>4</v>
      </c>
      <c r="J6732" s="7" t="str">
        <f>"倉庫Ｂ"</f>
        <v>倉庫Ｂ</v>
      </c>
      <c r="K6732" s="7" t="str">
        <f>"鉄骨造"</f>
        <v>鉄骨造</v>
      </c>
      <c r="L6732" s="7" t="str">
        <f>"S54.03.31"</f>
        <v>S54.03.31</v>
      </c>
      <c r="M6732" s="7">
        <v>50</v>
      </c>
      <c r="N6732" s="7">
        <v>4024532</v>
      </c>
      <c r="O6732" s="7">
        <v>3572343</v>
      </c>
      <c r="P6732" s="7">
        <v>0</v>
      </c>
      <c r="Q6732" s="7" t="str">
        <f t="shared" si="2433"/>
        <v>教育庁</v>
      </c>
      <c r="R6732" s="7" t="str">
        <f t="shared" si="2453"/>
        <v>西浦支援学校</v>
      </c>
    </row>
    <row r="6733" spans="1:18" s="1" customFormat="1" x14ac:dyDescent="0.45">
      <c r="A6733" s="7" t="str">
        <f t="shared" si="2450"/>
        <v>10435000000</v>
      </c>
      <c r="B6733" s="7" t="str">
        <f t="shared" si="2451"/>
        <v>西浦支援学校</v>
      </c>
      <c r="C6733" s="7" t="str">
        <f t="shared" ref="C6733:C6796" si="2454">"行政財産"</f>
        <v>行政財産</v>
      </c>
      <c r="D6733" s="7" t="str">
        <f t="shared" si="2448"/>
        <v>学校</v>
      </c>
      <c r="E6733" s="7" t="str">
        <f t="shared" si="2452"/>
        <v>大阪府羽曳野市西浦２丁目</v>
      </c>
      <c r="F6733" s="7"/>
      <c r="G6733" s="7" t="str">
        <f t="shared" si="2432"/>
        <v>事業用資産</v>
      </c>
      <c r="H6733" s="7" t="str">
        <f t="shared" si="2449"/>
        <v>棚卸以外</v>
      </c>
      <c r="I6733" s="7">
        <v>5</v>
      </c>
      <c r="J6733" s="7" t="str">
        <f>"プール附属棟"</f>
        <v>プール附属棟</v>
      </c>
      <c r="K6733" s="7" t="str">
        <f>"鉄筋コンクリート造"</f>
        <v>鉄筋コンクリート造</v>
      </c>
      <c r="L6733" s="7" t="str">
        <f>"S54.06.14"</f>
        <v>S54.06.14</v>
      </c>
      <c r="M6733" s="7">
        <v>138</v>
      </c>
      <c r="N6733" s="7">
        <v>81848580</v>
      </c>
      <c r="O6733" s="7">
        <v>37226157</v>
      </c>
      <c r="P6733" s="7">
        <v>0</v>
      </c>
      <c r="Q6733" s="7" t="str">
        <f t="shared" si="2433"/>
        <v>教育庁</v>
      </c>
      <c r="R6733" s="7" t="str">
        <f t="shared" si="2453"/>
        <v>西浦支援学校</v>
      </c>
    </row>
    <row r="6734" spans="1:18" s="1" customFormat="1" x14ac:dyDescent="0.45">
      <c r="A6734" s="7" t="str">
        <f t="shared" si="2450"/>
        <v>10435000000</v>
      </c>
      <c r="B6734" s="7" t="str">
        <f t="shared" si="2451"/>
        <v>西浦支援学校</v>
      </c>
      <c r="C6734" s="7" t="str">
        <f t="shared" si="2454"/>
        <v>行政財産</v>
      </c>
      <c r="D6734" s="7" t="str">
        <f t="shared" si="2448"/>
        <v>学校</v>
      </c>
      <c r="E6734" s="7" t="str">
        <f t="shared" si="2452"/>
        <v>大阪府羽曳野市西浦２丁目</v>
      </c>
      <c r="F6734" s="7"/>
      <c r="G6734" s="7" t="str">
        <f t="shared" si="2432"/>
        <v>事業用資産</v>
      </c>
      <c r="H6734" s="7" t="str">
        <f t="shared" si="2449"/>
        <v>棚卸以外</v>
      </c>
      <c r="I6734" s="7">
        <v>6</v>
      </c>
      <c r="J6734" s="7" t="str">
        <f>"体育館"</f>
        <v>体育館</v>
      </c>
      <c r="K6734" s="7" t="str">
        <f>"鉄筋コンクリート造"</f>
        <v>鉄筋コンクリート造</v>
      </c>
      <c r="L6734" s="7" t="str">
        <f>"S54.09.04"</f>
        <v>S54.09.04</v>
      </c>
      <c r="M6734" s="7">
        <v>3053.89</v>
      </c>
      <c r="N6734" s="7">
        <v>774213872</v>
      </c>
      <c r="O6734" s="7">
        <v>380664709</v>
      </c>
      <c r="P6734" s="7">
        <v>0</v>
      </c>
      <c r="Q6734" s="7" t="str">
        <f t="shared" si="2433"/>
        <v>教育庁</v>
      </c>
      <c r="R6734" s="7" t="str">
        <f t="shared" si="2453"/>
        <v>西浦支援学校</v>
      </c>
    </row>
    <row r="6735" spans="1:18" s="1" customFormat="1" x14ac:dyDescent="0.45">
      <c r="A6735" s="7" t="str">
        <f t="shared" si="2450"/>
        <v>10435000000</v>
      </c>
      <c r="B6735" s="7" t="str">
        <f t="shared" si="2451"/>
        <v>西浦支援学校</v>
      </c>
      <c r="C6735" s="7" t="str">
        <f t="shared" si="2454"/>
        <v>行政財産</v>
      </c>
      <c r="D6735" s="7" t="str">
        <f t="shared" si="2448"/>
        <v>学校</v>
      </c>
      <c r="E6735" s="7" t="str">
        <f t="shared" si="2452"/>
        <v>大阪府羽曳野市西浦２丁目</v>
      </c>
      <c r="F6735" s="7"/>
      <c r="G6735" s="7" t="str">
        <f t="shared" si="2432"/>
        <v>事業用資産</v>
      </c>
      <c r="H6735" s="7" t="str">
        <f t="shared" si="2449"/>
        <v>棚卸以外</v>
      </c>
      <c r="I6735" s="7">
        <v>8</v>
      </c>
      <c r="J6735" s="7" t="str">
        <f>"倉庫Ｃ"</f>
        <v>倉庫Ｃ</v>
      </c>
      <c r="K6735" s="7" t="str">
        <f>"鉄骨造"</f>
        <v>鉄骨造</v>
      </c>
      <c r="L6735" s="7" t="str">
        <f>"S55.03.31"</f>
        <v>S55.03.31</v>
      </c>
      <c r="M6735" s="7">
        <v>100</v>
      </c>
      <c r="N6735" s="7">
        <v>9267188</v>
      </c>
      <c r="O6735" s="7">
        <v>8003583</v>
      </c>
      <c r="P6735" s="7">
        <v>0</v>
      </c>
      <c r="Q6735" s="7" t="str">
        <f t="shared" si="2433"/>
        <v>教育庁</v>
      </c>
      <c r="R6735" s="7" t="str">
        <f t="shared" si="2453"/>
        <v>西浦支援学校</v>
      </c>
    </row>
    <row r="6736" spans="1:18" s="1" customFormat="1" x14ac:dyDescent="0.45">
      <c r="A6736" s="7" t="str">
        <f t="shared" si="2450"/>
        <v>10435000000</v>
      </c>
      <c r="B6736" s="7" t="str">
        <f t="shared" si="2451"/>
        <v>西浦支援学校</v>
      </c>
      <c r="C6736" s="7" t="str">
        <f t="shared" si="2454"/>
        <v>行政財産</v>
      </c>
      <c r="D6736" s="7" t="str">
        <f t="shared" si="2448"/>
        <v>学校</v>
      </c>
      <c r="E6736" s="7" t="str">
        <f t="shared" si="2452"/>
        <v>大阪府羽曳野市西浦２丁目</v>
      </c>
      <c r="F6736" s="7"/>
      <c r="G6736" s="7" t="str">
        <f t="shared" si="2432"/>
        <v>事業用資産</v>
      </c>
      <c r="H6736" s="7" t="str">
        <f t="shared" si="2449"/>
        <v>棚卸以外</v>
      </c>
      <c r="I6736" s="7">
        <v>10</v>
      </c>
      <c r="J6736" s="7" t="str">
        <f>"渡り廊下１"</f>
        <v>渡り廊下１</v>
      </c>
      <c r="K6736" s="7" t="str">
        <f>"鉄筋コンクリート造"</f>
        <v>鉄筋コンクリート造</v>
      </c>
      <c r="L6736" s="7" t="str">
        <f t="shared" ref="L6736:L6741" si="2455">"H27.03.05"</f>
        <v>H27.03.05</v>
      </c>
      <c r="M6736" s="7">
        <v>62.21</v>
      </c>
      <c r="N6736" s="7">
        <v>22049304</v>
      </c>
      <c r="O6736" s="7">
        <v>3753120</v>
      </c>
      <c r="P6736" s="7">
        <v>0</v>
      </c>
      <c r="Q6736" s="7" t="str">
        <f t="shared" si="2433"/>
        <v>教育庁</v>
      </c>
      <c r="R6736" s="7" t="str">
        <f t="shared" si="2453"/>
        <v>西浦支援学校</v>
      </c>
    </row>
    <row r="6737" spans="1:18" s="1" customFormat="1" x14ac:dyDescent="0.45">
      <c r="A6737" s="7" t="str">
        <f t="shared" si="2450"/>
        <v>10435000000</v>
      </c>
      <c r="B6737" s="7" t="str">
        <f t="shared" si="2451"/>
        <v>西浦支援学校</v>
      </c>
      <c r="C6737" s="7" t="str">
        <f t="shared" si="2454"/>
        <v>行政財産</v>
      </c>
      <c r="D6737" s="7" t="str">
        <f t="shared" si="2448"/>
        <v>学校</v>
      </c>
      <c r="E6737" s="7" t="str">
        <f t="shared" si="2452"/>
        <v>大阪府羽曳野市西浦２丁目</v>
      </c>
      <c r="F6737" s="7"/>
      <c r="G6737" s="7" t="str">
        <f t="shared" si="2432"/>
        <v>事業用資産</v>
      </c>
      <c r="H6737" s="7" t="str">
        <f t="shared" si="2449"/>
        <v>棚卸以外</v>
      </c>
      <c r="I6737" s="7">
        <v>11</v>
      </c>
      <c r="J6737" s="7" t="str">
        <f>"渡り廊下２"</f>
        <v>渡り廊下２</v>
      </c>
      <c r="K6737" s="7" t="str">
        <f>"鉄骨造"</f>
        <v>鉄骨造</v>
      </c>
      <c r="L6737" s="7" t="str">
        <f t="shared" si="2455"/>
        <v>H27.03.05</v>
      </c>
      <c r="M6737" s="7">
        <v>66.760000000000005</v>
      </c>
      <c r="N6737" s="7">
        <v>26380371</v>
      </c>
      <c r="O6737" s="7">
        <v>4490304</v>
      </c>
      <c r="P6737" s="7">
        <v>0</v>
      </c>
      <c r="Q6737" s="7" t="str">
        <f t="shared" si="2433"/>
        <v>教育庁</v>
      </c>
      <c r="R6737" s="7" t="str">
        <f t="shared" si="2453"/>
        <v>西浦支援学校</v>
      </c>
    </row>
    <row r="6738" spans="1:18" s="1" customFormat="1" x14ac:dyDescent="0.45">
      <c r="A6738" s="7" t="str">
        <f t="shared" si="2450"/>
        <v>10435000000</v>
      </c>
      <c r="B6738" s="7" t="str">
        <f t="shared" si="2451"/>
        <v>西浦支援学校</v>
      </c>
      <c r="C6738" s="7" t="str">
        <f t="shared" si="2454"/>
        <v>行政財産</v>
      </c>
      <c r="D6738" s="7" t="str">
        <f t="shared" si="2448"/>
        <v>学校</v>
      </c>
      <c r="E6738" s="7" t="str">
        <f t="shared" si="2452"/>
        <v>大阪府羽曳野市西浦２丁目</v>
      </c>
      <c r="F6738" s="7"/>
      <c r="G6738" s="7" t="str">
        <f t="shared" si="2432"/>
        <v>事業用資産</v>
      </c>
      <c r="H6738" s="7" t="str">
        <f t="shared" si="2449"/>
        <v>棚卸以外</v>
      </c>
      <c r="I6738" s="7">
        <v>12</v>
      </c>
      <c r="J6738" s="7" t="str">
        <f>"渡り廊下３"</f>
        <v>渡り廊下３</v>
      </c>
      <c r="K6738" s="7" t="str">
        <f>"鉄骨造"</f>
        <v>鉄骨造</v>
      </c>
      <c r="L6738" s="7" t="str">
        <f t="shared" si="2455"/>
        <v>H27.03.05</v>
      </c>
      <c r="M6738" s="7">
        <v>97.49</v>
      </c>
      <c r="N6738" s="7">
        <v>46828464</v>
      </c>
      <c r="O6738" s="7">
        <v>7970880</v>
      </c>
      <c r="P6738" s="7">
        <v>0</v>
      </c>
      <c r="Q6738" s="7" t="str">
        <f t="shared" si="2433"/>
        <v>教育庁</v>
      </c>
      <c r="R6738" s="7" t="str">
        <f t="shared" si="2453"/>
        <v>西浦支援学校</v>
      </c>
    </row>
    <row r="6739" spans="1:18" s="1" customFormat="1" x14ac:dyDescent="0.45">
      <c r="A6739" s="7" t="str">
        <f t="shared" si="2450"/>
        <v>10435000000</v>
      </c>
      <c r="B6739" s="7" t="str">
        <f t="shared" si="2451"/>
        <v>西浦支援学校</v>
      </c>
      <c r="C6739" s="7" t="str">
        <f t="shared" si="2454"/>
        <v>行政財産</v>
      </c>
      <c r="D6739" s="7" t="str">
        <f t="shared" si="2448"/>
        <v>学校</v>
      </c>
      <c r="E6739" s="7" t="str">
        <f t="shared" si="2452"/>
        <v>大阪府羽曳野市西浦２丁目</v>
      </c>
      <c r="F6739" s="7"/>
      <c r="G6739" s="7" t="str">
        <f t="shared" si="2432"/>
        <v>事業用資産</v>
      </c>
      <c r="H6739" s="7" t="str">
        <f t="shared" si="2449"/>
        <v>棚卸以外</v>
      </c>
      <c r="I6739" s="7">
        <v>13</v>
      </c>
      <c r="J6739" s="7" t="str">
        <f>"受付員ボックス"</f>
        <v>受付員ボックス</v>
      </c>
      <c r="K6739" s="7" t="str">
        <f>"軽量鉄骨造"</f>
        <v>軽量鉄骨造</v>
      </c>
      <c r="L6739" s="7" t="str">
        <f t="shared" si="2455"/>
        <v>H27.03.05</v>
      </c>
      <c r="M6739" s="7">
        <v>3.45</v>
      </c>
      <c r="N6739" s="7">
        <v>846955</v>
      </c>
      <c r="O6739" s="7">
        <v>225888</v>
      </c>
      <c r="P6739" s="7">
        <v>0</v>
      </c>
      <c r="Q6739" s="7" t="str">
        <f t="shared" si="2433"/>
        <v>教育庁</v>
      </c>
      <c r="R6739" s="7" t="str">
        <f t="shared" si="2453"/>
        <v>西浦支援学校</v>
      </c>
    </row>
    <row r="6740" spans="1:18" s="1" customFormat="1" ht="26.4" x14ac:dyDescent="0.45">
      <c r="A6740" s="7" t="str">
        <f t="shared" si="2450"/>
        <v>10435000000</v>
      </c>
      <c r="B6740" s="7" t="str">
        <f t="shared" si="2451"/>
        <v>西浦支援学校</v>
      </c>
      <c r="C6740" s="7" t="str">
        <f t="shared" si="2454"/>
        <v>行政財産</v>
      </c>
      <c r="D6740" s="7" t="str">
        <f t="shared" si="2448"/>
        <v>学校</v>
      </c>
      <c r="E6740" s="7" t="str">
        <f t="shared" si="2452"/>
        <v>大阪府羽曳野市西浦２丁目</v>
      </c>
      <c r="F6740" s="7"/>
      <c r="G6740" s="7" t="str">
        <f t="shared" si="2432"/>
        <v>事業用資産</v>
      </c>
      <c r="H6740" s="7" t="str">
        <f t="shared" si="2449"/>
        <v>棚卸以外</v>
      </c>
      <c r="I6740" s="7">
        <v>14</v>
      </c>
      <c r="J6740" s="7" t="str">
        <f>"プラットホーム（屋外渡り廊下(１)、(２)含む）"</f>
        <v>プラットホーム（屋外渡り廊下(１)、(２)含む）</v>
      </c>
      <c r="K6740" s="7" t="str">
        <f t="shared" ref="K6740:K6745" si="2456">"鉄筋コンクリート造"</f>
        <v>鉄筋コンクリート造</v>
      </c>
      <c r="L6740" s="7" t="str">
        <f t="shared" si="2455"/>
        <v>H27.03.05</v>
      </c>
      <c r="M6740" s="7">
        <v>308.7</v>
      </c>
      <c r="N6740" s="7">
        <v>23102512</v>
      </c>
      <c r="O6740" s="7">
        <v>4507872</v>
      </c>
      <c r="P6740" s="7">
        <v>0</v>
      </c>
      <c r="Q6740" s="7" t="str">
        <f t="shared" si="2433"/>
        <v>教育庁</v>
      </c>
      <c r="R6740" s="7" t="str">
        <f t="shared" si="2453"/>
        <v>西浦支援学校</v>
      </c>
    </row>
    <row r="6741" spans="1:18" s="1" customFormat="1" x14ac:dyDescent="0.45">
      <c r="A6741" s="7" t="str">
        <f t="shared" si="2450"/>
        <v>10435000000</v>
      </c>
      <c r="B6741" s="7" t="str">
        <f t="shared" si="2451"/>
        <v>西浦支援学校</v>
      </c>
      <c r="C6741" s="7" t="str">
        <f t="shared" si="2454"/>
        <v>行政財産</v>
      </c>
      <c r="D6741" s="7" t="str">
        <f t="shared" si="2448"/>
        <v>学校</v>
      </c>
      <c r="E6741" s="7" t="str">
        <f t="shared" si="2452"/>
        <v>大阪府羽曳野市西浦２丁目</v>
      </c>
      <c r="F6741" s="7"/>
      <c r="G6741" s="7" t="str">
        <f t="shared" si="2432"/>
        <v>事業用資産</v>
      </c>
      <c r="H6741" s="7" t="str">
        <f t="shared" si="2449"/>
        <v>棚卸以外</v>
      </c>
      <c r="I6741" s="7">
        <v>15</v>
      </c>
      <c r="J6741" s="7" t="str">
        <f>"増築校舎棟"</f>
        <v>増築校舎棟</v>
      </c>
      <c r="K6741" s="7" t="str">
        <f t="shared" si="2456"/>
        <v>鉄筋コンクリート造</v>
      </c>
      <c r="L6741" s="7" t="str">
        <f t="shared" si="2455"/>
        <v>H27.03.05</v>
      </c>
      <c r="M6741" s="7">
        <v>3427.72</v>
      </c>
      <c r="N6741" s="7">
        <v>721430223</v>
      </c>
      <c r="O6741" s="7">
        <v>123356255</v>
      </c>
      <c r="P6741" s="7">
        <v>0</v>
      </c>
      <c r="Q6741" s="7" t="str">
        <f t="shared" si="2433"/>
        <v>教育庁</v>
      </c>
      <c r="R6741" s="7" t="str">
        <f t="shared" si="2453"/>
        <v>西浦支援学校</v>
      </c>
    </row>
    <row r="6742" spans="1:18" s="1" customFormat="1" x14ac:dyDescent="0.45">
      <c r="A6742" s="7" t="str">
        <f t="shared" ref="A6742:A6749" si="2457">"10275003037"</f>
        <v>10275003037</v>
      </c>
      <c r="B6742" s="7" t="str">
        <f t="shared" ref="B6742:B6749" si="2458">"大阪北視覚支援学校"</f>
        <v>大阪北視覚支援学校</v>
      </c>
      <c r="C6742" s="7" t="str">
        <f t="shared" si="2454"/>
        <v>行政財産</v>
      </c>
      <c r="D6742" s="7" t="str">
        <f t="shared" si="2448"/>
        <v>学校</v>
      </c>
      <c r="E6742" s="7" t="str">
        <f t="shared" ref="E6742:E6749" si="2459">"大阪府大阪市　東淀川区豊里７丁目"</f>
        <v>大阪府大阪市　東淀川区豊里７丁目</v>
      </c>
      <c r="F6742" s="7"/>
      <c r="G6742" s="7" t="str">
        <f t="shared" si="2432"/>
        <v>事業用資産</v>
      </c>
      <c r="H6742" s="7" t="str">
        <f t="shared" si="2449"/>
        <v>棚卸以外</v>
      </c>
      <c r="I6742" s="7">
        <v>1</v>
      </c>
      <c r="J6742" s="7" t="str">
        <f>"校舎（特別・普通教室棟）"</f>
        <v>校舎（特別・普通教室棟）</v>
      </c>
      <c r="K6742" s="7" t="str">
        <f t="shared" si="2456"/>
        <v>鉄筋コンクリート造</v>
      </c>
      <c r="L6742" s="7" t="str">
        <f>"S38.03.01"</f>
        <v>S38.03.01</v>
      </c>
      <c r="M6742" s="7">
        <v>2693.88</v>
      </c>
      <c r="N6742" s="7">
        <v>18876170</v>
      </c>
      <c r="O6742" s="7">
        <v>4177758</v>
      </c>
      <c r="P6742" s="7">
        <v>0</v>
      </c>
      <c r="Q6742" s="7" t="str">
        <f t="shared" si="2433"/>
        <v>教育庁</v>
      </c>
      <c r="R6742" s="7" t="str">
        <f t="shared" ref="R6742:R6749" si="2460">"大阪北視覚支援学校"</f>
        <v>大阪北視覚支援学校</v>
      </c>
    </row>
    <row r="6743" spans="1:18" s="1" customFormat="1" x14ac:dyDescent="0.45">
      <c r="A6743" s="7" t="str">
        <f t="shared" si="2457"/>
        <v>10275003037</v>
      </c>
      <c r="B6743" s="7" t="str">
        <f t="shared" si="2458"/>
        <v>大阪北視覚支援学校</v>
      </c>
      <c r="C6743" s="7" t="str">
        <f t="shared" si="2454"/>
        <v>行政財産</v>
      </c>
      <c r="D6743" s="7" t="str">
        <f t="shared" si="2448"/>
        <v>学校</v>
      </c>
      <c r="E6743" s="7" t="str">
        <f t="shared" si="2459"/>
        <v>大阪府大阪市　東淀川区豊里７丁目</v>
      </c>
      <c r="F6743" s="7"/>
      <c r="G6743" s="7" t="str">
        <f t="shared" ref="G6743:G6806" si="2461">"事業用資産"</f>
        <v>事業用資産</v>
      </c>
      <c r="H6743" s="7" t="str">
        <f t="shared" si="2449"/>
        <v>棚卸以外</v>
      </c>
      <c r="I6743" s="7">
        <v>2</v>
      </c>
      <c r="J6743" s="7" t="str">
        <f>"校舎（特別・普通教室棟）"</f>
        <v>校舎（特別・普通教室棟）</v>
      </c>
      <c r="K6743" s="7" t="str">
        <f t="shared" si="2456"/>
        <v>鉄筋コンクリート造</v>
      </c>
      <c r="L6743" s="7" t="str">
        <f>"S38.03.01"</f>
        <v>S38.03.01</v>
      </c>
      <c r="M6743" s="7">
        <v>2386.64</v>
      </c>
      <c r="N6743" s="7">
        <v>27644876</v>
      </c>
      <c r="O6743" s="7">
        <v>6456199</v>
      </c>
      <c r="P6743" s="7">
        <v>0</v>
      </c>
      <c r="Q6743" s="7" t="str">
        <f t="shared" si="2433"/>
        <v>教育庁</v>
      </c>
      <c r="R6743" s="7" t="str">
        <f t="shared" si="2460"/>
        <v>大阪北視覚支援学校</v>
      </c>
    </row>
    <row r="6744" spans="1:18" s="1" customFormat="1" x14ac:dyDescent="0.45">
      <c r="A6744" s="7" t="str">
        <f t="shared" si="2457"/>
        <v>10275003037</v>
      </c>
      <c r="B6744" s="7" t="str">
        <f t="shared" si="2458"/>
        <v>大阪北視覚支援学校</v>
      </c>
      <c r="C6744" s="7" t="str">
        <f t="shared" si="2454"/>
        <v>行政財産</v>
      </c>
      <c r="D6744" s="7" t="str">
        <f t="shared" si="2448"/>
        <v>学校</v>
      </c>
      <c r="E6744" s="7" t="str">
        <f t="shared" si="2459"/>
        <v>大阪府大阪市　東淀川区豊里７丁目</v>
      </c>
      <c r="F6744" s="7"/>
      <c r="G6744" s="7" t="str">
        <f t="shared" si="2461"/>
        <v>事業用資産</v>
      </c>
      <c r="H6744" s="7" t="str">
        <f t="shared" si="2449"/>
        <v>棚卸以外</v>
      </c>
      <c r="I6744" s="7">
        <v>3</v>
      </c>
      <c r="J6744" s="7" t="str">
        <f>"校舎（管理室棟）"</f>
        <v>校舎（管理室棟）</v>
      </c>
      <c r="K6744" s="7" t="str">
        <f t="shared" si="2456"/>
        <v>鉄筋コンクリート造</v>
      </c>
      <c r="L6744" s="7" t="str">
        <f>"S38.03.01"</f>
        <v>S38.03.01</v>
      </c>
      <c r="M6744" s="7">
        <v>1264.79</v>
      </c>
      <c r="N6744" s="7">
        <v>20055724</v>
      </c>
      <c r="O6744" s="7">
        <v>4469680</v>
      </c>
      <c r="P6744" s="7">
        <v>0</v>
      </c>
      <c r="Q6744" s="7" t="str">
        <f t="shared" si="2433"/>
        <v>教育庁</v>
      </c>
      <c r="R6744" s="7" t="str">
        <f t="shared" si="2460"/>
        <v>大阪北視覚支援学校</v>
      </c>
    </row>
    <row r="6745" spans="1:18" s="1" customFormat="1" x14ac:dyDescent="0.45">
      <c r="A6745" s="7" t="str">
        <f t="shared" si="2457"/>
        <v>10275003037</v>
      </c>
      <c r="B6745" s="7" t="str">
        <f t="shared" si="2458"/>
        <v>大阪北視覚支援学校</v>
      </c>
      <c r="C6745" s="7" t="str">
        <f t="shared" si="2454"/>
        <v>行政財産</v>
      </c>
      <c r="D6745" s="7" t="str">
        <f t="shared" si="2448"/>
        <v>学校</v>
      </c>
      <c r="E6745" s="7" t="str">
        <f t="shared" si="2459"/>
        <v>大阪府大阪市　東淀川区豊里７丁目</v>
      </c>
      <c r="F6745" s="7"/>
      <c r="G6745" s="7" t="str">
        <f t="shared" si="2461"/>
        <v>事業用資産</v>
      </c>
      <c r="H6745" s="7" t="str">
        <f t="shared" si="2449"/>
        <v>棚卸以外</v>
      </c>
      <c r="I6745" s="7">
        <v>4</v>
      </c>
      <c r="J6745" s="7" t="str">
        <f>"寄宿舎棟"</f>
        <v>寄宿舎棟</v>
      </c>
      <c r="K6745" s="7" t="str">
        <f t="shared" si="2456"/>
        <v>鉄筋コンクリート造</v>
      </c>
      <c r="L6745" s="7" t="str">
        <f>"S38.03.01"</f>
        <v>S38.03.01</v>
      </c>
      <c r="M6745" s="7">
        <v>1664.62</v>
      </c>
      <c r="N6745" s="7">
        <v>18984123</v>
      </c>
      <c r="O6745" s="7">
        <v>4289904</v>
      </c>
      <c r="P6745" s="7">
        <v>0</v>
      </c>
      <c r="Q6745" s="7" t="str">
        <f t="shared" si="2433"/>
        <v>教育庁</v>
      </c>
      <c r="R6745" s="7" t="str">
        <f t="shared" si="2460"/>
        <v>大阪北視覚支援学校</v>
      </c>
    </row>
    <row r="6746" spans="1:18" s="1" customFormat="1" x14ac:dyDescent="0.45">
      <c r="A6746" s="7" t="str">
        <f t="shared" si="2457"/>
        <v>10275003037</v>
      </c>
      <c r="B6746" s="7" t="str">
        <f t="shared" si="2458"/>
        <v>大阪北視覚支援学校</v>
      </c>
      <c r="C6746" s="7" t="str">
        <f t="shared" si="2454"/>
        <v>行政財産</v>
      </c>
      <c r="D6746" s="7" t="str">
        <f t="shared" si="2448"/>
        <v>学校</v>
      </c>
      <c r="E6746" s="7" t="str">
        <f t="shared" si="2459"/>
        <v>大阪府大阪市　東淀川区豊里７丁目</v>
      </c>
      <c r="F6746" s="7"/>
      <c r="G6746" s="7" t="str">
        <f t="shared" si="2461"/>
        <v>事業用資産</v>
      </c>
      <c r="H6746" s="7" t="str">
        <f t="shared" si="2449"/>
        <v>棚卸以外</v>
      </c>
      <c r="I6746" s="7">
        <v>5</v>
      </c>
      <c r="J6746" s="7" t="str">
        <f>"給食室棟"</f>
        <v>給食室棟</v>
      </c>
      <c r="K6746" s="7" t="str">
        <f>"軽量鉄骨造"</f>
        <v>軽量鉄骨造</v>
      </c>
      <c r="L6746" s="7" t="str">
        <f>"S38.03.01"</f>
        <v>S38.03.01</v>
      </c>
      <c r="M6746" s="7">
        <v>441.22</v>
      </c>
      <c r="N6746" s="7">
        <v>9910535</v>
      </c>
      <c r="O6746" s="7">
        <v>1889074</v>
      </c>
      <c r="P6746" s="7">
        <v>0</v>
      </c>
      <c r="Q6746" s="7" t="str">
        <f t="shared" si="2433"/>
        <v>教育庁</v>
      </c>
      <c r="R6746" s="7" t="str">
        <f t="shared" si="2460"/>
        <v>大阪北視覚支援学校</v>
      </c>
    </row>
    <row r="6747" spans="1:18" s="1" customFormat="1" x14ac:dyDescent="0.45">
      <c r="A6747" s="7" t="str">
        <f t="shared" si="2457"/>
        <v>10275003037</v>
      </c>
      <c r="B6747" s="7" t="str">
        <f t="shared" si="2458"/>
        <v>大阪北視覚支援学校</v>
      </c>
      <c r="C6747" s="7" t="str">
        <f t="shared" si="2454"/>
        <v>行政財産</v>
      </c>
      <c r="D6747" s="7" t="str">
        <f t="shared" si="2448"/>
        <v>学校</v>
      </c>
      <c r="E6747" s="7" t="str">
        <f t="shared" si="2459"/>
        <v>大阪府大阪市　東淀川区豊里７丁目</v>
      </c>
      <c r="F6747" s="7"/>
      <c r="G6747" s="7" t="str">
        <f t="shared" si="2461"/>
        <v>事業用資産</v>
      </c>
      <c r="H6747" s="7" t="str">
        <f t="shared" si="2449"/>
        <v>棚卸以外</v>
      </c>
      <c r="I6747" s="7">
        <v>6</v>
      </c>
      <c r="J6747" s="7" t="str">
        <f>"車庫"</f>
        <v>車庫</v>
      </c>
      <c r="K6747" s="7" t="str">
        <f>"軽量鉄骨造"</f>
        <v>軽量鉄骨造</v>
      </c>
      <c r="L6747" s="7" t="str">
        <f>"S40.03.01"</f>
        <v>S40.03.01</v>
      </c>
      <c r="M6747" s="7">
        <v>26.47</v>
      </c>
      <c r="N6747" s="7">
        <v>1</v>
      </c>
      <c r="O6747" s="7">
        <v>0</v>
      </c>
      <c r="P6747" s="7">
        <v>0</v>
      </c>
      <c r="Q6747" s="7" t="str">
        <f t="shared" ref="Q6747:Q6810" si="2462">"教育庁"</f>
        <v>教育庁</v>
      </c>
      <c r="R6747" s="7" t="str">
        <f t="shared" si="2460"/>
        <v>大阪北視覚支援学校</v>
      </c>
    </row>
    <row r="6748" spans="1:18" s="1" customFormat="1" x14ac:dyDescent="0.45">
      <c r="A6748" s="7" t="str">
        <f t="shared" si="2457"/>
        <v>10275003037</v>
      </c>
      <c r="B6748" s="7" t="str">
        <f t="shared" si="2458"/>
        <v>大阪北視覚支援学校</v>
      </c>
      <c r="C6748" s="7" t="str">
        <f t="shared" si="2454"/>
        <v>行政財産</v>
      </c>
      <c r="D6748" s="7" t="str">
        <f t="shared" si="2448"/>
        <v>学校</v>
      </c>
      <c r="E6748" s="7" t="str">
        <f t="shared" si="2459"/>
        <v>大阪府大阪市　東淀川区豊里７丁目</v>
      </c>
      <c r="F6748" s="7"/>
      <c r="G6748" s="7" t="str">
        <f t="shared" si="2461"/>
        <v>事業用資産</v>
      </c>
      <c r="H6748" s="7" t="str">
        <f t="shared" si="2449"/>
        <v>棚卸以外</v>
      </c>
      <c r="I6748" s="7">
        <v>7</v>
      </c>
      <c r="J6748" s="7" t="str">
        <f>"屋体棟・格技室棟"</f>
        <v>屋体棟・格技室棟</v>
      </c>
      <c r="K6748" s="7" t="str">
        <f>"鉄骨造"</f>
        <v>鉄骨造</v>
      </c>
      <c r="L6748" s="7" t="str">
        <f>"S56.10.01"</f>
        <v>S56.10.01</v>
      </c>
      <c r="M6748" s="7">
        <v>1891.77</v>
      </c>
      <c r="N6748" s="7">
        <v>31024803</v>
      </c>
      <c r="O6748" s="7">
        <v>1158512</v>
      </c>
      <c r="P6748" s="7">
        <v>0</v>
      </c>
      <c r="Q6748" s="7" t="str">
        <f t="shared" si="2462"/>
        <v>教育庁</v>
      </c>
      <c r="R6748" s="7" t="str">
        <f t="shared" si="2460"/>
        <v>大阪北視覚支援学校</v>
      </c>
    </row>
    <row r="6749" spans="1:18" s="1" customFormat="1" x14ac:dyDescent="0.45">
      <c r="A6749" s="7" t="str">
        <f t="shared" si="2457"/>
        <v>10275003037</v>
      </c>
      <c r="B6749" s="7" t="str">
        <f t="shared" si="2458"/>
        <v>大阪北視覚支援学校</v>
      </c>
      <c r="C6749" s="7" t="str">
        <f t="shared" si="2454"/>
        <v>行政財産</v>
      </c>
      <c r="D6749" s="7" t="str">
        <f t="shared" si="2448"/>
        <v>学校</v>
      </c>
      <c r="E6749" s="7" t="str">
        <f t="shared" si="2459"/>
        <v>大阪府大阪市　東淀川区豊里７丁目</v>
      </c>
      <c r="F6749" s="7"/>
      <c r="G6749" s="7" t="str">
        <f t="shared" si="2461"/>
        <v>事業用資産</v>
      </c>
      <c r="H6749" s="7" t="str">
        <f t="shared" si="2449"/>
        <v>棚卸以外</v>
      </c>
      <c r="I6749" s="7">
        <v>8</v>
      </c>
      <c r="J6749" s="7" t="str">
        <f>"エレベーター棟"</f>
        <v>エレベーター棟</v>
      </c>
      <c r="K6749" s="7" t="str">
        <f>"鉄筋コンクリート造"</f>
        <v>鉄筋コンクリート造</v>
      </c>
      <c r="L6749" s="7" t="str">
        <f>"H04.03.01"</f>
        <v>H04.03.01</v>
      </c>
      <c r="M6749" s="7">
        <v>77.040000000000006</v>
      </c>
      <c r="N6749" s="7">
        <v>48645140</v>
      </c>
      <c r="O6749" s="7">
        <v>6442702</v>
      </c>
      <c r="P6749" s="7">
        <v>0</v>
      </c>
      <c r="Q6749" s="7" t="str">
        <f t="shared" si="2462"/>
        <v>教育庁</v>
      </c>
      <c r="R6749" s="7" t="str">
        <f t="shared" si="2460"/>
        <v>大阪北視覚支援学校</v>
      </c>
    </row>
    <row r="6750" spans="1:18" s="1" customFormat="1" x14ac:dyDescent="0.45">
      <c r="A6750" s="7" t="str">
        <f t="shared" ref="A6750:A6760" si="2463">"10275003038"</f>
        <v>10275003038</v>
      </c>
      <c r="B6750" s="7" t="str">
        <f t="shared" ref="B6750:B6760" si="2464">"中央聴覚支援学校"</f>
        <v>中央聴覚支援学校</v>
      </c>
      <c r="C6750" s="7" t="str">
        <f t="shared" si="2454"/>
        <v>行政財産</v>
      </c>
      <c r="D6750" s="7" t="str">
        <f t="shared" si="2448"/>
        <v>学校</v>
      </c>
      <c r="E6750" s="7" t="str">
        <f t="shared" ref="E6750:E6760" si="2465">"大阪府大阪市　中央区上町１丁目"</f>
        <v>大阪府大阪市　中央区上町１丁目</v>
      </c>
      <c r="F6750" s="7"/>
      <c r="G6750" s="7" t="str">
        <f t="shared" si="2461"/>
        <v>事業用資産</v>
      </c>
      <c r="H6750" s="7" t="str">
        <f t="shared" si="2449"/>
        <v>棚卸以外</v>
      </c>
      <c r="I6750" s="7">
        <v>1</v>
      </c>
      <c r="J6750" s="7" t="str">
        <f>"園舎"</f>
        <v>園舎</v>
      </c>
      <c r="K6750" s="7" t="str">
        <f>"鉄筋コンクリート造"</f>
        <v>鉄筋コンクリート造</v>
      </c>
      <c r="L6750" s="7" t="str">
        <f>"S30.11.01"</f>
        <v>S30.11.01</v>
      </c>
      <c r="M6750" s="7">
        <v>883.53</v>
      </c>
      <c r="N6750" s="7">
        <v>5974756</v>
      </c>
      <c r="O6750" s="7">
        <v>1240321</v>
      </c>
      <c r="P6750" s="7">
        <v>0</v>
      </c>
      <c r="Q6750" s="7" t="str">
        <f t="shared" si="2462"/>
        <v>教育庁</v>
      </c>
      <c r="R6750" s="7" t="str">
        <f t="shared" ref="R6750:R6760" si="2466">"中央聴覚支援学校"</f>
        <v>中央聴覚支援学校</v>
      </c>
    </row>
    <row r="6751" spans="1:18" s="1" customFormat="1" x14ac:dyDescent="0.45">
      <c r="A6751" s="7" t="str">
        <f t="shared" si="2463"/>
        <v>10275003038</v>
      </c>
      <c r="B6751" s="7" t="str">
        <f t="shared" si="2464"/>
        <v>中央聴覚支援学校</v>
      </c>
      <c r="C6751" s="7" t="str">
        <f t="shared" si="2454"/>
        <v>行政財産</v>
      </c>
      <c r="D6751" s="7" t="str">
        <f t="shared" si="2448"/>
        <v>学校</v>
      </c>
      <c r="E6751" s="7" t="str">
        <f t="shared" si="2465"/>
        <v>大阪府大阪市　中央区上町１丁目</v>
      </c>
      <c r="F6751" s="7"/>
      <c r="G6751" s="7" t="str">
        <f t="shared" si="2461"/>
        <v>事業用資産</v>
      </c>
      <c r="H6751" s="7" t="str">
        <f t="shared" si="2449"/>
        <v>棚卸以外</v>
      </c>
      <c r="I6751" s="7">
        <v>2</v>
      </c>
      <c r="J6751" s="7" t="str">
        <f>"体育館"</f>
        <v>体育館</v>
      </c>
      <c r="K6751" s="7" t="str">
        <f>"鉄骨造"</f>
        <v>鉄骨造</v>
      </c>
      <c r="L6751" s="7" t="str">
        <f>"S34.09.01"</f>
        <v>S34.09.01</v>
      </c>
      <c r="M6751" s="7">
        <v>396.23</v>
      </c>
      <c r="N6751" s="7">
        <v>26824220</v>
      </c>
      <c r="O6751" s="7">
        <v>1043174</v>
      </c>
      <c r="P6751" s="7">
        <v>0</v>
      </c>
      <c r="Q6751" s="7" t="str">
        <f t="shared" si="2462"/>
        <v>教育庁</v>
      </c>
      <c r="R6751" s="7" t="str">
        <f t="shared" si="2466"/>
        <v>中央聴覚支援学校</v>
      </c>
    </row>
    <row r="6752" spans="1:18" s="1" customFormat="1" x14ac:dyDescent="0.45">
      <c r="A6752" s="7" t="str">
        <f t="shared" si="2463"/>
        <v>10275003038</v>
      </c>
      <c r="B6752" s="7" t="str">
        <f t="shared" si="2464"/>
        <v>中央聴覚支援学校</v>
      </c>
      <c r="C6752" s="7" t="str">
        <f t="shared" si="2454"/>
        <v>行政財産</v>
      </c>
      <c r="D6752" s="7" t="str">
        <f t="shared" si="2448"/>
        <v>学校</v>
      </c>
      <c r="E6752" s="7" t="str">
        <f t="shared" si="2465"/>
        <v>大阪府大阪市　中央区上町１丁目</v>
      </c>
      <c r="F6752" s="7"/>
      <c r="G6752" s="7" t="str">
        <f t="shared" si="2461"/>
        <v>事業用資産</v>
      </c>
      <c r="H6752" s="7" t="str">
        <f t="shared" si="2449"/>
        <v>棚卸以外</v>
      </c>
      <c r="I6752" s="7">
        <v>3</v>
      </c>
      <c r="J6752" s="7" t="str">
        <f>"校舎（特別・普通教室棟）南館"</f>
        <v>校舎（特別・普通教室棟）南館</v>
      </c>
      <c r="K6752" s="7" t="str">
        <f>"鉄筋コンクリート造"</f>
        <v>鉄筋コンクリート造</v>
      </c>
      <c r="L6752" s="7" t="str">
        <f>"S41.03.01"</f>
        <v>S41.03.01</v>
      </c>
      <c r="M6752" s="7">
        <v>753.78</v>
      </c>
      <c r="N6752" s="7">
        <v>7349402</v>
      </c>
      <c r="O6752" s="7">
        <v>1710459</v>
      </c>
      <c r="P6752" s="7">
        <v>0</v>
      </c>
      <c r="Q6752" s="7" t="str">
        <f t="shared" si="2462"/>
        <v>教育庁</v>
      </c>
      <c r="R6752" s="7" t="str">
        <f t="shared" si="2466"/>
        <v>中央聴覚支援学校</v>
      </c>
    </row>
    <row r="6753" spans="1:18" s="1" customFormat="1" x14ac:dyDescent="0.45">
      <c r="A6753" s="7" t="str">
        <f t="shared" si="2463"/>
        <v>10275003038</v>
      </c>
      <c r="B6753" s="7" t="str">
        <f t="shared" si="2464"/>
        <v>中央聴覚支援学校</v>
      </c>
      <c r="C6753" s="7" t="str">
        <f t="shared" si="2454"/>
        <v>行政財産</v>
      </c>
      <c r="D6753" s="7" t="str">
        <f t="shared" si="2448"/>
        <v>学校</v>
      </c>
      <c r="E6753" s="7" t="str">
        <f t="shared" si="2465"/>
        <v>大阪府大阪市　中央区上町１丁目</v>
      </c>
      <c r="F6753" s="7"/>
      <c r="G6753" s="7" t="str">
        <f t="shared" si="2461"/>
        <v>事業用資産</v>
      </c>
      <c r="H6753" s="7" t="str">
        <f t="shared" si="2449"/>
        <v>棚卸以外</v>
      </c>
      <c r="I6753" s="7">
        <v>4</v>
      </c>
      <c r="J6753" s="7" t="str">
        <f>"体育館"</f>
        <v>体育館</v>
      </c>
      <c r="K6753" s="7" t="str">
        <f>"鉄骨造"</f>
        <v>鉄骨造</v>
      </c>
      <c r="L6753" s="7" t="str">
        <f>"S50.09.01"</f>
        <v>S50.09.01</v>
      </c>
      <c r="M6753" s="7">
        <v>299.5</v>
      </c>
      <c r="N6753" s="7">
        <v>1</v>
      </c>
      <c r="O6753" s="7">
        <v>0</v>
      </c>
      <c r="P6753" s="7">
        <v>0</v>
      </c>
      <c r="Q6753" s="7" t="str">
        <f t="shared" si="2462"/>
        <v>教育庁</v>
      </c>
      <c r="R6753" s="7" t="str">
        <f t="shared" si="2466"/>
        <v>中央聴覚支援学校</v>
      </c>
    </row>
    <row r="6754" spans="1:18" s="1" customFormat="1" x14ac:dyDescent="0.45">
      <c r="A6754" s="7" t="str">
        <f t="shared" si="2463"/>
        <v>10275003038</v>
      </c>
      <c r="B6754" s="7" t="str">
        <f t="shared" si="2464"/>
        <v>中央聴覚支援学校</v>
      </c>
      <c r="C6754" s="7" t="str">
        <f t="shared" si="2454"/>
        <v>行政財産</v>
      </c>
      <c r="D6754" s="7" t="str">
        <f t="shared" si="2448"/>
        <v>学校</v>
      </c>
      <c r="E6754" s="7" t="str">
        <f t="shared" si="2465"/>
        <v>大阪府大阪市　中央区上町１丁目</v>
      </c>
      <c r="F6754" s="7"/>
      <c r="G6754" s="7" t="str">
        <f t="shared" si="2461"/>
        <v>事業用資産</v>
      </c>
      <c r="H6754" s="7" t="str">
        <f t="shared" si="2449"/>
        <v>棚卸以外</v>
      </c>
      <c r="I6754" s="7">
        <v>5</v>
      </c>
      <c r="J6754" s="7" t="str">
        <f>"校舎（特別・普通教室棟）高等部棟南側"</f>
        <v>校舎（特別・普通教室棟）高等部棟南側</v>
      </c>
      <c r="K6754" s="7" t="str">
        <f>"鉄筋コンクリート造"</f>
        <v>鉄筋コンクリート造</v>
      </c>
      <c r="L6754" s="7" t="str">
        <f>"S53.05.01"</f>
        <v>S53.05.01</v>
      </c>
      <c r="M6754" s="7">
        <v>1364.92</v>
      </c>
      <c r="N6754" s="7">
        <v>49703237</v>
      </c>
      <c r="O6754" s="7">
        <v>29333647</v>
      </c>
      <c r="P6754" s="7">
        <v>0</v>
      </c>
      <c r="Q6754" s="7" t="str">
        <f t="shared" si="2462"/>
        <v>教育庁</v>
      </c>
      <c r="R6754" s="7" t="str">
        <f t="shared" si="2466"/>
        <v>中央聴覚支援学校</v>
      </c>
    </row>
    <row r="6755" spans="1:18" s="1" customFormat="1" x14ac:dyDescent="0.45">
      <c r="A6755" s="7" t="str">
        <f t="shared" si="2463"/>
        <v>10275003038</v>
      </c>
      <c r="B6755" s="7" t="str">
        <f t="shared" si="2464"/>
        <v>中央聴覚支援学校</v>
      </c>
      <c r="C6755" s="7" t="str">
        <f t="shared" si="2454"/>
        <v>行政財産</v>
      </c>
      <c r="D6755" s="7" t="str">
        <f t="shared" si="2448"/>
        <v>学校</v>
      </c>
      <c r="E6755" s="7" t="str">
        <f t="shared" si="2465"/>
        <v>大阪府大阪市　中央区上町１丁目</v>
      </c>
      <c r="F6755" s="7"/>
      <c r="G6755" s="7" t="str">
        <f t="shared" si="2461"/>
        <v>事業用資産</v>
      </c>
      <c r="H6755" s="7" t="str">
        <f t="shared" si="2449"/>
        <v>棚卸以外</v>
      </c>
      <c r="I6755" s="7">
        <v>6</v>
      </c>
      <c r="J6755" s="7" t="str">
        <f>"校舎（特別・普通教室棟）高等部北側"</f>
        <v>校舎（特別・普通教室棟）高等部北側</v>
      </c>
      <c r="K6755" s="7" t="str">
        <f>"鉄筋コンクリート造"</f>
        <v>鉄筋コンクリート造</v>
      </c>
      <c r="L6755" s="7" t="str">
        <f>"S57.06.01"</f>
        <v>S57.06.01</v>
      </c>
      <c r="M6755" s="7">
        <v>593.74</v>
      </c>
      <c r="N6755" s="7">
        <v>34917508</v>
      </c>
      <c r="O6755" s="7">
        <v>16711966</v>
      </c>
      <c r="P6755" s="7">
        <v>0</v>
      </c>
      <c r="Q6755" s="7" t="str">
        <f t="shared" si="2462"/>
        <v>教育庁</v>
      </c>
      <c r="R6755" s="7" t="str">
        <f t="shared" si="2466"/>
        <v>中央聴覚支援学校</v>
      </c>
    </row>
    <row r="6756" spans="1:18" s="1" customFormat="1" x14ac:dyDescent="0.45">
      <c r="A6756" s="7" t="str">
        <f t="shared" si="2463"/>
        <v>10275003038</v>
      </c>
      <c r="B6756" s="7" t="str">
        <f t="shared" si="2464"/>
        <v>中央聴覚支援学校</v>
      </c>
      <c r="C6756" s="7" t="str">
        <f t="shared" si="2454"/>
        <v>行政財産</v>
      </c>
      <c r="D6756" s="7" t="str">
        <f t="shared" si="2448"/>
        <v>学校</v>
      </c>
      <c r="E6756" s="7" t="str">
        <f t="shared" si="2465"/>
        <v>大阪府大阪市　中央区上町１丁目</v>
      </c>
      <c r="F6756" s="7"/>
      <c r="G6756" s="7" t="str">
        <f t="shared" si="2461"/>
        <v>事業用資産</v>
      </c>
      <c r="H6756" s="7" t="str">
        <f t="shared" si="2449"/>
        <v>棚卸以外</v>
      </c>
      <c r="I6756" s="7">
        <v>7</v>
      </c>
      <c r="J6756" s="7" t="str">
        <f>"陶芸釜室"</f>
        <v>陶芸釜室</v>
      </c>
      <c r="K6756" s="7" t="str">
        <f>"コンクリートブロック造"</f>
        <v>コンクリートブロック造</v>
      </c>
      <c r="L6756" s="7" t="str">
        <f>"S57.06.01"</f>
        <v>S57.06.01</v>
      </c>
      <c r="M6756" s="7">
        <v>15.24</v>
      </c>
      <c r="N6756" s="7">
        <v>466638</v>
      </c>
      <c r="O6756" s="7">
        <v>450441</v>
      </c>
      <c r="P6756" s="7">
        <v>0</v>
      </c>
      <c r="Q6756" s="7" t="str">
        <f t="shared" si="2462"/>
        <v>教育庁</v>
      </c>
      <c r="R6756" s="7" t="str">
        <f t="shared" si="2466"/>
        <v>中央聴覚支援学校</v>
      </c>
    </row>
    <row r="6757" spans="1:18" s="1" customFormat="1" x14ac:dyDescent="0.45">
      <c r="A6757" s="7" t="str">
        <f t="shared" si="2463"/>
        <v>10275003038</v>
      </c>
      <c r="B6757" s="7" t="str">
        <f t="shared" si="2464"/>
        <v>中央聴覚支援学校</v>
      </c>
      <c r="C6757" s="7" t="str">
        <f t="shared" si="2454"/>
        <v>行政財産</v>
      </c>
      <c r="D6757" s="7" t="str">
        <f t="shared" si="2448"/>
        <v>学校</v>
      </c>
      <c r="E6757" s="7" t="str">
        <f t="shared" si="2465"/>
        <v>大阪府大阪市　中央区上町１丁目</v>
      </c>
      <c r="F6757" s="7"/>
      <c r="G6757" s="7" t="str">
        <f t="shared" si="2461"/>
        <v>事業用資産</v>
      </c>
      <c r="H6757" s="7" t="str">
        <f t="shared" si="2449"/>
        <v>棚卸以外</v>
      </c>
      <c r="I6757" s="7">
        <v>9</v>
      </c>
      <c r="J6757" s="7" t="str">
        <f>"給食室棟"</f>
        <v>給食室棟</v>
      </c>
      <c r="K6757" s="7" t="str">
        <f>"軽量鉄骨造"</f>
        <v>軽量鉄骨造</v>
      </c>
      <c r="L6757" s="7" t="str">
        <f>"S60.03.01"</f>
        <v>S60.03.01</v>
      </c>
      <c r="M6757" s="7">
        <v>150</v>
      </c>
      <c r="N6757" s="7">
        <v>2176872</v>
      </c>
      <c r="O6757" s="7">
        <v>494081</v>
      </c>
      <c r="P6757" s="7">
        <v>0</v>
      </c>
      <c r="Q6757" s="7" t="str">
        <f t="shared" si="2462"/>
        <v>教育庁</v>
      </c>
      <c r="R6757" s="7" t="str">
        <f t="shared" si="2466"/>
        <v>中央聴覚支援学校</v>
      </c>
    </row>
    <row r="6758" spans="1:18" s="1" customFormat="1" x14ac:dyDescent="0.45">
      <c r="A6758" s="7" t="str">
        <f t="shared" si="2463"/>
        <v>10275003038</v>
      </c>
      <c r="B6758" s="7" t="str">
        <f t="shared" si="2464"/>
        <v>中央聴覚支援学校</v>
      </c>
      <c r="C6758" s="7" t="str">
        <f t="shared" si="2454"/>
        <v>行政財産</v>
      </c>
      <c r="D6758" s="7" t="str">
        <f t="shared" si="2448"/>
        <v>学校</v>
      </c>
      <c r="E6758" s="7" t="str">
        <f t="shared" si="2465"/>
        <v>大阪府大阪市　中央区上町１丁目</v>
      </c>
      <c r="F6758" s="7"/>
      <c r="G6758" s="7" t="str">
        <f t="shared" si="2461"/>
        <v>事業用資産</v>
      </c>
      <c r="H6758" s="7" t="str">
        <f t="shared" si="2449"/>
        <v>棚卸以外</v>
      </c>
      <c r="I6758" s="7">
        <v>10</v>
      </c>
      <c r="J6758" s="7" t="str">
        <f>"倉庫"</f>
        <v>倉庫</v>
      </c>
      <c r="K6758" s="7" t="str">
        <f>"軽量鉄骨造"</f>
        <v>軽量鉄骨造</v>
      </c>
      <c r="L6758" s="7" t="str">
        <f>"S63.03.01"</f>
        <v>S63.03.01</v>
      </c>
      <c r="M6758" s="7">
        <v>31</v>
      </c>
      <c r="N6758" s="7">
        <v>1</v>
      </c>
      <c r="O6758" s="7">
        <v>0</v>
      </c>
      <c r="P6758" s="7">
        <v>0</v>
      </c>
      <c r="Q6758" s="7" t="str">
        <f t="shared" si="2462"/>
        <v>教育庁</v>
      </c>
      <c r="R6758" s="7" t="str">
        <f t="shared" si="2466"/>
        <v>中央聴覚支援学校</v>
      </c>
    </row>
    <row r="6759" spans="1:18" s="1" customFormat="1" x14ac:dyDescent="0.45">
      <c r="A6759" s="7" t="str">
        <f t="shared" si="2463"/>
        <v>10275003038</v>
      </c>
      <c r="B6759" s="7" t="str">
        <f t="shared" si="2464"/>
        <v>中央聴覚支援学校</v>
      </c>
      <c r="C6759" s="7" t="str">
        <f t="shared" si="2454"/>
        <v>行政財産</v>
      </c>
      <c r="D6759" s="7" t="str">
        <f t="shared" si="2448"/>
        <v>学校</v>
      </c>
      <c r="E6759" s="7" t="str">
        <f t="shared" si="2465"/>
        <v>大阪府大阪市　中央区上町１丁目</v>
      </c>
      <c r="F6759" s="7"/>
      <c r="G6759" s="7" t="str">
        <f t="shared" si="2461"/>
        <v>事業用資産</v>
      </c>
      <c r="H6759" s="7" t="str">
        <f t="shared" si="2449"/>
        <v>棚卸以外</v>
      </c>
      <c r="I6759" s="7">
        <v>11</v>
      </c>
      <c r="J6759" s="7" t="str">
        <f>"校舎（管理室棟）"</f>
        <v>校舎（管理室棟）</v>
      </c>
      <c r="K6759" s="7" t="str">
        <f>"鉄筋コンクリート造"</f>
        <v>鉄筋コンクリート造</v>
      </c>
      <c r="L6759" s="7" t="str">
        <f>"H03.01.01"</f>
        <v>H03.01.01</v>
      </c>
      <c r="M6759" s="7">
        <v>3198.65</v>
      </c>
      <c r="N6759" s="7">
        <v>355908708</v>
      </c>
      <c r="O6759" s="7">
        <v>110614447</v>
      </c>
      <c r="P6759" s="7">
        <v>0</v>
      </c>
      <c r="Q6759" s="7" t="str">
        <f t="shared" si="2462"/>
        <v>教育庁</v>
      </c>
      <c r="R6759" s="7" t="str">
        <f t="shared" si="2466"/>
        <v>中央聴覚支援学校</v>
      </c>
    </row>
    <row r="6760" spans="1:18" s="1" customFormat="1" x14ac:dyDescent="0.45">
      <c r="A6760" s="7" t="str">
        <f t="shared" si="2463"/>
        <v>10275003038</v>
      </c>
      <c r="B6760" s="7" t="str">
        <f t="shared" si="2464"/>
        <v>中央聴覚支援学校</v>
      </c>
      <c r="C6760" s="7" t="str">
        <f t="shared" si="2454"/>
        <v>行政財産</v>
      </c>
      <c r="D6760" s="7" t="str">
        <f t="shared" si="2448"/>
        <v>学校</v>
      </c>
      <c r="E6760" s="7" t="str">
        <f t="shared" si="2465"/>
        <v>大阪府大阪市　中央区上町１丁目</v>
      </c>
      <c r="F6760" s="7"/>
      <c r="G6760" s="7" t="str">
        <f t="shared" si="2461"/>
        <v>事業用資産</v>
      </c>
      <c r="H6760" s="7" t="str">
        <f t="shared" si="2449"/>
        <v>棚卸以外</v>
      </c>
      <c r="I6760" s="7">
        <v>12</v>
      </c>
      <c r="J6760" s="7" t="str">
        <f>"寄宿舎棟"</f>
        <v>寄宿舎棟</v>
      </c>
      <c r="K6760" s="7" t="str">
        <f>"鉄筋コンクリート造"</f>
        <v>鉄筋コンクリート造</v>
      </c>
      <c r="L6760" s="7" t="str">
        <f>"S31.04.01"</f>
        <v>S31.04.01</v>
      </c>
      <c r="M6760" s="7">
        <v>814</v>
      </c>
      <c r="N6760" s="7">
        <v>7600582</v>
      </c>
      <c r="O6760" s="7">
        <v>1886337</v>
      </c>
      <c r="P6760" s="7">
        <v>0</v>
      </c>
      <c r="Q6760" s="7" t="str">
        <f t="shared" si="2462"/>
        <v>教育庁</v>
      </c>
      <c r="R6760" s="7" t="str">
        <f t="shared" si="2466"/>
        <v>中央聴覚支援学校</v>
      </c>
    </row>
    <row r="6761" spans="1:18" s="1" customFormat="1" x14ac:dyDescent="0.45">
      <c r="A6761" s="7" t="str">
        <f t="shared" ref="A6761:A6767" si="2467">"10275003048"</f>
        <v>10275003048</v>
      </c>
      <c r="B6761" s="7" t="str">
        <f t="shared" ref="B6761:B6767" si="2468">"光陽支援学校"</f>
        <v>光陽支援学校</v>
      </c>
      <c r="C6761" s="7" t="str">
        <f t="shared" si="2454"/>
        <v>行政財産</v>
      </c>
      <c r="D6761" s="7" t="str">
        <f t="shared" si="2448"/>
        <v>学校</v>
      </c>
      <c r="E6761" s="7" t="str">
        <f t="shared" ref="E6761:E6767" si="2469">"大阪府大阪市　旭区新森６丁目"</f>
        <v>大阪府大阪市　旭区新森６丁目</v>
      </c>
      <c r="F6761" s="7"/>
      <c r="G6761" s="7" t="str">
        <f t="shared" si="2461"/>
        <v>事業用資産</v>
      </c>
      <c r="H6761" s="7" t="str">
        <f t="shared" si="2449"/>
        <v>棚卸以外</v>
      </c>
      <c r="I6761" s="7">
        <v>1</v>
      </c>
      <c r="J6761" s="7" t="str">
        <f>"会館"</f>
        <v>会館</v>
      </c>
      <c r="K6761" s="7" t="str">
        <f>"軽量鉄骨造"</f>
        <v>軽量鉄骨造</v>
      </c>
      <c r="L6761" s="7" t="str">
        <f>"S47.08.01"</f>
        <v>S47.08.01</v>
      </c>
      <c r="M6761" s="7">
        <v>168.4</v>
      </c>
      <c r="N6761" s="7">
        <v>1</v>
      </c>
      <c r="O6761" s="7">
        <v>0</v>
      </c>
      <c r="P6761" s="7">
        <v>0</v>
      </c>
      <c r="Q6761" s="7" t="str">
        <f t="shared" si="2462"/>
        <v>教育庁</v>
      </c>
      <c r="R6761" s="7" t="str">
        <f t="shared" ref="R6761:R6767" si="2470">"光陽支援学校"</f>
        <v>光陽支援学校</v>
      </c>
    </row>
    <row r="6762" spans="1:18" s="1" customFormat="1" x14ac:dyDescent="0.45">
      <c r="A6762" s="7" t="str">
        <f t="shared" si="2467"/>
        <v>10275003048</v>
      </c>
      <c r="B6762" s="7" t="str">
        <f t="shared" si="2468"/>
        <v>光陽支援学校</v>
      </c>
      <c r="C6762" s="7" t="str">
        <f t="shared" si="2454"/>
        <v>行政財産</v>
      </c>
      <c r="D6762" s="7" t="str">
        <f t="shared" si="2448"/>
        <v>学校</v>
      </c>
      <c r="E6762" s="7" t="str">
        <f t="shared" si="2469"/>
        <v>大阪府大阪市　旭区新森６丁目</v>
      </c>
      <c r="F6762" s="7"/>
      <c r="G6762" s="7" t="str">
        <f t="shared" si="2461"/>
        <v>事業用資産</v>
      </c>
      <c r="H6762" s="7" t="str">
        <f t="shared" si="2449"/>
        <v>棚卸以外</v>
      </c>
      <c r="I6762" s="7">
        <v>2</v>
      </c>
      <c r="J6762" s="7" t="str">
        <f>"校舎（管理室棟）"</f>
        <v>校舎（管理室棟）</v>
      </c>
      <c r="K6762" s="7" t="str">
        <f>"鉄骨造"</f>
        <v>鉄骨造</v>
      </c>
      <c r="L6762" s="7" t="str">
        <f>"S56.01.01"</f>
        <v>S56.01.01</v>
      </c>
      <c r="M6762" s="7">
        <v>3198.8</v>
      </c>
      <c r="N6762" s="7">
        <v>157436661</v>
      </c>
      <c r="O6762" s="7">
        <v>21603303</v>
      </c>
      <c r="P6762" s="7">
        <v>0</v>
      </c>
      <c r="Q6762" s="7" t="str">
        <f t="shared" si="2462"/>
        <v>教育庁</v>
      </c>
      <c r="R6762" s="7" t="str">
        <f t="shared" si="2470"/>
        <v>光陽支援学校</v>
      </c>
    </row>
    <row r="6763" spans="1:18" s="1" customFormat="1" x14ac:dyDescent="0.45">
      <c r="A6763" s="7" t="str">
        <f t="shared" si="2467"/>
        <v>10275003048</v>
      </c>
      <c r="B6763" s="7" t="str">
        <f t="shared" si="2468"/>
        <v>光陽支援学校</v>
      </c>
      <c r="C6763" s="7" t="str">
        <f t="shared" si="2454"/>
        <v>行政財産</v>
      </c>
      <c r="D6763" s="7" t="str">
        <f t="shared" si="2448"/>
        <v>学校</v>
      </c>
      <c r="E6763" s="7" t="str">
        <f t="shared" si="2469"/>
        <v>大阪府大阪市　旭区新森６丁目</v>
      </c>
      <c r="F6763" s="7"/>
      <c r="G6763" s="7" t="str">
        <f t="shared" si="2461"/>
        <v>事業用資産</v>
      </c>
      <c r="H6763" s="7" t="str">
        <f t="shared" si="2449"/>
        <v>棚卸以外</v>
      </c>
      <c r="I6763" s="7">
        <v>3</v>
      </c>
      <c r="J6763" s="7" t="str">
        <f>"電気機械室"</f>
        <v>電気機械室</v>
      </c>
      <c r="K6763" s="7" t="str">
        <f>"鉄筋コンクリート造"</f>
        <v>鉄筋コンクリート造</v>
      </c>
      <c r="L6763" s="7" t="str">
        <f>"S55.12.01"</f>
        <v>S55.12.01</v>
      </c>
      <c r="M6763" s="7">
        <v>86.04</v>
      </c>
      <c r="N6763" s="7">
        <v>4344551</v>
      </c>
      <c r="O6763" s="7">
        <v>3272055</v>
      </c>
      <c r="P6763" s="7">
        <v>0</v>
      </c>
      <c r="Q6763" s="7" t="str">
        <f t="shared" si="2462"/>
        <v>教育庁</v>
      </c>
      <c r="R6763" s="7" t="str">
        <f t="shared" si="2470"/>
        <v>光陽支援学校</v>
      </c>
    </row>
    <row r="6764" spans="1:18" s="1" customFormat="1" x14ac:dyDescent="0.45">
      <c r="A6764" s="7" t="str">
        <f t="shared" si="2467"/>
        <v>10275003048</v>
      </c>
      <c r="B6764" s="7" t="str">
        <f t="shared" si="2468"/>
        <v>光陽支援学校</v>
      </c>
      <c r="C6764" s="7" t="str">
        <f t="shared" si="2454"/>
        <v>行政財産</v>
      </c>
      <c r="D6764" s="7" t="str">
        <f t="shared" si="2448"/>
        <v>学校</v>
      </c>
      <c r="E6764" s="7" t="str">
        <f t="shared" si="2469"/>
        <v>大阪府大阪市　旭区新森６丁目</v>
      </c>
      <c r="F6764" s="7"/>
      <c r="G6764" s="7" t="str">
        <f t="shared" si="2461"/>
        <v>事業用資産</v>
      </c>
      <c r="H6764" s="7" t="str">
        <f t="shared" si="2449"/>
        <v>棚卸以外</v>
      </c>
      <c r="I6764" s="7">
        <v>4</v>
      </c>
      <c r="J6764" s="7" t="str">
        <f>"給食室棟"</f>
        <v>給食室棟</v>
      </c>
      <c r="K6764" s="7" t="str">
        <f>"軽量鉄骨造"</f>
        <v>軽量鉄骨造</v>
      </c>
      <c r="L6764" s="7" t="str">
        <f>"S56.08.01"</f>
        <v>S56.08.01</v>
      </c>
      <c r="M6764" s="7">
        <v>152.26</v>
      </c>
      <c r="N6764" s="7">
        <v>6340717</v>
      </c>
      <c r="O6764" s="7">
        <v>1689897</v>
      </c>
      <c r="P6764" s="7">
        <v>0</v>
      </c>
      <c r="Q6764" s="7" t="str">
        <f t="shared" si="2462"/>
        <v>教育庁</v>
      </c>
      <c r="R6764" s="7" t="str">
        <f t="shared" si="2470"/>
        <v>光陽支援学校</v>
      </c>
    </row>
    <row r="6765" spans="1:18" s="1" customFormat="1" x14ac:dyDescent="0.45">
      <c r="A6765" s="7" t="str">
        <f t="shared" si="2467"/>
        <v>10275003048</v>
      </c>
      <c r="B6765" s="7" t="str">
        <f t="shared" si="2468"/>
        <v>光陽支援学校</v>
      </c>
      <c r="C6765" s="7" t="str">
        <f t="shared" si="2454"/>
        <v>行政財産</v>
      </c>
      <c r="D6765" s="7" t="str">
        <f t="shared" si="2448"/>
        <v>学校</v>
      </c>
      <c r="E6765" s="7" t="str">
        <f t="shared" si="2469"/>
        <v>大阪府大阪市　旭区新森６丁目</v>
      </c>
      <c r="F6765" s="7"/>
      <c r="G6765" s="7" t="str">
        <f t="shared" si="2461"/>
        <v>事業用資産</v>
      </c>
      <c r="H6765" s="7" t="str">
        <f t="shared" si="2449"/>
        <v>棚卸以外</v>
      </c>
      <c r="I6765" s="7">
        <v>5</v>
      </c>
      <c r="J6765" s="7" t="str">
        <f>"倉庫"</f>
        <v>倉庫</v>
      </c>
      <c r="K6765" s="7" t="str">
        <f>"軽量鉄骨造"</f>
        <v>軽量鉄骨造</v>
      </c>
      <c r="L6765" s="7" t="str">
        <f>"S56.08.01"</f>
        <v>S56.08.01</v>
      </c>
      <c r="M6765" s="7">
        <v>32</v>
      </c>
      <c r="N6765" s="7">
        <v>1</v>
      </c>
      <c r="O6765" s="7">
        <v>0</v>
      </c>
      <c r="P6765" s="7">
        <v>0</v>
      </c>
      <c r="Q6765" s="7" t="str">
        <f t="shared" si="2462"/>
        <v>教育庁</v>
      </c>
      <c r="R6765" s="7" t="str">
        <f t="shared" si="2470"/>
        <v>光陽支援学校</v>
      </c>
    </row>
    <row r="6766" spans="1:18" s="1" customFormat="1" x14ac:dyDescent="0.45">
      <c r="A6766" s="7" t="str">
        <f t="shared" si="2467"/>
        <v>10275003048</v>
      </c>
      <c r="B6766" s="7" t="str">
        <f t="shared" si="2468"/>
        <v>光陽支援学校</v>
      </c>
      <c r="C6766" s="7" t="str">
        <f t="shared" si="2454"/>
        <v>行政財産</v>
      </c>
      <c r="D6766" s="7" t="str">
        <f t="shared" si="2448"/>
        <v>学校</v>
      </c>
      <c r="E6766" s="7" t="str">
        <f t="shared" si="2469"/>
        <v>大阪府大阪市　旭区新森６丁目</v>
      </c>
      <c r="F6766" s="7"/>
      <c r="G6766" s="7" t="str">
        <f t="shared" si="2461"/>
        <v>事業用資産</v>
      </c>
      <c r="H6766" s="7" t="str">
        <f t="shared" si="2449"/>
        <v>棚卸以外</v>
      </c>
      <c r="I6766" s="7">
        <v>6</v>
      </c>
      <c r="J6766" s="7" t="str">
        <f>"体育館"</f>
        <v>体育館</v>
      </c>
      <c r="K6766" s="7" t="str">
        <f>"軽量鉄骨造"</f>
        <v>軽量鉄骨造</v>
      </c>
      <c r="L6766" s="7" t="str">
        <f>"S50.01.01"</f>
        <v>S50.01.01</v>
      </c>
      <c r="M6766" s="7">
        <v>677</v>
      </c>
      <c r="N6766" s="7">
        <v>24937688</v>
      </c>
      <c r="O6766" s="7">
        <v>2493774</v>
      </c>
      <c r="P6766" s="7">
        <v>0</v>
      </c>
      <c r="Q6766" s="7" t="str">
        <f t="shared" si="2462"/>
        <v>教育庁</v>
      </c>
      <c r="R6766" s="7" t="str">
        <f t="shared" si="2470"/>
        <v>光陽支援学校</v>
      </c>
    </row>
    <row r="6767" spans="1:18" s="1" customFormat="1" x14ac:dyDescent="0.45">
      <c r="A6767" s="7" t="str">
        <f t="shared" si="2467"/>
        <v>10275003048</v>
      </c>
      <c r="B6767" s="7" t="str">
        <f t="shared" si="2468"/>
        <v>光陽支援学校</v>
      </c>
      <c r="C6767" s="7" t="str">
        <f t="shared" si="2454"/>
        <v>行政財産</v>
      </c>
      <c r="D6767" s="7" t="str">
        <f t="shared" si="2448"/>
        <v>学校</v>
      </c>
      <c r="E6767" s="7" t="str">
        <f t="shared" si="2469"/>
        <v>大阪府大阪市　旭区新森６丁目</v>
      </c>
      <c r="F6767" s="7"/>
      <c r="G6767" s="7" t="str">
        <f t="shared" si="2461"/>
        <v>事業用資産</v>
      </c>
      <c r="H6767" s="7" t="str">
        <f t="shared" si="2449"/>
        <v>棚卸以外</v>
      </c>
      <c r="I6767" s="7">
        <v>7</v>
      </c>
      <c r="J6767" s="7" t="str">
        <f>"校舎（特別・普通教室棟）"</f>
        <v>校舎（特別・普通教室棟）</v>
      </c>
      <c r="K6767" s="7" t="str">
        <f>"鉄骨造"</f>
        <v>鉄骨造</v>
      </c>
      <c r="L6767" s="7" t="str">
        <f>"H08.09.01"</f>
        <v>H08.09.01</v>
      </c>
      <c r="M6767" s="7">
        <v>3097.8</v>
      </c>
      <c r="N6767" s="7">
        <v>457738037</v>
      </c>
      <c r="O6767" s="7">
        <v>208360504</v>
      </c>
      <c r="P6767" s="7">
        <v>0</v>
      </c>
      <c r="Q6767" s="7" t="str">
        <f t="shared" si="2462"/>
        <v>教育庁</v>
      </c>
      <c r="R6767" s="7" t="str">
        <f t="shared" si="2470"/>
        <v>光陽支援学校</v>
      </c>
    </row>
    <row r="6768" spans="1:18" s="1" customFormat="1" x14ac:dyDescent="0.45">
      <c r="A6768" s="7" t="str">
        <f t="shared" ref="A6768:A6773" si="2471">"10275003040"</f>
        <v>10275003040</v>
      </c>
      <c r="B6768" s="7" t="str">
        <f t="shared" ref="B6768:B6773" si="2472">"西淀川支援学校"</f>
        <v>西淀川支援学校</v>
      </c>
      <c r="C6768" s="7" t="str">
        <f t="shared" si="2454"/>
        <v>行政財産</v>
      </c>
      <c r="D6768" s="7" t="str">
        <f t="shared" si="2448"/>
        <v>学校</v>
      </c>
      <c r="E6768" s="7" t="str">
        <f t="shared" ref="E6768:E6773" si="2473">"大阪府大阪市　西淀川区大和田２丁目"</f>
        <v>大阪府大阪市　西淀川区大和田２丁目</v>
      </c>
      <c r="F6768" s="7"/>
      <c r="G6768" s="7" t="str">
        <f t="shared" si="2461"/>
        <v>事業用資産</v>
      </c>
      <c r="H6768" s="7" t="str">
        <f t="shared" si="2449"/>
        <v>棚卸以外</v>
      </c>
      <c r="I6768" s="7">
        <v>1</v>
      </c>
      <c r="J6768" s="7" t="str">
        <f>"校舎（二期棟）"</f>
        <v>校舎（二期棟）</v>
      </c>
      <c r="K6768" s="7" t="str">
        <f>"鉄筋コンクリート造"</f>
        <v>鉄筋コンクリート造</v>
      </c>
      <c r="L6768" s="7" t="str">
        <f>"S55.03.01"</f>
        <v>S55.03.01</v>
      </c>
      <c r="M6768" s="7">
        <v>2263.52</v>
      </c>
      <c r="N6768" s="7">
        <v>114186356</v>
      </c>
      <c r="O6768" s="7">
        <v>54736431</v>
      </c>
      <c r="P6768" s="7">
        <v>0</v>
      </c>
      <c r="Q6768" s="7" t="str">
        <f t="shared" si="2462"/>
        <v>教育庁</v>
      </c>
      <c r="R6768" s="7" t="str">
        <f t="shared" ref="R6768:R6773" si="2474">"西淀川支援学校"</f>
        <v>西淀川支援学校</v>
      </c>
    </row>
    <row r="6769" spans="1:18" s="1" customFormat="1" x14ac:dyDescent="0.45">
      <c r="A6769" s="7" t="str">
        <f t="shared" si="2471"/>
        <v>10275003040</v>
      </c>
      <c r="B6769" s="7" t="str">
        <f t="shared" si="2472"/>
        <v>西淀川支援学校</v>
      </c>
      <c r="C6769" s="7" t="str">
        <f t="shared" si="2454"/>
        <v>行政財産</v>
      </c>
      <c r="D6769" s="7" t="str">
        <f t="shared" si="2448"/>
        <v>学校</v>
      </c>
      <c r="E6769" s="7" t="str">
        <f t="shared" si="2473"/>
        <v>大阪府大阪市　西淀川区大和田２丁目</v>
      </c>
      <c r="F6769" s="7"/>
      <c r="G6769" s="7" t="str">
        <f t="shared" si="2461"/>
        <v>事業用資産</v>
      </c>
      <c r="H6769" s="7" t="str">
        <f t="shared" si="2449"/>
        <v>棚卸以外</v>
      </c>
      <c r="I6769" s="7">
        <v>2</v>
      </c>
      <c r="J6769" s="7" t="str">
        <f>"校舎（第一期教室棟）"</f>
        <v>校舎（第一期教室棟）</v>
      </c>
      <c r="K6769" s="7" t="str">
        <f>"鉄筋コンクリート造"</f>
        <v>鉄筋コンクリート造</v>
      </c>
      <c r="L6769" s="7" t="str">
        <f>"S54.04.01"</f>
        <v>S54.04.01</v>
      </c>
      <c r="M6769" s="7">
        <v>1239.07</v>
      </c>
      <c r="N6769" s="7">
        <v>69070582</v>
      </c>
      <c r="O6769" s="7">
        <v>33743154</v>
      </c>
      <c r="P6769" s="7">
        <v>0</v>
      </c>
      <c r="Q6769" s="7" t="str">
        <f t="shared" si="2462"/>
        <v>教育庁</v>
      </c>
      <c r="R6769" s="7" t="str">
        <f t="shared" si="2474"/>
        <v>西淀川支援学校</v>
      </c>
    </row>
    <row r="6770" spans="1:18" s="1" customFormat="1" x14ac:dyDescent="0.45">
      <c r="A6770" s="7" t="str">
        <f t="shared" si="2471"/>
        <v>10275003040</v>
      </c>
      <c r="B6770" s="7" t="str">
        <f t="shared" si="2472"/>
        <v>西淀川支援学校</v>
      </c>
      <c r="C6770" s="7" t="str">
        <f t="shared" si="2454"/>
        <v>行政財産</v>
      </c>
      <c r="D6770" s="7" t="str">
        <f t="shared" si="2448"/>
        <v>学校</v>
      </c>
      <c r="E6770" s="7" t="str">
        <f t="shared" si="2473"/>
        <v>大阪府大阪市　西淀川区大和田２丁目</v>
      </c>
      <c r="F6770" s="7"/>
      <c r="G6770" s="7" t="str">
        <f t="shared" si="2461"/>
        <v>事業用資産</v>
      </c>
      <c r="H6770" s="7" t="str">
        <f t="shared" si="2449"/>
        <v>棚卸以外</v>
      </c>
      <c r="I6770" s="7">
        <v>3</v>
      </c>
      <c r="J6770" s="7" t="str">
        <f>"渡り廊下棟（第一期）"</f>
        <v>渡り廊下棟（第一期）</v>
      </c>
      <c r="K6770" s="7" t="str">
        <f>"鉄筋コンクリート造"</f>
        <v>鉄筋コンクリート造</v>
      </c>
      <c r="L6770" s="7" t="str">
        <f>"S54.04.01"</f>
        <v>S54.04.01</v>
      </c>
      <c r="M6770" s="7">
        <v>85.75</v>
      </c>
      <c r="N6770" s="7">
        <v>1189819</v>
      </c>
      <c r="O6770" s="7">
        <v>1189818</v>
      </c>
      <c r="P6770" s="7">
        <v>0</v>
      </c>
      <c r="Q6770" s="7" t="str">
        <f t="shared" si="2462"/>
        <v>教育庁</v>
      </c>
      <c r="R6770" s="7" t="str">
        <f t="shared" si="2474"/>
        <v>西淀川支援学校</v>
      </c>
    </row>
    <row r="6771" spans="1:18" s="1" customFormat="1" x14ac:dyDescent="0.45">
      <c r="A6771" s="7" t="str">
        <f t="shared" si="2471"/>
        <v>10275003040</v>
      </c>
      <c r="B6771" s="7" t="str">
        <f t="shared" si="2472"/>
        <v>西淀川支援学校</v>
      </c>
      <c r="C6771" s="7" t="str">
        <f t="shared" si="2454"/>
        <v>行政財産</v>
      </c>
      <c r="D6771" s="7" t="str">
        <f t="shared" si="2448"/>
        <v>学校</v>
      </c>
      <c r="E6771" s="7" t="str">
        <f t="shared" si="2473"/>
        <v>大阪府大阪市　西淀川区大和田２丁目</v>
      </c>
      <c r="F6771" s="7"/>
      <c r="G6771" s="7" t="str">
        <f t="shared" si="2461"/>
        <v>事業用資産</v>
      </c>
      <c r="H6771" s="7" t="str">
        <f t="shared" si="2449"/>
        <v>棚卸以外</v>
      </c>
      <c r="I6771" s="7">
        <v>4</v>
      </c>
      <c r="J6771" s="7" t="str">
        <f>"電気機械室"</f>
        <v>電気機械室</v>
      </c>
      <c r="K6771" s="7" t="str">
        <f>"鉄骨コンクリート造"</f>
        <v>鉄骨コンクリート造</v>
      </c>
      <c r="L6771" s="7" t="str">
        <f>"S54.04.01"</f>
        <v>S54.04.01</v>
      </c>
      <c r="M6771" s="7">
        <v>95</v>
      </c>
      <c r="N6771" s="7">
        <v>998424</v>
      </c>
      <c r="O6771" s="7">
        <v>998423</v>
      </c>
      <c r="P6771" s="7">
        <v>0</v>
      </c>
      <c r="Q6771" s="7" t="str">
        <f t="shared" si="2462"/>
        <v>教育庁</v>
      </c>
      <c r="R6771" s="7" t="str">
        <f t="shared" si="2474"/>
        <v>西淀川支援学校</v>
      </c>
    </row>
    <row r="6772" spans="1:18" s="1" customFormat="1" x14ac:dyDescent="0.45">
      <c r="A6772" s="7" t="str">
        <f t="shared" si="2471"/>
        <v>10275003040</v>
      </c>
      <c r="B6772" s="7" t="str">
        <f t="shared" si="2472"/>
        <v>西淀川支援学校</v>
      </c>
      <c r="C6772" s="7" t="str">
        <f t="shared" si="2454"/>
        <v>行政財産</v>
      </c>
      <c r="D6772" s="7" t="str">
        <f t="shared" si="2448"/>
        <v>学校</v>
      </c>
      <c r="E6772" s="7" t="str">
        <f t="shared" si="2473"/>
        <v>大阪府大阪市　西淀川区大和田２丁目</v>
      </c>
      <c r="F6772" s="7"/>
      <c r="G6772" s="7" t="str">
        <f t="shared" si="2461"/>
        <v>事業用資産</v>
      </c>
      <c r="H6772" s="7" t="str">
        <f t="shared" si="2449"/>
        <v>棚卸以外</v>
      </c>
      <c r="I6772" s="7">
        <v>5</v>
      </c>
      <c r="J6772" s="7" t="str">
        <f>"校舎（第一期管理棟）"</f>
        <v>校舎（第一期管理棟）</v>
      </c>
      <c r="K6772" s="7" t="str">
        <f>"鉄筋コンクリート造"</f>
        <v>鉄筋コンクリート造</v>
      </c>
      <c r="L6772" s="7" t="str">
        <f>"S54.04.01"</f>
        <v>S54.04.01</v>
      </c>
      <c r="M6772" s="7">
        <v>1397.42</v>
      </c>
      <c r="N6772" s="7">
        <v>97026292</v>
      </c>
      <c r="O6772" s="7">
        <v>42308524</v>
      </c>
      <c r="P6772" s="7">
        <v>0</v>
      </c>
      <c r="Q6772" s="7" t="str">
        <f t="shared" si="2462"/>
        <v>教育庁</v>
      </c>
      <c r="R6772" s="7" t="str">
        <f t="shared" si="2474"/>
        <v>西淀川支援学校</v>
      </c>
    </row>
    <row r="6773" spans="1:18" s="1" customFormat="1" x14ac:dyDescent="0.45">
      <c r="A6773" s="7" t="str">
        <f t="shared" si="2471"/>
        <v>10275003040</v>
      </c>
      <c r="B6773" s="7" t="str">
        <f t="shared" si="2472"/>
        <v>西淀川支援学校</v>
      </c>
      <c r="C6773" s="7" t="str">
        <f t="shared" si="2454"/>
        <v>行政財産</v>
      </c>
      <c r="D6773" s="7" t="str">
        <f t="shared" si="2448"/>
        <v>学校</v>
      </c>
      <c r="E6773" s="7" t="str">
        <f t="shared" si="2473"/>
        <v>大阪府大阪市　西淀川区大和田２丁目</v>
      </c>
      <c r="F6773" s="7"/>
      <c r="G6773" s="7" t="str">
        <f t="shared" si="2461"/>
        <v>事業用資産</v>
      </c>
      <c r="H6773" s="7" t="str">
        <f t="shared" si="2449"/>
        <v>棚卸以外</v>
      </c>
      <c r="I6773" s="7">
        <v>6</v>
      </c>
      <c r="J6773" s="7" t="str">
        <f>"体育館"</f>
        <v>体育館</v>
      </c>
      <c r="K6773" s="7" t="str">
        <f>"鉄骨造"</f>
        <v>鉄骨造</v>
      </c>
      <c r="L6773" s="7" t="str">
        <f>"S56.07.01"</f>
        <v>S56.07.01</v>
      </c>
      <c r="M6773" s="7">
        <v>643.45000000000005</v>
      </c>
      <c r="N6773" s="7">
        <v>26562089</v>
      </c>
      <c r="O6773" s="7">
        <v>1001892</v>
      </c>
      <c r="P6773" s="7">
        <v>0</v>
      </c>
      <c r="Q6773" s="7" t="str">
        <f t="shared" si="2462"/>
        <v>教育庁</v>
      </c>
      <c r="R6773" s="7" t="str">
        <f t="shared" si="2474"/>
        <v>西淀川支援学校</v>
      </c>
    </row>
    <row r="6774" spans="1:18" s="1" customFormat="1" x14ac:dyDescent="0.45">
      <c r="A6774" s="7" t="str">
        <f>"10275003041"</f>
        <v>10275003041</v>
      </c>
      <c r="B6774" s="7" t="str">
        <f>"平野支援学校"</f>
        <v>平野支援学校</v>
      </c>
      <c r="C6774" s="7" t="str">
        <f t="shared" si="2454"/>
        <v>行政財産</v>
      </c>
      <c r="D6774" s="7" t="str">
        <f t="shared" si="2448"/>
        <v>学校</v>
      </c>
      <c r="E6774" s="7" t="str">
        <f>"大阪府大阪市　平野区長吉川辺３丁目"</f>
        <v>大阪府大阪市　平野区長吉川辺３丁目</v>
      </c>
      <c r="F6774" s="7"/>
      <c r="G6774" s="7" t="str">
        <f t="shared" si="2461"/>
        <v>事業用資産</v>
      </c>
      <c r="H6774" s="7" t="str">
        <f t="shared" si="2449"/>
        <v>棚卸以外</v>
      </c>
      <c r="I6774" s="7">
        <v>1</v>
      </c>
      <c r="J6774" s="7" t="str">
        <f>"校舎（管理室・普通教室棟）"</f>
        <v>校舎（管理室・普通教室棟）</v>
      </c>
      <c r="K6774" s="7" t="str">
        <f>"鉄筋コンクリート造"</f>
        <v>鉄筋コンクリート造</v>
      </c>
      <c r="L6774" s="7" t="str">
        <f>"H14.09.20"</f>
        <v>H14.09.20</v>
      </c>
      <c r="M6774" s="7">
        <v>4947.75</v>
      </c>
      <c r="N6774" s="7">
        <v>442841214</v>
      </c>
      <c r="O6774" s="7">
        <v>138248403</v>
      </c>
      <c r="P6774" s="7">
        <v>0</v>
      </c>
      <c r="Q6774" s="7" t="str">
        <f t="shared" si="2462"/>
        <v>教育庁</v>
      </c>
      <c r="R6774" s="7" t="str">
        <f>"平野支援学校"</f>
        <v>平野支援学校</v>
      </c>
    </row>
    <row r="6775" spans="1:18" s="1" customFormat="1" x14ac:dyDescent="0.45">
      <c r="A6775" s="7" t="str">
        <f>"10275003041"</f>
        <v>10275003041</v>
      </c>
      <c r="B6775" s="7" t="str">
        <f>"平野支援学校"</f>
        <v>平野支援学校</v>
      </c>
      <c r="C6775" s="7" t="str">
        <f t="shared" si="2454"/>
        <v>行政財産</v>
      </c>
      <c r="D6775" s="7" t="str">
        <f t="shared" si="2448"/>
        <v>学校</v>
      </c>
      <c r="E6775" s="7" t="str">
        <f>"大阪府大阪市　平野区長吉川辺３丁目"</f>
        <v>大阪府大阪市　平野区長吉川辺３丁目</v>
      </c>
      <c r="F6775" s="7"/>
      <c r="G6775" s="7" t="str">
        <f t="shared" si="2461"/>
        <v>事業用資産</v>
      </c>
      <c r="H6775" s="7" t="str">
        <f t="shared" si="2449"/>
        <v>棚卸以外</v>
      </c>
      <c r="I6775" s="7">
        <v>2</v>
      </c>
      <c r="J6775" s="7" t="str">
        <f>"体育館"</f>
        <v>体育館</v>
      </c>
      <c r="K6775" s="7" t="str">
        <f>"鉄骨造"</f>
        <v>鉄骨造</v>
      </c>
      <c r="L6775" s="7" t="str">
        <f>"S58.03.01"</f>
        <v>S58.03.01</v>
      </c>
      <c r="M6775" s="7">
        <v>610.36</v>
      </c>
      <c r="N6775" s="7">
        <v>23731512</v>
      </c>
      <c r="O6775" s="7">
        <v>4803553</v>
      </c>
      <c r="P6775" s="7">
        <v>0</v>
      </c>
      <c r="Q6775" s="7" t="str">
        <f t="shared" si="2462"/>
        <v>教育庁</v>
      </c>
      <c r="R6775" s="7" t="str">
        <f>"平野支援学校"</f>
        <v>平野支援学校</v>
      </c>
    </row>
    <row r="6776" spans="1:18" s="1" customFormat="1" x14ac:dyDescent="0.45">
      <c r="A6776" s="7" t="str">
        <f>"10275003041"</f>
        <v>10275003041</v>
      </c>
      <c r="B6776" s="7" t="str">
        <f>"平野支援学校"</f>
        <v>平野支援学校</v>
      </c>
      <c r="C6776" s="7" t="str">
        <f t="shared" si="2454"/>
        <v>行政財産</v>
      </c>
      <c r="D6776" s="7" t="str">
        <f t="shared" si="2448"/>
        <v>学校</v>
      </c>
      <c r="E6776" s="7" t="str">
        <f>"大阪府大阪市　平野区長吉川辺３丁目"</f>
        <v>大阪府大阪市　平野区長吉川辺３丁目</v>
      </c>
      <c r="F6776" s="7"/>
      <c r="G6776" s="7" t="str">
        <f t="shared" si="2461"/>
        <v>事業用資産</v>
      </c>
      <c r="H6776" s="7" t="str">
        <f t="shared" si="2449"/>
        <v>棚卸以外</v>
      </c>
      <c r="I6776" s="7">
        <v>3</v>
      </c>
      <c r="J6776" s="7" t="str">
        <f>"校舎（設備棟）"</f>
        <v>校舎（設備棟）</v>
      </c>
      <c r="K6776" s="7" t="str">
        <f t="shared" ref="K6776:K6783" si="2475">"鉄筋コンクリート造"</f>
        <v>鉄筋コンクリート造</v>
      </c>
      <c r="L6776" s="7" t="str">
        <f>"S58.03.01"</f>
        <v>S58.03.01</v>
      </c>
      <c r="M6776" s="7">
        <v>105</v>
      </c>
      <c r="N6776" s="7">
        <v>2246240</v>
      </c>
      <c r="O6776" s="7">
        <v>2246239</v>
      </c>
      <c r="P6776" s="7">
        <v>0</v>
      </c>
      <c r="Q6776" s="7" t="str">
        <f t="shared" si="2462"/>
        <v>教育庁</v>
      </c>
      <c r="R6776" s="7" t="str">
        <f>"平野支援学校"</f>
        <v>平野支援学校</v>
      </c>
    </row>
    <row r="6777" spans="1:18" s="1" customFormat="1" x14ac:dyDescent="0.45">
      <c r="A6777" s="7" t="str">
        <f t="shared" ref="A6777:A6786" si="2476">"10275003042"</f>
        <v>10275003042</v>
      </c>
      <c r="B6777" s="7" t="str">
        <f t="shared" ref="B6777:B6786" si="2477">"東住吉支援学校"</f>
        <v>東住吉支援学校</v>
      </c>
      <c r="C6777" s="7" t="str">
        <f t="shared" si="2454"/>
        <v>行政財産</v>
      </c>
      <c r="D6777" s="7" t="str">
        <f t="shared" si="2448"/>
        <v>学校</v>
      </c>
      <c r="E6777" s="7" t="str">
        <f t="shared" ref="E6777:E6786" si="2478">"大阪府大阪市　東住吉区矢田５丁目"</f>
        <v>大阪府大阪市　東住吉区矢田５丁目</v>
      </c>
      <c r="F6777" s="7"/>
      <c r="G6777" s="7" t="str">
        <f t="shared" si="2461"/>
        <v>事業用資産</v>
      </c>
      <c r="H6777" s="7" t="str">
        <f t="shared" si="2449"/>
        <v>棚卸以外</v>
      </c>
      <c r="I6777" s="7">
        <v>1</v>
      </c>
      <c r="J6777" s="7" t="str">
        <f>"校舎（普通教室棟）"</f>
        <v>校舎（普通教室棟）</v>
      </c>
      <c r="K6777" s="7" t="str">
        <f t="shared" si="2475"/>
        <v>鉄筋コンクリート造</v>
      </c>
      <c r="L6777" s="7" t="str">
        <f>"S49.01.01"</f>
        <v>S49.01.01</v>
      </c>
      <c r="M6777" s="7">
        <v>7221.65</v>
      </c>
      <c r="N6777" s="7">
        <v>61546882</v>
      </c>
      <c r="O6777" s="7">
        <v>50952703</v>
      </c>
      <c r="P6777" s="7">
        <v>0</v>
      </c>
      <c r="Q6777" s="7" t="str">
        <f t="shared" si="2462"/>
        <v>教育庁</v>
      </c>
      <c r="R6777" s="7" t="str">
        <f t="shared" ref="R6777:R6786" si="2479">"東住吉支援学校"</f>
        <v>東住吉支援学校</v>
      </c>
    </row>
    <row r="6778" spans="1:18" s="1" customFormat="1" x14ac:dyDescent="0.45">
      <c r="A6778" s="7" t="str">
        <f t="shared" si="2476"/>
        <v>10275003042</v>
      </c>
      <c r="B6778" s="7" t="str">
        <f t="shared" si="2477"/>
        <v>東住吉支援学校</v>
      </c>
      <c r="C6778" s="7" t="str">
        <f t="shared" si="2454"/>
        <v>行政財産</v>
      </c>
      <c r="D6778" s="7" t="str">
        <f t="shared" si="2448"/>
        <v>学校</v>
      </c>
      <c r="E6778" s="7" t="str">
        <f t="shared" si="2478"/>
        <v>大阪府大阪市　東住吉区矢田５丁目</v>
      </c>
      <c r="F6778" s="7"/>
      <c r="G6778" s="7" t="str">
        <f t="shared" si="2461"/>
        <v>事業用資産</v>
      </c>
      <c r="H6778" s="7" t="str">
        <f t="shared" si="2449"/>
        <v>棚卸以外</v>
      </c>
      <c r="I6778" s="7">
        <v>2</v>
      </c>
      <c r="J6778" s="7" t="str">
        <f>"校舎（管理室棟）"</f>
        <v>校舎（管理室棟）</v>
      </c>
      <c r="K6778" s="7" t="str">
        <f t="shared" si="2475"/>
        <v>鉄筋コンクリート造</v>
      </c>
      <c r="L6778" s="7" t="str">
        <f>"S49.08.01"</f>
        <v>S49.08.01</v>
      </c>
      <c r="M6778" s="7">
        <v>1888</v>
      </c>
      <c r="N6778" s="7">
        <v>55610121</v>
      </c>
      <c r="O6778" s="7">
        <v>25456353</v>
      </c>
      <c r="P6778" s="7">
        <v>0</v>
      </c>
      <c r="Q6778" s="7" t="str">
        <f t="shared" si="2462"/>
        <v>教育庁</v>
      </c>
      <c r="R6778" s="7" t="str">
        <f t="shared" si="2479"/>
        <v>東住吉支援学校</v>
      </c>
    </row>
    <row r="6779" spans="1:18" s="1" customFormat="1" x14ac:dyDescent="0.45">
      <c r="A6779" s="7" t="str">
        <f t="shared" si="2476"/>
        <v>10275003042</v>
      </c>
      <c r="B6779" s="7" t="str">
        <f t="shared" si="2477"/>
        <v>東住吉支援学校</v>
      </c>
      <c r="C6779" s="7" t="str">
        <f t="shared" si="2454"/>
        <v>行政財産</v>
      </c>
      <c r="D6779" s="7" t="str">
        <f t="shared" si="2448"/>
        <v>学校</v>
      </c>
      <c r="E6779" s="7" t="str">
        <f t="shared" si="2478"/>
        <v>大阪府大阪市　東住吉区矢田５丁目</v>
      </c>
      <c r="F6779" s="7"/>
      <c r="G6779" s="7" t="str">
        <f t="shared" si="2461"/>
        <v>事業用資産</v>
      </c>
      <c r="H6779" s="7" t="str">
        <f t="shared" si="2449"/>
        <v>棚卸以外</v>
      </c>
      <c r="I6779" s="7">
        <v>3</v>
      </c>
      <c r="J6779" s="7" t="str">
        <f>"校舎（普通教室・講堂棟）"</f>
        <v>校舎（普通教室・講堂棟）</v>
      </c>
      <c r="K6779" s="7" t="str">
        <f t="shared" si="2475"/>
        <v>鉄筋コンクリート造</v>
      </c>
      <c r="L6779" s="7" t="str">
        <f>"S49.09.01"</f>
        <v>S49.09.01</v>
      </c>
      <c r="M6779" s="7">
        <v>1153</v>
      </c>
      <c r="N6779" s="7">
        <v>17801327</v>
      </c>
      <c r="O6779" s="7">
        <v>15391243</v>
      </c>
      <c r="P6779" s="7">
        <v>0</v>
      </c>
      <c r="Q6779" s="7" t="str">
        <f t="shared" si="2462"/>
        <v>教育庁</v>
      </c>
      <c r="R6779" s="7" t="str">
        <f t="shared" si="2479"/>
        <v>東住吉支援学校</v>
      </c>
    </row>
    <row r="6780" spans="1:18" s="1" customFormat="1" x14ac:dyDescent="0.45">
      <c r="A6780" s="7" t="str">
        <f t="shared" si="2476"/>
        <v>10275003042</v>
      </c>
      <c r="B6780" s="7" t="str">
        <f t="shared" si="2477"/>
        <v>東住吉支援学校</v>
      </c>
      <c r="C6780" s="7" t="str">
        <f t="shared" si="2454"/>
        <v>行政財産</v>
      </c>
      <c r="D6780" s="7" t="str">
        <f t="shared" si="2448"/>
        <v>学校</v>
      </c>
      <c r="E6780" s="7" t="str">
        <f t="shared" si="2478"/>
        <v>大阪府大阪市　東住吉区矢田５丁目</v>
      </c>
      <c r="F6780" s="7"/>
      <c r="G6780" s="7" t="str">
        <f t="shared" si="2461"/>
        <v>事業用資産</v>
      </c>
      <c r="H6780" s="7" t="str">
        <f t="shared" si="2449"/>
        <v>棚卸以外</v>
      </c>
      <c r="I6780" s="7">
        <v>4</v>
      </c>
      <c r="J6780" s="7" t="str">
        <f>"校舎（普通教室棟）"</f>
        <v>校舎（普通教室棟）</v>
      </c>
      <c r="K6780" s="7" t="str">
        <f t="shared" si="2475"/>
        <v>鉄筋コンクリート造</v>
      </c>
      <c r="L6780" s="7" t="str">
        <f>"S49.08.01"</f>
        <v>S49.08.01</v>
      </c>
      <c r="M6780" s="7">
        <v>2628</v>
      </c>
      <c r="N6780" s="7">
        <v>47263815</v>
      </c>
      <c r="O6780" s="7">
        <v>32661587</v>
      </c>
      <c r="P6780" s="7">
        <v>0</v>
      </c>
      <c r="Q6780" s="7" t="str">
        <f t="shared" si="2462"/>
        <v>教育庁</v>
      </c>
      <c r="R6780" s="7" t="str">
        <f t="shared" si="2479"/>
        <v>東住吉支援学校</v>
      </c>
    </row>
    <row r="6781" spans="1:18" s="1" customFormat="1" x14ac:dyDescent="0.45">
      <c r="A6781" s="7" t="str">
        <f t="shared" si="2476"/>
        <v>10275003042</v>
      </c>
      <c r="B6781" s="7" t="str">
        <f t="shared" si="2477"/>
        <v>東住吉支援学校</v>
      </c>
      <c r="C6781" s="7" t="str">
        <f t="shared" si="2454"/>
        <v>行政財産</v>
      </c>
      <c r="D6781" s="7" t="str">
        <f t="shared" si="2448"/>
        <v>学校</v>
      </c>
      <c r="E6781" s="7" t="str">
        <f t="shared" si="2478"/>
        <v>大阪府大阪市　東住吉区矢田５丁目</v>
      </c>
      <c r="F6781" s="7"/>
      <c r="G6781" s="7" t="str">
        <f t="shared" si="2461"/>
        <v>事業用資産</v>
      </c>
      <c r="H6781" s="7" t="str">
        <f t="shared" si="2449"/>
        <v>棚卸以外</v>
      </c>
      <c r="I6781" s="7">
        <v>5</v>
      </c>
      <c r="J6781" s="7" t="str">
        <f>"校舎（特別・普通教室棟）"</f>
        <v>校舎（特別・普通教室棟）</v>
      </c>
      <c r="K6781" s="7" t="str">
        <f t="shared" si="2475"/>
        <v>鉄筋コンクリート造</v>
      </c>
      <c r="L6781" s="7" t="str">
        <f>"S49.09.01"</f>
        <v>S49.09.01</v>
      </c>
      <c r="M6781" s="7">
        <v>695</v>
      </c>
      <c r="N6781" s="7">
        <v>8132748</v>
      </c>
      <c r="O6781" s="7">
        <v>6257435</v>
      </c>
      <c r="P6781" s="7">
        <v>0</v>
      </c>
      <c r="Q6781" s="7" t="str">
        <f t="shared" si="2462"/>
        <v>教育庁</v>
      </c>
      <c r="R6781" s="7" t="str">
        <f t="shared" si="2479"/>
        <v>東住吉支援学校</v>
      </c>
    </row>
    <row r="6782" spans="1:18" s="1" customFormat="1" x14ac:dyDescent="0.45">
      <c r="A6782" s="7" t="str">
        <f t="shared" si="2476"/>
        <v>10275003042</v>
      </c>
      <c r="B6782" s="7" t="str">
        <f t="shared" si="2477"/>
        <v>東住吉支援学校</v>
      </c>
      <c r="C6782" s="7" t="str">
        <f t="shared" si="2454"/>
        <v>行政財産</v>
      </c>
      <c r="D6782" s="7" t="str">
        <f t="shared" si="2448"/>
        <v>学校</v>
      </c>
      <c r="E6782" s="7" t="str">
        <f t="shared" si="2478"/>
        <v>大阪府大阪市　東住吉区矢田５丁目</v>
      </c>
      <c r="F6782" s="7"/>
      <c r="G6782" s="7" t="str">
        <f t="shared" si="2461"/>
        <v>事業用資産</v>
      </c>
      <c r="H6782" s="7" t="str">
        <f t="shared" si="2449"/>
        <v>棚卸以外</v>
      </c>
      <c r="I6782" s="7">
        <v>6</v>
      </c>
      <c r="J6782" s="7" t="str">
        <f>"校舎（普通教室棟）"</f>
        <v>校舎（普通教室棟）</v>
      </c>
      <c r="K6782" s="7" t="str">
        <f t="shared" si="2475"/>
        <v>鉄筋コンクリート造</v>
      </c>
      <c r="L6782" s="7" t="str">
        <f>"S49.09.01"</f>
        <v>S49.09.01</v>
      </c>
      <c r="M6782" s="7">
        <v>1522</v>
      </c>
      <c r="N6782" s="7">
        <v>19869107</v>
      </c>
      <c r="O6782" s="7">
        <v>3269854</v>
      </c>
      <c r="P6782" s="7">
        <v>0</v>
      </c>
      <c r="Q6782" s="7" t="str">
        <f t="shared" si="2462"/>
        <v>教育庁</v>
      </c>
      <c r="R6782" s="7" t="str">
        <f t="shared" si="2479"/>
        <v>東住吉支援学校</v>
      </c>
    </row>
    <row r="6783" spans="1:18" s="1" customFormat="1" x14ac:dyDescent="0.45">
      <c r="A6783" s="7" t="str">
        <f t="shared" si="2476"/>
        <v>10275003042</v>
      </c>
      <c r="B6783" s="7" t="str">
        <f t="shared" si="2477"/>
        <v>東住吉支援学校</v>
      </c>
      <c r="C6783" s="7" t="str">
        <f t="shared" si="2454"/>
        <v>行政財産</v>
      </c>
      <c r="D6783" s="7" t="str">
        <f t="shared" si="2448"/>
        <v>学校</v>
      </c>
      <c r="E6783" s="7" t="str">
        <f t="shared" si="2478"/>
        <v>大阪府大阪市　東住吉区矢田５丁目</v>
      </c>
      <c r="F6783" s="7"/>
      <c r="G6783" s="7" t="str">
        <f t="shared" si="2461"/>
        <v>事業用資産</v>
      </c>
      <c r="H6783" s="7" t="str">
        <f t="shared" si="2449"/>
        <v>棚卸以外</v>
      </c>
      <c r="I6783" s="7">
        <v>7</v>
      </c>
      <c r="J6783" s="7" t="str">
        <f>"体育館"</f>
        <v>体育館</v>
      </c>
      <c r="K6783" s="7" t="str">
        <f t="shared" si="2475"/>
        <v>鉄筋コンクリート造</v>
      </c>
      <c r="L6783" s="7" t="str">
        <f>"S49.09.01"</f>
        <v>S49.09.01</v>
      </c>
      <c r="M6783" s="7">
        <v>1377</v>
      </c>
      <c r="N6783" s="7">
        <v>44859394</v>
      </c>
      <c r="O6783" s="7">
        <v>19790018</v>
      </c>
      <c r="P6783" s="7">
        <v>0</v>
      </c>
      <c r="Q6783" s="7" t="str">
        <f t="shared" si="2462"/>
        <v>教育庁</v>
      </c>
      <c r="R6783" s="7" t="str">
        <f t="shared" si="2479"/>
        <v>東住吉支援学校</v>
      </c>
    </row>
    <row r="6784" spans="1:18" s="1" customFormat="1" x14ac:dyDescent="0.45">
      <c r="A6784" s="7" t="str">
        <f t="shared" si="2476"/>
        <v>10275003042</v>
      </c>
      <c r="B6784" s="7" t="str">
        <f t="shared" si="2477"/>
        <v>東住吉支援学校</v>
      </c>
      <c r="C6784" s="7" t="str">
        <f t="shared" si="2454"/>
        <v>行政財産</v>
      </c>
      <c r="D6784" s="7" t="str">
        <f t="shared" si="2448"/>
        <v>学校</v>
      </c>
      <c r="E6784" s="7" t="str">
        <f t="shared" si="2478"/>
        <v>大阪府大阪市　東住吉区矢田５丁目</v>
      </c>
      <c r="F6784" s="7"/>
      <c r="G6784" s="7" t="str">
        <f t="shared" si="2461"/>
        <v>事業用資産</v>
      </c>
      <c r="H6784" s="7" t="str">
        <f t="shared" si="2449"/>
        <v>棚卸以外</v>
      </c>
      <c r="I6784" s="7">
        <v>9</v>
      </c>
      <c r="J6784" s="7" t="str">
        <f>"エレベーター棟"</f>
        <v>エレベーター棟</v>
      </c>
      <c r="K6784" s="7" t="str">
        <f>"鉄骨造"</f>
        <v>鉄骨造</v>
      </c>
      <c r="L6784" s="7" t="str">
        <f>"H25.03.22"</f>
        <v>H25.03.22</v>
      </c>
      <c r="M6784" s="7">
        <v>233.95</v>
      </c>
      <c r="N6784" s="7">
        <v>32280630</v>
      </c>
      <c r="O6784" s="7">
        <v>7221830</v>
      </c>
      <c r="P6784" s="7">
        <v>0</v>
      </c>
      <c r="Q6784" s="7" t="str">
        <f t="shared" si="2462"/>
        <v>教育庁</v>
      </c>
      <c r="R6784" s="7" t="str">
        <f t="shared" si="2479"/>
        <v>東住吉支援学校</v>
      </c>
    </row>
    <row r="6785" spans="1:18" s="1" customFormat="1" x14ac:dyDescent="0.45">
      <c r="A6785" s="7" t="str">
        <f t="shared" si="2476"/>
        <v>10275003042</v>
      </c>
      <c r="B6785" s="7" t="str">
        <f t="shared" si="2477"/>
        <v>東住吉支援学校</v>
      </c>
      <c r="C6785" s="7" t="str">
        <f t="shared" si="2454"/>
        <v>行政財産</v>
      </c>
      <c r="D6785" s="7" t="str">
        <f t="shared" si="2448"/>
        <v>学校</v>
      </c>
      <c r="E6785" s="7" t="str">
        <f t="shared" si="2478"/>
        <v>大阪府大阪市　東住吉区矢田５丁目</v>
      </c>
      <c r="F6785" s="7"/>
      <c r="G6785" s="7" t="str">
        <f t="shared" si="2461"/>
        <v>事業用資産</v>
      </c>
      <c r="H6785" s="7" t="str">
        <f t="shared" si="2449"/>
        <v>棚卸以外</v>
      </c>
      <c r="I6785" s="7">
        <v>10</v>
      </c>
      <c r="J6785" s="7" t="str">
        <f>"車庫"</f>
        <v>車庫</v>
      </c>
      <c r="K6785" s="7" t="str">
        <f>"鉄筋コンクリート造"</f>
        <v>鉄筋コンクリート造</v>
      </c>
      <c r="L6785" s="7" t="str">
        <f>"H25.03.22"</f>
        <v>H25.03.22</v>
      </c>
      <c r="M6785" s="7">
        <v>219.81</v>
      </c>
      <c r="N6785" s="7">
        <v>66939701</v>
      </c>
      <c r="O6785" s="7">
        <v>13254342</v>
      </c>
      <c r="P6785" s="7">
        <v>0</v>
      </c>
      <c r="Q6785" s="7" t="str">
        <f t="shared" si="2462"/>
        <v>教育庁</v>
      </c>
      <c r="R6785" s="7" t="str">
        <f t="shared" si="2479"/>
        <v>東住吉支援学校</v>
      </c>
    </row>
    <row r="6786" spans="1:18" s="1" customFormat="1" x14ac:dyDescent="0.45">
      <c r="A6786" s="7" t="str">
        <f t="shared" si="2476"/>
        <v>10275003042</v>
      </c>
      <c r="B6786" s="7" t="str">
        <f t="shared" si="2477"/>
        <v>東住吉支援学校</v>
      </c>
      <c r="C6786" s="7" t="str">
        <f t="shared" si="2454"/>
        <v>行政財産</v>
      </c>
      <c r="D6786" s="7" t="str">
        <f t="shared" si="2448"/>
        <v>学校</v>
      </c>
      <c r="E6786" s="7" t="str">
        <f t="shared" si="2478"/>
        <v>大阪府大阪市　東住吉区矢田５丁目</v>
      </c>
      <c r="F6786" s="7"/>
      <c r="G6786" s="7" t="str">
        <f t="shared" si="2461"/>
        <v>事業用資産</v>
      </c>
      <c r="H6786" s="7" t="str">
        <f t="shared" si="2449"/>
        <v>棚卸以外</v>
      </c>
      <c r="I6786" s="7">
        <v>11</v>
      </c>
      <c r="J6786" s="7" t="str">
        <f>"エレベーター棟"</f>
        <v>エレベーター棟</v>
      </c>
      <c r="K6786" s="7" t="str">
        <f>"鉄筋コンクリート造"</f>
        <v>鉄筋コンクリート造</v>
      </c>
      <c r="L6786" s="7" t="str">
        <f>"H09.03.01"</f>
        <v>H09.03.01</v>
      </c>
      <c r="M6786" s="7">
        <v>90</v>
      </c>
      <c r="N6786" s="7">
        <v>38656774</v>
      </c>
      <c r="O6786" s="7">
        <v>5688903</v>
      </c>
      <c r="P6786" s="7">
        <v>0</v>
      </c>
      <c r="Q6786" s="7" t="str">
        <f t="shared" si="2462"/>
        <v>教育庁</v>
      </c>
      <c r="R6786" s="7" t="str">
        <f t="shared" si="2479"/>
        <v>東住吉支援学校</v>
      </c>
    </row>
    <row r="6787" spans="1:18" s="1" customFormat="1" x14ac:dyDescent="0.45">
      <c r="A6787" s="7" t="str">
        <f t="shared" ref="A6787:A6793" si="2480">"10275003049"</f>
        <v>10275003049</v>
      </c>
      <c r="B6787" s="7" t="str">
        <f t="shared" ref="B6787:B6793" si="2481">"思斉支援学校"</f>
        <v>思斉支援学校</v>
      </c>
      <c r="C6787" s="7" t="str">
        <f t="shared" si="2454"/>
        <v>行政財産</v>
      </c>
      <c r="D6787" s="7" t="str">
        <f t="shared" si="2448"/>
        <v>学校</v>
      </c>
      <c r="E6787" s="7" t="str">
        <f t="shared" ref="E6787:E6793" si="2482">"大阪府大阪市　旭区大宮５丁目"</f>
        <v>大阪府大阪市　旭区大宮５丁目</v>
      </c>
      <c r="F6787" s="7"/>
      <c r="G6787" s="7" t="str">
        <f t="shared" si="2461"/>
        <v>事業用資産</v>
      </c>
      <c r="H6787" s="7" t="str">
        <f t="shared" si="2449"/>
        <v>棚卸以外</v>
      </c>
      <c r="I6787" s="7">
        <v>1</v>
      </c>
      <c r="J6787" s="7" t="str">
        <f>"校舎（特別教室棟）"</f>
        <v>校舎（特別教室棟）</v>
      </c>
      <c r="K6787" s="7" t="str">
        <f>"鉄筋コンクリート造"</f>
        <v>鉄筋コンクリート造</v>
      </c>
      <c r="L6787" s="7" t="str">
        <f>"S48.03.01"</f>
        <v>S48.03.01</v>
      </c>
      <c r="M6787" s="7">
        <v>1071</v>
      </c>
      <c r="N6787" s="7">
        <v>26187243</v>
      </c>
      <c r="O6787" s="7">
        <v>10928689</v>
      </c>
      <c r="P6787" s="7">
        <v>0</v>
      </c>
      <c r="Q6787" s="7" t="str">
        <f t="shared" si="2462"/>
        <v>教育庁</v>
      </c>
      <c r="R6787" s="7" t="str">
        <f t="shared" ref="R6787:R6793" si="2483">"思斉支援学校"</f>
        <v>思斉支援学校</v>
      </c>
    </row>
    <row r="6788" spans="1:18" s="1" customFormat="1" x14ac:dyDescent="0.45">
      <c r="A6788" s="7" t="str">
        <f t="shared" si="2480"/>
        <v>10275003049</v>
      </c>
      <c r="B6788" s="7" t="str">
        <f t="shared" si="2481"/>
        <v>思斉支援学校</v>
      </c>
      <c r="C6788" s="7" t="str">
        <f t="shared" si="2454"/>
        <v>行政財産</v>
      </c>
      <c r="D6788" s="7" t="str">
        <f t="shared" ref="D6788:D6851" si="2484">"学校"</f>
        <v>学校</v>
      </c>
      <c r="E6788" s="7" t="str">
        <f t="shared" si="2482"/>
        <v>大阪府大阪市　旭区大宮５丁目</v>
      </c>
      <c r="F6788" s="7"/>
      <c r="G6788" s="7" t="str">
        <f t="shared" si="2461"/>
        <v>事業用資産</v>
      </c>
      <c r="H6788" s="7" t="str">
        <f t="shared" ref="H6788:H6851" si="2485">"棚卸以外"</f>
        <v>棚卸以外</v>
      </c>
      <c r="I6788" s="7">
        <v>2</v>
      </c>
      <c r="J6788" s="7" t="str">
        <f>"校舎（特別教室棟）"</f>
        <v>校舎（特別教室棟）</v>
      </c>
      <c r="K6788" s="7" t="str">
        <f>"鉄筋コンクリート造"</f>
        <v>鉄筋コンクリート造</v>
      </c>
      <c r="L6788" s="7" t="str">
        <f>"S48.03.01"</f>
        <v>S48.03.01</v>
      </c>
      <c r="M6788" s="7">
        <v>668</v>
      </c>
      <c r="N6788" s="7">
        <v>22246063</v>
      </c>
      <c r="O6788" s="7">
        <v>7469398</v>
      </c>
      <c r="P6788" s="7">
        <v>0</v>
      </c>
      <c r="Q6788" s="7" t="str">
        <f t="shared" si="2462"/>
        <v>教育庁</v>
      </c>
      <c r="R6788" s="7" t="str">
        <f t="shared" si="2483"/>
        <v>思斉支援学校</v>
      </c>
    </row>
    <row r="6789" spans="1:18" s="1" customFormat="1" x14ac:dyDescent="0.45">
      <c r="A6789" s="7" t="str">
        <f t="shared" si="2480"/>
        <v>10275003049</v>
      </c>
      <c r="B6789" s="7" t="str">
        <f t="shared" si="2481"/>
        <v>思斉支援学校</v>
      </c>
      <c r="C6789" s="7" t="str">
        <f t="shared" si="2454"/>
        <v>行政財産</v>
      </c>
      <c r="D6789" s="7" t="str">
        <f t="shared" si="2484"/>
        <v>学校</v>
      </c>
      <c r="E6789" s="7" t="str">
        <f t="shared" si="2482"/>
        <v>大阪府大阪市　旭区大宮５丁目</v>
      </c>
      <c r="F6789" s="7"/>
      <c r="G6789" s="7" t="str">
        <f t="shared" si="2461"/>
        <v>事業用資産</v>
      </c>
      <c r="H6789" s="7" t="str">
        <f t="shared" si="2485"/>
        <v>棚卸以外</v>
      </c>
      <c r="I6789" s="7">
        <v>3</v>
      </c>
      <c r="J6789" s="7" t="str">
        <f>"校舎（特別・普通教室棟）"</f>
        <v>校舎（特別・普通教室棟）</v>
      </c>
      <c r="K6789" s="7" t="str">
        <f>"鉄骨造"</f>
        <v>鉄骨造</v>
      </c>
      <c r="L6789" s="7" t="str">
        <f>"S48.03.01"</f>
        <v>S48.03.01</v>
      </c>
      <c r="M6789" s="7">
        <v>957</v>
      </c>
      <c r="N6789" s="7">
        <v>1</v>
      </c>
      <c r="O6789" s="7">
        <v>0</v>
      </c>
      <c r="P6789" s="7">
        <v>0</v>
      </c>
      <c r="Q6789" s="7" t="str">
        <f t="shared" si="2462"/>
        <v>教育庁</v>
      </c>
      <c r="R6789" s="7" t="str">
        <f t="shared" si="2483"/>
        <v>思斉支援学校</v>
      </c>
    </row>
    <row r="6790" spans="1:18" s="1" customFormat="1" x14ac:dyDescent="0.45">
      <c r="A6790" s="7" t="str">
        <f t="shared" si="2480"/>
        <v>10275003049</v>
      </c>
      <c r="B6790" s="7" t="str">
        <f t="shared" si="2481"/>
        <v>思斉支援学校</v>
      </c>
      <c r="C6790" s="7" t="str">
        <f t="shared" si="2454"/>
        <v>行政財産</v>
      </c>
      <c r="D6790" s="7" t="str">
        <f t="shared" si="2484"/>
        <v>学校</v>
      </c>
      <c r="E6790" s="7" t="str">
        <f t="shared" si="2482"/>
        <v>大阪府大阪市　旭区大宮５丁目</v>
      </c>
      <c r="F6790" s="7"/>
      <c r="G6790" s="7" t="str">
        <f t="shared" si="2461"/>
        <v>事業用資産</v>
      </c>
      <c r="H6790" s="7" t="str">
        <f t="shared" si="2485"/>
        <v>棚卸以外</v>
      </c>
      <c r="I6790" s="7">
        <v>4</v>
      </c>
      <c r="J6790" s="7" t="str">
        <f>"給食室棟"</f>
        <v>給食室棟</v>
      </c>
      <c r="K6790" s="7" t="str">
        <f t="shared" ref="K6790:K6805" si="2486">"鉄筋コンクリート造"</f>
        <v>鉄筋コンクリート造</v>
      </c>
      <c r="L6790" s="7" t="str">
        <f>"S48.03.01"</f>
        <v>S48.03.01</v>
      </c>
      <c r="M6790" s="7">
        <v>118</v>
      </c>
      <c r="N6790" s="7">
        <v>2398001</v>
      </c>
      <c r="O6790" s="7">
        <v>87272</v>
      </c>
      <c r="P6790" s="7">
        <v>0</v>
      </c>
      <c r="Q6790" s="7" t="str">
        <f t="shared" si="2462"/>
        <v>教育庁</v>
      </c>
      <c r="R6790" s="7" t="str">
        <f t="shared" si="2483"/>
        <v>思斉支援学校</v>
      </c>
    </row>
    <row r="6791" spans="1:18" s="1" customFormat="1" x14ac:dyDescent="0.45">
      <c r="A6791" s="7" t="str">
        <f t="shared" si="2480"/>
        <v>10275003049</v>
      </c>
      <c r="B6791" s="7" t="str">
        <f t="shared" si="2481"/>
        <v>思斉支援学校</v>
      </c>
      <c r="C6791" s="7" t="str">
        <f t="shared" si="2454"/>
        <v>行政財産</v>
      </c>
      <c r="D6791" s="7" t="str">
        <f t="shared" si="2484"/>
        <v>学校</v>
      </c>
      <c r="E6791" s="7" t="str">
        <f t="shared" si="2482"/>
        <v>大阪府大阪市　旭区大宮５丁目</v>
      </c>
      <c r="F6791" s="7"/>
      <c r="G6791" s="7" t="str">
        <f t="shared" si="2461"/>
        <v>事業用資産</v>
      </c>
      <c r="H6791" s="7" t="str">
        <f t="shared" si="2485"/>
        <v>棚卸以外</v>
      </c>
      <c r="I6791" s="7">
        <v>5</v>
      </c>
      <c r="J6791" s="7" t="str">
        <f>"校舎（管理・特別教室・屋体棟）"</f>
        <v>校舎（管理・特別教室・屋体棟）</v>
      </c>
      <c r="K6791" s="7" t="str">
        <f t="shared" si="2486"/>
        <v>鉄筋コンクリート造</v>
      </c>
      <c r="L6791" s="7" t="str">
        <f>"H13.08.30"</f>
        <v>H13.08.30</v>
      </c>
      <c r="M6791" s="7">
        <v>5556.45</v>
      </c>
      <c r="N6791" s="7">
        <v>990611289</v>
      </c>
      <c r="O6791" s="7">
        <v>207974078</v>
      </c>
      <c r="P6791" s="7">
        <v>0</v>
      </c>
      <c r="Q6791" s="7" t="str">
        <f t="shared" si="2462"/>
        <v>教育庁</v>
      </c>
      <c r="R6791" s="7" t="str">
        <f t="shared" si="2483"/>
        <v>思斉支援学校</v>
      </c>
    </row>
    <row r="6792" spans="1:18" s="1" customFormat="1" x14ac:dyDescent="0.45">
      <c r="A6792" s="7" t="str">
        <f t="shared" si="2480"/>
        <v>10275003049</v>
      </c>
      <c r="B6792" s="7" t="str">
        <f t="shared" si="2481"/>
        <v>思斉支援学校</v>
      </c>
      <c r="C6792" s="7" t="str">
        <f t="shared" si="2454"/>
        <v>行政財産</v>
      </c>
      <c r="D6792" s="7" t="str">
        <f t="shared" si="2484"/>
        <v>学校</v>
      </c>
      <c r="E6792" s="7" t="str">
        <f t="shared" si="2482"/>
        <v>大阪府大阪市　旭区大宮５丁目</v>
      </c>
      <c r="F6792" s="7"/>
      <c r="G6792" s="7" t="str">
        <f t="shared" si="2461"/>
        <v>事業用資産</v>
      </c>
      <c r="H6792" s="7" t="str">
        <f t="shared" si="2485"/>
        <v>棚卸以外</v>
      </c>
      <c r="I6792" s="7">
        <v>6</v>
      </c>
      <c r="J6792" s="7" t="str">
        <f>"校舎（特別・普通教室棟）"</f>
        <v>校舎（特別・普通教室棟）</v>
      </c>
      <c r="K6792" s="7" t="str">
        <f t="shared" si="2486"/>
        <v>鉄筋コンクリート造</v>
      </c>
      <c r="L6792" s="7" t="str">
        <f>"H14.03.29"</f>
        <v>H14.03.29</v>
      </c>
      <c r="M6792" s="7">
        <v>62.9</v>
      </c>
      <c r="N6792" s="7">
        <v>26137663</v>
      </c>
      <c r="O6792" s="7">
        <v>7558976</v>
      </c>
      <c r="P6792" s="7">
        <v>0</v>
      </c>
      <c r="Q6792" s="7" t="str">
        <f t="shared" si="2462"/>
        <v>教育庁</v>
      </c>
      <c r="R6792" s="7" t="str">
        <f t="shared" si="2483"/>
        <v>思斉支援学校</v>
      </c>
    </row>
    <row r="6793" spans="1:18" s="1" customFormat="1" x14ac:dyDescent="0.45">
      <c r="A6793" s="7" t="str">
        <f t="shared" si="2480"/>
        <v>10275003049</v>
      </c>
      <c r="B6793" s="7" t="str">
        <f t="shared" si="2481"/>
        <v>思斉支援学校</v>
      </c>
      <c r="C6793" s="7" t="str">
        <f t="shared" si="2454"/>
        <v>行政財産</v>
      </c>
      <c r="D6793" s="7" t="str">
        <f t="shared" si="2484"/>
        <v>学校</v>
      </c>
      <c r="E6793" s="7" t="str">
        <f t="shared" si="2482"/>
        <v>大阪府大阪市　旭区大宮５丁目</v>
      </c>
      <c r="F6793" s="7"/>
      <c r="G6793" s="7" t="str">
        <f t="shared" si="2461"/>
        <v>事業用資産</v>
      </c>
      <c r="H6793" s="7" t="str">
        <f t="shared" si="2485"/>
        <v>棚卸以外</v>
      </c>
      <c r="I6793" s="7">
        <v>7</v>
      </c>
      <c r="J6793" s="7" t="str">
        <f>"ゴミ置き場"</f>
        <v>ゴミ置き場</v>
      </c>
      <c r="K6793" s="7" t="str">
        <f t="shared" si="2486"/>
        <v>鉄筋コンクリート造</v>
      </c>
      <c r="L6793" s="7" t="str">
        <f>"H14.03.29"</f>
        <v>H14.03.29</v>
      </c>
      <c r="M6793" s="7">
        <v>11.66</v>
      </c>
      <c r="N6793" s="7">
        <v>1573373</v>
      </c>
      <c r="O6793" s="7">
        <v>455089</v>
      </c>
      <c r="P6793" s="7">
        <v>0</v>
      </c>
      <c r="Q6793" s="7" t="str">
        <f t="shared" si="2462"/>
        <v>教育庁</v>
      </c>
      <c r="R6793" s="7" t="str">
        <f t="shared" si="2483"/>
        <v>思斉支援学校</v>
      </c>
    </row>
    <row r="6794" spans="1:18" s="1" customFormat="1" x14ac:dyDescent="0.45">
      <c r="A6794" s="7" t="str">
        <f t="shared" ref="A6794:A6807" si="2487">"10275003044"</f>
        <v>10275003044</v>
      </c>
      <c r="B6794" s="7" t="str">
        <f t="shared" ref="B6794:B6807" si="2488">"難波支援学校　なにわ高等支援学校"</f>
        <v>難波支援学校　なにわ高等支援学校</v>
      </c>
      <c r="C6794" s="7" t="str">
        <f t="shared" si="2454"/>
        <v>行政財産</v>
      </c>
      <c r="D6794" s="7" t="str">
        <f t="shared" si="2484"/>
        <v>学校</v>
      </c>
      <c r="E6794" s="7" t="str">
        <f t="shared" ref="E6794:E6807" si="2489">"大阪府大阪市　浪速区木津川２丁目"</f>
        <v>大阪府大阪市　浪速区木津川２丁目</v>
      </c>
      <c r="F6794" s="7"/>
      <c r="G6794" s="7" t="str">
        <f t="shared" si="2461"/>
        <v>事業用資産</v>
      </c>
      <c r="H6794" s="7" t="str">
        <f t="shared" si="2485"/>
        <v>棚卸以外</v>
      </c>
      <c r="I6794" s="7">
        <v>1</v>
      </c>
      <c r="J6794" s="7" t="str">
        <f>"校舎（管理棟）"</f>
        <v>校舎（管理棟）</v>
      </c>
      <c r="K6794" s="7" t="str">
        <f t="shared" si="2486"/>
        <v>鉄筋コンクリート造</v>
      </c>
      <c r="L6794" s="7" t="str">
        <f t="shared" ref="L6794:L6805" si="2490">"S50.09.01"</f>
        <v>S50.09.01</v>
      </c>
      <c r="M6794" s="7">
        <v>4943</v>
      </c>
      <c r="N6794" s="7">
        <v>141113907</v>
      </c>
      <c r="O6794" s="7">
        <v>88732364</v>
      </c>
      <c r="P6794" s="7">
        <v>0</v>
      </c>
      <c r="Q6794" s="7" t="str">
        <f t="shared" si="2462"/>
        <v>教育庁</v>
      </c>
      <c r="R6794" s="7" t="str">
        <f t="shared" ref="R6794:R6807" si="2491">"難波支援学校"</f>
        <v>難波支援学校</v>
      </c>
    </row>
    <row r="6795" spans="1:18" s="1" customFormat="1" x14ac:dyDescent="0.45">
      <c r="A6795" s="7" t="str">
        <f t="shared" si="2487"/>
        <v>10275003044</v>
      </c>
      <c r="B6795" s="7" t="str">
        <f t="shared" si="2488"/>
        <v>難波支援学校　なにわ高等支援学校</v>
      </c>
      <c r="C6795" s="7" t="str">
        <f t="shared" si="2454"/>
        <v>行政財産</v>
      </c>
      <c r="D6795" s="7" t="str">
        <f t="shared" si="2484"/>
        <v>学校</v>
      </c>
      <c r="E6795" s="7" t="str">
        <f t="shared" si="2489"/>
        <v>大阪府大阪市　浪速区木津川２丁目</v>
      </c>
      <c r="F6795" s="7"/>
      <c r="G6795" s="7" t="str">
        <f t="shared" si="2461"/>
        <v>事業用資産</v>
      </c>
      <c r="H6795" s="7" t="str">
        <f t="shared" si="2485"/>
        <v>棚卸以外</v>
      </c>
      <c r="I6795" s="7">
        <v>2</v>
      </c>
      <c r="J6795" s="7" t="str">
        <f>"校舎（南棟）"</f>
        <v>校舎（南棟）</v>
      </c>
      <c r="K6795" s="7" t="str">
        <f t="shared" si="2486"/>
        <v>鉄筋コンクリート造</v>
      </c>
      <c r="L6795" s="7" t="str">
        <f t="shared" si="2490"/>
        <v>S50.09.01</v>
      </c>
      <c r="M6795" s="7">
        <v>3851</v>
      </c>
      <c r="N6795" s="7">
        <v>71713663</v>
      </c>
      <c r="O6795" s="7">
        <v>68344934</v>
      </c>
      <c r="P6795" s="7">
        <v>0</v>
      </c>
      <c r="Q6795" s="7" t="str">
        <f t="shared" si="2462"/>
        <v>教育庁</v>
      </c>
      <c r="R6795" s="7" t="str">
        <f t="shared" si="2491"/>
        <v>難波支援学校</v>
      </c>
    </row>
    <row r="6796" spans="1:18" s="1" customFormat="1" x14ac:dyDescent="0.45">
      <c r="A6796" s="7" t="str">
        <f t="shared" si="2487"/>
        <v>10275003044</v>
      </c>
      <c r="B6796" s="7" t="str">
        <f t="shared" si="2488"/>
        <v>難波支援学校　なにわ高等支援学校</v>
      </c>
      <c r="C6796" s="7" t="str">
        <f t="shared" si="2454"/>
        <v>行政財産</v>
      </c>
      <c r="D6796" s="7" t="str">
        <f t="shared" si="2484"/>
        <v>学校</v>
      </c>
      <c r="E6796" s="7" t="str">
        <f t="shared" si="2489"/>
        <v>大阪府大阪市　浪速区木津川２丁目</v>
      </c>
      <c r="F6796" s="7"/>
      <c r="G6796" s="7" t="str">
        <f t="shared" si="2461"/>
        <v>事業用資産</v>
      </c>
      <c r="H6796" s="7" t="str">
        <f t="shared" si="2485"/>
        <v>棚卸以外</v>
      </c>
      <c r="I6796" s="7">
        <v>3</v>
      </c>
      <c r="J6796" s="7" t="str">
        <f>"校舎（なか棟）"</f>
        <v>校舎（なか棟）</v>
      </c>
      <c r="K6796" s="7" t="str">
        <f t="shared" si="2486"/>
        <v>鉄筋コンクリート造</v>
      </c>
      <c r="L6796" s="7" t="str">
        <f t="shared" si="2490"/>
        <v>S50.09.01</v>
      </c>
      <c r="M6796" s="7">
        <v>4006</v>
      </c>
      <c r="N6796" s="7">
        <v>103811615</v>
      </c>
      <c r="O6796" s="7">
        <v>101347229</v>
      </c>
      <c r="P6796" s="7">
        <v>0</v>
      </c>
      <c r="Q6796" s="7" t="str">
        <f t="shared" si="2462"/>
        <v>教育庁</v>
      </c>
      <c r="R6796" s="7" t="str">
        <f t="shared" si="2491"/>
        <v>難波支援学校</v>
      </c>
    </row>
    <row r="6797" spans="1:18" s="1" customFormat="1" x14ac:dyDescent="0.45">
      <c r="A6797" s="7" t="str">
        <f t="shared" si="2487"/>
        <v>10275003044</v>
      </c>
      <c r="B6797" s="7" t="str">
        <f t="shared" si="2488"/>
        <v>難波支援学校　なにわ高等支援学校</v>
      </c>
      <c r="C6797" s="7" t="str">
        <f t="shared" ref="C6797:C6860" si="2492">"行政財産"</f>
        <v>行政財産</v>
      </c>
      <c r="D6797" s="7" t="str">
        <f t="shared" si="2484"/>
        <v>学校</v>
      </c>
      <c r="E6797" s="7" t="str">
        <f t="shared" si="2489"/>
        <v>大阪府大阪市　浪速区木津川２丁目</v>
      </c>
      <c r="F6797" s="7"/>
      <c r="G6797" s="7" t="str">
        <f t="shared" si="2461"/>
        <v>事業用資産</v>
      </c>
      <c r="H6797" s="7" t="str">
        <f t="shared" si="2485"/>
        <v>棚卸以外</v>
      </c>
      <c r="I6797" s="7">
        <v>4</v>
      </c>
      <c r="J6797" s="7" t="str">
        <f>"校舎（北棟）"</f>
        <v>校舎（北棟）</v>
      </c>
      <c r="K6797" s="7" t="str">
        <f t="shared" si="2486"/>
        <v>鉄筋コンクリート造</v>
      </c>
      <c r="L6797" s="7" t="str">
        <f t="shared" si="2490"/>
        <v>S50.09.01</v>
      </c>
      <c r="M6797" s="7">
        <v>4862</v>
      </c>
      <c r="N6797" s="7">
        <v>43557514</v>
      </c>
      <c r="O6797" s="7">
        <v>2808915</v>
      </c>
      <c r="P6797" s="7">
        <v>0</v>
      </c>
      <c r="Q6797" s="7" t="str">
        <f t="shared" si="2462"/>
        <v>教育庁</v>
      </c>
      <c r="R6797" s="7" t="str">
        <f t="shared" si="2491"/>
        <v>難波支援学校</v>
      </c>
    </row>
    <row r="6798" spans="1:18" s="1" customFormat="1" x14ac:dyDescent="0.45">
      <c r="A6798" s="7" t="str">
        <f t="shared" si="2487"/>
        <v>10275003044</v>
      </c>
      <c r="B6798" s="7" t="str">
        <f t="shared" si="2488"/>
        <v>難波支援学校　なにわ高等支援学校</v>
      </c>
      <c r="C6798" s="7" t="str">
        <f t="shared" si="2492"/>
        <v>行政財産</v>
      </c>
      <c r="D6798" s="7" t="str">
        <f t="shared" si="2484"/>
        <v>学校</v>
      </c>
      <c r="E6798" s="7" t="str">
        <f t="shared" si="2489"/>
        <v>大阪府大阪市　浪速区木津川２丁目</v>
      </c>
      <c r="F6798" s="7"/>
      <c r="G6798" s="7" t="str">
        <f t="shared" si="2461"/>
        <v>事業用資産</v>
      </c>
      <c r="H6798" s="7" t="str">
        <f t="shared" si="2485"/>
        <v>棚卸以外</v>
      </c>
      <c r="I6798" s="7">
        <v>5</v>
      </c>
      <c r="J6798" s="7" t="str">
        <f>"体育館"</f>
        <v>体育館</v>
      </c>
      <c r="K6798" s="7" t="str">
        <f t="shared" si="2486"/>
        <v>鉄筋コンクリート造</v>
      </c>
      <c r="L6798" s="7" t="str">
        <f t="shared" si="2490"/>
        <v>S50.09.01</v>
      </c>
      <c r="M6798" s="7">
        <v>3306</v>
      </c>
      <c r="N6798" s="7">
        <v>112016148</v>
      </c>
      <c r="O6798" s="7">
        <v>79655761</v>
      </c>
      <c r="P6798" s="7">
        <v>0</v>
      </c>
      <c r="Q6798" s="7" t="str">
        <f t="shared" si="2462"/>
        <v>教育庁</v>
      </c>
      <c r="R6798" s="7" t="str">
        <f t="shared" si="2491"/>
        <v>難波支援学校</v>
      </c>
    </row>
    <row r="6799" spans="1:18" s="1" customFormat="1" x14ac:dyDescent="0.45">
      <c r="A6799" s="7" t="str">
        <f t="shared" si="2487"/>
        <v>10275003044</v>
      </c>
      <c r="B6799" s="7" t="str">
        <f t="shared" si="2488"/>
        <v>難波支援学校　なにわ高等支援学校</v>
      </c>
      <c r="C6799" s="7" t="str">
        <f t="shared" si="2492"/>
        <v>行政財産</v>
      </c>
      <c r="D6799" s="7" t="str">
        <f t="shared" si="2484"/>
        <v>学校</v>
      </c>
      <c r="E6799" s="7" t="str">
        <f t="shared" si="2489"/>
        <v>大阪府大阪市　浪速区木津川２丁目</v>
      </c>
      <c r="F6799" s="7"/>
      <c r="G6799" s="7" t="str">
        <f t="shared" si="2461"/>
        <v>事業用資産</v>
      </c>
      <c r="H6799" s="7" t="str">
        <f t="shared" si="2485"/>
        <v>棚卸以外</v>
      </c>
      <c r="I6799" s="7">
        <v>6</v>
      </c>
      <c r="J6799" s="7" t="str">
        <f>"講堂"</f>
        <v>講堂</v>
      </c>
      <c r="K6799" s="7" t="str">
        <f t="shared" si="2486"/>
        <v>鉄筋コンクリート造</v>
      </c>
      <c r="L6799" s="7" t="str">
        <f t="shared" si="2490"/>
        <v>S50.09.01</v>
      </c>
      <c r="M6799" s="7">
        <v>3869</v>
      </c>
      <c r="N6799" s="7">
        <v>15915333</v>
      </c>
      <c r="O6799" s="7">
        <v>1166212</v>
      </c>
      <c r="P6799" s="7">
        <v>0</v>
      </c>
      <c r="Q6799" s="7" t="str">
        <f t="shared" si="2462"/>
        <v>教育庁</v>
      </c>
      <c r="R6799" s="7" t="str">
        <f t="shared" si="2491"/>
        <v>難波支援学校</v>
      </c>
    </row>
    <row r="6800" spans="1:18" s="1" customFormat="1" x14ac:dyDescent="0.45">
      <c r="A6800" s="7" t="str">
        <f t="shared" si="2487"/>
        <v>10275003044</v>
      </c>
      <c r="B6800" s="7" t="str">
        <f t="shared" si="2488"/>
        <v>難波支援学校　なにわ高等支援学校</v>
      </c>
      <c r="C6800" s="7" t="str">
        <f t="shared" si="2492"/>
        <v>行政財産</v>
      </c>
      <c r="D6800" s="7" t="str">
        <f t="shared" si="2484"/>
        <v>学校</v>
      </c>
      <c r="E6800" s="7" t="str">
        <f t="shared" si="2489"/>
        <v>大阪府大阪市　浪速区木津川２丁目</v>
      </c>
      <c r="F6800" s="7"/>
      <c r="G6800" s="7" t="str">
        <f t="shared" si="2461"/>
        <v>事業用資産</v>
      </c>
      <c r="H6800" s="7" t="str">
        <f t="shared" si="2485"/>
        <v>棚卸以外</v>
      </c>
      <c r="I6800" s="7">
        <v>7</v>
      </c>
      <c r="J6800" s="7" t="str">
        <f>"給食室棟"</f>
        <v>給食室棟</v>
      </c>
      <c r="K6800" s="7" t="str">
        <f t="shared" si="2486"/>
        <v>鉄筋コンクリート造</v>
      </c>
      <c r="L6800" s="7" t="str">
        <f t="shared" si="2490"/>
        <v>S50.09.01</v>
      </c>
      <c r="M6800" s="7">
        <v>2185</v>
      </c>
      <c r="N6800" s="7">
        <v>8211803</v>
      </c>
      <c r="O6800" s="7">
        <v>3353524</v>
      </c>
      <c r="P6800" s="7">
        <v>0</v>
      </c>
      <c r="Q6800" s="7" t="str">
        <f t="shared" si="2462"/>
        <v>教育庁</v>
      </c>
      <c r="R6800" s="7" t="str">
        <f t="shared" si="2491"/>
        <v>難波支援学校</v>
      </c>
    </row>
    <row r="6801" spans="1:18" s="1" customFormat="1" x14ac:dyDescent="0.45">
      <c r="A6801" s="7" t="str">
        <f t="shared" si="2487"/>
        <v>10275003044</v>
      </c>
      <c r="B6801" s="7" t="str">
        <f t="shared" si="2488"/>
        <v>難波支援学校　なにわ高等支援学校</v>
      </c>
      <c r="C6801" s="7" t="str">
        <f t="shared" si="2492"/>
        <v>行政財産</v>
      </c>
      <c r="D6801" s="7" t="str">
        <f t="shared" si="2484"/>
        <v>学校</v>
      </c>
      <c r="E6801" s="7" t="str">
        <f t="shared" si="2489"/>
        <v>大阪府大阪市　浪速区木津川２丁目</v>
      </c>
      <c r="F6801" s="7"/>
      <c r="G6801" s="7" t="str">
        <f t="shared" si="2461"/>
        <v>事業用資産</v>
      </c>
      <c r="H6801" s="7" t="str">
        <f t="shared" si="2485"/>
        <v>棚卸以外</v>
      </c>
      <c r="I6801" s="7">
        <v>8</v>
      </c>
      <c r="J6801" s="7" t="str">
        <f>"渡り廊下棟"</f>
        <v>渡り廊下棟</v>
      </c>
      <c r="K6801" s="7" t="str">
        <f t="shared" si="2486"/>
        <v>鉄筋コンクリート造</v>
      </c>
      <c r="L6801" s="7" t="str">
        <f t="shared" si="2490"/>
        <v>S50.09.01</v>
      </c>
      <c r="M6801" s="7">
        <v>298</v>
      </c>
      <c r="N6801" s="7">
        <v>5773680</v>
      </c>
      <c r="O6801" s="7">
        <v>5773679</v>
      </c>
      <c r="P6801" s="7">
        <v>0</v>
      </c>
      <c r="Q6801" s="7" t="str">
        <f t="shared" si="2462"/>
        <v>教育庁</v>
      </c>
      <c r="R6801" s="7" t="str">
        <f t="shared" si="2491"/>
        <v>難波支援学校</v>
      </c>
    </row>
    <row r="6802" spans="1:18" s="1" customFormat="1" x14ac:dyDescent="0.45">
      <c r="A6802" s="7" t="str">
        <f t="shared" si="2487"/>
        <v>10275003044</v>
      </c>
      <c r="B6802" s="7" t="str">
        <f t="shared" si="2488"/>
        <v>難波支援学校　なにわ高等支援学校</v>
      </c>
      <c r="C6802" s="7" t="str">
        <f t="shared" si="2492"/>
        <v>行政財産</v>
      </c>
      <c r="D6802" s="7" t="str">
        <f t="shared" si="2484"/>
        <v>学校</v>
      </c>
      <c r="E6802" s="7" t="str">
        <f t="shared" si="2489"/>
        <v>大阪府大阪市　浪速区木津川２丁目</v>
      </c>
      <c r="F6802" s="7"/>
      <c r="G6802" s="7" t="str">
        <f t="shared" si="2461"/>
        <v>事業用資産</v>
      </c>
      <c r="H6802" s="7" t="str">
        <f t="shared" si="2485"/>
        <v>棚卸以外</v>
      </c>
      <c r="I6802" s="7">
        <v>9</v>
      </c>
      <c r="J6802" s="7" t="str">
        <f>"渡り廊下棟"</f>
        <v>渡り廊下棟</v>
      </c>
      <c r="K6802" s="7" t="str">
        <f t="shared" si="2486"/>
        <v>鉄筋コンクリート造</v>
      </c>
      <c r="L6802" s="7" t="str">
        <f t="shared" si="2490"/>
        <v>S50.09.01</v>
      </c>
      <c r="M6802" s="7">
        <v>299</v>
      </c>
      <c r="N6802" s="7">
        <v>5792875</v>
      </c>
      <c r="O6802" s="7">
        <v>5792874</v>
      </c>
      <c r="P6802" s="7">
        <v>0</v>
      </c>
      <c r="Q6802" s="7" t="str">
        <f t="shared" si="2462"/>
        <v>教育庁</v>
      </c>
      <c r="R6802" s="7" t="str">
        <f t="shared" si="2491"/>
        <v>難波支援学校</v>
      </c>
    </row>
    <row r="6803" spans="1:18" s="1" customFormat="1" x14ac:dyDescent="0.45">
      <c r="A6803" s="7" t="str">
        <f t="shared" si="2487"/>
        <v>10275003044</v>
      </c>
      <c r="B6803" s="7" t="str">
        <f t="shared" si="2488"/>
        <v>難波支援学校　なにわ高等支援学校</v>
      </c>
      <c r="C6803" s="7" t="str">
        <f t="shared" si="2492"/>
        <v>行政財産</v>
      </c>
      <c r="D6803" s="7" t="str">
        <f t="shared" si="2484"/>
        <v>学校</v>
      </c>
      <c r="E6803" s="7" t="str">
        <f t="shared" si="2489"/>
        <v>大阪府大阪市　浪速区木津川２丁目</v>
      </c>
      <c r="F6803" s="7"/>
      <c r="G6803" s="7" t="str">
        <f t="shared" si="2461"/>
        <v>事業用資産</v>
      </c>
      <c r="H6803" s="7" t="str">
        <f t="shared" si="2485"/>
        <v>棚卸以外</v>
      </c>
      <c r="I6803" s="7">
        <v>10</v>
      </c>
      <c r="J6803" s="7" t="str">
        <f>"渡り廊下棟"</f>
        <v>渡り廊下棟</v>
      </c>
      <c r="K6803" s="7" t="str">
        <f t="shared" si="2486"/>
        <v>鉄筋コンクリート造</v>
      </c>
      <c r="L6803" s="7" t="str">
        <f t="shared" si="2490"/>
        <v>S50.09.01</v>
      </c>
      <c r="M6803" s="7">
        <v>248</v>
      </c>
      <c r="N6803" s="7">
        <v>4804677</v>
      </c>
      <c r="O6803" s="7">
        <v>4804676</v>
      </c>
      <c r="P6803" s="7">
        <v>0</v>
      </c>
      <c r="Q6803" s="7" t="str">
        <f t="shared" si="2462"/>
        <v>教育庁</v>
      </c>
      <c r="R6803" s="7" t="str">
        <f t="shared" si="2491"/>
        <v>難波支援学校</v>
      </c>
    </row>
    <row r="6804" spans="1:18" s="1" customFormat="1" x14ac:dyDescent="0.45">
      <c r="A6804" s="7" t="str">
        <f t="shared" si="2487"/>
        <v>10275003044</v>
      </c>
      <c r="B6804" s="7" t="str">
        <f t="shared" si="2488"/>
        <v>難波支援学校　なにわ高等支援学校</v>
      </c>
      <c r="C6804" s="7" t="str">
        <f t="shared" si="2492"/>
        <v>行政財産</v>
      </c>
      <c r="D6804" s="7" t="str">
        <f t="shared" si="2484"/>
        <v>学校</v>
      </c>
      <c r="E6804" s="7" t="str">
        <f t="shared" si="2489"/>
        <v>大阪府大阪市　浪速区木津川２丁目</v>
      </c>
      <c r="F6804" s="7"/>
      <c r="G6804" s="7" t="str">
        <f t="shared" si="2461"/>
        <v>事業用資産</v>
      </c>
      <c r="H6804" s="7" t="str">
        <f t="shared" si="2485"/>
        <v>棚卸以外</v>
      </c>
      <c r="I6804" s="7">
        <v>11</v>
      </c>
      <c r="J6804" s="7" t="str">
        <f>"渡り廊下棟"</f>
        <v>渡り廊下棟</v>
      </c>
      <c r="K6804" s="7" t="str">
        <f t="shared" si="2486"/>
        <v>鉄筋コンクリート造</v>
      </c>
      <c r="L6804" s="7" t="str">
        <f t="shared" si="2490"/>
        <v>S50.09.01</v>
      </c>
      <c r="M6804" s="7">
        <v>200</v>
      </c>
      <c r="N6804" s="7">
        <v>3875038</v>
      </c>
      <c r="O6804" s="7">
        <v>3875037</v>
      </c>
      <c r="P6804" s="7">
        <v>0</v>
      </c>
      <c r="Q6804" s="7" t="str">
        <f t="shared" si="2462"/>
        <v>教育庁</v>
      </c>
      <c r="R6804" s="7" t="str">
        <f t="shared" si="2491"/>
        <v>難波支援学校</v>
      </c>
    </row>
    <row r="6805" spans="1:18" s="1" customFormat="1" x14ac:dyDescent="0.45">
      <c r="A6805" s="7" t="str">
        <f t="shared" si="2487"/>
        <v>10275003044</v>
      </c>
      <c r="B6805" s="7" t="str">
        <f t="shared" si="2488"/>
        <v>難波支援学校　なにわ高等支援学校</v>
      </c>
      <c r="C6805" s="7" t="str">
        <f t="shared" si="2492"/>
        <v>行政財産</v>
      </c>
      <c r="D6805" s="7" t="str">
        <f t="shared" si="2484"/>
        <v>学校</v>
      </c>
      <c r="E6805" s="7" t="str">
        <f t="shared" si="2489"/>
        <v>大阪府大阪市　浪速区木津川２丁目</v>
      </c>
      <c r="F6805" s="7"/>
      <c r="G6805" s="7" t="str">
        <f t="shared" si="2461"/>
        <v>事業用資産</v>
      </c>
      <c r="H6805" s="7" t="str">
        <f t="shared" si="2485"/>
        <v>棚卸以外</v>
      </c>
      <c r="I6805" s="7">
        <v>12</v>
      </c>
      <c r="J6805" s="7" t="str">
        <f>"更衣室"</f>
        <v>更衣室</v>
      </c>
      <c r="K6805" s="7" t="str">
        <f t="shared" si="2486"/>
        <v>鉄筋コンクリート造</v>
      </c>
      <c r="L6805" s="7" t="str">
        <f t="shared" si="2490"/>
        <v>S50.09.01</v>
      </c>
      <c r="M6805" s="7">
        <v>110</v>
      </c>
      <c r="N6805" s="7">
        <v>1897398</v>
      </c>
      <c r="O6805" s="7">
        <v>1897397</v>
      </c>
      <c r="P6805" s="7">
        <v>0</v>
      </c>
      <c r="Q6805" s="7" t="str">
        <f t="shared" si="2462"/>
        <v>教育庁</v>
      </c>
      <c r="R6805" s="7" t="str">
        <f t="shared" si="2491"/>
        <v>難波支援学校</v>
      </c>
    </row>
    <row r="6806" spans="1:18" s="1" customFormat="1" x14ac:dyDescent="0.45">
      <c r="A6806" s="7" t="str">
        <f t="shared" si="2487"/>
        <v>10275003044</v>
      </c>
      <c r="B6806" s="7" t="str">
        <f t="shared" si="2488"/>
        <v>難波支援学校　なにわ高等支援学校</v>
      </c>
      <c r="C6806" s="7" t="str">
        <f t="shared" si="2492"/>
        <v>行政財産</v>
      </c>
      <c r="D6806" s="7" t="str">
        <f t="shared" si="2484"/>
        <v>学校</v>
      </c>
      <c r="E6806" s="7" t="str">
        <f t="shared" si="2489"/>
        <v>大阪府大阪市　浪速区木津川２丁目</v>
      </c>
      <c r="F6806" s="7"/>
      <c r="G6806" s="7" t="str">
        <f t="shared" si="2461"/>
        <v>事業用資産</v>
      </c>
      <c r="H6806" s="7" t="str">
        <f t="shared" si="2485"/>
        <v>棚卸以外</v>
      </c>
      <c r="I6806" s="7">
        <v>13</v>
      </c>
      <c r="J6806" s="7" t="str">
        <f>"昇降場"</f>
        <v>昇降場</v>
      </c>
      <c r="K6806" s="7" t="str">
        <f>"鉄骨造"</f>
        <v>鉄骨造</v>
      </c>
      <c r="L6806" s="7" t="str">
        <f>"H27.03.31"</f>
        <v>H27.03.31</v>
      </c>
      <c r="M6806" s="7">
        <v>158.21</v>
      </c>
      <c r="N6806" s="7">
        <v>16536333</v>
      </c>
      <c r="O6806" s="7">
        <v>3812304</v>
      </c>
      <c r="P6806" s="7">
        <v>0</v>
      </c>
      <c r="Q6806" s="7" t="str">
        <f t="shared" si="2462"/>
        <v>教育庁</v>
      </c>
      <c r="R6806" s="7" t="str">
        <f t="shared" si="2491"/>
        <v>難波支援学校</v>
      </c>
    </row>
    <row r="6807" spans="1:18" s="1" customFormat="1" x14ac:dyDescent="0.45">
      <c r="A6807" s="7" t="str">
        <f t="shared" si="2487"/>
        <v>10275003044</v>
      </c>
      <c r="B6807" s="7" t="str">
        <f t="shared" si="2488"/>
        <v>難波支援学校　なにわ高等支援学校</v>
      </c>
      <c r="C6807" s="7" t="str">
        <f t="shared" si="2492"/>
        <v>行政財産</v>
      </c>
      <c r="D6807" s="7" t="str">
        <f t="shared" si="2484"/>
        <v>学校</v>
      </c>
      <c r="E6807" s="7" t="str">
        <f t="shared" si="2489"/>
        <v>大阪府大阪市　浪速区木津川２丁目</v>
      </c>
      <c r="F6807" s="7"/>
      <c r="G6807" s="7" t="str">
        <f t="shared" ref="G6807:G6870" si="2493">"事業用資産"</f>
        <v>事業用資産</v>
      </c>
      <c r="H6807" s="7" t="str">
        <f t="shared" si="2485"/>
        <v>棚卸以外</v>
      </c>
      <c r="I6807" s="7">
        <v>14</v>
      </c>
      <c r="J6807" s="7" t="str">
        <f>"温室（６棟）"</f>
        <v>温室（６棟）</v>
      </c>
      <c r="K6807" s="7" t="str">
        <f>"軽量鉄骨造"</f>
        <v>軽量鉄骨造</v>
      </c>
      <c r="L6807" s="7" t="str">
        <f>"H27.03.31"</f>
        <v>H27.03.31</v>
      </c>
      <c r="M6807" s="7">
        <v>254.02</v>
      </c>
      <c r="N6807" s="7">
        <v>22800257</v>
      </c>
      <c r="O6807" s="7">
        <v>6881613</v>
      </c>
      <c r="P6807" s="7">
        <v>0</v>
      </c>
      <c r="Q6807" s="7" t="str">
        <f t="shared" si="2462"/>
        <v>教育庁</v>
      </c>
      <c r="R6807" s="7" t="str">
        <f t="shared" si="2491"/>
        <v>難波支援学校</v>
      </c>
    </row>
    <row r="6808" spans="1:18" s="1" customFormat="1" x14ac:dyDescent="0.45">
      <c r="A6808" s="7" t="str">
        <f t="shared" ref="A6808:A6823" si="2494">"10275003045"</f>
        <v>10275003045</v>
      </c>
      <c r="B6808" s="7" t="str">
        <f t="shared" ref="B6808:B6823" si="2495">"生野支援学校"</f>
        <v>生野支援学校</v>
      </c>
      <c r="C6808" s="7" t="str">
        <f t="shared" si="2492"/>
        <v>行政財産</v>
      </c>
      <c r="D6808" s="7" t="str">
        <f t="shared" si="2484"/>
        <v>学校</v>
      </c>
      <c r="E6808" s="7" t="str">
        <f t="shared" ref="E6808:E6823" si="2496">"大阪府大阪市　生野区巽東４丁目"</f>
        <v>大阪府大阪市　生野区巽東４丁目</v>
      </c>
      <c r="F6808" s="7"/>
      <c r="G6808" s="7" t="str">
        <f t="shared" si="2493"/>
        <v>事業用資産</v>
      </c>
      <c r="H6808" s="7" t="str">
        <f t="shared" si="2485"/>
        <v>棚卸以外</v>
      </c>
      <c r="I6808" s="7">
        <v>1</v>
      </c>
      <c r="J6808" s="7" t="str">
        <f>"校舎（管理室棟Ａ棟北側）"</f>
        <v>校舎（管理室棟Ａ棟北側）</v>
      </c>
      <c r="K6808" s="7" t="str">
        <f t="shared" ref="K6808:K6813" si="2497">"鉄筋コンクリート造"</f>
        <v>鉄筋コンクリート造</v>
      </c>
      <c r="L6808" s="7" t="str">
        <f>"S41.12.01"</f>
        <v>S41.12.01</v>
      </c>
      <c r="M6808" s="7">
        <v>1345.72</v>
      </c>
      <c r="N6808" s="7">
        <v>14678059</v>
      </c>
      <c r="O6808" s="7">
        <v>1865539</v>
      </c>
      <c r="P6808" s="7">
        <v>0</v>
      </c>
      <c r="Q6808" s="7" t="str">
        <f t="shared" si="2462"/>
        <v>教育庁</v>
      </c>
      <c r="R6808" s="7" t="str">
        <f t="shared" ref="R6808:R6823" si="2498">"生野支援学校"</f>
        <v>生野支援学校</v>
      </c>
    </row>
    <row r="6809" spans="1:18" s="1" customFormat="1" x14ac:dyDescent="0.45">
      <c r="A6809" s="7" t="str">
        <f t="shared" si="2494"/>
        <v>10275003045</v>
      </c>
      <c r="B6809" s="7" t="str">
        <f t="shared" si="2495"/>
        <v>生野支援学校</v>
      </c>
      <c r="C6809" s="7" t="str">
        <f t="shared" si="2492"/>
        <v>行政財産</v>
      </c>
      <c r="D6809" s="7" t="str">
        <f t="shared" si="2484"/>
        <v>学校</v>
      </c>
      <c r="E6809" s="7" t="str">
        <f t="shared" si="2496"/>
        <v>大阪府大阪市　生野区巽東４丁目</v>
      </c>
      <c r="F6809" s="7"/>
      <c r="G6809" s="7" t="str">
        <f t="shared" si="2493"/>
        <v>事業用資産</v>
      </c>
      <c r="H6809" s="7" t="str">
        <f t="shared" si="2485"/>
        <v>棚卸以外</v>
      </c>
      <c r="I6809" s="7">
        <v>2</v>
      </c>
      <c r="J6809" s="7" t="str">
        <f>"校舎（特別・普通教室棟Ａ棟南側）"</f>
        <v>校舎（特別・普通教室棟Ａ棟南側）</v>
      </c>
      <c r="K6809" s="7" t="str">
        <f t="shared" si="2497"/>
        <v>鉄筋コンクリート造</v>
      </c>
      <c r="L6809" s="7" t="str">
        <f>"S43.03.01"</f>
        <v>S43.03.01</v>
      </c>
      <c r="M6809" s="7">
        <v>499.52</v>
      </c>
      <c r="N6809" s="7">
        <v>3194816</v>
      </c>
      <c r="O6809" s="7">
        <v>565439</v>
      </c>
      <c r="P6809" s="7">
        <v>0</v>
      </c>
      <c r="Q6809" s="7" t="str">
        <f t="shared" si="2462"/>
        <v>教育庁</v>
      </c>
      <c r="R6809" s="7" t="str">
        <f t="shared" si="2498"/>
        <v>生野支援学校</v>
      </c>
    </row>
    <row r="6810" spans="1:18" s="1" customFormat="1" x14ac:dyDescent="0.45">
      <c r="A6810" s="7" t="str">
        <f t="shared" si="2494"/>
        <v>10275003045</v>
      </c>
      <c r="B6810" s="7" t="str">
        <f t="shared" si="2495"/>
        <v>生野支援学校</v>
      </c>
      <c r="C6810" s="7" t="str">
        <f t="shared" si="2492"/>
        <v>行政財産</v>
      </c>
      <c r="D6810" s="7" t="str">
        <f t="shared" si="2484"/>
        <v>学校</v>
      </c>
      <c r="E6810" s="7" t="str">
        <f t="shared" si="2496"/>
        <v>大阪府大阪市　生野区巽東４丁目</v>
      </c>
      <c r="F6810" s="7"/>
      <c r="G6810" s="7" t="str">
        <f t="shared" si="2493"/>
        <v>事業用資産</v>
      </c>
      <c r="H6810" s="7" t="str">
        <f t="shared" si="2485"/>
        <v>棚卸以外</v>
      </c>
      <c r="I6810" s="7">
        <v>3</v>
      </c>
      <c r="J6810" s="7" t="str">
        <f>"校舎（特別・普通教室棟Ｂ棟南側）"</f>
        <v>校舎（特別・普通教室棟Ｂ棟南側）</v>
      </c>
      <c r="K6810" s="7" t="str">
        <f t="shared" si="2497"/>
        <v>鉄筋コンクリート造</v>
      </c>
      <c r="L6810" s="7" t="str">
        <f>"S43.03.01"</f>
        <v>S43.03.01</v>
      </c>
      <c r="M6810" s="7">
        <v>609.20000000000005</v>
      </c>
      <c r="N6810" s="7">
        <v>5297125</v>
      </c>
      <c r="O6810" s="7">
        <v>720711</v>
      </c>
      <c r="P6810" s="7">
        <v>0</v>
      </c>
      <c r="Q6810" s="7" t="str">
        <f t="shared" si="2462"/>
        <v>教育庁</v>
      </c>
      <c r="R6810" s="7" t="str">
        <f t="shared" si="2498"/>
        <v>生野支援学校</v>
      </c>
    </row>
    <row r="6811" spans="1:18" s="1" customFormat="1" x14ac:dyDescent="0.45">
      <c r="A6811" s="7" t="str">
        <f t="shared" si="2494"/>
        <v>10275003045</v>
      </c>
      <c r="B6811" s="7" t="str">
        <f t="shared" si="2495"/>
        <v>生野支援学校</v>
      </c>
      <c r="C6811" s="7" t="str">
        <f t="shared" si="2492"/>
        <v>行政財産</v>
      </c>
      <c r="D6811" s="7" t="str">
        <f t="shared" si="2484"/>
        <v>学校</v>
      </c>
      <c r="E6811" s="7" t="str">
        <f t="shared" si="2496"/>
        <v>大阪府大阪市　生野区巽東４丁目</v>
      </c>
      <c r="F6811" s="7"/>
      <c r="G6811" s="7" t="str">
        <f t="shared" si="2493"/>
        <v>事業用資産</v>
      </c>
      <c r="H6811" s="7" t="str">
        <f t="shared" si="2485"/>
        <v>棚卸以外</v>
      </c>
      <c r="I6811" s="7">
        <v>4</v>
      </c>
      <c r="J6811" s="7" t="str">
        <f>"校舎（特別・普通教室棟Ｂ棟北側）"</f>
        <v>校舎（特別・普通教室棟Ｂ棟北側）</v>
      </c>
      <c r="K6811" s="7" t="str">
        <f t="shared" si="2497"/>
        <v>鉄筋コンクリート造</v>
      </c>
      <c r="L6811" s="7" t="str">
        <f>"S44.03.01"</f>
        <v>S44.03.01</v>
      </c>
      <c r="M6811" s="7">
        <v>875.72</v>
      </c>
      <c r="N6811" s="7">
        <v>6198874</v>
      </c>
      <c r="O6811" s="7">
        <v>696519</v>
      </c>
      <c r="P6811" s="7">
        <v>0</v>
      </c>
      <c r="Q6811" s="7" t="str">
        <f t="shared" ref="Q6811:Q6874" si="2499">"教育庁"</f>
        <v>教育庁</v>
      </c>
      <c r="R6811" s="7" t="str">
        <f t="shared" si="2498"/>
        <v>生野支援学校</v>
      </c>
    </row>
    <row r="6812" spans="1:18" s="1" customFormat="1" x14ac:dyDescent="0.45">
      <c r="A6812" s="7" t="str">
        <f t="shared" si="2494"/>
        <v>10275003045</v>
      </c>
      <c r="B6812" s="7" t="str">
        <f t="shared" si="2495"/>
        <v>生野支援学校</v>
      </c>
      <c r="C6812" s="7" t="str">
        <f t="shared" si="2492"/>
        <v>行政財産</v>
      </c>
      <c r="D6812" s="7" t="str">
        <f t="shared" si="2484"/>
        <v>学校</v>
      </c>
      <c r="E6812" s="7" t="str">
        <f t="shared" si="2496"/>
        <v>大阪府大阪市　生野区巽東４丁目</v>
      </c>
      <c r="F6812" s="7"/>
      <c r="G6812" s="7" t="str">
        <f t="shared" si="2493"/>
        <v>事業用資産</v>
      </c>
      <c r="H6812" s="7" t="str">
        <f t="shared" si="2485"/>
        <v>棚卸以外</v>
      </c>
      <c r="I6812" s="7">
        <v>5</v>
      </c>
      <c r="J6812" s="7" t="str">
        <f>"校舎（特別・普通教室棟Ｃ棟西側）"</f>
        <v>校舎（特別・普通教室棟Ｃ棟西側）</v>
      </c>
      <c r="K6812" s="7" t="str">
        <f t="shared" si="2497"/>
        <v>鉄筋コンクリート造</v>
      </c>
      <c r="L6812" s="7" t="str">
        <f>"S45.03.01"</f>
        <v>S45.03.01</v>
      </c>
      <c r="M6812" s="7">
        <v>1543.12</v>
      </c>
      <c r="N6812" s="7">
        <v>21247416</v>
      </c>
      <c r="O6812" s="7">
        <v>2556319</v>
      </c>
      <c r="P6812" s="7">
        <v>0</v>
      </c>
      <c r="Q6812" s="7" t="str">
        <f t="shared" si="2499"/>
        <v>教育庁</v>
      </c>
      <c r="R6812" s="7" t="str">
        <f t="shared" si="2498"/>
        <v>生野支援学校</v>
      </c>
    </row>
    <row r="6813" spans="1:18" s="1" customFormat="1" x14ac:dyDescent="0.45">
      <c r="A6813" s="7" t="str">
        <f t="shared" si="2494"/>
        <v>10275003045</v>
      </c>
      <c r="B6813" s="7" t="str">
        <f t="shared" si="2495"/>
        <v>生野支援学校</v>
      </c>
      <c r="C6813" s="7" t="str">
        <f t="shared" si="2492"/>
        <v>行政財産</v>
      </c>
      <c r="D6813" s="7" t="str">
        <f t="shared" si="2484"/>
        <v>学校</v>
      </c>
      <c r="E6813" s="7" t="str">
        <f t="shared" si="2496"/>
        <v>大阪府大阪市　生野区巽東４丁目</v>
      </c>
      <c r="F6813" s="7"/>
      <c r="G6813" s="7" t="str">
        <f t="shared" si="2493"/>
        <v>事業用資産</v>
      </c>
      <c r="H6813" s="7" t="str">
        <f t="shared" si="2485"/>
        <v>棚卸以外</v>
      </c>
      <c r="I6813" s="7">
        <v>6</v>
      </c>
      <c r="J6813" s="7" t="str">
        <f>"校舎（普通教室棟Ｄ棟）"</f>
        <v>校舎（普通教室棟Ｄ棟）</v>
      </c>
      <c r="K6813" s="7" t="str">
        <f t="shared" si="2497"/>
        <v>鉄筋コンクリート造</v>
      </c>
      <c r="L6813" s="7" t="str">
        <f>"S47.03.01"</f>
        <v>S47.03.01</v>
      </c>
      <c r="M6813" s="7">
        <v>893.7</v>
      </c>
      <c r="N6813" s="7">
        <v>11289023</v>
      </c>
      <c r="O6813" s="7">
        <v>5849024</v>
      </c>
      <c r="P6813" s="7">
        <v>0</v>
      </c>
      <c r="Q6813" s="7" t="str">
        <f t="shared" si="2499"/>
        <v>教育庁</v>
      </c>
      <c r="R6813" s="7" t="str">
        <f t="shared" si="2498"/>
        <v>生野支援学校</v>
      </c>
    </row>
    <row r="6814" spans="1:18" s="1" customFormat="1" x14ac:dyDescent="0.45">
      <c r="A6814" s="7" t="str">
        <f t="shared" si="2494"/>
        <v>10275003045</v>
      </c>
      <c r="B6814" s="7" t="str">
        <f t="shared" si="2495"/>
        <v>生野支援学校</v>
      </c>
      <c r="C6814" s="7" t="str">
        <f t="shared" si="2492"/>
        <v>行政財産</v>
      </c>
      <c r="D6814" s="7" t="str">
        <f t="shared" si="2484"/>
        <v>学校</v>
      </c>
      <c r="E6814" s="7" t="str">
        <f t="shared" si="2496"/>
        <v>大阪府大阪市　生野区巽東４丁目</v>
      </c>
      <c r="F6814" s="7"/>
      <c r="G6814" s="7" t="str">
        <f t="shared" si="2493"/>
        <v>事業用資産</v>
      </c>
      <c r="H6814" s="7" t="str">
        <f t="shared" si="2485"/>
        <v>棚卸以外</v>
      </c>
      <c r="I6814" s="7">
        <v>7</v>
      </c>
      <c r="J6814" s="7" t="str">
        <f>"体育館"</f>
        <v>体育館</v>
      </c>
      <c r="K6814" s="7" t="str">
        <f>"軽量鉄骨造"</f>
        <v>軽量鉄骨造</v>
      </c>
      <c r="L6814" s="7" t="str">
        <f>"S50.07.01"</f>
        <v>S50.07.01</v>
      </c>
      <c r="M6814" s="7">
        <v>537.80999999999995</v>
      </c>
      <c r="N6814" s="7">
        <v>20290650</v>
      </c>
      <c r="O6814" s="7">
        <v>762990</v>
      </c>
      <c r="P6814" s="7">
        <v>0</v>
      </c>
      <c r="Q6814" s="7" t="str">
        <f t="shared" si="2499"/>
        <v>教育庁</v>
      </c>
      <c r="R6814" s="7" t="str">
        <f t="shared" si="2498"/>
        <v>生野支援学校</v>
      </c>
    </row>
    <row r="6815" spans="1:18" s="1" customFormat="1" x14ac:dyDescent="0.45">
      <c r="A6815" s="7" t="str">
        <f t="shared" si="2494"/>
        <v>10275003045</v>
      </c>
      <c r="B6815" s="7" t="str">
        <f t="shared" si="2495"/>
        <v>生野支援学校</v>
      </c>
      <c r="C6815" s="7" t="str">
        <f t="shared" si="2492"/>
        <v>行政財産</v>
      </c>
      <c r="D6815" s="7" t="str">
        <f t="shared" si="2484"/>
        <v>学校</v>
      </c>
      <c r="E6815" s="7" t="str">
        <f t="shared" si="2496"/>
        <v>大阪府大阪市　生野区巽東４丁目</v>
      </c>
      <c r="F6815" s="7"/>
      <c r="G6815" s="7" t="str">
        <f t="shared" si="2493"/>
        <v>事業用資産</v>
      </c>
      <c r="H6815" s="7" t="str">
        <f t="shared" si="2485"/>
        <v>棚卸以外</v>
      </c>
      <c r="I6815" s="7">
        <v>8</v>
      </c>
      <c r="J6815" s="7" t="str">
        <f>"校舎（管理室棟Ｃ棟東側）"</f>
        <v>校舎（管理室棟Ｃ棟東側）</v>
      </c>
      <c r="K6815" s="7" t="str">
        <f>"鉄筋コンクリート造"</f>
        <v>鉄筋コンクリート造</v>
      </c>
      <c r="L6815" s="7" t="str">
        <f>"S51.08.01"</f>
        <v>S51.08.01</v>
      </c>
      <c r="M6815" s="7">
        <v>904</v>
      </c>
      <c r="N6815" s="7">
        <v>30994763</v>
      </c>
      <c r="O6815" s="7">
        <v>18984060</v>
      </c>
      <c r="P6815" s="7">
        <v>0</v>
      </c>
      <c r="Q6815" s="7" t="str">
        <f t="shared" si="2499"/>
        <v>教育庁</v>
      </c>
      <c r="R6815" s="7" t="str">
        <f t="shared" si="2498"/>
        <v>生野支援学校</v>
      </c>
    </row>
    <row r="6816" spans="1:18" s="1" customFormat="1" x14ac:dyDescent="0.45">
      <c r="A6816" s="7" t="str">
        <f t="shared" si="2494"/>
        <v>10275003045</v>
      </c>
      <c r="B6816" s="7" t="str">
        <f t="shared" si="2495"/>
        <v>生野支援学校</v>
      </c>
      <c r="C6816" s="7" t="str">
        <f t="shared" si="2492"/>
        <v>行政財産</v>
      </c>
      <c r="D6816" s="7" t="str">
        <f t="shared" si="2484"/>
        <v>学校</v>
      </c>
      <c r="E6816" s="7" t="str">
        <f t="shared" si="2496"/>
        <v>大阪府大阪市　生野区巽東４丁目</v>
      </c>
      <c r="F6816" s="7"/>
      <c r="G6816" s="7" t="str">
        <f t="shared" si="2493"/>
        <v>事業用資産</v>
      </c>
      <c r="H6816" s="7" t="str">
        <f t="shared" si="2485"/>
        <v>棚卸以外</v>
      </c>
      <c r="I6816" s="7">
        <v>9</v>
      </c>
      <c r="J6816" s="7" t="str">
        <f>"給食室棟"</f>
        <v>給食室棟</v>
      </c>
      <c r="K6816" s="7" t="str">
        <f>"軽量鉄骨造"</f>
        <v>軽量鉄骨造</v>
      </c>
      <c r="L6816" s="7" t="str">
        <f>"S61.03.01"</f>
        <v>S61.03.01</v>
      </c>
      <c r="M6816" s="7">
        <v>150</v>
      </c>
      <c r="N6816" s="7">
        <v>3717856</v>
      </c>
      <c r="O6816" s="7">
        <v>1105585</v>
      </c>
      <c r="P6816" s="7">
        <v>0</v>
      </c>
      <c r="Q6816" s="7" t="str">
        <f t="shared" si="2499"/>
        <v>教育庁</v>
      </c>
      <c r="R6816" s="7" t="str">
        <f t="shared" si="2498"/>
        <v>生野支援学校</v>
      </c>
    </row>
    <row r="6817" spans="1:18" s="1" customFormat="1" x14ac:dyDescent="0.45">
      <c r="A6817" s="7" t="str">
        <f t="shared" si="2494"/>
        <v>10275003045</v>
      </c>
      <c r="B6817" s="7" t="str">
        <f t="shared" si="2495"/>
        <v>生野支援学校</v>
      </c>
      <c r="C6817" s="7" t="str">
        <f t="shared" si="2492"/>
        <v>行政財産</v>
      </c>
      <c r="D6817" s="7" t="str">
        <f t="shared" si="2484"/>
        <v>学校</v>
      </c>
      <c r="E6817" s="7" t="str">
        <f t="shared" si="2496"/>
        <v>大阪府大阪市　生野区巽東４丁目</v>
      </c>
      <c r="F6817" s="7"/>
      <c r="G6817" s="7" t="str">
        <f t="shared" si="2493"/>
        <v>事業用資産</v>
      </c>
      <c r="H6817" s="7" t="str">
        <f t="shared" si="2485"/>
        <v>棚卸以外</v>
      </c>
      <c r="I6817" s="7">
        <v>10</v>
      </c>
      <c r="J6817" s="7" t="str">
        <f>"エレベーター棟"</f>
        <v>エレベーター棟</v>
      </c>
      <c r="K6817" s="7" t="str">
        <f>"軽量鉄骨造"</f>
        <v>軽量鉄骨造</v>
      </c>
      <c r="L6817" s="7" t="str">
        <f>"H06.04.01"</f>
        <v>H06.04.01</v>
      </c>
      <c r="M6817" s="7">
        <v>105.2</v>
      </c>
      <c r="N6817" s="7">
        <v>7721075</v>
      </c>
      <c r="O6817" s="7">
        <v>7455603</v>
      </c>
      <c r="P6817" s="7">
        <v>0</v>
      </c>
      <c r="Q6817" s="7" t="str">
        <f t="shared" si="2499"/>
        <v>教育庁</v>
      </c>
      <c r="R6817" s="7" t="str">
        <f t="shared" si="2498"/>
        <v>生野支援学校</v>
      </c>
    </row>
    <row r="6818" spans="1:18" s="1" customFormat="1" x14ac:dyDescent="0.45">
      <c r="A6818" s="7" t="str">
        <f t="shared" si="2494"/>
        <v>10275003045</v>
      </c>
      <c r="B6818" s="7" t="str">
        <f t="shared" si="2495"/>
        <v>生野支援学校</v>
      </c>
      <c r="C6818" s="7" t="str">
        <f t="shared" si="2492"/>
        <v>行政財産</v>
      </c>
      <c r="D6818" s="7" t="str">
        <f t="shared" si="2484"/>
        <v>学校</v>
      </c>
      <c r="E6818" s="7" t="str">
        <f t="shared" si="2496"/>
        <v>大阪府大阪市　生野区巽東４丁目</v>
      </c>
      <c r="F6818" s="7"/>
      <c r="G6818" s="7" t="str">
        <f t="shared" si="2493"/>
        <v>事業用資産</v>
      </c>
      <c r="H6818" s="7" t="str">
        <f t="shared" si="2485"/>
        <v>棚卸以外</v>
      </c>
      <c r="I6818" s="7">
        <v>11</v>
      </c>
      <c r="J6818" s="7" t="str">
        <f>"校舎（普通教室棟Ｅ棟）"</f>
        <v>校舎（普通教室棟Ｅ棟）</v>
      </c>
      <c r="K6818" s="7" t="str">
        <f>"鉄筋コンクリート造"</f>
        <v>鉄筋コンクリート造</v>
      </c>
      <c r="L6818" s="7" t="str">
        <f t="shared" ref="L6818:L6823" si="2500">"H22.03.31"</f>
        <v>H22.03.31</v>
      </c>
      <c r="M6818" s="7">
        <v>1084.33</v>
      </c>
      <c r="N6818" s="7">
        <v>312900938</v>
      </c>
      <c r="O6818" s="7">
        <v>52904075</v>
      </c>
      <c r="P6818" s="7">
        <v>0</v>
      </c>
      <c r="Q6818" s="7" t="str">
        <f t="shared" si="2499"/>
        <v>教育庁</v>
      </c>
      <c r="R6818" s="7" t="str">
        <f t="shared" si="2498"/>
        <v>生野支援学校</v>
      </c>
    </row>
    <row r="6819" spans="1:18" s="1" customFormat="1" x14ac:dyDescent="0.45">
      <c r="A6819" s="7" t="str">
        <f t="shared" si="2494"/>
        <v>10275003045</v>
      </c>
      <c r="B6819" s="7" t="str">
        <f t="shared" si="2495"/>
        <v>生野支援学校</v>
      </c>
      <c r="C6819" s="7" t="str">
        <f t="shared" si="2492"/>
        <v>行政財産</v>
      </c>
      <c r="D6819" s="7" t="str">
        <f t="shared" si="2484"/>
        <v>学校</v>
      </c>
      <c r="E6819" s="7" t="str">
        <f t="shared" si="2496"/>
        <v>大阪府大阪市　生野区巽東４丁目</v>
      </c>
      <c r="F6819" s="7"/>
      <c r="G6819" s="7" t="str">
        <f t="shared" si="2493"/>
        <v>事業用資産</v>
      </c>
      <c r="H6819" s="7" t="str">
        <f t="shared" si="2485"/>
        <v>棚卸以外</v>
      </c>
      <c r="I6819" s="7">
        <v>12</v>
      </c>
      <c r="J6819" s="7" t="str">
        <f>"ゴミ置き場"</f>
        <v>ゴミ置き場</v>
      </c>
      <c r="K6819" s="7" t="str">
        <f>"鉄骨造"</f>
        <v>鉄骨造</v>
      </c>
      <c r="L6819" s="7" t="str">
        <f t="shared" si="2500"/>
        <v>H22.03.31</v>
      </c>
      <c r="M6819" s="7">
        <v>15.65</v>
      </c>
      <c r="N6819" s="7">
        <v>2805114</v>
      </c>
      <c r="O6819" s="7">
        <v>778706</v>
      </c>
      <c r="P6819" s="7">
        <v>0</v>
      </c>
      <c r="Q6819" s="7" t="str">
        <f t="shared" si="2499"/>
        <v>教育庁</v>
      </c>
      <c r="R6819" s="7" t="str">
        <f t="shared" si="2498"/>
        <v>生野支援学校</v>
      </c>
    </row>
    <row r="6820" spans="1:18" s="1" customFormat="1" x14ac:dyDescent="0.45">
      <c r="A6820" s="7" t="str">
        <f t="shared" si="2494"/>
        <v>10275003045</v>
      </c>
      <c r="B6820" s="7" t="str">
        <f t="shared" si="2495"/>
        <v>生野支援学校</v>
      </c>
      <c r="C6820" s="7" t="str">
        <f t="shared" si="2492"/>
        <v>行政財産</v>
      </c>
      <c r="D6820" s="7" t="str">
        <f t="shared" si="2484"/>
        <v>学校</v>
      </c>
      <c r="E6820" s="7" t="str">
        <f t="shared" si="2496"/>
        <v>大阪府大阪市　生野区巽東４丁目</v>
      </c>
      <c r="F6820" s="7"/>
      <c r="G6820" s="7" t="str">
        <f t="shared" si="2493"/>
        <v>事業用資産</v>
      </c>
      <c r="H6820" s="7" t="str">
        <f t="shared" si="2485"/>
        <v>棚卸以外</v>
      </c>
      <c r="I6820" s="7">
        <v>13</v>
      </c>
      <c r="J6820" s="7" t="str">
        <f>"体育倉庫"</f>
        <v>体育倉庫</v>
      </c>
      <c r="K6820" s="7" t="str">
        <f>"鉄骨造"</f>
        <v>鉄骨造</v>
      </c>
      <c r="L6820" s="7" t="str">
        <f t="shared" si="2500"/>
        <v>H22.03.31</v>
      </c>
      <c r="M6820" s="7">
        <v>4.84</v>
      </c>
      <c r="N6820" s="7">
        <v>141398</v>
      </c>
      <c r="O6820" s="7">
        <v>39259</v>
      </c>
      <c r="P6820" s="7">
        <v>0</v>
      </c>
      <c r="Q6820" s="7" t="str">
        <f t="shared" si="2499"/>
        <v>教育庁</v>
      </c>
      <c r="R6820" s="7" t="str">
        <f t="shared" si="2498"/>
        <v>生野支援学校</v>
      </c>
    </row>
    <row r="6821" spans="1:18" s="1" customFormat="1" x14ac:dyDescent="0.45">
      <c r="A6821" s="7" t="str">
        <f t="shared" si="2494"/>
        <v>10275003045</v>
      </c>
      <c r="B6821" s="7" t="str">
        <f t="shared" si="2495"/>
        <v>生野支援学校</v>
      </c>
      <c r="C6821" s="7" t="str">
        <f t="shared" si="2492"/>
        <v>行政財産</v>
      </c>
      <c r="D6821" s="7" t="str">
        <f t="shared" si="2484"/>
        <v>学校</v>
      </c>
      <c r="E6821" s="7" t="str">
        <f t="shared" si="2496"/>
        <v>大阪府大阪市　生野区巽東４丁目</v>
      </c>
      <c r="F6821" s="7"/>
      <c r="G6821" s="7" t="str">
        <f t="shared" si="2493"/>
        <v>事業用資産</v>
      </c>
      <c r="H6821" s="7" t="str">
        <f t="shared" si="2485"/>
        <v>棚卸以外</v>
      </c>
      <c r="I6821" s="7">
        <v>14</v>
      </c>
      <c r="J6821" s="7" t="str">
        <f>"体育倉庫"</f>
        <v>体育倉庫</v>
      </c>
      <c r="K6821" s="7" t="str">
        <f>"鉄骨造"</f>
        <v>鉄骨造</v>
      </c>
      <c r="L6821" s="7" t="str">
        <f t="shared" si="2500"/>
        <v>H22.03.31</v>
      </c>
      <c r="M6821" s="7">
        <v>4.84</v>
      </c>
      <c r="N6821" s="7">
        <v>141398</v>
      </c>
      <c r="O6821" s="7">
        <v>39259</v>
      </c>
      <c r="P6821" s="7">
        <v>0</v>
      </c>
      <c r="Q6821" s="7" t="str">
        <f t="shared" si="2499"/>
        <v>教育庁</v>
      </c>
      <c r="R6821" s="7" t="str">
        <f t="shared" si="2498"/>
        <v>生野支援学校</v>
      </c>
    </row>
    <row r="6822" spans="1:18" s="1" customFormat="1" x14ac:dyDescent="0.45">
      <c r="A6822" s="7" t="str">
        <f t="shared" si="2494"/>
        <v>10275003045</v>
      </c>
      <c r="B6822" s="7" t="str">
        <f t="shared" si="2495"/>
        <v>生野支援学校</v>
      </c>
      <c r="C6822" s="7" t="str">
        <f t="shared" si="2492"/>
        <v>行政財産</v>
      </c>
      <c r="D6822" s="7" t="str">
        <f t="shared" si="2484"/>
        <v>学校</v>
      </c>
      <c r="E6822" s="7" t="str">
        <f t="shared" si="2496"/>
        <v>大阪府大阪市　生野区巽東４丁目</v>
      </c>
      <c r="F6822" s="7"/>
      <c r="G6822" s="7" t="str">
        <f t="shared" si="2493"/>
        <v>事業用資産</v>
      </c>
      <c r="H6822" s="7" t="str">
        <f t="shared" si="2485"/>
        <v>棚卸以外</v>
      </c>
      <c r="I6822" s="7">
        <v>15</v>
      </c>
      <c r="J6822" s="7" t="str">
        <f>"渡り廊下棟"</f>
        <v>渡り廊下棟</v>
      </c>
      <c r="K6822" s="7" t="str">
        <f>"鉄骨造"</f>
        <v>鉄骨造</v>
      </c>
      <c r="L6822" s="7" t="str">
        <f t="shared" si="2500"/>
        <v>H22.03.31</v>
      </c>
      <c r="M6822" s="7">
        <v>63.14</v>
      </c>
      <c r="N6822" s="7">
        <v>1527897</v>
      </c>
      <c r="O6822" s="7">
        <v>424213</v>
      </c>
      <c r="P6822" s="7">
        <v>0</v>
      </c>
      <c r="Q6822" s="7" t="str">
        <f t="shared" si="2499"/>
        <v>教育庁</v>
      </c>
      <c r="R6822" s="7" t="str">
        <f t="shared" si="2498"/>
        <v>生野支援学校</v>
      </c>
    </row>
    <row r="6823" spans="1:18" s="1" customFormat="1" x14ac:dyDescent="0.45">
      <c r="A6823" s="7" t="str">
        <f t="shared" si="2494"/>
        <v>10275003045</v>
      </c>
      <c r="B6823" s="7" t="str">
        <f t="shared" si="2495"/>
        <v>生野支援学校</v>
      </c>
      <c r="C6823" s="7" t="str">
        <f t="shared" si="2492"/>
        <v>行政財産</v>
      </c>
      <c r="D6823" s="7" t="str">
        <f t="shared" si="2484"/>
        <v>学校</v>
      </c>
      <c r="E6823" s="7" t="str">
        <f t="shared" si="2496"/>
        <v>大阪府大阪市　生野区巽東４丁目</v>
      </c>
      <c r="F6823" s="7"/>
      <c r="G6823" s="7" t="str">
        <f t="shared" si="2493"/>
        <v>事業用資産</v>
      </c>
      <c r="H6823" s="7" t="str">
        <f t="shared" si="2485"/>
        <v>棚卸以外</v>
      </c>
      <c r="I6823" s="7">
        <v>16</v>
      </c>
      <c r="J6823" s="7" t="str">
        <f>"渡り廊下棟"</f>
        <v>渡り廊下棟</v>
      </c>
      <c r="K6823" s="7" t="str">
        <f>"鉄骨造"</f>
        <v>鉄骨造</v>
      </c>
      <c r="L6823" s="7" t="str">
        <f t="shared" si="2500"/>
        <v>H22.03.31</v>
      </c>
      <c r="M6823" s="7">
        <v>21.57</v>
      </c>
      <c r="N6823" s="7">
        <v>770806</v>
      </c>
      <c r="O6823" s="7">
        <v>213974</v>
      </c>
      <c r="P6823" s="7">
        <v>0</v>
      </c>
      <c r="Q6823" s="7" t="str">
        <f t="shared" si="2499"/>
        <v>教育庁</v>
      </c>
      <c r="R6823" s="7" t="str">
        <f t="shared" si="2498"/>
        <v>生野支援学校</v>
      </c>
    </row>
    <row r="6824" spans="1:18" s="1" customFormat="1" x14ac:dyDescent="0.45">
      <c r="A6824" s="7" t="str">
        <f t="shared" ref="A6824:A6830" si="2501">"10275003046"</f>
        <v>10275003046</v>
      </c>
      <c r="B6824" s="7" t="str">
        <f t="shared" ref="B6824:B6830" si="2502">"住之江支援学校"</f>
        <v>住之江支援学校</v>
      </c>
      <c r="C6824" s="7" t="str">
        <f t="shared" si="2492"/>
        <v>行政財産</v>
      </c>
      <c r="D6824" s="7" t="str">
        <f t="shared" si="2484"/>
        <v>学校</v>
      </c>
      <c r="E6824" s="7" t="str">
        <f t="shared" ref="E6824:E6830" si="2503">"大阪府大阪市　住之江区緑木１丁目"</f>
        <v>大阪府大阪市　住之江区緑木１丁目</v>
      </c>
      <c r="F6824" s="7"/>
      <c r="G6824" s="7" t="str">
        <f t="shared" si="2493"/>
        <v>事業用資産</v>
      </c>
      <c r="H6824" s="7" t="str">
        <f t="shared" si="2485"/>
        <v>棚卸以外</v>
      </c>
      <c r="I6824" s="7">
        <v>1</v>
      </c>
      <c r="J6824" s="7" t="str">
        <f>"校舎（特別・普通教室棟）"</f>
        <v>校舎（特別・普通教室棟）</v>
      </c>
      <c r="K6824" s="7" t="str">
        <f>"鉄筋コンクリート造"</f>
        <v>鉄筋コンクリート造</v>
      </c>
      <c r="L6824" s="7" t="str">
        <f>"S54.04.01"</f>
        <v>S54.04.01</v>
      </c>
      <c r="M6824" s="7">
        <v>2764.54</v>
      </c>
      <c r="N6824" s="7">
        <v>128929174</v>
      </c>
      <c r="O6824" s="7">
        <v>50254803</v>
      </c>
      <c r="P6824" s="7">
        <v>0</v>
      </c>
      <c r="Q6824" s="7" t="str">
        <f t="shared" si="2499"/>
        <v>教育庁</v>
      </c>
      <c r="R6824" s="7" t="str">
        <f t="shared" ref="R6824:R6830" si="2504">"住之江支援学校"</f>
        <v>住之江支援学校</v>
      </c>
    </row>
    <row r="6825" spans="1:18" s="1" customFormat="1" x14ac:dyDescent="0.45">
      <c r="A6825" s="7" t="str">
        <f t="shared" si="2501"/>
        <v>10275003046</v>
      </c>
      <c r="B6825" s="7" t="str">
        <f t="shared" si="2502"/>
        <v>住之江支援学校</v>
      </c>
      <c r="C6825" s="7" t="str">
        <f t="shared" si="2492"/>
        <v>行政財産</v>
      </c>
      <c r="D6825" s="7" t="str">
        <f t="shared" si="2484"/>
        <v>学校</v>
      </c>
      <c r="E6825" s="7" t="str">
        <f t="shared" si="2503"/>
        <v>大阪府大阪市　住之江区緑木１丁目</v>
      </c>
      <c r="F6825" s="7"/>
      <c r="G6825" s="7" t="str">
        <f t="shared" si="2493"/>
        <v>事業用資産</v>
      </c>
      <c r="H6825" s="7" t="str">
        <f t="shared" si="2485"/>
        <v>棚卸以外</v>
      </c>
      <c r="I6825" s="7">
        <v>2</v>
      </c>
      <c r="J6825" s="7" t="str">
        <f>"陶芸釜棟"</f>
        <v>陶芸釜棟</v>
      </c>
      <c r="K6825" s="7" t="str">
        <f>"コンクリートブロック造"</f>
        <v>コンクリートブロック造</v>
      </c>
      <c r="L6825" s="7" t="str">
        <f>"S55.12.01"</f>
        <v>S55.12.01</v>
      </c>
      <c r="M6825" s="7">
        <v>19.05</v>
      </c>
      <c r="N6825" s="7">
        <v>1</v>
      </c>
      <c r="O6825" s="7">
        <v>0</v>
      </c>
      <c r="P6825" s="7">
        <v>0</v>
      </c>
      <c r="Q6825" s="7" t="str">
        <f t="shared" si="2499"/>
        <v>教育庁</v>
      </c>
      <c r="R6825" s="7" t="str">
        <f t="shared" si="2504"/>
        <v>住之江支援学校</v>
      </c>
    </row>
    <row r="6826" spans="1:18" s="1" customFormat="1" x14ac:dyDescent="0.45">
      <c r="A6826" s="7" t="str">
        <f t="shared" si="2501"/>
        <v>10275003046</v>
      </c>
      <c r="B6826" s="7" t="str">
        <f t="shared" si="2502"/>
        <v>住之江支援学校</v>
      </c>
      <c r="C6826" s="7" t="str">
        <f t="shared" si="2492"/>
        <v>行政財産</v>
      </c>
      <c r="D6826" s="7" t="str">
        <f t="shared" si="2484"/>
        <v>学校</v>
      </c>
      <c r="E6826" s="7" t="str">
        <f t="shared" si="2503"/>
        <v>大阪府大阪市　住之江区緑木１丁目</v>
      </c>
      <c r="F6826" s="7"/>
      <c r="G6826" s="7" t="str">
        <f t="shared" si="2493"/>
        <v>事業用資産</v>
      </c>
      <c r="H6826" s="7" t="str">
        <f t="shared" si="2485"/>
        <v>棚卸以外</v>
      </c>
      <c r="I6826" s="7">
        <v>3</v>
      </c>
      <c r="J6826" s="7" t="str">
        <f>"体育館"</f>
        <v>体育館</v>
      </c>
      <c r="K6826" s="7" t="str">
        <f>"鉄骨造"</f>
        <v>鉄骨造</v>
      </c>
      <c r="L6826" s="7" t="str">
        <f>"S56.02.01"</f>
        <v>S56.02.01</v>
      </c>
      <c r="M6826" s="7">
        <v>620.38</v>
      </c>
      <c r="N6826" s="7">
        <v>478069</v>
      </c>
      <c r="O6826" s="7">
        <v>140946</v>
      </c>
      <c r="P6826" s="7">
        <v>0</v>
      </c>
      <c r="Q6826" s="7" t="str">
        <f t="shared" si="2499"/>
        <v>教育庁</v>
      </c>
      <c r="R6826" s="7" t="str">
        <f t="shared" si="2504"/>
        <v>住之江支援学校</v>
      </c>
    </row>
    <row r="6827" spans="1:18" s="1" customFormat="1" x14ac:dyDescent="0.45">
      <c r="A6827" s="7" t="str">
        <f t="shared" si="2501"/>
        <v>10275003046</v>
      </c>
      <c r="B6827" s="7" t="str">
        <f t="shared" si="2502"/>
        <v>住之江支援学校</v>
      </c>
      <c r="C6827" s="7" t="str">
        <f t="shared" si="2492"/>
        <v>行政財産</v>
      </c>
      <c r="D6827" s="7" t="str">
        <f t="shared" si="2484"/>
        <v>学校</v>
      </c>
      <c r="E6827" s="7" t="str">
        <f t="shared" si="2503"/>
        <v>大阪府大阪市　住之江区緑木１丁目</v>
      </c>
      <c r="F6827" s="7"/>
      <c r="G6827" s="7" t="str">
        <f t="shared" si="2493"/>
        <v>事業用資産</v>
      </c>
      <c r="H6827" s="7" t="str">
        <f t="shared" si="2485"/>
        <v>棚卸以外</v>
      </c>
      <c r="I6827" s="7">
        <v>4</v>
      </c>
      <c r="J6827" s="7" t="str">
        <f>"校舎（管理室棟）"</f>
        <v>校舎（管理室棟）</v>
      </c>
      <c r="K6827" s="7" t="str">
        <f>"鉄筋コンクリート造"</f>
        <v>鉄筋コンクリート造</v>
      </c>
      <c r="L6827" s="7" t="str">
        <f>"S53.09.01"</f>
        <v>S53.09.01</v>
      </c>
      <c r="M6827" s="7">
        <v>1620</v>
      </c>
      <c r="N6827" s="7">
        <v>50706064</v>
      </c>
      <c r="O6827" s="7">
        <v>34179762</v>
      </c>
      <c r="P6827" s="7">
        <v>0</v>
      </c>
      <c r="Q6827" s="7" t="str">
        <f t="shared" si="2499"/>
        <v>教育庁</v>
      </c>
      <c r="R6827" s="7" t="str">
        <f t="shared" si="2504"/>
        <v>住之江支援学校</v>
      </c>
    </row>
    <row r="6828" spans="1:18" s="1" customFormat="1" x14ac:dyDescent="0.45">
      <c r="A6828" s="7" t="str">
        <f t="shared" si="2501"/>
        <v>10275003046</v>
      </c>
      <c r="B6828" s="7" t="str">
        <f t="shared" si="2502"/>
        <v>住之江支援学校</v>
      </c>
      <c r="C6828" s="7" t="str">
        <f t="shared" si="2492"/>
        <v>行政財産</v>
      </c>
      <c r="D6828" s="7" t="str">
        <f t="shared" si="2484"/>
        <v>学校</v>
      </c>
      <c r="E6828" s="7" t="str">
        <f t="shared" si="2503"/>
        <v>大阪府大阪市　住之江区緑木１丁目</v>
      </c>
      <c r="F6828" s="7"/>
      <c r="G6828" s="7" t="str">
        <f t="shared" si="2493"/>
        <v>事業用資産</v>
      </c>
      <c r="H6828" s="7" t="str">
        <f t="shared" si="2485"/>
        <v>棚卸以外</v>
      </c>
      <c r="I6828" s="7">
        <v>5</v>
      </c>
      <c r="J6828" s="7" t="str">
        <f>"校舎（普通教室棟）"</f>
        <v>校舎（普通教室棟）</v>
      </c>
      <c r="K6828" s="7" t="str">
        <f>"鉄筋コンクリート造"</f>
        <v>鉄筋コンクリート造</v>
      </c>
      <c r="L6828" s="7" t="str">
        <f>"S53.09.01"</f>
        <v>S53.09.01</v>
      </c>
      <c r="M6828" s="7">
        <v>940</v>
      </c>
      <c r="N6828" s="7">
        <v>27166220</v>
      </c>
      <c r="O6828" s="7">
        <v>19655458</v>
      </c>
      <c r="P6828" s="7">
        <v>0</v>
      </c>
      <c r="Q6828" s="7" t="str">
        <f t="shared" si="2499"/>
        <v>教育庁</v>
      </c>
      <c r="R6828" s="7" t="str">
        <f t="shared" si="2504"/>
        <v>住之江支援学校</v>
      </c>
    </row>
    <row r="6829" spans="1:18" s="1" customFormat="1" x14ac:dyDescent="0.45">
      <c r="A6829" s="7" t="str">
        <f t="shared" si="2501"/>
        <v>10275003046</v>
      </c>
      <c r="B6829" s="7" t="str">
        <f t="shared" si="2502"/>
        <v>住之江支援学校</v>
      </c>
      <c r="C6829" s="7" t="str">
        <f t="shared" si="2492"/>
        <v>行政財産</v>
      </c>
      <c r="D6829" s="7" t="str">
        <f t="shared" si="2484"/>
        <v>学校</v>
      </c>
      <c r="E6829" s="7" t="str">
        <f t="shared" si="2503"/>
        <v>大阪府大阪市　住之江区緑木１丁目</v>
      </c>
      <c r="F6829" s="7"/>
      <c r="G6829" s="7" t="str">
        <f t="shared" si="2493"/>
        <v>事業用資産</v>
      </c>
      <c r="H6829" s="7" t="str">
        <f t="shared" si="2485"/>
        <v>棚卸以外</v>
      </c>
      <c r="I6829" s="7">
        <v>6</v>
      </c>
      <c r="J6829" s="7" t="str">
        <f>"便所・シャワー棟"</f>
        <v>便所・シャワー棟</v>
      </c>
      <c r="K6829" s="7" t="str">
        <f>"コンクリートブロック造"</f>
        <v>コンクリートブロック造</v>
      </c>
      <c r="L6829" s="7" t="str">
        <f>"H06.02.01"</f>
        <v>H06.02.01</v>
      </c>
      <c r="M6829" s="7">
        <v>17.579999999999998</v>
      </c>
      <c r="N6829" s="7">
        <v>3449094</v>
      </c>
      <c r="O6829" s="7">
        <v>1993534</v>
      </c>
      <c r="P6829" s="7">
        <v>0</v>
      </c>
      <c r="Q6829" s="7" t="str">
        <f t="shared" si="2499"/>
        <v>教育庁</v>
      </c>
      <c r="R6829" s="7" t="str">
        <f t="shared" si="2504"/>
        <v>住之江支援学校</v>
      </c>
    </row>
    <row r="6830" spans="1:18" s="1" customFormat="1" x14ac:dyDescent="0.45">
      <c r="A6830" s="7" t="str">
        <f t="shared" si="2501"/>
        <v>10275003046</v>
      </c>
      <c r="B6830" s="7" t="str">
        <f t="shared" si="2502"/>
        <v>住之江支援学校</v>
      </c>
      <c r="C6830" s="7" t="str">
        <f t="shared" si="2492"/>
        <v>行政財産</v>
      </c>
      <c r="D6830" s="7" t="str">
        <f t="shared" si="2484"/>
        <v>学校</v>
      </c>
      <c r="E6830" s="7" t="str">
        <f t="shared" si="2503"/>
        <v>大阪府大阪市　住之江区緑木１丁目</v>
      </c>
      <c r="F6830" s="7"/>
      <c r="G6830" s="7" t="str">
        <f t="shared" si="2493"/>
        <v>事業用資産</v>
      </c>
      <c r="H6830" s="7" t="str">
        <f t="shared" si="2485"/>
        <v>棚卸以外</v>
      </c>
      <c r="I6830" s="7">
        <v>7</v>
      </c>
      <c r="J6830" s="7" t="str">
        <f>"設備棟"</f>
        <v>設備棟</v>
      </c>
      <c r="K6830" s="7" t="str">
        <f t="shared" ref="K6830:K6836" si="2505">"鉄筋コンクリート造"</f>
        <v>鉄筋コンクリート造</v>
      </c>
      <c r="L6830" s="7" t="str">
        <f>"S53.09.01"</f>
        <v>S53.09.01</v>
      </c>
      <c r="M6830" s="7">
        <v>50</v>
      </c>
      <c r="N6830" s="7">
        <v>5970466</v>
      </c>
      <c r="O6830" s="7">
        <v>411120</v>
      </c>
      <c r="P6830" s="7">
        <v>0</v>
      </c>
      <c r="Q6830" s="7" t="str">
        <f t="shared" si="2499"/>
        <v>教育庁</v>
      </c>
      <c r="R6830" s="7" t="str">
        <f t="shared" si="2504"/>
        <v>住之江支援学校</v>
      </c>
    </row>
    <row r="6831" spans="1:18" s="1" customFormat="1" x14ac:dyDescent="0.45">
      <c r="A6831" s="7" t="str">
        <f t="shared" ref="A6831:A6845" si="2506">"10275003047"</f>
        <v>10275003047</v>
      </c>
      <c r="B6831" s="7" t="str">
        <f t="shared" ref="B6831:B6845" si="2507">"東淀川支援学校"</f>
        <v>東淀川支援学校</v>
      </c>
      <c r="C6831" s="7" t="str">
        <f t="shared" si="2492"/>
        <v>行政財産</v>
      </c>
      <c r="D6831" s="7" t="str">
        <f t="shared" si="2484"/>
        <v>学校</v>
      </c>
      <c r="E6831" s="7" t="str">
        <f t="shared" ref="E6831:E6845" si="2508">"大阪府大阪市　東淀川区東中島３丁目"</f>
        <v>大阪府大阪市　東淀川区東中島３丁目</v>
      </c>
      <c r="F6831" s="7"/>
      <c r="G6831" s="7" t="str">
        <f t="shared" si="2493"/>
        <v>事業用資産</v>
      </c>
      <c r="H6831" s="7" t="str">
        <f t="shared" si="2485"/>
        <v>棚卸以外</v>
      </c>
      <c r="I6831" s="7">
        <v>1</v>
      </c>
      <c r="J6831" s="7" t="str">
        <f>"校舎（管理室棟）"</f>
        <v>校舎（管理室棟）</v>
      </c>
      <c r="K6831" s="7" t="str">
        <f t="shared" si="2505"/>
        <v>鉄筋コンクリート造</v>
      </c>
      <c r="L6831" s="7" t="str">
        <f>"S33.03.01"</f>
        <v>S33.03.01</v>
      </c>
      <c r="M6831" s="7">
        <v>629.95000000000005</v>
      </c>
      <c r="N6831" s="7">
        <v>928420</v>
      </c>
      <c r="O6831" s="7">
        <v>31644</v>
      </c>
      <c r="P6831" s="7">
        <v>0</v>
      </c>
      <c r="Q6831" s="7" t="str">
        <f t="shared" si="2499"/>
        <v>教育庁</v>
      </c>
      <c r="R6831" s="7" t="str">
        <f t="shared" ref="R6831:R6845" si="2509">"東淀川支援学校"</f>
        <v>東淀川支援学校</v>
      </c>
    </row>
    <row r="6832" spans="1:18" s="1" customFormat="1" x14ac:dyDescent="0.45">
      <c r="A6832" s="7" t="str">
        <f t="shared" si="2506"/>
        <v>10275003047</v>
      </c>
      <c r="B6832" s="7" t="str">
        <f t="shared" si="2507"/>
        <v>東淀川支援学校</v>
      </c>
      <c r="C6832" s="7" t="str">
        <f t="shared" si="2492"/>
        <v>行政財産</v>
      </c>
      <c r="D6832" s="7" t="str">
        <f t="shared" si="2484"/>
        <v>学校</v>
      </c>
      <c r="E6832" s="7" t="str">
        <f t="shared" si="2508"/>
        <v>大阪府大阪市　東淀川区東中島３丁目</v>
      </c>
      <c r="F6832" s="7"/>
      <c r="G6832" s="7" t="str">
        <f t="shared" si="2493"/>
        <v>事業用資産</v>
      </c>
      <c r="H6832" s="7" t="str">
        <f t="shared" si="2485"/>
        <v>棚卸以外</v>
      </c>
      <c r="I6832" s="7">
        <v>2</v>
      </c>
      <c r="J6832" s="7" t="str">
        <f>"校舎（特別・普通教室棟）"</f>
        <v>校舎（特別・普通教室棟）</v>
      </c>
      <c r="K6832" s="7" t="str">
        <f t="shared" si="2505"/>
        <v>鉄筋コンクリート造</v>
      </c>
      <c r="L6832" s="7" t="str">
        <f>"S36.03.01"</f>
        <v>S36.03.01</v>
      </c>
      <c r="M6832" s="7">
        <v>896.99</v>
      </c>
      <c r="N6832" s="7">
        <v>4214279</v>
      </c>
      <c r="O6832" s="7">
        <v>283236</v>
      </c>
      <c r="P6832" s="7">
        <v>0</v>
      </c>
      <c r="Q6832" s="7" t="str">
        <f t="shared" si="2499"/>
        <v>教育庁</v>
      </c>
      <c r="R6832" s="7" t="str">
        <f t="shared" si="2509"/>
        <v>東淀川支援学校</v>
      </c>
    </row>
    <row r="6833" spans="1:18" s="1" customFormat="1" x14ac:dyDescent="0.45">
      <c r="A6833" s="7" t="str">
        <f t="shared" si="2506"/>
        <v>10275003047</v>
      </c>
      <c r="B6833" s="7" t="str">
        <f t="shared" si="2507"/>
        <v>東淀川支援学校</v>
      </c>
      <c r="C6833" s="7" t="str">
        <f t="shared" si="2492"/>
        <v>行政財産</v>
      </c>
      <c r="D6833" s="7" t="str">
        <f t="shared" si="2484"/>
        <v>学校</v>
      </c>
      <c r="E6833" s="7" t="str">
        <f t="shared" si="2508"/>
        <v>大阪府大阪市　東淀川区東中島３丁目</v>
      </c>
      <c r="F6833" s="7"/>
      <c r="G6833" s="7" t="str">
        <f t="shared" si="2493"/>
        <v>事業用資産</v>
      </c>
      <c r="H6833" s="7" t="str">
        <f t="shared" si="2485"/>
        <v>棚卸以外</v>
      </c>
      <c r="I6833" s="7">
        <v>3</v>
      </c>
      <c r="J6833" s="7" t="str">
        <f>"校舎（特別・普通教室棟）"</f>
        <v>校舎（特別・普通教室棟）</v>
      </c>
      <c r="K6833" s="7" t="str">
        <f t="shared" si="2505"/>
        <v>鉄筋コンクリート造</v>
      </c>
      <c r="L6833" s="7" t="str">
        <f>"S42.02.01"</f>
        <v>S42.02.01</v>
      </c>
      <c r="M6833" s="7">
        <v>670.16</v>
      </c>
      <c r="N6833" s="7">
        <v>1245575</v>
      </c>
      <c r="O6833" s="7">
        <v>29988</v>
      </c>
      <c r="P6833" s="7">
        <v>0</v>
      </c>
      <c r="Q6833" s="7" t="str">
        <f t="shared" si="2499"/>
        <v>教育庁</v>
      </c>
      <c r="R6833" s="7" t="str">
        <f t="shared" si="2509"/>
        <v>東淀川支援学校</v>
      </c>
    </row>
    <row r="6834" spans="1:18" s="1" customFormat="1" x14ac:dyDescent="0.45">
      <c r="A6834" s="7" t="str">
        <f t="shared" si="2506"/>
        <v>10275003047</v>
      </c>
      <c r="B6834" s="7" t="str">
        <f t="shared" si="2507"/>
        <v>東淀川支援学校</v>
      </c>
      <c r="C6834" s="7" t="str">
        <f t="shared" si="2492"/>
        <v>行政財産</v>
      </c>
      <c r="D6834" s="7" t="str">
        <f t="shared" si="2484"/>
        <v>学校</v>
      </c>
      <c r="E6834" s="7" t="str">
        <f t="shared" si="2508"/>
        <v>大阪府大阪市　東淀川区東中島３丁目</v>
      </c>
      <c r="F6834" s="7"/>
      <c r="G6834" s="7" t="str">
        <f t="shared" si="2493"/>
        <v>事業用資産</v>
      </c>
      <c r="H6834" s="7" t="str">
        <f t="shared" si="2485"/>
        <v>棚卸以外</v>
      </c>
      <c r="I6834" s="7">
        <v>4</v>
      </c>
      <c r="J6834" s="7" t="str">
        <f>"校舎（特別・普通教室棟）"</f>
        <v>校舎（特別・普通教室棟）</v>
      </c>
      <c r="K6834" s="7" t="str">
        <f t="shared" si="2505"/>
        <v>鉄筋コンクリート造</v>
      </c>
      <c r="L6834" s="7" t="str">
        <f>"S44.02.01"</f>
        <v>S44.02.01</v>
      </c>
      <c r="M6834" s="7">
        <v>830.48</v>
      </c>
      <c r="N6834" s="7">
        <v>1585981</v>
      </c>
      <c r="O6834" s="7">
        <v>38288</v>
      </c>
      <c r="P6834" s="7">
        <v>0</v>
      </c>
      <c r="Q6834" s="7" t="str">
        <f t="shared" si="2499"/>
        <v>教育庁</v>
      </c>
      <c r="R6834" s="7" t="str">
        <f t="shared" si="2509"/>
        <v>東淀川支援学校</v>
      </c>
    </row>
    <row r="6835" spans="1:18" s="1" customFormat="1" x14ac:dyDescent="0.45">
      <c r="A6835" s="7" t="str">
        <f t="shared" si="2506"/>
        <v>10275003047</v>
      </c>
      <c r="B6835" s="7" t="str">
        <f t="shared" si="2507"/>
        <v>東淀川支援学校</v>
      </c>
      <c r="C6835" s="7" t="str">
        <f t="shared" si="2492"/>
        <v>行政財産</v>
      </c>
      <c r="D6835" s="7" t="str">
        <f t="shared" si="2484"/>
        <v>学校</v>
      </c>
      <c r="E6835" s="7" t="str">
        <f t="shared" si="2508"/>
        <v>大阪府大阪市　東淀川区東中島３丁目</v>
      </c>
      <c r="F6835" s="7"/>
      <c r="G6835" s="7" t="str">
        <f t="shared" si="2493"/>
        <v>事業用資産</v>
      </c>
      <c r="H6835" s="7" t="str">
        <f t="shared" si="2485"/>
        <v>棚卸以外</v>
      </c>
      <c r="I6835" s="7">
        <v>5</v>
      </c>
      <c r="J6835" s="7" t="str">
        <f>"校舎（特別・普通教室棟）"</f>
        <v>校舎（特別・普通教室棟）</v>
      </c>
      <c r="K6835" s="7" t="str">
        <f t="shared" si="2505"/>
        <v>鉄筋コンクリート造</v>
      </c>
      <c r="L6835" s="7" t="str">
        <f>"S46.07.01"</f>
        <v>S46.07.01</v>
      </c>
      <c r="M6835" s="7">
        <v>1601.14</v>
      </c>
      <c r="N6835" s="7">
        <v>9529706</v>
      </c>
      <c r="O6835" s="7">
        <v>4034614</v>
      </c>
      <c r="P6835" s="7">
        <v>0</v>
      </c>
      <c r="Q6835" s="7" t="str">
        <f t="shared" si="2499"/>
        <v>教育庁</v>
      </c>
      <c r="R6835" s="7" t="str">
        <f t="shared" si="2509"/>
        <v>東淀川支援学校</v>
      </c>
    </row>
    <row r="6836" spans="1:18" s="1" customFormat="1" x14ac:dyDescent="0.45">
      <c r="A6836" s="7" t="str">
        <f t="shared" si="2506"/>
        <v>10275003047</v>
      </c>
      <c r="B6836" s="7" t="str">
        <f t="shared" si="2507"/>
        <v>東淀川支援学校</v>
      </c>
      <c r="C6836" s="7" t="str">
        <f t="shared" si="2492"/>
        <v>行政財産</v>
      </c>
      <c r="D6836" s="7" t="str">
        <f t="shared" si="2484"/>
        <v>学校</v>
      </c>
      <c r="E6836" s="7" t="str">
        <f t="shared" si="2508"/>
        <v>大阪府大阪市　東淀川区東中島３丁目</v>
      </c>
      <c r="F6836" s="7"/>
      <c r="G6836" s="7" t="str">
        <f t="shared" si="2493"/>
        <v>事業用資産</v>
      </c>
      <c r="H6836" s="7" t="str">
        <f t="shared" si="2485"/>
        <v>棚卸以外</v>
      </c>
      <c r="I6836" s="7">
        <v>6</v>
      </c>
      <c r="J6836" s="7" t="str">
        <f>"校舎（特別教室棟）"</f>
        <v>校舎（特別教室棟）</v>
      </c>
      <c r="K6836" s="7" t="str">
        <f t="shared" si="2505"/>
        <v>鉄筋コンクリート造</v>
      </c>
      <c r="L6836" s="7" t="str">
        <f>"S50.03.01"</f>
        <v>S50.03.01</v>
      </c>
      <c r="M6836" s="7">
        <v>179</v>
      </c>
      <c r="N6836" s="7">
        <v>1</v>
      </c>
      <c r="O6836" s="7">
        <v>0</v>
      </c>
      <c r="P6836" s="7">
        <v>0</v>
      </c>
      <c r="Q6836" s="7" t="str">
        <f t="shared" si="2499"/>
        <v>教育庁</v>
      </c>
      <c r="R6836" s="7" t="str">
        <f t="shared" si="2509"/>
        <v>東淀川支援学校</v>
      </c>
    </row>
    <row r="6837" spans="1:18" s="1" customFormat="1" x14ac:dyDescent="0.45">
      <c r="A6837" s="7" t="str">
        <f t="shared" si="2506"/>
        <v>10275003047</v>
      </c>
      <c r="B6837" s="7" t="str">
        <f t="shared" si="2507"/>
        <v>東淀川支援学校</v>
      </c>
      <c r="C6837" s="7" t="str">
        <f t="shared" si="2492"/>
        <v>行政財産</v>
      </c>
      <c r="D6837" s="7" t="str">
        <f t="shared" si="2484"/>
        <v>学校</v>
      </c>
      <c r="E6837" s="7" t="str">
        <f t="shared" si="2508"/>
        <v>大阪府大阪市　東淀川区東中島３丁目</v>
      </c>
      <c r="F6837" s="7"/>
      <c r="G6837" s="7" t="str">
        <f t="shared" si="2493"/>
        <v>事業用資産</v>
      </c>
      <c r="H6837" s="7" t="str">
        <f t="shared" si="2485"/>
        <v>棚卸以外</v>
      </c>
      <c r="I6837" s="7">
        <v>7</v>
      </c>
      <c r="J6837" s="7" t="str">
        <f>"校舎（管理室棟）"</f>
        <v>校舎（管理室棟）</v>
      </c>
      <c r="K6837" s="7" t="str">
        <f>"軽量鉄骨造"</f>
        <v>軽量鉄骨造</v>
      </c>
      <c r="L6837" s="7" t="str">
        <f>"S49.09.01"</f>
        <v>S49.09.01</v>
      </c>
      <c r="M6837" s="7">
        <v>368</v>
      </c>
      <c r="N6837" s="7">
        <v>3069832</v>
      </c>
      <c r="O6837" s="7">
        <v>1324034</v>
      </c>
      <c r="P6837" s="7">
        <v>0</v>
      </c>
      <c r="Q6837" s="7" t="str">
        <f t="shared" si="2499"/>
        <v>教育庁</v>
      </c>
      <c r="R6837" s="7" t="str">
        <f t="shared" si="2509"/>
        <v>東淀川支援学校</v>
      </c>
    </row>
    <row r="6838" spans="1:18" s="1" customFormat="1" x14ac:dyDescent="0.45">
      <c r="A6838" s="7" t="str">
        <f t="shared" si="2506"/>
        <v>10275003047</v>
      </c>
      <c r="B6838" s="7" t="str">
        <f t="shared" si="2507"/>
        <v>東淀川支援学校</v>
      </c>
      <c r="C6838" s="7" t="str">
        <f t="shared" si="2492"/>
        <v>行政財産</v>
      </c>
      <c r="D6838" s="7" t="str">
        <f t="shared" si="2484"/>
        <v>学校</v>
      </c>
      <c r="E6838" s="7" t="str">
        <f t="shared" si="2508"/>
        <v>大阪府大阪市　東淀川区東中島３丁目</v>
      </c>
      <c r="F6838" s="7"/>
      <c r="G6838" s="7" t="str">
        <f t="shared" si="2493"/>
        <v>事業用資産</v>
      </c>
      <c r="H6838" s="7" t="str">
        <f t="shared" si="2485"/>
        <v>棚卸以外</v>
      </c>
      <c r="I6838" s="7">
        <v>8</v>
      </c>
      <c r="J6838" s="7" t="str">
        <f>"校舎（特別教室棟）"</f>
        <v>校舎（特別教室棟）</v>
      </c>
      <c r="K6838" s="7" t="str">
        <f>"鉄筋コンクリート造"</f>
        <v>鉄筋コンクリート造</v>
      </c>
      <c r="L6838" s="7" t="str">
        <f>"S51.07.01"</f>
        <v>S51.07.01</v>
      </c>
      <c r="M6838" s="7">
        <v>754</v>
      </c>
      <c r="N6838" s="7">
        <v>14035172</v>
      </c>
      <c r="O6838" s="7">
        <v>12773009</v>
      </c>
      <c r="P6838" s="7">
        <v>0</v>
      </c>
      <c r="Q6838" s="7" t="str">
        <f t="shared" si="2499"/>
        <v>教育庁</v>
      </c>
      <c r="R6838" s="7" t="str">
        <f t="shared" si="2509"/>
        <v>東淀川支援学校</v>
      </c>
    </row>
    <row r="6839" spans="1:18" s="1" customFormat="1" x14ac:dyDescent="0.45">
      <c r="A6839" s="7" t="str">
        <f t="shared" si="2506"/>
        <v>10275003047</v>
      </c>
      <c r="B6839" s="7" t="str">
        <f t="shared" si="2507"/>
        <v>東淀川支援学校</v>
      </c>
      <c r="C6839" s="7" t="str">
        <f t="shared" si="2492"/>
        <v>行政財産</v>
      </c>
      <c r="D6839" s="7" t="str">
        <f t="shared" si="2484"/>
        <v>学校</v>
      </c>
      <c r="E6839" s="7" t="str">
        <f t="shared" si="2508"/>
        <v>大阪府大阪市　東淀川区東中島３丁目</v>
      </c>
      <c r="F6839" s="7"/>
      <c r="G6839" s="7" t="str">
        <f t="shared" si="2493"/>
        <v>事業用資産</v>
      </c>
      <c r="H6839" s="7" t="str">
        <f t="shared" si="2485"/>
        <v>棚卸以外</v>
      </c>
      <c r="I6839" s="7">
        <v>9</v>
      </c>
      <c r="J6839" s="7" t="str">
        <f>"校舎（特別教室棟）"</f>
        <v>校舎（特別教室棟）</v>
      </c>
      <c r="K6839" s="7" t="str">
        <f>"鉄筋コンクリート造"</f>
        <v>鉄筋コンクリート造</v>
      </c>
      <c r="L6839" s="7" t="str">
        <f>"S53.01.01"</f>
        <v>S53.01.01</v>
      </c>
      <c r="M6839" s="7">
        <v>2016</v>
      </c>
      <c r="N6839" s="7">
        <v>50282860</v>
      </c>
      <c r="O6839" s="7">
        <v>36347512</v>
      </c>
      <c r="P6839" s="7">
        <v>0</v>
      </c>
      <c r="Q6839" s="7" t="str">
        <f t="shared" si="2499"/>
        <v>教育庁</v>
      </c>
      <c r="R6839" s="7" t="str">
        <f t="shared" si="2509"/>
        <v>東淀川支援学校</v>
      </c>
    </row>
    <row r="6840" spans="1:18" s="1" customFormat="1" x14ac:dyDescent="0.45">
      <c r="A6840" s="7" t="str">
        <f t="shared" si="2506"/>
        <v>10275003047</v>
      </c>
      <c r="B6840" s="7" t="str">
        <f t="shared" si="2507"/>
        <v>東淀川支援学校</v>
      </c>
      <c r="C6840" s="7" t="str">
        <f t="shared" si="2492"/>
        <v>行政財産</v>
      </c>
      <c r="D6840" s="7" t="str">
        <f t="shared" si="2484"/>
        <v>学校</v>
      </c>
      <c r="E6840" s="7" t="str">
        <f t="shared" si="2508"/>
        <v>大阪府大阪市　東淀川区東中島３丁目</v>
      </c>
      <c r="F6840" s="7"/>
      <c r="G6840" s="7" t="str">
        <f t="shared" si="2493"/>
        <v>事業用資産</v>
      </c>
      <c r="H6840" s="7" t="str">
        <f t="shared" si="2485"/>
        <v>棚卸以外</v>
      </c>
      <c r="I6840" s="7">
        <v>10</v>
      </c>
      <c r="J6840" s="7" t="str">
        <f>"武道場"</f>
        <v>武道場</v>
      </c>
      <c r="K6840" s="7" t="str">
        <f>"鉄筋コンクリート造"</f>
        <v>鉄筋コンクリート造</v>
      </c>
      <c r="L6840" s="7" t="str">
        <f>"S53.06.01"</f>
        <v>S53.06.01</v>
      </c>
      <c r="M6840" s="7">
        <v>1032</v>
      </c>
      <c r="N6840" s="7">
        <v>27123380</v>
      </c>
      <c r="O6840" s="7">
        <v>19204293</v>
      </c>
      <c r="P6840" s="7">
        <v>0</v>
      </c>
      <c r="Q6840" s="7" t="str">
        <f t="shared" si="2499"/>
        <v>教育庁</v>
      </c>
      <c r="R6840" s="7" t="str">
        <f t="shared" si="2509"/>
        <v>東淀川支援学校</v>
      </c>
    </row>
    <row r="6841" spans="1:18" s="1" customFormat="1" x14ac:dyDescent="0.45">
      <c r="A6841" s="7" t="str">
        <f t="shared" si="2506"/>
        <v>10275003047</v>
      </c>
      <c r="B6841" s="7" t="str">
        <f t="shared" si="2507"/>
        <v>東淀川支援学校</v>
      </c>
      <c r="C6841" s="7" t="str">
        <f t="shared" si="2492"/>
        <v>行政財産</v>
      </c>
      <c r="D6841" s="7" t="str">
        <f t="shared" si="2484"/>
        <v>学校</v>
      </c>
      <c r="E6841" s="7" t="str">
        <f t="shared" si="2508"/>
        <v>大阪府大阪市　東淀川区東中島３丁目</v>
      </c>
      <c r="F6841" s="7"/>
      <c r="G6841" s="7" t="str">
        <f t="shared" si="2493"/>
        <v>事業用資産</v>
      </c>
      <c r="H6841" s="7" t="str">
        <f t="shared" si="2485"/>
        <v>棚卸以外</v>
      </c>
      <c r="I6841" s="7">
        <v>11</v>
      </c>
      <c r="J6841" s="7" t="str">
        <f>"体育館"</f>
        <v>体育館</v>
      </c>
      <c r="K6841" s="7" t="str">
        <f>"鉄骨コンクリート造"</f>
        <v>鉄骨コンクリート造</v>
      </c>
      <c r="L6841" s="7" t="str">
        <f>"S54.03.01"</f>
        <v>S54.03.01</v>
      </c>
      <c r="M6841" s="7">
        <v>1946</v>
      </c>
      <c r="N6841" s="7">
        <v>48775497</v>
      </c>
      <c r="O6841" s="7">
        <v>1625163</v>
      </c>
      <c r="P6841" s="7">
        <v>0</v>
      </c>
      <c r="Q6841" s="7" t="str">
        <f t="shared" si="2499"/>
        <v>教育庁</v>
      </c>
      <c r="R6841" s="7" t="str">
        <f t="shared" si="2509"/>
        <v>東淀川支援学校</v>
      </c>
    </row>
    <row r="6842" spans="1:18" s="1" customFormat="1" x14ac:dyDescent="0.45">
      <c r="A6842" s="7" t="str">
        <f t="shared" si="2506"/>
        <v>10275003047</v>
      </c>
      <c r="B6842" s="7" t="str">
        <f t="shared" si="2507"/>
        <v>東淀川支援学校</v>
      </c>
      <c r="C6842" s="7" t="str">
        <f t="shared" si="2492"/>
        <v>行政財産</v>
      </c>
      <c r="D6842" s="7" t="str">
        <f t="shared" si="2484"/>
        <v>学校</v>
      </c>
      <c r="E6842" s="7" t="str">
        <f t="shared" si="2508"/>
        <v>大阪府大阪市　東淀川区東中島３丁目</v>
      </c>
      <c r="F6842" s="7"/>
      <c r="G6842" s="7" t="str">
        <f t="shared" si="2493"/>
        <v>事業用資産</v>
      </c>
      <c r="H6842" s="7" t="str">
        <f t="shared" si="2485"/>
        <v>棚卸以外</v>
      </c>
      <c r="I6842" s="7">
        <v>12</v>
      </c>
      <c r="J6842" s="7" t="str">
        <f>"倉庫"</f>
        <v>倉庫</v>
      </c>
      <c r="K6842" s="7" t="str">
        <f>"軽量鉄骨造"</f>
        <v>軽量鉄骨造</v>
      </c>
      <c r="L6842" s="7" t="str">
        <f>"S63.03.01"</f>
        <v>S63.03.01</v>
      </c>
      <c r="M6842" s="7">
        <v>30</v>
      </c>
      <c r="N6842" s="7">
        <v>1</v>
      </c>
      <c r="O6842" s="7">
        <v>0</v>
      </c>
      <c r="P6842" s="7">
        <v>0</v>
      </c>
      <c r="Q6842" s="7" t="str">
        <f t="shared" si="2499"/>
        <v>教育庁</v>
      </c>
      <c r="R6842" s="7" t="str">
        <f t="shared" si="2509"/>
        <v>東淀川支援学校</v>
      </c>
    </row>
    <row r="6843" spans="1:18" s="1" customFormat="1" x14ac:dyDescent="0.45">
      <c r="A6843" s="7" t="str">
        <f t="shared" si="2506"/>
        <v>10275003047</v>
      </c>
      <c r="B6843" s="7" t="str">
        <f t="shared" si="2507"/>
        <v>東淀川支援学校</v>
      </c>
      <c r="C6843" s="7" t="str">
        <f t="shared" si="2492"/>
        <v>行政財産</v>
      </c>
      <c r="D6843" s="7" t="str">
        <f t="shared" si="2484"/>
        <v>学校</v>
      </c>
      <c r="E6843" s="7" t="str">
        <f t="shared" si="2508"/>
        <v>大阪府大阪市　東淀川区東中島３丁目</v>
      </c>
      <c r="F6843" s="7"/>
      <c r="G6843" s="7" t="str">
        <f t="shared" si="2493"/>
        <v>事業用資産</v>
      </c>
      <c r="H6843" s="7" t="str">
        <f t="shared" si="2485"/>
        <v>棚卸以外</v>
      </c>
      <c r="I6843" s="7">
        <v>13</v>
      </c>
      <c r="J6843" s="7" t="str">
        <f>"エレベーター棟"</f>
        <v>エレベーター棟</v>
      </c>
      <c r="K6843" s="7" t="str">
        <f>"鉄骨造"</f>
        <v>鉄骨造</v>
      </c>
      <c r="L6843" s="7" t="str">
        <f>"H19.04.16"</f>
        <v>H19.04.16</v>
      </c>
      <c r="M6843" s="7">
        <v>127.63</v>
      </c>
      <c r="N6843" s="7">
        <v>66888162</v>
      </c>
      <c r="O6843" s="7">
        <v>18505763</v>
      </c>
      <c r="P6843" s="7">
        <v>0</v>
      </c>
      <c r="Q6843" s="7" t="str">
        <f t="shared" si="2499"/>
        <v>教育庁</v>
      </c>
      <c r="R6843" s="7" t="str">
        <f t="shared" si="2509"/>
        <v>東淀川支援学校</v>
      </c>
    </row>
    <row r="6844" spans="1:18" s="1" customFormat="1" x14ac:dyDescent="0.45">
      <c r="A6844" s="7" t="str">
        <f t="shared" si="2506"/>
        <v>10275003047</v>
      </c>
      <c r="B6844" s="7" t="str">
        <f t="shared" si="2507"/>
        <v>東淀川支援学校</v>
      </c>
      <c r="C6844" s="7" t="str">
        <f t="shared" si="2492"/>
        <v>行政財産</v>
      </c>
      <c r="D6844" s="7" t="str">
        <f t="shared" si="2484"/>
        <v>学校</v>
      </c>
      <c r="E6844" s="7" t="str">
        <f t="shared" si="2508"/>
        <v>大阪府大阪市　東淀川区東中島３丁目</v>
      </c>
      <c r="F6844" s="7"/>
      <c r="G6844" s="7" t="str">
        <f t="shared" si="2493"/>
        <v>事業用資産</v>
      </c>
      <c r="H6844" s="7" t="str">
        <f t="shared" si="2485"/>
        <v>棚卸以外</v>
      </c>
      <c r="I6844" s="7">
        <v>14</v>
      </c>
      <c r="J6844" s="7" t="str">
        <f>"駐輪場"</f>
        <v>駐輪場</v>
      </c>
      <c r="K6844" s="7" t="str">
        <f>"鉄骨造"</f>
        <v>鉄骨造</v>
      </c>
      <c r="L6844" s="7" t="str">
        <f>"H19.04.16"</f>
        <v>H19.04.16</v>
      </c>
      <c r="M6844" s="7">
        <v>6</v>
      </c>
      <c r="N6844" s="7">
        <v>283792</v>
      </c>
      <c r="O6844" s="7">
        <v>89225</v>
      </c>
      <c r="P6844" s="7">
        <v>0</v>
      </c>
      <c r="Q6844" s="7" t="str">
        <f t="shared" si="2499"/>
        <v>教育庁</v>
      </c>
      <c r="R6844" s="7" t="str">
        <f t="shared" si="2509"/>
        <v>東淀川支援学校</v>
      </c>
    </row>
    <row r="6845" spans="1:18" s="1" customFormat="1" x14ac:dyDescent="0.45">
      <c r="A6845" s="7" t="str">
        <f t="shared" si="2506"/>
        <v>10275003047</v>
      </c>
      <c r="B6845" s="7" t="str">
        <f t="shared" si="2507"/>
        <v>東淀川支援学校</v>
      </c>
      <c r="C6845" s="7" t="str">
        <f t="shared" si="2492"/>
        <v>行政財産</v>
      </c>
      <c r="D6845" s="7" t="str">
        <f t="shared" si="2484"/>
        <v>学校</v>
      </c>
      <c r="E6845" s="7" t="str">
        <f t="shared" si="2508"/>
        <v>大阪府大阪市　東淀川区東中島３丁目</v>
      </c>
      <c r="F6845" s="7"/>
      <c r="G6845" s="7" t="str">
        <f t="shared" si="2493"/>
        <v>事業用資産</v>
      </c>
      <c r="H6845" s="7" t="str">
        <f t="shared" si="2485"/>
        <v>棚卸以外</v>
      </c>
      <c r="I6845" s="7">
        <v>15</v>
      </c>
      <c r="J6845" s="7" t="str">
        <f>"給食室棟"</f>
        <v>給食室棟</v>
      </c>
      <c r="K6845" s="7" t="str">
        <f>"鉄骨造"</f>
        <v>鉄骨造</v>
      </c>
      <c r="L6845" s="7" t="str">
        <f>"H27.03.31"</f>
        <v>H27.03.31</v>
      </c>
      <c r="M6845" s="7">
        <v>210.25</v>
      </c>
      <c r="N6845" s="7">
        <v>352982641</v>
      </c>
      <c r="O6845" s="7">
        <v>81464563</v>
      </c>
      <c r="P6845" s="7">
        <v>0</v>
      </c>
      <c r="Q6845" s="7" t="str">
        <f t="shared" si="2499"/>
        <v>教育庁</v>
      </c>
      <c r="R6845" s="7" t="str">
        <f t="shared" si="2509"/>
        <v>東淀川支援学校</v>
      </c>
    </row>
    <row r="6846" spans="1:18" s="1" customFormat="1" x14ac:dyDescent="0.45">
      <c r="A6846" s="7" t="str">
        <f t="shared" ref="A6846:A6864" si="2510">"10336000000"</f>
        <v>10336000000</v>
      </c>
      <c r="B6846" s="7" t="str">
        <f t="shared" ref="B6846:B6864" si="2511">"淀川清流高等学校"</f>
        <v>淀川清流高等学校</v>
      </c>
      <c r="C6846" s="7" t="str">
        <f t="shared" si="2492"/>
        <v>行政財産</v>
      </c>
      <c r="D6846" s="7" t="str">
        <f t="shared" si="2484"/>
        <v>学校</v>
      </c>
      <c r="E6846" s="7" t="str">
        <f t="shared" ref="E6846:E6864" si="2512">"大阪府大阪市　東淀川区豊里２丁目"</f>
        <v>大阪府大阪市　東淀川区豊里２丁目</v>
      </c>
      <c r="F6846" s="7"/>
      <c r="G6846" s="7" t="str">
        <f t="shared" si="2493"/>
        <v>事業用資産</v>
      </c>
      <c r="H6846" s="7" t="str">
        <f t="shared" si="2485"/>
        <v>棚卸以外</v>
      </c>
      <c r="I6846" s="7">
        <v>1</v>
      </c>
      <c r="J6846" s="7" t="str">
        <f>"普通教室"</f>
        <v>普通教室</v>
      </c>
      <c r="K6846" s="7" t="str">
        <f t="shared" ref="K6846:K6855" si="2513">"鉄筋コンクリート造"</f>
        <v>鉄筋コンクリート造</v>
      </c>
      <c r="L6846" s="7" t="str">
        <f>"S39.04.01"</f>
        <v>S39.04.01</v>
      </c>
      <c r="M6846" s="7">
        <v>2628.52</v>
      </c>
      <c r="N6846" s="7">
        <v>211420171</v>
      </c>
      <c r="O6846" s="7">
        <v>111884857</v>
      </c>
      <c r="P6846" s="7">
        <v>0</v>
      </c>
      <c r="Q6846" s="7" t="str">
        <f t="shared" si="2499"/>
        <v>教育庁</v>
      </c>
      <c r="R6846" s="7" t="str">
        <f t="shared" ref="R6846:R6864" si="2514">"淀川清流高等学校"</f>
        <v>淀川清流高等学校</v>
      </c>
    </row>
    <row r="6847" spans="1:18" s="1" customFormat="1" x14ac:dyDescent="0.45">
      <c r="A6847" s="7" t="str">
        <f t="shared" si="2510"/>
        <v>10336000000</v>
      </c>
      <c r="B6847" s="7" t="str">
        <f t="shared" si="2511"/>
        <v>淀川清流高等学校</v>
      </c>
      <c r="C6847" s="7" t="str">
        <f t="shared" si="2492"/>
        <v>行政財産</v>
      </c>
      <c r="D6847" s="7" t="str">
        <f t="shared" si="2484"/>
        <v>学校</v>
      </c>
      <c r="E6847" s="7" t="str">
        <f t="shared" si="2512"/>
        <v>大阪府大阪市　東淀川区豊里２丁目</v>
      </c>
      <c r="F6847" s="7"/>
      <c r="G6847" s="7" t="str">
        <f t="shared" si="2493"/>
        <v>事業用資産</v>
      </c>
      <c r="H6847" s="7" t="str">
        <f t="shared" si="2485"/>
        <v>棚卸以外</v>
      </c>
      <c r="I6847" s="7">
        <v>2</v>
      </c>
      <c r="J6847" s="7" t="str">
        <f>"電気室倉庫"</f>
        <v>電気室倉庫</v>
      </c>
      <c r="K6847" s="7" t="str">
        <f t="shared" si="2513"/>
        <v>鉄筋コンクリート造</v>
      </c>
      <c r="L6847" s="7" t="str">
        <f>"S39.04.01"</f>
        <v>S39.04.01</v>
      </c>
      <c r="M6847" s="7">
        <v>44.09</v>
      </c>
      <c r="N6847" s="7">
        <v>4365673</v>
      </c>
      <c r="O6847" s="7">
        <v>4100487</v>
      </c>
      <c r="P6847" s="7">
        <v>0</v>
      </c>
      <c r="Q6847" s="7" t="str">
        <f t="shared" si="2499"/>
        <v>教育庁</v>
      </c>
      <c r="R6847" s="7" t="str">
        <f t="shared" si="2514"/>
        <v>淀川清流高等学校</v>
      </c>
    </row>
    <row r="6848" spans="1:18" s="1" customFormat="1" x14ac:dyDescent="0.45">
      <c r="A6848" s="7" t="str">
        <f t="shared" si="2510"/>
        <v>10336000000</v>
      </c>
      <c r="B6848" s="7" t="str">
        <f t="shared" si="2511"/>
        <v>淀川清流高等学校</v>
      </c>
      <c r="C6848" s="7" t="str">
        <f t="shared" si="2492"/>
        <v>行政財産</v>
      </c>
      <c r="D6848" s="7" t="str">
        <f t="shared" si="2484"/>
        <v>学校</v>
      </c>
      <c r="E6848" s="7" t="str">
        <f t="shared" si="2512"/>
        <v>大阪府大阪市　東淀川区豊里２丁目</v>
      </c>
      <c r="F6848" s="7"/>
      <c r="G6848" s="7" t="str">
        <f t="shared" si="2493"/>
        <v>事業用資産</v>
      </c>
      <c r="H6848" s="7" t="str">
        <f t="shared" si="2485"/>
        <v>棚卸以外</v>
      </c>
      <c r="I6848" s="7">
        <v>3</v>
      </c>
      <c r="J6848" s="7" t="str">
        <f>"薬品庫"</f>
        <v>薬品庫</v>
      </c>
      <c r="K6848" s="7" t="str">
        <f t="shared" si="2513"/>
        <v>鉄筋コンクリート造</v>
      </c>
      <c r="L6848" s="7" t="str">
        <f>"S39.04.01"</f>
        <v>S39.04.01</v>
      </c>
      <c r="M6848" s="7">
        <v>3.99</v>
      </c>
      <c r="N6848" s="7">
        <v>166416</v>
      </c>
      <c r="O6848" s="7">
        <v>166415</v>
      </c>
      <c r="P6848" s="7">
        <v>0</v>
      </c>
      <c r="Q6848" s="7" t="str">
        <f t="shared" si="2499"/>
        <v>教育庁</v>
      </c>
      <c r="R6848" s="7" t="str">
        <f t="shared" si="2514"/>
        <v>淀川清流高等学校</v>
      </c>
    </row>
    <row r="6849" spans="1:18" s="1" customFormat="1" x14ac:dyDescent="0.45">
      <c r="A6849" s="7" t="str">
        <f t="shared" si="2510"/>
        <v>10336000000</v>
      </c>
      <c r="B6849" s="7" t="str">
        <f t="shared" si="2511"/>
        <v>淀川清流高等学校</v>
      </c>
      <c r="C6849" s="7" t="str">
        <f t="shared" si="2492"/>
        <v>行政財産</v>
      </c>
      <c r="D6849" s="7" t="str">
        <f t="shared" si="2484"/>
        <v>学校</v>
      </c>
      <c r="E6849" s="7" t="str">
        <f t="shared" si="2512"/>
        <v>大阪府大阪市　東淀川区豊里２丁目</v>
      </c>
      <c r="F6849" s="7"/>
      <c r="G6849" s="7" t="str">
        <f t="shared" si="2493"/>
        <v>事業用資産</v>
      </c>
      <c r="H6849" s="7" t="str">
        <f t="shared" si="2485"/>
        <v>棚卸以外</v>
      </c>
      <c r="I6849" s="7">
        <v>5</v>
      </c>
      <c r="J6849" s="7" t="str">
        <f>"特別教室"</f>
        <v>特別教室</v>
      </c>
      <c r="K6849" s="7" t="str">
        <f t="shared" si="2513"/>
        <v>鉄筋コンクリート造</v>
      </c>
      <c r="L6849" s="7" t="str">
        <f>"S39.04.01"</f>
        <v>S39.04.01</v>
      </c>
      <c r="M6849" s="7">
        <v>2767.9</v>
      </c>
      <c r="N6849" s="7">
        <v>102371611</v>
      </c>
      <c r="O6849" s="7">
        <v>94666947</v>
      </c>
      <c r="P6849" s="7">
        <v>0</v>
      </c>
      <c r="Q6849" s="7" t="str">
        <f t="shared" si="2499"/>
        <v>教育庁</v>
      </c>
      <c r="R6849" s="7" t="str">
        <f t="shared" si="2514"/>
        <v>淀川清流高等学校</v>
      </c>
    </row>
    <row r="6850" spans="1:18" s="1" customFormat="1" x14ac:dyDescent="0.45">
      <c r="A6850" s="7" t="str">
        <f t="shared" si="2510"/>
        <v>10336000000</v>
      </c>
      <c r="B6850" s="7" t="str">
        <f t="shared" si="2511"/>
        <v>淀川清流高等学校</v>
      </c>
      <c r="C6850" s="7" t="str">
        <f t="shared" si="2492"/>
        <v>行政財産</v>
      </c>
      <c r="D6850" s="7" t="str">
        <f t="shared" si="2484"/>
        <v>学校</v>
      </c>
      <c r="E6850" s="7" t="str">
        <f t="shared" si="2512"/>
        <v>大阪府大阪市　東淀川区豊里２丁目</v>
      </c>
      <c r="F6850" s="7"/>
      <c r="G6850" s="7" t="str">
        <f t="shared" si="2493"/>
        <v>事業用資産</v>
      </c>
      <c r="H6850" s="7" t="str">
        <f t="shared" si="2485"/>
        <v>棚卸以外</v>
      </c>
      <c r="I6850" s="7">
        <v>6</v>
      </c>
      <c r="J6850" s="7" t="str">
        <f>"渡り廊下"</f>
        <v>渡り廊下</v>
      </c>
      <c r="K6850" s="7" t="str">
        <f t="shared" si="2513"/>
        <v>鉄筋コンクリート造</v>
      </c>
      <c r="L6850" s="7" t="str">
        <f>"S39.04.01"</f>
        <v>S39.04.01</v>
      </c>
      <c r="M6850" s="7">
        <v>146.18</v>
      </c>
      <c r="N6850" s="7">
        <v>9291217</v>
      </c>
      <c r="O6850" s="7">
        <v>5548713</v>
      </c>
      <c r="P6850" s="7">
        <v>0</v>
      </c>
      <c r="Q6850" s="7" t="str">
        <f t="shared" si="2499"/>
        <v>教育庁</v>
      </c>
      <c r="R6850" s="7" t="str">
        <f t="shared" si="2514"/>
        <v>淀川清流高等学校</v>
      </c>
    </row>
    <row r="6851" spans="1:18" s="1" customFormat="1" x14ac:dyDescent="0.45">
      <c r="A6851" s="7" t="str">
        <f t="shared" si="2510"/>
        <v>10336000000</v>
      </c>
      <c r="B6851" s="7" t="str">
        <f t="shared" si="2511"/>
        <v>淀川清流高等学校</v>
      </c>
      <c r="C6851" s="7" t="str">
        <f t="shared" si="2492"/>
        <v>行政財産</v>
      </c>
      <c r="D6851" s="7" t="str">
        <f t="shared" si="2484"/>
        <v>学校</v>
      </c>
      <c r="E6851" s="7" t="str">
        <f t="shared" si="2512"/>
        <v>大阪府大阪市　東淀川区豊里２丁目</v>
      </c>
      <c r="F6851" s="7"/>
      <c r="G6851" s="7" t="str">
        <f t="shared" si="2493"/>
        <v>事業用資産</v>
      </c>
      <c r="H6851" s="7" t="str">
        <f t="shared" si="2485"/>
        <v>棚卸以外</v>
      </c>
      <c r="I6851" s="7">
        <v>10</v>
      </c>
      <c r="J6851" s="7" t="str">
        <f>"本館"</f>
        <v>本館</v>
      </c>
      <c r="K6851" s="7" t="str">
        <f t="shared" si="2513"/>
        <v>鉄筋コンクリート造</v>
      </c>
      <c r="L6851" s="7" t="str">
        <f>"S40.02.28"</f>
        <v>S40.02.28</v>
      </c>
      <c r="M6851" s="7">
        <v>2697.85</v>
      </c>
      <c r="N6851" s="7">
        <v>196147220</v>
      </c>
      <c r="O6851" s="7">
        <v>141626715</v>
      </c>
      <c r="P6851" s="7">
        <v>0</v>
      </c>
      <c r="Q6851" s="7" t="str">
        <f t="shared" si="2499"/>
        <v>教育庁</v>
      </c>
      <c r="R6851" s="7" t="str">
        <f t="shared" si="2514"/>
        <v>淀川清流高等学校</v>
      </c>
    </row>
    <row r="6852" spans="1:18" s="1" customFormat="1" x14ac:dyDescent="0.45">
      <c r="A6852" s="7" t="str">
        <f t="shared" si="2510"/>
        <v>10336000000</v>
      </c>
      <c r="B6852" s="7" t="str">
        <f t="shared" si="2511"/>
        <v>淀川清流高等学校</v>
      </c>
      <c r="C6852" s="7" t="str">
        <f t="shared" si="2492"/>
        <v>行政財産</v>
      </c>
      <c r="D6852" s="7" t="str">
        <f t="shared" ref="D6852:D6915" si="2515">"学校"</f>
        <v>学校</v>
      </c>
      <c r="E6852" s="7" t="str">
        <f t="shared" si="2512"/>
        <v>大阪府大阪市　東淀川区豊里２丁目</v>
      </c>
      <c r="F6852" s="7"/>
      <c r="G6852" s="7" t="str">
        <f t="shared" si="2493"/>
        <v>事業用資産</v>
      </c>
      <c r="H6852" s="7" t="str">
        <f t="shared" ref="H6852:H6915" si="2516">"棚卸以外"</f>
        <v>棚卸以外</v>
      </c>
      <c r="I6852" s="7">
        <v>11</v>
      </c>
      <c r="J6852" s="7" t="str">
        <f>"渡り廊下"</f>
        <v>渡り廊下</v>
      </c>
      <c r="K6852" s="7" t="str">
        <f t="shared" si="2513"/>
        <v>鉄筋コンクリート造</v>
      </c>
      <c r="L6852" s="7" t="str">
        <f>"S40.02.28"</f>
        <v>S40.02.28</v>
      </c>
      <c r="M6852" s="7">
        <v>166.61</v>
      </c>
      <c r="N6852" s="7">
        <v>4411545</v>
      </c>
      <c r="O6852" s="7">
        <v>4411543</v>
      </c>
      <c r="P6852" s="7">
        <v>0</v>
      </c>
      <c r="Q6852" s="7" t="str">
        <f t="shared" si="2499"/>
        <v>教育庁</v>
      </c>
      <c r="R6852" s="7" t="str">
        <f t="shared" si="2514"/>
        <v>淀川清流高等学校</v>
      </c>
    </row>
    <row r="6853" spans="1:18" s="1" customFormat="1" x14ac:dyDescent="0.45">
      <c r="A6853" s="7" t="str">
        <f t="shared" si="2510"/>
        <v>10336000000</v>
      </c>
      <c r="B6853" s="7" t="str">
        <f t="shared" si="2511"/>
        <v>淀川清流高等学校</v>
      </c>
      <c r="C6853" s="7" t="str">
        <f t="shared" si="2492"/>
        <v>行政財産</v>
      </c>
      <c r="D6853" s="7" t="str">
        <f t="shared" si="2515"/>
        <v>学校</v>
      </c>
      <c r="E6853" s="7" t="str">
        <f t="shared" si="2512"/>
        <v>大阪府大阪市　東淀川区豊里２丁目</v>
      </c>
      <c r="F6853" s="7"/>
      <c r="G6853" s="7" t="str">
        <f t="shared" si="2493"/>
        <v>事業用資産</v>
      </c>
      <c r="H6853" s="7" t="str">
        <f t="shared" si="2516"/>
        <v>棚卸以外</v>
      </c>
      <c r="I6853" s="7">
        <v>12</v>
      </c>
      <c r="J6853" s="7" t="str">
        <f>"渡り廊下"</f>
        <v>渡り廊下</v>
      </c>
      <c r="K6853" s="7" t="str">
        <f t="shared" si="2513"/>
        <v>鉄筋コンクリート造</v>
      </c>
      <c r="L6853" s="7" t="str">
        <f>"S40.02.28"</f>
        <v>S40.02.28</v>
      </c>
      <c r="M6853" s="7">
        <v>166.61</v>
      </c>
      <c r="N6853" s="7">
        <v>3825545</v>
      </c>
      <c r="O6853" s="7">
        <v>3825544</v>
      </c>
      <c r="P6853" s="7">
        <v>0</v>
      </c>
      <c r="Q6853" s="7" t="str">
        <f t="shared" si="2499"/>
        <v>教育庁</v>
      </c>
      <c r="R6853" s="7" t="str">
        <f t="shared" si="2514"/>
        <v>淀川清流高等学校</v>
      </c>
    </row>
    <row r="6854" spans="1:18" s="1" customFormat="1" x14ac:dyDescent="0.45">
      <c r="A6854" s="7" t="str">
        <f t="shared" si="2510"/>
        <v>10336000000</v>
      </c>
      <c r="B6854" s="7" t="str">
        <f t="shared" si="2511"/>
        <v>淀川清流高等学校</v>
      </c>
      <c r="C6854" s="7" t="str">
        <f t="shared" si="2492"/>
        <v>行政財産</v>
      </c>
      <c r="D6854" s="7" t="str">
        <f t="shared" si="2515"/>
        <v>学校</v>
      </c>
      <c r="E6854" s="7" t="str">
        <f t="shared" si="2512"/>
        <v>大阪府大阪市　東淀川区豊里２丁目</v>
      </c>
      <c r="F6854" s="7"/>
      <c r="G6854" s="7" t="str">
        <f t="shared" si="2493"/>
        <v>事業用資産</v>
      </c>
      <c r="H6854" s="7" t="str">
        <f t="shared" si="2516"/>
        <v>棚卸以外</v>
      </c>
      <c r="I6854" s="7">
        <v>13</v>
      </c>
      <c r="J6854" s="7" t="str">
        <f>"体育館"</f>
        <v>体育館</v>
      </c>
      <c r="K6854" s="7" t="str">
        <f t="shared" si="2513"/>
        <v>鉄筋コンクリート造</v>
      </c>
      <c r="L6854" s="7" t="str">
        <f>"S41.01.07"</f>
        <v>S41.01.07</v>
      </c>
      <c r="M6854" s="7">
        <v>2201.6</v>
      </c>
      <c r="N6854" s="7">
        <v>153272443</v>
      </c>
      <c r="O6854" s="7">
        <v>97706875</v>
      </c>
      <c r="P6854" s="7">
        <v>0</v>
      </c>
      <c r="Q6854" s="7" t="str">
        <f t="shared" si="2499"/>
        <v>教育庁</v>
      </c>
      <c r="R6854" s="7" t="str">
        <f t="shared" si="2514"/>
        <v>淀川清流高等学校</v>
      </c>
    </row>
    <row r="6855" spans="1:18" s="1" customFormat="1" x14ac:dyDescent="0.45">
      <c r="A6855" s="7" t="str">
        <f t="shared" si="2510"/>
        <v>10336000000</v>
      </c>
      <c r="B6855" s="7" t="str">
        <f t="shared" si="2511"/>
        <v>淀川清流高等学校</v>
      </c>
      <c r="C6855" s="7" t="str">
        <f t="shared" si="2492"/>
        <v>行政財産</v>
      </c>
      <c r="D6855" s="7" t="str">
        <f t="shared" si="2515"/>
        <v>学校</v>
      </c>
      <c r="E6855" s="7" t="str">
        <f t="shared" si="2512"/>
        <v>大阪府大阪市　東淀川区豊里２丁目</v>
      </c>
      <c r="F6855" s="7"/>
      <c r="G6855" s="7" t="str">
        <f t="shared" si="2493"/>
        <v>事業用資産</v>
      </c>
      <c r="H6855" s="7" t="str">
        <f t="shared" si="2516"/>
        <v>棚卸以外</v>
      </c>
      <c r="I6855" s="7">
        <v>14</v>
      </c>
      <c r="J6855" s="7" t="str">
        <f>"渡り廊下"</f>
        <v>渡り廊下</v>
      </c>
      <c r="K6855" s="7" t="str">
        <f t="shared" si="2513"/>
        <v>鉄筋コンクリート造</v>
      </c>
      <c r="L6855" s="7" t="str">
        <f>"S41.01.07"</f>
        <v>S41.01.07</v>
      </c>
      <c r="M6855" s="7">
        <v>131.99</v>
      </c>
      <c r="N6855" s="7">
        <v>3343228</v>
      </c>
      <c r="O6855" s="7">
        <v>3343227</v>
      </c>
      <c r="P6855" s="7">
        <v>0</v>
      </c>
      <c r="Q6855" s="7" t="str">
        <f t="shared" si="2499"/>
        <v>教育庁</v>
      </c>
      <c r="R6855" s="7" t="str">
        <f t="shared" si="2514"/>
        <v>淀川清流高等学校</v>
      </c>
    </row>
    <row r="6856" spans="1:18" s="1" customFormat="1" x14ac:dyDescent="0.45">
      <c r="A6856" s="7" t="str">
        <f t="shared" si="2510"/>
        <v>10336000000</v>
      </c>
      <c r="B6856" s="7" t="str">
        <f t="shared" si="2511"/>
        <v>淀川清流高等学校</v>
      </c>
      <c r="C6856" s="7" t="str">
        <f t="shared" si="2492"/>
        <v>行政財産</v>
      </c>
      <c r="D6856" s="7" t="str">
        <f t="shared" si="2515"/>
        <v>学校</v>
      </c>
      <c r="E6856" s="7" t="str">
        <f t="shared" si="2512"/>
        <v>大阪府大阪市　東淀川区豊里２丁目</v>
      </c>
      <c r="F6856" s="7"/>
      <c r="G6856" s="7" t="str">
        <f t="shared" si="2493"/>
        <v>事業用資産</v>
      </c>
      <c r="H6856" s="7" t="str">
        <f t="shared" si="2516"/>
        <v>棚卸以外</v>
      </c>
      <c r="I6856" s="7">
        <v>15</v>
      </c>
      <c r="J6856" s="7" t="str">
        <f>"食堂"</f>
        <v>食堂</v>
      </c>
      <c r="K6856" s="7" t="str">
        <f>"鉄骨造"</f>
        <v>鉄骨造</v>
      </c>
      <c r="L6856" s="7" t="str">
        <f>"S41.11.30"</f>
        <v>S41.11.30</v>
      </c>
      <c r="M6856" s="7">
        <v>378</v>
      </c>
      <c r="N6856" s="7">
        <v>44618600</v>
      </c>
      <c r="O6856" s="7">
        <v>42345323</v>
      </c>
      <c r="P6856" s="7">
        <v>0</v>
      </c>
      <c r="Q6856" s="7" t="str">
        <f t="shared" si="2499"/>
        <v>教育庁</v>
      </c>
      <c r="R6856" s="7" t="str">
        <f t="shared" si="2514"/>
        <v>淀川清流高等学校</v>
      </c>
    </row>
    <row r="6857" spans="1:18" s="1" customFormat="1" x14ac:dyDescent="0.45">
      <c r="A6857" s="7" t="str">
        <f t="shared" si="2510"/>
        <v>10336000000</v>
      </c>
      <c r="B6857" s="7" t="str">
        <f t="shared" si="2511"/>
        <v>淀川清流高等学校</v>
      </c>
      <c r="C6857" s="7" t="str">
        <f t="shared" si="2492"/>
        <v>行政財産</v>
      </c>
      <c r="D6857" s="7" t="str">
        <f t="shared" si="2515"/>
        <v>学校</v>
      </c>
      <c r="E6857" s="7" t="str">
        <f t="shared" si="2512"/>
        <v>大阪府大阪市　東淀川区豊里２丁目</v>
      </c>
      <c r="F6857" s="7"/>
      <c r="G6857" s="7" t="str">
        <f t="shared" si="2493"/>
        <v>事業用資産</v>
      </c>
      <c r="H6857" s="7" t="str">
        <f t="shared" si="2516"/>
        <v>棚卸以外</v>
      </c>
      <c r="I6857" s="7">
        <v>17</v>
      </c>
      <c r="J6857" s="7" t="str">
        <f>"プール機械室"</f>
        <v>プール機械室</v>
      </c>
      <c r="K6857" s="7" t="str">
        <f>"レンガ、石積造"</f>
        <v>レンガ、石積造</v>
      </c>
      <c r="L6857" s="7" t="str">
        <f>"S44.03.27"</f>
        <v>S44.03.27</v>
      </c>
      <c r="M6857" s="7">
        <v>31.5</v>
      </c>
      <c r="N6857" s="7">
        <v>576000</v>
      </c>
      <c r="O6857" s="7">
        <v>575999</v>
      </c>
      <c r="P6857" s="7">
        <v>0</v>
      </c>
      <c r="Q6857" s="7" t="str">
        <f t="shared" si="2499"/>
        <v>教育庁</v>
      </c>
      <c r="R6857" s="7" t="str">
        <f t="shared" si="2514"/>
        <v>淀川清流高等学校</v>
      </c>
    </row>
    <row r="6858" spans="1:18" s="1" customFormat="1" x14ac:dyDescent="0.45">
      <c r="A6858" s="7" t="str">
        <f t="shared" si="2510"/>
        <v>10336000000</v>
      </c>
      <c r="B6858" s="7" t="str">
        <f t="shared" si="2511"/>
        <v>淀川清流高等学校</v>
      </c>
      <c r="C6858" s="7" t="str">
        <f t="shared" si="2492"/>
        <v>行政財産</v>
      </c>
      <c r="D6858" s="7" t="str">
        <f t="shared" si="2515"/>
        <v>学校</v>
      </c>
      <c r="E6858" s="7" t="str">
        <f t="shared" si="2512"/>
        <v>大阪府大阪市　東淀川区豊里２丁目</v>
      </c>
      <c r="F6858" s="7"/>
      <c r="G6858" s="7" t="str">
        <f t="shared" si="2493"/>
        <v>事業用資産</v>
      </c>
      <c r="H6858" s="7" t="str">
        <f t="shared" si="2516"/>
        <v>棚卸以外</v>
      </c>
      <c r="I6858" s="7">
        <v>19</v>
      </c>
      <c r="J6858" s="7" t="str">
        <f>"更衣室"</f>
        <v>更衣室</v>
      </c>
      <c r="K6858" s="7" t="str">
        <f>"コンクリートブロック造"</f>
        <v>コンクリートブロック造</v>
      </c>
      <c r="L6858" s="7" t="str">
        <f>"S47.03.31"</f>
        <v>S47.03.31</v>
      </c>
      <c r="M6858" s="7">
        <v>109.8</v>
      </c>
      <c r="N6858" s="7">
        <v>7149000</v>
      </c>
      <c r="O6858" s="7">
        <v>7148999</v>
      </c>
      <c r="P6858" s="7">
        <v>0</v>
      </c>
      <c r="Q6858" s="7" t="str">
        <f t="shared" si="2499"/>
        <v>教育庁</v>
      </c>
      <c r="R6858" s="7" t="str">
        <f t="shared" si="2514"/>
        <v>淀川清流高等学校</v>
      </c>
    </row>
    <row r="6859" spans="1:18" s="1" customFormat="1" x14ac:dyDescent="0.45">
      <c r="A6859" s="7" t="str">
        <f t="shared" si="2510"/>
        <v>10336000000</v>
      </c>
      <c r="B6859" s="7" t="str">
        <f t="shared" si="2511"/>
        <v>淀川清流高等学校</v>
      </c>
      <c r="C6859" s="7" t="str">
        <f t="shared" si="2492"/>
        <v>行政財産</v>
      </c>
      <c r="D6859" s="7" t="str">
        <f t="shared" si="2515"/>
        <v>学校</v>
      </c>
      <c r="E6859" s="7" t="str">
        <f t="shared" si="2512"/>
        <v>大阪府大阪市　東淀川区豊里２丁目</v>
      </c>
      <c r="F6859" s="7"/>
      <c r="G6859" s="7" t="str">
        <f t="shared" si="2493"/>
        <v>事業用資産</v>
      </c>
      <c r="H6859" s="7" t="str">
        <f t="shared" si="2516"/>
        <v>棚卸以外</v>
      </c>
      <c r="I6859" s="7">
        <v>20</v>
      </c>
      <c r="J6859" s="7" t="str">
        <f>"ポンプ室受水槽"</f>
        <v>ポンプ室受水槽</v>
      </c>
      <c r="K6859" s="7" t="str">
        <f>"鉄筋コンクリート造"</f>
        <v>鉄筋コンクリート造</v>
      </c>
      <c r="L6859" s="7" t="str">
        <f>"S47.11.15"</f>
        <v>S47.11.15</v>
      </c>
      <c r="M6859" s="7">
        <v>31.92</v>
      </c>
      <c r="N6859" s="7">
        <v>4800000</v>
      </c>
      <c r="O6859" s="7">
        <v>4799999</v>
      </c>
      <c r="P6859" s="7">
        <v>0</v>
      </c>
      <c r="Q6859" s="7" t="str">
        <f t="shared" si="2499"/>
        <v>教育庁</v>
      </c>
      <c r="R6859" s="7" t="str">
        <f t="shared" si="2514"/>
        <v>淀川清流高等学校</v>
      </c>
    </row>
    <row r="6860" spans="1:18" s="1" customFormat="1" x14ac:dyDescent="0.45">
      <c r="A6860" s="7" t="str">
        <f t="shared" si="2510"/>
        <v>10336000000</v>
      </c>
      <c r="B6860" s="7" t="str">
        <f t="shared" si="2511"/>
        <v>淀川清流高等学校</v>
      </c>
      <c r="C6860" s="7" t="str">
        <f t="shared" si="2492"/>
        <v>行政財産</v>
      </c>
      <c r="D6860" s="7" t="str">
        <f t="shared" si="2515"/>
        <v>学校</v>
      </c>
      <c r="E6860" s="7" t="str">
        <f t="shared" si="2512"/>
        <v>大阪府大阪市　東淀川区豊里２丁目</v>
      </c>
      <c r="F6860" s="7"/>
      <c r="G6860" s="7" t="str">
        <f t="shared" si="2493"/>
        <v>事業用資産</v>
      </c>
      <c r="H6860" s="7" t="str">
        <f t="shared" si="2516"/>
        <v>棚卸以外</v>
      </c>
      <c r="I6860" s="7">
        <v>21</v>
      </c>
      <c r="J6860" s="7" t="str">
        <f>"石灰倉庫"</f>
        <v>石灰倉庫</v>
      </c>
      <c r="K6860" s="7" t="str">
        <f>"レンガ、石積造"</f>
        <v>レンガ、石積造</v>
      </c>
      <c r="L6860" s="7" t="str">
        <f>"S50.09.01"</f>
        <v>S50.09.01</v>
      </c>
      <c r="M6860" s="7">
        <v>22.14</v>
      </c>
      <c r="N6860" s="7">
        <v>890000</v>
      </c>
      <c r="O6860" s="7">
        <v>889999</v>
      </c>
      <c r="P6860" s="7">
        <v>0</v>
      </c>
      <c r="Q6860" s="7" t="str">
        <f t="shared" si="2499"/>
        <v>教育庁</v>
      </c>
      <c r="R6860" s="7" t="str">
        <f t="shared" si="2514"/>
        <v>淀川清流高等学校</v>
      </c>
    </row>
    <row r="6861" spans="1:18" s="1" customFormat="1" x14ac:dyDescent="0.45">
      <c r="A6861" s="7" t="str">
        <f t="shared" si="2510"/>
        <v>10336000000</v>
      </c>
      <c r="B6861" s="7" t="str">
        <f t="shared" si="2511"/>
        <v>淀川清流高等学校</v>
      </c>
      <c r="C6861" s="7" t="str">
        <f t="shared" ref="C6861:C6924" si="2517">"行政財産"</f>
        <v>行政財産</v>
      </c>
      <c r="D6861" s="7" t="str">
        <f t="shared" si="2515"/>
        <v>学校</v>
      </c>
      <c r="E6861" s="7" t="str">
        <f t="shared" si="2512"/>
        <v>大阪府大阪市　東淀川区豊里２丁目</v>
      </c>
      <c r="F6861" s="7"/>
      <c r="G6861" s="7" t="str">
        <f t="shared" si="2493"/>
        <v>事業用資産</v>
      </c>
      <c r="H6861" s="7" t="str">
        <f t="shared" si="2516"/>
        <v>棚卸以外</v>
      </c>
      <c r="I6861" s="7">
        <v>23</v>
      </c>
      <c r="J6861" s="7" t="str">
        <f>"倉庫"</f>
        <v>倉庫</v>
      </c>
      <c r="K6861" s="7" t="str">
        <f>"軽量鉄骨造"</f>
        <v>軽量鉄骨造</v>
      </c>
      <c r="L6861" s="7" t="str">
        <f>"S55.09.30"</f>
        <v>S55.09.30</v>
      </c>
      <c r="M6861" s="7">
        <v>163.80000000000001</v>
      </c>
      <c r="N6861" s="7">
        <v>10029000</v>
      </c>
      <c r="O6861" s="7">
        <v>10028999</v>
      </c>
      <c r="P6861" s="7">
        <v>0</v>
      </c>
      <c r="Q6861" s="7" t="str">
        <f t="shared" si="2499"/>
        <v>教育庁</v>
      </c>
      <c r="R6861" s="7" t="str">
        <f t="shared" si="2514"/>
        <v>淀川清流高等学校</v>
      </c>
    </row>
    <row r="6862" spans="1:18" s="1" customFormat="1" x14ac:dyDescent="0.45">
      <c r="A6862" s="7" t="str">
        <f t="shared" si="2510"/>
        <v>10336000000</v>
      </c>
      <c r="B6862" s="7" t="str">
        <f t="shared" si="2511"/>
        <v>淀川清流高等学校</v>
      </c>
      <c r="C6862" s="7" t="str">
        <f t="shared" si="2517"/>
        <v>行政財産</v>
      </c>
      <c r="D6862" s="7" t="str">
        <f t="shared" si="2515"/>
        <v>学校</v>
      </c>
      <c r="E6862" s="7" t="str">
        <f t="shared" si="2512"/>
        <v>大阪府大阪市　東淀川区豊里２丁目</v>
      </c>
      <c r="F6862" s="7"/>
      <c r="G6862" s="7" t="str">
        <f t="shared" si="2493"/>
        <v>事業用資産</v>
      </c>
      <c r="H6862" s="7" t="str">
        <f t="shared" si="2516"/>
        <v>棚卸以外</v>
      </c>
      <c r="I6862" s="7">
        <v>26</v>
      </c>
      <c r="J6862" s="7" t="str">
        <f>"図書館"</f>
        <v>図書館</v>
      </c>
      <c r="K6862" s="7" t="str">
        <f>"鉄筋コンクリート造"</f>
        <v>鉄筋コンクリート造</v>
      </c>
      <c r="L6862" s="7" t="str">
        <f>"S57.07.17"</f>
        <v>S57.07.17</v>
      </c>
      <c r="M6862" s="7">
        <v>720</v>
      </c>
      <c r="N6862" s="7">
        <v>156635309</v>
      </c>
      <c r="O6862" s="7">
        <v>122316717</v>
      </c>
      <c r="P6862" s="7">
        <v>0</v>
      </c>
      <c r="Q6862" s="7" t="str">
        <f t="shared" si="2499"/>
        <v>教育庁</v>
      </c>
      <c r="R6862" s="7" t="str">
        <f t="shared" si="2514"/>
        <v>淀川清流高等学校</v>
      </c>
    </row>
    <row r="6863" spans="1:18" s="1" customFormat="1" x14ac:dyDescent="0.45">
      <c r="A6863" s="7" t="str">
        <f t="shared" si="2510"/>
        <v>10336000000</v>
      </c>
      <c r="B6863" s="7" t="str">
        <f t="shared" si="2511"/>
        <v>淀川清流高等学校</v>
      </c>
      <c r="C6863" s="7" t="str">
        <f t="shared" si="2517"/>
        <v>行政財産</v>
      </c>
      <c r="D6863" s="7" t="str">
        <f t="shared" si="2515"/>
        <v>学校</v>
      </c>
      <c r="E6863" s="7" t="str">
        <f t="shared" si="2512"/>
        <v>大阪府大阪市　東淀川区豊里２丁目</v>
      </c>
      <c r="F6863" s="7"/>
      <c r="G6863" s="7" t="str">
        <f t="shared" si="2493"/>
        <v>事業用資産</v>
      </c>
      <c r="H6863" s="7" t="str">
        <f t="shared" si="2516"/>
        <v>棚卸以外</v>
      </c>
      <c r="I6863" s="7">
        <v>27</v>
      </c>
      <c r="J6863" s="7" t="str">
        <f>"倉庫"</f>
        <v>倉庫</v>
      </c>
      <c r="K6863" s="7" t="str">
        <f>"鉄筋コンクリート造"</f>
        <v>鉄筋コンクリート造</v>
      </c>
      <c r="L6863" s="7" t="str">
        <f>"S58.03.29"</f>
        <v>S58.03.29</v>
      </c>
      <c r="M6863" s="7">
        <v>50</v>
      </c>
      <c r="N6863" s="7">
        <v>4749000</v>
      </c>
      <c r="O6863" s="7">
        <v>4748999</v>
      </c>
      <c r="P6863" s="7">
        <v>0</v>
      </c>
      <c r="Q6863" s="7" t="str">
        <f t="shared" si="2499"/>
        <v>教育庁</v>
      </c>
      <c r="R6863" s="7" t="str">
        <f t="shared" si="2514"/>
        <v>淀川清流高等学校</v>
      </c>
    </row>
    <row r="6864" spans="1:18" s="1" customFormat="1" x14ac:dyDescent="0.45">
      <c r="A6864" s="7" t="str">
        <f t="shared" si="2510"/>
        <v>10336000000</v>
      </c>
      <c r="B6864" s="7" t="str">
        <f t="shared" si="2511"/>
        <v>淀川清流高等学校</v>
      </c>
      <c r="C6864" s="7" t="str">
        <f t="shared" si="2517"/>
        <v>行政財産</v>
      </c>
      <c r="D6864" s="7" t="str">
        <f t="shared" si="2515"/>
        <v>学校</v>
      </c>
      <c r="E6864" s="7" t="str">
        <f t="shared" si="2512"/>
        <v>大阪府大阪市　東淀川区豊里２丁目</v>
      </c>
      <c r="F6864" s="7"/>
      <c r="G6864" s="7" t="str">
        <f t="shared" si="2493"/>
        <v>事業用資産</v>
      </c>
      <c r="H6864" s="7" t="str">
        <f t="shared" si="2516"/>
        <v>棚卸以外</v>
      </c>
      <c r="I6864" s="7">
        <v>28</v>
      </c>
      <c r="J6864" s="7" t="str">
        <f>"エレベーター"</f>
        <v>エレベーター</v>
      </c>
      <c r="K6864" s="7" t="str">
        <f>"鉄骨コンクリート造"</f>
        <v>鉄骨コンクリート造</v>
      </c>
      <c r="L6864" s="7" t="str">
        <f>"H19.02.28"</f>
        <v>H19.02.28</v>
      </c>
      <c r="M6864" s="7">
        <v>15</v>
      </c>
      <c r="N6864" s="7">
        <v>37754000</v>
      </c>
      <c r="O6864" s="7">
        <v>17859255</v>
      </c>
      <c r="P6864" s="7">
        <v>0</v>
      </c>
      <c r="Q6864" s="7" t="str">
        <f t="shared" si="2499"/>
        <v>教育庁</v>
      </c>
      <c r="R6864" s="7" t="str">
        <f t="shared" si="2514"/>
        <v>淀川清流高等学校</v>
      </c>
    </row>
    <row r="6865" spans="1:18" s="1" customFormat="1" x14ac:dyDescent="0.45">
      <c r="A6865" s="7" t="str">
        <f t="shared" ref="A6865:A6871" si="2518">"10347000000"</f>
        <v>10347000000</v>
      </c>
      <c r="B6865" s="7" t="str">
        <f t="shared" ref="B6865:B6871" si="2519">"大正白稜高等学校"</f>
        <v>大正白稜高等学校</v>
      </c>
      <c r="C6865" s="7" t="str">
        <f t="shared" si="2517"/>
        <v>行政財産</v>
      </c>
      <c r="D6865" s="7" t="str">
        <f t="shared" si="2515"/>
        <v>学校</v>
      </c>
      <c r="E6865" s="7" t="str">
        <f t="shared" ref="E6865:E6871" si="2520">"大阪府大阪市　大正区泉尾３丁目"</f>
        <v>大阪府大阪市　大正区泉尾３丁目</v>
      </c>
      <c r="F6865" s="7"/>
      <c r="G6865" s="7" t="str">
        <f t="shared" si="2493"/>
        <v>事業用資産</v>
      </c>
      <c r="H6865" s="7" t="str">
        <f t="shared" si="2516"/>
        <v>棚卸以外</v>
      </c>
      <c r="I6865" s="7">
        <v>10</v>
      </c>
      <c r="J6865" s="7" t="str">
        <f>"セミナーハウス"</f>
        <v>セミナーハウス</v>
      </c>
      <c r="K6865" s="7" t="str">
        <f>"鉄骨造"</f>
        <v>鉄骨造</v>
      </c>
      <c r="L6865" s="7" t="str">
        <f>"H09.04.01"</f>
        <v>H09.04.01</v>
      </c>
      <c r="M6865" s="7">
        <v>557.88</v>
      </c>
      <c r="N6865" s="7">
        <v>203740715</v>
      </c>
      <c r="O6865" s="7">
        <v>138920233</v>
      </c>
      <c r="P6865" s="7">
        <v>0</v>
      </c>
      <c r="Q6865" s="7" t="str">
        <f t="shared" si="2499"/>
        <v>教育庁</v>
      </c>
      <c r="R6865" s="7" t="str">
        <f t="shared" ref="R6865:R6871" si="2521">"大正白稜高等学校"</f>
        <v>大正白稜高等学校</v>
      </c>
    </row>
    <row r="6866" spans="1:18" s="1" customFormat="1" x14ac:dyDescent="0.45">
      <c r="A6866" s="7" t="str">
        <f t="shared" si="2518"/>
        <v>10347000000</v>
      </c>
      <c r="B6866" s="7" t="str">
        <f t="shared" si="2519"/>
        <v>大正白稜高等学校</v>
      </c>
      <c r="C6866" s="7" t="str">
        <f t="shared" si="2517"/>
        <v>行政財産</v>
      </c>
      <c r="D6866" s="7" t="str">
        <f t="shared" si="2515"/>
        <v>学校</v>
      </c>
      <c r="E6866" s="7" t="str">
        <f t="shared" si="2520"/>
        <v>大阪府大阪市　大正区泉尾３丁目</v>
      </c>
      <c r="F6866" s="7"/>
      <c r="G6866" s="7" t="str">
        <f t="shared" si="2493"/>
        <v>事業用資産</v>
      </c>
      <c r="H6866" s="7" t="str">
        <f t="shared" si="2516"/>
        <v>棚卸以外</v>
      </c>
      <c r="I6866" s="7">
        <v>23</v>
      </c>
      <c r="J6866" s="7" t="str">
        <f>"本館１"</f>
        <v>本館１</v>
      </c>
      <c r="K6866" s="7" t="str">
        <f>"鉄筋コンクリート造"</f>
        <v>鉄筋コンクリート造</v>
      </c>
      <c r="L6866" s="7" t="str">
        <f>"S54.10.01"</f>
        <v>S54.10.01</v>
      </c>
      <c r="M6866" s="7">
        <v>6862.31</v>
      </c>
      <c r="N6866" s="7">
        <v>964133900</v>
      </c>
      <c r="O6866" s="7">
        <v>805374726</v>
      </c>
      <c r="P6866" s="7">
        <v>0</v>
      </c>
      <c r="Q6866" s="7" t="str">
        <f t="shared" si="2499"/>
        <v>教育庁</v>
      </c>
      <c r="R6866" s="7" t="str">
        <f t="shared" si="2521"/>
        <v>大正白稜高等学校</v>
      </c>
    </row>
    <row r="6867" spans="1:18" s="1" customFormat="1" x14ac:dyDescent="0.45">
      <c r="A6867" s="7" t="str">
        <f t="shared" si="2518"/>
        <v>10347000000</v>
      </c>
      <c r="B6867" s="7" t="str">
        <f t="shared" si="2519"/>
        <v>大正白稜高等学校</v>
      </c>
      <c r="C6867" s="7" t="str">
        <f t="shared" si="2517"/>
        <v>行政財産</v>
      </c>
      <c r="D6867" s="7" t="str">
        <f t="shared" si="2515"/>
        <v>学校</v>
      </c>
      <c r="E6867" s="7" t="str">
        <f t="shared" si="2520"/>
        <v>大阪府大阪市　大正区泉尾３丁目</v>
      </c>
      <c r="F6867" s="7"/>
      <c r="G6867" s="7" t="str">
        <f t="shared" si="2493"/>
        <v>事業用資産</v>
      </c>
      <c r="H6867" s="7" t="str">
        <f t="shared" si="2516"/>
        <v>棚卸以外</v>
      </c>
      <c r="I6867" s="7">
        <v>24</v>
      </c>
      <c r="J6867" s="7" t="str">
        <f>"本館２"</f>
        <v>本館２</v>
      </c>
      <c r="K6867" s="7" t="str">
        <f>"鉄筋コンクリート造"</f>
        <v>鉄筋コンクリート造</v>
      </c>
      <c r="L6867" s="7" t="str">
        <f>"S55.10.15"</f>
        <v>S55.10.15</v>
      </c>
      <c r="M6867" s="7">
        <v>3666.89</v>
      </c>
      <c r="N6867" s="7">
        <v>474822927</v>
      </c>
      <c r="O6867" s="7">
        <v>409557087</v>
      </c>
      <c r="P6867" s="7">
        <v>0</v>
      </c>
      <c r="Q6867" s="7" t="str">
        <f t="shared" si="2499"/>
        <v>教育庁</v>
      </c>
      <c r="R6867" s="7" t="str">
        <f t="shared" si="2521"/>
        <v>大正白稜高等学校</v>
      </c>
    </row>
    <row r="6868" spans="1:18" s="1" customFormat="1" x14ac:dyDescent="0.45">
      <c r="A6868" s="7" t="str">
        <f t="shared" si="2518"/>
        <v>10347000000</v>
      </c>
      <c r="B6868" s="7" t="str">
        <f t="shared" si="2519"/>
        <v>大正白稜高等学校</v>
      </c>
      <c r="C6868" s="7" t="str">
        <f t="shared" si="2517"/>
        <v>行政財産</v>
      </c>
      <c r="D6868" s="7" t="str">
        <f t="shared" si="2515"/>
        <v>学校</v>
      </c>
      <c r="E6868" s="7" t="str">
        <f t="shared" si="2520"/>
        <v>大阪府大阪市　大正区泉尾３丁目</v>
      </c>
      <c r="F6868" s="7"/>
      <c r="G6868" s="7" t="str">
        <f t="shared" si="2493"/>
        <v>事業用資産</v>
      </c>
      <c r="H6868" s="7" t="str">
        <f t="shared" si="2516"/>
        <v>棚卸以外</v>
      </c>
      <c r="I6868" s="7">
        <v>25</v>
      </c>
      <c r="J6868" s="7" t="str">
        <f>"体育館"</f>
        <v>体育館</v>
      </c>
      <c r="K6868" s="7" t="str">
        <f>"鉄筋コンクリート造"</f>
        <v>鉄筋コンクリート造</v>
      </c>
      <c r="L6868" s="7" t="str">
        <f>"S56.01.21"</f>
        <v>S56.01.21</v>
      </c>
      <c r="M6868" s="7">
        <v>3031.24</v>
      </c>
      <c r="N6868" s="7">
        <v>525601739</v>
      </c>
      <c r="O6868" s="7">
        <v>394565510</v>
      </c>
      <c r="P6868" s="7">
        <v>0</v>
      </c>
      <c r="Q6868" s="7" t="str">
        <f t="shared" si="2499"/>
        <v>教育庁</v>
      </c>
      <c r="R6868" s="7" t="str">
        <f t="shared" si="2521"/>
        <v>大正白稜高等学校</v>
      </c>
    </row>
    <row r="6869" spans="1:18" s="1" customFormat="1" x14ac:dyDescent="0.45">
      <c r="A6869" s="7" t="str">
        <f t="shared" si="2518"/>
        <v>10347000000</v>
      </c>
      <c r="B6869" s="7" t="str">
        <f t="shared" si="2519"/>
        <v>大正白稜高等学校</v>
      </c>
      <c r="C6869" s="7" t="str">
        <f t="shared" si="2517"/>
        <v>行政財産</v>
      </c>
      <c r="D6869" s="7" t="str">
        <f t="shared" si="2515"/>
        <v>学校</v>
      </c>
      <c r="E6869" s="7" t="str">
        <f t="shared" si="2520"/>
        <v>大阪府大阪市　大正区泉尾３丁目</v>
      </c>
      <c r="F6869" s="7"/>
      <c r="G6869" s="7" t="str">
        <f t="shared" si="2493"/>
        <v>事業用資産</v>
      </c>
      <c r="H6869" s="7" t="str">
        <f t="shared" si="2516"/>
        <v>棚卸以外</v>
      </c>
      <c r="I6869" s="7">
        <v>26</v>
      </c>
      <c r="J6869" s="7" t="str">
        <f>"渡り廊下"</f>
        <v>渡り廊下</v>
      </c>
      <c r="K6869" s="7" t="str">
        <f>"鉄筋コンクリート造"</f>
        <v>鉄筋コンクリート造</v>
      </c>
      <c r="L6869" s="7" t="str">
        <f>"S56.03.31"</f>
        <v>S56.03.31</v>
      </c>
      <c r="M6869" s="7">
        <v>124</v>
      </c>
      <c r="N6869" s="7">
        <v>21946000</v>
      </c>
      <c r="O6869" s="7">
        <v>21945999</v>
      </c>
      <c r="P6869" s="7">
        <v>0</v>
      </c>
      <c r="Q6869" s="7" t="str">
        <f t="shared" si="2499"/>
        <v>教育庁</v>
      </c>
      <c r="R6869" s="7" t="str">
        <f t="shared" si="2521"/>
        <v>大正白稜高等学校</v>
      </c>
    </row>
    <row r="6870" spans="1:18" s="1" customFormat="1" x14ac:dyDescent="0.45">
      <c r="A6870" s="7" t="str">
        <f t="shared" si="2518"/>
        <v>10347000000</v>
      </c>
      <c r="B6870" s="7" t="str">
        <f t="shared" si="2519"/>
        <v>大正白稜高等学校</v>
      </c>
      <c r="C6870" s="7" t="str">
        <f t="shared" si="2517"/>
        <v>行政財産</v>
      </c>
      <c r="D6870" s="7" t="str">
        <f t="shared" si="2515"/>
        <v>学校</v>
      </c>
      <c r="E6870" s="7" t="str">
        <f t="shared" si="2520"/>
        <v>大阪府大阪市　大正区泉尾３丁目</v>
      </c>
      <c r="F6870" s="7"/>
      <c r="G6870" s="7" t="str">
        <f t="shared" si="2493"/>
        <v>事業用資産</v>
      </c>
      <c r="H6870" s="7" t="str">
        <f t="shared" si="2516"/>
        <v>棚卸以外</v>
      </c>
      <c r="I6870" s="7">
        <v>27</v>
      </c>
      <c r="J6870" s="7" t="str">
        <f>"倉庫西"</f>
        <v>倉庫西</v>
      </c>
      <c r="K6870" s="7" t="str">
        <f>"鉄骨造"</f>
        <v>鉄骨造</v>
      </c>
      <c r="L6870" s="7" t="str">
        <f>"S56.10.08"</f>
        <v>S56.10.08</v>
      </c>
      <c r="M6870" s="7">
        <v>100</v>
      </c>
      <c r="N6870" s="7">
        <v>9251000</v>
      </c>
      <c r="O6870" s="7">
        <v>9250999</v>
      </c>
      <c r="P6870" s="7">
        <v>0</v>
      </c>
      <c r="Q6870" s="7" t="str">
        <f t="shared" si="2499"/>
        <v>教育庁</v>
      </c>
      <c r="R6870" s="7" t="str">
        <f t="shared" si="2521"/>
        <v>大正白稜高等学校</v>
      </c>
    </row>
    <row r="6871" spans="1:18" s="1" customFormat="1" x14ac:dyDescent="0.45">
      <c r="A6871" s="7" t="str">
        <f t="shared" si="2518"/>
        <v>10347000000</v>
      </c>
      <c r="B6871" s="7" t="str">
        <f t="shared" si="2519"/>
        <v>大正白稜高等学校</v>
      </c>
      <c r="C6871" s="7" t="str">
        <f t="shared" si="2517"/>
        <v>行政財産</v>
      </c>
      <c r="D6871" s="7" t="str">
        <f t="shared" si="2515"/>
        <v>学校</v>
      </c>
      <c r="E6871" s="7" t="str">
        <f t="shared" si="2520"/>
        <v>大阪府大阪市　大正区泉尾３丁目</v>
      </c>
      <c r="F6871" s="7"/>
      <c r="G6871" s="7" t="str">
        <f t="shared" ref="G6871:G6934" si="2522">"事業用資産"</f>
        <v>事業用資産</v>
      </c>
      <c r="H6871" s="7" t="str">
        <f t="shared" si="2516"/>
        <v>棚卸以外</v>
      </c>
      <c r="I6871" s="7">
        <v>28</v>
      </c>
      <c r="J6871" s="7" t="str">
        <f>"倉庫東"</f>
        <v>倉庫東</v>
      </c>
      <c r="K6871" s="7" t="str">
        <f>"鉄骨造"</f>
        <v>鉄骨造</v>
      </c>
      <c r="L6871" s="7" t="str">
        <f>"S56.10.08"</f>
        <v>S56.10.08</v>
      </c>
      <c r="M6871" s="7">
        <v>100</v>
      </c>
      <c r="N6871" s="7">
        <v>9251000</v>
      </c>
      <c r="O6871" s="7">
        <v>9250999</v>
      </c>
      <c r="P6871" s="7">
        <v>0</v>
      </c>
      <c r="Q6871" s="7" t="str">
        <f t="shared" si="2499"/>
        <v>教育庁</v>
      </c>
      <c r="R6871" s="7" t="str">
        <f t="shared" si="2521"/>
        <v>大正白稜高等学校</v>
      </c>
    </row>
    <row r="6872" spans="1:18" s="1" customFormat="1" x14ac:dyDescent="0.45">
      <c r="A6872" s="7" t="str">
        <f t="shared" ref="A6872:A6887" si="2523">"10350000000"</f>
        <v>10350000000</v>
      </c>
      <c r="B6872" s="7" t="str">
        <f t="shared" ref="B6872:B6887" si="2524">"大阪わかば高等学校"</f>
        <v>大阪わかば高等学校</v>
      </c>
      <c r="C6872" s="7" t="str">
        <f t="shared" si="2517"/>
        <v>行政財産</v>
      </c>
      <c r="D6872" s="7" t="str">
        <f t="shared" si="2515"/>
        <v>学校</v>
      </c>
      <c r="E6872" s="7" t="str">
        <f t="shared" ref="E6872:E6887" si="2525">"大阪府大阪市　生野区巽東３丁目"</f>
        <v>大阪府大阪市　生野区巽東３丁目</v>
      </c>
      <c r="F6872" s="7"/>
      <c r="G6872" s="7" t="str">
        <f t="shared" si="2522"/>
        <v>事業用資産</v>
      </c>
      <c r="H6872" s="7" t="str">
        <f t="shared" si="2516"/>
        <v>棚卸以外</v>
      </c>
      <c r="I6872" s="7">
        <v>1</v>
      </c>
      <c r="J6872" s="7" t="str">
        <f>"南館"</f>
        <v>南館</v>
      </c>
      <c r="K6872" s="7" t="str">
        <f t="shared" ref="K6872:K6879" si="2526">"鉄筋コンクリート造"</f>
        <v>鉄筋コンクリート造</v>
      </c>
      <c r="L6872" s="7" t="str">
        <f>"S41.02.10"</f>
        <v>S41.02.10</v>
      </c>
      <c r="M6872" s="7">
        <v>3412.38</v>
      </c>
      <c r="N6872" s="7">
        <v>334989183</v>
      </c>
      <c r="O6872" s="7">
        <v>160036436</v>
      </c>
      <c r="P6872" s="7">
        <v>0</v>
      </c>
      <c r="Q6872" s="7" t="str">
        <f t="shared" si="2499"/>
        <v>教育庁</v>
      </c>
      <c r="R6872" s="7" t="str">
        <f t="shared" ref="R6872:R6887" si="2527">"大阪わかば高等学校"</f>
        <v>大阪わかば高等学校</v>
      </c>
    </row>
    <row r="6873" spans="1:18" s="1" customFormat="1" x14ac:dyDescent="0.45">
      <c r="A6873" s="7" t="str">
        <f t="shared" si="2523"/>
        <v>10350000000</v>
      </c>
      <c r="B6873" s="7" t="str">
        <f t="shared" si="2524"/>
        <v>大阪わかば高等学校</v>
      </c>
      <c r="C6873" s="7" t="str">
        <f t="shared" si="2517"/>
        <v>行政財産</v>
      </c>
      <c r="D6873" s="7" t="str">
        <f t="shared" si="2515"/>
        <v>学校</v>
      </c>
      <c r="E6873" s="7" t="str">
        <f t="shared" si="2525"/>
        <v>大阪府大阪市　生野区巽東３丁目</v>
      </c>
      <c r="F6873" s="7"/>
      <c r="G6873" s="7" t="str">
        <f t="shared" si="2522"/>
        <v>事業用資産</v>
      </c>
      <c r="H6873" s="7" t="str">
        <f t="shared" si="2516"/>
        <v>棚卸以外</v>
      </c>
      <c r="I6873" s="7">
        <v>2</v>
      </c>
      <c r="J6873" s="7" t="str">
        <f>"北館中央館"</f>
        <v>北館中央館</v>
      </c>
      <c r="K6873" s="7" t="str">
        <f t="shared" si="2526"/>
        <v>鉄筋コンクリート造</v>
      </c>
      <c r="L6873" s="7" t="str">
        <f>"S41.02.10"</f>
        <v>S41.02.10</v>
      </c>
      <c r="M6873" s="7">
        <v>5178.83</v>
      </c>
      <c r="N6873" s="7">
        <v>426238518</v>
      </c>
      <c r="O6873" s="7">
        <v>263874599</v>
      </c>
      <c r="P6873" s="7">
        <v>0</v>
      </c>
      <c r="Q6873" s="7" t="str">
        <f t="shared" si="2499"/>
        <v>教育庁</v>
      </c>
      <c r="R6873" s="7" t="str">
        <f t="shared" si="2527"/>
        <v>大阪わかば高等学校</v>
      </c>
    </row>
    <row r="6874" spans="1:18" s="1" customFormat="1" x14ac:dyDescent="0.45">
      <c r="A6874" s="7" t="str">
        <f t="shared" si="2523"/>
        <v>10350000000</v>
      </c>
      <c r="B6874" s="7" t="str">
        <f t="shared" si="2524"/>
        <v>大阪わかば高等学校</v>
      </c>
      <c r="C6874" s="7" t="str">
        <f t="shared" si="2517"/>
        <v>行政財産</v>
      </c>
      <c r="D6874" s="7" t="str">
        <f t="shared" si="2515"/>
        <v>学校</v>
      </c>
      <c r="E6874" s="7" t="str">
        <f t="shared" si="2525"/>
        <v>大阪府大阪市　生野区巽東３丁目</v>
      </c>
      <c r="F6874" s="7"/>
      <c r="G6874" s="7" t="str">
        <f t="shared" si="2522"/>
        <v>事業用資産</v>
      </c>
      <c r="H6874" s="7" t="str">
        <f t="shared" si="2516"/>
        <v>棚卸以外</v>
      </c>
      <c r="I6874" s="7">
        <v>3</v>
      </c>
      <c r="J6874" s="7" t="str">
        <f>"渡り廊下（Ａ"</f>
        <v>渡り廊下（Ａ</v>
      </c>
      <c r="K6874" s="7" t="str">
        <f t="shared" si="2526"/>
        <v>鉄筋コンクリート造</v>
      </c>
      <c r="L6874" s="7" t="str">
        <f>"S41.02.10"</f>
        <v>S41.02.10</v>
      </c>
      <c r="M6874" s="7">
        <v>358.5</v>
      </c>
      <c r="N6874" s="7">
        <v>21365297</v>
      </c>
      <c r="O6874" s="7">
        <v>14356394</v>
      </c>
      <c r="P6874" s="7">
        <v>0</v>
      </c>
      <c r="Q6874" s="7" t="str">
        <f t="shared" si="2499"/>
        <v>教育庁</v>
      </c>
      <c r="R6874" s="7" t="str">
        <f t="shared" si="2527"/>
        <v>大阪わかば高等学校</v>
      </c>
    </row>
    <row r="6875" spans="1:18" s="1" customFormat="1" x14ac:dyDescent="0.45">
      <c r="A6875" s="7" t="str">
        <f t="shared" si="2523"/>
        <v>10350000000</v>
      </c>
      <c r="B6875" s="7" t="str">
        <f t="shared" si="2524"/>
        <v>大阪わかば高等学校</v>
      </c>
      <c r="C6875" s="7" t="str">
        <f t="shared" si="2517"/>
        <v>行政財産</v>
      </c>
      <c r="D6875" s="7" t="str">
        <f t="shared" si="2515"/>
        <v>学校</v>
      </c>
      <c r="E6875" s="7" t="str">
        <f t="shared" si="2525"/>
        <v>大阪府大阪市　生野区巽東３丁目</v>
      </c>
      <c r="F6875" s="7"/>
      <c r="G6875" s="7" t="str">
        <f t="shared" si="2522"/>
        <v>事業用資産</v>
      </c>
      <c r="H6875" s="7" t="str">
        <f t="shared" si="2516"/>
        <v>棚卸以外</v>
      </c>
      <c r="I6875" s="7">
        <v>5</v>
      </c>
      <c r="J6875" s="7" t="str">
        <f>"電気ポンプ室"</f>
        <v>電気ポンプ室</v>
      </c>
      <c r="K6875" s="7" t="str">
        <f t="shared" si="2526"/>
        <v>鉄筋コンクリート造</v>
      </c>
      <c r="L6875" s="7" t="str">
        <f>"S41.02.10"</f>
        <v>S41.02.10</v>
      </c>
      <c r="M6875" s="7">
        <v>80</v>
      </c>
      <c r="N6875" s="7">
        <v>32795788</v>
      </c>
      <c r="O6875" s="7">
        <v>26224488</v>
      </c>
      <c r="P6875" s="7">
        <v>0</v>
      </c>
      <c r="Q6875" s="7" t="str">
        <f t="shared" ref="Q6875:Q6938" si="2528">"教育庁"</f>
        <v>教育庁</v>
      </c>
      <c r="R6875" s="7" t="str">
        <f t="shared" si="2527"/>
        <v>大阪わかば高等学校</v>
      </c>
    </row>
    <row r="6876" spans="1:18" s="1" customFormat="1" x14ac:dyDescent="0.45">
      <c r="A6876" s="7" t="str">
        <f t="shared" si="2523"/>
        <v>10350000000</v>
      </c>
      <c r="B6876" s="7" t="str">
        <f t="shared" si="2524"/>
        <v>大阪わかば高等学校</v>
      </c>
      <c r="C6876" s="7" t="str">
        <f t="shared" si="2517"/>
        <v>行政財産</v>
      </c>
      <c r="D6876" s="7" t="str">
        <f t="shared" si="2515"/>
        <v>学校</v>
      </c>
      <c r="E6876" s="7" t="str">
        <f t="shared" si="2525"/>
        <v>大阪府大阪市　生野区巽東３丁目</v>
      </c>
      <c r="F6876" s="7"/>
      <c r="G6876" s="7" t="str">
        <f t="shared" si="2522"/>
        <v>事業用資産</v>
      </c>
      <c r="H6876" s="7" t="str">
        <f t="shared" si="2516"/>
        <v>棚卸以外</v>
      </c>
      <c r="I6876" s="7">
        <v>6</v>
      </c>
      <c r="J6876" s="7" t="str">
        <f>"守衛室"</f>
        <v>守衛室</v>
      </c>
      <c r="K6876" s="7" t="str">
        <f t="shared" si="2526"/>
        <v>鉄筋コンクリート造</v>
      </c>
      <c r="L6876" s="7" t="str">
        <f>"S41.02.10"</f>
        <v>S41.02.10</v>
      </c>
      <c r="M6876" s="7">
        <v>12</v>
      </c>
      <c r="N6876" s="7">
        <v>844000</v>
      </c>
      <c r="O6876" s="7">
        <v>843999</v>
      </c>
      <c r="P6876" s="7">
        <v>0</v>
      </c>
      <c r="Q6876" s="7" t="str">
        <f t="shared" si="2528"/>
        <v>教育庁</v>
      </c>
      <c r="R6876" s="7" t="str">
        <f t="shared" si="2527"/>
        <v>大阪わかば高等学校</v>
      </c>
    </row>
    <row r="6877" spans="1:18" s="1" customFormat="1" x14ac:dyDescent="0.45">
      <c r="A6877" s="7" t="str">
        <f t="shared" si="2523"/>
        <v>10350000000</v>
      </c>
      <c r="B6877" s="7" t="str">
        <f t="shared" si="2524"/>
        <v>大阪わかば高等学校</v>
      </c>
      <c r="C6877" s="7" t="str">
        <f t="shared" si="2517"/>
        <v>行政財産</v>
      </c>
      <c r="D6877" s="7" t="str">
        <f t="shared" si="2515"/>
        <v>学校</v>
      </c>
      <c r="E6877" s="7" t="str">
        <f t="shared" si="2525"/>
        <v>大阪府大阪市　生野区巽東３丁目</v>
      </c>
      <c r="F6877" s="7"/>
      <c r="G6877" s="7" t="str">
        <f t="shared" si="2522"/>
        <v>事業用資産</v>
      </c>
      <c r="H6877" s="7" t="str">
        <f t="shared" si="2516"/>
        <v>棚卸以外</v>
      </c>
      <c r="I6877" s="7">
        <v>9</v>
      </c>
      <c r="J6877" s="7" t="str">
        <f>"体育館"</f>
        <v>体育館</v>
      </c>
      <c r="K6877" s="7" t="str">
        <f t="shared" si="2526"/>
        <v>鉄筋コンクリート造</v>
      </c>
      <c r="L6877" s="7" t="str">
        <f>"S42.03.20"</f>
        <v>S42.03.20</v>
      </c>
      <c r="M6877" s="7">
        <v>2156.15</v>
      </c>
      <c r="N6877" s="7">
        <v>204692901</v>
      </c>
      <c r="O6877" s="7">
        <v>107275156</v>
      </c>
      <c r="P6877" s="7">
        <v>0</v>
      </c>
      <c r="Q6877" s="7" t="str">
        <f t="shared" si="2528"/>
        <v>教育庁</v>
      </c>
      <c r="R6877" s="7" t="str">
        <f t="shared" si="2527"/>
        <v>大阪わかば高等学校</v>
      </c>
    </row>
    <row r="6878" spans="1:18" s="1" customFormat="1" x14ac:dyDescent="0.45">
      <c r="A6878" s="7" t="str">
        <f t="shared" si="2523"/>
        <v>10350000000</v>
      </c>
      <c r="B6878" s="7" t="str">
        <f t="shared" si="2524"/>
        <v>大阪わかば高等学校</v>
      </c>
      <c r="C6878" s="7" t="str">
        <f t="shared" si="2517"/>
        <v>行政財産</v>
      </c>
      <c r="D6878" s="7" t="str">
        <f t="shared" si="2515"/>
        <v>学校</v>
      </c>
      <c r="E6878" s="7" t="str">
        <f t="shared" si="2525"/>
        <v>大阪府大阪市　生野区巽東３丁目</v>
      </c>
      <c r="F6878" s="7"/>
      <c r="G6878" s="7" t="str">
        <f t="shared" si="2522"/>
        <v>事業用資産</v>
      </c>
      <c r="H6878" s="7" t="str">
        <f t="shared" si="2516"/>
        <v>棚卸以外</v>
      </c>
      <c r="I6878" s="7">
        <v>10</v>
      </c>
      <c r="J6878" s="7" t="str">
        <f>"食堂"</f>
        <v>食堂</v>
      </c>
      <c r="K6878" s="7" t="str">
        <f t="shared" si="2526"/>
        <v>鉄筋コンクリート造</v>
      </c>
      <c r="L6878" s="7" t="str">
        <f>"S42.03.20"</f>
        <v>S42.03.20</v>
      </c>
      <c r="M6878" s="7">
        <v>962.36</v>
      </c>
      <c r="N6878" s="7">
        <v>49570709</v>
      </c>
      <c r="O6878" s="7">
        <v>35954802</v>
      </c>
      <c r="P6878" s="7">
        <v>0</v>
      </c>
      <c r="Q6878" s="7" t="str">
        <f t="shared" si="2528"/>
        <v>教育庁</v>
      </c>
      <c r="R6878" s="7" t="str">
        <f t="shared" si="2527"/>
        <v>大阪わかば高等学校</v>
      </c>
    </row>
    <row r="6879" spans="1:18" s="1" customFormat="1" x14ac:dyDescent="0.45">
      <c r="A6879" s="7" t="str">
        <f t="shared" si="2523"/>
        <v>10350000000</v>
      </c>
      <c r="B6879" s="7" t="str">
        <f t="shared" si="2524"/>
        <v>大阪わかば高等学校</v>
      </c>
      <c r="C6879" s="7" t="str">
        <f t="shared" si="2517"/>
        <v>行政財産</v>
      </c>
      <c r="D6879" s="7" t="str">
        <f t="shared" si="2515"/>
        <v>学校</v>
      </c>
      <c r="E6879" s="7" t="str">
        <f t="shared" si="2525"/>
        <v>大阪府大阪市　生野区巽東３丁目</v>
      </c>
      <c r="F6879" s="7"/>
      <c r="G6879" s="7" t="str">
        <f t="shared" si="2522"/>
        <v>事業用資産</v>
      </c>
      <c r="H6879" s="7" t="str">
        <f t="shared" si="2516"/>
        <v>棚卸以外</v>
      </c>
      <c r="I6879" s="7">
        <v>14</v>
      </c>
      <c r="J6879" s="7" t="str">
        <f>"プール浄化機械室"</f>
        <v>プール浄化機械室</v>
      </c>
      <c r="K6879" s="7" t="str">
        <f t="shared" si="2526"/>
        <v>鉄筋コンクリート造</v>
      </c>
      <c r="L6879" s="7" t="str">
        <f>"S42.07.25"</f>
        <v>S42.07.25</v>
      </c>
      <c r="M6879" s="7">
        <v>21</v>
      </c>
      <c r="N6879" s="7">
        <v>6250942</v>
      </c>
      <c r="O6879" s="7">
        <v>6250941</v>
      </c>
      <c r="P6879" s="7">
        <v>0</v>
      </c>
      <c r="Q6879" s="7" t="str">
        <f t="shared" si="2528"/>
        <v>教育庁</v>
      </c>
      <c r="R6879" s="7" t="str">
        <f t="shared" si="2527"/>
        <v>大阪わかば高等学校</v>
      </c>
    </row>
    <row r="6880" spans="1:18" s="1" customFormat="1" x14ac:dyDescent="0.45">
      <c r="A6880" s="7" t="str">
        <f t="shared" si="2523"/>
        <v>10350000000</v>
      </c>
      <c r="B6880" s="7" t="str">
        <f t="shared" si="2524"/>
        <v>大阪わかば高等学校</v>
      </c>
      <c r="C6880" s="7" t="str">
        <f t="shared" si="2517"/>
        <v>行政財産</v>
      </c>
      <c r="D6880" s="7" t="str">
        <f t="shared" si="2515"/>
        <v>学校</v>
      </c>
      <c r="E6880" s="7" t="str">
        <f t="shared" si="2525"/>
        <v>大阪府大阪市　生野区巽東３丁目</v>
      </c>
      <c r="F6880" s="7"/>
      <c r="G6880" s="7" t="str">
        <f t="shared" si="2522"/>
        <v>事業用資産</v>
      </c>
      <c r="H6880" s="7" t="str">
        <f t="shared" si="2516"/>
        <v>棚卸以外</v>
      </c>
      <c r="I6880" s="7">
        <v>16</v>
      </c>
      <c r="J6880" s="7" t="str">
        <f>"生徒体育文化クラブ室"</f>
        <v>生徒体育文化クラブ室</v>
      </c>
      <c r="K6880" s="7" t="str">
        <f>"コンクリートブロック造"</f>
        <v>コンクリートブロック造</v>
      </c>
      <c r="L6880" s="7" t="str">
        <f>"S44.02.20"</f>
        <v>S44.02.20</v>
      </c>
      <c r="M6880" s="7">
        <v>318.8</v>
      </c>
      <c r="N6880" s="7">
        <v>10349588</v>
      </c>
      <c r="O6880" s="7">
        <v>5928364</v>
      </c>
      <c r="P6880" s="7">
        <v>0</v>
      </c>
      <c r="Q6880" s="7" t="str">
        <f t="shared" si="2528"/>
        <v>教育庁</v>
      </c>
      <c r="R6880" s="7" t="str">
        <f t="shared" si="2527"/>
        <v>大阪わかば高等学校</v>
      </c>
    </row>
    <row r="6881" spans="1:18" s="1" customFormat="1" x14ac:dyDescent="0.45">
      <c r="A6881" s="7" t="str">
        <f t="shared" si="2523"/>
        <v>10350000000</v>
      </c>
      <c r="B6881" s="7" t="str">
        <f t="shared" si="2524"/>
        <v>大阪わかば高等学校</v>
      </c>
      <c r="C6881" s="7" t="str">
        <f t="shared" si="2517"/>
        <v>行政財産</v>
      </c>
      <c r="D6881" s="7" t="str">
        <f t="shared" si="2515"/>
        <v>学校</v>
      </c>
      <c r="E6881" s="7" t="str">
        <f t="shared" si="2525"/>
        <v>大阪府大阪市　生野区巽東３丁目</v>
      </c>
      <c r="F6881" s="7"/>
      <c r="G6881" s="7" t="str">
        <f t="shared" si="2522"/>
        <v>事業用資産</v>
      </c>
      <c r="H6881" s="7" t="str">
        <f t="shared" si="2516"/>
        <v>棚卸以外</v>
      </c>
      <c r="I6881" s="7">
        <v>17</v>
      </c>
      <c r="J6881" s="7" t="str">
        <f>"図書館"</f>
        <v>図書館</v>
      </c>
      <c r="K6881" s="7" t="str">
        <f>"鉄筋コンクリート造"</f>
        <v>鉄筋コンクリート造</v>
      </c>
      <c r="L6881" s="7" t="str">
        <f>"S46.03.28"</f>
        <v>S46.03.28</v>
      </c>
      <c r="M6881" s="7">
        <v>1060.58</v>
      </c>
      <c r="N6881" s="7">
        <v>152461170</v>
      </c>
      <c r="O6881" s="7">
        <v>121427132</v>
      </c>
      <c r="P6881" s="7">
        <v>0</v>
      </c>
      <c r="Q6881" s="7" t="str">
        <f t="shared" si="2528"/>
        <v>教育庁</v>
      </c>
      <c r="R6881" s="7" t="str">
        <f t="shared" si="2527"/>
        <v>大阪わかば高等学校</v>
      </c>
    </row>
    <row r="6882" spans="1:18" s="1" customFormat="1" x14ac:dyDescent="0.45">
      <c r="A6882" s="7" t="str">
        <f t="shared" si="2523"/>
        <v>10350000000</v>
      </c>
      <c r="B6882" s="7" t="str">
        <f t="shared" si="2524"/>
        <v>大阪わかば高等学校</v>
      </c>
      <c r="C6882" s="7" t="str">
        <f t="shared" si="2517"/>
        <v>行政財産</v>
      </c>
      <c r="D6882" s="7" t="str">
        <f t="shared" si="2515"/>
        <v>学校</v>
      </c>
      <c r="E6882" s="7" t="str">
        <f t="shared" si="2525"/>
        <v>大阪府大阪市　生野区巽東３丁目</v>
      </c>
      <c r="F6882" s="7"/>
      <c r="G6882" s="7" t="str">
        <f t="shared" si="2522"/>
        <v>事業用資産</v>
      </c>
      <c r="H6882" s="7" t="str">
        <f t="shared" si="2516"/>
        <v>棚卸以外</v>
      </c>
      <c r="I6882" s="7">
        <v>20</v>
      </c>
      <c r="J6882" s="7" t="str">
        <f>"格納庫"</f>
        <v>格納庫</v>
      </c>
      <c r="K6882" s="7" t="str">
        <f>"コンクリートブロック造"</f>
        <v>コンクリートブロック造</v>
      </c>
      <c r="L6882" s="7" t="str">
        <f>"S53.03.10"</f>
        <v>S53.03.10</v>
      </c>
      <c r="M6882" s="7">
        <v>2.96</v>
      </c>
      <c r="N6882" s="7">
        <v>26000</v>
      </c>
      <c r="O6882" s="7">
        <v>25999</v>
      </c>
      <c r="P6882" s="7">
        <v>0</v>
      </c>
      <c r="Q6882" s="7" t="str">
        <f t="shared" si="2528"/>
        <v>教育庁</v>
      </c>
      <c r="R6882" s="7" t="str">
        <f t="shared" si="2527"/>
        <v>大阪わかば高等学校</v>
      </c>
    </row>
    <row r="6883" spans="1:18" s="1" customFormat="1" x14ac:dyDescent="0.45">
      <c r="A6883" s="7" t="str">
        <f t="shared" si="2523"/>
        <v>10350000000</v>
      </c>
      <c r="B6883" s="7" t="str">
        <f t="shared" si="2524"/>
        <v>大阪わかば高等学校</v>
      </c>
      <c r="C6883" s="7" t="str">
        <f t="shared" si="2517"/>
        <v>行政財産</v>
      </c>
      <c r="D6883" s="7" t="str">
        <f t="shared" si="2515"/>
        <v>学校</v>
      </c>
      <c r="E6883" s="7" t="str">
        <f t="shared" si="2525"/>
        <v>大阪府大阪市　生野区巽東３丁目</v>
      </c>
      <c r="F6883" s="7"/>
      <c r="G6883" s="7" t="str">
        <f t="shared" si="2522"/>
        <v>事業用資産</v>
      </c>
      <c r="H6883" s="7" t="str">
        <f t="shared" si="2516"/>
        <v>棚卸以外</v>
      </c>
      <c r="I6883" s="7">
        <v>22</v>
      </c>
      <c r="J6883" s="7" t="str">
        <f>"プール用便所"</f>
        <v>プール用便所</v>
      </c>
      <c r="K6883" s="7" t="str">
        <f>"コンクリートブロック造"</f>
        <v>コンクリートブロック造</v>
      </c>
      <c r="L6883" s="7" t="str">
        <f>"S58.03.31"</f>
        <v>S58.03.31</v>
      </c>
      <c r="M6883" s="7">
        <v>15.52</v>
      </c>
      <c r="N6883" s="7">
        <v>2719000</v>
      </c>
      <c r="O6883" s="7">
        <v>2718999</v>
      </c>
      <c r="P6883" s="7">
        <v>0</v>
      </c>
      <c r="Q6883" s="7" t="str">
        <f t="shared" si="2528"/>
        <v>教育庁</v>
      </c>
      <c r="R6883" s="7" t="str">
        <f t="shared" si="2527"/>
        <v>大阪わかば高等学校</v>
      </c>
    </row>
    <row r="6884" spans="1:18" s="1" customFormat="1" x14ac:dyDescent="0.45">
      <c r="A6884" s="7" t="str">
        <f t="shared" si="2523"/>
        <v>10350000000</v>
      </c>
      <c r="B6884" s="7" t="str">
        <f t="shared" si="2524"/>
        <v>大阪わかば高等学校</v>
      </c>
      <c r="C6884" s="7" t="str">
        <f t="shared" si="2517"/>
        <v>行政財産</v>
      </c>
      <c r="D6884" s="7" t="str">
        <f t="shared" si="2515"/>
        <v>学校</v>
      </c>
      <c r="E6884" s="7" t="str">
        <f t="shared" si="2525"/>
        <v>大阪府大阪市　生野区巽東３丁目</v>
      </c>
      <c r="F6884" s="7"/>
      <c r="G6884" s="7" t="str">
        <f t="shared" si="2522"/>
        <v>事業用資産</v>
      </c>
      <c r="H6884" s="7" t="str">
        <f t="shared" si="2516"/>
        <v>棚卸以外</v>
      </c>
      <c r="I6884" s="7">
        <v>23</v>
      </c>
      <c r="J6884" s="7" t="str">
        <f>"プール用更衣室"</f>
        <v>プール用更衣室</v>
      </c>
      <c r="K6884" s="7" t="str">
        <f>"コンクリートブロック造"</f>
        <v>コンクリートブロック造</v>
      </c>
      <c r="L6884" s="7" t="str">
        <f>"S58.03.31"</f>
        <v>S58.03.31</v>
      </c>
      <c r="M6884" s="7">
        <v>52.53</v>
      </c>
      <c r="N6884" s="7">
        <v>6110000</v>
      </c>
      <c r="O6884" s="7">
        <v>6109999</v>
      </c>
      <c r="P6884" s="7">
        <v>0</v>
      </c>
      <c r="Q6884" s="7" t="str">
        <f t="shared" si="2528"/>
        <v>教育庁</v>
      </c>
      <c r="R6884" s="7" t="str">
        <f t="shared" si="2527"/>
        <v>大阪わかば高等学校</v>
      </c>
    </row>
    <row r="6885" spans="1:18" s="1" customFormat="1" x14ac:dyDescent="0.45">
      <c r="A6885" s="7" t="str">
        <f t="shared" si="2523"/>
        <v>10350000000</v>
      </c>
      <c r="B6885" s="7" t="str">
        <f t="shared" si="2524"/>
        <v>大阪わかば高等学校</v>
      </c>
      <c r="C6885" s="7" t="str">
        <f t="shared" si="2517"/>
        <v>行政財産</v>
      </c>
      <c r="D6885" s="7" t="str">
        <f t="shared" si="2515"/>
        <v>学校</v>
      </c>
      <c r="E6885" s="7" t="str">
        <f t="shared" si="2525"/>
        <v>大阪府大阪市　生野区巽東３丁目</v>
      </c>
      <c r="F6885" s="7"/>
      <c r="G6885" s="7" t="str">
        <f t="shared" si="2522"/>
        <v>事業用資産</v>
      </c>
      <c r="H6885" s="7" t="str">
        <f t="shared" si="2516"/>
        <v>棚卸以外</v>
      </c>
      <c r="I6885" s="7">
        <v>24</v>
      </c>
      <c r="J6885" s="7" t="str">
        <f>"体育器具倉庫"</f>
        <v>体育器具倉庫</v>
      </c>
      <c r="K6885" s="7" t="str">
        <f>"木造"</f>
        <v>木造</v>
      </c>
      <c r="L6885" s="7" t="str">
        <f>"S60.07.12"</f>
        <v>S60.07.12</v>
      </c>
      <c r="M6885" s="7">
        <v>12</v>
      </c>
      <c r="N6885" s="7">
        <v>1432000</v>
      </c>
      <c r="O6885" s="7">
        <v>1431998</v>
      </c>
      <c r="P6885" s="7">
        <v>0</v>
      </c>
      <c r="Q6885" s="7" t="str">
        <f t="shared" si="2528"/>
        <v>教育庁</v>
      </c>
      <c r="R6885" s="7" t="str">
        <f t="shared" si="2527"/>
        <v>大阪わかば高等学校</v>
      </c>
    </row>
    <row r="6886" spans="1:18" s="1" customFormat="1" x14ac:dyDescent="0.45">
      <c r="A6886" s="7" t="str">
        <f t="shared" si="2523"/>
        <v>10350000000</v>
      </c>
      <c r="B6886" s="7" t="str">
        <f t="shared" si="2524"/>
        <v>大阪わかば高等学校</v>
      </c>
      <c r="C6886" s="7" t="str">
        <f t="shared" si="2517"/>
        <v>行政財産</v>
      </c>
      <c r="D6886" s="7" t="str">
        <f t="shared" si="2515"/>
        <v>学校</v>
      </c>
      <c r="E6886" s="7" t="str">
        <f t="shared" si="2525"/>
        <v>大阪府大阪市　生野区巽東３丁目</v>
      </c>
      <c r="F6886" s="7"/>
      <c r="G6886" s="7" t="str">
        <f t="shared" si="2522"/>
        <v>事業用資産</v>
      </c>
      <c r="H6886" s="7" t="str">
        <f t="shared" si="2516"/>
        <v>棚卸以外</v>
      </c>
      <c r="I6886" s="7">
        <v>25</v>
      </c>
      <c r="J6886" s="7" t="str">
        <f>"東倉庫"</f>
        <v>東倉庫</v>
      </c>
      <c r="K6886" s="7" t="str">
        <f>"軽量鉄骨造"</f>
        <v>軽量鉄骨造</v>
      </c>
      <c r="L6886" s="7" t="str">
        <f>"H01.03.31"</f>
        <v>H01.03.31</v>
      </c>
      <c r="M6886" s="7">
        <v>20.63</v>
      </c>
      <c r="N6886" s="7">
        <v>1828000</v>
      </c>
      <c r="O6886" s="7">
        <v>1827999</v>
      </c>
      <c r="P6886" s="7">
        <v>0</v>
      </c>
      <c r="Q6886" s="7" t="str">
        <f t="shared" si="2528"/>
        <v>教育庁</v>
      </c>
      <c r="R6886" s="7" t="str">
        <f t="shared" si="2527"/>
        <v>大阪わかば高等学校</v>
      </c>
    </row>
    <row r="6887" spans="1:18" s="1" customFormat="1" x14ac:dyDescent="0.45">
      <c r="A6887" s="7" t="str">
        <f t="shared" si="2523"/>
        <v>10350000000</v>
      </c>
      <c r="B6887" s="7" t="str">
        <f t="shared" si="2524"/>
        <v>大阪わかば高等学校</v>
      </c>
      <c r="C6887" s="7" t="str">
        <f t="shared" si="2517"/>
        <v>行政財産</v>
      </c>
      <c r="D6887" s="7" t="str">
        <f t="shared" si="2515"/>
        <v>学校</v>
      </c>
      <c r="E6887" s="7" t="str">
        <f t="shared" si="2525"/>
        <v>大阪府大阪市　生野区巽東３丁目</v>
      </c>
      <c r="F6887" s="7"/>
      <c r="G6887" s="7" t="str">
        <f t="shared" si="2522"/>
        <v>事業用資産</v>
      </c>
      <c r="H6887" s="7" t="str">
        <f t="shared" si="2516"/>
        <v>棚卸以外</v>
      </c>
      <c r="I6887" s="7">
        <v>26</v>
      </c>
      <c r="J6887" s="7" t="str">
        <f>"倉庫"</f>
        <v>倉庫</v>
      </c>
      <c r="K6887" s="7" t="str">
        <f>"鉄骨造"</f>
        <v>鉄骨造</v>
      </c>
      <c r="L6887" s="7" t="str">
        <f>"H01.03.31"</f>
        <v>H01.03.31</v>
      </c>
      <c r="M6887" s="7">
        <v>141.75</v>
      </c>
      <c r="N6887" s="7">
        <v>5118000</v>
      </c>
      <c r="O6887" s="7">
        <v>5117999</v>
      </c>
      <c r="P6887" s="7">
        <v>0</v>
      </c>
      <c r="Q6887" s="7" t="str">
        <f t="shared" si="2528"/>
        <v>教育庁</v>
      </c>
      <c r="R6887" s="7" t="str">
        <f t="shared" si="2527"/>
        <v>大阪わかば高等学校</v>
      </c>
    </row>
    <row r="6888" spans="1:18" s="1" customFormat="1" x14ac:dyDescent="0.45">
      <c r="A6888" s="7" t="str">
        <f t="shared" ref="A6888:A6903" si="2529">"10275003053"</f>
        <v>10275003053</v>
      </c>
      <c r="B6888" s="7" t="str">
        <f t="shared" ref="B6888:B6903" si="2530">"桜宮高等学校"</f>
        <v>桜宮高等学校</v>
      </c>
      <c r="C6888" s="7" t="str">
        <f t="shared" si="2517"/>
        <v>行政財産</v>
      </c>
      <c r="D6888" s="7" t="str">
        <f t="shared" si="2515"/>
        <v>学校</v>
      </c>
      <c r="E6888" s="7" t="str">
        <f t="shared" ref="E6888:E6903" si="2531">"大阪府大阪市　都島区毛馬町５丁目"</f>
        <v>大阪府大阪市　都島区毛馬町５丁目</v>
      </c>
      <c r="F6888" s="7"/>
      <c r="G6888" s="7" t="str">
        <f t="shared" si="2522"/>
        <v>事業用資産</v>
      </c>
      <c r="H6888" s="7" t="str">
        <f t="shared" si="2516"/>
        <v>棚卸以外</v>
      </c>
      <c r="I6888" s="7">
        <v>1</v>
      </c>
      <c r="J6888" s="7" t="str">
        <f>"紙ゴミ置場"</f>
        <v>紙ゴミ置場</v>
      </c>
      <c r="K6888" s="7" t="str">
        <f>"木造"</f>
        <v>木造</v>
      </c>
      <c r="L6888" s="7" t="str">
        <f>"S31.12.01"</f>
        <v>S31.12.01</v>
      </c>
      <c r="M6888" s="7">
        <v>14.87</v>
      </c>
      <c r="N6888" s="7">
        <v>59143</v>
      </c>
      <c r="O6888" s="7">
        <v>59142</v>
      </c>
      <c r="P6888" s="7">
        <v>0</v>
      </c>
      <c r="Q6888" s="7" t="str">
        <f t="shared" si="2528"/>
        <v>教育庁</v>
      </c>
      <c r="R6888" s="7" t="str">
        <f t="shared" ref="R6888:R6903" si="2532">"桜宮高等学校"</f>
        <v>桜宮高等学校</v>
      </c>
    </row>
    <row r="6889" spans="1:18" s="1" customFormat="1" x14ac:dyDescent="0.45">
      <c r="A6889" s="7" t="str">
        <f t="shared" si="2529"/>
        <v>10275003053</v>
      </c>
      <c r="B6889" s="7" t="str">
        <f t="shared" si="2530"/>
        <v>桜宮高等学校</v>
      </c>
      <c r="C6889" s="7" t="str">
        <f t="shared" si="2517"/>
        <v>行政財産</v>
      </c>
      <c r="D6889" s="7" t="str">
        <f t="shared" si="2515"/>
        <v>学校</v>
      </c>
      <c r="E6889" s="7" t="str">
        <f t="shared" si="2531"/>
        <v>大阪府大阪市　都島区毛馬町５丁目</v>
      </c>
      <c r="F6889" s="7"/>
      <c r="G6889" s="7" t="str">
        <f t="shared" si="2522"/>
        <v>事業用資産</v>
      </c>
      <c r="H6889" s="7" t="str">
        <f t="shared" si="2516"/>
        <v>棚卸以外</v>
      </c>
      <c r="I6889" s="7">
        <v>2</v>
      </c>
      <c r="J6889" s="7" t="str">
        <f>"技術室・機械室"</f>
        <v>技術室・機械室</v>
      </c>
      <c r="K6889" s="7" t="str">
        <f t="shared" ref="K6889:K6895" si="2533">"鉄筋コンクリート造"</f>
        <v>鉄筋コンクリート造</v>
      </c>
      <c r="L6889" s="7" t="str">
        <f>"S34.03.01"</f>
        <v>S34.03.01</v>
      </c>
      <c r="M6889" s="7">
        <v>5.28</v>
      </c>
      <c r="N6889" s="7">
        <v>66686</v>
      </c>
      <c r="O6889" s="7">
        <v>66685</v>
      </c>
      <c r="P6889" s="7">
        <v>0</v>
      </c>
      <c r="Q6889" s="7" t="str">
        <f t="shared" si="2528"/>
        <v>教育庁</v>
      </c>
      <c r="R6889" s="7" t="str">
        <f t="shared" si="2532"/>
        <v>桜宮高等学校</v>
      </c>
    </row>
    <row r="6890" spans="1:18" s="1" customFormat="1" x14ac:dyDescent="0.45">
      <c r="A6890" s="7" t="str">
        <f t="shared" si="2529"/>
        <v>10275003053</v>
      </c>
      <c r="B6890" s="7" t="str">
        <f t="shared" si="2530"/>
        <v>桜宮高等学校</v>
      </c>
      <c r="C6890" s="7" t="str">
        <f t="shared" si="2517"/>
        <v>行政財産</v>
      </c>
      <c r="D6890" s="7" t="str">
        <f t="shared" si="2515"/>
        <v>学校</v>
      </c>
      <c r="E6890" s="7" t="str">
        <f t="shared" si="2531"/>
        <v>大阪府大阪市　都島区毛馬町５丁目</v>
      </c>
      <c r="F6890" s="7"/>
      <c r="G6890" s="7" t="str">
        <f t="shared" si="2522"/>
        <v>事業用資産</v>
      </c>
      <c r="H6890" s="7" t="str">
        <f t="shared" si="2516"/>
        <v>棚卸以外</v>
      </c>
      <c r="I6890" s="7">
        <v>3</v>
      </c>
      <c r="J6890" s="7" t="str">
        <f>"３号館１６－１"</f>
        <v>３号館１６－１</v>
      </c>
      <c r="K6890" s="7" t="str">
        <f t="shared" si="2533"/>
        <v>鉄筋コンクリート造</v>
      </c>
      <c r="L6890" s="7" t="str">
        <f>"S38.12.01"</f>
        <v>S38.12.01</v>
      </c>
      <c r="M6890" s="7">
        <v>642.04</v>
      </c>
      <c r="N6890" s="7">
        <v>9723644</v>
      </c>
      <c r="O6890" s="7">
        <v>9574221</v>
      </c>
      <c r="P6890" s="7">
        <v>0</v>
      </c>
      <c r="Q6890" s="7" t="str">
        <f t="shared" si="2528"/>
        <v>教育庁</v>
      </c>
      <c r="R6890" s="7" t="str">
        <f t="shared" si="2532"/>
        <v>桜宮高等学校</v>
      </c>
    </row>
    <row r="6891" spans="1:18" s="1" customFormat="1" x14ac:dyDescent="0.45">
      <c r="A6891" s="7" t="str">
        <f t="shared" si="2529"/>
        <v>10275003053</v>
      </c>
      <c r="B6891" s="7" t="str">
        <f t="shared" si="2530"/>
        <v>桜宮高等学校</v>
      </c>
      <c r="C6891" s="7" t="str">
        <f t="shared" si="2517"/>
        <v>行政財産</v>
      </c>
      <c r="D6891" s="7" t="str">
        <f t="shared" si="2515"/>
        <v>学校</v>
      </c>
      <c r="E6891" s="7" t="str">
        <f t="shared" si="2531"/>
        <v>大阪府大阪市　都島区毛馬町５丁目</v>
      </c>
      <c r="F6891" s="7"/>
      <c r="G6891" s="7" t="str">
        <f t="shared" si="2522"/>
        <v>事業用資産</v>
      </c>
      <c r="H6891" s="7" t="str">
        <f t="shared" si="2516"/>
        <v>棚卸以外</v>
      </c>
      <c r="I6891" s="7">
        <v>4</v>
      </c>
      <c r="J6891" s="7" t="str">
        <f>"３号館１６－２・１６－３"</f>
        <v>３号館１６－２・１６－３</v>
      </c>
      <c r="K6891" s="7" t="str">
        <f t="shared" si="2533"/>
        <v>鉄筋コンクリート造</v>
      </c>
      <c r="L6891" s="7" t="str">
        <f>"S41.02.01"</f>
        <v>S41.02.01</v>
      </c>
      <c r="M6891" s="7">
        <v>609.80999999999995</v>
      </c>
      <c r="N6891" s="7">
        <v>6378137</v>
      </c>
      <c r="O6891" s="7">
        <v>6378136</v>
      </c>
      <c r="P6891" s="7">
        <v>0</v>
      </c>
      <c r="Q6891" s="7" t="str">
        <f t="shared" si="2528"/>
        <v>教育庁</v>
      </c>
      <c r="R6891" s="7" t="str">
        <f t="shared" si="2532"/>
        <v>桜宮高等学校</v>
      </c>
    </row>
    <row r="6892" spans="1:18" s="1" customFormat="1" x14ac:dyDescent="0.45">
      <c r="A6892" s="7" t="str">
        <f t="shared" si="2529"/>
        <v>10275003053</v>
      </c>
      <c r="B6892" s="7" t="str">
        <f t="shared" si="2530"/>
        <v>桜宮高等学校</v>
      </c>
      <c r="C6892" s="7" t="str">
        <f t="shared" si="2517"/>
        <v>行政財産</v>
      </c>
      <c r="D6892" s="7" t="str">
        <f t="shared" si="2515"/>
        <v>学校</v>
      </c>
      <c r="E6892" s="7" t="str">
        <f t="shared" si="2531"/>
        <v>大阪府大阪市　都島区毛馬町５丁目</v>
      </c>
      <c r="F6892" s="7"/>
      <c r="G6892" s="7" t="str">
        <f t="shared" si="2522"/>
        <v>事業用資産</v>
      </c>
      <c r="H6892" s="7" t="str">
        <f t="shared" si="2516"/>
        <v>棚卸以外</v>
      </c>
      <c r="I6892" s="7">
        <v>5</v>
      </c>
      <c r="J6892" s="7" t="str">
        <f>"彬々寮１８"</f>
        <v>彬々寮１８</v>
      </c>
      <c r="K6892" s="7" t="str">
        <f t="shared" si="2533"/>
        <v>鉄筋コンクリート造</v>
      </c>
      <c r="L6892" s="7" t="str">
        <f>"S40.03.01"</f>
        <v>S40.03.01</v>
      </c>
      <c r="M6892" s="7">
        <v>203.75</v>
      </c>
      <c r="N6892" s="7">
        <v>5479762</v>
      </c>
      <c r="O6892" s="7">
        <v>5375217</v>
      </c>
      <c r="P6892" s="7">
        <v>0</v>
      </c>
      <c r="Q6892" s="7" t="str">
        <f t="shared" si="2528"/>
        <v>教育庁</v>
      </c>
      <c r="R6892" s="7" t="str">
        <f t="shared" si="2532"/>
        <v>桜宮高等学校</v>
      </c>
    </row>
    <row r="6893" spans="1:18" s="1" customFormat="1" x14ac:dyDescent="0.45">
      <c r="A6893" s="7" t="str">
        <f t="shared" si="2529"/>
        <v>10275003053</v>
      </c>
      <c r="B6893" s="7" t="str">
        <f t="shared" si="2530"/>
        <v>桜宮高等学校</v>
      </c>
      <c r="C6893" s="7" t="str">
        <f t="shared" si="2517"/>
        <v>行政財産</v>
      </c>
      <c r="D6893" s="7" t="str">
        <f t="shared" si="2515"/>
        <v>学校</v>
      </c>
      <c r="E6893" s="7" t="str">
        <f t="shared" si="2531"/>
        <v>大阪府大阪市　都島区毛馬町５丁目</v>
      </c>
      <c r="F6893" s="7"/>
      <c r="G6893" s="7" t="str">
        <f t="shared" si="2522"/>
        <v>事業用資産</v>
      </c>
      <c r="H6893" s="7" t="str">
        <f t="shared" si="2516"/>
        <v>棚卸以外</v>
      </c>
      <c r="I6893" s="7">
        <v>6</v>
      </c>
      <c r="J6893" s="7" t="str">
        <f>"格技棟２２－１"</f>
        <v>格技棟２２－１</v>
      </c>
      <c r="K6893" s="7" t="str">
        <f t="shared" si="2533"/>
        <v>鉄筋コンクリート造</v>
      </c>
      <c r="L6893" s="7" t="str">
        <f>"S50.04.01"</f>
        <v>S50.04.01</v>
      </c>
      <c r="M6893" s="7">
        <v>405.44</v>
      </c>
      <c r="N6893" s="7">
        <v>12117518</v>
      </c>
      <c r="O6893" s="7">
        <v>12117517</v>
      </c>
      <c r="P6893" s="7">
        <v>0</v>
      </c>
      <c r="Q6893" s="7" t="str">
        <f t="shared" si="2528"/>
        <v>教育庁</v>
      </c>
      <c r="R6893" s="7" t="str">
        <f t="shared" si="2532"/>
        <v>桜宮高等学校</v>
      </c>
    </row>
    <row r="6894" spans="1:18" s="1" customFormat="1" x14ac:dyDescent="0.45">
      <c r="A6894" s="7" t="str">
        <f t="shared" si="2529"/>
        <v>10275003053</v>
      </c>
      <c r="B6894" s="7" t="str">
        <f t="shared" si="2530"/>
        <v>桜宮高等学校</v>
      </c>
      <c r="C6894" s="7" t="str">
        <f t="shared" si="2517"/>
        <v>行政財産</v>
      </c>
      <c r="D6894" s="7" t="str">
        <f t="shared" si="2515"/>
        <v>学校</v>
      </c>
      <c r="E6894" s="7" t="str">
        <f t="shared" si="2531"/>
        <v>大阪府大阪市　都島区毛馬町５丁目</v>
      </c>
      <c r="F6894" s="7"/>
      <c r="G6894" s="7" t="str">
        <f t="shared" si="2522"/>
        <v>事業用資産</v>
      </c>
      <c r="H6894" s="7" t="str">
        <f t="shared" si="2516"/>
        <v>棚卸以外</v>
      </c>
      <c r="I6894" s="7">
        <v>7</v>
      </c>
      <c r="J6894" s="7" t="str">
        <f>"４号館２３"</f>
        <v>４号館２３</v>
      </c>
      <c r="K6894" s="7" t="str">
        <f t="shared" si="2533"/>
        <v>鉄筋コンクリート造</v>
      </c>
      <c r="L6894" s="7" t="str">
        <f>"S54.10.01"</f>
        <v>S54.10.01</v>
      </c>
      <c r="M6894" s="7">
        <v>655.16</v>
      </c>
      <c r="N6894" s="7">
        <v>25094652</v>
      </c>
      <c r="O6894" s="7">
        <v>5111876</v>
      </c>
      <c r="P6894" s="7">
        <v>0</v>
      </c>
      <c r="Q6894" s="7" t="str">
        <f t="shared" si="2528"/>
        <v>教育庁</v>
      </c>
      <c r="R6894" s="7" t="str">
        <f t="shared" si="2532"/>
        <v>桜宮高等学校</v>
      </c>
    </row>
    <row r="6895" spans="1:18" s="1" customFormat="1" x14ac:dyDescent="0.45">
      <c r="A6895" s="7" t="str">
        <f t="shared" si="2529"/>
        <v>10275003053</v>
      </c>
      <c r="B6895" s="7" t="str">
        <f t="shared" si="2530"/>
        <v>桜宮高等学校</v>
      </c>
      <c r="C6895" s="7" t="str">
        <f t="shared" si="2517"/>
        <v>行政財産</v>
      </c>
      <c r="D6895" s="7" t="str">
        <f t="shared" si="2515"/>
        <v>学校</v>
      </c>
      <c r="E6895" s="7" t="str">
        <f t="shared" si="2531"/>
        <v>大阪府大阪市　都島区毛馬町５丁目</v>
      </c>
      <c r="F6895" s="7"/>
      <c r="G6895" s="7" t="str">
        <f t="shared" si="2522"/>
        <v>事業用資産</v>
      </c>
      <c r="H6895" s="7" t="str">
        <f t="shared" si="2516"/>
        <v>棚卸以外</v>
      </c>
      <c r="I6895" s="7">
        <v>8</v>
      </c>
      <c r="J6895" s="7" t="str">
        <f>"格技棟２２－２"</f>
        <v>格技棟２２－２</v>
      </c>
      <c r="K6895" s="7" t="str">
        <f t="shared" si="2533"/>
        <v>鉄筋コンクリート造</v>
      </c>
      <c r="L6895" s="7" t="str">
        <f>"S56.07.01"</f>
        <v>S56.07.01</v>
      </c>
      <c r="M6895" s="7">
        <v>300.72000000000003</v>
      </c>
      <c r="N6895" s="7">
        <v>8652198</v>
      </c>
      <c r="O6895" s="7">
        <v>1268993</v>
      </c>
      <c r="P6895" s="7">
        <v>0</v>
      </c>
      <c r="Q6895" s="7" t="str">
        <f t="shared" si="2528"/>
        <v>教育庁</v>
      </c>
      <c r="R6895" s="7" t="str">
        <f t="shared" si="2532"/>
        <v>桜宮高等学校</v>
      </c>
    </row>
    <row r="6896" spans="1:18" s="1" customFormat="1" x14ac:dyDescent="0.45">
      <c r="A6896" s="7" t="str">
        <f t="shared" si="2529"/>
        <v>10275003053</v>
      </c>
      <c r="B6896" s="7" t="str">
        <f t="shared" si="2530"/>
        <v>桜宮高等学校</v>
      </c>
      <c r="C6896" s="7" t="str">
        <f t="shared" si="2517"/>
        <v>行政財産</v>
      </c>
      <c r="D6896" s="7" t="str">
        <f t="shared" si="2515"/>
        <v>学校</v>
      </c>
      <c r="E6896" s="7" t="str">
        <f t="shared" si="2531"/>
        <v>大阪府大阪市　都島区毛馬町５丁目</v>
      </c>
      <c r="F6896" s="7"/>
      <c r="G6896" s="7" t="str">
        <f t="shared" si="2522"/>
        <v>事業用資産</v>
      </c>
      <c r="H6896" s="7" t="str">
        <f t="shared" si="2516"/>
        <v>棚卸以外</v>
      </c>
      <c r="I6896" s="7">
        <v>9</v>
      </c>
      <c r="J6896" s="7" t="str">
        <f>"クラブハウス２５"</f>
        <v>クラブハウス２５</v>
      </c>
      <c r="K6896" s="7" t="str">
        <f>"軽量鉄骨造"</f>
        <v>軽量鉄骨造</v>
      </c>
      <c r="L6896" s="7" t="str">
        <f>"S56.07.01"</f>
        <v>S56.07.01</v>
      </c>
      <c r="M6896" s="7">
        <v>447.78</v>
      </c>
      <c r="N6896" s="7">
        <v>5578920</v>
      </c>
      <c r="O6896" s="7">
        <v>5578919</v>
      </c>
      <c r="P6896" s="7">
        <v>0</v>
      </c>
      <c r="Q6896" s="7" t="str">
        <f t="shared" si="2528"/>
        <v>教育庁</v>
      </c>
      <c r="R6896" s="7" t="str">
        <f t="shared" si="2532"/>
        <v>桜宮高等学校</v>
      </c>
    </row>
    <row r="6897" spans="1:18" s="1" customFormat="1" x14ac:dyDescent="0.45">
      <c r="A6897" s="7" t="str">
        <f t="shared" si="2529"/>
        <v>10275003053</v>
      </c>
      <c r="B6897" s="7" t="str">
        <f t="shared" si="2530"/>
        <v>桜宮高等学校</v>
      </c>
      <c r="C6897" s="7" t="str">
        <f t="shared" si="2517"/>
        <v>行政財産</v>
      </c>
      <c r="D6897" s="7" t="str">
        <f t="shared" si="2515"/>
        <v>学校</v>
      </c>
      <c r="E6897" s="7" t="str">
        <f t="shared" si="2531"/>
        <v>大阪府大阪市　都島区毛馬町５丁目</v>
      </c>
      <c r="F6897" s="7"/>
      <c r="G6897" s="7" t="str">
        <f t="shared" si="2522"/>
        <v>事業用資産</v>
      </c>
      <c r="H6897" s="7" t="str">
        <f t="shared" si="2516"/>
        <v>棚卸以外</v>
      </c>
      <c r="I6897" s="7">
        <v>10</v>
      </c>
      <c r="J6897" s="7" t="str">
        <f>"第二体育館２４"</f>
        <v>第二体育館２４</v>
      </c>
      <c r="K6897" s="7" t="str">
        <f>"鉄骨造"</f>
        <v>鉄骨造</v>
      </c>
      <c r="L6897" s="7" t="str">
        <f>"S56.07.01"</f>
        <v>S56.07.01</v>
      </c>
      <c r="M6897" s="7">
        <v>3949.49</v>
      </c>
      <c r="N6897" s="7">
        <v>86970743</v>
      </c>
      <c r="O6897" s="7">
        <v>86970742</v>
      </c>
      <c r="P6897" s="7">
        <v>0</v>
      </c>
      <c r="Q6897" s="7" t="str">
        <f t="shared" si="2528"/>
        <v>教育庁</v>
      </c>
      <c r="R6897" s="7" t="str">
        <f t="shared" si="2532"/>
        <v>桜宮高等学校</v>
      </c>
    </row>
    <row r="6898" spans="1:18" s="1" customFormat="1" x14ac:dyDescent="0.45">
      <c r="A6898" s="7" t="str">
        <f t="shared" si="2529"/>
        <v>10275003053</v>
      </c>
      <c r="B6898" s="7" t="str">
        <f t="shared" si="2530"/>
        <v>桜宮高等学校</v>
      </c>
      <c r="C6898" s="7" t="str">
        <f t="shared" si="2517"/>
        <v>行政財産</v>
      </c>
      <c r="D6898" s="7" t="str">
        <f t="shared" si="2515"/>
        <v>学校</v>
      </c>
      <c r="E6898" s="7" t="str">
        <f t="shared" si="2531"/>
        <v>大阪府大阪市　都島区毛馬町５丁目</v>
      </c>
      <c r="F6898" s="7"/>
      <c r="G6898" s="7" t="str">
        <f t="shared" si="2522"/>
        <v>事業用資産</v>
      </c>
      <c r="H6898" s="7" t="str">
        <f t="shared" si="2516"/>
        <v>棚卸以外</v>
      </c>
      <c r="I6898" s="7">
        <v>11</v>
      </c>
      <c r="J6898" s="7" t="str">
        <f>"本館３７"</f>
        <v>本館３７</v>
      </c>
      <c r="K6898" s="7" t="str">
        <f>"鉄筋コンクリート造"</f>
        <v>鉄筋コンクリート造</v>
      </c>
      <c r="L6898" s="7" t="str">
        <f>"H10.07.01"</f>
        <v>H10.07.01</v>
      </c>
      <c r="M6898" s="7">
        <v>5922.07</v>
      </c>
      <c r="N6898" s="7">
        <v>973548598</v>
      </c>
      <c r="O6898" s="7">
        <v>38371082</v>
      </c>
      <c r="P6898" s="7">
        <v>0</v>
      </c>
      <c r="Q6898" s="7" t="str">
        <f t="shared" si="2528"/>
        <v>教育庁</v>
      </c>
      <c r="R6898" s="7" t="str">
        <f t="shared" si="2532"/>
        <v>桜宮高等学校</v>
      </c>
    </row>
    <row r="6899" spans="1:18" s="1" customFormat="1" x14ac:dyDescent="0.45">
      <c r="A6899" s="7" t="str">
        <f t="shared" si="2529"/>
        <v>10275003053</v>
      </c>
      <c r="B6899" s="7" t="str">
        <f t="shared" si="2530"/>
        <v>桜宮高等学校</v>
      </c>
      <c r="C6899" s="7" t="str">
        <f t="shared" si="2517"/>
        <v>行政財産</v>
      </c>
      <c r="D6899" s="7" t="str">
        <f t="shared" si="2515"/>
        <v>学校</v>
      </c>
      <c r="E6899" s="7" t="str">
        <f t="shared" si="2531"/>
        <v>大阪府大阪市　都島区毛馬町５丁目</v>
      </c>
      <c r="F6899" s="7"/>
      <c r="G6899" s="7" t="str">
        <f t="shared" si="2522"/>
        <v>事業用資産</v>
      </c>
      <c r="H6899" s="7" t="str">
        <f t="shared" si="2516"/>
        <v>棚卸以外</v>
      </c>
      <c r="I6899" s="7">
        <v>12</v>
      </c>
      <c r="J6899" s="7" t="str">
        <f>"ゴミ置場"</f>
        <v>ゴミ置場</v>
      </c>
      <c r="K6899" s="7" t="str">
        <f>"レンガ、石積造"</f>
        <v>レンガ、石積造</v>
      </c>
      <c r="L6899" s="7" t="str">
        <f>"H13.03.28"</f>
        <v>H13.03.28</v>
      </c>
      <c r="M6899" s="7">
        <v>14.31</v>
      </c>
      <c r="N6899" s="7">
        <v>1234916</v>
      </c>
      <c r="O6899" s="7">
        <v>87087</v>
      </c>
      <c r="P6899" s="7">
        <v>0</v>
      </c>
      <c r="Q6899" s="7" t="str">
        <f t="shared" si="2528"/>
        <v>教育庁</v>
      </c>
      <c r="R6899" s="7" t="str">
        <f t="shared" si="2532"/>
        <v>桜宮高等学校</v>
      </c>
    </row>
    <row r="6900" spans="1:18" s="1" customFormat="1" x14ac:dyDescent="0.45">
      <c r="A6900" s="7" t="str">
        <f t="shared" si="2529"/>
        <v>10275003053</v>
      </c>
      <c r="B6900" s="7" t="str">
        <f t="shared" si="2530"/>
        <v>桜宮高等学校</v>
      </c>
      <c r="C6900" s="7" t="str">
        <f t="shared" si="2517"/>
        <v>行政財産</v>
      </c>
      <c r="D6900" s="7" t="str">
        <f t="shared" si="2515"/>
        <v>学校</v>
      </c>
      <c r="E6900" s="7" t="str">
        <f t="shared" si="2531"/>
        <v>大阪府大阪市　都島区毛馬町５丁目</v>
      </c>
      <c r="F6900" s="7"/>
      <c r="G6900" s="7" t="str">
        <f t="shared" si="2522"/>
        <v>事業用資産</v>
      </c>
      <c r="H6900" s="7" t="str">
        <f t="shared" si="2516"/>
        <v>棚卸以外</v>
      </c>
      <c r="I6900" s="7">
        <v>13</v>
      </c>
      <c r="J6900" s="7" t="str">
        <f>"西館３８"</f>
        <v>西館３８</v>
      </c>
      <c r="K6900" s="7" t="str">
        <f>"鉄筋コンクリート造"</f>
        <v>鉄筋コンクリート造</v>
      </c>
      <c r="L6900" s="7" t="str">
        <f>"H12.03.31"</f>
        <v>H12.03.31</v>
      </c>
      <c r="M6900" s="7">
        <v>753.23</v>
      </c>
      <c r="N6900" s="7">
        <v>824127593</v>
      </c>
      <c r="O6900" s="7">
        <v>30218012</v>
      </c>
      <c r="P6900" s="7">
        <v>0</v>
      </c>
      <c r="Q6900" s="7" t="str">
        <f t="shared" si="2528"/>
        <v>教育庁</v>
      </c>
      <c r="R6900" s="7" t="str">
        <f t="shared" si="2532"/>
        <v>桜宮高等学校</v>
      </c>
    </row>
    <row r="6901" spans="1:18" s="1" customFormat="1" x14ac:dyDescent="0.45">
      <c r="A6901" s="7" t="str">
        <f t="shared" si="2529"/>
        <v>10275003053</v>
      </c>
      <c r="B6901" s="7" t="str">
        <f t="shared" si="2530"/>
        <v>桜宮高等学校</v>
      </c>
      <c r="C6901" s="7" t="str">
        <f t="shared" si="2517"/>
        <v>行政財産</v>
      </c>
      <c r="D6901" s="7" t="str">
        <f t="shared" si="2515"/>
        <v>学校</v>
      </c>
      <c r="E6901" s="7" t="str">
        <f t="shared" si="2531"/>
        <v>大阪府大阪市　都島区毛馬町５丁目</v>
      </c>
      <c r="F6901" s="7"/>
      <c r="G6901" s="7" t="str">
        <f t="shared" si="2522"/>
        <v>事業用資産</v>
      </c>
      <c r="H6901" s="7" t="str">
        <f t="shared" si="2516"/>
        <v>棚卸以外</v>
      </c>
      <c r="I6901" s="7">
        <v>14</v>
      </c>
      <c r="J6901" s="7" t="str">
        <f>"アリーナ棟３９－１，３９－２，３９－３"</f>
        <v>アリーナ棟３９－１，３９－２，３９－３</v>
      </c>
      <c r="K6901" s="7" t="str">
        <f>"鉄筋コンクリート造"</f>
        <v>鉄筋コンクリート造</v>
      </c>
      <c r="L6901" s="7" t="str">
        <f>"H13.03.29"</f>
        <v>H13.03.29</v>
      </c>
      <c r="M6901" s="7">
        <v>4414.3900000000003</v>
      </c>
      <c r="N6901" s="7">
        <v>1104196290</v>
      </c>
      <c r="O6901" s="7">
        <v>38930001</v>
      </c>
      <c r="P6901" s="7">
        <v>0</v>
      </c>
      <c r="Q6901" s="7" t="str">
        <f t="shared" si="2528"/>
        <v>教育庁</v>
      </c>
      <c r="R6901" s="7" t="str">
        <f t="shared" si="2532"/>
        <v>桜宮高等学校</v>
      </c>
    </row>
    <row r="6902" spans="1:18" s="1" customFormat="1" x14ac:dyDescent="0.45">
      <c r="A6902" s="7" t="str">
        <f t="shared" si="2529"/>
        <v>10275003053</v>
      </c>
      <c r="B6902" s="7" t="str">
        <f t="shared" si="2530"/>
        <v>桜宮高等学校</v>
      </c>
      <c r="C6902" s="7" t="str">
        <f t="shared" si="2517"/>
        <v>行政財産</v>
      </c>
      <c r="D6902" s="7" t="str">
        <f t="shared" si="2515"/>
        <v>学校</v>
      </c>
      <c r="E6902" s="7" t="str">
        <f t="shared" si="2531"/>
        <v>大阪府大阪市　都島区毛馬町５丁目</v>
      </c>
      <c r="F6902" s="7"/>
      <c r="G6902" s="7" t="str">
        <f t="shared" si="2522"/>
        <v>事業用資産</v>
      </c>
      <c r="H6902" s="7" t="str">
        <f t="shared" si="2516"/>
        <v>棚卸以外</v>
      </c>
      <c r="I6902" s="7">
        <v>15</v>
      </c>
      <c r="J6902" s="7" t="str">
        <f>"クラブ部室棟２８"</f>
        <v>クラブ部室棟２８</v>
      </c>
      <c r="K6902" s="7" t="str">
        <f>"軽量鉄骨造"</f>
        <v>軽量鉄骨造</v>
      </c>
      <c r="L6902" s="7" t="str">
        <f>"S56.08.31"</f>
        <v>S56.08.31</v>
      </c>
      <c r="M6902" s="7">
        <v>25</v>
      </c>
      <c r="N6902" s="7">
        <v>294592</v>
      </c>
      <c r="O6902" s="7">
        <v>294591</v>
      </c>
      <c r="P6902" s="7">
        <v>0</v>
      </c>
      <c r="Q6902" s="7" t="str">
        <f t="shared" si="2528"/>
        <v>教育庁</v>
      </c>
      <c r="R6902" s="7" t="str">
        <f t="shared" si="2532"/>
        <v>桜宮高等学校</v>
      </c>
    </row>
    <row r="6903" spans="1:18" s="1" customFormat="1" x14ac:dyDescent="0.45">
      <c r="A6903" s="7" t="str">
        <f t="shared" si="2529"/>
        <v>10275003053</v>
      </c>
      <c r="B6903" s="7" t="str">
        <f t="shared" si="2530"/>
        <v>桜宮高等学校</v>
      </c>
      <c r="C6903" s="7" t="str">
        <f t="shared" si="2517"/>
        <v>行政財産</v>
      </c>
      <c r="D6903" s="7" t="str">
        <f t="shared" si="2515"/>
        <v>学校</v>
      </c>
      <c r="E6903" s="7" t="str">
        <f t="shared" si="2531"/>
        <v>大阪府大阪市　都島区毛馬町５丁目</v>
      </c>
      <c r="F6903" s="7"/>
      <c r="G6903" s="7" t="str">
        <f t="shared" si="2522"/>
        <v>事業用資産</v>
      </c>
      <c r="H6903" s="7" t="str">
        <f t="shared" si="2516"/>
        <v>棚卸以外</v>
      </c>
      <c r="I6903" s="7">
        <v>16</v>
      </c>
      <c r="J6903" s="7" t="str">
        <f>"体育倉庫２９"</f>
        <v>体育倉庫２９</v>
      </c>
      <c r="K6903" s="7" t="str">
        <f>"軽量鉄骨造"</f>
        <v>軽量鉄骨造</v>
      </c>
      <c r="L6903" s="7" t="str">
        <f>"S56.08.31"</f>
        <v>S56.08.31</v>
      </c>
      <c r="M6903" s="7">
        <v>27</v>
      </c>
      <c r="N6903" s="7">
        <v>288623</v>
      </c>
      <c r="O6903" s="7">
        <v>288622</v>
      </c>
      <c r="P6903" s="7">
        <v>0</v>
      </c>
      <c r="Q6903" s="7" t="str">
        <f t="shared" si="2528"/>
        <v>教育庁</v>
      </c>
      <c r="R6903" s="7" t="str">
        <f t="shared" si="2532"/>
        <v>桜宮高等学校</v>
      </c>
    </row>
    <row r="6904" spans="1:18" s="1" customFormat="1" x14ac:dyDescent="0.45">
      <c r="A6904" s="7" t="str">
        <f t="shared" ref="A6904:A6914" si="2534">"10275003054"</f>
        <v>10275003054</v>
      </c>
      <c r="B6904" s="7" t="str">
        <f t="shared" ref="B6904:B6914" si="2535">"東高等学校"</f>
        <v>東高等学校</v>
      </c>
      <c r="C6904" s="7" t="str">
        <f t="shared" si="2517"/>
        <v>行政財産</v>
      </c>
      <c r="D6904" s="7" t="str">
        <f t="shared" si="2515"/>
        <v>学校</v>
      </c>
      <c r="E6904" s="7" t="str">
        <f t="shared" ref="E6904:E6914" si="2536">"大阪府大阪市　都島区東野田町４丁目"</f>
        <v>大阪府大阪市　都島区東野田町４丁目</v>
      </c>
      <c r="F6904" s="7"/>
      <c r="G6904" s="7" t="str">
        <f t="shared" si="2522"/>
        <v>事業用資産</v>
      </c>
      <c r="H6904" s="7" t="str">
        <f t="shared" si="2516"/>
        <v>棚卸以外</v>
      </c>
      <c r="I6904" s="7">
        <v>1</v>
      </c>
      <c r="J6904" s="7" t="str">
        <f>"普通教室棟西・普通教室棟東"</f>
        <v>普通教室棟西・普通教室棟東</v>
      </c>
      <c r="K6904" s="7" t="str">
        <f>"鉄筋コンクリート造"</f>
        <v>鉄筋コンクリート造</v>
      </c>
      <c r="L6904" s="7" t="str">
        <f>"S54.03.01"</f>
        <v>S54.03.01</v>
      </c>
      <c r="M6904" s="7">
        <v>4571.01</v>
      </c>
      <c r="N6904" s="7">
        <v>139766890</v>
      </c>
      <c r="O6904" s="7">
        <v>32711404</v>
      </c>
      <c r="P6904" s="7">
        <v>0</v>
      </c>
      <c r="Q6904" s="7" t="str">
        <f t="shared" si="2528"/>
        <v>教育庁</v>
      </c>
      <c r="R6904" s="7" t="str">
        <f t="shared" ref="R6904:R6914" si="2537">"東高等学校"</f>
        <v>東高等学校</v>
      </c>
    </row>
    <row r="6905" spans="1:18" s="1" customFormat="1" x14ac:dyDescent="0.45">
      <c r="A6905" s="7" t="str">
        <f t="shared" si="2534"/>
        <v>10275003054</v>
      </c>
      <c r="B6905" s="7" t="str">
        <f t="shared" si="2535"/>
        <v>東高等学校</v>
      </c>
      <c r="C6905" s="7" t="str">
        <f t="shared" si="2517"/>
        <v>行政財産</v>
      </c>
      <c r="D6905" s="7" t="str">
        <f t="shared" si="2515"/>
        <v>学校</v>
      </c>
      <c r="E6905" s="7" t="str">
        <f t="shared" si="2536"/>
        <v>大阪府大阪市　都島区東野田町４丁目</v>
      </c>
      <c r="F6905" s="7"/>
      <c r="G6905" s="7" t="str">
        <f t="shared" si="2522"/>
        <v>事業用資産</v>
      </c>
      <c r="H6905" s="7" t="str">
        <f t="shared" si="2516"/>
        <v>棚卸以外</v>
      </c>
      <c r="I6905" s="7">
        <v>2</v>
      </c>
      <c r="J6905" s="7" t="str">
        <f>"管理室棟"</f>
        <v>管理室棟</v>
      </c>
      <c r="K6905" s="7" t="str">
        <f>"鉄筋コンクリート造"</f>
        <v>鉄筋コンクリート造</v>
      </c>
      <c r="L6905" s="7" t="str">
        <f>"S54.03.01"</f>
        <v>S54.03.01</v>
      </c>
      <c r="M6905" s="7">
        <v>2312.6999999999998</v>
      </c>
      <c r="N6905" s="7">
        <v>78501565</v>
      </c>
      <c r="O6905" s="7">
        <v>18372717</v>
      </c>
      <c r="P6905" s="7">
        <v>0</v>
      </c>
      <c r="Q6905" s="7" t="str">
        <f t="shared" si="2528"/>
        <v>教育庁</v>
      </c>
      <c r="R6905" s="7" t="str">
        <f t="shared" si="2537"/>
        <v>東高等学校</v>
      </c>
    </row>
    <row r="6906" spans="1:18" s="1" customFormat="1" x14ac:dyDescent="0.45">
      <c r="A6906" s="7" t="str">
        <f t="shared" si="2534"/>
        <v>10275003054</v>
      </c>
      <c r="B6906" s="7" t="str">
        <f t="shared" si="2535"/>
        <v>東高等学校</v>
      </c>
      <c r="C6906" s="7" t="str">
        <f t="shared" si="2517"/>
        <v>行政財産</v>
      </c>
      <c r="D6906" s="7" t="str">
        <f t="shared" si="2515"/>
        <v>学校</v>
      </c>
      <c r="E6906" s="7" t="str">
        <f t="shared" si="2536"/>
        <v>大阪府大阪市　都島区東野田町４丁目</v>
      </c>
      <c r="F6906" s="7"/>
      <c r="G6906" s="7" t="str">
        <f t="shared" si="2522"/>
        <v>事業用資産</v>
      </c>
      <c r="H6906" s="7" t="str">
        <f t="shared" si="2516"/>
        <v>棚卸以外</v>
      </c>
      <c r="I6906" s="7">
        <v>3</v>
      </c>
      <c r="J6906" s="7" t="str">
        <f>"特別教室棟"</f>
        <v>特別教室棟</v>
      </c>
      <c r="K6906" s="7" t="str">
        <f>"鉄筋コンクリート造"</f>
        <v>鉄筋コンクリート造</v>
      </c>
      <c r="L6906" s="7" t="str">
        <f>"S54.03.01"</f>
        <v>S54.03.01</v>
      </c>
      <c r="M6906" s="7">
        <v>3811.56</v>
      </c>
      <c r="N6906" s="7">
        <v>122125448</v>
      </c>
      <c r="O6906" s="7">
        <v>28582554</v>
      </c>
      <c r="P6906" s="7">
        <v>0</v>
      </c>
      <c r="Q6906" s="7" t="str">
        <f t="shared" si="2528"/>
        <v>教育庁</v>
      </c>
      <c r="R6906" s="7" t="str">
        <f t="shared" si="2537"/>
        <v>東高等学校</v>
      </c>
    </row>
    <row r="6907" spans="1:18" s="1" customFormat="1" x14ac:dyDescent="0.45">
      <c r="A6907" s="7" t="str">
        <f t="shared" si="2534"/>
        <v>10275003054</v>
      </c>
      <c r="B6907" s="7" t="str">
        <f t="shared" si="2535"/>
        <v>東高等学校</v>
      </c>
      <c r="C6907" s="7" t="str">
        <f t="shared" si="2517"/>
        <v>行政財産</v>
      </c>
      <c r="D6907" s="7" t="str">
        <f t="shared" si="2515"/>
        <v>学校</v>
      </c>
      <c r="E6907" s="7" t="str">
        <f t="shared" si="2536"/>
        <v>大阪府大阪市　都島区東野田町４丁目</v>
      </c>
      <c r="F6907" s="7"/>
      <c r="G6907" s="7" t="str">
        <f t="shared" si="2522"/>
        <v>事業用資産</v>
      </c>
      <c r="H6907" s="7" t="str">
        <f t="shared" si="2516"/>
        <v>棚卸以外</v>
      </c>
      <c r="I6907" s="7">
        <v>4</v>
      </c>
      <c r="J6907" s="7" t="str">
        <f>"体育館棟"</f>
        <v>体育館棟</v>
      </c>
      <c r="K6907" s="7" t="str">
        <f>"鉄骨造"</f>
        <v>鉄骨造</v>
      </c>
      <c r="L6907" s="7" t="str">
        <f>"S54.03.01"</f>
        <v>S54.03.01</v>
      </c>
      <c r="M6907" s="7">
        <v>2532.0500000000002</v>
      </c>
      <c r="N6907" s="7">
        <v>53554147</v>
      </c>
      <c r="O6907" s="7">
        <v>53554146</v>
      </c>
      <c r="P6907" s="7">
        <v>0</v>
      </c>
      <c r="Q6907" s="7" t="str">
        <f t="shared" si="2528"/>
        <v>教育庁</v>
      </c>
      <c r="R6907" s="7" t="str">
        <f t="shared" si="2537"/>
        <v>東高等学校</v>
      </c>
    </row>
    <row r="6908" spans="1:18" s="1" customFormat="1" x14ac:dyDescent="0.45">
      <c r="A6908" s="7" t="str">
        <f t="shared" si="2534"/>
        <v>10275003054</v>
      </c>
      <c r="B6908" s="7" t="str">
        <f t="shared" si="2535"/>
        <v>東高等学校</v>
      </c>
      <c r="C6908" s="7" t="str">
        <f t="shared" si="2517"/>
        <v>行政財産</v>
      </c>
      <c r="D6908" s="7" t="str">
        <f t="shared" si="2515"/>
        <v>学校</v>
      </c>
      <c r="E6908" s="7" t="str">
        <f t="shared" si="2536"/>
        <v>大阪府大阪市　都島区東野田町４丁目</v>
      </c>
      <c r="F6908" s="7"/>
      <c r="G6908" s="7" t="str">
        <f t="shared" si="2522"/>
        <v>事業用資産</v>
      </c>
      <c r="H6908" s="7" t="str">
        <f t="shared" si="2516"/>
        <v>棚卸以外</v>
      </c>
      <c r="I6908" s="7">
        <v>5</v>
      </c>
      <c r="J6908" s="7" t="str">
        <f>"セミナーハウス"</f>
        <v>セミナーハウス</v>
      </c>
      <c r="K6908" s="7" t="str">
        <f>"鉄骨造"</f>
        <v>鉄骨造</v>
      </c>
      <c r="L6908" s="7" t="str">
        <f>"S58.09.01"</f>
        <v>S58.09.01</v>
      </c>
      <c r="M6908" s="7">
        <v>609.66</v>
      </c>
      <c r="N6908" s="7">
        <v>20006289</v>
      </c>
      <c r="O6908" s="7">
        <v>20006288</v>
      </c>
      <c r="P6908" s="7">
        <v>0</v>
      </c>
      <c r="Q6908" s="7" t="str">
        <f t="shared" si="2528"/>
        <v>教育庁</v>
      </c>
      <c r="R6908" s="7" t="str">
        <f t="shared" si="2537"/>
        <v>東高等学校</v>
      </c>
    </row>
    <row r="6909" spans="1:18" s="1" customFormat="1" x14ac:dyDescent="0.45">
      <c r="A6909" s="7" t="str">
        <f t="shared" si="2534"/>
        <v>10275003054</v>
      </c>
      <c r="B6909" s="7" t="str">
        <f t="shared" si="2535"/>
        <v>東高等学校</v>
      </c>
      <c r="C6909" s="7" t="str">
        <f t="shared" si="2517"/>
        <v>行政財産</v>
      </c>
      <c r="D6909" s="7" t="str">
        <f t="shared" si="2515"/>
        <v>学校</v>
      </c>
      <c r="E6909" s="7" t="str">
        <f t="shared" si="2536"/>
        <v>大阪府大阪市　都島区東野田町４丁目</v>
      </c>
      <c r="F6909" s="7"/>
      <c r="G6909" s="7" t="str">
        <f t="shared" si="2522"/>
        <v>事業用資産</v>
      </c>
      <c r="H6909" s="7" t="str">
        <f t="shared" si="2516"/>
        <v>棚卸以外</v>
      </c>
      <c r="I6909" s="7">
        <v>6</v>
      </c>
      <c r="J6909" s="7" t="str">
        <f>"クラブ部室棟"</f>
        <v>クラブ部室棟</v>
      </c>
      <c r="K6909" s="7" t="str">
        <f>"軽量鉄骨造"</f>
        <v>軽量鉄骨造</v>
      </c>
      <c r="L6909" s="7" t="str">
        <f>"S54.03.01"</f>
        <v>S54.03.01</v>
      </c>
      <c r="M6909" s="7">
        <v>290</v>
      </c>
      <c r="N6909" s="7">
        <v>4166333</v>
      </c>
      <c r="O6909" s="7">
        <v>4166332</v>
      </c>
      <c r="P6909" s="7">
        <v>0</v>
      </c>
      <c r="Q6909" s="7" t="str">
        <f t="shared" si="2528"/>
        <v>教育庁</v>
      </c>
      <c r="R6909" s="7" t="str">
        <f t="shared" si="2537"/>
        <v>東高等学校</v>
      </c>
    </row>
    <row r="6910" spans="1:18" s="1" customFormat="1" x14ac:dyDescent="0.45">
      <c r="A6910" s="7" t="str">
        <f t="shared" si="2534"/>
        <v>10275003054</v>
      </c>
      <c r="B6910" s="7" t="str">
        <f t="shared" si="2535"/>
        <v>東高等学校</v>
      </c>
      <c r="C6910" s="7" t="str">
        <f t="shared" si="2517"/>
        <v>行政財産</v>
      </c>
      <c r="D6910" s="7" t="str">
        <f t="shared" si="2515"/>
        <v>学校</v>
      </c>
      <c r="E6910" s="7" t="str">
        <f t="shared" si="2536"/>
        <v>大阪府大阪市　都島区東野田町４丁目</v>
      </c>
      <c r="F6910" s="7"/>
      <c r="G6910" s="7" t="str">
        <f t="shared" si="2522"/>
        <v>事業用資産</v>
      </c>
      <c r="H6910" s="7" t="str">
        <f t="shared" si="2516"/>
        <v>棚卸以外</v>
      </c>
      <c r="I6910" s="7">
        <v>7</v>
      </c>
      <c r="J6910" s="7" t="str">
        <f>"体育倉庫"</f>
        <v>体育倉庫</v>
      </c>
      <c r="K6910" s="7" t="str">
        <f>"軽量鉄骨造"</f>
        <v>軽量鉄骨造</v>
      </c>
      <c r="L6910" s="7" t="str">
        <f>"S54.03.01"</f>
        <v>S54.03.01</v>
      </c>
      <c r="M6910" s="7">
        <v>47</v>
      </c>
      <c r="N6910" s="7">
        <v>675244</v>
      </c>
      <c r="O6910" s="7">
        <v>675243</v>
      </c>
      <c r="P6910" s="7">
        <v>0</v>
      </c>
      <c r="Q6910" s="7" t="str">
        <f t="shared" si="2528"/>
        <v>教育庁</v>
      </c>
      <c r="R6910" s="7" t="str">
        <f t="shared" si="2537"/>
        <v>東高等学校</v>
      </c>
    </row>
    <row r="6911" spans="1:18" s="1" customFormat="1" x14ac:dyDescent="0.45">
      <c r="A6911" s="7" t="str">
        <f t="shared" si="2534"/>
        <v>10275003054</v>
      </c>
      <c r="B6911" s="7" t="str">
        <f t="shared" si="2535"/>
        <v>東高等学校</v>
      </c>
      <c r="C6911" s="7" t="str">
        <f t="shared" si="2517"/>
        <v>行政財産</v>
      </c>
      <c r="D6911" s="7" t="str">
        <f t="shared" si="2515"/>
        <v>学校</v>
      </c>
      <c r="E6911" s="7" t="str">
        <f t="shared" si="2536"/>
        <v>大阪府大阪市　都島区東野田町４丁目</v>
      </c>
      <c r="F6911" s="7"/>
      <c r="G6911" s="7" t="str">
        <f t="shared" si="2522"/>
        <v>事業用資産</v>
      </c>
      <c r="H6911" s="7" t="str">
        <f t="shared" si="2516"/>
        <v>棚卸以外</v>
      </c>
      <c r="I6911" s="7">
        <v>8</v>
      </c>
      <c r="J6911" s="7" t="str">
        <f>"倉庫・物置"</f>
        <v>倉庫・物置</v>
      </c>
      <c r="K6911" s="7" t="str">
        <f>"鉄骨造"</f>
        <v>鉄骨造</v>
      </c>
      <c r="L6911" s="7" t="str">
        <f>"H03.09.01"</f>
        <v>H03.09.01</v>
      </c>
      <c r="M6911" s="7">
        <v>94.64</v>
      </c>
      <c r="N6911" s="7">
        <v>1381280</v>
      </c>
      <c r="O6911" s="7">
        <v>1381279</v>
      </c>
      <c r="P6911" s="7">
        <v>0</v>
      </c>
      <c r="Q6911" s="7" t="str">
        <f t="shared" si="2528"/>
        <v>教育庁</v>
      </c>
      <c r="R6911" s="7" t="str">
        <f t="shared" si="2537"/>
        <v>東高等学校</v>
      </c>
    </row>
    <row r="6912" spans="1:18" s="1" customFormat="1" x14ac:dyDescent="0.45">
      <c r="A6912" s="7" t="str">
        <f t="shared" si="2534"/>
        <v>10275003054</v>
      </c>
      <c r="B6912" s="7" t="str">
        <f t="shared" si="2535"/>
        <v>東高等学校</v>
      </c>
      <c r="C6912" s="7" t="str">
        <f t="shared" si="2517"/>
        <v>行政財産</v>
      </c>
      <c r="D6912" s="7" t="str">
        <f t="shared" si="2515"/>
        <v>学校</v>
      </c>
      <c r="E6912" s="7" t="str">
        <f t="shared" si="2536"/>
        <v>大阪府大阪市　都島区東野田町４丁目</v>
      </c>
      <c r="F6912" s="7"/>
      <c r="G6912" s="7" t="str">
        <f t="shared" si="2522"/>
        <v>事業用資産</v>
      </c>
      <c r="H6912" s="7" t="str">
        <f t="shared" si="2516"/>
        <v>棚卸以外</v>
      </c>
      <c r="I6912" s="7">
        <v>9</v>
      </c>
      <c r="J6912" s="7" t="str">
        <f>"設備棟"</f>
        <v>設備棟</v>
      </c>
      <c r="K6912" s="7" t="str">
        <f t="shared" ref="K6912:K6918" si="2538">"鉄筋コンクリート造"</f>
        <v>鉄筋コンクリート造</v>
      </c>
      <c r="L6912" s="7" t="str">
        <f>"S54.03.31"</f>
        <v>S54.03.31</v>
      </c>
      <c r="M6912" s="7">
        <v>137</v>
      </c>
      <c r="N6912" s="7">
        <v>2475310</v>
      </c>
      <c r="O6912" s="7">
        <v>2475309</v>
      </c>
      <c r="P6912" s="7">
        <v>0</v>
      </c>
      <c r="Q6912" s="7" t="str">
        <f t="shared" si="2528"/>
        <v>教育庁</v>
      </c>
      <c r="R6912" s="7" t="str">
        <f t="shared" si="2537"/>
        <v>東高等学校</v>
      </c>
    </row>
    <row r="6913" spans="1:18" s="1" customFormat="1" x14ac:dyDescent="0.45">
      <c r="A6913" s="7" t="str">
        <f t="shared" si="2534"/>
        <v>10275003054</v>
      </c>
      <c r="B6913" s="7" t="str">
        <f t="shared" si="2535"/>
        <v>東高等学校</v>
      </c>
      <c r="C6913" s="7" t="str">
        <f t="shared" si="2517"/>
        <v>行政財産</v>
      </c>
      <c r="D6913" s="7" t="str">
        <f t="shared" si="2515"/>
        <v>学校</v>
      </c>
      <c r="E6913" s="7" t="str">
        <f t="shared" si="2536"/>
        <v>大阪府大阪市　都島区東野田町４丁目</v>
      </c>
      <c r="F6913" s="7"/>
      <c r="G6913" s="7" t="str">
        <f t="shared" si="2522"/>
        <v>事業用資産</v>
      </c>
      <c r="H6913" s="7" t="str">
        <f t="shared" si="2516"/>
        <v>棚卸以外</v>
      </c>
      <c r="I6913" s="7">
        <v>10</v>
      </c>
      <c r="J6913" s="7" t="str">
        <f>"クラブ部室棟"</f>
        <v>クラブ部室棟</v>
      </c>
      <c r="K6913" s="7" t="str">
        <f t="shared" si="2538"/>
        <v>鉄筋コンクリート造</v>
      </c>
      <c r="L6913" s="7" t="str">
        <f>"S54.03.31"</f>
        <v>S54.03.31</v>
      </c>
      <c r="M6913" s="7">
        <v>36</v>
      </c>
      <c r="N6913" s="7">
        <v>1109632</v>
      </c>
      <c r="O6913" s="7">
        <v>254298</v>
      </c>
      <c r="P6913" s="7">
        <v>0</v>
      </c>
      <c r="Q6913" s="7" t="str">
        <f t="shared" si="2528"/>
        <v>教育庁</v>
      </c>
      <c r="R6913" s="7" t="str">
        <f t="shared" si="2537"/>
        <v>東高等学校</v>
      </c>
    </row>
    <row r="6914" spans="1:18" s="1" customFormat="1" x14ac:dyDescent="0.45">
      <c r="A6914" s="7" t="str">
        <f t="shared" si="2534"/>
        <v>10275003054</v>
      </c>
      <c r="B6914" s="7" t="str">
        <f t="shared" si="2535"/>
        <v>東高等学校</v>
      </c>
      <c r="C6914" s="7" t="str">
        <f t="shared" si="2517"/>
        <v>行政財産</v>
      </c>
      <c r="D6914" s="7" t="str">
        <f t="shared" si="2515"/>
        <v>学校</v>
      </c>
      <c r="E6914" s="7" t="str">
        <f t="shared" si="2536"/>
        <v>大阪府大阪市　都島区東野田町４丁目</v>
      </c>
      <c r="F6914" s="7"/>
      <c r="G6914" s="7" t="str">
        <f t="shared" si="2522"/>
        <v>事業用資産</v>
      </c>
      <c r="H6914" s="7" t="str">
        <f t="shared" si="2516"/>
        <v>棚卸以外</v>
      </c>
      <c r="I6914" s="7">
        <v>11</v>
      </c>
      <c r="J6914" s="7" t="str">
        <f>"プール専用付属室"</f>
        <v>プール専用付属室</v>
      </c>
      <c r="K6914" s="7" t="str">
        <f t="shared" si="2538"/>
        <v>鉄筋コンクリート造</v>
      </c>
      <c r="L6914" s="7" t="str">
        <f>"S54.03.31"</f>
        <v>S54.03.31</v>
      </c>
      <c r="M6914" s="7">
        <v>121</v>
      </c>
      <c r="N6914" s="7">
        <v>3985320</v>
      </c>
      <c r="O6914" s="7">
        <v>913308</v>
      </c>
      <c r="P6914" s="7">
        <v>0</v>
      </c>
      <c r="Q6914" s="7" t="str">
        <f t="shared" si="2528"/>
        <v>教育庁</v>
      </c>
      <c r="R6914" s="7" t="str">
        <f t="shared" si="2537"/>
        <v>東高等学校</v>
      </c>
    </row>
    <row r="6915" spans="1:18" s="1" customFormat="1" x14ac:dyDescent="0.45">
      <c r="A6915" s="7" t="str">
        <f t="shared" ref="A6915:A6934" si="2539">"10275003055"</f>
        <v>10275003055</v>
      </c>
      <c r="B6915" s="7" t="str">
        <f t="shared" ref="B6915:B6934" si="2540">"汎愛高等学校"</f>
        <v>汎愛高等学校</v>
      </c>
      <c r="C6915" s="7" t="str">
        <f t="shared" si="2517"/>
        <v>行政財産</v>
      </c>
      <c r="D6915" s="7" t="str">
        <f t="shared" si="2515"/>
        <v>学校</v>
      </c>
      <c r="E6915" s="7" t="str">
        <f t="shared" ref="E6915:E6934" si="2541">"大阪府大阪市　鶴見区今津中２丁目"</f>
        <v>大阪府大阪市　鶴見区今津中２丁目</v>
      </c>
      <c r="F6915" s="7"/>
      <c r="G6915" s="7" t="str">
        <f t="shared" si="2522"/>
        <v>事業用資産</v>
      </c>
      <c r="H6915" s="7" t="str">
        <f t="shared" si="2516"/>
        <v>棚卸以外</v>
      </c>
      <c r="I6915" s="7">
        <v>1</v>
      </c>
      <c r="J6915" s="7" t="str">
        <f>"特別棟"</f>
        <v>特別棟</v>
      </c>
      <c r="K6915" s="7" t="str">
        <f t="shared" si="2538"/>
        <v>鉄筋コンクリート造</v>
      </c>
      <c r="L6915" s="7" t="str">
        <f>"S37.03.01"</f>
        <v>S37.03.01</v>
      </c>
      <c r="M6915" s="7">
        <v>3959.83</v>
      </c>
      <c r="N6915" s="7">
        <v>68643031</v>
      </c>
      <c r="O6915" s="7">
        <v>68594089</v>
      </c>
      <c r="P6915" s="7">
        <v>0</v>
      </c>
      <c r="Q6915" s="7" t="str">
        <f t="shared" si="2528"/>
        <v>教育庁</v>
      </c>
      <c r="R6915" s="7" t="str">
        <f t="shared" ref="R6915:R6934" si="2542">"汎愛高等学校"</f>
        <v>汎愛高等学校</v>
      </c>
    </row>
    <row r="6916" spans="1:18" s="1" customFormat="1" x14ac:dyDescent="0.45">
      <c r="A6916" s="7" t="str">
        <f t="shared" si="2539"/>
        <v>10275003055</v>
      </c>
      <c r="B6916" s="7" t="str">
        <f t="shared" si="2540"/>
        <v>汎愛高等学校</v>
      </c>
      <c r="C6916" s="7" t="str">
        <f t="shared" si="2517"/>
        <v>行政財産</v>
      </c>
      <c r="D6916" s="7" t="str">
        <f t="shared" ref="D6916:D6979" si="2543">"学校"</f>
        <v>学校</v>
      </c>
      <c r="E6916" s="7" t="str">
        <f t="shared" si="2541"/>
        <v>大阪府大阪市　鶴見区今津中２丁目</v>
      </c>
      <c r="F6916" s="7"/>
      <c r="G6916" s="7" t="str">
        <f t="shared" si="2522"/>
        <v>事業用資産</v>
      </c>
      <c r="H6916" s="7" t="str">
        <f t="shared" ref="H6916:H6979" si="2544">"棚卸以外"</f>
        <v>棚卸以外</v>
      </c>
      <c r="I6916" s="7">
        <v>2</v>
      </c>
      <c r="J6916" s="7" t="str">
        <f>"生徒指導室・生徒会室"</f>
        <v>生徒指導室・生徒会室</v>
      </c>
      <c r="K6916" s="7" t="str">
        <f t="shared" si="2538"/>
        <v>鉄筋コンクリート造</v>
      </c>
      <c r="L6916" s="7" t="str">
        <f>"S37.03.01"</f>
        <v>S37.03.01</v>
      </c>
      <c r="M6916" s="7">
        <v>419.93</v>
      </c>
      <c r="N6916" s="7">
        <v>9662722</v>
      </c>
      <c r="O6916" s="7">
        <v>9662721</v>
      </c>
      <c r="P6916" s="7">
        <v>0</v>
      </c>
      <c r="Q6916" s="7" t="str">
        <f t="shared" si="2528"/>
        <v>教育庁</v>
      </c>
      <c r="R6916" s="7" t="str">
        <f t="shared" si="2542"/>
        <v>汎愛高等学校</v>
      </c>
    </row>
    <row r="6917" spans="1:18" s="1" customFormat="1" x14ac:dyDescent="0.45">
      <c r="A6917" s="7" t="str">
        <f t="shared" si="2539"/>
        <v>10275003055</v>
      </c>
      <c r="B6917" s="7" t="str">
        <f t="shared" si="2540"/>
        <v>汎愛高等学校</v>
      </c>
      <c r="C6917" s="7" t="str">
        <f t="shared" si="2517"/>
        <v>行政財産</v>
      </c>
      <c r="D6917" s="7" t="str">
        <f t="shared" si="2543"/>
        <v>学校</v>
      </c>
      <c r="E6917" s="7" t="str">
        <f t="shared" si="2541"/>
        <v>大阪府大阪市　鶴見区今津中２丁目</v>
      </c>
      <c r="F6917" s="7"/>
      <c r="G6917" s="7" t="str">
        <f t="shared" si="2522"/>
        <v>事業用資産</v>
      </c>
      <c r="H6917" s="7" t="str">
        <f t="shared" si="2544"/>
        <v>棚卸以外</v>
      </c>
      <c r="I6917" s="7">
        <v>3</v>
      </c>
      <c r="J6917" s="7" t="str">
        <f>"ポンプ室"</f>
        <v>ポンプ室</v>
      </c>
      <c r="K6917" s="7" t="str">
        <f t="shared" si="2538"/>
        <v>鉄筋コンクリート造</v>
      </c>
      <c r="L6917" s="7" t="str">
        <f>"S37.03.01"</f>
        <v>S37.03.01</v>
      </c>
      <c r="M6917" s="7">
        <v>12.66</v>
      </c>
      <c r="N6917" s="7">
        <v>226503</v>
      </c>
      <c r="O6917" s="7">
        <v>226502</v>
      </c>
      <c r="P6917" s="7">
        <v>0</v>
      </c>
      <c r="Q6917" s="7" t="str">
        <f t="shared" si="2528"/>
        <v>教育庁</v>
      </c>
      <c r="R6917" s="7" t="str">
        <f t="shared" si="2542"/>
        <v>汎愛高等学校</v>
      </c>
    </row>
    <row r="6918" spans="1:18" s="1" customFormat="1" x14ac:dyDescent="0.45">
      <c r="A6918" s="7" t="str">
        <f t="shared" si="2539"/>
        <v>10275003055</v>
      </c>
      <c r="B6918" s="7" t="str">
        <f t="shared" si="2540"/>
        <v>汎愛高等学校</v>
      </c>
      <c r="C6918" s="7" t="str">
        <f t="shared" si="2517"/>
        <v>行政財産</v>
      </c>
      <c r="D6918" s="7" t="str">
        <f t="shared" si="2543"/>
        <v>学校</v>
      </c>
      <c r="E6918" s="7" t="str">
        <f t="shared" si="2541"/>
        <v>大阪府大阪市　鶴見区今津中２丁目</v>
      </c>
      <c r="F6918" s="7"/>
      <c r="G6918" s="7" t="str">
        <f t="shared" si="2522"/>
        <v>事業用資産</v>
      </c>
      <c r="H6918" s="7" t="str">
        <f t="shared" si="2544"/>
        <v>棚卸以外</v>
      </c>
      <c r="I6918" s="7">
        <v>4</v>
      </c>
      <c r="J6918" s="7" t="str">
        <f>"更衣室"</f>
        <v>更衣室</v>
      </c>
      <c r="K6918" s="7" t="str">
        <f t="shared" si="2538"/>
        <v>鉄筋コンクリート造</v>
      </c>
      <c r="L6918" s="7" t="str">
        <f>"S37.03.01"</f>
        <v>S37.03.01</v>
      </c>
      <c r="M6918" s="7">
        <v>420.69</v>
      </c>
      <c r="N6918" s="7">
        <v>7023533</v>
      </c>
      <c r="O6918" s="7">
        <v>6930500</v>
      </c>
      <c r="P6918" s="7">
        <v>0</v>
      </c>
      <c r="Q6918" s="7" t="str">
        <f t="shared" si="2528"/>
        <v>教育庁</v>
      </c>
      <c r="R6918" s="7" t="str">
        <f t="shared" si="2542"/>
        <v>汎愛高等学校</v>
      </c>
    </row>
    <row r="6919" spans="1:18" s="1" customFormat="1" x14ac:dyDescent="0.45">
      <c r="A6919" s="7" t="str">
        <f t="shared" si="2539"/>
        <v>10275003055</v>
      </c>
      <c r="B6919" s="7" t="str">
        <f t="shared" si="2540"/>
        <v>汎愛高等学校</v>
      </c>
      <c r="C6919" s="7" t="str">
        <f t="shared" si="2517"/>
        <v>行政財産</v>
      </c>
      <c r="D6919" s="7" t="str">
        <f t="shared" si="2543"/>
        <v>学校</v>
      </c>
      <c r="E6919" s="7" t="str">
        <f t="shared" si="2541"/>
        <v>大阪府大阪市　鶴見区今津中２丁目</v>
      </c>
      <c r="F6919" s="7"/>
      <c r="G6919" s="7" t="str">
        <f t="shared" si="2522"/>
        <v>事業用資産</v>
      </c>
      <c r="H6919" s="7" t="str">
        <f t="shared" si="2544"/>
        <v>棚卸以外</v>
      </c>
      <c r="I6919" s="7">
        <v>5</v>
      </c>
      <c r="J6919" s="7" t="str">
        <f>"第１体育館"</f>
        <v>第１体育館</v>
      </c>
      <c r="K6919" s="7" t="str">
        <f>"鉄骨造"</f>
        <v>鉄骨造</v>
      </c>
      <c r="L6919" s="7" t="str">
        <f>"S37.03.01"</f>
        <v>S37.03.01</v>
      </c>
      <c r="M6919" s="7">
        <v>1421.95</v>
      </c>
      <c r="N6919" s="7">
        <v>18867657</v>
      </c>
      <c r="O6919" s="7">
        <v>18867656</v>
      </c>
      <c r="P6919" s="7">
        <v>0</v>
      </c>
      <c r="Q6919" s="7" t="str">
        <f t="shared" si="2528"/>
        <v>教育庁</v>
      </c>
      <c r="R6919" s="7" t="str">
        <f t="shared" si="2542"/>
        <v>汎愛高等学校</v>
      </c>
    </row>
    <row r="6920" spans="1:18" s="1" customFormat="1" x14ac:dyDescent="0.45">
      <c r="A6920" s="7" t="str">
        <f t="shared" si="2539"/>
        <v>10275003055</v>
      </c>
      <c r="B6920" s="7" t="str">
        <f t="shared" si="2540"/>
        <v>汎愛高等学校</v>
      </c>
      <c r="C6920" s="7" t="str">
        <f t="shared" si="2517"/>
        <v>行政財産</v>
      </c>
      <c r="D6920" s="7" t="str">
        <f t="shared" si="2543"/>
        <v>学校</v>
      </c>
      <c r="E6920" s="7" t="str">
        <f t="shared" si="2541"/>
        <v>大阪府大阪市　鶴見区今津中２丁目</v>
      </c>
      <c r="F6920" s="7"/>
      <c r="G6920" s="7" t="str">
        <f t="shared" si="2522"/>
        <v>事業用資産</v>
      </c>
      <c r="H6920" s="7" t="str">
        <f t="shared" si="2544"/>
        <v>棚卸以外</v>
      </c>
      <c r="I6920" s="7">
        <v>6</v>
      </c>
      <c r="J6920" s="7" t="str">
        <f>"格技室"</f>
        <v>格技室</v>
      </c>
      <c r="K6920" s="7" t="str">
        <f>"コンクリートブロック造"</f>
        <v>コンクリートブロック造</v>
      </c>
      <c r="L6920" s="7" t="str">
        <f>"S41.05.01"</f>
        <v>S41.05.01</v>
      </c>
      <c r="M6920" s="7">
        <v>337.56</v>
      </c>
      <c r="N6920" s="7">
        <v>5926830</v>
      </c>
      <c r="O6920" s="7">
        <v>5926829</v>
      </c>
      <c r="P6920" s="7">
        <v>0</v>
      </c>
      <c r="Q6920" s="7" t="str">
        <f t="shared" si="2528"/>
        <v>教育庁</v>
      </c>
      <c r="R6920" s="7" t="str">
        <f t="shared" si="2542"/>
        <v>汎愛高等学校</v>
      </c>
    </row>
    <row r="6921" spans="1:18" s="1" customFormat="1" x14ac:dyDescent="0.45">
      <c r="A6921" s="7" t="str">
        <f t="shared" si="2539"/>
        <v>10275003055</v>
      </c>
      <c r="B6921" s="7" t="str">
        <f t="shared" si="2540"/>
        <v>汎愛高等学校</v>
      </c>
      <c r="C6921" s="7" t="str">
        <f t="shared" si="2517"/>
        <v>行政財産</v>
      </c>
      <c r="D6921" s="7" t="str">
        <f t="shared" si="2543"/>
        <v>学校</v>
      </c>
      <c r="E6921" s="7" t="str">
        <f t="shared" si="2541"/>
        <v>大阪府大阪市　鶴見区今津中２丁目</v>
      </c>
      <c r="F6921" s="7"/>
      <c r="G6921" s="7" t="str">
        <f t="shared" si="2522"/>
        <v>事業用資産</v>
      </c>
      <c r="H6921" s="7" t="str">
        <f t="shared" si="2544"/>
        <v>棚卸以外</v>
      </c>
      <c r="I6921" s="7">
        <v>7</v>
      </c>
      <c r="J6921" s="7" t="str">
        <f>"管理棟"</f>
        <v>管理棟</v>
      </c>
      <c r="K6921" s="7" t="str">
        <f>"鉄骨造"</f>
        <v>鉄骨造</v>
      </c>
      <c r="L6921" s="7" t="str">
        <f>"S43.11.01"</f>
        <v>S43.11.01</v>
      </c>
      <c r="M6921" s="7">
        <v>870.93</v>
      </c>
      <c r="N6921" s="7">
        <v>33985067</v>
      </c>
      <c r="O6921" s="7">
        <v>33888816</v>
      </c>
      <c r="P6921" s="7">
        <v>0</v>
      </c>
      <c r="Q6921" s="7" t="str">
        <f t="shared" si="2528"/>
        <v>教育庁</v>
      </c>
      <c r="R6921" s="7" t="str">
        <f t="shared" si="2542"/>
        <v>汎愛高等学校</v>
      </c>
    </row>
    <row r="6922" spans="1:18" s="1" customFormat="1" x14ac:dyDescent="0.45">
      <c r="A6922" s="7" t="str">
        <f t="shared" si="2539"/>
        <v>10275003055</v>
      </c>
      <c r="B6922" s="7" t="str">
        <f t="shared" si="2540"/>
        <v>汎愛高等学校</v>
      </c>
      <c r="C6922" s="7" t="str">
        <f t="shared" si="2517"/>
        <v>行政財産</v>
      </c>
      <c r="D6922" s="7" t="str">
        <f t="shared" si="2543"/>
        <v>学校</v>
      </c>
      <c r="E6922" s="7" t="str">
        <f t="shared" si="2541"/>
        <v>大阪府大阪市　鶴見区今津中２丁目</v>
      </c>
      <c r="F6922" s="7"/>
      <c r="G6922" s="7" t="str">
        <f t="shared" si="2522"/>
        <v>事業用資産</v>
      </c>
      <c r="H6922" s="7" t="str">
        <f t="shared" si="2544"/>
        <v>棚卸以外</v>
      </c>
      <c r="I6922" s="7">
        <v>8</v>
      </c>
      <c r="J6922" s="7" t="str">
        <f>"倉庫・部室"</f>
        <v>倉庫・部室</v>
      </c>
      <c r="K6922" s="7" t="str">
        <f>"鉄筋コンクリート造"</f>
        <v>鉄筋コンクリート造</v>
      </c>
      <c r="L6922" s="7" t="str">
        <f>"S47.05.01"</f>
        <v>S47.05.01</v>
      </c>
      <c r="M6922" s="7">
        <v>526.91999999999996</v>
      </c>
      <c r="N6922" s="7">
        <v>9650142</v>
      </c>
      <c r="O6922" s="7">
        <v>9650141</v>
      </c>
      <c r="P6922" s="7">
        <v>0</v>
      </c>
      <c r="Q6922" s="7" t="str">
        <f t="shared" si="2528"/>
        <v>教育庁</v>
      </c>
      <c r="R6922" s="7" t="str">
        <f t="shared" si="2542"/>
        <v>汎愛高等学校</v>
      </c>
    </row>
    <row r="6923" spans="1:18" s="1" customFormat="1" x14ac:dyDescent="0.45">
      <c r="A6923" s="7" t="str">
        <f t="shared" si="2539"/>
        <v>10275003055</v>
      </c>
      <c r="B6923" s="7" t="str">
        <f t="shared" si="2540"/>
        <v>汎愛高等学校</v>
      </c>
      <c r="C6923" s="7" t="str">
        <f t="shared" si="2517"/>
        <v>行政財産</v>
      </c>
      <c r="D6923" s="7" t="str">
        <f t="shared" si="2543"/>
        <v>学校</v>
      </c>
      <c r="E6923" s="7" t="str">
        <f t="shared" si="2541"/>
        <v>大阪府大阪市　鶴見区今津中２丁目</v>
      </c>
      <c r="F6923" s="7"/>
      <c r="G6923" s="7" t="str">
        <f t="shared" si="2522"/>
        <v>事業用資産</v>
      </c>
      <c r="H6923" s="7" t="str">
        <f t="shared" si="2544"/>
        <v>棚卸以外</v>
      </c>
      <c r="I6923" s="7">
        <v>9</v>
      </c>
      <c r="J6923" s="7" t="str">
        <f>"普通教室棟"</f>
        <v>普通教室棟</v>
      </c>
      <c r="K6923" s="7" t="str">
        <f>"鉄筋コンクリート造"</f>
        <v>鉄筋コンクリート造</v>
      </c>
      <c r="L6923" s="7" t="str">
        <f>"S37.03.01"</f>
        <v>S37.03.01</v>
      </c>
      <c r="M6923" s="7">
        <v>4079</v>
      </c>
      <c r="N6923" s="7">
        <v>268522201</v>
      </c>
      <c r="O6923" s="7">
        <v>268522200</v>
      </c>
      <c r="P6923" s="7">
        <v>0</v>
      </c>
      <c r="Q6923" s="7" t="str">
        <f t="shared" si="2528"/>
        <v>教育庁</v>
      </c>
      <c r="R6923" s="7" t="str">
        <f t="shared" si="2542"/>
        <v>汎愛高等学校</v>
      </c>
    </row>
    <row r="6924" spans="1:18" s="1" customFormat="1" x14ac:dyDescent="0.45">
      <c r="A6924" s="7" t="str">
        <f t="shared" si="2539"/>
        <v>10275003055</v>
      </c>
      <c r="B6924" s="7" t="str">
        <f t="shared" si="2540"/>
        <v>汎愛高等学校</v>
      </c>
      <c r="C6924" s="7" t="str">
        <f t="shared" si="2517"/>
        <v>行政財産</v>
      </c>
      <c r="D6924" s="7" t="str">
        <f t="shared" si="2543"/>
        <v>学校</v>
      </c>
      <c r="E6924" s="7" t="str">
        <f t="shared" si="2541"/>
        <v>大阪府大阪市　鶴見区今津中２丁目</v>
      </c>
      <c r="F6924" s="7"/>
      <c r="G6924" s="7" t="str">
        <f t="shared" si="2522"/>
        <v>事業用資産</v>
      </c>
      <c r="H6924" s="7" t="str">
        <f t="shared" si="2544"/>
        <v>棚卸以外</v>
      </c>
      <c r="I6924" s="7">
        <v>10</v>
      </c>
      <c r="J6924" s="7" t="str">
        <f>"クラブハウス"</f>
        <v>クラブハウス</v>
      </c>
      <c r="K6924" s="7" t="str">
        <f>"コンクリートブロック造"</f>
        <v>コンクリートブロック造</v>
      </c>
      <c r="L6924" s="7" t="str">
        <f>"S58.12.01"</f>
        <v>S58.12.01</v>
      </c>
      <c r="M6924" s="7">
        <v>120</v>
      </c>
      <c r="N6924" s="7">
        <v>1531044</v>
      </c>
      <c r="O6924" s="7">
        <v>1531043</v>
      </c>
      <c r="P6924" s="7">
        <v>0</v>
      </c>
      <c r="Q6924" s="7" t="str">
        <f t="shared" si="2528"/>
        <v>教育庁</v>
      </c>
      <c r="R6924" s="7" t="str">
        <f t="shared" si="2542"/>
        <v>汎愛高等学校</v>
      </c>
    </row>
    <row r="6925" spans="1:18" s="1" customFormat="1" x14ac:dyDescent="0.45">
      <c r="A6925" s="7" t="str">
        <f t="shared" si="2539"/>
        <v>10275003055</v>
      </c>
      <c r="B6925" s="7" t="str">
        <f t="shared" si="2540"/>
        <v>汎愛高等学校</v>
      </c>
      <c r="C6925" s="7" t="str">
        <f t="shared" ref="C6925:C6988" si="2545">"行政財産"</f>
        <v>行政財産</v>
      </c>
      <c r="D6925" s="7" t="str">
        <f t="shared" si="2543"/>
        <v>学校</v>
      </c>
      <c r="E6925" s="7" t="str">
        <f t="shared" si="2541"/>
        <v>大阪府大阪市　鶴見区今津中２丁目</v>
      </c>
      <c r="F6925" s="7"/>
      <c r="G6925" s="7" t="str">
        <f t="shared" si="2522"/>
        <v>事業用資産</v>
      </c>
      <c r="H6925" s="7" t="str">
        <f t="shared" si="2544"/>
        <v>棚卸以外</v>
      </c>
      <c r="I6925" s="7">
        <v>11</v>
      </c>
      <c r="J6925" s="7" t="str">
        <f>"第１体育館　教官室"</f>
        <v>第１体育館　教官室</v>
      </c>
      <c r="K6925" s="7" t="str">
        <f>"軽量鉄骨造"</f>
        <v>軽量鉄骨造</v>
      </c>
      <c r="L6925" s="7" t="str">
        <f>"S58.12.01"</f>
        <v>S58.12.01</v>
      </c>
      <c r="M6925" s="7">
        <v>58.5</v>
      </c>
      <c r="N6925" s="7">
        <v>672768</v>
      </c>
      <c r="O6925" s="7">
        <v>672767</v>
      </c>
      <c r="P6925" s="7">
        <v>0</v>
      </c>
      <c r="Q6925" s="7" t="str">
        <f t="shared" si="2528"/>
        <v>教育庁</v>
      </c>
      <c r="R6925" s="7" t="str">
        <f t="shared" si="2542"/>
        <v>汎愛高等学校</v>
      </c>
    </row>
    <row r="6926" spans="1:18" s="1" customFormat="1" x14ac:dyDescent="0.45">
      <c r="A6926" s="7" t="str">
        <f t="shared" si="2539"/>
        <v>10275003055</v>
      </c>
      <c r="B6926" s="7" t="str">
        <f t="shared" si="2540"/>
        <v>汎愛高等学校</v>
      </c>
      <c r="C6926" s="7" t="str">
        <f t="shared" si="2545"/>
        <v>行政財産</v>
      </c>
      <c r="D6926" s="7" t="str">
        <f t="shared" si="2543"/>
        <v>学校</v>
      </c>
      <c r="E6926" s="7" t="str">
        <f t="shared" si="2541"/>
        <v>大阪府大阪市　鶴見区今津中２丁目</v>
      </c>
      <c r="F6926" s="7"/>
      <c r="G6926" s="7" t="str">
        <f t="shared" si="2522"/>
        <v>事業用資産</v>
      </c>
      <c r="H6926" s="7" t="str">
        <f t="shared" si="2544"/>
        <v>棚卸以外</v>
      </c>
      <c r="I6926" s="7">
        <v>12</v>
      </c>
      <c r="J6926" s="7" t="str">
        <f>"第２体育館"</f>
        <v>第２体育館</v>
      </c>
      <c r="K6926" s="7" t="str">
        <f>"鉄筋コンクリート造"</f>
        <v>鉄筋コンクリート造</v>
      </c>
      <c r="L6926" s="7" t="str">
        <f>"H05.08.01"</f>
        <v>H05.08.01</v>
      </c>
      <c r="M6926" s="7">
        <v>2496.6799999999998</v>
      </c>
      <c r="N6926" s="7">
        <v>343650526</v>
      </c>
      <c r="O6926" s="7">
        <v>17175390</v>
      </c>
      <c r="P6926" s="7">
        <v>0</v>
      </c>
      <c r="Q6926" s="7" t="str">
        <f t="shared" si="2528"/>
        <v>教育庁</v>
      </c>
      <c r="R6926" s="7" t="str">
        <f t="shared" si="2542"/>
        <v>汎愛高等学校</v>
      </c>
    </row>
    <row r="6927" spans="1:18" s="1" customFormat="1" x14ac:dyDescent="0.45">
      <c r="A6927" s="7" t="str">
        <f t="shared" si="2539"/>
        <v>10275003055</v>
      </c>
      <c r="B6927" s="7" t="str">
        <f t="shared" si="2540"/>
        <v>汎愛高等学校</v>
      </c>
      <c r="C6927" s="7" t="str">
        <f t="shared" si="2545"/>
        <v>行政財産</v>
      </c>
      <c r="D6927" s="7" t="str">
        <f t="shared" si="2543"/>
        <v>学校</v>
      </c>
      <c r="E6927" s="7" t="str">
        <f t="shared" si="2541"/>
        <v>大阪府大阪市　鶴見区今津中２丁目</v>
      </c>
      <c r="F6927" s="7"/>
      <c r="G6927" s="7" t="str">
        <f t="shared" si="2522"/>
        <v>事業用資産</v>
      </c>
      <c r="H6927" s="7" t="str">
        <f t="shared" si="2544"/>
        <v>棚卸以外</v>
      </c>
      <c r="I6927" s="7">
        <v>13</v>
      </c>
      <c r="J6927" s="7" t="str">
        <f>"思済館"</f>
        <v>思済館</v>
      </c>
      <c r="K6927" s="7" t="str">
        <f>"鉄骨造"</f>
        <v>鉄骨造</v>
      </c>
      <c r="L6927" s="7" t="str">
        <f>"H05.08.01"</f>
        <v>H05.08.01</v>
      </c>
      <c r="M6927" s="7">
        <v>765.77</v>
      </c>
      <c r="N6927" s="7">
        <v>73660504</v>
      </c>
      <c r="O6927" s="7">
        <v>12639096</v>
      </c>
      <c r="P6927" s="7">
        <v>0</v>
      </c>
      <c r="Q6927" s="7" t="str">
        <f t="shared" si="2528"/>
        <v>教育庁</v>
      </c>
      <c r="R6927" s="7" t="str">
        <f t="shared" si="2542"/>
        <v>汎愛高等学校</v>
      </c>
    </row>
    <row r="6928" spans="1:18" s="1" customFormat="1" x14ac:dyDescent="0.45">
      <c r="A6928" s="7" t="str">
        <f t="shared" si="2539"/>
        <v>10275003055</v>
      </c>
      <c r="B6928" s="7" t="str">
        <f t="shared" si="2540"/>
        <v>汎愛高等学校</v>
      </c>
      <c r="C6928" s="7" t="str">
        <f t="shared" si="2545"/>
        <v>行政財産</v>
      </c>
      <c r="D6928" s="7" t="str">
        <f t="shared" si="2543"/>
        <v>学校</v>
      </c>
      <c r="E6928" s="7" t="str">
        <f t="shared" si="2541"/>
        <v>大阪府大阪市　鶴見区今津中２丁目</v>
      </c>
      <c r="F6928" s="7"/>
      <c r="G6928" s="7" t="str">
        <f t="shared" si="2522"/>
        <v>事業用資産</v>
      </c>
      <c r="H6928" s="7" t="str">
        <f t="shared" si="2544"/>
        <v>棚卸以外</v>
      </c>
      <c r="I6928" s="7">
        <v>14</v>
      </c>
      <c r="J6928" s="7" t="str">
        <f>"渡り廊下"</f>
        <v>渡り廊下</v>
      </c>
      <c r="K6928" s="7" t="str">
        <f>"軽量鉄骨造"</f>
        <v>軽量鉄骨造</v>
      </c>
      <c r="L6928" s="7" t="str">
        <f>"H05.08.01"</f>
        <v>H05.08.01</v>
      </c>
      <c r="M6928" s="7">
        <v>113.6</v>
      </c>
      <c r="N6928" s="7">
        <v>880848</v>
      </c>
      <c r="O6928" s="7">
        <v>880847</v>
      </c>
      <c r="P6928" s="7">
        <v>0</v>
      </c>
      <c r="Q6928" s="7" t="str">
        <f t="shared" si="2528"/>
        <v>教育庁</v>
      </c>
      <c r="R6928" s="7" t="str">
        <f t="shared" si="2542"/>
        <v>汎愛高等学校</v>
      </c>
    </row>
    <row r="6929" spans="1:18" s="1" customFormat="1" x14ac:dyDescent="0.45">
      <c r="A6929" s="7" t="str">
        <f t="shared" si="2539"/>
        <v>10275003055</v>
      </c>
      <c r="B6929" s="7" t="str">
        <f t="shared" si="2540"/>
        <v>汎愛高等学校</v>
      </c>
      <c r="C6929" s="7" t="str">
        <f t="shared" si="2545"/>
        <v>行政財産</v>
      </c>
      <c r="D6929" s="7" t="str">
        <f t="shared" si="2543"/>
        <v>学校</v>
      </c>
      <c r="E6929" s="7" t="str">
        <f t="shared" si="2541"/>
        <v>大阪府大阪市　鶴見区今津中２丁目</v>
      </c>
      <c r="F6929" s="7"/>
      <c r="G6929" s="7" t="str">
        <f t="shared" si="2522"/>
        <v>事業用資産</v>
      </c>
      <c r="H6929" s="7" t="str">
        <f t="shared" si="2544"/>
        <v>棚卸以外</v>
      </c>
      <c r="I6929" s="7">
        <v>15</v>
      </c>
      <c r="J6929" s="7" t="str">
        <f>"渡り廊下"</f>
        <v>渡り廊下</v>
      </c>
      <c r="K6929" s="7" t="str">
        <f>"軽量鉄骨造"</f>
        <v>軽量鉄骨造</v>
      </c>
      <c r="L6929" s="7" t="str">
        <f>"H05.08.01"</f>
        <v>H05.08.01</v>
      </c>
      <c r="M6929" s="7">
        <v>233.6</v>
      </c>
      <c r="N6929" s="7">
        <v>1811376</v>
      </c>
      <c r="O6929" s="7">
        <v>1811375</v>
      </c>
      <c r="P6929" s="7">
        <v>0</v>
      </c>
      <c r="Q6929" s="7" t="str">
        <f t="shared" si="2528"/>
        <v>教育庁</v>
      </c>
      <c r="R6929" s="7" t="str">
        <f t="shared" si="2542"/>
        <v>汎愛高等学校</v>
      </c>
    </row>
    <row r="6930" spans="1:18" s="1" customFormat="1" x14ac:dyDescent="0.45">
      <c r="A6930" s="7" t="str">
        <f t="shared" si="2539"/>
        <v>10275003055</v>
      </c>
      <c r="B6930" s="7" t="str">
        <f t="shared" si="2540"/>
        <v>汎愛高等学校</v>
      </c>
      <c r="C6930" s="7" t="str">
        <f t="shared" si="2545"/>
        <v>行政財産</v>
      </c>
      <c r="D6930" s="7" t="str">
        <f t="shared" si="2543"/>
        <v>学校</v>
      </c>
      <c r="E6930" s="7" t="str">
        <f t="shared" si="2541"/>
        <v>大阪府大阪市　鶴見区今津中２丁目</v>
      </c>
      <c r="F6930" s="7"/>
      <c r="G6930" s="7" t="str">
        <f t="shared" si="2522"/>
        <v>事業用資産</v>
      </c>
      <c r="H6930" s="7" t="str">
        <f t="shared" si="2544"/>
        <v>棚卸以外</v>
      </c>
      <c r="I6930" s="7">
        <v>16</v>
      </c>
      <c r="J6930" s="7" t="str">
        <f>"第１体育館　倉庫"</f>
        <v>第１体育館　倉庫</v>
      </c>
      <c r="K6930" s="7" t="str">
        <f>"鉄骨造"</f>
        <v>鉄骨造</v>
      </c>
      <c r="L6930" s="7" t="str">
        <f>"S49.08.31"</f>
        <v>S49.08.31</v>
      </c>
      <c r="M6930" s="7">
        <v>66</v>
      </c>
      <c r="N6930" s="7">
        <v>1272635</v>
      </c>
      <c r="O6930" s="7">
        <v>1272634</v>
      </c>
      <c r="P6930" s="7">
        <v>0</v>
      </c>
      <c r="Q6930" s="7" t="str">
        <f t="shared" si="2528"/>
        <v>教育庁</v>
      </c>
      <c r="R6930" s="7" t="str">
        <f t="shared" si="2542"/>
        <v>汎愛高等学校</v>
      </c>
    </row>
    <row r="6931" spans="1:18" s="1" customFormat="1" x14ac:dyDescent="0.45">
      <c r="A6931" s="7" t="str">
        <f t="shared" si="2539"/>
        <v>10275003055</v>
      </c>
      <c r="B6931" s="7" t="str">
        <f t="shared" si="2540"/>
        <v>汎愛高等学校</v>
      </c>
      <c r="C6931" s="7" t="str">
        <f t="shared" si="2545"/>
        <v>行政財産</v>
      </c>
      <c r="D6931" s="7" t="str">
        <f t="shared" si="2543"/>
        <v>学校</v>
      </c>
      <c r="E6931" s="7" t="str">
        <f t="shared" si="2541"/>
        <v>大阪府大阪市　鶴見区今津中２丁目</v>
      </c>
      <c r="F6931" s="7"/>
      <c r="G6931" s="7" t="str">
        <f t="shared" si="2522"/>
        <v>事業用資産</v>
      </c>
      <c r="H6931" s="7" t="str">
        <f t="shared" si="2544"/>
        <v>棚卸以外</v>
      </c>
      <c r="I6931" s="7">
        <v>17</v>
      </c>
      <c r="J6931" s="7" t="str">
        <f>"ブロック倉庫"</f>
        <v>ブロック倉庫</v>
      </c>
      <c r="K6931" s="7" t="str">
        <f>"鉄骨造"</f>
        <v>鉄骨造</v>
      </c>
      <c r="L6931" s="7" t="str">
        <f>"S38.04.30"</f>
        <v>S38.04.30</v>
      </c>
      <c r="M6931" s="7">
        <v>36</v>
      </c>
      <c r="N6931" s="7">
        <v>1693927</v>
      </c>
      <c r="O6931" s="7">
        <v>1693926</v>
      </c>
      <c r="P6931" s="7">
        <v>0</v>
      </c>
      <c r="Q6931" s="7" t="str">
        <f t="shared" si="2528"/>
        <v>教育庁</v>
      </c>
      <c r="R6931" s="7" t="str">
        <f t="shared" si="2542"/>
        <v>汎愛高等学校</v>
      </c>
    </row>
    <row r="6932" spans="1:18" s="1" customFormat="1" x14ac:dyDescent="0.45">
      <c r="A6932" s="7" t="str">
        <f t="shared" si="2539"/>
        <v>10275003055</v>
      </c>
      <c r="B6932" s="7" t="str">
        <f t="shared" si="2540"/>
        <v>汎愛高等学校</v>
      </c>
      <c r="C6932" s="7" t="str">
        <f t="shared" si="2545"/>
        <v>行政財産</v>
      </c>
      <c r="D6932" s="7" t="str">
        <f t="shared" si="2543"/>
        <v>学校</v>
      </c>
      <c r="E6932" s="7" t="str">
        <f t="shared" si="2541"/>
        <v>大阪府大阪市　鶴見区今津中２丁目</v>
      </c>
      <c r="F6932" s="7"/>
      <c r="G6932" s="7" t="str">
        <f t="shared" si="2522"/>
        <v>事業用資産</v>
      </c>
      <c r="H6932" s="7" t="str">
        <f t="shared" si="2544"/>
        <v>棚卸以外</v>
      </c>
      <c r="I6932" s="7">
        <v>18</v>
      </c>
      <c r="J6932" s="7" t="str">
        <f>"生徒会倉庫"</f>
        <v>生徒会倉庫</v>
      </c>
      <c r="K6932" s="7" t="str">
        <f>"木造"</f>
        <v>木造</v>
      </c>
      <c r="L6932" s="7" t="str">
        <f>"H01.11.30"</f>
        <v>H01.11.30</v>
      </c>
      <c r="M6932" s="7">
        <v>15</v>
      </c>
      <c r="N6932" s="7">
        <v>152666</v>
      </c>
      <c r="O6932" s="7">
        <v>152665</v>
      </c>
      <c r="P6932" s="7">
        <v>0</v>
      </c>
      <c r="Q6932" s="7" t="str">
        <f t="shared" si="2528"/>
        <v>教育庁</v>
      </c>
      <c r="R6932" s="7" t="str">
        <f t="shared" si="2542"/>
        <v>汎愛高等学校</v>
      </c>
    </row>
    <row r="6933" spans="1:18" s="1" customFormat="1" x14ac:dyDescent="0.45">
      <c r="A6933" s="7" t="str">
        <f t="shared" si="2539"/>
        <v>10275003055</v>
      </c>
      <c r="B6933" s="7" t="str">
        <f t="shared" si="2540"/>
        <v>汎愛高等学校</v>
      </c>
      <c r="C6933" s="7" t="str">
        <f t="shared" si="2545"/>
        <v>行政財産</v>
      </c>
      <c r="D6933" s="7" t="str">
        <f t="shared" si="2543"/>
        <v>学校</v>
      </c>
      <c r="E6933" s="7" t="str">
        <f t="shared" si="2541"/>
        <v>大阪府大阪市　鶴見区今津中２丁目</v>
      </c>
      <c r="F6933" s="7"/>
      <c r="G6933" s="7" t="str">
        <f t="shared" si="2522"/>
        <v>事業用資産</v>
      </c>
      <c r="H6933" s="7" t="str">
        <f t="shared" si="2544"/>
        <v>棚卸以外</v>
      </c>
      <c r="I6933" s="7">
        <v>19</v>
      </c>
      <c r="J6933" s="7" t="str">
        <f>"弓道場射場"</f>
        <v>弓道場射場</v>
      </c>
      <c r="K6933" s="7" t="str">
        <f>"鉄骨造"</f>
        <v>鉄骨造</v>
      </c>
      <c r="L6933" s="7" t="str">
        <f>"H05.08.31"</f>
        <v>H05.08.31</v>
      </c>
      <c r="M6933" s="7">
        <v>62</v>
      </c>
      <c r="N6933" s="7">
        <v>5493747</v>
      </c>
      <c r="O6933" s="7">
        <v>929720</v>
      </c>
      <c r="P6933" s="7">
        <v>0</v>
      </c>
      <c r="Q6933" s="7" t="str">
        <f t="shared" si="2528"/>
        <v>教育庁</v>
      </c>
      <c r="R6933" s="7" t="str">
        <f t="shared" si="2542"/>
        <v>汎愛高等学校</v>
      </c>
    </row>
    <row r="6934" spans="1:18" s="1" customFormat="1" x14ac:dyDescent="0.45">
      <c r="A6934" s="7" t="str">
        <f t="shared" si="2539"/>
        <v>10275003055</v>
      </c>
      <c r="B6934" s="7" t="str">
        <f t="shared" si="2540"/>
        <v>汎愛高等学校</v>
      </c>
      <c r="C6934" s="7" t="str">
        <f t="shared" si="2545"/>
        <v>行政財産</v>
      </c>
      <c r="D6934" s="7" t="str">
        <f t="shared" si="2543"/>
        <v>学校</v>
      </c>
      <c r="E6934" s="7" t="str">
        <f t="shared" si="2541"/>
        <v>大阪府大阪市　鶴見区今津中２丁目</v>
      </c>
      <c r="F6934" s="7"/>
      <c r="G6934" s="7" t="str">
        <f t="shared" si="2522"/>
        <v>事業用資産</v>
      </c>
      <c r="H6934" s="7" t="str">
        <f t="shared" si="2544"/>
        <v>棚卸以外</v>
      </c>
      <c r="I6934" s="7">
        <v>20</v>
      </c>
      <c r="J6934" s="7" t="str">
        <f>"的場"</f>
        <v>的場</v>
      </c>
      <c r="K6934" s="7" t="str">
        <f>"鉄骨造"</f>
        <v>鉄骨造</v>
      </c>
      <c r="L6934" s="7" t="str">
        <f>"H05.08.31"</f>
        <v>H05.08.31</v>
      </c>
      <c r="M6934" s="7">
        <v>5</v>
      </c>
      <c r="N6934" s="7">
        <v>443044</v>
      </c>
      <c r="O6934" s="7">
        <v>74987</v>
      </c>
      <c r="P6934" s="7">
        <v>0</v>
      </c>
      <c r="Q6934" s="7" t="str">
        <f t="shared" si="2528"/>
        <v>教育庁</v>
      </c>
      <c r="R6934" s="7" t="str">
        <f t="shared" si="2542"/>
        <v>汎愛高等学校</v>
      </c>
    </row>
    <row r="6935" spans="1:18" s="1" customFormat="1" x14ac:dyDescent="0.45">
      <c r="A6935" s="7" t="str">
        <f t="shared" ref="A6935:A6958" si="2546">"10275003056"</f>
        <v>10275003056</v>
      </c>
      <c r="B6935" s="7" t="str">
        <f t="shared" ref="B6935:B6958" si="2547">"いちりつ高等学校"</f>
        <v>いちりつ高等学校</v>
      </c>
      <c r="C6935" s="7" t="str">
        <f t="shared" si="2545"/>
        <v>行政財産</v>
      </c>
      <c r="D6935" s="7" t="str">
        <f t="shared" si="2543"/>
        <v>学校</v>
      </c>
      <c r="E6935" s="7" t="str">
        <f t="shared" ref="E6935:E6958" si="2548">"大阪府枚方市南中振１丁目"</f>
        <v>大阪府枚方市南中振１丁目</v>
      </c>
      <c r="F6935" s="7"/>
      <c r="G6935" s="7" t="str">
        <f t="shared" ref="G6935:G6998" si="2549">"事業用資産"</f>
        <v>事業用資産</v>
      </c>
      <c r="H6935" s="7" t="str">
        <f t="shared" si="2544"/>
        <v>棚卸以外</v>
      </c>
      <c r="I6935" s="7">
        <v>1</v>
      </c>
      <c r="J6935" s="7" t="str">
        <f>"普通教室棟４～６組"</f>
        <v>普通教室棟４～６組</v>
      </c>
      <c r="K6935" s="7" t="str">
        <f>"鉄筋コンクリート造"</f>
        <v>鉄筋コンクリート造</v>
      </c>
      <c r="L6935" s="7" t="str">
        <f>"S31.10.01"</f>
        <v>S31.10.01</v>
      </c>
      <c r="M6935" s="7">
        <v>876.13</v>
      </c>
      <c r="N6935" s="7">
        <v>8226612</v>
      </c>
      <c r="O6935" s="7">
        <v>8226611</v>
      </c>
      <c r="P6935" s="7">
        <v>0</v>
      </c>
      <c r="Q6935" s="7" t="str">
        <f t="shared" si="2528"/>
        <v>教育庁</v>
      </c>
      <c r="R6935" s="7" t="str">
        <f t="shared" ref="R6935:R6958" si="2550">"いちりつ高等学校"</f>
        <v>いちりつ高等学校</v>
      </c>
    </row>
    <row r="6936" spans="1:18" s="1" customFormat="1" x14ac:dyDescent="0.45">
      <c r="A6936" s="7" t="str">
        <f t="shared" si="2546"/>
        <v>10275003056</v>
      </c>
      <c r="B6936" s="7" t="str">
        <f t="shared" si="2547"/>
        <v>いちりつ高等学校</v>
      </c>
      <c r="C6936" s="7" t="str">
        <f t="shared" si="2545"/>
        <v>行政財産</v>
      </c>
      <c r="D6936" s="7" t="str">
        <f t="shared" si="2543"/>
        <v>学校</v>
      </c>
      <c r="E6936" s="7" t="str">
        <f t="shared" si="2548"/>
        <v>大阪府枚方市南中振１丁目</v>
      </c>
      <c r="F6936" s="7"/>
      <c r="G6936" s="7" t="str">
        <f t="shared" si="2549"/>
        <v>事業用資産</v>
      </c>
      <c r="H6936" s="7" t="str">
        <f t="shared" si="2544"/>
        <v>棚卸以外</v>
      </c>
      <c r="I6936" s="7">
        <v>2</v>
      </c>
      <c r="J6936" s="7" t="str">
        <f>"普通教室棟１～３組"</f>
        <v>普通教室棟１～３組</v>
      </c>
      <c r="K6936" s="7" t="str">
        <f>"鉄筋コンクリート造"</f>
        <v>鉄筋コンクリート造</v>
      </c>
      <c r="L6936" s="7" t="str">
        <f>"S33.03.01"</f>
        <v>S33.03.01</v>
      </c>
      <c r="M6936" s="7">
        <v>1064.1300000000001</v>
      </c>
      <c r="N6936" s="7">
        <v>14947797</v>
      </c>
      <c r="O6936" s="7">
        <v>14947796</v>
      </c>
      <c r="P6936" s="7">
        <v>0</v>
      </c>
      <c r="Q6936" s="7" t="str">
        <f t="shared" si="2528"/>
        <v>教育庁</v>
      </c>
      <c r="R6936" s="7" t="str">
        <f t="shared" si="2550"/>
        <v>いちりつ高等学校</v>
      </c>
    </row>
    <row r="6937" spans="1:18" s="1" customFormat="1" x14ac:dyDescent="0.45">
      <c r="A6937" s="7" t="str">
        <f t="shared" si="2546"/>
        <v>10275003056</v>
      </c>
      <c r="B6937" s="7" t="str">
        <f t="shared" si="2547"/>
        <v>いちりつ高等学校</v>
      </c>
      <c r="C6937" s="7" t="str">
        <f t="shared" si="2545"/>
        <v>行政財産</v>
      </c>
      <c r="D6937" s="7" t="str">
        <f t="shared" si="2543"/>
        <v>学校</v>
      </c>
      <c r="E6937" s="7" t="str">
        <f t="shared" si="2548"/>
        <v>大阪府枚方市南中振１丁目</v>
      </c>
      <c r="F6937" s="7"/>
      <c r="G6937" s="7" t="str">
        <f t="shared" si="2549"/>
        <v>事業用資産</v>
      </c>
      <c r="H6937" s="7" t="str">
        <f t="shared" si="2544"/>
        <v>棚卸以外</v>
      </c>
      <c r="I6937" s="7">
        <v>3</v>
      </c>
      <c r="J6937" s="7" t="str">
        <f>"管理棟東"</f>
        <v>管理棟東</v>
      </c>
      <c r="K6937" s="7" t="str">
        <f>"鉄筋コンクリート造"</f>
        <v>鉄筋コンクリート造</v>
      </c>
      <c r="L6937" s="7" t="str">
        <f>"S33.12.01"</f>
        <v>S33.12.01</v>
      </c>
      <c r="M6937" s="7">
        <v>884.26</v>
      </c>
      <c r="N6937" s="7">
        <v>20352456</v>
      </c>
      <c r="O6937" s="7">
        <v>20352455</v>
      </c>
      <c r="P6937" s="7">
        <v>0</v>
      </c>
      <c r="Q6937" s="7" t="str">
        <f t="shared" si="2528"/>
        <v>教育庁</v>
      </c>
      <c r="R6937" s="7" t="str">
        <f t="shared" si="2550"/>
        <v>いちりつ高等学校</v>
      </c>
    </row>
    <row r="6938" spans="1:18" s="1" customFormat="1" x14ac:dyDescent="0.45">
      <c r="A6938" s="7" t="str">
        <f t="shared" si="2546"/>
        <v>10275003056</v>
      </c>
      <c r="B6938" s="7" t="str">
        <f t="shared" si="2547"/>
        <v>いちりつ高等学校</v>
      </c>
      <c r="C6938" s="7" t="str">
        <f t="shared" si="2545"/>
        <v>行政財産</v>
      </c>
      <c r="D6938" s="7" t="str">
        <f t="shared" si="2543"/>
        <v>学校</v>
      </c>
      <c r="E6938" s="7" t="str">
        <f t="shared" si="2548"/>
        <v>大阪府枚方市南中振１丁目</v>
      </c>
      <c r="F6938" s="7"/>
      <c r="G6938" s="7" t="str">
        <f t="shared" si="2549"/>
        <v>事業用資産</v>
      </c>
      <c r="H6938" s="7" t="str">
        <f t="shared" si="2544"/>
        <v>棚卸以外</v>
      </c>
      <c r="I6938" s="7">
        <v>4</v>
      </c>
      <c r="J6938" s="7" t="str">
        <f>"渡り廊下"</f>
        <v>渡り廊下</v>
      </c>
      <c r="K6938" s="7" t="str">
        <f>"軽量鉄骨造"</f>
        <v>軽量鉄骨造</v>
      </c>
      <c r="L6938" s="7" t="str">
        <f>"S34.03.01"</f>
        <v>S34.03.01</v>
      </c>
      <c r="M6938" s="7">
        <v>30.01</v>
      </c>
      <c r="N6938" s="7">
        <v>222855</v>
      </c>
      <c r="O6938" s="7">
        <v>222854</v>
      </c>
      <c r="P6938" s="7">
        <v>0</v>
      </c>
      <c r="Q6938" s="7" t="str">
        <f t="shared" si="2528"/>
        <v>教育庁</v>
      </c>
      <c r="R6938" s="7" t="str">
        <f t="shared" si="2550"/>
        <v>いちりつ高等学校</v>
      </c>
    </row>
    <row r="6939" spans="1:18" s="1" customFormat="1" x14ac:dyDescent="0.45">
      <c r="A6939" s="7" t="str">
        <f t="shared" si="2546"/>
        <v>10275003056</v>
      </c>
      <c r="B6939" s="7" t="str">
        <f t="shared" si="2547"/>
        <v>いちりつ高等学校</v>
      </c>
      <c r="C6939" s="7" t="str">
        <f t="shared" si="2545"/>
        <v>行政財産</v>
      </c>
      <c r="D6939" s="7" t="str">
        <f t="shared" si="2543"/>
        <v>学校</v>
      </c>
      <c r="E6939" s="7" t="str">
        <f t="shared" si="2548"/>
        <v>大阪府枚方市南中振１丁目</v>
      </c>
      <c r="F6939" s="7"/>
      <c r="G6939" s="7" t="str">
        <f t="shared" si="2549"/>
        <v>事業用資産</v>
      </c>
      <c r="H6939" s="7" t="str">
        <f t="shared" si="2544"/>
        <v>棚卸以外</v>
      </c>
      <c r="I6939" s="7">
        <v>5</v>
      </c>
      <c r="J6939" s="7" t="str">
        <f>"管理棟西"</f>
        <v>管理棟西</v>
      </c>
      <c r="K6939" s="7" t="str">
        <f>"鉄筋コンクリート造"</f>
        <v>鉄筋コンクリート造</v>
      </c>
      <c r="L6939" s="7" t="str">
        <f>"S36.03.01"</f>
        <v>S36.03.01</v>
      </c>
      <c r="M6939" s="7">
        <v>934.67</v>
      </c>
      <c r="N6939" s="7">
        <v>17039557</v>
      </c>
      <c r="O6939" s="7">
        <v>15957636</v>
      </c>
      <c r="P6939" s="7">
        <v>0</v>
      </c>
      <c r="Q6939" s="7" t="str">
        <f t="shared" ref="Q6939:Q7002" si="2551">"教育庁"</f>
        <v>教育庁</v>
      </c>
      <c r="R6939" s="7" t="str">
        <f t="shared" si="2550"/>
        <v>いちりつ高等学校</v>
      </c>
    </row>
    <row r="6940" spans="1:18" s="1" customFormat="1" x14ac:dyDescent="0.45">
      <c r="A6940" s="7" t="str">
        <f t="shared" si="2546"/>
        <v>10275003056</v>
      </c>
      <c r="B6940" s="7" t="str">
        <f t="shared" si="2547"/>
        <v>いちりつ高等学校</v>
      </c>
      <c r="C6940" s="7" t="str">
        <f t="shared" si="2545"/>
        <v>行政財産</v>
      </c>
      <c r="D6940" s="7" t="str">
        <f t="shared" si="2543"/>
        <v>学校</v>
      </c>
      <c r="E6940" s="7" t="str">
        <f t="shared" si="2548"/>
        <v>大阪府枚方市南中振１丁目</v>
      </c>
      <c r="F6940" s="7"/>
      <c r="G6940" s="7" t="str">
        <f t="shared" si="2549"/>
        <v>事業用資産</v>
      </c>
      <c r="H6940" s="7" t="str">
        <f t="shared" si="2544"/>
        <v>棚卸以外</v>
      </c>
      <c r="I6940" s="7">
        <v>6</v>
      </c>
      <c r="J6940" s="7" t="str">
        <f>"特別教室棟"</f>
        <v>特別教室棟</v>
      </c>
      <c r="K6940" s="7" t="str">
        <f>"鉄筋コンクリート造"</f>
        <v>鉄筋コンクリート造</v>
      </c>
      <c r="L6940" s="7" t="str">
        <f>"S37.05.01"</f>
        <v>S37.05.01</v>
      </c>
      <c r="M6940" s="7">
        <v>810.61</v>
      </c>
      <c r="N6940" s="7">
        <v>18439258</v>
      </c>
      <c r="O6940" s="7">
        <v>17470423</v>
      </c>
      <c r="P6940" s="7">
        <v>0</v>
      </c>
      <c r="Q6940" s="7" t="str">
        <f t="shared" si="2551"/>
        <v>教育庁</v>
      </c>
      <c r="R6940" s="7" t="str">
        <f t="shared" si="2550"/>
        <v>いちりつ高等学校</v>
      </c>
    </row>
    <row r="6941" spans="1:18" s="1" customFormat="1" x14ac:dyDescent="0.45">
      <c r="A6941" s="7" t="str">
        <f t="shared" si="2546"/>
        <v>10275003056</v>
      </c>
      <c r="B6941" s="7" t="str">
        <f t="shared" si="2547"/>
        <v>いちりつ高等学校</v>
      </c>
      <c r="C6941" s="7" t="str">
        <f t="shared" si="2545"/>
        <v>行政財産</v>
      </c>
      <c r="D6941" s="7" t="str">
        <f t="shared" si="2543"/>
        <v>学校</v>
      </c>
      <c r="E6941" s="7" t="str">
        <f t="shared" si="2548"/>
        <v>大阪府枚方市南中振１丁目</v>
      </c>
      <c r="F6941" s="7"/>
      <c r="G6941" s="7" t="str">
        <f t="shared" si="2549"/>
        <v>事業用資産</v>
      </c>
      <c r="H6941" s="7" t="str">
        <f t="shared" si="2544"/>
        <v>棚卸以外</v>
      </c>
      <c r="I6941" s="7">
        <v>7</v>
      </c>
      <c r="J6941" s="7" t="str">
        <f>"普通教室棟７組"</f>
        <v>普通教室棟７組</v>
      </c>
      <c r="K6941" s="7" t="str">
        <f>"鉄筋コンクリート造"</f>
        <v>鉄筋コンクリート造</v>
      </c>
      <c r="L6941" s="7" t="str">
        <f>"S46.09.01"</f>
        <v>S46.09.01</v>
      </c>
      <c r="M6941" s="7">
        <v>471.51</v>
      </c>
      <c r="N6941" s="7">
        <v>10344166</v>
      </c>
      <c r="O6941" s="7">
        <v>10344165</v>
      </c>
      <c r="P6941" s="7">
        <v>0</v>
      </c>
      <c r="Q6941" s="7" t="str">
        <f t="shared" si="2551"/>
        <v>教育庁</v>
      </c>
      <c r="R6941" s="7" t="str">
        <f t="shared" si="2550"/>
        <v>いちりつ高等学校</v>
      </c>
    </row>
    <row r="6942" spans="1:18" s="1" customFormat="1" x14ac:dyDescent="0.45">
      <c r="A6942" s="7" t="str">
        <f t="shared" si="2546"/>
        <v>10275003056</v>
      </c>
      <c r="B6942" s="7" t="str">
        <f t="shared" si="2547"/>
        <v>いちりつ高等学校</v>
      </c>
      <c r="C6942" s="7" t="str">
        <f t="shared" si="2545"/>
        <v>行政財産</v>
      </c>
      <c r="D6942" s="7" t="str">
        <f t="shared" si="2543"/>
        <v>学校</v>
      </c>
      <c r="E6942" s="7" t="str">
        <f t="shared" si="2548"/>
        <v>大阪府枚方市南中振１丁目</v>
      </c>
      <c r="F6942" s="7"/>
      <c r="G6942" s="7" t="str">
        <f t="shared" si="2549"/>
        <v>事業用資産</v>
      </c>
      <c r="H6942" s="7" t="str">
        <f t="shared" si="2544"/>
        <v>棚卸以外</v>
      </c>
      <c r="I6942" s="7">
        <v>8</v>
      </c>
      <c r="J6942" s="7" t="str">
        <f>"プール管理棟"</f>
        <v>プール管理棟</v>
      </c>
      <c r="K6942" s="7" t="str">
        <f>"軽量鉄骨造"</f>
        <v>軽量鉄骨造</v>
      </c>
      <c r="L6942" s="7" t="str">
        <f>"S48.12.01"</f>
        <v>S48.12.01</v>
      </c>
      <c r="M6942" s="7">
        <v>224</v>
      </c>
      <c r="N6942" s="7">
        <v>3191292</v>
      </c>
      <c r="O6942" s="7">
        <v>3191291</v>
      </c>
      <c r="P6942" s="7">
        <v>0</v>
      </c>
      <c r="Q6942" s="7" t="str">
        <f t="shared" si="2551"/>
        <v>教育庁</v>
      </c>
      <c r="R6942" s="7" t="str">
        <f t="shared" si="2550"/>
        <v>いちりつ高等学校</v>
      </c>
    </row>
    <row r="6943" spans="1:18" s="1" customFormat="1" x14ac:dyDescent="0.45">
      <c r="A6943" s="7" t="str">
        <f t="shared" si="2546"/>
        <v>10275003056</v>
      </c>
      <c r="B6943" s="7" t="str">
        <f t="shared" si="2547"/>
        <v>いちりつ高等学校</v>
      </c>
      <c r="C6943" s="7" t="str">
        <f t="shared" si="2545"/>
        <v>行政財産</v>
      </c>
      <c r="D6943" s="7" t="str">
        <f t="shared" si="2543"/>
        <v>学校</v>
      </c>
      <c r="E6943" s="7" t="str">
        <f t="shared" si="2548"/>
        <v>大阪府枚方市南中振１丁目</v>
      </c>
      <c r="F6943" s="7"/>
      <c r="G6943" s="7" t="str">
        <f t="shared" si="2549"/>
        <v>事業用資産</v>
      </c>
      <c r="H6943" s="7" t="str">
        <f t="shared" si="2544"/>
        <v>棚卸以外</v>
      </c>
      <c r="I6943" s="7">
        <v>9</v>
      </c>
      <c r="J6943" s="7" t="str">
        <f>"特別教室棟視聴覚"</f>
        <v>特別教室棟視聴覚</v>
      </c>
      <c r="K6943" s="7" t="str">
        <f>"軽量鉄骨造"</f>
        <v>軽量鉄骨造</v>
      </c>
      <c r="L6943" s="7" t="str">
        <f>"S56.08.01"</f>
        <v>S56.08.01</v>
      </c>
      <c r="M6943" s="7">
        <v>184.63</v>
      </c>
      <c r="N6943" s="7">
        <v>4028059</v>
      </c>
      <c r="O6943" s="7">
        <v>4028058</v>
      </c>
      <c r="P6943" s="7">
        <v>0</v>
      </c>
      <c r="Q6943" s="7" t="str">
        <f t="shared" si="2551"/>
        <v>教育庁</v>
      </c>
      <c r="R6943" s="7" t="str">
        <f t="shared" si="2550"/>
        <v>いちりつ高等学校</v>
      </c>
    </row>
    <row r="6944" spans="1:18" s="1" customFormat="1" x14ac:dyDescent="0.45">
      <c r="A6944" s="7" t="str">
        <f t="shared" si="2546"/>
        <v>10275003056</v>
      </c>
      <c r="B6944" s="7" t="str">
        <f t="shared" si="2547"/>
        <v>いちりつ高等学校</v>
      </c>
      <c r="C6944" s="7" t="str">
        <f t="shared" si="2545"/>
        <v>行政財産</v>
      </c>
      <c r="D6944" s="7" t="str">
        <f t="shared" si="2543"/>
        <v>学校</v>
      </c>
      <c r="E6944" s="7" t="str">
        <f t="shared" si="2548"/>
        <v>大阪府枚方市南中振１丁目</v>
      </c>
      <c r="F6944" s="7"/>
      <c r="G6944" s="7" t="str">
        <f t="shared" si="2549"/>
        <v>事業用資産</v>
      </c>
      <c r="H6944" s="7" t="str">
        <f t="shared" si="2544"/>
        <v>棚卸以外</v>
      </c>
      <c r="I6944" s="7">
        <v>10</v>
      </c>
      <c r="J6944" s="7" t="str">
        <f>"食堂"</f>
        <v>食堂</v>
      </c>
      <c r="K6944" s="7" t="str">
        <f>"鉄筋コンクリート造"</f>
        <v>鉄筋コンクリート造</v>
      </c>
      <c r="L6944" s="7" t="str">
        <f>"S38.04.01"</f>
        <v>S38.04.01</v>
      </c>
      <c r="M6944" s="7">
        <v>378</v>
      </c>
      <c r="N6944" s="7">
        <v>22386044</v>
      </c>
      <c r="O6944" s="7">
        <v>22386043</v>
      </c>
      <c r="P6944" s="7">
        <v>0</v>
      </c>
      <c r="Q6944" s="7" t="str">
        <f t="shared" si="2551"/>
        <v>教育庁</v>
      </c>
      <c r="R6944" s="7" t="str">
        <f t="shared" si="2550"/>
        <v>いちりつ高等学校</v>
      </c>
    </row>
    <row r="6945" spans="1:18" s="1" customFormat="1" x14ac:dyDescent="0.45">
      <c r="A6945" s="7" t="str">
        <f t="shared" si="2546"/>
        <v>10275003056</v>
      </c>
      <c r="B6945" s="7" t="str">
        <f t="shared" si="2547"/>
        <v>いちりつ高等学校</v>
      </c>
      <c r="C6945" s="7" t="str">
        <f t="shared" si="2545"/>
        <v>行政財産</v>
      </c>
      <c r="D6945" s="7" t="str">
        <f t="shared" si="2543"/>
        <v>学校</v>
      </c>
      <c r="E6945" s="7" t="str">
        <f t="shared" si="2548"/>
        <v>大阪府枚方市南中振１丁目</v>
      </c>
      <c r="F6945" s="7"/>
      <c r="G6945" s="7" t="str">
        <f t="shared" si="2549"/>
        <v>事業用資産</v>
      </c>
      <c r="H6945" s="7" t="str">
        <f t="shared" si="2544"/>
        <v>棚卸以外</v>
      </c>
      <c r="I6945" s="7">
        <v>11</v>
      </c>
      <c r="J6945" s="7" t="str">
        <f>"普通教室棟８組"</f>
        <v>普通教室棟８組</v>
      </c>
      <c r="K6945" s="7" t="str">
        <f>"鉄筋コンクリート造"</f>
        <v>鉄筋コンクリート造</v>
      </c>
      <c r="L6945" s="7" t="str">
        <f>"S47.02.01"</f>
        <v>S47.02.01</v>
      </c>
      <c r="M6945" s="7">
        <v>233</v>
      </c>
      <c r="N6945" s="7">
        <v>10522536</v>
      </c>
      <c r="O6945" s="7">
        <v>10522535</v>
      </c>
      <c r="P6945" s="7">
        <v>0</v>
      </c>
      <c r="Q6945" s="7" t="str">
        <f t="shared" si="2551"/>
        <v>教育庁</v>
      </c>
      <c r="R6945" s="7" t="str">
        <f t="shared" si="2550"/>
        <v>いちりつ高等学校</v>
      </c>
    </row>
    <row r="6946" spans="1:18" s="1" customFormat="1" x14ac:dyDescent="0.45">
      <c r="A6946" s="7" t="str">
        <f t="shared" si="2546"/>
        <v>10275003056</v>
      </c>
      <c r="B6946" s="7" t="str">
        <f t="shared" si="2547"/>
        <v>いちりつ高等学校</v>
      </c>
      <c r="C6946" s="7" t="str">
        <f t="shared" si="2545"/>
        <v>行政財産</v>
      </c>
      <c r="D6946" s="7" t="str">
        <f t="shared" si="2543"/>
        <v>学校</v>
      </c>
      <c r="E6946" s="7" t="str">
        <f t="shared" si="2548"/>
        <v>大阪府枚方市南中振１丁目</v>
      </c>
      <c r="F6946" s="7"/>
      <c r="G6946" s="7" t="str">
        <f t="shared" si="2549"/>
        <v>事業用資産</v>
      </c>
      <c r="H6946" s="7" t="str">
        <f t="shared" si="2544"/>
        <v>棚卸以外</v>
      </c>
      <c r="I6946" s="7">
        <v>13</v>
      </c>
      <c r="J6946" s="7" t="str">
        <f>"格技室"</f>
        <v>格技室</v>
      </c>
      <c r="K6946" s="7" t="str">
        <f>"鉄筋コンクリート造"</f>
        <v>鉄筋コンクリート造</v>
      </c>
      <c r="L6946" s="7" t="str">
        <f>"S38.03.01"</f>
        <v>S38.03.01</v>
      </c>
      <c r="M6946" s="7">
        <v>378</v>
      </c>
      <c r="N6946" s="7">
        <v>22939301</v>
      </c>
      <c r="O6946" s="7">
        <v>22939300</v>
      </c>
      <c r="P6946" s="7">
        <v>0</v>
      </c>
      <c r="Q6946" s="7" t="str">
        <f t="shared" si="2551"/>
        <v>教育庁</v>
      </c>
      <c r="R6946" s="7" t="str">
        <f t="shared" si="2550"/>
        <v>いちりつ高等学校</v>
      </c>
    </row>
    <row r="6947" spans="1:18" s="1" customFormat="1" x14ac:dyDescent="0.45">
      <c r="A6947" s="7" t="str">
        <f t="shared" si="2546"/>
        <v>10275003056</v>
      </c>
      <c r="B6947" s="7" t="str">
        <f t="shared" si="2547"/>
        <v>いちりつ高等学校</v>
      </c>
      <c r="C6947" s="7" t="str">
        <f t="shared" si="2545"/>
        <v>行政財産</v>
      </c>
      <c r="D6947" s="7" t="str">
        <f t="shared" si="2543"/>
        <v>学校</v>
      </c>
      <c r="E6947" s="7" t="str">
        <f t="shared" si="2548"/>
        <v>大阪府枚方市南中振１丁目</v>
      </c>
      <c r="F6947" s="7"/>
      <c r="G6947" s="7" t="str">
        <f t="shared" si="2549"/>
        <v>事業用資産</v>
      </c>
      <c r="H6947" s="7" t="str">
        <f t="shared" si="2544"/>
        <v>棚卸以外</v>
      </c>
      <c r="I6947" s="7">
        <v>14</v>
      </c>
      <c r="J6947" s="7" t="str">
        <f>"クラブ棟北"</f>
        <v>クラブ棟北</v>
      </c>
      <c r="K6947" s="7" t="str">
        <f>"軽量鉄骨造"</f>
        <v>軽量鉄骨造</v>
      </c>
      <c r="L6947" s="7" t="str">
        <f>"S63.07.01"</f>
        <v>S63.07.01</v>
      </c>
      <c r="M6947" s="7">
        <v>136</v>
      </c>
      <c r="N6947" s="7">
        <v>4863600</v>
      </c>
      <c r="O6947" s="7">
        <v>4863599</v>
      </c>
      <c r="P6947" s="7">
        <v>0</v>
      </c>
      <c r="Q6947" s="7" t="str">
        <f t="shared" si="2551"/>
        <v>教育庁</v>
      </c>
      <c r="R6947" s="7" t="str">
        <f t="shared" si="2550"/>
        <v>いちりつ高等学校</v>
      </c>
    </row>
    <row r="6948" spans="1:18" s="1" customFormat="1" x14ac:dyDescent="0.45">
      <c r="A6948" s="7" t="str">
        <f t="shared" si="2546"/>
        <v>10275003056</v>
      </c>
      <c r="B6948" s="7" t="str">
        <f t="shared" si="2547"/>
        <v>いちりつ高等学校</v>
      </c>
      <c r="C6948" s="7" t="str">
        <f t="shared" si="2545"/>
        <v>行政財産</v>
      </c>
      <c r="D6948" s="7" t="str">
        <f t="shared" si="2543"/>
        <v>学校</v>
      </c>
      <c r="E6948" s="7" t="str">
        <f t="shared" si="2548"/>
        <v>大阪府枚方市南中振１丁目</v>
      </c>
      <c r="F6948" s="7"/>
      <c r="G6948" s="7" t="str">
        <f t="shared" si="2549"/>
        <v>事業用資産</v>
      </c>
      <c r="H6948" s="7" t="str">
        <f t="shared" si="2544"/>
        <v>棚卸以外</v>
      </c>
      <c r="I6948" s="7">
        <v>15</v>
      </c>
      <c r="J6948" s="7" t="str">
        <f>"クラブ棟南"</f>
        <v>クラブ棟南</v>
      </c>
      <c r="K6948" s="7" t="str">
        <f>"軽量鉄骨造"</f>
        <v>軽量鉄骨造</v>
      </c>
      <c r="L6948" s="7" t="str">
        <f>"S63.07.01"</f>
        <v>S63.07.01</v>
      </c>
      <c r="M6948" s="7">
        <v>170</v>
      </c>
      <c r="N6948" s="7">
        <v>2161656</v>
      </c>
      <c r="O6948" s="7">
        <v>2161655</v>
      </c>
      <c r="P6948" s="7">
        <v>0</v>
      </c>
      <c r="Q6948" s="7" t="str">
        <f t="shared" si="2551"/>
        <v>教育庁</v>
      </c>
      <c r="R6948" s="7" t="str">
        <f t="shared" si="2550"/>
        <v>いちりつ高等学校</v>
      </c>
    </row>
    <row r="6949" spans="1:18" s="1" customFormat="1" x14ac:dyDescent="0.45">
      <c r="A6949" s="7" t="str">
        <f t="shared" si="2546"/>
        <v>10275003056</v>
      </c>
      <c r="B6949" s="7" t="str">
        <f t="shared" si="2547"/>
        <v>いちりつ高等学校</v>
      </c>
      <c r="C6949" s="7" t="str">
        <f t="shared" si="2545"/>
        <v>行政財産</v>
      </c>
      <c r="D6949" s="7" t="str">
        <f t="shared" si="2543"/>
        <v>学校</v>
      </c>
      <c r="E6949" s="7" t="str">
        <f t="shared" si="2548"/>
        <v>大阪府枚方市南中振１丁目</v>
      </c>
      <c r="F6949" s="7"/>
      <c r="G6949" s="7" t="str">
        <f t="shared" si="2549"/>
        <v>事業用資産</v>
      </c>
      <c r="H6949" s="7" t="str">
        <f t="shared" si="2544"/>
        <v>棚卸以外</v>
      </c>
      <c r="I6949" s="7">
        <v>16</v>
      </c>
      <c r="J6949" s="7" t="str">
        <f>"体育館"</f>
        <v>体育館</v>
      </c>
      <c r="K6949" s="7" t="str">
        <f>"鉄骨造"</f>
        <v>鉄骨造</v>
      </c>
      <c r="L6949" s="7" t="str">
        <f>"H01.05.01"</f>
        <v>H01.05.01</v>
      </c>
      <c r="M6949" s="7">
        <v>1637.25</v>
      </c>
      <c r="N6949" s="7">
        <v>48495009</v>
      </c>
      <c r="O6949" s="7">
        <v>41034246</v>
      </c>
      <c r="P6949" s="7">
        <v>0</v>
      </c>
      <c r="Q6949" s="7" t="str">
        <f t="shared" si="2551"/>
        <v>教育庁</v>
      </c>
      <c r="R6949" s="7" t="str">
        <f t="shared" si="2550"/>
        <v>いちりつ高等学校</v>
      </c>
    </row>
    <row r="6950" spans="1:18" s="1" customFormat="1" x14ac:dyDescent="0.45">
      <c r="A6950" s="7" t="str">
        <f t="shared" si="2546"/>
        <v>10275003056</v>
      </c>
      <c r="B6950" s="7" t="str">
        <f t="shared" si="2547"/>
        <v>いちりつ高等学校</v>
      </c>
      <c r="C6950" s="7" t="str">
        <f t="shared" si="2545"/>
        <v>行政財産</v>
      </c>
      <c r="D6950" s="7" t="str">
        <f t="shared" si="2543"/>
        <v>学校</v>
      </c>
      <c r="E6950" s="7" t="str">
        <f t="shared" si="2548"/>
        <v>大阪府枚方市南中振１丁目</v>
      </c>
      <c r="F6950" s="7"/>
      <c r="G6950" s="7" t="str">
        <f t="shared" si="2549"/>
        <v>事業用資産</v>
      </c>
      <c r="H6950" s="7" t="str">
        <f t="shared" si="2544"/>
        <v>棚卸以外</v>
      </c>
      <c r="I6950" s="7">
        <v>17</v>
      </c>
      <c r="J6950" s="7" t="str">
        <f>"同窓会館"</f>
        <v>同窓会館</v>
      </c>
      <c r="K6950" s="7" t="str">
        <f>"軽量鉄骨造"</f>
        <v>軽量鉄骨造</v>
      </c>
      <c r="L6950" s="7" t="str">
        <f>"H17.03.15"</f>
        <v>H17.03.15</v>
      </c>
      <c r="M6950" s="7">
        <v>242.05</v>
      </c>
      <c r="N6950" s="7">
        <v>11307637</v>
      </c>
      <c r="O6950" s="7">
        <v>782298</v>
      </c>
      <c r="P6950" s="7">
        <v>0</v>
      </c>
      <c r="Q6950" s="7" t="str">
        <f t="shared" si="2551"/>
        <v>教育庁</v>
      </c>
      <c r="R6950" s="7" t="str">
        <f t="shared" si="2550"/>
        <v>いちりつ高等学校</v>
      </c>
    </row>
    <row r="6951" spans="1:18" s="1" customFormat="1" x14ac:dyDescent="0.45">
      <c r="A6951" s="7" t="str">
        <f t="shared" si="2546"/>
        <v>10275003056</v>
      </c>
      <c r="B6951" s="7" t="str">
        <f t="shared" si="2547"/>
        <v>いちりつ高等学校</v>
      </c>
      <c r="C6951" s="7" t="str">
        <f t="shared" si="2545"/>
        <v>行政財産</v>
      </c>
      <c r="D6951" s="7" t="str">
        <f t="shared" si="2543"/>
        <v>学校</v>
      </c>
      <c r="E6951" s="7" t="str">
        <f t="shared" si="2548"/>
        <v>大阪府枚方市南中振１丁目</v>
      </c>
      <c r="F6951" s="7"/>
      <c r="G6951" s="7" t="str">
        <f t="shared" si="2549"/>
        <v>事業用資産</v>
      </c>
      <c r="H6951" s="7" t="str">
        <f t="shared" si="2544"/>
        <v>棚卸以外</v>
      </c>
      <c r="I6951" s="7">
        <v>18</v>
      </c>
      <c r="J6951" s="7" t="str">
        <f>"セミナーハウス"</f>
        <v>セミナーハウス</v>
      </c>
      <c r="K6951" s="7" t="str">
        <f>"木造"</f>
        <v>木造</v>
      </c>
      <c r="L6951" s="7" t="str">
        <f>"H06.03.31"</f>
        <v>H06.03.31</v>
      </c>
      <c r="M6951" s="7">
        <v>757.45</v>
      </c>
      <c r="N6951" s="7">
        <v>42041271</v>
      </c>
      <c r="O6951" s="7">
        <v>42041270</v>
      </c>
      <c r="P6951" s="7">
        <v>0</v>
      </c>
      <c r="Q6951" s="7" t="str">
        <f t="shared" si="2551"/>
        <v>教育庁</v>
      </c>
      <c r="R6951" s="7" t="str">
        <f t="shared" si="2550"/>
        <v>いちりつ高等学校</v>
      </c>
    </row>
    <row r="6952" spans="1:18" s="1" customFormat="1" x14ac:dyDescent="0.45">
      <c r="A6952" s="7" t="str">
        <f t="shared" si="2546"/>
        <v>10275003056</v>
      </c>
      <c r="B6952" s="7" t="str">
        <f t="shared" si="2547"/>
        <v>いちりつ高等学校</v>
      </c>
      <c r="C6952" s="7" t="str">
        <f t="shared" si="2545"/>
        <v>行政財産</v>
      </c>
      <c r="D6952" s="7" t="str">
        <f t="shared" si="2543"/>
        <v>学校</v>
      </c>
      <c r="E6952" s="7" t="str">
        <f t="shared" si="2548"/>
        <v>大阪府枚方市南中振１丁目</v>
      </c>
      <c r="F6952" s="7"/>
      <c r="G6952" s="7" t="str">
        <f t="shared" si="2549"/>
        <v>事業用資産</v>
      </c>
      <c r="H6952" s="7" t="str">
        <f t="shared" si="2544"/>
        <v>棚卸以外</v>
      </c>
      <c r="I6952" s="7">
        <v>19</v>
      </c>
      <c r="J6952" s="7" t="str">
        <f>"特別教室棟新館"</f>
        <v>特別教室棟新館</v>
      </c>
      <c r="K6952" s="7" t="str">
        <f>"鉄筋コンクリート造"</f>
        <v>鉄筋コンクリート造</v>
      </c>
      <c r="L6952" s="7" t="str">
        <f>"H06.06.30"</f>
        <v>H06.06.30</v>
      </c>
      <c r="M6952" s="7">
        <v>1435.72</v>
      </c>
      <c r="N6952" s="7">
        <v>206961528</v>
      </c>
      <c r="O6952" s="7">
        <v>9855318</v>
      </c>
      <c r="P6952" s="7">
        <v>0</v>
      </c>
      <c r="Q6952" s="7" t="str">
        <f t="shared" si="2551"/>
        <v>教育庁</v>
      </c>
      <c r="R6952" s="7" t="str">
        <f t="shared" si="2550"/>
        <v>いちりつ高等学校</v>
      </c>
    </row>
    <row r="6953" spans="1:18" s="1" customFormat="1" x14ac:dyDescent="0.45">
      <c r="A6953" s="7" t="str">
        <f t="shared" si="2546"/>
        <v>10275003056</v>
      </c>
      <c r="B6953" s="7" t="str">
        <f t="shared" si="2547"/>
        <v>いちりつ高等学校</v>
      </c>
      <c r="C6953" s="7" t="str">
        <f t="shared" si="2545"/>
        <v>行政財産</v>
      </c>
      <c r="D6953" s="7" t="str">
        <f t="shared" si="2543"/>
        <v>学校</v>
      </c>
      <c r="E6953" s="7" t="str">
        <f t="shared" si="2548"/>
        <v>大阪府枚方市南中振１丁目</v>
      </c>
      <c r="F6953" s="7"/>
      <c r="G6953" s="7" t="str">
        <f t="shared" si="2549"/>
        <v>事業用資産</v>
      </c>
      <c r="H6953" s="7" t="str">
        <f t="shared" si="2544"/>
        <v>棚卸以外</v>
      </c>
      <c r="I6953" s="7">
        <v>20</v>
      </c>
      <c r="J6953" s="7" t="str">
        <f>"食堂横トイレ"</f>
        <v>食堂横トイレ</v>
      </c>
      <c r="K6953" s="7" t="str">
        <f>"木造"</f>
        <v>木造</v>
      </c>
      <c r="L6953" s="7" t="str">
        <f>"S39.11.30"</f>
        <v>S39.11.30</v>
      </c>
      <c r="M6953" s="7">
        <v>11</v>
      </c>
      <c r="N6953" s="7">
        <v>108033</v>
      </c>
      <c r="O6953" s="7">
        <v>108032</v>
      </c>
      <c r="P6953" s="7">
        <v>0</v>
      </c>
      <c r="Q6953" s="7" t="str">
        <f t="shared" si="2551"/>
        <v>教育庁</v>
      </c>
      <c r="R6953" s="7" t="str">
        <f t="shared" si="2550"/>
        <v>いちりつ高等学校</v>
      </c>
    </row>
    <row r="6954" spans="1:18" s="1" customFormat="1" x14ac:dyDescent="0.45">
      <c r="A6954" s="7" t="str">
        <f t="shared" si="2546"/>
        <v>10275003056</v>
      </c>
      <c r="B6954" s="7" t="str">
        <f t="shared" si="2547"/>
        <v>いちりつ高等学校</v>
      </c>
      <c r="C6954" s="7" t="str">
        <f t="shared" si="2545"/>
        <v>行政財産</v>
      </c>
      <c r="D6954" s="7" t="str">
        <f t="shared" si="2543"/>
        <v>学校</v>
      </c>
      <c r="E6954" s="7" t="str">
        <f t="shared" si="2548"/>
        <v>大阪府枚方市南中振１丁目</v>
      </c>
      <c r="F6954" s="7"/>
      <c r="G6954" s="7" t="str">
        <f t="shared" si="2549"/>
        <v>事業用資産</v>
      </c>
      <c r="H6954" s="7" t="str">
        <f t="shared" si="2544"/>
        <v>棚卸以外</v>
      </c>
      <c r="I6954" s="7">
        <v>21</v>
      </c>
      <c r="J6954" s="7" t="str">
        <f>"プール横トイレ"</f>
        <v>プール横トイレ</v>
      </c>
      <c r="K6954" s="7" t="str">
        <f>"軽量鉄骨造"</f>
        <v>軽量鉄骨造</v>
      </c>
      <c r="L6954" s="7" t="str">
        <f>"S48.06.30"</f>
        <v>S48.06.30</v>
      </c>
      <c r="M6954" s="7">
        <v>15</v>
      </c>
      <c r="N6954" s="7">
        <v>371500</v>
      </c>
      <c r="O6954" s="7">
        <v>371499</v>
      </c>
      <c r="P6954" s="7">
        <v>0</v>
      </c>
      <c r="Q6954" s="7" t="str">
        <f t="shared" si="2551"/>
        <v>教育庁</v>
      </c>
      <c r="R6954" s="7" t="str">
        <f t="shared" si="2550"/>
        <v>いちりつ高等学校</v>
      </c>
    </row>
    <row r="6955" spans="1:18" s="1" customFormat="1" x14ac:dyDescent="0.45">
      <c r="A6955" s="7" t="str">
        <f t="shared" si="2546"/>
        <v>10275003056</v>
      </c>
      <c r="B6955" s="7" t="str">
        <f t="shared" si="2547"/>
        <v>いちりつ高等学校</v>
      </c>
      <c r="C6955" s="7" t="str">
        <f t="shared" si="2545"/>
        <v>行政財産</v>
      </c>
      <c r="D6955" s="7" t="str">
        <f t="shared" si="2543"/>
        <v>学校</v>
      </c>
      <c r="E6955" s="7" t="str">
        <f t="shared" si="2548"/>
        <v>大阪府枚方市南中振１丁目</v>
      </c>
      <c r="F6955" s="7"/>
      <c r="G6955" s="7" t="str">
        <f t="shared" si="2549"/>
        <v>事業用資産</v>
      </c>
      <c r="H6955" s="7" t="str">
        <f t="shared" si="2544"/>
        <v>棚卸以外</v>
      </c>
      <c r="I6955" s="7">
        <v>22</v>
      </c>
      <c r="J6955" s="7" t="str">
        <f>"倉庫"</f>
        <v>倉庫</v>
      </c>
      <c r="K6955" s="7" t="str">
        <f>"木造"</f>
        <v>木造</v>
      </c>
      <c r="L6955" s="7" t="str">
        <f>"S51.03.31"</f>
        <v>S51.03.31</v>
      </c>
      <c r="M6955" s="7">
        <v>47</v>
      </c>
      <c r="N6955" s="7">
        <v>719113</v>
      </c>
      <c r="O6955" s="7">
        <v>719112</v>
      </c>
      <c r="P6955" s="7">
        <v>0</v>
      </c>
      <c r="Q6955" s="7" t="str">
        <f t="shared" si="2551"/>
        <v>教育庁</v>
      </c>
      <c r="R6955" s="7" t="str">
        <f t="shared" si="2550"/>
        <v>いちりつ高等学校</v>
      </c>
    </row>
    <row r="6956" spans="1:18" s="1" customFormat="1" x14ac:dyDescent="0.45">
      <c r="A6956" s="7" t="str">
        <f t="shared" si="2546"/>
        <v>10275003056</v>
      </c>
      <c r="B6956" s="7" t="str">
        <f t="shared" si="2547"/>
        <v>いちりつ高等学校</v>
      </c>
      <c r="C6956" s="7" t="str">
        <f t="shared" si="2545"/>
        <v>行政財産</v>
      </c>
      <c r="D6956" s="7" t="str">
        <f t="shared" si="2543"/>
        <v>学校</v>
      </c>
      <c r="E6956" s="7" t="str">
        <f t="shared" si="2548"/>
        <v>大阪府枚方市南中振１丁目</v>
      </c>
      <c r="F6956" s="7"/>
      <c r="G6956" s="7" t="str">
        <f t="shared" si="2549"/>
        <v>事業用資産</v>
      </c>
      <c r="H6956" s="7" t="str">
        <f t="shared" si="2544"/>
        <v>棚卸以外</v>
      </c>
      <c r="I6956" s="7">
        <v>23</v>
      </c>
      <c r="J6956" s="7" t="str">
        <f>"第３グラウンド倉庫"</f>
        <v>第３グラウンド倉庫</v>
      </c>
      <c r="K6956" s="7" t="str">
        <f>"軽量鉄骨造"</f>
        <v>軽量鉄骨造</v>
      </c>
      <c r="L6956" s="7" t="str">
        <f>"S45.08.31"</f>
        <v>S45.08.31</v>
      </c>
      <c r="M6956" s="7">
        <v>7</v>
      </c>
      <c r="N6956" s="7">
        <v>73956</v>
      </c>
      <c r="O6956" s="7">
        <v>73955</v>
      </c>
      <c r="P6956" s="7">
        <v>0</v>
      </c>
      <c r="Q6956" s="7" t="str">
        <f t="shared" si="2551"/>
        <v>教育庁</v>
      </c>
      <c r="R6956" s="7" t="str">
        <f t="shared" si="2550"/>
        <v>いちりつ高等学校</v>
      </c>
    </row>
    <row r="6957" spans="1:18" s="1" customFormat="1" x14ac:dyDescent="0.45">
      <c r="A6957" s="7" t="str">
        <f t="shared" si="2546"/>
        <v>10275003056</v>
      </c>
      <c r="B6957" s="7" t="str">
        <f t="shared" si="2547"/>
        <v>いちりつ高等学校</v>
      </c>
      <c r="C6957" s="7" t="str">
        <f t="shared" si="2545"/>
        <v>行政財産</v>
      </c>
      <c r="D6957" s="7" t="str">
        <f t="shared" si="2543"/>
        <v>学校</v>
      </c>
      <c r="E6957" s="7" t="str">
        <f t="shared" si="2548"/>
        <v>大阪府枚方市南中振１丁目</v>
      </c>
      <c r="F6957" s="7"/>
      <c r="G6957" s="7" t="str">
        <f t="shared" si="2549"/>
        <v>事業用資産</v>
      </c>
      <c r="H6957" s="7" t="str">
        <f t="shared" si="2544"/>
        <v>棚卸以外</v>
      </c>
      <c r="I6957" s="7">
        <v>24</v>
      </c>
      <c r="J6957" s="7" t="str">
        <f>"陶芸釜"</f>
        <v>陶芸釜</v>
      </c>
      <c r="K6957" s="7" t="str">
        <f>"コンクリートブロック造"</f>
        <v>コンクリートブロック造</v>
      </c>
      <c r="L6957" s="7" t="str">
        <f>"H02.03.31"</f>
        <v>H02.03.31</v>
      </c>
      <c r="M6957" s="7">
        <v>8</v>
      </c>
      <c r="N6957" s="7">
        <v>205725</v>
      </c>
      <c r="O6957" s="7">
        <v>94292</v>
      </c>
      <c r="P6957" s="7">
        <v>0</v>
      </c>
      <c r="Q6957" s="7" t="str">
        <f t="shared" si="2551"/>
        <v>教育庁</v>
      </c>
      <c r="R6957" s="7" t="str">
        <f t="shared" si="2550"/>
        <v>いちりつ高等学校</v>
      </c>
    </row>
    <row r="6958" spans="1:18" s="1" customFormat="1" x14ac:dyDescent="0.45">
      <c r="A6958" s="7" t="str">
        <f t="shared" si="2546"/>
        <v>10275003056</v>
      </c>
      <c r="B6958" s="7" t="str">
        <f t="shared" si="2547"/>
        <v>いちりつ高等学校</v>
      </c>
      <c r="C6958" s="7" t="str">
        <f t="shared" si="2545"/>
        <v>行政財産</v>
      </c>
      <c r="D6958" s="7" t="str">
        <f t="shared" si="2543"/>
        <v>学校</v>
      </c>
      <c r="E6958" s="7" t="str">
        <f t="shared" si="2548"/>
        <v>大阪府枚方市南中振１丁目</v>
      </c>
      <c r="F6958" s="7"/>
      <c r="G6958" s="7" t="str">
        <f t="shared" si="2549"/>
        <v>事業用資産</v>
      </c>
      <c r="H6958" s="7" t="str">
        <f t="shared" si="2544"/>
        <v>棚卸以外</v>
      </c>
      <c r="I6958" s="7">
        <v>25</v>
      </c>
      <c r="J6958" s="7" t="str">
        <f>"ごみ置き場"</f>
        <v>ごみ置き場</v>
      </c>
      <c r="K6958" s="7" t="str">
        <f>"コンクリートブロック造"</f>
        <v>コンクリートブロック造</v>
      </c>
      <c r="L6958" s="7" t="str">
        <f>"H10.04.30"</f>
        <v>H10.04.30</v>
      </c>
      <c r="M6958" s="7">
        <v>22</v>
      </c>
      <c r="N6958" s="7">
        <v>1655277</v>
      </c>
      <c r="O6958" s="7">
        <v>150480</v>
      </c>
      <c r="P6958" s="7">
        <v>0</v>
      </c>
      <c r="Q6958" s="7" t="str">
        <f t="shared" si="2551"/>
        <v>教育庁</v>
      </c>
      <c r="R6958" s="7" t="str">
        <f t="shared" si="2550"/>
        <v>いちりつ高等学校</v>
      </c>
    </row>
    <row r="6959" spans="1:18" s="1" customFormat="1" x14ac:dyDescent="0.45">
      <c r="A6959" s="7" t="str">
        <f t="shared" ref="A6959:A6978" si="2552">"10275003057"</f>
        <v>10275003057</v>
      </c>
      <c r="B6959" s="7" t="str">
        <f t="shared" ref="B6959:B6978" si="2553">"東淀工業高等学校"</f>
        <v>東淀工業高等学校</v>
      </c>
      <c r="C6959" s="7" t="str">
        <f t="shared" si="2545"/>
        <v>行政財産</v>
      </c>
      <c r="D6959" s="7" t="str">
        <f t="shared" si="2543"/>
        <v>学校</v>
      </c>
      <c r="E6959" s="7" t="str">
        <f t="shared" ref="E6959:E6978" si="2554">"大阪府大阪市　淀川区加島１丁目"</f>
        <v>大阪府大阪市　淀川区加島１丁目</v>
      </c>
      <c r="F6959" s="7"/>
      <c r="G6959" s="7" t="str">
        <f t="shared" si="2549"/>
        <v>事業用資産</v>
      </c>
      <c r="H6959" s="7" t="str">
        <f t="shared" si="2544"/>
        <v>棚卸以外</v>
      </c>
      <c r="I6959" s="7">
        <v>1</v>
      </c>
      <c r="J6959" s="7" t="str">
        <f>"特別・普通教室棟（教室棟北側）１－１"</f>
        <v>特別・普通教室棟（教室棟北側）１－１</v>
      </c>
      <c r="K6959" s="7" t="str">
        <f t="shared" ref="K6959:K6967" si="2555">"鉄筋コンクリート造"</f>
        <v>鉄筋コンクリート造</v>
      </c>
      <c r="L6959" s="7" t="str">
        <f>"S36.02.01"</f>
        <v>S36.02.01</v>
      </c>
      <c r="M6959" s="7">
        <v>1908.59</v>
      </c>
      <c r="N6959" s="7">
        <v>33766173</v>
      </c>
      <c r="O6959" s="7">
        <v>33766172</v>
      </c>
      <c r="P6959" s="7">
        <v>0</v>
      </c>
      <c r="Q6959" s="7" t="str">
        <f t="shared" si="2551"/>
        <v>教育庁</v>
      </c>
      <c r="R6959" s="7" t="str">
        <f t="shared" ref="R6959:R6978" si="2556">"東淀工業高等学校"</f>
        <v>東淀工業高等学校</v>
      </c>
    </row>
    <row r="6960" spans="1:18" s="1" customFormat="1" x14ac:dyDescent="0.45">
      <c r="A6960" s="7" t="str">
        <f t="shared" si="2552"/>
        <v>10275003057</v>
      </c>
      <c r="B6960" s="7" t="str">
        <f t="shared" si="2553"/>
        <v>東淀工業高等学校</v>
      </c>
      <c r="C6960" s="7" t="str">
        <f t="shared" si="2545"/>
        <v>行政財産</v>
      </c>
      <c r="D6960" s="7" t="str">
        <f t="shared" si="2543"/>
        <v>学校</v>
      </c>
      <c r="E6960" s="7" t="str">
        <f t="shared" si="2554"/>
        <v>大阪府大阪市　淀川区加島１丁目</v>
      </c>
      <c r="F6960" s="7"/>
      <c r="G6960" s="7" t="str">
        <f t="shared" si="2549"/>
        <v>事業用資産</v>
      </c>
      <c r="H6960" s="7" t="str">
        <f t="shared" si="2544"/>
        <v>棚卸以外</v>
      </c>
      <c r="I6960" s="7">
        <v>2</v>
      </c>
      <c r="J6960" s="7" t="str">
        <f>"特別教室棟（本館西側）４－１"</f>
        <v>特別教室棟（本館西側）４－１</v>
      </c>
      <c r="K6960" s="7" t="str">
        <f t="shared" si="2555"/>
        <v>鉄筋コンクリート造</v>
      </c>
      <c r="L6960" s="7" t="str">
        <f>"S36.03.01"</f>
        <v>S36.03.01</v>
      </c>
      <c r="M6960" s="7">
        <v>3149.35</v>
      </c>
      <c r="N6960" s="7">
        <v>53945585</v>
      </c>
      <c r="O6960" s="7">
        <v>53945584</v>
      </c>
      <c r="P6960" s="7">
        <v>0</v>
      </c>
      <c r="Q6960" s="7" t="str">
        <f t="shared" si="2551"/>
        <v>教育庁</v>
      </c>
      <c r="R6960" s="7" t="str">
        <f t="shared" si="2556"/>
        <v>東淀工業高等学校</v>
      </c>
    </row>
    <row r="6961" spans="1:18" s="1" customFormat="1" ht="26.4" x14ac:dyDescent="0.45">
      <c r="A6961" s="7" t="str">
        <f t="shared" si="2552"/>
        <v>10275003057</v>
      </c>
      <c r="B6961" s="7" t="str">
        <f t="shared" si="2553"/>
        <v>東淀工業高等学校</v>
      </c>
      <c r="C6961" s="7" t="str">
        <f t="shared" si="2545"/>
        <v>行政財産</v>
      </c>
      <c r="D6961" s="7" t="str">
        <f t="shared" si="2543"/>
        <v>学校</v>
      </c>
      <c r="E6961" s="7" t="str">
        <f t="shared" si="2554"/>
        <v>大阪府大阪市　淀川区加島１丁目</v>
      </c>
      <c r="F6961" s="7"/>
      <c r="G6961" s="7" t="str">
        <f t="shared" si="2549"/>
        <v>事業用資産</v>
      </c>
      <c r="H6961" s="7" t="str">
        <f t="shared" si="2544"/>
        <v>棚卸以外</v>
      </c>
      <c r="I6961" s="7">
        <v>3</v>
      </c>
      <c r="J6961" s="7" t="str">
        <f>"特別教室棟５・電気機械室（変電室・ポンプ室）６"</f>
        <v>特別教室棟５・電気機械室（変電室・ポンプ室）６</v>
      </c>
      <c r="K6961" s="7" t="str">
        <f t="shared" si="2555"/>
        <v>鉄筋コンクリート造</v>
      </c>
      <c r="L6961" s="7" t="str">
        <f>"S36.03.01"</f>
        <v>S36.03.01</v>
      </c>
      <c r="M6961" s="7">
        <v>267.63</v>
      </c>
      <c r="N6961" s="7">
        <v>4734825</v>
      </c>
      <c r="O6961" s="7">
        <v>4734824</v>
      </c>
      <c r="P6961" s="7">
        <v>0</v>
      </c>
      <c r="Q6961" s="7" t="str">
        <f t="shared" si="2551"/>
        <v>教育庁</v>
      </c>
      <c r="R6961" s="7" t="str">
        <f t="shared" si="2556"/>
        <v>東淀工業高等学校</v>
      </c>
    </row>
    <row r="6962" spans="1:18" s="1" customFormat="1" x14ac:dyDescent="0.45">
      <c r="A6962" s="7" t="str">
        <f t="shared" si="2552"/>
        <v>10275003057</v>
      </c>
      <c r="B6962" s="7" t="str">
        <f t="shared" si="2553"/>
        <v>東淀工業高等学校</v>
      </c>
      <c r="C6962" s="7" t="str">
        <f t="shared" si="2545"/>
        <v>行政財産</v>
      </c>
      <c r="D6962" s="7" t="str">
        <f t="shared" si="2543"/>
        <v>学校</v>
      </c>
      <c r="E6962" s="7" t="str">
        <f t="shared" si="2554"/>
        <v>大阪府大阪市　淀川区加島１丁目</v>
      </c>
      <c r="F6962" s="7"/>
      <c r="G6962" s="7" t="str">
        <f t="shared" si="2549"/>
        <v>事業用資産</v>
      </c>
      <c r="H6962" s="7" t="str">
        <f t="shared" si="2544"/>
        <v>棚卸以外</v>
      </c>
      <c r="I6962" s="7">
        <v>4</v>
      </c>
      <c r="J6962" s="7" t="str">
        <f>"管理室棟（本館東側）３１－２"</f>
        <v>管理室棟（本館東側）３１－２</v>
      </c>
      <c r="K6962" s="7" t="str">
        <f t="shared" si="2555"/>
        <v>鉄筋コンクリート造</v>
      </c>
      <c r="L6962" s="7" t="str">
        <f>"S37.05.01"</f>
        <v>S37.05.01</v>
      </c>
      <c r="M6962" s="7">
        <v>3608.59</v>
      </c>
      <c r="N6962" s="7">
        <v>74438840</v>
      </c>
      <c r="O6962" s="7">
        <v>73481216</v>
      </c>
      <c r="P6962" s="7">
        <v>0</v>
      </c>
      <c r="Q6962" s="7" t="str">
        <f t="shared" si="2551"/>
        <v>教育庁</v>
      </c>
      <c r="R6962" s="7" t="str">
        <f t="shared" si="2556"/>
        <v>東淀工業高等学校</v>
      </c>
    </row>
    <row r="6963" spans="1:18" s="1" customFormat="1" x14ac:dyDescent="0.45">
      <c r="A6963" s="7" t="str">
        <f t="shared" si="2552"/>
        <v>10275003057</v>
      </c>
      <c r="B6963" s="7" t="str">
        <f t="shared" si="2553"/>
        <v>東淀工業高等学校</v>
      </c>
      <c r="C6963" s="7" t="str">
        <f t="shared" si="2545"/>
        <v>行政財産</v>
      </c>
      <c r="D6963" s="7" t="str">
        <f t="shared" si="2543"/>
        <v>学校</v>
      </c>
      <c r="E6963" s="7" t="str">
        <f t="shared" si="2554"/>
        <v>大阪府大阪市　淀川区加島１丁目</v>
      </c>
      <c r="F6963" s="7"/>
      <c r="G6963" s="7" t="str">
        <f t="shared" si="2549"/>
        <v>事業用資産</v>
      </c>
      <c r="H6963" s="7" t="str">
        <f t="shared" si="2544"/>
        <v>棚卸以外</v>
      </c>
      <c r="I6963" s="7">
        <v>5</v>
      </c>
      <c r="J6963" s="7" t="str">
        <f>"特別・普通教室棟（教室棟南側）３０－２"</f>
        <v>特別・普通教室棟（教室棟南側）３０－２</v>
      </c>
      <c r="K6963" s="7" t="str">
        <f t="shared" si="2555"/>
        <v>鉄筋コンクリート造</v>
      </c>
      <c r="L6963" s="7" t="str">
        <f>"S37.05.01"</f>
        <v>S37.05.01</v>
      </c>
      <c r="M6963" s="7">
        <v>2192.66</v>
      </c>
      <c r="N6963" s="7">
        <v>31448170</v>
      </c>
      <c r="O6963" s="7">
        <v>31010094</v>
      </c>
      <c r="P6963" s="7">
        <v>0</v>
      </c>
      <c r="Q6963" s="7" t="str">
        <f t="shared" si="2551"/>
        <v>教育庁</v>
      </c>
      <c r="R6963" s="7" t="str">
        <f t="shared" si="2556"/>
        <v>東淀工業高等学校</v>
      </c>
    </row>
    <row r="6964" spans="1:18" s="1" customFormat="1" x14ac:dyDescent="0.45">
      <c r="A6964" s="7" t="str">
        <f t="shared" si="2552"/>
        <v>10275003057</v>
      </c>
      <c r="B6964" s="7" t="str">
        <f t="shared" si="2553"/>
        <v>東淀工業高等学校</v>
      </c>
      <c r="C6964" s="7" t="str">
        <f t="shared" si="2545"/>
        <v>行政財産</v>
      </c>
      <c r="D6964" s="7" t="str">
        <f t="shared" si="2543"/>
        <v>学校</v>
      </c>
      <c r="E6964" s="7" t="str">
        <f t="shared" si="2554"/>
        <v>大阪府大阪市　淀川区加島１丁目</v>
      </c>
      <c r="F6964" s="7"/>
      <c r="G6964" s="7" t="str">
        <f t="shared" si="2549"/>
        <v>事業用資産</v>
      </c>
      <c r="H6964" s="7" t="str">
        <f t="shared" si="2544"/>
        <v>棚卸以外</v>
      </c>
      <c r="I6964" s="7">
        <v>6</v>
      </c>
      <c r="J6964" s="7" t="str">
        <f>"特別教室棟（電気実習棟）８"</f>
        <v>特別教室棟（電気実習棟）８</v>
      </c>
      <c r="K6964" s="7" t="str">
        <f t="shared" si="2555"/>
        <v>鉄筋コンクリート造</v>
      </c>
      <c r="L6964" s="7" t="str">
        <f>"S37.05.01"</f>
        <v>S37.05.01</v>
      </c>
      <c r="M6964" s="7">
        <v>486.54</v>
      </c>
      <c r="N6964" s="7">
        <v>25642297</v>
      </c>
      <c r="O6964" s="7">
        <v>25642296</v>
      </c>
      <c r="P6964" s="7">
        <v>0</v>
      </c>
      <c r="Q6964" s="7" t="str">
        <f t="shared" si="2551"/>
        <v>教育庁</v>
      </c>
      <c r="R6964" s="7" t="str">
        <f t="shared" si="2556"/>
        <v>東淀工業高等学校</v>
      </c>
    </row>
    <row r="6965" spans="1:18" s="1" customFormat="1" x14ac:dyDescent="0.45">
      <c r="A6965" s="7" t="str">
        <f t="shared" si="2552"/>
        <v>10275003057</v>
      </c>
      <c r="B6965" s="7" t="str">
        <f t="shared" si="2553"/>
        <v>東淀工業高等学校</v>
      </c>
      <c r="C6965" s="7" t="str">
        <f t="shared" si="2545"/>
        <v>行政財産</v>
      </c>
      <c r="D6965" s="7" t="str">
        <f t="shared" si="2543"/>
        <v>学校</v>
      </c>
      <c r="E6965" s="7" t="str">
        <f t="shared" si="2554"/>
        <v>大阪府大阪市　淀川区加島１丁目</v>
      </c>
      <c r="F6965" s="7"/>
      <c r="G6965" s="7" t="str">
        <f t="shared" si="2549"/>
        <v>事業用資産</v>
      </c>
      <c r="H6965" s="7" t="str">
        <f t="shared" si="2544"/>
        <v>棚卸以外</v>
      </c>
      <c r="I6965" s="7">
        <v>7</v>
      </c>
      <c r="J6965" s="7" t="str">
        <f>"特別・普通教室棟（講堂１F）１２－１"</f>
        <v>特別・普通教室棟（講堂１F）１２－１</v>
      </c>
      <c r="K6965" s="7" t="str">
        <f t="shared" si="2555"/>
        <v>鉄筋コンクリート造</v>
      </c>
      <c r="L6965" s="7" t="str">
        <f>"S38.03.01"</f>
        <v>S38.03.01</v>
      </c>
      <c r="M6965" s="7">
        <v>924.49</v>
      </c>
      <c r="N6965" s="7">
        <v>18759778</v>
      </c>
      <c r="O6965" s="7">
        <v>18638559</v>
      </c>
      <c r="P6965" s="7">
        <v>0</v>
      </c>
      <c r="Q6965" s="7" t="str">
        <f t="shared" si="2551"/>
        <v>教育庁</v>
      </c>
      <c r="R6965" s="7" t="str">
        <f t="shared" si="2556"/>
        <v>東淀工業高等学校</v>
      </c>
    </row>
    <row r="6966" spans="1:18" s="1" customFormat="1" x14ac:dyDescent="0.45">
      <c r="A6966" s="7" t="str">
        <f t="shared" si="2552"/>
        <v>10275003057</v>
      </c>
      <c r="B6966" s="7" t="str">
        <f t="shared" si="2553"/>
        <v>東淀工業高等学校</v>
      </c>
      <c r="C6966" s="7" t="str">
        <f t="shared" si="2545"/>
        <v>行政財産</v>
      </c>
      <c r="D6966" s="7" t="str">
        <f t="shared" si="2543"/>
        <v>学校</v>
      </c>
      <c r="E6966" s="7" t="str">
        <f t="shared" si="2554"/>
        <v>大阪府大阪市　淀川区加島１丁目</v>
      </c>
      <c r="F6966" s="7"/>
      <c r="G6966" s="7" t="str">
        <f t="shared" si="2549"/>
        <v>事業用資産</v>
      </c>
      <c r="H6966" s="7" t="str">
        <f t="shared" si="2544"/>
        <v>棚卸以外</v>
      </c>
      <c r="I6966" s="7">
        <v>8</v>
      </c>
      <c r="J6966" s="7" t="str">
        <f>"屋体棟（講堂２・３F）１２－２・１２－３"</f>
        <v>屋体棟（講堂２・３F）１２－２・１２－３</v>
      </c>
      <c r="K6966" s="7" t="str">
        <f t="shared" si="2555"/>
        <v>鉄筋コンクリート造</v>
      </c>
      <c r="L6966" s="7" t="str">
        <f>"S39.01.01"</f>
        <v>S39.01.01</v>
      </c>
      <c r="M6966" s="7">
        <v>1302.1099999999999</v>
      </c>
      <c r="N6966" s="7">
        <v>17039770</v>
      </c>
      <c r="O6966" s="7">
        <v>17039769</v>
      </c>
      <c r="P6966" s="7">
        <v>0</v>
      </c>
      <c r="Q6966" s="7" t="str">
        <f t="shared" si="2551"/>
        <v>教育庁</v>
      </c>
      <c r="R6966" s="7" t="str">
        <f t="shared" si="2556"/>
        <v>東淀工業高等学校</v>
      </c>
    </row>
    <row r="6967" spans="1:18" s="1" customFormat="1" x14ac:dyDescent="0.45">
      <c r="A6967" s="7" t="str">
        <f t="shared" si="2552"/>
        <v>10275003057</v>
      </c>
      <c r="B6967" s="7" t="str">
        <f t="shared" si="2553"/>
        <v>東淀工業高等学校</v>
      </c>
      <c r="C6967" s="7" t="str">
        <f t="shared" si="2545"/>
        <v>行政財産</v>
      </c>
      <c r="D6967" s="7" t="str">
        <f t="shared" si="2543"/>
        <v>学校</v>
      </c>
      <c r="E6967" s="7" t="str">
        <f t="shared" si="2554"/>
        <v>大阪府大阪市　淀川区加島１丁目</v>
      </c>
      <c r="F6967" s="7"/>
      <c r="G6967" s="7" t="str">
        <f t="shared" si="2549"/>
        <v>事業用資産</v>
      </c>
      <c r="H6967" s="7" t="str">
        <f t="shared" si="2544"/>
        <v>棚卸以外</v>
      </c>
      <c r="I6967" s="7">
        <v>9</v>
      </c>
      <c r="J6967" s="7" t="str">
        <f>"食堂棟・武道場２２・３３"</f>
        <v>食堂棟・武道場２２・３３</v>
      </c>
      <c r="K6967" s="7" t="str">
        <f t="shared" si="2555"/>
        <v>鉄筋コンクリート造</v>
      </c>
      <c r="L6967" s="7" t="str">
        <f>"S44.05.01"</f>
        <v>S44.05.01</v>
      </c>
      <c r="M6967" s="7">
        <v>531.17999999999995</v>
      </c>
      <c r="N6967" s="7">
        <v>8302700</v>
      </c>
      <c r="O6967" s="7">
        <v>8302699</v>
      </c>
      <c r="P6967" s="7">
        <v>0</v>
      </c>
      <c r="Q6967" s="7" t="str">
        <f t="shared" si="2551"/>
        <v>教育庁</v>
      </c>
      <c r="R6967" s="7" t="str">
        <f t="shared" si="2556"/>
        <v>東淀工業高等学校</v>
      </c>
    </row>
    <row r="6968" spans="1:18" s="1" customFormat="1" ht="26.4" x14ac:dyDescent="0.45">
      <c r="A6968" s="7" t="str">
        <f t="shared" si="2552"/>
        <v>10275003057</v>
      </c>
      <c r="B6968" s="7" t="str">
        <f t="shared" si="2553"/>
        <v>東淀工業高等学校</v>
      </c>
      <c r="C6968" s="7" t="str">
        <f t="shared" si="2545"/>
        <v>行政財産</v>
      </c>
      <c r="D6968" s="7" t="str">
        <f t="shared" si="2543"/>
        <v>学校</v>
      </c>
      <c r="E6968" s="7" t="str">
        <f t="shared" si="2554"/>
        <v>大阪府大阪市　淀川区加島１丁目</v>
      </c>
      <c r="F6968" s="7"/>
      <c r="G6968" s="7" t="str">
        <f t="shared" si="2549"/>
        <v>事業用資産</v>
      </c>
      <c r="H6968" s="7" t="str">
        <f t="shared" si="2544"/>
        <v>棚卸以外</v>
      </c>
      <c r="I6968" s="7">
        <v>10</v>
      </c>
      <c r="J6968" s="7" t="str">
        <f>"下足室２０"</f>
        <v>下足室２０</v>
      </c>
      <c r="K6968" s="7" t="str">
        <f>"鉄骨鉄筋コンクリート造"</f>
        <v>鉄骨鉄筋コンクリート造</v>
      </c>
      <c r="L6968" s="7" t="str">
        <f>"S38.04.01"</f>
        <v>S38.04.01</v>
      </c>
      <c r="M6968" s="7">
        <v>186</v>
      </c>
      <c r="N6968" s="7">
        <v>7246560</v>
      </c>
      <c r="O6968" s="7">
        <v>7246559</v>
      </c>
      <c r="P6968" s="7">
        <v>0</v>
      </c>
      <c r="Q6968" s="7" t="str">
        <f t="shared" si="2551"/>
        <v>教育庁</v>
      </c>
      <c r="R6968" s="7" t="str">
        <f t="shared" si="2556"/>
        <v>東淀工業高等学校</v>
      </c>
    </row>
    <row r="6969" spans="1:18" s="1" customFormat="1" ht="26.4" x14ac:dyDescent="0.45">
      <c r="A6969" s="7" t="str">
        <f t="shared" si="2552"/>
        <v>10275003057</v>
      </c>
      <c r="B6969" s="7" t="str">
        <f t="shared" si="2553"/>
        <v>東淀工業高等学校</v>
      </c>
      <c r="C6969" s="7" t="str">
        <f t="shared" si="2545"/>
        <v>行政財産</v>
      </c>
      <c r="D6969" s="7" t="str">
        <f t="shared" si="2543"/>
        <v>学校</v>
      </c>
      <c r="E6969" s="7" t="str">
        <f t="shared" si="2554"/>
        <v>大阪府大阪市　淀川区加島１丁目</v>
      </c>
      <c r="F6969" s="7"/>
      <c r="G6969" s="7" t="str">
        <f t="shared" si="2549"/>
        <v>事業用資産</v>
      </c>
      <c r="H6969" s="7" t="str">
        <f t="shared" si="2544"/>
        <v>棚卸以外</v>
      </c>
      <c r="I6969" s="7">
        <v>11</v>
      </c>
      <c r="J6969" s="7" t="str">
        <f>"クラブ部室棟２１"</f>
        <v>クラブ部室棟２１</v>
      </c>
      <c r="K6969" s="7" t="str">
        <f>"鉄骨鉄筋コンクリート造"</f>
        <v>鉄骨鉄筋コンクリート造</v>
      </c>
      <c r="L6969" s="7" t="str">
        <f>"S38.04.01"</f>
        <v>S38.04.01</v>
      </c>
      <c r="M6969" s="7">
        <v>158</v>
      </c>
      <c r="N6969" s="7">
        <v>6246389</v>
      </c>
      <c r="O6969" s="7">
        <v>6154944</v>
      </c>
      <c r="P6969" s="7">
        <v>0</v>
      </c>
      <c r="Q6969" s="7" t="str">
        <f t="shared" si="2551"/>
        <v>教育庁</v>
      </c>
      <c r="R6969" s="7" t="str">
        <f t="shared" si="2556"/>
        <v>東淀工業高等学校</v>
      </c>
    </row>
    <row r="6970" spans="1:18" s="1" customFormat="1" x14ac:dyDescent="0.45">
      <c r="A6970" s="7" t="str">
        <f t="shared" si="2552"/>
        <v>10275003057</v>
      </c>
      <c r="B6970" s="7" t="str">
        <f t="shared" si="2553"/>
        <v>東淀工業高等学校</v>
      </c>
      <c r="C6970" s="7" t="str">
        <f t="shared" si="2545"/>
        <v>行政財産</v>
      </c>
      <c r="D6970" s="7" t="str">
        <f t="shared" si="2543"/>
        <v>学校</v>
      </c>
      <c r="E6970" s="7" t="str">
        <f t="shared" si="2554"/>
        <v>大阪府大阪市　淀川区加島１丁目</v>
      </c>
      <c r="F6970" s="7"/>
      <c r="G6970" s="7" t="str">
        <f t="shared" si="2549"/>
        <v>事業用資産</v>
      </c>
      <c r="H6970" s="7" t="str">
        <f t="shared" si="2544"/>
        <v>棚卸以外</v>
      </c>
      <c r="I6970" s="7">
        <v>12</v>
      </c>
      <c r="J6970" s="7" t="str">
        <f>"特別教室棟（機械第二工場）２５"</f>
        <v>特別教室棟（機械第二工場）２５</v>
      </c>
      <c r="K6970" s="7" t="str">
        <f>"鉄筋コンクリート造"</f>
        <v>鉄筋コンクリート造</v>
      </c>
      <c r="L6970" s="7" t="str">
        <f>"S58.09.01"</f>
        <v>S58.09.01</v>
      </c>
      <c r="M6970" s="7">
        <v>1048.1600000000001</v>
      </c>
      <c r="N6970" s="7">
        <v>49878599</v>
      </c>
      <c r="O6970" s="7">
        <v>5432328</v>
      </c>
      <c r="P6970" s="7">
        <v>0</v>
      </c>
      <c r="Q6970" s="7" t="str">
        <f t="shared" si="2551"/>
        <v>教育庁</v>
      </c>
      <c r="R6970" s="7" t="str">
        <f t="shared" si="2556"/>
        <v>東淀工業高等学校</v>
      </c>
    </row>
    <row r="6971" spans="1:18" s="1" customFormat="1" ht="26.4" x14ac:dyDescent="0.45">
      <c r="A6971" s="7" t="str">
        <f t="shared" si="2552"/>
        <v>10275003057</v>
      </c>
      <c r="B6971" s="7" t="str">
        <f t="shared" si="2553"/>
        <v>東淀工業高等学校</v>
      </c>
      <c r="C6971" s="7" t="str">
        <f t="shared" si="2545"/>
        <v>行政財産</v>
      </c>
      <c r="D6971" s="7" t="str">
        <f t="shared" si="2543"/>
        <v>学校</v>
      </c>
      <c r="E6971" s="7" t="str">
        <f t="shared" si="2554"/>
        <v>大阪府大阪市　淀川区加島１丁目</v>
      </c>
      <c r="F6971" s="7"/>
      <c r="G6971" s="7" t="str">
        <f t="shared" si="2549"/>
        <v>事業用資産</v>
      </c>
      <c r="H6971" s="7" t="str">
        <f t="shared" si="2544"/>
        <v>棚卸以外</v>
      </c>
      <c r="I6971" s="7">
        <v>13</v>
      </c>
      <c r="J6971" s="7" t="str">
        <f>"特別教室棟（機械第一工場）２６"</f>
        <v>特別教室棟（機械第一工場）２６</v>
      </c>
      <c r="K6971" s="7" t="str">
        <f>"鉄骨鉄筋コンクリート造"</f>
        <v>鉄骨鉄筋コンクリート造</v>
      </c>
      <c r="L6971" s="7" t="str">
        <f>"S59.03.01"</f>
        <v>S59.03.01</v>
      </c>
      <c r="M6971" s="7">
        <v>1830.7</v>
      </c>
      <c r="N6971" s="7">
        <v>41128104</v>
      </c>
      <c r="O6971" s="7">
        <v>41128103</v>
      </c>
      <c r="P6971" s="7">
        <v>0</v>
      </c>
      <c r="Q6971" s="7" t="str">
        <f t="shared" si="2551"/>
        <v>教育庁</v>
      </c>
      <c r="R6971" s="7" t="str">
        <f t="shared" si="2556"/>
        <v>東淀工業高等学校</v>
      </c>
    </row>
    <row r="6972" spans="1:18" s="1" customFormat="1" x14ac:dyDescent="0.45">
      <c r="A6972" s="7" t="str">
        <f t="shared" si="2552"/>
        <v>10275003057</v>
      </c>
      <c r="B6972" s="7" t="str">
        <f t="shared" si="2553"/>
        <v>東淀工業高等学校</v>
      </c>
      <c r="C6972" s="7" t="str">
        <f t="shared" si="2545"/>
        <v>行政財産</v>
      </c>
      <c r="D6972" s="7" t="str">
        <f t="shared" si="2543"/>
        <v>学校</v>
      </c>
      <c r="E6972" s="7" t="str">
        <f t="shared" si="2554"/>
        <v>大阪府大阪市　淀川区加島１丁目</v>
      </c>
      <c r="F6972" s="7"/>
      <c r="G6972" s="7" t="str">
        <f t="shared" si="2549"/>
        <v>事業用資産</v>
      </c>
      <c r="H6972" s="7" t="str">
        <f t="shared" si="2544"/>
        <v>棚卸以外</v>
      </c>
      <c r="I6972" s="7">
        <v>14</v>
      </c>
      <c r="J6972" s="7" t="str">
        <f>"渡り廊下（教室棟北側）１－３・１－５"</f>
        <v>渡り廊下（教室棟北側）１－３・１－５</v>
      </c>
      <c r="K6972" s="7" t="str">
        <f>"鉄筋コンクリート造"</f>
        <v>鉄筋コンクリート造</v>
      </c>
      <c r="L6972" s="7" t="str">
        <f>"S62.03.01"</f>
        <v>S62.03.01</v>
      </c>
      <c r="M6972" s="7">
        <v>255</v>
      </c>
      <c r="N6972" s="7">
        <v>22577562</v>
      </c>
      <c r="O6972" s="7">
        <v>1736746</v>
      </c>
      <c r="P6972" s="7">
        <v>0</v>
      </c>
      <c r="Q6972" s="7" t="str">
        <f t="shared" si="2551"/>
        <v>教育庁</v>
      </c>
      <c r="R6972" s="7" t="str">
        <f t="shared" si="2556"/>
        <v>東淀工業高等学校</v>
      </c>
    </row>
    <row r="6973" spans="1:18" s="1" customFormat="1" x14ac:dyDescent="0.45">
      <c r="A6973" s="7" t="str">
        <f t="shared" si="2552"/>
        <v>10275003057</v>
      </c>
      <c r="B6973" s="7" t="str">
        <f t="shared" si="2553"/>
        <v>東淀工業高等学校</v>
      </c>
      <c r="C6973" s="7" t="str">
        <f t="shared" si="2545"/>
        <v>行政財産</v>
      </c>
      <c r="D6973" s="7" t="str">
        <f t="shared" si="2543"/>
        <v>学校</v>
      </c>
      <c r="E6973" s="7" t="str">
        <f t="shared" si="2554"/>
        <v>大阪府大阪市　淀川区加島１丁目</v>
      </c>
      <c r="F6973" s="7"/>
      <c r="G6973" s="7" t="str">
        <f t="shared" si="2549"/>
        <v>事業用資産</v>
      </c>
      <c r="H6973" s="7" t="str">
        <f t="shared" si="2544"/>
        <v>棚卸以外</v>
      </c>
      <c r="I6973" s="7">
        <v>15</v>
      </c>
      <c r="J6973" s="7" t="str">
        <f>"渡り廊下（教室棟南側）３０－４"</f>
        <v>渡り廊下（教室棟南側）３０－４</v>
      </c>
      <c r="K6973" s="7" t="str">
        <f>"鉄筋コンクリート造"</f>
        <v>鉄筋コンクリート造</v>
      </c>
      <c r="L6973" s="7" t="str">
        <f>"S62.03.01"</f>
        <v>S62.03.01</v>
      </c>
      <c r="M6973" s="7">
        <v>286</v>
      </c>
      <c r="N6973" s="7">
        <v>28509041</v>
      </c>
      <c r="O6973" s="7">
        <v>2193004</v>
      </c>
      <c r="P6973" s="7">
        <v>0</v>
      </c>
      <c r="Q6973" s="7" t="str">
        <f t="shared" si="2551"/>
        <v>教育庁</v>
      </c>
      <c r="R6973" s="7" t="str">
        <f t="shared" si="2556"/>
        <v>東淀工業高等学校</v>
      </c>
    </row>
    <row r="6974" spans="1:18" s="1" customFormat="1" x14ac:dyDescent="0.45">
      <c r="A6974" s="7" t="str">
        <f t="shared" si="2552"/>
        <v>10275003057</v>
      </c>
      <c r="B6974" s="7" t="str">
        <f t="shared" si="2553"/>
        <v>東淀工業高等学校</v>
      </c>
      <c r="C6974" s="7" t="str">
        <f t="shared" si="2545"/>
        <v>行政財産</v>
      </c>
      <c r="D6974" s="7" t="str">
        <f t="shared" si="2543"/>
        <v>学校</v>
      </c>
      <c r="E6974" s="7" t="str">
        <f t="shared" si="2554"/>
        <v>大阪府大阪市　淀川区加島１丁目</v>
      </c>
      <c r="F6974" s="7"/>
      <c r="G6974" s="7" t="str">
        <f t="shared" si="2549"/>
        <v>事業用資産</v>
      </c>
      <c r="H6974" s="7" t="str">
        <f t="shared" si="2544"/>
        <v>棚卸以外</v>
      </c>
      <c r="I6974" s="7">
        <v>16</v>
      </c>
      <c r="J6974" s="7" t="str">
        <f>"同窓会館２７"</f>
        <v>同窓会館２７</v>
      </c>
      <c r="K6974" s="7" t="str">
        <f>"鉄骨造"</f>
        <v>鉄骨造</v>
      </c>
      <c r="L6974" s="7" t="str">
        <f>"H02.11.01"</f>
        <v>H02.11.01</v>
      </c>
      <c r="M6974" s="7">
        <v>249.8</v>
      </c>
      <c r="N6974" s="7">
        <v>5695246</v>
      </c>
      <c r="O6974" s="7">
        <v>2020898</v>
      </c>
      <c r="P6974" s="7">
        <v>0</v>
      </c>
      <c r="Q6974" s="7" t="str">
        <f t="shared" si="2551"/>
        <v>教育庁</v>
      </c>
      <c r="R6974" s="7" t="str">
        <f t="shared" si="2556"/>
        <v>東淀工業高等学校</v>
      </c>
    </row>
    <row r="6975" spans="1:18" s="1" customFormat="1" x14ac:dyDescent="0.45">
      <c r="A6975" s="7" t="str">
        <f t="shared" si="2552"/>
        <v>10275003057</v>
      </c>
      <c r="B6975" s="7" t="str">
        <f t="shared" si="2553"/>
        <v>東淀工業高等学校</v>
      </c>
      <c r="C6975" s="7" t="str">
        <f t="shared" si="2545"/>
        <v>行政財産</v>
      </c>
      <c r="D6975" s="7" t="str">
        <f t="shared" si="2543"/>
        <v>学校</v>
      </c>
      <c r="E6975" s="7" t="str">
        <f t="shared" si="2554"/>
        <v>大阪府大阪市　淀川区加島１丁目</v>
      </c>
      <c r="F6975" s="7"/>
      <c r="G6975" s="7" t="str">
        <f t="shared" si="2549"/>
        <v>事業用資産</v>
      </c>
      <c r="H6975" s="7" t="str">
        <f t="shared" si="2544"/>
        <v>棚卸以外</v>
      </c>
      <c r="I6975" s="7">
        <v>17</v>
      </c>
      <c r="J6975" s="7" t="str">
        <f>"屋体棟３４"</f>
        <v>屋体棟３４</v>
      </c>
      <c r="K6975" s="7" t="str">
        <f>"鉄筋コンクリート造"</f>
        <v>鉄筋コンクリート造</v>
      </c>
      <c r="L6975" s="7" t="str">
        <f>"H29.03.27"</f>
        <v>H29.03.27</v>
      </c>
      <c r="M6975" s="7">
        <v>1799</v>
      </c>
      <c r="N6975" s="7">
        <v>500758809</v>
      </c>
      <c r="O6975" s="7">
        <v>10930792</v>
      </c>
      <c r="P6975" s="7">
        <v>0</v>
      </c>
      <c r="Q6975" s="7" t="str">
        <f t="shared" si="2551"/>
        <v>教育庁</v>
      </c>
      <c r="R6975" s="7" t="str">
        <f t="shared" si="2556"/>
        <v>東淀工業高等学校</v>
      </c>
    </row>
    <row r="6976" spans="1:18" s="1" customFormat="1" x14ac:dyDescent="0.45">
      <c r="A6976" s="7" t="str">
        <f t="shared" si="2552"/>
        <v>10275003057</v>
      </c>
      <c r="B6976" s="7" t="str">
        <f t="shared" si="2553"/>
        <v>東淀工業高等学校</v>
      </c>
      <c r="C6976" s="7" t="str">
        <f t="shared" si="2545"/>
        <v>行政財産</v>
      </c>
      <c r="D6976" s="7" t="str">
        <f t="shared" si="2543"/>
        <v>学校</v>
      </c>
      <c r="E6976" s="7" t="str">
        <f t="shared" si="2554"/>
        <v>大阪府大阪市　淀川区加島１丁目</v>
      </c>
      <c r="F6976" s="7"/>
      <c r="G6976" s="7" t="str">
        <f t="shared" si="2549"/>
        <v>事業用資産</v>
      </c>
      <c r="H6976" s="7" t="str">
        <f t="shared" si="2544"/>
        <v>棚卸以外</v>
      </c>
      <c r="I6976" s="7">
        <v>20</v>
      </c>
      <c r="J6976" s="7" t="str">
        <f>"石灰倉庫"</f>
        <v>石灰倉庫</v>
      </c>
      <c r="K6976" s="7" t="str">
        <f>"鉄骨造"</f>
        <v>鉄骨造</v>
      </c>
      <c r="L6976" s="7" t="str">
        <f>"H29.03.27"</f>
        <v>H29.03.27</v>
      </c>
      <c r="M6976" s="7">
        <v>5</v>
      </c>
      <c r="N6976" s="7">
        <v>886892</v>
      </c>
      <c r="O6976" s="7">
        <v>31273</v>
      </c>
      <c r="P6976" s="7">
        <v>0</v>
      </c>
      <c r="Q6976" s="7" t="str">
        <f t="shared" si="2551"/>
        <v>教育庁</v>
      </c>
      <c r="R6976" s="7" t="str">
        <f t="shared" si="2556"/>
        <v>東淀工業高等学校</v>
      </c>
    </row>
    <row r="6977" spans="1:18" s="1" customFormat="1" x14ac:dyDescent="0.45">
      <c r="A6977" s="7" t="str">
        <f t="shared" si="2552"/>
        <v>10275003057</v>
      </c>
      <c r="B6977" s="7" t="str">
        <f t="shared" si="2553"/>
        <v>東淀工業高等学校</v>
      </c>
      <c r="C6977" s="7" t="str">
        <f t="shared" si="2545"/>
        <v>行政財産</v>
      </c>
      <c r="D6977" s="7" t="str">
        <f t="shared" si="2543"/>
        <v>学校</v>
      </c>
      <c r="E6977" s="7" t="str">
        <f t="shared" si="2554"/>
        <v>大阪府大阪市　淀川区加島１丁目</v>
      </c>
      <c r="F6977" s="7"/>
      <c r="G6977" s="7" t="str">
        <f t="shared" si="2549"/>
        <v>事業用資産</v>
      </c>
      <c r="H6977" s="7" t="str">
        <f t="shared" si="2544"/>
        <v>棚卸以外</v>
      </c>
      <c r="I6977" s="7">
        <v>21</v>
      </c>
      <c r="J6977" s="7" t="str">
        <f>"プール専用付属室（更衣室）１９"</f>
        <v>プール専用付属室（更衣室）１９</v>
      </c>
      <c r="K6977" s="7" t="str">
        <f>"鉄筋コンクリート造"</f>
        <v>鉄筋コンクリート造</v>
      </c>
      <c r="L6977" s="7" t="str">
        <f>"S54.06.30"</f>
        <v>S54.06.30</v>
      </c>
      <c r="M6977" s="7">
        <v>50</v>
      </c>
      <c r="N6977" s="7">
        <v>1719686</v>
      </c>
      <c r="O6977" s="7">
        <v>370920</v>
      </c>
      <c r="P6977" s="7">
        <v>0</v>
      </c>
      <c r="Q6977" s="7" t="str">
        <f t="shared" si="2551"/>
        <v>教育庁</v>
      </c>
      <c r="R6977" s="7" t="str">
        <f t="shared" si="2556"/>
        <v>東淀工業高等学校</v>
      </c>
    </row>
    <row r="6978" spans="1:18" s="1" customFormat="1" x14ac:dyDescent="0.45">
      <c r="A6978" s="7" t="str">
        <f t="shared" si="2552"/>
        <v>10275003057</v>
      </c>
      <c r="B6978" s="7" t="str">
        <f t="shared" si="2553"/>
        <v>東淀工業高等学校</v>
      </c>
      <c r="C6978" s="7" t="str">
        <f t="shared" si="2545"/>
        <v>行政財産</v>
      </c>
      <c r="D6978" s="7" t="str">
        <f t="shared" si="2543"/>
        <v>学校</v>
      </c>
      <c r="E6978" s="7" t="str">
        <f t="shared" si="2554"/>
        <v>大阪府大阪市　淀川区加島１丁目</v>
      </c>
      <c r="F6978" s="7"/>
      <c r="G6978" s="7" t="str">
        <f t="shared" si="2549"/>
        <v>事業用資産</v>
      </c>
      <c r="H6978" s="7" t="str">
        <f t="shared" si="2544"/>
        <v>棚卸以外</v>
      </c>
      <c r="I6978" s="7">
        <v>22</v>
      </c>
      <c r="J6978" s="7" t="str">
        <f>"プレハブ倉庫２８"</f>
        <v>プレハブ倉庫２８</v>
      </c>
      <c r="K6978" s="7" t="str">
        <f>"軽量鉄骨造"</f>
        <v>軽量鉄骨造</v>
      </c>
      <c r="L6978" s="7" t="str">
        <f>"S59.03.31"</f>
        <v>S59.03.31</v>
      </c>
      <c r="M6978" s="7">
        <v>124</v>
      </c>
      <c r="N6978" s="7">
        <v>1523156</v>
      </c>
      <c r="O6978" s="7">
        <v>1523155</v>
      </c>
      <c r="P6978" s="7">
        <v>0</v>
      </c>
      <c r="Q6978" s="7" t="str">
        <f t="shared" si="2551"/>
        <v>教育庁</v>
      </c>
      <c r="R6978" s="7" t="str">
        <f t="shared" si="2556"/>
        <v>東淀工業高等学校</v>
      </c>
    </row>
    <row r="6979" spans="1:18" s="1" customFormat="1" x14ac:dyDescent="0.45">
      <c r="A6979" s="7" t="str">
        <f t="shared" ref="A6979:A7010" si="2557">"10275003058"</f>
        <v>10275003058</v>
      </c>
      <c r="B6979" s="7" t="str">
        <f t="shared" ref="B6979:B7010" si="2558">"都島工業高等学校"</f>
        <v>都島工業高等学校</v>
      </c>
      <c r="C6979" s="7" t="str">
        <f t="shared" si="2545"/>
        <v>行政財産</v>
      </c>
      <c r="D6979" s="7" t="str">
        <f t="shared" si="2543"/>
        <v>学校</v>
      </c>
      <c r="E6979" s="7" t="str">
        <f t="shared" ref="E6979:E7010" si="2559">"大阪府大阪市　都島区善源寺町１丁目"</f>
        <v>大阪府大阪市　都島区善源寺町１丁目</v>
      </c>
      <c r="F6979" s="7"/>
      <c r="G6979" s="7" t="str">
        <f t="shared" si="2549"/>
        <v>事業用資産</v>
      </c>
      <c r="H6979" s="7" t="str">
        <f t="shared" si="2544"/>
        <v>棚卸以外</v>
      </c>
      <c r="I6979" s="7">
        <v>1</v>
      </c>
      <c r="J6979" s="7" t="str">
        <f>"特別教室棟（土木）１６"</f>
        <v>特別教室棟（土木）１６</v>
      </c>
      <c r="K6979" s="7" t="str">
        <f t="shared" ref="K6979:K6984" si="2560">"鉄筋コンクリート造"</f>
        <v>鉄筋コンクリート造</v>
      </c>
      <c r="L6979" s="7" t="str">
        <f>"S30.11.01"</f>
        <v>S30.11.01</v>
      </c>
      <c r="M6979" s="7">
        <v>1218.3800000000001</v>
      </c>
      <c r="N6979" s="7">
        <v>14919844</v>
      </c>
      <c r="O6979" s="7">
        <v>14919843</v>
      </c>
      <c r="P6979" s="7">
        <v>0</v>
      </c>
      <c r="Q6979" s="7" t="str">
        <f t="shared" si="2551"/>
        <v>教育庁</v>
      </c>
      <c r="R6979" s="7" t="str">
        <f t="shared" ref="R6979:R7010" si="2561">"都島工業高等学校"</f>
        <v>都島工業高等学校</v>
      </c>
    </row>
    <row r="6980" spans="1:18" s="1" customFormat="1" x14ac:dyDescent="0.45">
      <c r="A6980" s="7" t="str">
        <f t="shared" si="2557"/>
        <v>10275003058</v>
      </c>
      <c r="B6980" s="7" t="str">
        <f t="shared" si="2558"/>
        <v>都島工業高等学校</v>
      </c>
      <c r="C6980" s="7" t="str">
        <f t="shared" si="2545"/>
        <v>行政財産</v>
      </c>
      <c r="D6980" s="7" t="str">
        <f t="shared" ref="D6980:D7043" si="2562">"学校"</f>
        <v>学校</v>
      </c>
      <c r="E6980" s="7" t="str">
        <f t="shared" si="2559"/>
        <v>大阪府大阪市　都島区善源寺町１丁目</v>
      </c>
      <c r="F6980" s="7"/>
      <c r="G6980" s="7" t="str">
        <f t="shared" si="2549"/>
        <v>事業用資産</v>
      </c>
      <c r="H6980" s="7" t="str">
        <f t="shared" ref="H6980:H7043" si="2563">"棚卸以外"</f>
        <v>棚卸以外</v>
      </c>
      <c r="I6980" s="7">
        <v>2</v>
      </c>
      <c r="J6980" s="7" t="str">
        <f>"特別教室棟１９"</f>
        <v>特別教室棟１９</v>
      </c>
      <c r="K6980" s="7" t="str">
        <f t="shared" si="2560"/>
        <v>鉄筋コンクリート造</v>
      </c>
      <c r="L6980" s="7" t="str">
        <f>"S34.03.01"</f>
        <v>S34.03.01</v>
      </c>
      <c r="M6980" s="7">
        <v>1054.47</v>
      </c>
      <c r="N6980" s="7">
        <v>15775162</v>
      </c>
      <c r="O6980" s="7">
        <v>15775161</v>
      </c>
      <c r="P6980" s="7">
        <v>0</v>
      </c>
      <c r="Q6980" s="7" t="str">
        <f t="shared" si="2551"/>
        <v>教育庁</v>
      </c>
      <c r="R6980" s="7" t="str">
        <f t="shared" si="2561"/>
        <v>都島工業高等学校</v>
      </c>
    </row>
    <row r="6981" spans="1:18" s="1" customFormat="1" x14ac:dyDescent="0.45">
      <c r="A6981" s="7" t="str">
        <f t="shared" si="2557"/>
        <v>10275003058</v>
      </c>
      <c r="B6981" s="7" t="str">
        <f t="shared" si="2558"/>
        <v>都島工業高等学校</v>
      </c>
      <c r="C6981" s="7" t="str">
        <f t="shared" si="2545"/>
        <v>行政財産</v>
      </c>
      <c r="D6981" s="7" t="str">
        <f t="shared" si="2562"/>
        <v>学校</v>
      </c>
      <c r="E6981" s="7" t="str">
        <f t="shared" si="2559"/>
        <v>大阪府大阪市　都島区善源寺町１丁目</v>
      </c>
      <c r="F6981" s="7"/>
      <c r="G6981" s="7" t="str">
        <f t="shared" si="2549"/>
        <v>事業用資産</v>
      </c>
      <c r="H6981" s="7" t="str">
        <f t="shared" si="2563"/>
        <v>棚卸以外</v>
      </c>
      <c r="I6981" s="7">
        <v>3</v>
      </c>
      <c r="J6981" s="7" t="str">
        <f>"特別教室棟２０－１"</f>
        <v>特別教室棟２０－１</v>
      </c>
      <c r="K6981" s="7" t="str">
        <f t="shared" si="2560"/>
        <v>鉄筋コンクリート造</v>
      </c>
      <c r="L6981" s="7" t="str">
        <f>"S35.03.01"</f>
        <v>S35.03.01</v>
      </c>
      <c r="M6981" s="7">
        <v>590.01</v>
      </c>
      <c r="N6981" s="7">
        <v>12125238</v>
      </c>
      <c r="O6981" s="7">
        <v>12125237</v>
      </c>
      <c r="P6981" s="7">
        <v>0</v>
      </c>
      <c r="Q6981" s="7" t="str">
        <f t="shared" si="2551"/>
        <v>教育庁</v>
      </c>
      <c r="R6981" s="7" t="str">
        <f t="shared" si="2561"/>
        <v>都島工業高等学校</v>
      </c>
    </row>
    <row r="6982" spans="1:18" s="1" customFormat="1" x14ac:dyDescent="0.45">
      <c r="A6982" s="7" t="str">
        <f t="shared" si="2557"/>
        <v>10275003058</v>
      </c>
      <c r="B6982" s="7" t="str">
        <f t="shared" si="2558"/>
        <v>都島工業高等学校</v>
      </c>
      <c r="C6982" s="7" t="str">
        <f t="shared" si="2545"/>
        <v>行政財産</v>
      </c>
      <c r="D6982" s="7" t="str">
        <f t="shared" si="2562"/>
        <v>学校</v>
      </c>
      <c r="E6982" s="7" t="str">
        <f t="shared" si="2559"/>
        <v>大阪府大阪市　都島区善源寺町１丁目</v>
      </c>
      <c r="F6982" s="7"/>
      <c r="G6982" s="7" t="str">
        <f t="shared" si="2549"/>
        <v>事業用資産</v>
      </c>
      <c r="H6982" s="7" t="str">
        <f t="shared" si="2563"/>
        <v>棚卸以外</v>
      </c>
      <c r="I6982" s="7">
        <v>4</v>
      </c>
      <c r="J6982" s="7" t="str">
        <f>"特別教室棟２０－２"</f>
        <v>特別教室棟２０－２</v>
      </c>
      <c r="K6982" s="7" t="str">
        <f t="shared" si="2560"/>
        <v>鉄筋コンクリート造</v>
      </c>
      <c r="L6982" s="7" t="str">
        <f>"S37.05.01"</f>
        <v>S37.05.01</v>
      </c>
      <c r="M6982" s="7">
        <v>603.92999999999995</v>
      </c>
      <c r="N6982" s="7">
        <v>7975383</v>
      </c>
      <c r="O6982" s="7">
        <v>7975382</v>
      </c>
      <c r="P6982" s="7">
        <v>0</v>
      </c>
      <c r="Q6982" s="7" t="str">
        <f t="shared" si="2551"/>
        <v>教育庁</v>
      </c>
      <c r="R6982" s="7" t="str">
        <f t="shared" si="2561"/>
        <v>都島工業高等学校</v>
      </c>
    </row>
    <row r="6983" spans="1:18" s="1" customFormat="1" x14ac:dyDescent="0.45">
      <c r="A6983" s="7" t="str">
        <f t="shared" si="2557"/>
        <v>10275003058</v>
      </c>
      <c r="B6983" s="7" t="str">
        <f t="shared" si="2558"/>
        <v>都島工業高等学校</v>
      </c>
      <c r="C6983" s="7" t="str">
        <f t="shared" si="2545"/>
        <v>行政財産</v>
      </c>
      <c r="D6983" s="7" t="str">
        <f t="shared" si="2562"/>
        <v>学校</v>
      </c>
      <c r="E6983" s="7" t="str">
        <f t="shared" si="2559"/>
        <v>大阪府大阪市　都島区善源寺町１丁目</v>
      </c>
      <c r="F6983" s="7"/>
      <c r="G6983" s="7" t="str">
        <f t="shared" si="2549"/>
        <v>事業用資産</v>
      </c>
      <c r="H6983" s="7" t="str">
        <f t="shared" si="2563"/>
        <v>棚卸以外</v>
      </c>
      <c r="I6983" s="7">
        <v>5</v>
      </c>
      <c r="J6983" s="7" t="str">
        <f>"特別教室棟２０－３"</f>
        <v>特別教室棟２０－３</v>
      </c>
      <c r="K6983" s="7" t="str">
        <f t="shared" si="2560"/>
        <v>鉄筋コンクリート造</v>
      </c>
      <c r="L6983" s="7" t="str">
        <f>"S38.03.01"</f>
        <v>S38.03.01</v>
      </c>
      <c r="M6983" s="7">
        <v>1005.38</v>
      </c>
      <c r="N6983" s="7">
        <v>19364098</v>
      </c>
      <c r="O6983" s="7">
        <v>19364097</v>
      </c>
      <c r="P6983" s="7">
        <v>0</v>
      </c>
      <c r="Q6983" s="7" t="str">
        <f t="shared" si="2551"/>
        <v>教育庁</v>
      </c>
      <c r="R6983" s="7" t="str">
        <f t="shared" si="2561"/>
        <v>都島工業高等学校</v>
      </c>
    </row>
    <row r="6984" spans="1:18" s="1" customFormat="1" x14ac:dyDescent="0.45">
      <c r="A6984" s="7" t="str">
        <f t="shared" si="2557"/>
        <v>10275003058</v>
      </c>
      <c r="B6984" s="7" t="str">
        <f t="shared" si="2558"/>
        <v>都島工業高等学校</v>
      </c>
      <c r="C6984" s="7" t="str">
        <f t="shared" si="2545"/>
        <v>行政財産</v>
      </c>
      <c r="D6984" s="7" t="str">
        <f t="shared" si="2562"/>
        <v>学校</v>
      </c>
      <c r="E6984" s="7" t="str">
        <f t="shared" si="2559"/>
        <v>大阪府大阪市　都島区善源寺町１丁目</v>
      </c>
      <c r="F6984" s="7"/>
      <c r="G6984" s="7" t="str">
        <f t="shared" si="2549"/>
        <v>事業用資産</v>
      </c>
      <c r="H6984" s="7" t="str">
        <f t="shared" si="2563"/>
        <v>棚卸以外</v>
      </c>
      <c r="I6984" s="7">
        <v>6</v>
      </c>
      <c r="J6984" s="7" t="str">
        <f>"ポンプ室３７－３"</f>
        <v>ポンプ室３７－３</v>
      </c>
      <c r="K6984" s="7" t="str">
        <f t="shared" si="2560"/>
        <v>鉄筋コンクリート造</v>
      </c>
      <c r="L6984" s="7" t="str">
        <f>"S38.03.01"</f>
        <v>S38.03.01</v>
      </c>
      <c r="M6984" s="7">
        <v>4.99</v>
      </c>
      <c r="N6984" s="7">
        <v>96110</v>
      </c>
      <c r="O6984" s="7">
        <v>96109</v>
      </c>
      <c r="P6984" s="7">
        <v>0</v>
      </c>
      <c r="Q6984" s="7" t="str">
        <f t="shared" si="2551"/>
        <v>教育庁</v>
      </c>
      <c r="R6984" s="7" t="str">
        <f t="shared" si="2561"/>
        <v>都島工業高等学校</v>
      </c>
    </row>
    <row r="6985" spans="1:18" s="1" customFormat="1" x14ac:dyDescent="0.45">
      <c r="A6985" s="7" t="str">
        <f t="shared" si="2557"/>
        <v>10275003058</v>
      </c>
      <c r="B6985" s="7" t="str">
        <f t="shared" si="2558"/>
        <v>都島工業高等学校</v>
      </c>
      <c r="C6985" s="7" t="str">
        <f t="shared" si="2545"/>
        <v>行政財産</v>
      </c>
      <c r="D6985" s="7" t="str">
        <f t="shared" si="2562"/>
        <v>学校</v>
      </c>
      <c r="E6985" s="7" t="str">
        <f t="shared" si="2559"/>
        <v>大阪府大阪市　都島区善源寺町１丁目</v>
      </c>
      <c r="F6985" s="7"/>
      <c r="G6985" s="7" t="str">
        <f t="shared" si="2549"/>
        <v>事業用資産</v>
      </c>
      <c r="H6985" s="7" t="str">
        <f t="shared" si="2563"/>
        <v>棚卸以外</v>
      </c>
      <c r="I6985" s="7">
        <v>7</v>
      </c>
      <c r="J6985" s="7" t="str">
        <f>"屋体棟・武道棟３２－１・３２－２"</f>
        <v>屋体棟・武道棟３２－１・３２－２</v>
      </c>
      <c r="K6985" s="7" t="str">
        <f>"鉄骨造"</f>
        <v>鉄骨造</v>
      </c>
      <c r="L6985" s="7" t="str">
        <f>"S40.03.01"</f>
        <v>S40.03.01</v>
      </c>
      <c r="M6985" s="7">
        <v>2359.23</v>
      </c>
      <c r="N6985" s="7">
        <v>26460578</v>
      </c>
      <c r="O6985" s="7">
        <v>26460577</v>
      </c>
      <c r="P6985" s="7">
        <v>0</v>
      </c>
      <c r="Q6985" s="7" t="str">
        <f t="shared" si="2551"/>
        <v>教育庁</v>
      </c>
      <c r="R6985" s="7" t="str">
        <f t="shared" si="2561"/>
        <v>都島工業高等学校</v>
      </c>
    </row>
    <row r="6986" spans="1:18" s="1" customFormat="1" x14ac:dyDescent="0.45">
      <c r="A6986" s="7" t="str">
        <f t="shared" si="2557"/>
        <v>10275003058</v>
      </c>
      <c r="B6986" s="7" t="str">
        <f t="shared" si="2558"/>
        <v>都島工業高等学校</v>
      </c>
      <c r="C6986" s="7" t="str">
        <f t="shared" si="2545"/>
        <v>行政財産</v>
      </c>
      <c r="D6986" s="7" t="str">
        <f t="shared" si="2562"/>
        <v>学校</v>
      </c>
      <c r="E6986" s="7" t="str">
        <f t="shared" si="2559"/>
        <v>大阪府大阪市　都島区善源寺町１丁目</v>
      </c>
      <c r="F6986" s="7"/>
      <c r="G6986" s="7" t="str">
        <f t="shared" si="2549"/>
        <v>事業用資産</v>
      </c>
      <c r="H6986" s="7" t="str">
        <f t="shared" si="2563"/>
        <v>棚卸以外</v>
      </c>
      <c r="I6986" s="7">
        <v>8</v>
      </c>
      <c r="J6986" s="7" t="str">
        <f>"特別教室棟（機電）３７－１"</f>
        <v>特別教室棟（機電）３７－１</v>
      </c>
      <c r="K6986" s="7" t="str">
        <f>"軽量鉄骨造"</f>
        <v>軽量鉄骨造</v>
      </c>
      <c r="L6986" s="7" t="str">
        <f>"S56.02.01"</f>
        <v>S56.02.01</v>
      </c>
      <c r="M6986" s="7">
        <v>2053.48</v>
      </c>
      <c r="N6986" s="7">
        <v>45902267</v>
      </c>
      <c r="O6986" s="7">
        <v>45902266</v>
      </c>
      <c r="P6986" s="7">
        <v>0</v>
      </c>
      <c r="Q6986" s="7" t="str">
        <f t="shared" si="2551"/>
        <v>教育庁</v>
      </c>
      <c r="R6986" s="7" t="str">
        <f t="shared" si="2561"/>
        <v>都島工業高等学校</v>
      </c>
    </row>
    <row r="6987" spans="1:18" s="1" customFormat="1" x14ac:dyDescent="0.45">
      <c r="A6987" s="7" t="str">
        <f t="shared" si="2557"/>
        <v>10275003058</v>
      </c>
      <c r="B6987" s="7" t="str">
        <f t="shared" si="2558"/>
        <v>都島工業高等学校</v>
      </c>
      <c r="C6987" s="7" t="str">
        <f t="shared" si="2545"/>
        <v>行政財産</v>
      </c>
      <c r="D6987" s="7" t="str">
        <f t="shared" si="2562"/>
        <v>学校</v>
      </c>
      <c r="E6987" s="7" t="str">
        <f t="shared" si="2559"/>
        <v>大阪府大阪市　都島区善源寺町１丁目</v>
      </c>
      <c r="F6987" s="7"/>
      <c r="G6987" s="7" t="str">
        <f t="shared" si="2549"/>
        <v>事業用資産</v>
      </c>
      <c r="H6987" s="7" t="str">
        <f t="shared" si="2563"/>
        <v>棚卸以外</v>
      </c>
      <c r="I6987" s="7">
        <v>9</v>
      </c>
      <c r="J6987" s="7" t="str">
        <f>"普通特別教室棟３７－２"</f>
        <v>普通特別教室棟３７－２</v>
      </c>
      <c r="K6987" s="7" t="str">
        <f>"鉄筋コンクリート造"</f>
        <v>鉄筋コンクリート造</v>
      </c>
      <c r="L6987" s="7" t="str">
        <f>"S57.01.01"</f>
        <v>S57.01.01</v>
      </c>
      <c r="M6987" s="7">
        <v>863.69</v>
      </c>
      <c r="N6987" s="7">
        <v>60550002</v>
      </c>
      <c r="O6987" s="7">
        <v>8222841</v>
      </c>
      <c r="P6987" s="7">
        <v>0</v>
      </c>
      <c r="Q6987" s="7" t="str">
        <f t="shared" si="2551"/>
        <v>教育庁</v>
      </c>
      <c r="R6987" s="7" t="str">
        <f t="shared" si="2561"/>
        <v>都島工業高等学校</v>
      </c>
    </row>
    <row r="6988" spans="1:18" s="1" customFormat="1" x14ac:dyDescent="0.45">
      <c r="A6988" s="7" t="str">
        <f t="shared" si="2557"/>
        <v>10275003058</v>
      </c>
      <c r="B6988" s="7" t="str">
        <f t="shared" si="2558"/>
        <v>都島工業高等学校</v>
      </c>
      <c r="C6988" s="7" t="str">
        <f t="shared" si="2545"/>
        <v>行政財産</v>
      </c>
      <c r="D6988" s="7" t="str">
        <f t="shared" si="2562"/>
        <v>学校</v>
      </c>
      <c r="E6988" s="7" t="str">
        <f t="shared" si="2559"/>
        <v>大阪府大阪市　都島区善源寺町１丁目</v>
      </c>
      <c r="F6988" s="7"/>
      <c r="G6988" s="7" t="str">
        <f t="shared" si="2549"/>
        <v>事業用資産</v>
      </c>
      <c r="H6988" s="7" t="str">
        <f t="shared" si="2563"/>
        <v>棚卸以外</v>
      </c>
      <c r="I6988" s="7">
        <v>10</v>
      </c>
      <c r="J6988" s="7" t="str">
        <f>"ボイラー棟３０"</f>
        <v>ボイラー棟３０</v>
      </c>
      <c r="K6988" s="7" t="str">
        <f>"軽量鉄骨造"</f>
        <v>軽量鉄骨造</v>
      </c>
      <c r="L6988" s="7" t="str">
        <f>"S39.04.01"</f>
        <v>S39.04.01</v>
      </c>
      <c r="M6988" s="7">
        <v>21</v>
      </c>
      <c r="N6988" s="7">
        <v>1019986</v>
      </c>
      <c r="O6988" s="7">
        <v>1019985</v>
      </c>
      <c r="P6988" s="7">
        <v>0</v>
      </c>
      <c r="Q6988" s="7" t="str">
        <f t="shared" si="2551"/>
        <v>教育庁</v>
      </c>
      <c r="R6988" s="7" t="str">
        <f t="shared" si="2561"/>
        <v>都島工業高等学校</v>
      </c>
    </row>
    <row r="6989" spans="1:18" s="1" customFormat="1" x14ac:dyDescent="0.45">
      <c r="A6989" s="7" t="str">
        <f t="shared" si="2557"/>
        <v>10275003058</v>
      </c>
      <c r="B6989" s="7" t="str">
        <f t="shared" si="2558"/>
        <v>都島工業高等学校</v>
      </c>
      <c r="C6989" s="7" t="str">
        <f t="shared" ref="C6989:C7052" si="2564">"行政財産"</f>
        <v>行政財産</v>
      </c>
      <c r="D6989" s="7" t="str">
        <f t="shared" si="2562"/>
        <v>学校</v>
      </c>
      <c r="E6989" s="7" t="str">
        <f t="shared" si="2559"/>
        <v>大阪府大阪市　都島区善源寺町１丁目</v>
      </c>
      <c r="F6989" s="7"/>
      <c r="G6989" s="7" t="str">
        <f t="shared" si="2549"/>
        <v>事業用資産</v>
      </c>
      <c r="H6989" s="7" t="str">
        <f t="shared" si="2563"/>
        <v>棚卸以外</v>
      </c>
      <c r="I6989" s="7">
        <v>11</v>
      </c>
      <c r="J6989" s="7" t="str">
        <f>"クラブ部室棟４８"</f>
        <v>クラブ部室棟４８</v>
      </c>
      <c r="K6989" s="7" t="str">
        <f>"軽量鉄骨造"</f>
        <v>軽量鉄骨造</v>
      </c>
      <c r="L6989" s="7" t="str">
        <f>"S58.10.01"</f>
        <v>S58.10.01</v>
      </c>
      <c r="M6989" s="7">
        <v>32</v>
      </c>
      <c r="N6989" s="7">
        <v>636928</v>
      </c>
      <c r="O6989" s="7">
        <v>636927</v>
      </c>
      <c r="P6989" s="7">
        <v>0</v>
      </c>
      <c r="Q6989" s="7" t="str">
        <f t="shared" si="2551"/>
        <v>教育庁</v>
      </c>
      <c r="R6989" s="7" t="str">
        <f t="shared" si="2561"/>
        <v>都島工業高等学校</v>
      </c>
    </row>
    <row r="6990" spans="1:18" s="1" customFormat="1" x14ac:dyDescent="0.45">
      <c r="A6990" s="7" t="str">
        <f t="shared" si="2557"/>
        <v>10275003058</v>
      </c>
      <c r="B6990" s="7" t="str">
        <f t="shared" si="2558"/>
        <v>都島工業高等学校</v>
      </c>
      <c r="C6990" s="7" t="str">
        <f t="shared" si="2564"/>
        <v>行政財産</v>
      </c>
      <c r="D6990" s="7" t="str">
        <f t="shared" si="2562"/>
        <v>学校</v>
      </c>
      <c r="E6990" s="7" t="str">
        <f t="shared" si="2559"/>
        <v>大阪府大阪市　都島区善源寺町１丁目</v>
      </c>
      <c r="F6990" s="7"/>
      <c r="G6990" s="7" t="str">
        <f t="shared" si="2549"/>
        <v>事業用資産</v>
      </c>
      <c r="H6990" s="7" t="str">
        <f t="shared" si="2563"/>
        <v>棚卸以外</v>
      </c>
      <c r="I6990" s="7">
        <v>12</v>
      </c>
      <c r="J6990" s="7" t="str">
        <f>"特別教室棟３４－１"</f>
        <v>特別教室棟３４－１</v>
      </c>
      <c r="K6990" s="7" t="str">
        <f t="shared" ref="K6990:K6995" si="2565">"鉄筋コンクリート造"</f>
        <v>鉄筋コンクリート造</v>
      </c>
      <c r="L6990" s="7" t="str">
        <f>"S48.08.01"</f>
        <v>S48.08.01</v>
      </c>
      <c r="M6990" s="7">
        <v>1239</v>
      </c>
      <c r="N6990" s="7">
        <v>48049659</v>
      </c>
      <c r="O6990" s="7">
        <v>48049658</v>
      </c>
      <c r="P6990" s="7">
        <v>0</v>
      </c>
      <c r="Q6990" s="7" t="str">
        <f t="shared" si="2551"/>
        <v>教育庁</v>
      </c>
      <c r="R6990" s="7" t="str">
        <f t="shared" si="2561"/>
        <v>都島工業高等学校</v>
      </c>
    </row>
    <row r="6991" spans="1:18" s="1" customFormat="1" x14ac:dyDescent="0.45">
      <c r="A6991" s="7" t="str">
        <f t="shared" si="2557"/>
        <v>10275003058</v>
      </c>
      <c r="B6991" s="7" t="str">
        <f t="shared" si="2558"/>
        <v>都島工業高等学校</v>
      </c>
      <c r="C6991" s="7" t="str">
        <f t="shared" si="2564"/>
        <v>行政財産</v>
      </c>
      <c r="D6991" s="7" t="str">
        <f t="shared" si="2562"/>
        <v>学校</v>
      </c>
      <c r="E6991" s="7" t="str">
        <f t="shared" si="2559"/>
        <v>大阪府大阪市　都島区善源寺町１丁目</v>
      </c>
      <c r="F6991" s="7"/>
      <c r="G6991" s="7" t="str">
        <f t="shared" si="2549"/>
        <v>事業用資産</v>
      </c>
      <c r="H6991" s="7" t="str">
        <f t="shared" si="2563"/>
        <v>棚卸以外</v>
      </c>
      <c r="I6991" s="7">
        <v>13</v>
      </c>
      <c r="J6991" s="7" t="str">
        <f>"特別教室棟（機電）３４－１"</f>
        <v>特別教室棟（機電）３４－１</v>
      </c>
      <c r="K6991" s="7" t="str">
        <f t="shared" si="2565"/>
        <v>鉄筋コンクリート造</v>
      </c>
      <c r="L6991" s="7" t="str">
        <f>"S49.11.01"</f>
        <v>S49.11.01</v>
      </c>
      <c r="M6991" s="7">
        <v>2144</v>
      </c>
      <c r="N6991" s="7">
        <v>66056712</v>
      </c>
      <c r="O6991" s="7">
        <v>66056711</v>
      </c>
      <c r="P6991" s="7">
        <v>0</v>
      </c>
      <c r="Q6991" s="7" t="str">
        <f t="shared" si="2551"/>
        <v>教育庁</v>
      </c>
      <c r="R6991" s="7" t="str">
        <f t="shared" si="2561"/>
        <v>都島工業高等学校</v>
      </c>
    </row>
    <row r="6992" spans="1:18" s="1" customFormat="1" x14ac:dyDescent="0.45">
      <c r="A6992" s="7" t="str">
        <f t="shared" si="2557"/>
        <v>10275003058</v>
      </c>
      <c r="B6992" s="7" t="str">
        <f t="shared" si="2558"/>
        <v>都島工業高等学校</v>
      </c>
      <c r="C6992" s="7" t="str">
        <f t="shared" si="2564"/>
        <v>行政財産</v>
      </c>
      <c r="D6992" s="7" t="str">
        <f t="shared" si="2562"/>
        <v>学校</v>
      </c>
      <c r="E6992" s="7" t="str">
        <f t="shared" si="2559"/>
        <v>大阪府大阪市　都島区善源寺町１丁目</v>
      </c>
      <c r="F6992" s="7"/>
      <c r="G6992" s="7" t="str">
        <f t="shared" si="2549"/>
        <v>事業用資産</v>
      </c>
      <c r="H6992" s="7" t="str">
        <f t="shared" si="2563"/>
        <v>棚卸以外</v>
      </c>
      <c r="I6992" s="7">
        <v>14</v>
      </c>
      <c r="J6992" s="7" t="str">
        <f>"特別教室棟４９"</f>
        <v>特別教室棟４９</v>
      </c>
      <c r="K6992" s="7" t="str">
        <f t="shared" si="2565"/>
        <v>鉄筋コンクリート造</v>
      </c>
      <c r="L6992" s="7" t="str">
        <f>"S60.08.01"</f>
        <v>S60.08.01</v>
      </c>
      <c r="M6992" s="7">
        <v>2785</v>
      </c>
      <c r="N6992" s="7">
        <v>207615386</v>
      </c>
      <c r="O6992" s="7">
        <v>18417498</v>
      </c>
      <c r="P6992" s="7">
        <v>0</v>
      </c>
      <c r="Q6992" s="7" t="str">
        <f t="shared" si="2551"/>
        <v>教育庁</v>
      </c>
      <c r="R6992" s="7" t="str">
        <f t="shared" si="2561"/>
        <v>都島工業高等学校</v>
      </c>
    </row>
    <row r="6993" spans="1:18" s="1" customFormat="1" x14ac:dyDescent="0.45">
      <c r="A6993" s="7" t="str">
        <f t="shared" si="2557"/>
        <v>10275003058</v>
      </c>
      <c r="B6993" s="7" t="str">
        <f t="shared" si="2558"/>
        <v>都島工業高等学校</v>
      </c>
      <c r="C6993" s="7" t="str">
        <f t="shared" si="2564"/>
        <v>行政財産</v>
      </c>
      <c r="D6993" s="7" t="str">
        <f t="shared" si="2562"/>
        <v>学校</v>
      </c>
      <c r="E6993" s="7" t="str">
        <f t="shared" si="2559"/>
        <v>大阪府大阪市　都島区善源寺町１丁目</v>
      </c>
      <c r="F6993" s="7"/>
      <c r="G6993" s="7" t="str">
        <f t="shared" si="2549"/>
        <v>事業用資産</v>
      </c>
      <c r="H6993" s="7" t="str">
        <f t="shared" si="2563"/>
        <v>棚卸以外</v>
      </c>
      <c r="I6993" s="7">
        <v>15</v>
      </c>
      <c r="J6993" s="7" t="str">
        <f>"管理室棟４７－１"</f>
        <v>管理室棟４７－１</v>
      </c>
      <c r="K6993" s="7" t="str">
        <f t="shared" si="2565"/>
        <v>鉄筋コンクリート造</v>
      </c>
      <c r="L6993" s="7" t="str">
        <f>"S59.03.01"</f>
        <v>S59.03.01</v>
      </c>
      <c r="M6993" s="7">
        <v>2612</v>
      </c>
      <c r="N6993" s="7">
        <v>120537174</v>
      </c>
      <c r="O6993" s="7">
        <v>12391676</v>
      </c>
      <c r="P6993" s="7">
        <v>0</v>
      </c>
      <c r="Q6993" s="7" t="str">
        <f t="shared" si="2551"/>
        <v>教育庁</v>
      </c>
      <c r="R6993" s="7" t="str">
        <f t="shared" si="2561"/>
        <v>都島工業高等学校</v>
      </c>
    </row>
    <row r="6994" spans="1:18" s="1" customFormat="1" x14ac:dyDescent="0.45">
      <c r="A6994" s="7" t="str">
        <f t="shared" si="2557"/>
        <v>10275003058</v>
      </c>
      <c r="B6994" s="7" t="str">
        <f t="shared" si="2558"/>
        <v>都島工業高等学校</v>
      </c>
      <c r="C6994" s="7" t="str">
        <f t="shared" si="2564"/>
        <v>行政財産</v>
      </c>
      <c r="D6994" s="7" t="str">
        <f t="shared" si="2562"/>
        <v>学校</v>
      </c>
      <c r="E6994" s="7" t="str">
        <f t="shared" si="2559"/>
        <v>大阪府大阪市　都島区善源寺町１丁目</v>
      </c>
      <c r="F6994" s="7"/>
      <c r="G6994" s="7" t="str">
        <f t="shared" si="2549"/>
        <v>事業用資産</v>
      </c>
      <c r="H6994" s="7" t="str">
        <f t="shared" si="2563"/>
        <v>棚卸以外</v>
      </c>
      <c r="I6994" s="7">
        <v>16</v>
      </c>
      <c r="J6994" s="7" t="str">
        <f>"管理室棟５５－１"</f>
        <v>管理室棟５５－１</v>
      </c>
      <c r="K6994" s="7" t="str">
        <f t="shared" si="2565"/>
        <v>鉄筋コンクリート造</v>
      </c>
      <c r="L6994" s="7" t="str">
        <f>"S63.12.01"</f>
        <v>S63.12.01</v>
      </c>
      <c r="M6994" s="7">
        <v>3231</v>
      </c>
      <c r="N6994" s="7">
        <v>296827251</v>
      </c>
      <c r="O6994" s="7">
        <v>19909153</v>
      </c>
      <c r="P6994" s="7">
        <v>0</v>
      </c>
      <c r="Q6994" s="7" t="str">
        <f t="shared" si="2551"/>
        <v>教育庁</v>
      </c>
      <c r="R6994" s="7" t="str">
        <f t="shared" si="2561"/>
        <v>都島工業高等学校</v>
      </c>
    </row>
    <row r="6995" spans="1:18" s="1" customFormat="1" x14ac:dyDescent="0.45">
      <c r="A6995" s="7" t="str">
        <f t="shared" si="2557"/>
        <v>10275003058</v>
      </c>
      <c r="B6995" s="7" t="str">
        <f t="shared" si="2558"/>
        <v>都島工業高等学校</v>
      </c>
      <c r="C6995" s="7" t="str">
        <f t="shared" si="2564"/>
        <v>行政財産</v>
      </c>
      <c r="D6995" s="7" t="str">
        <f t="shared" si="2562"/>
        <v>学校</v>
      </c>
      <c r="E6995" s="7" t="str">
        <f t="shared" si="2559"/>
        <v>大阪府大阪市　都島区善源寺町１丁目</v>
      </c>
      <c r="F6995" s="7"/>
      <c r="G6995" s="7" t="str">
        <f t="shared" si="2549"/>
        <v>事業用資産</v>
      </c>
      <c r="H6995" s="7" t="str">
        <f t="shared" si="2563"/>
        <v>棚卸以外</v>
      </c>
      <c r="I6995" s="7">
        <v>17</v>
      </c>
      <c r="J6995" s="7" t="str">
        <f>"特別普通教室棟５５－２"</f>
        <v>特別普通教室棟５５－２</v>
      </c>
      <c r="K6995" s="7" t="str">
        <f t="shared" si="2565"/>
        <v>鉄筋コンクリート造</v>
      </c>
      <c r="L6995" s="7" t="str">
        <f>"H02.07.01"</f>
        <v>H02.07.01</v>
      </c>
      <c r="M6995" s="7">
        <v>5266.26</v>
      </c>
      <c r="N6995" s="7">
        <v>432526242</v>
      </c>
      <c r="O6995" s="7">
        <v>25998852</v>
      </c>
      <c r="P6995" s="7">
        <v>0</v>
      </c>
      <c r="Q6995" s="7" t="str">
        <f t="shared" si="2551"/>
        <v>教育庁</v>
      </c>
      <c r="R6995" s="7" t="str">
        <f t="shared" si="2561"/>
        <v>都島工業高等学校</v>
      </c>
    </row>
    <row r="6996" spans="1:18" s="1" customFormat="1" x14ac:dyDescent="0.45">
      <c r="A6996" s="7" t="str">
        <f t="shared" si="2557"/>
        <v>10275003058</v>
      </c>
      <c r="B6996" s="7" t="str">
        <f t="shared" si="2558"/>
        <v>都島工業高等学校</v>
      </c>
      <c r="C6996" s="7" t="str">
        <f t="shared" si="2564"/>
        <v>行政財産</v>
      </c>
      <c r="D6996" s="7" t="str">
        <f t="shared" si="2562"/>
        <v>学校</v>
      </c>
      <c r="E6996" s="7" t="str">
        <f t="shared" si="2559"/>
        <v>大阪府大阪市　都島区善源寺町１丁目</v>
      </c>
      <c r="F6996" s="7"/>
      <c r="G6996" s="7" t="str">
        <f t="shared" si="2549"/>
        <v>事業用資産</v>
      </c>
      <c r="H6996" s="7" t="str">
        <f t="shared" si="2563"/>
        <v>棚卸以外</v>
      </c>
      <c r="I6996" s="7">
        <v>18</v>
      </c>
      <c r="J6996" s="7" t="str">
        <f>"食堂棟６０"</f>
        <v>食堂棟６０</v>
      </c>
      <c r="K6996" s="7" t="str">
        <f>"鉄骨造"</f>
        <v>鉄骨造</v>
      </c>
      <c r="L6996" s="7" t="str">
        <f>"H04.01.01"</f>
        <v>H04.01.01</v>
      </c>
      <c r="M6996" s="7">
        <v>733.92</v>
      </c>
      <c r="N6996" s="7">
        <v>21751526</v>
      </c>
      <c r="O6996" s="7">
        <v>21751525</v>
      </c>
      <c r="P6996" s="7">
        <v>0</v>
      </c>
      <c r="Q6996" s="7" t="str">
        <f t="shared" si="2551"/>
        <v>教育庁</v>
      </c>
      <c r="R6996" s="7" t="str">
        <f t="shared" si="2561"/>
        <v>都島工業高等学校</v>
      </c>
    </row>
    <row r="6997" spans="1:18" s="1" customFormat="1" ht="26.4" x14ac:dyDescent="0.45">
      <c r="A6997" s="7" t="str">
        <f t="shared" si="2557"/>
        <v>10275003058</v>
      </c>
      <c r="B6997" s="7" t="str">
        <f t="shared" si="2558"/>
        <v>都島工業高等学校</v>
      </c>
      <c r="C6997" s="7" t="str">
        <f t="shared" si="2564"/>
        <v>行政財産</v>
      </c>
      <c r="D6997" s="7" t="str">
        <f t="shared" si="2562"/>
        <v>学校</v>
      </c>
      <c r="E6997" s="7" t="str">
        <f t="shared" si="2559"/>
        <v>大阪府大阪市　都島区善源寺町１丁目</v>
      </c>
      <c r="F6997" s="7"/>
      <c r="G6997" s="7" t="str">
        <f t="shared" si="2549"/>
        <v>事業用資産</v>
      </c>
      <c r="H6997" s="7" t="str">
        <f t="shared" si="2563"/>
        <v>棚卸以外</v>
      </c>
      <c r="I6997" s="7">
        <v>19</v>
      </c>
      <c r="J6997" s="7" t="str">
        <f>"クラブ部室棟５９"</f>
        <v>クラブ部室棟５９</v>
      </c>
      <c r="K6997" s="7" t="str">
        <f>"鉄骨鉄筋コンクリート造"</f>
        <v>鉄骨鉄筋コンクリート造</v>
      </c>
      <c r="L6997" s="7" t="str">
        <f>"H04.01.01"</f>
        <v>H04.01.01</v>
      </c>
      <c r="M6997" s="7">
        <v>591.84</v>
      </c>
      <c r="N6997" s="7">
        <v>50976142</v>
      </c>
      <c r="O6997" s="7">
        <v>2789743</v>
      </c>
      <c r="P6997" s="7">
        <v>0</v>
      </c>
      <c r="Q6997" s="7" t="str">
        <f t="shared" si="2551"/>
        <v>教育庁</v>
      </c>
      <c r="R6997" s="7" t="str">
        <f t="shared" si="2561"/>
        <v>都島工業高等学校</v>
      </c>
    </row>
    <row r="6998" spans="1:18" s="1" customFormat="1" x14ac:dyDescent="0.45">
      <c r="A6998" s="7" t="str">
        <f t="shared" si="2557"/>
        <v>10275003058</v>
      </c>
      <c r="B6998" s="7" t="str">
        <f t="shared" si="2558"/>
        <v>都島工業高等学校</v>
      </c>
      <c r="C6998" s="7" t="str">
        <f t="shared" si="2564"/>
        <v>行政財産</v>
      </c>
      <c r="D6998" s="7" t="str">
        <f t="shared" si="2562"/>
        <v>学校</v>
      </c>
      <c r="E6998" s="7" t="str">
        <f t="shared" si="2559"/>
        <v>大阪府大阪市　都島区善源寺町１丁目</v>
      </c>
      <c r="F6998" s="7"/>
      <c r="G6998" s="7" t="str">
        <f t="shared" si="2549"/>
        <v>事業用資産</v>
      </c>
      <c r="H6998" s="7" t="str">
        <f t="shared" si="2563"/>
        <v>棚卸以外</v>
      </c>
      <c r="I6998" s="7">
        <v>20</v>
      </c>
      <c r="J6998" s="7" t="str">
        <f>"塵芥集積所"</f>
        <v>塵芥集積所</v>
      </c>
      <c r="K6998" s="7" t="str">
        <f>"鉄筋コンクリート造"</f>
        <v>鉄筋コンクリート造</v>
      </c>
      <c r="L6998" s="7" t="str">
        <f>"H04.03.01"</f>
        <v>H04.03.01</v>
      </c>
      <c r="M6998" s="7">
        <v>19.2</v>
      </c>
      <c r="N6998" s="7">
        <v>11333236</v>
      </c>
      <c r="O6998" s="7">
        <v>1312278</v>
      </c>
      <c r="P6998" s="7">
        <v>0</v>
      </c>
      <c r="Q6998" s="7" t="str">
        <f t="shared" si="2551"/>
        <v>教育庁</v>
      </c>
      <c r="R6998" s="7" t="str">
        <f t="shared" si="2561"/>
        <v>都島工業高等学校</v>
      </c>
    </row>
    <row r="6999" spans="1:18" s="1" customFormat="1" x14ac:dyDescent="0.45">
      <c r="A6999" s="7" t="str">
        <f t="shared" si="2557"/>
        <v>10275003058</v>
      </c>
      <c r="B6999" s="7" t="str">
        <f t="shared" si="2558"/>
        <v>都島工業高等学校</v>
      </c>
      <c r="C6999" s="7" t="str">
        <f t="shared" si="2564"/>
        <v>行政財産</v>
      </c>
      <c r="D6999" s="7" t="str">
        <f t="shared" si="2562"/>
        <v>学校</v>
      </c>
      <c r="E6999" s="7" t="str">
        <f t="shared" si="2559"/>
        <v>大阪府大阪市　都島区善源寺町１丁目</v>
      </c>
      <c r="F6999" s="7"/>
      <c r="G6999" s="7" t="str">
        <f t="shared" ref="G6999:G7062" si="2566">"事業用資産"</f>
        <v>事業用資産</v>
      </c>
      <c r="H6999" s="7" t="str">
        <f t="shared" si="2563"/>
        <v>棚卸以外</v>
      </c>
      <c r="I6999" s="7">
        <v>21</v>
      </c>
      <c r="J6999" s="7" t="str">
        <f>"記念ホール６０他"</f>
        <v>記念ホール６０他</v>
      </c>
      <c r="K6999" s="7" t="str">
        <f>"鉄筋コンクリート造"</f>
        <v>鉄筋コンクリート造</v>
      </c>
      <c r="L6999" s="7" t="str">
        <f>"H04.03.01"</f>
        <v>H04.03.01</v>
      </c>
      <c r="M6999" s="7">
        <v>613.16</v>
      </c>
      <c r="N6999" s="7">
        <v>31596886</v>
      </c>
      <c r="O6999" s="7">
        <v>1712150</v>
      </c>
      <c r="P6999" s="7">
        <v>0</v>
      </c>
      <c r="Q6999" s="7" t="str">
        <f t="shared" si="2551"/>
        <v>教育庁</v>
      </c>
      <c r="R6999" s="7" t="str">
        <f t="shared" si="2561"/>
        <v>都島工業高等学校</v>
      </c>
    </row>
    <row r="7000" spans="1:18" s="1" customFormat="1" x14ac:dyDescent="0.45">
      <c r="A7000" s="7" t="str">
        <f t="shared" si="2557"/>
        <v>10275003058</v>
      </c>
      <c r="B7000" s="7" t="str">
        <f t="shared" si="2558"/>
        <v>都島工業高等学校</v>
      </c>
      <c r="C7000" s="7" t="str">
        <f t="shared" si="2564"/>
        <v>行政財産</v>
      </c>
      <c r="D7000" s="7" t="str">
        <f t="shared" si="2562"/>
        <v>学校</v>
      </c>
      <c r="E7000" s="7" t="str">
        <f t="shared" si="2559"/>
        <v>大阪府大阪市　都島区善源寺町１丁目</v>
      </c>
      <c r="F7000" s="7"/>
      <c r="G7000" s="7" t="str">
        <f t="shared" si="2566"/>
        <v>事業用資産</v>
      </c>
      <c r="H7000" s="7" t="str">
        <f t="shared" si="2563"/>
        <v>棚卸以外</v>
      </c>
      <c r="I7000" s="7">
        <v>22</v>
      </c>
      <c r="J7000" s="7" t="str">
        <f>"倉庫６３－１・部室６３－２"</f>
        <v>倉庫６３－１・部室６３－２</v>
      </c>
      <c r="K7000" s="7" t="str">
        <f>"軽量鉄骨造"</f>
        <v>軽量鉄骨造</v>
      </c>
      <c r="L7000" s="7" t="str">
        <f>"H08.08.01"</f>
        <v>H08.08.01</v>
      </c>
      <c r="M7000" s="7">
        <v>384</v>
      </c>
      <c r="N7000" s="7">
        <v>12690939</v>
      </c>
      <c r="O7000" s="7">
        <v>8725024</v>
      </c>
      <c r="P7000" s="7">
        <v>0</v>
      </c>
      <c r="Q7000" s="7" t="str">
        <f t="shared" si="2551"/>
        <v>教育庁</v>
      </c>
      <c r="R7000" s="7" t="str">
        <f t="shared" si="2561"/>
        <v>都島工業高等学校</v>
      </c>
    </row>
    <row r="7001" spans="1:18" s="1" customFormat="1" x14ac:dyDescent="0.45">
      <c r="A7001" s="7" t="str">
        <f t="shared" si="2557"/>
        <v>10275003058</v>
      </c>
      <c r="B7001" s="7" t="str">
        <f t="shared" si="2558"/>
        <v>都島工業高等学校</v>
      </c>
      <c r="C7001" s="7" t="str">
        <f t="shared" si="2564"/>
        <v>行政財産</v>
      </c>
      <c r="D7001" s="7" t="str">
        <f t="shared" si="2562"/>
        <v>学校</v>
      </c>
      <c r="E7001" s="7" t="str">
        <f t="shared" si="2559"/>
        <v>大阪府大阪市　都島区善源寺町１丁目</v>
      </c>
      <c r="F7001" s="7"/>
      <c r="G7001" s="7" t="str">
        <f t="shared" si="2566"/>
        <v>事業用資産</v>
      </c>
      <c r="H7001" s="7" t="str">
        <f t="shared" si="2563"/>
        <v>棚卸以外</v>
      </c>
      <c r="I7001" s="7">
        <v>23</v>
      </c>
      <c r="J7001" s="7" t="str">
        <f>"特別教室棟６２－１・６２－２"</f>
        <v>特別教室棟６２－１・６２－２</v>
      </c>
      <c r="K7001" s="7" t="str">
        <f>"鉄筋コンクリート造"</f>
        <v>鉄筋コンクリート造</v>
      </c>
      <c r="L7001" s="7" t="str">
        <f>"H08.04.01"</f>
        <v>H08.04.01</v>
      </c>
      <c r="M7001" s="7">
        <v>548.9</v>
      </c>
      <c r="N7001" s="7">
        <v>90286960</v>
      </c>
      <c r="O7001" s="7">
        <v>3941102</v>
      </c>
      <c r="P7001" s="7">
        <v>0</v>
      </c>
      <c r="Q7001" s="7" t="str">
        <f t="shared" si="2551"/>
        <v>教育庁</v>
      </c>
      <c r="R7001" s="7" t="str">
        <f t="shared" si="2561"/>
        <v>都島工業高等学校</v>
      </c>
    </row>
    <row r="7002" spans="1:18" s="1" customFormat="1" x14ac:dyDescent="0.45">
      <c r="A7002" s="7" t="str">
        <f t="shared" si="2557"/>
        <v>10275003058</v>
      </c>
      <c r="B7002" s="7" t="str">
        <f t="shared" si="2558"/>
        <v>都島工業高等学校</v>
      </c>
      <c r="C7002" s="7" t="str">
        <f t="shared" si="2564"/>
        <v>行政財産</v>
      </c>
      <c r="D7002" s="7" t="str">
        <f t="shared" si="2562"/>
        <v>学校</v>
      </c>
      <c r="E7002" s="7" t="str">
        <f t="shared" si="2559"/>
        <v>大阪府大阪市　都島区善源寺町１丁目</v>
      </c>
      <c r="F7002" s="7"/>
      <c r="G7002" s="7" t="str">
        <f t="shared" si="2566"/>
        <v>事業用資産</v>
      </c>
      <c r="H7002" s="7" t="str">
        <f t="shared" si="2563"/>
        <v>棚卸以外</v>
      </c>
      <c r="I7002" s="7">
        <v>24</v>
      </c>
      <c r="J7002" s="7" t="str">
        <f>"特別教室棟２０－４"</f>
        <v>特別教室棟２０－４</v>
      </c>
      <c r="K7002" s="7" t="str">
        <f>"鉄筋コンクリート造"</f>
        <v>鉄筋コンクリート造</v>
      </c>
      <c r="L7002" s="7" t="str">
        <f>"S40.03.31"</f>
        <v>S40.03.31</v>
      </c>
      <c r="M7002" s="7">
        <v>350</v>
      </c>
      <c r="N7002" s="7">
        <v>8080788</v>
      </c>
      <c r="O7002" s="7">
        <v>8080787</v>
      </c>
      <c r="P7002" s="7">
        <v>0</v>
      </c>
      <c r="Q7002" s="7" t="str">
        <f t="shared" si="2551"/>
        <v>教育庁</v>
      </c>
      <c r="R7002" s="7" t="str">
        <f t="shared" si="2561"/>
        <v>都島工業高等学校</v>
      </c>
    </row>
    <row r="7003" spans="1:18" s="1" customFormat="1" x14ac:dyDescent="0.45">
      <c r="A7003" s="7" t="str">
        <f t="shared" si="2557"/>
        <v>10275003058</v>
      </c>
      <c r="B7003" s="7" t="str">
        <f t="shared" si="2558"/>
        <v>都島工業高等学校</v>
      </c>
      <c r="C7003" s="7" t="str">
        <f t="shared" si="2564"/>
        <v>行政財産</v>
      </c>
      <c r="D7003" s="7" t="str">
        <f t="shared" si="2562"/>
        <v>学校</v>
      </c>
      <c r="E7003" s="7" t="str">
        <f t="shared" si="2559"/>
        <v>大阪府大阪市　都島区善源寺町１丁目</v>
      </c>
      <c r="F7003" s="7"/>
      <c r="G7003" s="7" t="str">
        <f t="shared" si="2566"/>
        <v>事業用資産</v>
      </c>
      <c r="H7003" s="7" t="str">
        <f t="shared" si="2563"/>
        <v>棚卸以外</v>
      </c>
      <c r="I7003" s="7">
        <v>25</v>
      </c>
      <c r="J7003" s="7" t="str">
        <f>"階段室３２－３"</f>
        <v>階段室３２－３</v>
      </c>
      <c r="K7003" s="7" t="str">
        <f>"鉄筋コンクリート造"</f>
        <v>鉄筋コンクリート造</v>
      </c>
      <c r="L7003" s="7" t="str">
        <f>"H09.08.31"</f>
        <v>H09.08.31</v>
      </c>
      <c r="M7003" s="7">
        <v>20</v>
      </c>
      <c r="N7003" s="7">
        <v>3621331</v>
      </c>
      <c r="O7003" s="7">
        <v>148093</v>
      </c>
      <c r="P7003" s="7">
        <v>0</v>
      </c>
      <c r="Q7003" s="7" t="str">
        <f t="shared" ref="Q7003:Q7066" si="2567">"教育庁"</f>
        <v>教育庁</v>
      </c>
      <c r="R7003" s="7" t="str">
        <f t="shared" si="2561"/>
        <v>都島工業高等学校</v>
      </c>
    </row>
    <row r="7004" spans="1:18" s="1" customFormat="1" x14ac:dyDescent="0.45">
      <c r="A7004" s="7" t="str">
        <f t="shared" si="2557"/>
        <v>10275003058</v>
      </c>
      <c r="B7004" s="7" t="str">
        <f t="shared" si="2558"/>
        <v>都島工業高等学校</v>
      </c>
      <c r="C7004" s="7" t="str">
        <f t="shared" si="2564"/>
        <v>行政財産</v>
      </c>
      <c r="D7004" s="7" t="str">
        <f t="shared" si="2562"/>
        <v>学校</v>
      </c>
      <c r="E7004" s="7" t="str">
        <f t="shared" si="2559"/>
        <v>大阪府大阪市　都島区善源寺町１丁目</v>
      </c>
      <c r="F7004" s="7"/>
      <c r="G7004" s="7" t="str">
        <f t="shared" si="2566"/>
        <v>事業用資産</v>
      </c>
      <c r="H7004" s="7" t="str">
        <f t="shared" si="2563"/>
        <v>棚卸以外</v>
      </c>
      <c r="I7004" s="7">
        <v>26</v>
      </c>
      <c r="J7004" s="7" t="str">
        <f>"電気機械室３８"</f>
        <v>電気機械室３８</v>
      </c>
      <c r="K7004" s="7" t="str">
        <f>"鉄筋コンクリート造"</f>
        <v>鉄筋コンクリート造</v>
      </c>
      <c r="L7004" s="7" t="str">
        <f>"S56.12.28"</f>
        <v>S56.12.28</v>
      </c>
      <c r="M7004" s="7">
        <v>156</v>
      </c>
      <c r="N7004" s="7">
        <v>2552830</v>
      </c>
      <c r="O7004" s="7">
        <v>2552829</v>
      </c>
      <c r="P7004" s="7">
        <v>0</v>
      </c>
      <c r="Q7004" s="7" t="str">
        <f t="shared" si="2567"/>
        <v>教育庁</v>
      </c>
      <c r="R7004" s="7" t="str">
        <f t="shared" si="2561"/>
        <v>都島工業高等学校</v>
      </c>
    </row>
    <row r="7005" spans="1:18" s="1" customFormat="1" x14ac:dyDescent="0.45">
      <c r="A7005" s="7" t="str">
        <f t="shared" si="2557"/>
        <v>10275003058</v>
      </c>
      <c r="B7005" s="7" t="str">
        <f t="shared" si="2558"/>
        <v>都島工業高等学校</v>
      </c>
      <c r="C7005" s="7" t="str">
        <f t="shared" si="2564"/>
        <v>行政財産</v>
      </c>
      <c r="D7005" s="7" t="str">
        <f t="shared" si="2562"/>
        <v>学校</v>
      </c>
      <c r="E7005" s="7" t="str">
        <f t="shared" si="2559"/>
        <v>大阪府大阪市　都島区善源寺町１丁目</v>
      </c>
      <c r="F7005" s="7"/>
      <c r="G7005" s="7" t="str">
        <f t="shared" si="2566"/>
        <v>事業用資産</v>
      </c>
      <c r="H7005" s="7" t="str">
        <f t="shared" si="2563"/>
        <v>棚卸以外</v>
      </c>
      <c r="I7005" s="7">
        <v>27</v>
      </c>
      <c r="J7005" s="7" t="str">
        <f>"倉庫４２"</f>
        <v>倉庫４２</v>
      </c>
      <c r="K7005" s="7" t="str">
        <f>"軽量鉄骨造"</f>
        <v>軽量鉄骨造</v>
      </c>
      <c r="L7005" s="7" t="str">
        <f>"S37.03.31"</f>
        <v>S37.03.31</v>
      </c>
      <c r="M7005" s="7">
        <v>7</v>
      </c>
      <c r="N7005" s="7">
        <v>202028</v>
      </c>
      <c r="O7005" s="7">
        <v>202027</v>
      </c>
      <c r="P7005" s="7">
        <v>0</v>
      </c>
      <c r="Q7005" s="7" t="str">
        <f t="shared" si="2567"/>
        <v>教育庁</v>
      </c>
      <c r="R7005" s="7" t="str">
        <f t="shared" si="2561"/>
        <v>都島工業高等学校</v>
      </c>
    </row>
    <row r="7006" spans="1:18" s="1" customFormat="1" x14ac:dyDescent="0.45">
      <c r="A7006" s="7" t="str">
        <f t="shared" si="2557"/>
        <v>10275003058</v>
      </c>
      <c r="B7006" s="7" t="str">
        <f t="shared" si="2558"/>
        <v>都島工業高等学校</v>
      </c>
      <c r="C7006" s="7" t="str">
        <f t="shared" si="2564"/>
        <v>行政財産</v>
      </c>
      <c r="D7006" s="7" t="str">
        <f t="shared" si="2562"/>
        <v>学校</v>
      </c>
      <c r="E7006" s="7" t="str">
        <f t="shared" si="2559"/>
        <v>大阪府大阪市　都島区善源寺町１丁目</v>
      </c>
      <c r="F7006" s="7"/>
      <c r="G7006" s="7" t="str">
        <f t="shared" si="2566"/>
        <v>事業用資産</v>
      </c>
      <c r="H7006" s="7" t="str">
        <f t="shared" si="2563"/>
        <v>棚卸以外</v>
      </c>
      <c r="I7006" s="7">
        <v>28</v>
      </c>
      <c r="J7006" s="7" t="str">
        <f>"倉庫４３"</f>
        <v>倉庫４３</v>
      </c>
      <c r="K7006" s="7" t="str">
        <f>"軽量鉄骨造"</f>
        <v>軽量鉄骨造</v>
      </c>
      <c r="L7006" s="7" t="str">
        <f>"S37.03.31"</f>
        <v>S37.03.31</v>
      </c>
      <c r="M7006" s="7">
        <v>6</v>
      </c>
      <c r="N7006" s="7">
        <v>173166</v>
      </c>
      <c r="O7006" s="7">
        <v>173165</v>
      </c>
      <c r="P7006" s="7">
        <v>0</v>
      </c>
      <c r="Q7006" s="7" t="str">
        <f t="shared" si="2567"/>
        <v>教育庁</v>
      </c>
      <c r="R7006" s="7" t="str">
        <f t="shared" si="2561"/>
        <v>都島工業高等学校</v>
      </c>
    </row>
    <row r="7007" spans="1:18" s="1" customFormat="1" x14ac:dyDescent="0.45">
      <c r="A7007" s="7" t="str">
        <f t="shared" si="2557"/>
        <v>10275003058</v>
      </c>
      <c r="B7007" s="7" t="str">
        <f t="shared" si="2558"/>
        <v>都島工業高等学校</v>
      </c>
      <c r="C7007" s="7" t="str">
        <f t="shared" si="2564"/>
        <v>行政財産</v>
      </c>
      <c r="D7007" s="7" t="str">
        <f t="shared" si="2562"/>
        <v>学校</v>
      </c>
      <c r="E7007" s="7" t="str">
        <f t="shared" si="2559"/>
        <v>大阪府大阪市　都島区善源寺町１丁目</v>
      </c>
      <c r="F7007" s="7"/>
      <c r="G7007" s="7" t="str">
        <f t="shared" si="2566"/>
        <v>事業用資産</v>
      </c>
      <c r="H7007" s="7" t="str">
        <f t="shared" si="2563"/>
        <v>棚卸以外</v>
      </c>
      <c r="I7007" s="7">
        <v>29</v>
      </c>
      <c r="J7007" s="7" t="str">
        <f>"倉庫４４"</f>
        <v>倉庫４４</v>
      </c>
      <c r="K7007" s="7" t="str">
        <f>"軽量鉄骨造"</f>
        <v>軽量鉄骨造</v>
      </c>
      <c r="L7007" s="7" t="str">
        <f>"S37.03.31"</f>
        <v>S37.03.31</v>
      </c>
      <c r="M7007" s="7">
        <v>6</v>
      </c>
      <c r="N7007" s="7">
        <v>173166</v>
      </c>
      <c r="O7007" s="7">
        <v>173165</v>
      </c>
      <c r="P7007" s="7">
        <v>0</v>
      </c>
      <c r="Q7007" s="7" t="str">
        <f t="shared" si="2567"/>
        <v>教育庁</v>
      </c>
      <c r="R7007" s="7" t="str">
        <f t="shared" si="2561"/>
        <v>都島工業高等学校</v>
      </c>
    </row>
    <row r="7008" spans="1:18" s="1" customFormat="1" x14ac:dyDescent="0.45">
      <c r="A7008" s="7" t="str">
        <f t="shared" si="2557"/>
        <v>10275003058</v>
      </c>
      <c r="B7008" s="7" t="str">
        <f t="shared" si="2558"/>
        <v>都島工業高等学校</v>
      </c>
      <c r="C7008" s="7" t="str">
        <f t="shared" si="2564"/>
        <v>行政財産</v>
      </c>
      <c r="D7008" s="7" t="str">
        <f t="shared" si="2562"/>
        <v>学校</v>
      </c>
      <c r="E7008" s="7" t="str">
        <f t="shared" si="2559"/>
        <v>大阪府大阪市　都島区善源寺町１丁目</v>
      </c>
      <c r="F7008" s="7"/>
      <c r="G7008" s="7" t="str">
        <f t="shared" si="2566"/>
        <v>事業用資産</v>
      </c>
      <c r="H7008" s="7" t="str">
        <f t="shared" si="2563"/>
        <v>棚卸以外</v>
      </c>
      <c r="I7008" s="7">
        <v>30</v>
      </c>
      <c r="J7008" s="7" t="str">
        <f>"倉庫５１"</f>
        <v>倉庫５１</v>
      </c>
      <c r="K7008" s="7" t="str">
        <f>"鉄骨造"</f>
        <v>鉄骨造</v>
      </c>
      <c r="L7008" s="7" t="str">
        <f>"S62.08.31"</f>
        <v>S62.08.31</v>
      </c>
      <c r="M7008" s="7">
        <v>59</v>
      </c>
      <c r="N7008" s="7">
        <v>1166097</v>
      </c>
      <c r="O7008" s="7">
        <v>1166096</v>
      </c>
      <c r="P7008" s="7">
        <v>0</v>
      </c>
      <c r="Q7008" s="7" t="str">
        <f t="shared" si="2567"/>
        <v>教育庁</v>
      </c>
      <c r="R7008" s="7" t="str">
        <f t="shared" si="2561"/>
        <v>都島工業高等学校</v>
      </c>
    </row>
    <row r="7009" spans="1:18" s="1" customFormat="1" x14ac:dyDescent="0.45">
      <c r="A7009" s="7" t="str">
        <f t="shared" si="2557"/>
        <v>10275003058</v>
      </c>
      <c r="B7009" s="7" t="str">
        <f t="shared" si="2558"/>
        <v>都島工業高等学校</v>
      </c>
      <c r="C7009" s="7" t="str">
        <f t="shared" si="2564"/>
        <v>行政財産</v>
      </c>
      <c r="D7009" s="7" t="str">
        <f t="shared" si="2562"/>
        <v>学校</v>
      </c>
      <c r="E7009" s="7" t="str">
        <f t="shared" si="2559"/>
        <v>大阪府大阪市　都島区善源寺町１丁目</v>
      </c>
      <c r="F7009" s="7"/>
      <c r="G7009" s="7" t="str">
        <f t="shared" si="2566"/>
        <v>事業用資産</v>
      </c>
      <c r="H7009" s="7" t="str">
        <f t="shared" si="2563"/>
        <v>棚卸以外</v>
      </c>
      <c r="I7009" s="7">
        <v>31</v>
      </c>
      <c r="J7009" s="7" t="str">
        <f>"倉庫６４"</f>
        <v>倉庫６４</v>
      </c>
      <c r="K7009" s="7" t="str">
        <f>"コンクリートブロック造"</f>
        <v>コンクリートブロック造</v>
      </c>
      <c r="L7009" s="7" t="str">
        <f>"H08.07.31"</f>
        <v>H08.07.31</v>
      </c>
      <c r="M7009" s="7">
        <v>5</v>
      </c>
      <c r="N7009" s="7">
        <v>367785</v>
      </c>
      <c r="O7009" s="7">
        <v>40458</v>
      </c>
      <c r="P7009" s="7">
        <v>0</v>
      </c>
      <c r="Q7009" s="7" t="str">
        <f t="shared" si="2567"/>
        <v>教育庁</v>
      </c>
      <c r="R7009" s="7" t="str">
        <f t="shared" si="2561"/>
        <v>都島工業高等学校</v>
      </c>
    </row>
    <row r="7010" spans="1:18" s="1" customFormat="1" x14ac:dyDescent="0.45">
      <c r="A7010" s="7" t="str">
        <f t="shared" si="2557"/>
        <v>10275003058</v>
      </c>
      <c r="B7010" s="7" t="str">
        <f t="shared" si="2558"/>
        <v>都島工業高等学校</v>
      </c>
      <c r="C7010" s="7" t="str">
        <f t="shared" si="2564"/>
        <v>行政財産</v>
      </c>
      <c r="D7010" s="7" t="str">
        <f t="shared" si="2562"/>
        <v>学校</v>
      </c>
      <c r="E7010" s="7" t="str">
        <f t="shared" si="2559"/>
        <v>大阪府大阪市　都島区善源寺町１丁目</v>
      </c>
      <c r="F7010" s="7"/>
      <c r="G7010" s="7" t="str">
        <f t="shared" si="2566"/>
        <v>事業用資産</v>
      </c>
      <c r="H7010" s="7" t="str">
        <f t="shared" si="2563"/>
        <v>棚卸以外</v>
      </c>
      <c r="I7010" s="7">
        <v>32</v>
      </c>
      <c r="J7010" s="7" t="str">
        <f>"百都館"</f>
        <v>百都館</v>
      </c>
      <c r="K7010" s="7" t="str">
        <f>"鉄骨造"</f>
        <v>鉄骨造</v>
      </c>
      <c r="L7010" s="7" t="str">
        <f>"H19.11.20"</f>
        <v>H19.11.20</v>
      </c>
      <c r="M7010" s="7">
        <v>208.8</v>
      </c>
      <c r="N7010" s="7">
        <v>28307220</v>
      </c>
      <c r="O7010" s="7">
        <v>763191</v>
      </c>
      <c r="P7010" s="7">
        <v>0</v>
      </c>
      <c r="Q7010" s="7" t="str">
        <f t="shared" si="2567"/>
        <v>教育庁</v>
      </c>
      <c r="R7010" s="7" t="str">
        <f t="shared" si="2561"/>
        <v>都島工業高等学校</v>
      </c>
    </row>
    <row r="7011" spans="1:18" s="1" customFormat="1" x14ac:dyDescent="0.45">
      <c r="A7011" s="7" t="str">
        <f t="shared" ref="A7011:A7025" si="2568">"10275003059"</f>
        <v>10275003059</v>
      </c>
      <c r="B7011" s="7" t="str">
        <f t="shared" ref="B7011:B7025" si="2569">"泉尾工業高等学校"</f>
        <v>泉尾工業高等学校</v>
      </c>
      <c r="C7011" s="7" t="str">
        <f t="shared" si="2564"/>
        <v>行政財産</v>
      </c>
      <c r="D7011" s="7" t="str">
        <f t="shared" si="2562"/>
        <v>学校</v>
      </c>
      <c r="E7011" s="7" t="str">
        <f t="shared" ref="E7011:E7025" si="2570">"大阪府大阪市　大正区泉尾５丁目"</f>
        <v>大阪府大阪市　大正区泉尾５丁目</v>
      </c>
      <c r="F7011" s="7"/>
      <c r="G7011" s="7" t="str">
        <f t="shared" si="2566"/>
        <v>事業用資産</v>
      </c>
      <c r="H7011" s="7" t="str">
        <f t="shared" si="2563"/>
        <v>棚卸以外</v>
      </c>
      <c r="I7011" s="7">
        <v>1</v>
      </c>
      <c r="J7011" s="7" t="str">
        <f>"１６－１　西館　電気科"</f>
        <v>１６－１　西館　電気科</v>
      </c>
      <c r="K7011" s="7" t="str">
        <f t="shared" ref="K7011:K7017" si="2571">"鉄筋コンクリート造"</f>
        <v>鉄筋コンクリート造</v>
      </c>
      <c r="L7011" s="7" t="str">
        <f>"S38.03.01"</f>
        <v>S38.03.01</v>
      </c>
      <c r="M7011" s="7">
        <v>2447.3000000000002</v>
      </c>
      <c r="N7011" s="7">
        <v>41979141</v>
      </c>
      <c r="O7011" s="7">
        <v>41979140</v>
      </c>
      <c r="P7011" s="7">
        <v>0</v>
      </c>
      <c r="Q7011" s="7" t="str">
        <f t="shared" si="2567"/>
        <v>教育庁</v>
      </c>
      <c r="R7011" s="7" t="str">
        <f t="shared" ref="R7011:R7025" si="2572">"泉尾工業高等学校"</f>
        <v>泉尾工業高等学校</v>
      </c>
    </row>
    <row r="7012" spans="1:18" s="1" customFormat="1" x14ac:dyDescent="0.45">
      <c r="A7012" s="7" t="str">
        <f t="shared" si="2568"/>
        <v>10275003059</v>
      </c>
      <c r="B7012" s="7" t="str">
        <f t="shared" si="2569"/>
        <v>泉尾工業高等学校</v>
      </c>
      <c r="C7012" s="7" t="str">
        <f t="shared" si="2564"/>
        <v>行政財産</v>
      </c>
      <c r="D7012" s="7" t="str">
        <f t="shared" si="2562"/>
        <v>学校</v>
      </c>
      <c r="E7012" s="7" t="str">
        <f t="shared" si="2570"/>
        <v>大阪府大阪市　大正区泉尾５丁目</v>
      </c>
      <c r="F7012" s="7"/>
      <c r="G7012" s="7" t="str">
        <f t="shared" si="2566"/>
        <v>事業用資産</v>
      </c>
      <c r="H7012" s="7" t="str">
        <f t="shared" si="2563"/>
        <v>棚卸以外</v>
      </c>
      <c r="I7012" s="7">
        <v>2</v>
      </c>
      <c r="J7012" s="7" t="str">
        <f>"１６－２　西館　機械科"</f>
        <v>１６－２　西館　機械科</v>
      </c>
      <c r="K7012" s="7" t="str">
        <f t="shared" si="2571"/>
        <v>鉄筋コンクリート造</v>
      </c>
      <c r="L7012" s="7" t="str">
        <f>"S39.03.01"</f>
        <v>S39.03.01</v>
      </c>
      <c r="M7012" s="7">
        <v>2576.29</v>
      </c>
      <c r="N7012" s="7">
        <v>41269113</v>
      </c>
      <c r="O7012" s="7">
        <v>41269112</v>
      </c>
      <c r="P7012" s="7">
        <v>0</v>
      </c>
      <c r="Q7012" s="7" t="str">
        <f t="shared" si="2567"/>
        <v>教育庁</v>
      </c>
      <c r="R7012" s="7" t="str">
        <f t="shared" si="2572"/>
        <v>泉尾工業高等学校</v>
      </c>
    </row>
    <row r="7013" spans="1:18" s="1" customFormat="1" x14ac:dyDescent="0.45">
      <c r="A7013" s="7" t="str">
        <f t="shared" si="2568"/>
        <v>10275003059</v>
      </c>
      <c r="B7013" s="7" t="str">
        <f t="shared" si="2569"/>
        <v>泉尾工業高等学校</v>
      </c>
      <c r="C7013" s="7" t="str">
        <f t="shared" si="2564"/>
        <v>行政財産</v>
      </c>
      <c r="D7013" s="7" t="str">
        <f t="shared" si="2562"/>
        <v>学校</v>
      </c>
      <c r="E7013" s="7" t="str">
        <f t="shared" si="2570"/>
        <v>大阪府大阪市　大正区泉尾５丁目</v>
      </c>
      <c r="F7013" s="7"/>
      <c r="G7013" s="7" t="str">
        <f t="shared" si="2566"/>
        <v>事業用資産</v>
      </c>
      <c r="H7013" s="7" t="str">
        <f t="shared" si="2563"/>
        <v>棚卸以外</v>
      </c>
      <c r="I7013" s="7">
        <v>3</v>
      </c>
      <c r="J7013" s="7" t="str">
        <f>"２３　機械科実習棟　機械加工"</f>
        <v>２３　機械科実習棟　機械加工</v>
      </c>
      <c r="K7013" s="7" t="str">
        <f t="shared" si="2571"/>
        <v>鉄筋コンクリート造</v>
      </c>
      <c r="L7013" s="7" t="str">
        <f>"S46.08.01"</f>
        <v>S46.08.01</v>
      </c>
      <c r="M7013" s="7">
        <v>1225.76</v>
      </c>
      <c r="N7013" s="7">
        <v>29861249</v>
      </c>
      <c r="O7013" s="7">
        <v>29861248</v>
      </c>
      <c r="P7013" s="7">
        <v>0</v>
      </c>
      <c r="Q7013" s="7" t="str">
        <f t="shared" si="2567"/>
        <v>教育庁</v>
      </c>
      <c r="R7013" s="7" t="str">
        <f t="shared" si="2572"/>
        <v>泉尾工業高等学校</v>
      </c>
    </row>
    <row r="7014" spans="1:18" s="1" customFormat="1" x14ac:dyDescent="0.45">
      <c r="A7014" s="7" t="str">
        <f t="shared" si="2568"/>
        <v>10275003059</v>
      </c>
      <c r="B7014" s="7" t="str">
        <f t="shared" si="2569"/>
        <v>泉尾工業高等学校</v>
      </c>
      <c r="C7014" s="7" t="str">
        <f t="shared" si="2564"/>
        <v>行政財産</v>
      </c>
      <c r="D7014" s="7" t="str">
        <f t="shared" si="2562"/>
        <v>学校</v>
      </c>
      <c r="E7014" s="7" t="str">
        <f t="shared" si="2570"/>
        <v>大阪府大阪市　大正区泉尾５丁目</v>
      </c>
      <c r="F7014" s="7"/>
      <c r="G7014" s="7" t="str">
        <f t="shared" si="2566"/>
        <v>事業用資産</v>
      </c>
      <c r="H7014" s="7" t="str">
        <f t="shared" si="2563"/>
        <v>棚卸以外</v>
      </c>
      <c r="I7014" s="7">
        <v>4</v>
      </c>
      <c r="J7014" s="7" t="str">
        <f>"２５－３　北館　繊維工業　西側３～４階"</f>
        <v>２５－３　北館　繊維工業　西側３～４階</v>
      </c>
      <c r="K7014" s="7" t="str">
        <f t="shared" si="2571"/>
        <v>鉄筋コンクリート造</v>
      </c>
      <c r="L7014" s="7" t="str">
        <f>"S50.09.01"</f>
        <v>S50.09.01</v>
      </c>
      <c r="M7014" s="7">
        <v>1359.72</v>
      </c>
      <c r="N7014" s="7">
        <v>27281768</v>
      </c>
      <c r="O7014" s="7">
        <v>27281767</v>
      </c>
      <c r="P7014" s="7">
        <v>0</v>
      </c>
      <c r="Q7014" s="7" t="str">
        <f t="shared" si="2567"/>
        <v>教育庁</v>
      </c>
      <c r="R7014" s="7" t="str">
        <f t="shared" si="2572"/>
        <v>泉尾工業高等学校</v>
      </c>
    </row>
    <row r="7015" spans="1:18" s="1" customFormat="1" x14ac:dyDescent="0.45">
      <c r="A7015" s="7" t="str">
        <f t="shared" si="2568"/>
        <v>10275003059</v>
      </c>
      <c r="B7015" s="7" t="str">
        <f t="shared" si="2569"/>
        <v>泉尾工業高等学校</v>
      </c>
      <c r="C7015" s="7" t="str">
        <f t="shared" si="2564"/>
        <v>行政財産</v>
      </c>
      <c r="D7015" s="7" t="str">
        <f t="shared" si="2562"/>
        <v>学校</v>
      </c>
      <c r="E7015" s="7" t="str">
        <f t="shared" si="2570"/>
        <v>大阪府大阪市　大正区泉尾５丁目</v>
      </c>
      <c r="F7015" s="7"/>
      <c r="G7015" s="7" t="str">
        <f t="shared" si="2566"/>
        <v>事業用資産</v>
      </c>
      <c r="H7015" s="7" t="str">
        <f t="shared" si="2563"/>
        <v>棚卸以外</v>
      </c>
      <c r="I7015" s="7">
        <v>5</v>
      </c>
      <c r="J7015" s="7" t="str">
        <f>"２５－４　北館　色染工業　東部分"</f>
        <v>２５－４　北館　色染工業　東部分</v>
      </c>
      <c r="K7015" s="7" t="str">
        <f t="shared" si="2571"/>
        <v>鉄筋コンクリート造</v>
      </c>
      <c r="L7015" s="7" t="str">
        <f>"S53.02.01"</f>
        <v>S53.02.01</v>
      </c>
      <c r="M7015" s="7">
        <v>2228.21</v>
      </c>
      <c r="N7015" s="7">
        <v>63980084</v>
      </c>
      <c r="O7015" s="7">
        <v>20611816</v>
      </c>
      <c r="P7015" s="7">
        <v>0</v>
      </c>
      <c r="Q7015" s="7" t="str">
        <f t="shared" si="2567"/>
        <v>教育庁</v>
      </c>
      <c r="R7015" s="7" t="str">
        <f t="shared" si="2572"/>
        <v>泉尾工業高等学校</v>
      </c>
    </row>
    <row r="7016" spans="1:18" s="1" customFormat="1" x14ac:dyDescent="0.45">
      <c r="A7016" s="7" t="str">
        <f t="shared" si="2568"/>
        <v>10275003059</v>
      </c>
      <c r="B7016" s="7" t="str">
        <f t="shared" si="2569"/>
        <v>泉尾工業高等学校</v>
      </c>
      <c r="C7016" s="7" t="str">
        <f t="shared" si="2564"/>
        <v>行政財産</v>
      </c>
      <c r="D7016" s="7" t="str">
        <f t="shared" si="2562"/>
        <v>学校</v>
      </c>
      <c r="E7016" s="7" t="str">
        <f t="shared" si="2570"/>
        <v>大阪府大阪市　大正区泉尾５丁目</v>
      </c>
      <c r="F7016" s="7"/>
      <c r="G7016" s="7" t="str">
        <f t="shared" si="2566"/>
        <v>事業用資産</v>
      </c>
      <c r="H7016" s="7" t="str">
        <f t="shared" si="2563"/>
        <v>棚卸以外</v>
      </c>
      <c r="I7016" s="7">
        <v>6</v>
      </c>
      <c r="J7016" s="7" t="str">
        <f>"２９－１　南館　工業化学　窯業"</f>
        <v>２９－１　南館　工業化学　窯業</v>
      </c>
      <c r="K7016" s="7" t="str">
        <f t="shared" si="2571"/>
        <v>鉄筋コンクリート造</v>
      </c>
      <c r="L7016" s="7" t="str">
        <f>"S57.01.01"</f>
        <v>S57.01.01</v>
      </c>
      <c r="M7016" s="7">
        <v>4085.41</v>
      </c>
      <c r="N7016" s="7">
        <v>149403186</v>
      </c>
      <c r="O7016" s="7">
        <v>20289324</v>
      </c>
      <c r="P7016" s="7">
        <v>0</v>
      </c>
      <c r="Q7016" s="7" t="str">
        <f t="shared" si="2567"/>
        <v>教育庁</v>
      </c>
      <c r="R7016" s="7" t="str">
        <f t="shared" si="2572"/>
        <v>泉尾工業高等学校</v>
      </c>
    </row>
    <row r="7017" spans="1:18" s="1" customFormat="1" ht="26.4" x14ac:dyDescent="0.45">
      <c r="A7017" s="7" t="str">
        <f t="shared" si="2568"/>
        <v>10275003059</v>
      </c>
      <c r="B7017" s="7" t="str">
        <f t="shared" si="2569"/>
        <v>泉尾工業高等学校</v>
      </c>
      <c r="C7017" s="7" t="str">
        <f t="shared" si="2564"/>
        <v>行政財産</v>
      </c>
      <c r="D7017" s="7" t="str">
        <f t="shared" si="2562"/>
        <v>学校</v>
      </c>
      <c r="E7017" s="7" t="str">
        <f t="shared" si="2570"/>
        <v>大阪府大阪市　大正区泉尾５丁目</v>
      </c>
      <c r="F7017" s="7"/>
      <c r="G7017" s="7" t="str">
        <f t="shared" si="2566"/>
        <v>事業用資産</v>
      </c>
      <c r="H7017" s="7" t="str">
        <f t="shared" si="2563"/>
        <v>棚卸以外</v>
      </c>
      <c r="I7017" s="7">
        <v>7</v>
      </c>
      <c r="J7017" s="7" t="str">
        <f>"Ｐ・Ｅ　南館裏　受水槽・ポンプ室・第２電気室"</f>
        <v>Ｐ・Ｅ　南館裏　受水槽・ポンプ室・第２電気室</v>
      </c>
      <c r="K7017" s="7" t="str">
        <f t="shared" si="2571"/>
        <v>鉄筋コンクリート造</v>
      </c>
      <c r="L7017" s="7" t="str">
        <f>"S57.02.01"</f>
        <v>S57.02.01</v>
      </c>
      <c r="M7017" s="7">
        <v>69.45</v>
      </c>
      <c r="N7017" s="7">
        <v>15037650</v>
      </c>
      <c r="O7017" s="7">
        <v>15037649</v>
      </c>
      <c r="P7017" s="7">
        <v>0</v>
      </c>
      <c r="Q7017" s="7" t="str">
        <f t="shared" si="2567"/>
        <v>教育庁</v>
      </c>
      <c r="R7017" s="7" t="str">
        <f t="shared" si="2572"/>
        <v>泉尾工業高等学校</v>
      </c>
    </row>
    <row r="7018" spans="1:18" s="1" customFormat="1" ht="26.4" x14ac:dyDescent="0.45">
      <c r="A7018" s="7" t="str">
        <f t="shared" si="2568"/>
        <v>10275003059</v>
      </c>
      <c r="B7018" s="7" t="str">
        <f t="shared" si="2569"/>
        <v>泉尾工業高等学校</v>
      </c>
      <c r="C7018" s="7" t="str">
        <f t="shared" si="2564"/>
        <v>行政財産</v>
      </c>
      <c r="D7018" s="7" t="str">
        <f t="shared" si="2562"/>
        <v>学校</v>
      </c>
      <c r="E7018" s="7" t="str">
        <f t="shared" si="2570"/>
        <v>大阪府大阪市　大正区泉尾５丁目</v>
      </c>
      <c r="F7018" s="7"/>
      <c r="G7018" s="7" t="str">
        <f t="shared" si="2566"/>
        <v>事業用資産</v>
      </c>
      <c r="H7018" s="7" t="str">
        <f t="shared" si="2563"/>
        <v>棚卸以外</v>
      </c>
      <c r="I7018" s="7">
        <v>8</v>
      </c>
      <c r="J7018" s="7" t="str">
        <f>"２４　機械科実習棟　原動機・溶接・鋳造"</f>
        <v>２４　機械科実習棟　原動機・溶接・鋳造</v>
      </c>
      <c r="K7018" s="7" t="str">
        <f>"鉄骨造"</f>
        <v>鉄骨造</v>
      </c>
      <c r="L7018" s="7" t="str">
        <f>"S47.03.01"</f>
        <v>S47.03.01</v>
      </c>
      <c r="M7018" s="7">
        <v>604</v>
      </c>
      <c r="N7018" s="7">
        <v>23348163</v>
      </c>
      <c r="O7018" s="7">
        <v>23348162</v>
      </c>
      <c r="P7018" s="7">
        <v>0</v>
      </c>
      <c r="Q7018" s="7" t="str">
        <f t="shared" si="2567"/>
        <v>教育庁</v>
      </c>
      <c r="R7018" s="7" t="str">
        <f t="shared" si="2572"/>
        <v>泉尾工業高等学校</v>
      </c>
    </row>
    <row r="7019" spans="1:18" s="1" customFormat="1" x14ac:dyDescent="0.45">
      <c r="A7019" s="7" t="str">
        <f t="shared" si="2568"/>
        <v>10275003059</v>
      </c>
      <c r="B7019" s="7" t="str">
        <f t="shared" si="2569"/>
        <v>泉尾工業高等学校</v>
      </c>
      <c r="C7019" s="7" t="str">
        <f t="shared" si="2564"/>
        <v>行政財産</v>
      </c>
      <c r="D7019" s="7" t="str">
        <f t="shared" si="2562"/>
        <v>学校</v>
      </c>
      <c r="E7019" s="7" t="str">
        <f t="shared" si="2570"/>
        <v>大阪府大阪市　大正区泉尾５丁目</v>
      </c>
      <c r="F7019" s="7"/>
      <c r="G7019" s="7" t="str">
        <f t="shared" si="2566"/>
        <v>事業用資産</v>
      </c>
      <c r="H7019" s="7" t="str">
        <f t="shared" si="2563"/>
        <v>棚卸以外</v>
      </c>
      <c r="I7019" s="7">
        <v>9</v>
      </c>
      <c r="J7019" s="7" t="str">
        <f>"２９－２　南館　窯業"</f>
        <v>２９－２　南館　窯業</v>
      </c>
      <c r="K7019" s="7" t="str">
        <f>"鉄筋コンクリート造"</f>
        <v>鉄筋コンクリート造</v>
      </c>
      <c r="L7019" s="7" t="str">
        <f>"S58.03.01"</f>
        <v>S58.03.01</v>
      </c>
      <c r="M7019" s="7">
        <v>1630.2</v>
      </c>
      <c r="N7019" s="7">
        <v>94237879</v>
      </c>
      <c r="O7019" s="7">
        <v>10911758</v>
      </c>
      <c r="P7019" s="7">
        <v>0</v>
      </c>
      <c r="Q7019" s="7" t="str">
        <f t="shared" si="2567"/>
        <v>教育庁</v>
      </c>
      <c r="R7019" s="7" t="str">
        <f t="shared" si="2572"/>
        <v>泉尾工業高等学校</v>
      </c>
    </row>
    <row r="7020" spans="1:18" s="1" customFormat="1" ht="26.4" x14ac:dyDescent="0.45">
      <c r="A7020" s="7" t="str">
        <f t="shared" si="2568"/>
        <v>10275003059</v>
      </c>
      <c r="B7020" s="7" t="str">
        <f t="shared" si="2569"/>
        <v>泉尾工業高等学校</v>
      </c>
      <c r="C7020" s="7" t="str">
        <f t="shared" si="2564"/>
        <v>行政財産</v>
      </c>
      <c r="D7020" s="7" t="str">
        <f t="shared" si="2562"/>
        <v>学校</v>
      </c>
      <c r="E7020" s="7" t="str">
        <f t="shared" si="2570"/>
        <v>大阪府大阪市　大正区泉尾５丁目</v>
      </c>
      <c r="F7020" s="7"/>
      <c r="G7020" s="7" t="str">
        <f t="shared" si="2566"/>
        <v>事業用資産</v>
      </c>
      <c r="H7020" s="7" t="str">
        <f t="shared" si="2563"/>
        <v>棚卸以外</v>
      </c>
      <c r="I7020" s="7">
        <v>10</v>
      </c>
      <c r="J7020" s="7" t="str">
        <f>"２５－１・２５－２　北館　繊維工業　西側１～２階"</f>
        <v>２５－１・２５－２　北館　繊維工業　西側１～２階</v>
      </c>
      <c r="K7020" s="7" t="str">
        <f>"鉄筋コンクリート造"</f>
        <v>鉄筋コンクリート造</v>
      </c>
      <c r="L7020" s="7" t="str">
        <f>"S49.05.01"</f>
        <v>S49.05.01</v>
      </c>
      <c r="M7020" s="7">
        <v>1896</v>
      </c>
      <c r="N7020" s="7">
        <v>53235989</v>
      </c>
      <c r="O7020" s="7">
        <v>53235988</v>
      </c>
      <c r="P7020" s="7">
        <v>0</v>
      </c>
      <c r="Q7020" s="7" t="str">
        <f t="shared" si="2567"/>
        <v>教育庁</v>
      </c>
      <c r="R7020" s="7" t="str">
        <f t="shared" si="2572"/>
        <v>泉尾工業高等学校</v>
      </c>
    </row>
    <row r="7021" spans="1:18" s="1" customFormat="1" x14ac:dyDescent="0.45">
      <c r="A7021" s="7" t="str">
        <f t="shared" si="2568"/>
        <v>10275003059</v>
      </c>
      <c r="B7021" s="7" t="str">
        <f t="shared" si="2569"/>
        <v>泉尾工業高等学校</v>
      </c>
      <c r="C7021" s="7" t="str">
        <f t="shared" si="2564"/>
        <v>行政財産</v>
      </c>
      <c r="D7021" s="7" t="str">
        <f t="shared" si="2562"/>
        <v>学校</v>
      </c>
      <c r="E7021" s="7" t="str">
        <f t="shared" si="2570"/>
        <v>大阪府大阪市　大正区泉尾５丁目</v>
      </c>
      <c r="F7021" s="7"/>
      <c r="G7021" s="7" t="str">
        <f t="shared" si="2566"/>
        <v>事業用資産</v>
      </c>
      <c r="H7021" s="7" t="str">
        <f t="shared" si="2563"/>
        <v>棚卸以外</v>
      </c>
      <c r="I7021" s="7">
        <v>11</v>
      </c>
      <c r="J7021" s="7" t="str">
        <f>"３２　本館"</f>
        <v>３２　本館</v>
      </c>
      <c r="K7021" s="7" t="str">
        <f>"鉄筋コンクリート造"</f>
        <v>鉄筋コンクリート造</v>
      </c>
      <c r="L7021" s="7" t="str">
        <f>"S60.08.01"</f>
        <v>S60.08.01</v>
      </c>
      <c r="M7021" s="7">
        <v>3905</v>
      </c>
      <c r="N7021" s="7">
        <v>279806121</v>
      </c>
      <c r="O7021" s="7">
        <v>24821511</v>
      </c>
      <c r="P7021" s="7">
        <v>0</v>
      </c>
      <c r="Q7021" s="7" t="str">
        <f t="shared" si="2567"/>
        <v>教育庁</v>
      </c>
      <c r="R7021" s="7" t="str">
        <f t="shared" si="2572"/>
        <v>泉尾工業高等学校</v>
      </c>
    </row>
    <row r="7022" spans="1:18" s="1" customFormat="1" x14ac:dyDescent="0.45">
      <c r="A7022" s="7" t="str">
        <f t="shared" si="2568"/>
        <v>10275003059</v>
      </c>
      <c r="B7022" s="7" t="str">
        <f t="shared" si="2569"/>
        <v>泉尾工業高等学校</v>
      </c>
      <c r="C7022" s="7" t="str">
        <f t="shared" si="2564"/>
        <v>行政財産</v>
      </c>
      <c r="D7022" s="7" t="str">
        <f t="shared" si="2562"/>
        <v>学校</v>
      </c>
      <c r="E7022" s="7" t="str">
        <f t="shared" si="2570"/>
        <v>大阪府大阪市　大正区泉尾５丁目</v>
      </c>
      <c r="F7022" s="7"/>
      <c r="G7022" s="7" t="str">
        <f t="shared" si="2566"/>
        <v>事業用資産</v>
      </c>
      <c r="H7022" s="7" t="str">
        <f t="shared" si="2563"/>
        <v>棚卸以外</v>
      </c>
      <c r="I7022" s="7">
        <v>12</v>
      </c>
      <c r="J7022" s="7" t="str">
        <f>"３４－１　体育館１階"</f>
        <v>３４－１　体育館１階</v>
      </c>
      <c r="K7022" s="7" t="str">
        <f>"鉄筋コンクリート造"</f>
        <v>鉄筋コンクリート造</v>
      </c>
      <c r="L7022" s="7" t="str">
        <f>"S61.07.01"</f>
        <v>S61.07.01</v>
      </c>
      <c r="M7022" s="7">
        <v>360</v>
      </c>
      <c r="N7022" s="7">
        <v>43991930</v>
      </c>
      <c r="O7022" s="7">
        <v>7681135</v>
      </c>
      <c r="P7022" s="7">
        <v>0</v>
      </c>
      <c r="Q7022" s="7" t="str">
        <f t="shared" si="2567"/>
        <v>教育庁</v>
      </c>
      <c r="R7022" s="7" t="str">
        <f t="shared" si="2572"/>
        <v>泉尾工業高等学校</v>
      </c>
    </row>
    <row r="7023" spans="1:18" s="1" customFormat="1" x14ac:dyDescent="0.45">
      <c r="A7023" s="7" t="str">
        <f t="shared" si="2568"/>
        <v>10275003059</v>
      </c>
      <c r="B7023" s="7" t="str">
        <f t="shared" si="2569"/>
        <v>泉尾工業高等学校</v>
      </c>
      <c r="C7023" s="7" t="str">
        <f t="shared" si="2564"/>
        <v>行政財産</v>
      </c>
      <c r="D7023" s="7" t="str">
        <f t="shared" si="2562"/>
        <v>学校</v>
      </c>
      <c r="E7023" s="7" t="str">
        <f t="shared" si="2570"/>
        <v>大阪府大阪市　大正区泉尾５丁目</v>
      </c>
      <c r="F7023" s="7"/>
      <c r="G7023" s="7" t="str">
        <f t="shared" si="2566"/>
        <v>事業用資産</v>
      </c>
      <c r="H7023" s="7" t="str">
        <f t="shared" si="2563"/>
        <v>棚卸以外</v>
      </c>
      <c r="I7023" s="7">
        <v>13</v>
      </c>
      <c r="J7023" s="7" t="str">
        <f>"体育館アリーナ"</f>
        <v>体育館アリーナ</v>
      </c>
      <c r="K7023" s="7" t="str">
        <f>"鉄骨造"</f>
        <v>鉄骨造</v>
      </c>
      <c r="L7023" s="7" t="str">
        <f>"S61.07.01"</f>
        <v>S61.07.01</v>
      </c>
      <c r="M7023" s="7">
        <v>2296</v>
      </c>
      <c r="N7023" s="7">
        <v>70291304</v>
      </c>
      <c r="O7023" s="7">
        <v>70291303</v>
      </c>
      <c r="P7023" s="7">
        <v>0</v>
      </c>
      <c r="Q7023" s="7" t="str">
        <f t="shared" si="2567"/>
        <v>教育庁</v>
      </c>
      <c r="R7023" s="7" t="str">
        <f t="shared" si="2572"/>
        <v>泉尾工業高等学校</v>
      </c>
    </row>
    <row r="7024" spans="1:18" s="1" customFormat="1" x14ac:dyDescent="0.45">
      <c r="A7024" s="7" t="str">
        <f t="shared" si="2568"/>
        <v>10275003059</v>
      </c>
      <c r="B7024" s="7" t="str">
        <f t="shared" si="2569"/>
        <v>泉尾工業高等学校</v>
      </c>
      <c r="C7024" s="7" t="str">
        <f t="shared" si="2564"/>
        <v>行政財産</v>
      </c>
      <c r="D7024" s="7" t="str">
        <f t="shared" si="2562"/>
        <v>学校</v>
      </c>
      <c r="E7024" s="7" t="str">
        <f t="shared" si="2570"/>
        <v>大阪府大阪市　大正区泉尾５丁目</v>
      </c>
      <c r="F7024" s="7"/>
      <c r="G7024" s="7" t="str">
        <f t="shared" si="2566"/>
        <v>事業用資産</v>
      </c>
      <c r="H7024" s="7" t="str">
        <f t="shared" si="2563"/>
        <v>棚卸以外</v>
      </c>
      <c r="I7024" s="7">
        <v>14</v>
      </c>
      <c r="J7024" s="7" t="str">
        <f>"３６・３７・３８　クラブハウス"</f>
        <v>３６・３７・３８　クラブハウス</v>
      </c>
      <c r="K7024" s="7" t="str">
        <f>"軽量鉄骨造"</f>
        <v>軽量鉄骨造</v>
      </c>
      <c r="L7024" s="7" t="str">
        <f>"S62.03.01"</f>
        <v>S62.03.01</v>
      </c>
      <c r="M7024" s="7">
        <v>388</v>
      </c>
      <c r="N7024" s="7">
        <v>8631765</v>
      </c>
      <c r="O7024" s="7">
        <v>8631764</v>
      </c>
      <c r="P7024" s="7">
        <v>0</v>
      </c>
      <c r="Q7024" s="7" t="str">
        <f t="shared" si="2567"/>
        <v>教育庁</v>
      </c>
      <c r="R7024" s="7" t="str">
        <f t="shared" si="2572"/>
        <v>泉尾工業高等学校</v>
      </c>
    </row>
    <row r="7025" spans="1:18" s="1" customFormat="1" x14ac:dyDescent="0.45">
      <c r="A7025" s="7" t="str">
        <f t="shared" si="2568"/>
        <v>10275003059</v>
      </c>
      <c r="B7025" s="7" t="str">
        <f t="shared" si="2569"/>
        <v>泉尾工業高等学校</v>
      </c>
      <c r="C7025" s="7" t="str">
        <f t="shared" si="2564"/>
        <v>行政財産</v>
      </c>
      <c r="D7025" s="7" t="str">
        <f t="shared" si="2562"/>
        <v>学校</v>
      </c>
      <c r="E7025" s="7" t="str">
        <f t="shared" si="2570"/>
        <v>大阪府大阪市　大正区泉尾５丁目</v>
      </c>
      <c r="F7025" s="7"/>
      <c r="G7025" s="7" t="str">
        <f t="shared" si="2566"/>
        <v>事業用資産</v>
      </c>
      <c r="H7025" s="7" t="str">
        <f t="shared" si="2563"/>
        <v>棚卸以外</v>
      </c>
      <c r="I7025" s="7">
        <v>15</v>
      </c>
      <c r="J7025" s="7" t="str">
        <f>"ポンプ室２７　ポンプ室（廃水処理）"</f>
        <v>ポンプ室２７　ポンプ室（廃水処理）</v>
      </c>
      <c r="K7025" s="7" t="str">
        <f>"鉄筋コンクリート造"</f>
        <v>鉄筋コンクリート造</v>
      </c>
      <c r="L7025" s="7" t="str">
        <f>"S53.01.31"</f>
        <v>S53.01.31</v>
      </c>
      <c r="M7025" s="7">
        <v>8</v>
      </c>
      <c r="N7025" s="7">
        <v>236481</v>
      </c>
      <c r="O7025" s="7">
        <v>236480</v>
      </c>
      <c r="P7025" s="7">
        <v>0</v>
      </c>
      <c r="Q7025" s="7" t="str">
        <f t="shared" si="2567"/>
        <v>教育庁</v>
      </c>
      <c r="R7025" s="7" t="str">
        <f t="shared" si="2572"/>
        <v>泉尾工業高等学校</v>
      </c>
    </row>
    <row r="7026" spans="1:18" s="1" customFormat="1" x14ac:dyDescent="0.45">
      <c r="A7026" s="7" t="str">
        <f t="shared" ref="A7026:A7052" si="2573">"10275003060"</f>
        <v>10275003060</v>
      </c>
      <c r="B7026" s="7" t="str">
        <f t="shared" ref="B7026:B7052" si="2574">"生野工業高等学校"</f>
        <v>生野工業高等学校</v>
      </c>
      <c r="C7026" s="7" t="str">
        <f t="shared" si="2564"/>
        <v>行政財産</v>
      </c>
      <c r="D7026" s="7" t="str">
        <f t="shared" si="2562"/>
        <v>学校</v>
      </c>
      <c r="E7026" s="7" t="str">
        <f t="shared" ref="E7026:E7052" si="2575">"大阪府大阪市　生野区生野東２丁目"</f>
        <v>大阪府大阪市　生野区生野東２丁目</v>
      </c>
      <c r="F7026" s="7"/>
      <c r="G7026" s="7" t="str">
        <f t="shared" si="2566"/>
        <v>事業用資産</v>
      </c>
      <c r="H7026" s="7" t="str">
        <f t="shared" si="2563"/>
        <v>棚卸以外</v>
      </c>
      <c r="I7026" s="7">
        <v>1</v>
      </c>
      <c r="J7026" s="7" t="str">
        <f>"特別・普通教室棟８－１"</f>
        <v>特別・普通教室棟８－１</v>
      </c>
      <c r="K7026" s="7" t="str">
        <f>"鉄筋コンクリート造"</f>
        <v>鉄筋コンクリート造</v>
      </c>
      <c r="L7026" s="7" t="str">
        <f>"S31.11.01"</f>
        <v>S31.11.01</v>
      </c>
      <c r="M7026" s="7">
        <v>628.79</v>
      </c>
      <c r="N7026" s="7">
        <v>9670068</v>
      </c>
      <c r="O7026" s="7">
        <v>9670067</v>
      </c>
      <c r="P7026" s="7">
        <v>0</v>
      </c>
      <c r="Q7026" s="7" t="str">
        <f t="shared" si="2567"/>
        <v>教育庁</v>
      </c>
      <c r="R7026" s="7" t="str">
        <f t="shared" ref="R7026:R7052" si="2576">"生野工業高等学校"</f>
        <v>生野工業高等学校</v>
      </c>
    </row>
    <row r="7027" spans="1:18" s="1" customFormat="1" x14ac:dyDescent="0.45">
      <c r="A7027" s="7" t="str">
        <f t="shared" si="2573"/>
        <v>10275003060</v>
      </c>
      <c r="B7027" s="7" t="str">
        <f t="shared" si="2574"/>
        <v>生野工業高等学校</v>
      </c>
      <c r="C7027" s="7" t="str">
        <f t="shared" si="2564"/>
        <v>行政財産</v>
      </c>
      <c r="D7027" s="7" t="str">
        <f t="shared" si="2562"/>
        <v>学校</v>
      </c>
      <c r="E7027" s="7" t="str">
        <f t="shared" si="2575"/>
        <v>大阪府大阪市　生野区生野東２丁目</v>
      </c>
      <c r="F7027" s="7"/>
      <c r="G7027" s="7" t="str">
        <f t="shared" si="2566"/>
        <v>事業用資産</v>
      </c>
      <c r="H7027" s="7" t="str">
        <f t="shared" si="2563"/>
        <v>棚卸以外</v>
      </c>
      <c r="I7027" s="7">
        <v>2</v>
      </c>
      <c r="J7027" s="7" t="str">
        <f>"管理室棟８－３"</f>
        <v>管理室棟８－３</v>
      </c>
      <c r="K7027" s="7" t="str">
        <f>"鉄筋コンクリート造"</f>
        <v>鉄筋コンクリート造</v>
      </c>
      <c r="L7027" s="7" t="str">
        <f>"S34.04.01"</f>
        <v>S34.04.01</v>
      </c>
      <c r="M7027" s="7">
        <v>260.72000000000003</v>
      </c>
      <c r="N7027" s="7">
        <v>4085962</v>
      </c>
      <c r="O7027" s="7">
        <v>4085961</v>
      </c>
      <c r="P7027" s="7">
        <v>0</v>
      </c>
      <c r="Q7027" s="7" t="str">
        <f t="shared" si="2567"/>
        <v>教育庁</v>
      </c>
      <c r="R7027" s="7" t="str">
        <f t="shared" si="2576"/>
        <v>生野工業高等学校</v>
      </c>
    </row>
    <row r="7028" spans="1:18" s="1" customFormat="1" x14ac:dyDescent="0.45">
      <c r="A7028" s="7" t="str">
        <f t="shared" si="2573"/>
        <v>10275003060</v>
      </c>
      <c r="B7028" s="7" t="str">
        <f t="shared" si="2574"/>
        <v>生野工業高等学校</v>
      </c>
      <c r="C7028" s="7" t="str">
        <f t="shared" si="2564"/>
        <v>行政財産</v>
      </c>
      <c r="D7028" s="7" t="str">
        <f t="shared" si="2562"/>
        <v>学校</v>
      </c>
      <c r="E7028" s="7" t="str">
        <f t="shared" si="2575"/>
        <v>大阪府大阪市　生野区生野東２丁目</v>
      </c>
      <c r="F7028" s="7"/>
      <c r="G7028" s="7" t="str">
        <f t="shared" si="2566"/>
        <v>事業用資産</v>
      </c>
      <c r="H7028" s="7" t="str">
        <f t="shared" si="2563"/>
        <v>棚卸以外</v>
      </c>
      <c r="I7028" s="7">
        <v>3</v>
      </c>
      <c r="J7028" s="7" t="str">
        <f>"管理室棟１５－１"</f>
        <v>管理室棟１５－１</v>
      </c>
      <c r="K7028" s="7" t="str">
        <f>"鉄骨造"</f>
        <v>鉄骨造</v>
      </c>
      <c r="L7028" s="7" t="str">
        <f>"S41.03.01"</f>
        <v>S41.03.01</v>
      </c>
      <c r="M7028" s="7">
        <v>438.28</v>
      </c>
      <c r="N7028" s="7">
        <v>6799908</v>
      </c>
      <c r="O7028" s="7">
        <v>6799907</v>
      </c>
      <c r="P7028" s="7">
        <v>0</v>
      </c>
      <c r="Q7028" s="7" t="str">
        <f t="shared" si="2567"/>
        <v>教育庁</v>
      </c>
      <c r="R7028" s="7" t="str">
        <f t="shared" si="2576"/>
        <v>生野工業高等学校</v>
      </c>
    </row>
    <row r="7029" spans="1:18" s="1" customFormat="1" x14ac:dyDescent="0.45">
      <c r="A7029" s="7" t="str">
        <f t="shared" si="2573"/>
        <v>10275003060</v>
      </c>
      <c r="B7029" s="7" t="str">
        <f t="shared" si="2574"/>
        <v>生野工業高等学校</v>
      </c>
      <c r="C7029" s="7" t="str">
        <f t="shared" si="2564"/>
        <v>行政財産</v>
      </c>
      <c r="D7029" s="7" t="str">
        <f t="shared" si="2562"/>
        <v>学校</v>
      </c>
      <c r="E7029" s="7" t="str">
        <f t="shared" si="2575"/>
        <v>大阪府大阪市　生野区生野東２丁目</v>
      </c>
      <c r="F7029" s="7"/>
      <c r="G7029" s="7" t="str">
        <f t="shared" si="2566"/>
        <v>事業用資産</v>
      </c>
      <c r="H7029" s="7" t="str">
        <f t="shared" si="2563"/>
        <v>棚卸以外</v>
      </c>
      <c r="I7029" s="7">
        <v>4</v>
      </c>
      <c r="J7029" s="7" t="str">
        <f>"特別教室棟１２－１"</f>
        <v>特別教室棟１２－１</v>
      </c>
      <c r="K7029" s="7" t="str">
        <f>"鉄筋コンクリート造"</f>
        <v>鉄筋コンクリート造</v>
      </c>
      <c r="L7029" s="7" t="str">
        <f>"S39.05.01"</f>
        <v>S39.05.01</v>
      </c>
      <c r="M7029" s="7">
        <v>688.19</v>
      </c>
      <c r="N7029" s="7">
        <v>15184216</v>
      </c>
      <c r="O7029" s="7">
        <v>15184215</v>
      </c>
      <c r="P7029" s="7">
        <v>0</v>
      </c>
      <c r="Q7029" s="7" t="str">
        <f t="shared" si="2567"/>
        <v>教育庁</v>
      </c>
      <c r="R7029" s="7" t="str">
        <f t="shared" si="2576"/>
        <v>生野工業高等学校</v>
      </c>
    </row>
    <row r="7030" spans="1:18" s="1" customFormat="1" x14ac:dyDescent="0.45">
      <c r="A7030" s="7" t="str">
        <f t="shared" si="2573"/>
        <v>10275003060</v>
      </c>
      <c r="B7030" s="7" t="str">
        <f t="shared" si="2574"/>
        <v>生野工業高等学校</v>
      </c>
      <c r="C7030" s="7" t="str">
        <f t="shared" si="2564"/>
        <v>行政財産</v>
      </c>
      <c r="D7030" s="7" t="str">
        <f t="shared" si="2562"/>
        <v>学校</v>
      </c>
      <c r="E7030" s="7" t="str">
        <f t="shared" si="2575"/>
        <v>大阪府大阪市　生野区生野東２丁目</v>
      </c>
      <c r="F7030" s="7"/>
      <c r="G7030" s="7" t="str">
        <f t="shared" si="2566"/>
        <v>事業用資産</v>
      </c>
      <c r="H7030" s="7" t="str">
        <f t="shared" si="2563"/>
        <v>棚卸以外</v>
      </c>
      <c r="I7030" s="7">
        <v>5</v>
      </c>
      <c r="J7030" s="7" t="str">
        <f>"管理室棟１５－２"</f>
        <v>管理室棟１５－２</v>
      </c>
      <c r="K7030" s="7" t="str">
        <f>"鉄骨造"</f>
        <v>鉄骨造</v>
      </c>
      <c r="L7030" s="7" t="str">
        <f>"S41.10.01"</f>
        <v>S41.10.01</v>
      </c>
      <c r="M7030" s="7">
        <v>316.8</v>
      </c>
      <c r="N7030" s="7">
        <v>4420200</v>
      </c>
      <c r="O7030" s="7">
        <v>4420199</v>
      </c>
      <c r="P7030" s="7">
        <v>0</v>
      </c>
      <c r="Q7030" s="7" t="str">
        <f t="shared" si="2567"/>
        <v>教育庁</v>
      </c>
      <c r="R7030" s="7" t="str">
        <f t="shared" si="2576"/>
        <v>生野工業高等学校</v>
      </c>
    </row>
    <row r="7031" spans="1:18" s="1" customFormat="1" x14ac:dyDescent="0.45">
      <c r="A7031" s="7" t="str">
        <f t="shared" si="2573"/>
        <v>10275003060</v>
      </c>
      <c r="B7031" s="7" t="str">
        <f t="shared" si="2574"/>
        <v>生野工業高等学校</v>
      </c>
      <c r="C7031" s="7" t="str">
        <f t="shared" si="2564"/>
        <v>行政財産</v>
      </c>
      <c r="D7031" s="7" t="str">
        <f t="shared" si="2562"/>
        <v>学校</v>
      </c>
      <c r="E7031" s="7" t="str">
        <f t="shared" si="2575"/>
        <v>大阪府大阪市　生野区生野東２丁目</v>
      </c>
      <c r="F7031" s="7"/>
      <c r="G7031" s="7" t="str">
        <f t="shared" si="2566"/>
        <v>事業用資産</v>
      </c>
      <c r="H7031" s="7" t="str">
        <f t="shared" si="2563"/>
        <v>棚卸以外</v>
      </c>
      <c r="I7031" s="7">
        <v>6</v>
      </c>
      <c r="J7031" s="7" t="str">
        <f>"特別教室棟１６"</f>
        <v>特別教室棟１６</v>
      </c>
      <c r="K7031" s="7" t="str">
        <f>"鉄骨造"</f>
        <v>鉄骨造</v>
      </c>
      <c r="L7031" s="7" t="str">
        <f>"S41.10.01"</f>
        <v>S41.10.01</v>
      </c>
      <c r="M7031" s="7">
        <v>265.83999999999997</v>
      </c>
      <c r="N7031" s="7">
        <v>3708679</v>
      </c>
      <c r="O7031" s="7">
        <v>3708678</v>
      </c>
      <c r="P7031" s="7">
        <v>0</v>
      </c>
      <c r="Q7031" s="7" t="str">
        <f t="shared" si="2567"/>
        <v>教育庁</v>
      </c>
      <c r="R7031" s="7" t="str">
        <f t="shared" si="2576"/>
        <v>生野工業高等学校</v>
      </c>
    </row>
    <row r="7032" spans="1:18" s="1" customFormat="1" x14ac:dyDescent="0.45">
      <c r="A7032" s="7" t="str">
        <f t="shared" si="2573"/>
        <v>10275003060</v>
      </c>
      <c r="B7032" s="7" t="str">
        <f t="shared" si="2574"/>
        <v>生野工業高等学校</v>
      </c>
      <c r="C7032" s="7" t="str">
        <f t="shared" si="2564"/>
        <v>行政財産</v>
      </c>
      <c r="D7032" s="7" t="str">
        <f t="shared" si="2562"/>
        <v>学校</v>
      </c>
      <c r="E7032" s="7" t="str">
        <f t="shared" si="2575"/>
        <v>大阪府大阪市　生野区生野東２丁目</v>
      </c>
      <c r="F7032" s="7"/>
      <c r="G7032" s="7" t="str">
        <f t="shared" si="2566"/>
        <v>事業用資産</v>
      </c>
      <c r="H7032" s="7" t="str">
        <f t="shared" si="2563"/>
        <v>棚卸以外</v>
      </c>
      <c r="I7032" s="7">
        <v>7</v>
      </c>
      <c r="J7032" s="7" t="str">
        <f>"特別教室棟１２－２"</f>
        <v>特別教室棟１２－２</v>
      </c>
      <c r="K7032" s="7" t="str">
        <f t="shared" ref="K7032:K7046" si="2577">"鉄筋コンクリート造"</f>
        <v>鉄筋コンクリート造</v>
      </c>
      <c r="L7032" s="7" t="str">
        <f>"S42.05.01"</f>
        <v>S42.05.01</v>
      </c>
      <c r="M7032" s="7">
        <v>535.99</v>
      </c>
      <c r="N7032" s="7">
        <v>16077393</v>
      </c>
      <c r="O7032" s="7">
        <v>16077392</v>
      </c>
      <c r="P7032" s="7">
        <v>0</v>
      </c>
      <c r="Q7032" s="7" t="str">
        <f t="shared" si="2567"/>
        <v>教育庁</v>
      </c>
      <c r="R7032" s="7" t="str">
        <f t="shared" si="2576"/>
        <v>生野工業高等学校</v>
      </c>
    </row>
    <row r="7033" spans="1:18" s="1" customFormat="1" x14ac:dyDescent="0.45">
      <c r="A7033" s="7" t="str">
        <f t="shared" si="2573"/>
        <v>10275003060</v>
      </c>
      <c r="B7033" s="7" t="str">
        <f t="shared" si="2574"/>
        <v>生野工業高等学校</v>
      </c>
      <c r="C7033" s="7" t="str">
        <f t="shared" si="2564"/>
        <v>行政財産</v>
      </c>
      <c r="D7033" s="7" t="str">
        <f t="shared" si="2562"/>
        <v>学校</v>
      </c>
      <c r="E7033" s="7" t="str">
        <f t="shared" si="2575"/>
        <v>大阪府大阪市　生野区生野東２丁目</v>
      </c>
      <c r="F7033" s="7"/>
      <c r="G7033" s="7" t="str">
        <f t="shared" si="2566"/>
        <v>事業用資産</v>
      </c>
      <c r="H7033" s="7" t="str">
        <f t="shared" si="2563"/>
        <v>棚卸以外</v>
      </c>
      <c r="I7033" s="7">
        <v>8</v>
      </c>
      <c r="J7033" s="7" t="str">
        <f>"特別教室棟１２－３"</f>
        <v>特別教室棟１２－３</v>
      </c>
      <c r="K7033" s="7" t="str">
        <f t="shared" si="2577"/>
        <v>鉄筋コンクリート造</v>
      </c>
      <c r="L7033" s="7" t="str">
        <f>"S43.05.01"</f>
        <v>S43.05.01</v>
      </c>
      <c r="M7033" s="7">
        <v>2255.0500000000002</v>
      </c>
      <c r="N7033" s="7">
        <v>26461924</v>
      </c>
      <c r="O7033" s="7">
        <v>26461923</v>
      </c>
      <c r="P7033" s="7">
        <v>0</v>
      </c>
      <c r="Q7033" s="7" t="str">
        <f t="shared" si="2567"/>
        <v>教育庁</v>
      </c>
      <c r="R7033" s="7" t="str">
        <f t="shared" si="2576"/>
        <v>生野工業高等学校</v>
      </c>
    </row>
    <row r="7034" spans="1:18" s="1" customFormat="1" x14ac:dyDescent="0.45">
      <c r="A7034" s="7" t="str">
        <f t="shared" si="2573"/>
        <v>10275003060</v>
      </c>
      <c r="B7034" s="7" t="str">
        <f t="shared" si="2574"/>
        <v>生野工業高等学校</v>
      </c>
      <c r="C7034" s="7" t="str">
        <f t="shared" si="2564"/>
        <v>行政財産</v>
      </c>
      <c r="D7034" s="7" t="str">
        <f t="shared" si="2562"/>
        <v>学校</v>
      </c>
      <c r="E7034" s="7" t="str">
        <f t="shared" si="2575"/>
        <v>大阪府大阪市　生野区生野東２丁目</v>
      </c>
      <c r="F7034" s="7"/>
      <c r="G7034" s="7" t="str">
        <f t="shared" si="2566"/>
        <v>事業用資産</v>
      </c>
      <c r="H7034" s="7" t="str">
        <f t="shared" si="2563"/>
        <v>棚卸以外</v>
      </c>
      <c r="I7034" s="7">
        <v>9</v>
      </c>
      <c r="J7034" s="7" t="str">
        <f>"特別・普通教室棟１８－１"</f>
        <v>特別・普通教室棟１８－１</v>
      </c>
      <c r="K7034" s="7" t="str">
        <f t="shared" si="2577"/>
        <v>鉄筋コンクリート造</v>
      </c>
      <c r="L7034" s="7" t="str">
        <f>"S44.08.01"</f>
        <v>S44.08.01</v>
      </c>
      <c r="M7034" s="7">
        <v>2221.83</v>
      </c>
      <c r="N7034" s="7">
        <v>8213360</v>
      </c>
      <c r="O7034" s="7">
        <v>8213359</v>
      </c>
      <c r="P7034" s="7">
        <v>0</v>
      </c>
      <c r="Q7034" s="7" t="str">
        <f t="shared" si="2567"/>
        <v>教育庁</v>
      </c>
      <c r="R7034" s="7" t="str">
        <f t="shared" si="2576"/>
        <v>生野工業高等学校</v>
      </c>
    </row>
    <row r="7035" spans="1:18" s="1" customFormat="1" x14ac:dyDescent="0.45">
      <c r="A7035" s="7" t="str">
        <f t="shared" si="2573"/>
        <v>10275003060</v>
      </c>
      <c r="B7035" s="7" t="str">
        <f t="shared" si="2574"/>
        <v>生野工業高等学校</v>
      </c>
      <c r="C7035" s="7" t="str">
        <f t="shared" si="2564"/>
        <v>行政財産</v>
      </c>
      <c r="D7035" s="7" t="str">
        <f t="shared" si="2562"/>
        <v>学校</v>
      </c>
      <c r="E7035" s="7" t="str">
        <f t="shared" si="2575"/>
        <v>大阪府大阪市　生野区生野東２丁目</v>
      </c>
      <c r="F7035" s="7"/>
      <c r="G7035" s="7" t="str">
        <f t="shared" si="2566"/>
        <v>事業用資産</v>
      </c>
      <c r="H7035" s="7" t="str">
        <f t="shared" si="2563"/>
        <v>棚卸以外</v>
      </c>
      <c r="I7035" s="7">
        <v>10</v>
      </c>
      <c r="J7035" s="7" t="str">
        <f>"特別・普通教室棟１８－２"</f>
        <v>特別・普通教室棟１８－２</v>
      </c>
      <c r="K7035" s="7" t="str">
        <f t="shared" si="2577"/>
        <v>鉄筋コンクリート造</v>
      </c>
      <c r="L7035" s="7" t="str">
        <f>"S45.04.01"</f>
        <v>S45.04.01</v>
      </c>
      <c r="M7035" s="7">
        <v>1195.8399999999999</v>
      </c>
      <c r="N7035" s="7">
        <v>20826247</v>
      </c>
      <c r="O7035" s="7">
        <v>20826246</v>
      </c>
      <c r="P7035" s="7">
        <v>0</v>
      </c>
      <c r="Q7035" s="7" t="str">
        <f t="shared" si="2567"/>
        <v>教育庁</v>
      </c>
      <c r="R7035" s="7" t="str">
        <f t="shared" si="2576"/>
        <v>生野工業高等学校</v>
      </c>
    </row>
    <row r="7036" spans="1:18" s="1" customFormat="1" x14ac:dyDescent="0.45">
      <c r="A7036" s="7" t="str">
        <f t="shared" si="2573"/>
        <v>10275003060</v>
      </c>
      <c r="B7036" s="7" t="str">
        <f t="shared" si="2574"/>
        <v>生野工業高等学校</v>
      </c>
      <c r="C7036" s="7" t="str">
        <f t="shared" si="2564"/>
        <v>行政財産</v>
      </c>
      <c r="D7036" s="7" t="str">
        <f t="shared" si="2562"/>
        <v>学校</v>
      </c>
      <c r="E7036" s="7" t="str">
        <f t="shared" si="2575"/>
        <v>大阪府大阪市　生野区生野東２丁目</v>
      </c>
      <c r="F7036" s="7"/>
      <c r="G7036" s="7" t="str">
        <f t="shared" si="2566"/>
        <v>事業用資産</v>
      </c>
      <c r="H7036" s="7" t="str">
        <f t="shared" si="2563"/>
        <v>棚卸以外</v>
      </c>
      <c r="I7036" s="7">
        <v>11</v>
      </c>
      <c r="J7036" s="7" t="str">
        <f>"集会所・会議室"</f>
        <v>集会所・会議室</v>
      </c>
      <c r="K7036" s="7" t="str">
        <f t="shared" si="2577"/>
        <v>鉄筋コンクリート造</v>
      </c>
      <c r="L7036" s="7" t="str">
        <f>"S52.06.01"</f>
        <v>S52.06.01</v>
      </c>
      <c r="M7036" s="7">
        <v>152</v>
      </c>
      <c r="N7036" s="7">
        <v>3268944</v>
      </c>
      <c r="O7036" s="7">
        <v>1383019</v>
      </c>
      <c r="P7036" s="7">
        <v>0</v>
      </c>
      <c r="Q7036" s="7" t="str">
        <f t="shared" si="2567"/>
        <v>教育庁</v>
      </c>
      <c r="R7036" s="7" t="str">
        <f t="shared" si="2576"/>
        <v>生野工業高等学校</v>
      </c>
    </row>
    <row r="7037" spans="1:18" s="1" customFormat="1" x14ac:dyDescent="0.45">
      <c r="A7037" s="7" t="str">
        <f t="shared" si="2573"/>
        <v>10275003060</v>
      </c>
      <c r="B7037" s="7" t="str">
        <f t="shared" si="2574"/>
        <v>生野工業高等学校</v>
      </c>
      <c r="C7037" s="7" t="str">
        <f t="shared" si="2564"/>
        <v>行政財産</v>
      </c>
      <c r="D7037" s="7" t="str">
        <f t="shared" si="2562"/>
        <v>学校</v>
      </c>
      <c r="E7037" s="7" t="str">
        <f t="shared" si="2575"/>
        <v>大阪府大阪市　生野区生野東２丁目</v>
      </c>
      <c r="F7037" s="7"/>
      <c r="G7037" s="7" t="str">
        <f t="shared" si="2566"/>
        <v>事業用資産</v>
      </c>
      <c r="H7037" s="7" t="str">
        <f t="shared" si="2563"/>
        <v>棚卸以外</v>
      </c>
      <c r="I7037" s="7">
        <v>12</v>
      </c>
      <c r="J7037" s="7" t="str">
        <f>"格技室棟３０"</f>
        <v>格技室棟３０</v>
      </c>
      <c r="K7037" s="7" t="str">
        <f t="shared" si="2577"/>
        <v>鉄筋コンクリート造</v>
      </c>
      <c r="L7037" s="7" t="str">
        <f>"S51.03.01"</f>
        <v>S51.03.01</v>
      </c>
      <c r="M7037" s="7">
        <v>396.84</v>
      </c>
      <c r="N7037" s="7">
        <v>10394902</v>
      </c>
      <c r="O7037" s="7">
        <v>10394901</v>
      </c>
      <c r="P7037" s="7">
        <v>0</v>
      </c>
      <c r="Q7037" s="7" t="str">
        <f t="shared" si="2567"/>
        <v>教育庁</v>
      </c>
      <c r="R7037" s="7" t="str">
        <f t="shared" si="2576"/>
        <v>生野工業高等学校</v>
      </c>
    </row>
    <row r="7038" spans="1:18" s="1" customFormat="1" x14ac:dyDescent="0.45">
      <c r="A7038" s="7" t="str">
        <f t="shared" si="2573"/>
        <v>10275003060</v>
      </c>
      <c r="B7038" s="7" t="str">
        <f t="shared" si="2574"/>
        <v>生野工業高等学校</v>
      </c>
      <c r="C7038" s="7" t="str">
        <f t="shared" si="2564"/>
        <v>行政財産</v>
      </c>
      <c r="D7038" s="7" t="str">
        <f t="shared" si="2562"/>
        <v>学校</v>
      </c>
      <c r="E7038" s="7" t="str">
        <f t="shared" si="2575"/>
        <v>大阪府大阪市　生野区生野東２丁目</v>
      </c>
      <c r="F7038" s="7"/>
      <c r="G7038" s="7" t="str">
        <f t="shared" si="2566"/>
        <v>事業用資産</v>
      </c>
      <c r="H7038" s="7" t="str">
        <f t="shared" si="2563"/>
        <v>棚卸以外</v>
      </c>
      <c r="I7038" s="7">
        <v>13</v>
      </c>
      <c r="J7038" s="7" t="str">
        <f>"管理室棟８－２"</f>
        <v>管理室棟８－２</v>
      </c>
      <c r="K7038" s="7" t="str">
        <f t="shared" si="2577"/>
        <v>鉄筋コンクリート造</v>
      </c>
      <c r="L7038" s="7" t="str">
        <f>"S33.04.01"</f>
        <v>S33.04.01</v>
      </c>
      <c r="M7038" s="7">
        <v>573</v>
      </c>
      <c r="N7038" s="7">
        <v>53057166</v>
      </c>
      <c r="O7038" s="7">
        <v>53057165</v>
      </c>
      <c r="P7038" s="7">
        <v>0</v>
      </c>
      <c r="Q7038" s="7" t="str">
        <f t="shared" si="2567"/>
        <v>教育庁</v>
      </c>
      <c r="R7038" s="7" t="str">
        <f t="shared" si="2576"/>
        <v>生野工業高等学校</v>
      </c>
    </row>
    <row r="7039" spans="1:18" s="1" customFormat="1" x14ac:dyDescent="0.45">
      <c r="A7039" s="7" t="str">
        <f t="shared" si="2573"/>
        <v>10275003060</v>
      </c>
      <c r="B7039" s="7" t="str">
        <f t="shared" si="2574"/>
        <v>生野工業高等学校</v>
      </c>
      <c r="C7039" s="7" t="str">
        <f t="shared" si="2564"/>
        <v>行政財産</v>
      </c>
      <c r="D7039" s="7" t="str">
        <f t="shared" si="2562"/>
        <v>学校</v>
      </c>
      <c r="E7039" s="7" t="str">
        <f t="shared" si="2575"/>
        <v>大阪府大阪市　生野区生野東２丁目</v>
      </c>
      <c r="F7039" s="7"/>
      <c r="G7039" s="7" t="str">
        <f t="shared" si="2566"/>
        <v>事業用資産</v>
      </c>
      <c r="H7039" s="7" t="str">
        <f t="shared" si="2563"/>
        <v>棚卸以外</v>
      </c>
      <c r="I7039" s="7">
        <v>14</v>
      </c>
      <c r="J7039" s="7" t="str">
        <f>"管理室棟９"</f>
        <v>管理室棟９</v>
      </c>
      <c r="K7039" s="7" t="str">
        <f t="shared" si="2577"/>
        <v>鉄筋コンクリート造</v>
      </c>
      <c r="L7039" s="7" t="str">
        <f>"S35.04.01"</f>
        <v>S35.04.01</v>
      </c>
      <c r="M7039" s="7">
        <v>879</v>
      </c>
      <c r="N7039" s="7">
        <v>82284644</v>
      </c>
      <c r="O7039" s="7">
        <v>82284643</v>
      </c>
      <c r="P7039" s="7">
        <v>0</v>
      </c>
      <c r="Q7039" s="7" t="str">
        <f t="shared" si="2567"/>
        <v>教育庁</v>
      </c>
      <c r="R7039" s="7" t="str">
        <f t="shared" si="2576"/>
        <v>生野工業高等学校</v>
      </c>
    </row>
    <row r="7040" spans="1:18" s="1" customFormat="1" x14ac:dyDescent="0.45">
      <c r="A7040" s="7" t="str">
        <f t="shared" si="2573"/>
        <v>10275003060</v>
      </c>
      <c r="B7040" s="7" t="str">
        <f t="shared" si="2574"/>
        <v>生野工業高等学校</v>
      </c>
      <c r="C7040" s="7" t="str">
        <f t="shared" si="2564"/>
        <v>行政財産</v>
      </c>
      <c r="D7040" s="7" t="str">
        <f t="shared" si="2562"/>
        <v>学校</v>
      </c>
      <c r="E7040" s="7" t="str">
        <f t="shared" si="2575"/>
        <v>大阪府大阪市　生野区生野東２丁目</v>
      </c>
      <c r="F7040" s="7"/>
      <c r="G7040" s="7" t="str">
        <f t="shared" si="2566"/>
        <v>事業用資産</v>
      </c>
      <c r="H7040" s="7" t="str">
        <f t="shared" si="2563"/>
        <v>棚卸以外</v>
      </c>
      <c r="I7040" s="7">
        <v>15</v>
      </c>
      <c r="J7040" s="7" t="str">
        <f>"渡り廊下１０"</f>
        <v>渡り廊下１０</v>
      </c>
      <c r="K7040" s="7" t="str">
        <f t="shared" si="2577"/>
        <v>鉄筋コンクリート造</v>
      </c>
      <c r="L7040" s="7" t="str">
        <f>"S35.04.01"</f>
        <v>S35.04.01</v>
      </c>
      <c r="M7040" s="7">
        <v>32</v>
      </c>
      <c r="N7040" s="7">
        <v>1732773</v>
      </c>
      <c r="O7040" s="7">
        <v>1732772</v>
      </c>
      <c r="P7040" s="7">
        <v>0</v>
      </c>
      <c r="Q7040" s="7" t="str">
        <f t="shared" si="2567"/>
        <v>教育庁</v>
      </c>
      <c r="R7040" s="7" t="str">
        <f t="shared" si="2576"/>
        <v>生野工業高等学校</v>
      </c>
    </row>
    <row r="7041" spans="1:18" s="1" customFormat="1" x14ac:dyDescent="0.45">
      <c r="A7041" s="7" t="str">
        <f t="shared" si="2573"/>
        <v>10275003060</v>
      </c>
      <c r="B7041" s="7" t="str">
        <f t="shared" si="2574"/>
        <v>生野工業高等学校</v>
      </c>
      <c r="C7041" s="7" t="str">
        <f t="shared" si="2564"/>
        <v>行政財産</v>
      </c>
      <c r="D7041" s="7" t="str">
        <f t="shared" si="2562"/>
        <v>学校</v>
      </c>
      <c r="E7041" s="7" t="str">
        <f t="shared" si="2575"/>
        <v>大阪府大阪市　生野区生野東２丁目</v>
      </c>
      <c r="F7041" s="7"/>
      <c r="G7041" s="7" t="str">
        <f t="shared" si="2566"/>
        <v>事業用資産</v>
      </c>
      <c r="H7041" s="7" t="str">
        <f t="shared" si="2563"/>
        <v>棚卸以外</v>
      </c>
      <c r="I7041" s="7">
        <v>16</v>
      </c>
      <c r="J7041" s="7" t="str">
        <f>"管理室棟１５－３"</f>
        <v>管理室棟１５－３</v>
      </c>
      <c r="K7041" s="7" t="str">
        <f t="shared" si="2577"/>
        <v>鉄筋コンクリート造</v>
      </c>
      <c r="L7041" s="7" t="str">
        <f>"S47.10.01"</f>
        <v>S47.10.01</v>
      </c>
      <c r="M7041" s="7">
        <v>324</v>
      </c>
      <c r="N7041" s="7">
        <v>14226872</v>
      </c>
      <c r="O7041" s="7">
        <v>14226871</v>
      </c>
      <c r="P7041" s="7">
        <v>0</v>
      </c>
      <c r="Q7041" s="7" t="str">
        <f t="shared" si="2567"/>
        <v>教育庁</v>
      </c>
      <c r="R7041" s="7" t="str">
        <f t="shared" si="2576"/>
        <v>生野工業高等学校</v>
      </c>
    </row>
    <row r="7042" spans="1:18" s="1" customFormat="1" x14ac:dyDescent="0.45">
      <c r="A7042" s="7" t="str">
        <f t="shared" si="2573"/>
        <v>10275003060</v>
      </c>
      <c r="B7042" s="7" t="str">
        <f t="shared" si="2574"/>
        <v>生野工業高等学校</v>
      </c>
      <c r="C7042" s="7" t="str">
        <f t="shared" si="2564"/>
        <v>行政財産</v>
      </c>
      <c r="D7042" s="7" t="str">
        <f t="shared" si="2562"/>
        <v>学校</v>
      </c>
      <c r="E7042" s="7" t="str">
        <f t="shared" si="2575"/>
        <v>大阪府大阪市　生野区生野東２丁目</v>
      </c>
      <c r="F7042" s="7"/>
      <c r="G7042" s="7" t="str">
        <f t="shared" si="2566"/>
        <v>事業用資産</v>
      </c>
      <c r="H7042" s="7" t="str">
        <f t="shared" si="2563"/>
        <v>棚卸以外</v>
      </c>
      <c r="I7042" s="7">
        <v>17</v>
      </c>
      <c r="J7042" s="7" t="str">
        <f>"特別・管理室棟１８－３"</f>
        <v>特別・管理室棟１８－３</v>
      </c>
      <c r="K7042" s="7" t="str">
        <f t="shared" si="2577"/>
        <v>鉄筋コンクリート造</v>
      </c>
      <c r="L7042" s="7" t="str">
        <f>"S47.10.01"</f>
        <v>S47.10.01</v>
      </c>
      <c r="M7042" s="7">
        <v>1007</v>
      </c>
      <c r="N7042" s="7">
        <v>44217470</v>
      </c>
      <c r="O7042" s="7">
        <v>44217469</v>
      </c>
      <c r="P7042" s="7">
        <v>0</v>
      </c>
      <c r="Q7042" s="7" t="str">
        <f t="shared" si="2567"/>
        <v>教育庁</v>
      </c>
      <c r="R7042" s="7" t="str">
        <f t="shared" si="2576"/>
        <v>生野工業高等学校</v>
      </c>
    </row>
    <row r="7043" spans="1:18" s="1" customFormat="1" x14ac:dyDescent="0.45">
      <c r="A7043" s="7" t="str">
        <f t="shared" si="2573"/>
        <v>10275003060</v>
      </c>
      <c r="B7043" s="7" t="str">
        <f t="shared" si="2574"/>
        <v>生野工業高等学校</v>
      </c>
      <c r="C7043" s="7" t="str">
        <f t="shared" si="2564"/>
        <v>行政財産</v>
      </c>
      <c r="D7043" s="7" t="str">
        <f t="shared" si="2562"/>
        <v>学校</v>
      </c>
      <c r="E7043" s="7" t="str">
        <f t="shared" si="2575"/>
        <v>大阪府大阪市　生野区生野東２丁目</v>
      </c>
      <c r="F7043" s="7"/>
      <c r="G7043" s="7" t="str">
        <f t="shared" si="2566"/>
        <v>事業用資産</v>
      </c>
      <c r="H7043" s="7" t="str">
        <f t="shared" si="2563"/>
        <v>棚卸以外</v>
      </c>
      <c r="I7043" s="7">
        <v>18</v>
      </c>
      <c r="J7043" s="7" t="str">
        <f>"食堂２０"</f>
        <v>食堂２０</v>
      </c>
      <c r="K7043" s="7" t="str">
        <f t="shared" si="2577"/>
        <v>鉄筋コンクリート造</v>
      </c>
      <c r="L7043" s="7" t="str">
        <f>"S47.10.01"</f>
        <v>S47.10.01</v>
      </c>
      <c r="M7043" s="7">
        <v>404</v>
      </c>
      <c r="N7043" s="7">
        <v>17739680</v>
      </c>
      <c r="O7043" s="7">
        <v>17739679</v>
      </c>
      <c r="P7043" s="7">
        <v>0</v>
      </c>
      <c r="Q7043" s="7" t="str">
        <f t="shared" si="2567"/>
        <v>教育庁</v>
      </c>
      <c r="R7043" s="7" t="str">
        <f t="shared" si="2576"/>
        <v>生野工業高等学校</v>
      </c>
    </row>
    <row r="7044" spans="1:18" s="1" customFormat="1" x14ac:dyDescent="0.45">
      <c r="A7044" s="7" t="str">
        <f t="shared" si="2573"/>
        <v>10275003060</v>
      </c>
      <c r="B7044" s="7" t="str">
        <f t="shared" si="2574"/>
        <v>生野工業高等学校</v>
      </c>
      <c r="C7044" s="7" t="str">
        <f t="shared" si="2564"/>
        <v>行政財産</v>
      </c>
      <c r="D7044" s="7" t="str">
        <f t="shared" ref="D7044:D7107" si="2578">"学校"</f>
        <v>学校</v>
      </c>
      <c r="E7044" s="7" t="str">
        <f t="shared" si="2575"/>
        <v>大阪府大阪市　生野区生野東２丁目</v>
      </c>
      <c r="F7044" s="7"/>
      <c r="G7044" s="7" t="str">
        <f t="shared" si="2566"/>
        <v>事業用資産</v>
      </c>
      <c r="H7044" s="7" t="str">
        <f t="shared" ref="H7044:H7107" si="2579">"棚卸以外"</f>
        <v>棚卸以外</v>
      </c>
      <c r="I7044" s="7">
        <v>19</v>
      </c>
      <c r="J7044" s="7" t="str">
        <f>"特別教室棟２０"</f>
        <v>特別教室棟２０</v>
      </c>
      <c r="K7044" s="7" t="str">
        <f t="shared" si="2577"/>
        <v>鉄筋コンクリート造</v>
      </c>
      <c r="L7044" s="7" t="str">
        <f>"S47.10.01"</f>
        <v>S47.10.01</v>
      </c>
      <c r="M7044" s="7">
        <v>2220</v>
      </c>
      <c r="N7044" s="7">
        <v>105857563</v>
      </c>
      <c r="O7044" s="7">
        <v>105857562</v>
      </c>
      <c r="P7044" s="7">
        <v>0</v>
      </c>
      <c r="Q7044" s="7" t="str">
        <f t="shared" si="2567"/>
        <v>教育庁</v>
      </c>
      <c r="R7044" s="7" t="str">
        <f t="shared" si="2576"/>
        <v>生野工業高等学校</v>
      </c>
    </row>
    <row r="7045" spans="1:18" s="1" customFormat="1" x14ac:dyDescent="0.45">
      <c r="A7045" s="7" t="str">
        <f t="shared" si="2573"/>
        <v>10275003060</v>
      </c>
      <c r="B7045" s="7" t="str">
        <f t="shared" si="2574"/>
        <v>生野工業高等学校</v>
      </c>
      <c r="C7045" s="7" t="str">
        <f t="shared" si="2564"/>
        <v>行政財産</v>
      </c>
      <c r="D7045" s="7" t="str">
        <f t="shared" si="2578"/>
        <v>学校</v>
      </c>
      <c r="E7045" s="7" t="str">
        <f t="shared" si="2575"/>
        <v>大阪府大阪市　生野区生野東２丁目</v>
      </c>
      <c r="F7045" s="7"/>
      <c r="G7045" s="7" t="str">
        <f t="shared" si="2566"/>
        <v>事業用資産</v>
      </c>
      <c r="H7045" s="7" t="str">
        <f t="shared" si="2579"/>
        <v>棚卸以外</v>
      </c>
      <c r="I7045" s="7">
        <v>20</v>
      </c>
      <c r="J7045" s="7" t="str">
        <f>"２１"</f>
        <v>２１</v>
      </c>
      <c r="K7045" s="7" t="str">
        <f t="shared" si="2577"/>
        <v>鉄筋コンクリート造</v>
      </c>
      <c r="L7045" s="7" t="str">
        <f>"S47.10.01"</f>
        <v>S47.10.01</v>
      </c>
      <c r="M7045" s="7">
        <v>555</v>
      </c>
      <c r="N7045" s="7">
        <v>24370105</v>
      </c>
      <c r="O7045" s="7">
        <v>24370104</v>
      </c>
      <c r="P7045" s="7">
        <v>0</v>
      </c>
      <c r="Q7045" s="7" t="str">
        <f t="shared" si="2567"/>
        <v>教育庁</v>
      </c>
      <c r="R7045" s="7" t="str">
        <f t="shared" si="2576"/>
        <v>生野工業高等学校</v>
      </c>
    </row>
    <row r="7046" spans="1:18" s="1" customFormat="1" x14ac:dyDescent="0.45">
      <c r="A7046" s="7" t="str">
        <f t="shared" si="2573"/>
        <v>10275003060</v>
      </c>
      <c r="B7046" s="7" t="str">
        <f t="shared" si="2574"/>
        <v>生野工業高等学校</v>
      </c>
      <c r="C7046" s="7" t="str">
        <f t="shared" si="2564"/>
        <v>行政財産</v>
      </c>
      <c r="D7046" s="7" t="str">
        <f t="shared" si="2578"/>
        <v>学校</v>
      </c>
      <c r="E7046" s="7" t="str">
        <f t="shared" si="2575"/>
        <v>大阪府大阪市　生野区生野東２丁目</v>
      </c>
      <c r="F7046" s="7"/>
      <c r="G7046" s="7" t="str">
        <f t="shared" si="2566"/>
        <v>事業用資産</v>
      </c>
      <c r="H7046" s="7" t="str">
        <f t="shared" si="2579"/>
        <v>棚卸以外</v>
      </c>
      <c r="I7046" s="7">
        <v>21</v>
      </c>
      <c r="J7046" s="7" t="str">
        <f>"屋体棟２５－１"</f>
        <v>屋体棟２５－１</v>
      </c>
      <c r="K7046" s="7" t="str">
        <f t="shared" si="2577"/>
        <v>鉄筋コンクリート造</v>
      </c>
      <c r="L7046" s="7" t="str">
        <f>"S63.08.01"</f>
        <v>S63.08.01</v>
      </c>
      <c r="M7046" s="7">
        <v>1506</v>
      </c>
      <c r="N7046" s="7">
        <v>130668200</v>
      </c>
      <c r="O7046" s="7">
        <v>8983447</v>
      </c>
      <c r="P7046" s="7">
        <v>0</v>
      </c>
      <c r="Q7046" s="7" t="str">
        <f t="shared" si="2567"/>
        <v>教育庁</v>
      </c>
      <c r="R7046" s="7" t="str">
        <f t="shared" si="2576"/>
        <v>生野工業高等学校</v>
      </c>
    </row>
    <row r="7047" spans="1:18" s="1" customFormat="1" x14ac:dyDescent="0.45">
      <c r="A7047" s="7" t="str">
        <f t="shared" si="2573"/>
        <v>10275003060</v>
      </c>
      <c r="B7047" s="7" t="str">
        <f t="shared" si="2574"/>
        <v>生野工業高等学校</v>
      </c>
      <c r="C7047" s="7" t="str">
        <f t="shared" si="2564"/>
        <v>行政財産</v>
      </c>
      <c r="D7047" s="7" t="str">
        <f t="shared" si="2578"/>
        <v>学校</v>
      </c>
      <c r="E7047" s="7" t="str">
        <f t="shared" si="2575"/>
        <v>大阪府大阪市　生野区生野東２丁目</v>
      </c>
      <c r="F7047" s="7"/>
      <c r="G7047" s="7" t="str">
        <f t="shared" si="2566"/>
        <v>事業用資産</v>
      </c>
      <c r="H7047" s="7" t="str">
        <f t="shared" si="2579"/>
        <v>棚卸以外</v>
      </c>
      <c r="I7047" s="7">
        <v>22</v>
      </c>
      <c r="J7047" s="7" t="str">
        <f>"プール専用付属室２５－２・２５－３"</f>
        <v>プール専用付属室２５－２・２５－３</v>
      </c>
      <c r="K7047" s="7" t="str">
        <f>"軽量鉄骨造"</f>
        <v>軽量鉄骨造</v>
      </c>
      <c r="L7047" s="7" t="str">
        <f>"S63.08.01"</f>
        <v>S63.08.01</v>
      </c>
      <c r="M7047" s="7">
        <v>96</v>
      </c>
      <c r="N7047" s="7">
        <v>1316700</v>
      </c>
      <c r="O7047" s="7">
        <v>1316699</v>
      </c>
      <c r="P7047" s="7">
        <v>0</v>
      </c>
      <c r="Q7047" s="7" t="str">
        <f t="shared" si="2567"/>
        <v>教育庁</v>
      </c>
      <c r="R7047" s="7" t="str">
        <f t="shared" si="2576"/>
        <v>生野工業高等学校</v>
      </c>
    </row>
    <row r="7048" spans="1:18" s="1" customFormat="1" x14ac:dyDescent="0.45">
      <c r="A7048" s="7" t="str">
        <f t="shared" si="2573"/>
        <v>10275003060</v>
      </c>
      <c r="B7048" s="7" t="str">
        <f t="shared" si="2574"/>
        <v>生野工業高等学校</v>
      </c>
      <c r="C7048" s="7" t="str">
        <f t="shared" si="2564"/>
        <v>行政財産</v>
      </c>
      <c r="D7048" s="7" t="str">
        <f t="shared" si="2578"/>
        <v>学校</v>
      </c>
      <c r="E7048" s="7" t="str">
        <f t="shared" si="2575"/>
        <v>大阪府大阪市　生野区生野東２丁目</v>
      </c>
      <c r="F7048" s="7"/>
      <c r="G7048" s="7" t="str">
        <f t="shared" si="2566"/>
        <v>事業用資産</v>
      </c>
      <c r="H7048" s="7" t="str">
        <f t="shared" si="2579"/>
        <v>棚卸以外</v>
      </c>
      <c r="I7048" s="7">
        <v>23</v>
      </c>
      <c r="J7048" s="7" t="str">
        <f>"クラブ部室棟２７－１・格技室棟２７－２"</f>
        <v>クラブ部室棟２７－１・格技室棟２７－２</v>
      </c>
      <c r="K7048" s="7" t="str">
        <f>"鉄筋コンクリート造"</f>
        <v>鉄筋コンクリート造</v>
      </c>
      <c r="L7048" s="7" t="str">
        <f>"H03.05.01"</f>
        <v>H03.05.01</v>
      </c>
      <c r="M7048" s="7">
        <v>645.17999999999995</v>
      </c>
      <c r="N7048" s="7">
        <v>51126895</v>
      </c>
      <c r="O7048" s="7">
        <v>2913977</v>
      </c>
      <c r="P7048" s="7">
        <v>0</v>
      </c>
      <c r="Q7048" s="7" t="str">
        <f t="shared" si="2567"/>
        <v>教育庁</v>
      </c>
      <c r="R7048" s="7" t="str">
        <f t="shared" si="2576"/>
        <v>生野工業高等学校</v>
      </c>
    </row>
    <row r="7049" spans="1:18" s="1" customFormat="1" x14ac:dyDescent="0.45">
      <c r="A7049" s="7" t="str">
        <f t="shared" si="2573"/>
        <v>10275003060</v>
      </c>
      <c r="B7049" s="7" t="str">
        <f t="shared" si="2574"/>
        <v>生野工業高等学校</v>
      </c>
      <c r="C7049" s="7" t="str">
        <f t="shared" si="2564"/>
        <v>行政財産</v>
      </c>
      <c r="D7049" s="7" t="str">
        <f t="shared" si="2578"/>
        <v>学校</v>
      </c>
      <c r="E7049" s="7" t="str">
        <f t="shared" si="2575"/>
        <v>大阪府大阪市　生野区生野東２丁目</v>
      </c>
      <c r="F7049" s="7"/>
      <c r="G7049" s="7" t="str">
        <f t="shared" si="2566"/>
        <v>事業用資産</v>
      </c>
      <c r="H7049" s="7" t="str">
        <f t="shared" si="2579"/>
        <v>棚卸以外</v>
      </c>
      <c r="I7049" s="7">
        <v>24</v>
      </c>
      <c r="J7049" s="7" t="str">
        <f>"廊下・渡り廊下"</f>
        <v>廊下・渡り廊下</v>
      </c>
      <c r="K7049" s="7" t="str">
        <f>"鉄筋コンクリート造"</f>
        <v>鉄筋コンクリート造</v>
      </c>
      <c r="L7049" s="7" t="str">
        <f>"H04.02.01"</f>
        <v>H04.02.01</v>
      </c>
      <c r="M7049" s="7">
        <v>230.01</v>
      </c>
      <c r="N7049" s="7">
        <v>3482404</v>
      </c>
      <c r="O7049" s="7">
        <v>294668</v>
      </c>
      <c r="P7049" s="7">
        <v>0</v>
      </c>
      <c r="Q7049" s="7" t="str">
        <f t="shared" si="2567"/>
        <v>教育庁</v>
      </c>
      <c r="R7049" s="7" t="str">
        <f t="shared" si="2576"/>
        <v>生野工業高等学校</v>
      </c>
    </row>
    <row r="7050" spans="1:18" s="1" customFormat="1" x14ac:dyDescent="0.45">
      <c r="A7050" s="7" t="str">
        <f t="shared" si="2573"/>
        <v>10275003060</v>
      </c>
      <c r="B7050" s="7" t="str">
        <f t="shared" si="2574"/>
        <v>生野工業高等学校</v>
      </c>
      <c r="C7050" s="7" t="str">
        <f t="shared" si="2564"/>
        <v>行政財産</v>
      </c>
      <c r="D7050" s="7" t="str">
        <f t="shared" si="2578"/>
        <v>学校</v>
      </c>
      <c r="E7050" s="7" t="str">
        <f t="shared" si="2575"/>
        <v>大阪府大阪市　生野区生野東２丁目</v>
      </c>
      <c r="F7050" s="7"/>
      <c r="G7050" s="7" t="str">
        <f t="shared" si="2566"/>
        <v>事業用資産</v>
      </c>
      <c r="H7050" s="7" t="str">
        <f t="shared" si="2579"/>
        <v>棚卸以外</v>
      </c>
      <c r="I7050" s="7">
        <v>25</v>
      </c>
      <c r="J7050" s="7" t="str">
        <f>"油庫２２－１"</f>
        <v>油庫２２－１</v>
      </c>
      <c r="K7050" s="7" t="str">
        <f>"コンクリートブロック造"</f>
        <v>コンクリートブロック造</v>
      </c>
      <c r="L7050" s="7" t="str">
        <f>"S47.10.31"</f>
        <v>S47.10.31</v>
      </c>
      <c r="M7050" s="7">
        <v>19</v>
      </c>
      <c r="N7050" s="7">
        <v>563154</v>
      </c>
      <c r="O7050" s="7">
        <v>563153</v>
      </c>
      <c r="P7050" s="7">
        <v>0</v>
      </c>
      <c r="Q7050" s="7" t="str">
        <f t="shared" si="2567"/>
        <v>教育庁</v>
      </c>
      <c r="R7050" s="7" t="str">
        <f t="shared" si="2576"/>
        <v>生野工業高等学校</v>
      </c>
    </row>
    <row r="7051" spans="1:18" s="1" customFormat="1" x14ac:dyDescent="0.45">
      <c r="A7051" s="7" t="str">
        <f t="shared" si="2573"/>
        <v>10275003060</v>
      </c>
      <c r="B7051" s="7" t="str">
        <f t="shared" si="2574"/>
        <v>生野工業高等学校</v>
      </c>
      <c r="C7051" s="7" t="str">
        <f t="shared" si="2564"/>
        <v>行政財産</v>
      </c>
      <c r="D7051" s="7" t="str">
        <f t="shared" si="2578"/>
        <v>学校</v>
      </c>
      <c r="E7051" s="7" t="str">
        <f t="shared" si="2575"/>
        <v>大阪府大阪市　生野区生野東２丁目</v>
      </c>
      <c r="F7051" s="7"/>
      <c r="G7051" s="7" t="str">
        <f t="shared" si="2566"/>
        <v>事業用資産</v>
      </c>
      <c r="H7051" s="7" t="str">
        <f t="shared" si="2579"/>
        <v>棚卸以外</v>
      </c>
      <c r="I7051" s="7">
        <v>26</v>
      </c>
      <c r="J7051" s="7" t="str">
        <f>"倉庫２８"</f>
        <v>倉庫２８</v>
      </c>
      <c r="K7051" s="7" t="str">
        <f>"鉄骨造"</f>
        <v>鉄骨造</v>
      </c>
      <c r="L7051" s="7" t="str">
        <f>"H11.01.31"</f>
        <v>H11.01.31</v>
      </c>
      <c r="M7051" s="7">
        <v>81</v>
      </c>
      <c r="N7051" s="7">
        <v>16882902</v>
      </c>
      <c r="O7051" s="7">
        <v>1975666</v>
      </c>
      <c r="P7051" s="7">
        <v>0</v>
      </c>
      <c r="Q7051" s="7" t="str">
        <f t="shared" si="2567"/>
        <v>教育庁</v>
      </c>
      <c r="R7051" s="7" t="str">
        <f t="shared" si="2576"/>
        <v>生野工業高等学校</v>
      </c>
    </row>
    <row r="7052" spans="1:18" s="1" customFormat="1" x14ac:dyDescent="0.45">
      <c r="A7052" s="7" t="str">
        <f t="shared" si="2573"/>
        <v>10275003060</v>
      </c>
      <c r="B7052" s="7" t="str">
        <f t="shared" si="2574"/>
        <v>生野工業高等学校</v>
      </c>
      <c r="C7052" s="7" t="str">
        <f t="shared" si="2564"/>
        <v>行政財産</v>
      </c>
      <c r="D7052" s="7" t="str">
        <f t="shared" si="2578"/>
        <v>学校</v>
      </c>
      <c r="E7052" s="7" t="str">
        <f t="shared" si="2575"/>
        <v>大阪府大阪市　生野区生野東２丁目</v>
      </c>
      <c r="F7052" s="7"/>
      <c r="G7052" s="7" t="str">
        <f t="shared" si="2566"/>
        <v>事業用資産</v>
      </c>
      <c r="H7052" s="7" t="str">
        <f t="shared" si="2579"/>
        <v>棚卸以外</v>
      </c>
      <c r="I7052" s="7">
        <v>27</v>
      </c>
      <c r="J7052" s="7" t="str">
        <f>"倉庫２９"</f>
        <v>倉庫２９</v>
      </c>
      <c r="K7052" s="7" t="str">
        <f>"鉄骨造"</f>
        <v>鉄骨造</v>
      </c>
      <c r="L7052" s="7" t="str">
        <f>"H11.01.31"</f>
        <v>H11.01.31</v>
      </c>
      <c r="M7052" s="7">
        <v>16</v>
      </c>
      <c r="N7052" s="7">
        <v>1537056</v>
      </c>
      <c r="O7052" s="7">
        <v>179872</v>
      </c>
      <c r="P7052" s="7">
        <v>0</v>
      </c>
      <c r="Q7052" s="7" t="str">
        <f t="shared" si="2567"/>
        <v>教育庁</v>
      </c>
      <c r="R7052" s="7" t="str">
        <f t="shared" si="2576"/>
        <v>生野工業高等学校</v>
      </c>
    </row>
    <row r="7053" spans="1:18" s="1" customFormat="1" x14ac:dyDescent="0.45">
      <c r="A7053" s="7" t="str">
        <f t="shared" ref="A7053:A7075" si="2580">"10275003061"</f>
        <v>10275003061</v>
      </c>
      <c r="B7053" s="7" t="str">
        <f t="shared" ref="B7053:B7075" si="2581">"工芸高等学校"</f>
        <v>工芸高等学校</v>
      </c>
      <c r="C7053" s="7" t="str">
        <f t="shared" ref="C7053:C7116" si="2582">"行政財産"</f>
        <v>行政財産</v>
      </c>
      <c r="D7053" s="7" t="str">
        <f t="shared" si="2578"/>
        <v>学校</v>
      </c>
      <c r="E7053" s="7" t="str">
        <f t="shared" ref="E7053:E7075" si="2583">"大阪府大阪市　阿倍野区文の里１丁目"</f>
        <v>大阪府大阪市　阿倍野区文の里１丁目</v>
      </c>
      <c r="F7053" s="7"/>
      <c r="G7053" s="7" t="str">
        <f t="shared" si="2566"/>
        <v>事業用資産</v>
      </c>
      <c r="H7053" s="7" t="str">
        <f t="shared" si="2579"/>
        <v>棚卸以外</v>
      </c>
      <c r="I7053" s="7">
        <v>1</v>
      </c>
      <c r="J7053" s="7" t="str">
        <f>"本館"</f>
        <v>本館</v>
      </c>
      <c r="K7053" s="7" t="str">
        <f>"鉄骨造"</f>
        <v>鉄骨造</v>
      </c>
      <c r="L7053" s="7" t="str">
        <f>"T13.09.01"</f>
        <v>T13.09.01</v>
      </c>
      <c r="M7053" s="7">
        <v>2775.6</v>
      </c>
      <c r="N7053" s="7">
        <v>10507544</v>
      </c>
      <c r="O7053" s="7">
        <v>10507543</v>
      </c>
      <c r="P7053" s="7">
        <v>0</v>
      </c>
      <c r="Q7053" s="7" t="str">
        <f t="shared" si="2567"/>
        <v>教育庁</v>
      </c>
      <c r="R7053" s="7" t="str">
        <f t="shared" ref="R7053:R7075" si="2584">"工芸高等学校"</f>
        <v>工芸高等学校</v>
      </c>
    </row>
    <row r="7054" spans="1:18" s="1" customFormat="1" x14ac:dyDescent="0.45">
      <c r="A7054" s="7" t="str">
        <f t="shared" si="2580"/>
        <v>10275003061</v>
      </c>
      <c r="B7054" s="7" t="str">
        <f t="shared" si="2581"/>
        <v>工芸高等学校</v>
      </c>
      <c r="C7054" s="7" t="str">
        <f t="shared" si="2582"/>
        <v>行政財産</v>
      </c>
      <c r="D7054" s="7" t="str">
        <f t="shared" si="2578"/>
        <v>学校</v>
      </c>
      <c r="E7054" s="7" t="str">
        <f t="shared" si="2583"/>
        <v>大阪府大阪市　阿倍野区文の里１丁目</v>
      </c>
      <c r="F7054" s="7"/>
      <c r="G7054" s="7" t="str">
        <f t="shared" si="2566"/>
        <v>事業用資産</v>
      </c>
      <c r="H7054" s="7" t="str">
        <f t="shared" si="2579"/>
        <v>棚卸以外</v>
      </c>
      <c r="I7054" s="7">
        <v>2</v>
      </c>
      <c r="J7054" s="7" t="str">
        <f>"本館玄関"</f>
        <v>本館玄関</v>
      </c>
      <c r="K7054" s="7" t="str">
        <f t="shared" ref="K7054:K7059" si="2585">"鉄筋コンクリート造"</f>
        <v>鉄筋コンクリート造</v>
      </c>
      <c r="L7054" s="7" t="str">
        <f>"T13.09.01"</f>
        <v>T13.09.01</v>
      </c>
      <c r="M7054" s="7">
        <v>18.64</v>
      </c>
      <c r="N7054" s="7">
        <v>3084</v>
      </c>
      <c r="O7054" s="7">
        <v>3083</v>
      </c>
      <c r="P7054" s="7">
        <v>0</v>
      </c>
      <c r="Q7054" s="7" t="str">
        <f t="shared" si="2567"/>
        <v>教育庁</v>
      </c>
      <c r="R7054" s="7" t="str">
        <f t="shared" si="2584"/>
        <v>工芸高等学校</v>
      </c>
    </row>
    <row r="7055" spans="1:18" s="1" customFormat="1" x14ac:dyDescent="0.45">
      <c r="A7055" s="7" t="str">
        <f t="shared" si="2580"/>
        <v>10275003061</v>
      </c>
      <c r="B7055" s="7" t="str">
        <f t="shared" si="2581"/>
        <v>工芸高等学校</v>
      </c>
      <c r="C7055" s="7" t="str">
        <f t="shared" si="2582"/>
        <v>行政財産</v>
      </c>
      <c r="D7055" s="7" t="str">
        <f t="shared" si="2578"/>
        <v>学校</v>
      </c>
      <c r="E7055" s="7" t="str">
        <f t="shared" si="2583"/>
        <v>大阪府大阪市　阿倍野区文の里１丁目</v>
      </c>
      <c r="F7055" s="7"/>
      <c r="G7055" s="7" t="str">
        <f t="shared" si="2566"/>
        <v>事業用資産</v>
      </c>
      <c r="H7055" s="7" t="str">
        <f t="shared" si="2579"/>
        <v>棚卸以外</v>
      </c>
      <c r="I7055" s="7">
        <v>3</v>
      </c>
      <c r="J7055" s="7" t="str">
        <f>"本館便所"</f>
        <v>本館便所</v>
      </c>
      <c r="K7055" s="7" t="str">
        <f t="shared" si="2585"/>
        <v>鉄筋コンクリート造</v>
      </c>
      <c r="L7055" s="7" t="str">
        <f>"T13.09.01"</f>
        <v>T13.09.01</v>
      </c>
      <c r="M7055" s="7">
        <v>55.99</v>
      </c>
      <c r="N7055" s="7">
        <v>28498</v>
      </c>
      <c r="O7055" s="7">
        <v>9889</v>
      </c>
      <c r="P7055" s="7">
        <v>0</v>
      </c>
      <c r="Q7055" s="7" t="str">
        <f t="shared" si="2567"/>
        <v>教育庁</v>
      </c>
      <c r="R7055" s="7" t="str">
        <f t="shared" si="2584"/>
        <v>工芸高等学校</v>
      </c>
    </row>
    <row r="7056" spans="1:18" s="1" customFormat="1" x14ac:dyDescent="0.45">
      <c r="A7056" s="7" t="str">
        <f t="shared" si="2580"/>
        <v>10275003061</v>
      </c>
      <c r="B7056" s="7" t="str">
        <f t="shared" si="2581"/>
        <v>工芸高等学校</v>
      </c>
      <c r="C7056" s="7" t="str">
        <f t="shared" si="2582"/>
        <v>行政財産</v>
      </c>
      <c r="D7056" s="7" t="str">
        <f t="shared" si="2578"/>
        <v>学校</v>
      </c>
      <c r="E7056" s="7" t="str">
        <f t="shared" si="2583"/>
        <v>大阪府大阪市　阿倍野区文の里１丁目</v>
      </c>
      <c r="F7056" s="7"/>
      <c r="G7056" s="7" t="str">
        <f t="shared" si="2566"/>
        <v>事業用資産</v>
      </c>
      <c r="H7056" s="7" t="str">
        <f t="shared" si="2579"/>
        <v>棚卸以外</v>
      </c>
      <c r="I7056" s="7">
        <v>4</v>
      </c>
      <c r="J7056" s="7" t="str">
        <f>"３号館南側"</f>
        <v>３号館南側</v>
      </c>
      <c r="K7056" s="7" t="str">
        <f t="shared" si="2585"/>
        <v>鉄筋コンクリート造</v>
      </c>
      <c r="L7056" s="7" t="str">
        <f>"S29.11.01"</f>
        <v>S29.11.01</v>
      </c>
      <c r="M7056" s="7">
        <v>1417.38</v>
      </c>
      <c r="N7056" s="7">
        <v>18257155</v>
      </c>
      <c r="O7056" s="7">
        <v>18257154</v>
      </c>
      <c r="P7056" s="7">
        <v>0</v>
      </c>
      <c r="Q7056" s="7" t="str">
        <f t="shared" si="2567"/>
        <v>教育庁</v>
      </c>
      <c r="R7056" s="7" t="str">
        <f t="shared" si="2584"/>
        <v>工芸高等学校</v>
      </c>
    </row>
    <row r="7057" spans="1:18" s="1" customFormat="1" x14ac:dyDescent="0.45">
      <c r="A7057" s="7" t="str">
        <f t="shared" si="2580"/>
        <v>10275003061</v>
      </c>
      <c r="B7057" s="7" t="str">
        <f t="shared" si="2581"/>
        <v>工芸高等学校</v>
      </c>
      <c r="C7057" s="7" t="str">
        <f t="shared" si="2582"/>
        <v>行政財産</v>
      </c>
      <c r="D7057" s="7" t="str">
        <f t="shared" si="2578"/>
        <v>学校</v>
      </c>
      <c r="E7057" s="7" t="str">
        <f t="shared" si="2583"/>
        <v>大阪府大阪市　阿倍野区文の里１丁目</v>
      </c>
      <c r="F7057" s="7"/>
      <c r="G7057" s="7" t="str">
        <f t="shared" si="2566"/>
        <v>事業用資産</v>
      </c>
      <c r="H7057" s="7" t="str">
        <f t="shared" si="2579"/>
        <v>棚卸以外</v>
      </c>
      <c r="I7057" s="7">
        <v>5</v>
      </c>
      <c r="J7057" s="7" t="str">
        <f>"３号館北側"</f>
        <v>３号館北側</v>
      </c>
      <c r="K7057" s="7" t="str">
        <f t="shared" si="2585"/>
        <v>鉄筋コンクリート造</v>
      </c>
      <c r="L7057" s="7" t="str">
        <f>"S32.08.01"</f>
        <v>S32.08.01</v>
      </c>
      <c r="M7057" s="7">
        <v>1249.42</v>
      </c>
      <c r="N7057" s="7">
        <v>17336654</v>
      </c>
      <c r="O7057" s="7">
        <v>17169181</v>
      </c>
      <c r="P7057" s="7">
        <v>0</v>
      </c>
      <c r="Q7057" s="7" t="str">
        <f t="shared" si="2567"/>
        <v>教育庁</v>
      </c>
      <c r="R7057" s="7" t="str">
        <f t="shared" si="2584"/>
        <v>工芸高等学校</v>
      </c>
    </row>
    <row r="7058" spans="1:18" s="1" customFormat="1" x14ac:dyDescent="0.45">
      <c r="A7058" s="7" t="str">
        <f t="shared" si="2580"/>
        <v>10275003061</v>
      </c>
      <c r="B7058" s="7" t="str">
        <f t="shared" si="2581"/>
        <v>工芸高等学校</v>
      </c>
      <c r="C7058" s="7" t="str">
        <f t="shared" si="2582"/>
        <v>行政財産</v>
      </c>
      <c r="D7058" s="7" t="str">
        <f t="shared" si="2578"/>
        <v>学校</v>
      </c>
      <c r="E7058" s="7" t="str">
        <f t="shared" si="2583"/>
        <v>大阪府大阪市　阿倍野区文の里１丁目</v>
      </c>
      <c r="F7058" s="7"/>
      <c r="G7058" s="7" t="str">
        <f t="shared" si="2566"/>
        <v>事業用資産</v>
      </c>
      <c r="H7058" s="7" t="str">
        <f t="shared" si="2579"/>
        <v>棚卸以外</v>
      </c>
      <c r="I7058" s="7">
        <v>6</v>
      </c>
      <c r="J7058" s="7" t="str">
        <f>"写真科棟"</f>
        <v>写真科棟</v>
      </c>
      <c r="K7058" s="7" t="str">
        <f t="shared" si="2585"/>
        <v>鉄筋コンクリート造</v>
      </c>
      <c r="L7058" s="7" t="str">
        <f>"S33.09.01"</f>
        <v>S33.09.01</v>
      </c>
      <c r="M7058" s="7">
        <v>577.04999999999995</v>
      </c>
      <c r="N7058" s="7">
        <v>10879843</v>
      </c>
      <c r="O7058" s="7">
        <v>10162035</v>
      </c>
      <c r="P7058" s="7">
        <v>0</v>
      </c>
      <c r="Q7058" s="7" t="str">
        <f t="shared" si="2567"/>
        <v>教育庁</v>
      </c>
      <c r="R7058" s="7" t="str">
        <f t="shared" si="2584"/>
        <v>工芸高等学校</v>
      </c>
    </row>
    <row r="7059" spans="1:18" s="1" customFormat="1" x14ac:dyDescent="0.45">
      <c r="A7059" s="7" t="str">
        <f t="shared" si="2580"/>
        <v>10275003061</v>
      </c>
      <c r="B7059" s="7" t="str">
        <f t="shared" si="2581"/>
        <v>工芸高等学校</v>
      </c>
      <c r="C7059" s="7" t="str">
        <f t="shared" si="2582"/>
        <v>行政財産</v>
      </c>
      <c r="D7059" s="7" t="str">
        <f t="shared" si="2578"/>
        <v>学校</v>
      </c>
      <c r="E7059" s="7" t="str">
        <f t="shared" si="2583"/>
        <v>大阪府大阪市　阿倍野区文の里１丁目</v>
      </c>
      <c r="F7059" s="7"/>
      <c r="G7059" s="7" t="str">
        <f t="shared" si="2566"/>
        <v>事業用資産</v>
      </c>
      <c r="H7059" s="7" t="str">
        <f t="shared" si="2579"/>
        <v>棚卸以外</v>
      </c>
      <c r="I7059" s="7">
        <v>7</v>
      </c>
      <c r="J7059" s="7" t="str">
        <f>"１号館１階２階"</f>
        <v>１号館１階２階</v>
      </c>
      <c r="K7059" s="7" t="str">
        <f t="shared" si="2585"/>
        <v>鉄筋コンクリート造</v>
      </c>
      <c r="L7059" s="7" t="str">
        <f>"S36.03.01"</f>
        <v>S36.03.01</v>
      </c>
      <c r="M7059" s="7">
        <v>1302.47</v>
      </c>
      <c r="N7059" s="7">
        <v>19861960</v>
      </c>
      <c r="O7059" s="7">
        <v>19861959</v>
      </c>
      <c r="P7059" s="7">
        <v>0</v>
      </c>
      <c r="Q7059" s="7" t="str">
        <f t="shared" si="2567"/>
        <v>教育庁</v>
      </c>
      <c r="R7059" s="7" t="str">
        <f t="shared" si="2584"/>
        <v>工芸高等学校</v>
      </c>
    </row>
    <row r="7060" spans="1:18" s="1" customFormat="1" x14ac:dyDescent="0.45">
      <c r="A7060" s="7" t="str">
        <f t="shared" si="2580"/>
        <v>10275003061</v>
      </c>
      <c r="B7060" s="7" t="str">
        <f t="shared" si="2581"/>
        <v>工芸高等学校</v>
      </c>
      <c r="C7060" s="7" t="str">
        <f t="shared" si="2582"/>
        <v>行政財産</v>
      </c>
      <c r="D7060" s="7" t="str">
        <f t="shared" si="2578"/>
        <v>学校</v>
      </c>
      <c r="E7060" s="7" t="str">
        <f t="shared" si="2583"/>
        <v>大阪府大阪市　阿倍野区文の里１丁目</v>
      </c>
      <c r="F7060" s="7"/>
      <c r="G7060" s="7" t="str">
        <f t="shared" si="2566"/>
        <v>事業用資産</v>
      </c>
      <c r="H7060" s="7" t="str">
        <f t="shared" si="2579"/>
        <v>棚卸以外</v>
      </c>
      <c r="I7060" s="7">
        <v>8</v>
      </c>
      <c r="J7060" s="7" t="str">
        <f>"２号館１階２階"</f>
        <v>２号館１階２階</v>
      </c>
      <c r="K7060" s="7" t="str">
        <f>"鉄骨造"</f>
        <v>鉄骨造</v>
      </c>
      <c r="L7060" s="7" t="str">
        <f>"S39.03.01"</f>
        <v>S39.03.01</v>
      </c>
      <c r="M7060" s="7">
        <v>785.12</v>
      </c>
      <c r="N7060" s="7">
        <v>10006022</v>
      </c>
      <c r="O7060" s="7">
        <v>10006021</v>
      </c>
      <c r="P7060" s="7">
        <v>0</v>
      </c>
      <c r="Q7060" s="7" t="str">
        <f t="shared" si="2567"/>
        <v>教育庁</v>
      </c>
      <c r="R7060" s="7" t="str">
        <f t="shared" si="2584"/>
        <v>工芸高等学校</v>
      </c>
    </row>
    <row r="7061" spans="1:18" s="1" customFormat="1" ht="26.4" x14ac:dyDescent="0.45">
      <c r="A7061" s="7" t="str">
        <f t="shared" si="2580"/>
        <v>10275003061</v>
      </c>
      <c r="B7061" s="7" t="str">
        <f t="shared" si="2581"/>
        <v>工芸高等学校</v>
      </c>
      <c r="C7061" s="7" t="str">
        <f t="shared" si="2582"/>
        <v>行政財産</v>
      </c>
      <c r="D7061" s="7" t="str">
        <f t="shared" si="2578"/>
        <v>学校</v>
      </c>
      <c r="E7061" s="7" t="str">
        <f t="shared" si="2583"/>
        <v>大阪府大阪市　阿倍野区文の里１丁目</v>
      </c>
      <c r="F7061" s="7"/>
      <c r="G7061" s="7" t="str">
        <f t="shared" si="2566"/>
        <v>事業用資産</v>
      </c>
      <c r="H7061" s="7" t="str">
        <f t="shared" si="2579"/>
        <v>棚卸以外</v>
      </c>
      <c r="I7061" s="7">
        <v>9</v>
      </c>
      <c r="J7061" s="7" t="str">
        <f>"１号館３階４階（体育館）"</f>
        <v>１号館３階４階（体育館）</v>
      </c>
      <c r="K7061" s="7" t="str">
        <f>"鉄骨鉄筋コンクリート造"</f>
        <v>鉄骨鉄筋コンクリート造</v>
      </c>
      <c r="L7061" s="7" t="str">
        <f>"S39.04.01"</f>
        <v>S39.04.01</v>
      </c>
      <c r="M7061" s="7">
        <v>1056.49</v>
      </c>
      <c r="N7061" s="7">
        <v>12756810</v>
      </c>
      <c r="O7061" s="7">
        <v>12756809</v>
      </c>
      <c r="P7061" s="7">
        <v>0</v>
      </c>
      <c r="Q7061" s="7" t="str">
        <f t="shared" si="2567"/>
        <v>教育庁</v>
      </c>
      <c r="R7061" s="7" t="str">
        <f t="shared" si="2584"/>
        <v>工芸高等学校</v>
      </c>
    </row>
    <row r="7062" spans="1:18" s="1" customFormat="1" x14ac:dyDescent="0.45">
      <c r="A7062" s="7" t="str">
        <f t="shared" si="2580"/>
        <v>10275003061</v>
      </c>
      <c r="B7062" s="7" t="str">
        <f t="shared" si="2581"/>
        <v>工芸高等学校</v>
      </c>
      <c r="C7062" s="7" t="str">
        <f t="shared" si="2582"/>
        <v>行政財産</v>
      </c>
      <c r="D7062" s="7" t="str">
        <f t="shared" si="2578"/>
        <v>学校</v>
      </c>
      <c r="E7062" s="7" t="str">
        <f t="shared" si="2583"/>
        <v>大阪府大阪市　阿倍野区文の里１丁目</v>
      </c>
      <c r="F7062" s="7"/>
      <c r="G7062" s="7" t="str">
        <f t="shared" si="2566"/>
        <v>事業用資産</v>
      </c>
      <c r="H7062" s="7" t="str">
        <f t="shared" si="2579"/>
        <v>棚卸以外</v>
      </c>
      <c r="I7062" s="7">
        <v>10</v>
      </c>
      <c r="J7062" s="7" t="str">
        <f>"２号館３階４階"</f>
        <v>２号館３階４階</v>
      </c>
      <c r="K7062" s="7" t="str">
        <f>"鉄筋コンクリート造"</f>
        <v>鉄筋コンクリート造</v>
      </c>
      <c r="L7062" s="7" t="str">
        <f>"S40.03.01"</f>
        <v>S40.03.01</v>
      </c>
      <c r="M7062" s="7">
        <v>785.15</v>
      </c>
      <c r="N7062" s="7">
        <v>9318999</v>
      </c>
      <c r="O7062" s="7">
        <v>9318998</v>
      </c>
      <c r="P7062" s="7">
        <v>0</v>
      </c>
      <c r="Q7062" s="7" t="str">
        <f t="shared" si="2567"/>
        <v>教育庁</v>
      </c>
      <c r="R7062" s="7" t="str">
        <f t="shared" si="2584"/>
        <v>工芸高等学校</v>
      </c>
    </row>
    <row r="7063" spans="1:18" s="1" customFormat="1" x14ac:dyDescent="0.45">
      <c r="A7063" s="7" t="str">
        <f t="shared" si="2580"/>
        <v>10275003061</v>
      </c>
      <c r="B7063" s="7" t="str">
        <f t="shared" si="2581"/>
        <v>工芸高等学校</v>
      </c>
      <c r="C7063" s="7" t="str">
        <f t="shared" si="2582"/>
        <v>行政財産</v>
      </c>
      <c r="D7063" s="7" t="str">
        <f t="shared" si="2578"/>
        <v>学校</v>
      </c>
      <c r="E7063" s="7" t="str">
        <f t="shared" si="2583"/>
        <v>大阪府大阪市　阿倍野区文の里１丁目</v>
      </c>
      <c r="F7063" s="7"/>
      <c r="G7063" s="7" t="str">
        <f t="shared" ref="G7063:G7126" si="2586">"事業用資産"</f>
        <v>事業用資産</v>
      </c>
      <c r="H7063" s="7" t="str">
        <f t="shared" si="2579"/>
        <v>棚卸以外</v>
      </c>
      <c r="I7063" s="7">
        <v>11</v>
      </c>
      <c r="J7063" s="7" t="str">
        <f>"ピロティ・ギャラリー・体育館北倉庫"</f>
        <v>ピロティ・ギャラリー・体育館北倉庫</v>
      </c>
      <c r="K7063" s="7" t="str">
        <f>"軽量鉄骨造"</f>
        <v>軽量鉄骨造</v>
      </c>
      <c r="L7063" s="7" t="str">
        <f>"S47.12.01"</f>
        <v>S47.12.01</v>
      </c>
      <c r="M7063" s="7">
        <v>299.73</v>
      </c>
      <c r="N7063" s="7">
        <v>1887270</v>
      </c>
      <c r="O7063" s="7">
        <v>1887269</v>
      </c>
      <c r="P7063" s="7">
        <v>0</v>
      </c>
      <c r="Q7063" s="7" t="str">
        <f t="shared" si="2567"/>
        <v>教育庁</v>
      </c>
      <c r="R7063" s="7" t="str">
        <f t="shared" si="2584"/>
        <v>工芸高等学校</v>
      </c>
    </row>
    <row r="7064" spans="1:18" s="1" customFormat="1" ht="26.4" x14ac:dyDescent="0.45">
      <c r="A7064" s="7" t="str">
        <f t="shared" si="2580"/>
        <v>10275003061</v>
      </c>
      <c r="B7064" s="7" t="str">
        <f t="shared" si="2581"/>
        <v>工芸高等学校</v>
      </c>
      <c r="C7064" s="7" t="str">
        <f t="shared" si="2582"/>
        <v>行政財産</v>
      </c>
      <c r="D7064" s="7" t="str">
        <f t="shared" si="2578"/>
        <v>学校</v>
      </c>
      <c r="E7064" s="7" t="str">
        <f t="shared" si="2583"/>
        <v>大阪府大阪市　阿倍野区文の里１丁目</v>
      </c>
      <c r="F7064" s="7"/>
      <c r="G7064" s="7" t="str">
        <f t="shared" si="2586"/>
        <v>事業用資産</v>
      </c>
      <c r="H7064" s="7" t="str">
        <f t="shared" si="2579"/>
        <v>棚卸以外</v>
      </c>
      <c r="I7064" s="7">
        <v>12</v>
      </c>
      <c r="J7064" s="7" t="str">
        <f>"４号館西側"</f>
        <v>４号館西側</v>
      </c>
      <c r="K7064" s="7" t="str">
        <f>"鉄骨鉄筋コンクリート造"</f>
        <v>鉄骨鉄筋コンクリート造</v>
      </c>
      <c r="L7064" s="7" t="str">
        <f>"S52.03.01"</f>
        <v>S52.03.01</v>
      </c>
      <c r="M7064" s="7">
        <v>3128</v>
      </c>
      <c r="N7064" s="7">
        <v>107503021</v>
      </c>
      <c r="O7064" s="7">
        <v>51179184</v>
      </c>
      <c r="P7064" s="7">
        <v>0</v>
      </c>
      <c r="Q7064" s="7" t="str">
        <f t="shared" si="2567"/>
        <v>教育庁</v>
      </c>
      <c r="R7064" s="7" t="str">
        <f t="shared" si="2584"/>
        <v>工芸高等学校</v>
      </c>
    </row>
    <row r="7065" spans="1:18" s="1" customFormat="1" x14ac:dyDescent="0.45">
      <c r="A7065" s="7" t="str">
        <f t="shared" si="2580"/>
        <v>10275003061</v>
      </c>
      <c r="B7065" s="7" t="str">
        <f t="shared" si="2581"/>
        <v>工芸高等学校</v>
      </c>
      <c r="C7065" s="7" t="str">
        <f t="shared" si="2582"/>
        <v>行政財産</v>
      </c>
      <c r="D7065" s="7" t="str">
        <f t="shared" si="2578"/>
        <v>学校</v>
      </c>
      <c r="E7065" s="7" t="str">
        <f t="shared" si="2583"/>
        <v>大阪府大阪市　阿倍野区文の里１丁目</v>
      </c>
      <c r="F7065" s="7"/>
      <c r="G7065" s="7" t="str">
        <f t="shared" si="2586"/>
        <v>事業用資産</v>
      </c>
      <c r="H7065" s="7" t="str">
        <f t="shared" si="2579"/>
        <v>棚卸以外</v>
      </c>
      <c r="I7065" s="7">
        <v>13</v>
      </c>
      <c r="J7065" s="7" t="str">
        <f>"５号館１階２階"</f>
        <v>５号館１階２階</v>
      </c>
      <c r="K7065" s="7" t="str">
        <f>"鉄筋コンクリート造"</f>
        <v>鉄筋コンクリート造</v>
      </c>
      <c r="L7065" s="7" t="str">
        <f>"S55.09.01"</f>
        <v>S55.09.01</v>
      </c>
      <c r="M7065" s="7">
        <v>1397.5</v>
      </c>
      <c r="N7065" s="7">
        <v>48707371</v>
      </c>
      <c r="O7065" s="7">
        <v>8202304</v>
      </c>
      <c r="P7065" s="7">
        <v>0</v>
      </c>
      <c r="Q7065" s="7" t="str">
        <f t="shared" si="2567"/>
        <v>教育庁</v>
      </c>
      <c r="R7065" s="7" t="str">
        <f t="shared" si="2584"/>
        <v>工芸高等学校</v>
      </c>
    </row>
    <row r="7066" spans="1:18" s="1" customFormat="1" x14ac:dyDescent="0.45">
      <c r="A7066" s="7" t="str">
        <f t="shared" si="2580"/>
        <v>10275003061</v>
      </c>
      <c r="B7066" s="7" t="str">
        <f t="shared" si="2581"/>
        <v>工芸高等学校</v>
      </c>
      <c r="C7066" s="7" t="str">
        <f t="shared" si="2582"/>
        <v>行政財産</v>
      </c>
      <c r="D7066" s="7" t="str">
        <f t="shared" si="2578"/>
        <v>学校</v>
      </c>
      <c r="E7066" s="7" t="str">
        <f t="shared" si="2583"/>
        <v>大阪府大阪市　阿倍野区文の里１丁目</v>
      </c>
      <c r="F7066" s="7"/>
      <c r="G7066" s="7" t="str">
        <f t="shared" si="2586"/>
        <v>事業用資産</v>
      </c>
      <c r="H7066" s="7" t="str">
        <f t="shared" si="2579"/>
        <v>棚卸以外</v>
      </c>
      <c r="I7066" s="7">
        <v>14</v>
      </c>
      <c r="J7066" s="7" t="str">
        <f>"５号館３階４階５階"</f>
        <v>５号館３階４階５階</v>
      </c>
      <c r="K7066" s="7" t="str">
        <f>"鉄筋コンクリート造"</f>
        <v>鉄筋コンクリート造</v>
      </c>
      <c r="L7066" s="7" t="str">
        <f>"S56.12.01"</f>
        <v>S56.12.01</v>
      </c>
      <c r="M7066" s="7">
        <v>1767.02</v>
      </c>
      <c r="N7066" s="7">
        <v>153401937</v>
      </c>
      <c r="O7066" s="7">
        <v>21092775</v>
      </c>
      <c r="P7066" s="7">
        <v>0</v>
      </c>
      <c r="Q7066" s="7" t="str">
        <f t="shared" si="2567"/>
        <v>教育庁</v>
      </c>
      <c r="R7066" s="7" t="str">
        <f t="shared" si="2584"/>
        <v>工芸高等学校</v>
      </c>
    </row>
    <row r="7067" spans="1:18" s="1" customFormat="1" x14ac:dyDescent="0.45">
      <c r="A7067" s="7" t="str">
        <f t="shared" si="2580"/>
        <v>10275003061</v>
      </c>
      <c r="B7067" s="7" t="str">
        <f t="shared" si="2581"/>
        <v>工芸高等学校</v>
      </c>
      <c r="C7067" s="7" t="str">
        <f t="shared" si="2582"/>
        <v>行政財産</v>
      </c>
      <c r="D7067" s="7" t="str">
        <f t="shared" si="2578"/>
        <v>学校</v>
      </c>
      <c r="E7067" s="7" t="str">
        <f t="shared" si="2583"/>
        <v>大阪府大阪市　阿倍野区文の里１丁目</v>
      </c>
      <c r="F7067" s="7"/>
      <c r="G7067" s="7" t="str">
        <f t="shared" si="2586"/>
        <v>事業用資産</v>
      </c>
      <c r="H7067" s="7" t="str">
        <f t="shared" si="2579"/>
        <v>棚卸以外</v>
      </c>
      <c r="I7067" s="7">
        <v>15</v>
      </c>
      <c r="J7067" s="7" t="str">
        <f>"クラブ棟"</f>
        <v>クラブ棟</v>
      </c>
      <c r="K7067" s="7" t="str">
        <f>"軽量鉄骨造"</f>
        <v>軽量鉄骨造</v>
      </c>
      <c r="L7067" s="7" t="str">
        <f>"S61.03.01"</f>
        <v>S61.03.01</v>
      </c>
      <c r="M7067" s="7">
        <v>364</v>
      </c>
      <c r="N7067" s="7">
        <v>5554900</v>
      </c>
      <c r="O7067" s="7">
        <v>5554899</v>
      </c>
      <c r="P7067" s="7">
        <v>0</v>
      </c>
      <c r="Q7067" s="7" t="str">
        <f t="shared" ref="Q7067:Q7130" si="2587">"教育庁"</f>
        <v>教育庁</v>
      </c>
      <c r="R7067" s="7" t="str">
        <f t="shared" si="2584"/>
        <v>工芸高等学校</v>
      </c>
    </row>
    <row r="7068" spans="1:18" s="1" customFormat="1" x14ac:dyDescent="0.45">
      <c r="A7068" s="7" t="str">
        <f t="shared" si="2580"/>
        <v>10275003061</v>
      </c>
      <c r="B7068" s="7" t="str">
        <f t="shared" si="2581"/>
        <v>工芸高等学校</v>
      </c>
      <c r="C7068" s="7" t="str">
        <f t="shared" si="2582"/>
        <v>行政財産</v>
      </c>
      <c r="D7068" s="7" t="str">
        <f t="shared" si="2578"/>
        <v>学校</v>
      </c>
      <c r="E7068" s="7" t="str">
        <f t="shared" si="2583"/>
        <v>大阪府大阪市　阿倍野区文の里１丁目</v>
      </c>
      <c r="F7068" s="7"/>
      <c r="G7068" s="7" t="str">
        <f t="shared" si="2586"/>
        <v>事業用資産</v>
      </c>
      <c r="H7068" s="7" t="str">
        <f t="shared" si="2579"/>
        <v>棚卸以外</v>
      </c>
      <c r="I7068" s="7">
        <v>16</v>
      </c>
      <c r="J7068" s="7" t="str">
        <f>"４号館東側"</f>
        <v>４号館東側</v>
      </c>
      <c r="K7068" s="7" t="str">
        <f>"鉄筋コンクリート造"</f>
        <v>鉄筋コンクリート造</v>
      </c>
      <c r="L7068" s="7" t="str">
        <f>"S54.03.01"</f>
        <v>S54.03.01</v>
      </c>
      <c r="M7068" s="7">
        <v>2906</v>
      </c>
      <c r="N7068" s="7">
        <v>109407870</v>
      </c>
      <c r="O7068" s="7">
        <v>25004531</v>
      </c>
      <c r="P7068" s="7">
        <v>0</v>
      </c>
      <c r="Q7068" s="7" t="str">
        <f t="shared" si="2587"/>
        <v>教育庁</v>
      </c>
      <c r="R7068" s="7" t="str">
        <f t="shared" si="2584"/>
        <v>工芸高等学校</v>
      </c>
    </row>
    <row r="7069" spans="1:18" s="1" customFormat="1" x14ac:dyDescent="0.45">
      <c r="A7069" s="7" t="str">
        <f t="shared" si="2580"/>
        <v>10275003061</v>
      </c>
      <c r="B7069" s="7" t="str">
        <f t="shared" si="2581"/>
        <v>工芸高等学校</v>
      </c>
      <c r="C7069" s="7" t="str">
        <f t="shared" si="2582"/>
        <v>行政財産</v>
      </c>
      <c r="D7069" s="7" t="str">
        <f t="shared" si="2578"/>
        <v>学校</v>
      </c>
      <c r="E7069" s="7" t="str">
        <f t="shared" si="2583"/>
        <v>大阪府大阪市　阿倍野区文の里１丁目</v>
      </c>
      <c r="F7069" s="7"/>
      <c r="G7069" s="7" t="str">
        <f t="shared" si="2586"/>
        <v>事業用資産</v>
      </c>
      <c r="H7069" s="7" t="str">
        <f t="shared" si="2579"/>
        <v>棚卸以外</v>
      </c>
      <c r="I7069" s="7">
        <v>17</v>
      </c>
      <c r="J7069" s="7" t="str">
        <f>"格技室"</f>
        <v>格技室</v>
      </c>
      <c r="K7069" s="7" t="str">
        <f>"鉄骨造"</f>
        <v>鉄骨造</v>
      </c>
      <c r="L7069" s="7" t="str">
        <f>"S62.11.01"</f>
        <v>S62.11.01</v>
      </c>
      <c r="M7069" s="7">
        <v>378.84</v>
      </c>
      <c r="N7069" s="7">
        <v>10313820</v>
      </c>
      <c r="O7069" s="7">
        <v>10313819</v>
      </c>
      <c r="P7069" s="7">
        <v>0</v>
      </c>
      <c r="Q7069" s="7" t="str">
        <f t="shared" si="2587"/>
        <v>教育庁</v>
      </c>
      <c r="R7069" s="7" t="str">
        <f t="shared" si="2584"/>
        <v>工芸高等学校</v>
      </c>
    </row>
    <row r="7070" spans="1:18" s="1" customFormat="1" x14ac:dyDescent="0.45">
      <c r="A7070" s="7" t="str">
        <f t="shared" si="2580"/>
        <v>10275003061</v>
      </c>
      <c r="B7070" s="7" t="str">
        <f t="shared" si="2581"/>
        <v>工芸高等学校</v>
      </c>
      <c r="C7070" s="7" t="str">
        <f t="shared" si="2582"/>
        <v>行政財産</v>
      </c>
      <c r="D7070" s="7" t="str">
        <f t="shared" si="2578"/>
        <v>学校</v>
      </c>
      <c r="E7070" s="7" t="str">
        <f t="shared" si="2583"/>
        <v>大阪府大阪市　阿倍野区文の里１丁目</v>
      </c>
      <c r="F7070" s="7"/>
      <c r="G7070" s="7" t="str">
        <f t="shared" si="2586"/>
        <v>事業用資産</v>
      </c>
      <c r="H7070" s="7" t="str">
        <f t="shared" si="2579"/>
        <v>棚卸以外</v>
      </c>
      <c r="I7070" s="7">
        <v>18</v>
      </c>
      <c r="J7070" s="7" t="str">
        <f>"５号館１階定時制保健室"</f>
        <v>５号館１階定時制保健室</v>
      </c>
      <c r="K7070" s="7" t="str">
        <f>"鉄筋コンクリート造"</f>
        <v>鉄筋コンクリート造</v>
      </c>
      <c r="L7070" s="7" t="str">
        <f>"S54.03.01"</f>
        <v>S54.03.01</v>
      </c>
      <c r="M7070" s="7">
        <v>50</v>
      </c>
      <c r="N7070" s="7">
        <v>2920500</v>
      </c>
      <c r="O7070" s="7">
        <v>2920499</v>
      </c>
      <c r="P7070" s="7">
        <v>0</v>
      </c>
      <c r="Q7070" s="7" t="str">
        <f t="shared" si="2587"/>
        <v>教育庁</v>
      </c>
      <c r="R7070" s="7" t="str">
        <f t="shared" si="2584"/>
        <v>工芸高等学校</v>
      </c>
    </row>
    <row r="7071" spans="1:18" s="1" customFormat="1" x14ac:dyDescent="0.45">
      <c r="A7071" s="7" t="str">
        <f t="shared" si="2580"/>
        <v>10275003061</v>
      </c>
      <c r="B7071" s="7" t="str">
        <f t="shared" si="2581"/>
        <v>工芸高等学校</v>
      </c>
      <c r="C7071" s="7" t="str">
        <f t="shared" si="2582"/>
        <v>行政財産</v>
      </c>
      <c r="D7071" s="7" t="str">
        <f t="shared" si="2578"/>
        <v>学校</v>
      </c>
      <c r="E7071" s="7" t="str">
        <f t="shared" si="2583"/>
        <v>大阪府大阪市　阿倍野区文の里１丁目</v>
      </c>
      <c r="F7071" s="7"/>
      <c r="G7071" s="7" t="str">
        <f t="shared" si="2586"/>
        <v>事業用資産</v>
      </c>
      <c r="H7071" s="7" t="str">
        <f t="shared" si="2579"/>
        <v>棚卸以外</v>
      </c>
      <c r="I7071" s="7">
        <v>19</v>
      </c>
      <c r="J7071" s="7" t="str">
        <f>"倉庫（写真科棟と５号館の間）"</f>
        <v>倉庫（写真科棟と５号館の間）</v>
      </c>
      <c r="K7071" s="7" t="str">
        <f>"鉄筋コンクリート造"</f>
        <v>鉄筋コンクリート造</v>
      </c>
      <c r="L7071" s="7" t="str">
        <f>"S54.03.01"</f>
        <v>S54.03.01</v>
      </c>
      <c r="M7071" s="7">
        <v>32</v>
      </c>
      <c r="N7071" s="7">
        <v>1966665</v>
      </c>
      <c r="O7071" s="7">
        <v>1966664</v>
      </c>
      <c r="P7071" s="7">
        <v>0</v>
      </c>
      <c r="Q7071" s="7" t="str">
        <f t="shared" si="2587"/>
        <v>教育庁</v>
      </c>
      <c r="R7071" s="7" t="str">
        <f t="shared" si="2584"/>
        <v>工芸高等学校</v>
      </c>
    </row>
    <row r="7072" spans="1:18" s="1" customFormat="1" x14ac:dyDescent="0.45">
      <c r="A7072" s="7" t="str">
        <f t="shared" si="2580"/>
        <v>10275003061</v>
      </c>
      <c r="B7072" s="7" t="str">
        <f t="shared" si="2581"/>
        <v>工芸高等学校</v>
      </c>
      <c r="C7072" s="7" t="str">
        <f t="shared" si="2582"/>
        <v>行政財産</v>
      </c>
      <c r="D7072" s="7" t="str">
        <f t="shared" si="2578"/>
        <v>学校</v>
      </c>
      <c r="E7072" s="7" t="str">
        <f t="shared" si="2583"/>
        <v>大阪府大阪市　阿倍野区文の里１丁目</v>
      </c>
      <c r="F7072" s="7"/>
      <c r="G7072" s="7" t="str">
        <f t="shared" si="2586"/>
        <v>事業用資産</v>
      </c>
      <c r="H7072" s="7" t="str">
        <f t="shared" si="2579"/>
        <v>棚卸以外</v>
      </c>
      <c r="I7072" s="7">
        <v>20</v>
      </c>
      <c r="J7072" s="7" t="str">
        <f>"４号館東側倉庫"</f>
        <v>４号館東側倉庫</v>
      </c>
      <c r="K7072" s="7" t="str">
        <f>"鉄筋コンクリート造"</f>
        <v>鉄筋コンクリート造</v>
      </c>
      <c r="L7072" s="7" t="str">
        <f>"S54.03.31"</f>
        <v>S54.03.31</v>
      </c>
      <c r="M7072" s="7">
        <v>10</v>
      </c>
      <c r="N7072" s="7">
        <v>485475</v>
      </c>
      <c r="O7072" s="7">
        <v>485474</v>
      </c>
      <c r="P7072" s="7">
        <v>0</v>
      </c>
      <c r="Q7072" s="7" t="str">
        <f t="shared" si="2587"/>
        <v>教育庁</v>
      </c>
      <c r="R7072" s="7" t="str">
        <f t="shared" si="2584"/>
        <v>工芸高等学校</v>
      </c>
    </row>
    <row r="7073" spans="1:18" s="1" customFormat="1" x14ac:dyDescent="0.45">
      <c r="A7073" s="7" t="str">
        <f t="shared" si="2580"/>
        <v>10275003061</v>
      </c>
      <c r="B7073" s="7" t="str">
        <f t="shared" si="2581"/>
        <v>工芸高等学校</v>
      </c>
      <c r="C7073" s="7" t="str">
        <f t="shared" si="2582"/>
        <v>行政財産</v>
      </c>
      <c r="D7073" s="7" t="str">
        <f t="shared" si="2578"/>
        <v>学校</v>
      </c>
      <c r="E7073" s="7" t="str">
        <f t="shared" si="2583"/>
        <v>大阪府大阪市　阿倍野区文の里１丁目</v>
      </c>
      <c r="F7073" s="7"/>
      <c r="G7073" s="7" t="str">
        <f t="shared" si="2586"/>
        <v>事業用資産</v>
      </c>
      <c r="H7073" s="7" t="str">
        <f t="shared" si="2579"/>
        <v>棚卸以外</v>
      </c>
      <c r="I7073" s="7">
        <v>21</v>
      </c>
      <c r="J7073" s="7" t="str">
        <f>"危険物倉庫"</f>
        <v>危険物倉庫</v>
      </c>
      <c r="K7073" s="7" t="str">
        <f>"コンクリートブロック造"</f>
        <v>コンクリートブロック造</v>
      </c>
      <c r="L7073" s="7" t="str">
        <f>"S54.03.31"</f>
        <v>S54.03.31</v>
      </c>
      <c r="M7073" s="7">
        <v>4</v>
      </c>
      <c r="N7073" s="7">
        <v>73719</v>
      </c>
      <c r="O7073" s="7">
        <v>73718</v>
      </c>
      <c r="P7073" s="7">
        <v>0</v>
      </c>
      <c r="Q7073" s="7" t="str">
        <f t="shared" si="2587"/>
        <v>教育庁</v>
      </c>
      <c r="R7073" s="7" t="str">
        <f t="shared" si="2584"/>
        <v>工芸高等学校</v>
      </c>
    </row>
    <row r="7074" spans="1:18" s="1" customFormat="1" x14ac:dyDescent="0.45">
      <c r="A7074" s="7" t="str">
        <f t="shared" si="2580"/>
        <v>10275003061</v>
      </c>
      <c r="B7074" s="7" t="str">
        <f t="shared" si="2581"/>
        <v>工芸高等学校</v>
      </c>
      <c r="C7074" s="7" t="str">
        <f t="shared" si="2582"/>
        <v>行政財産</v>
      </c>
      <c r="D7074" s="7" t="str">
        <f t="shared" si="2578"/>
        <v>学校</v>
      </c>
      <c r="E7074" s="7" t="str">
        <f t="shared" si="2583"/>
        <v>大阪府大阪市　阿倍野区文の里１丁目</v>
      </c>
      <c r="F7074" s="7"/>
      <c r="G7074" s="7" t="str">
        <f t="shared" si="2586"/>
        <v>事業用資産</v>
      </c>
      <c r="H7074" s="7" t="str">
        <f t="shared" si="2579"/>
        <v>棚卸以外</v>
      </c>
      <c r="I7074" s="7">
        <v>22</v>
      </c>
      <c r="J7074" s="7" t="str">
        <f>"１号館南側倉庫"</f>
        <v>１号館南側倉庫</v>
      </c>
      <c r="K7074" s="7" t="str">
        <f>"木造"</f>
        <v>木造</v>
      </c>
      <c r="L7074" s="7" t="str">
        <f>"S52.07.31"</f>
        <v>S52.07.31</v>
      </c>
      <c r="M7074" s="7">
        <v>3</v>
      </c>
      <c r="N7074" s="7">
        <v>43841</v>
      </c>
      <c r="O7074" s="7">
        <v>43840</v>
      </c>
      <c r="P7074" s="7">
        <v>0</v>
      </c>
      <c r="Q7074" s="7" t="str">
        <f t="shared" si="2587"/>
        <v>教育庁</v>
      </c>
      <c r="R7074" s="7" t="str">
        <f t="shared" si="2584"/>
        <v>工芸高等学校</v>
      </c>
    </row>
    <row r="7075" spans="1:18" s="1" customFormat="1" x14ac:dyDescent="0.45">
      <c r="A7075" s="7" t="str">
        <f t="shared" si="2580"/>
        <v>10275003061</v>
      </c>
      <c r="B7075" s="7" t="str">
        <f t="shared" si="2581"/>
        <v>工芸高等学校</v>
      </c>
      <c r="C7075" s="7" t="str">
        <f t="shared" si="2582"/>
        <v>行政財産</v>
      </c>
      <c r="D7075" s="7" t="str">
        <f t="shared" si="2578"/>
        <v>学校</v>
      </c>
      <c r="E7075" s="7" t="str">
        <f t="shared" si="2583"/>
        <v>大阪府大阪市　阿倍野区文の里１丁目</v>
      </c>
      <c r="F7075" s="7"/>
      <c r="G7075" s="7" t="str">
        <f t="shared" si="2586"/>
        <v>事業用資産</v>
      </c>
      <c r="H7075" s="7" t="str">
        <f t="shared" si="2579"/>
        <v>棚卸以外</v>
      </c>
      <c r="I7075" s="7">
        <v>23</v>
      </c>
      <c r="J7075" s="7" t="str">
        <f>"陶芸室"</f>
        <v>陶芸室</v>
      </c>
      <c r="K7075" s="7" t="str">
        <f t="shared" ref="K7075:K7084" si="2588">"鉄筋コンクリート造"</f>
        <v>鉄筋コンクリート造</v>
      </c>
      <c r="L7075" s="7" t="str">
        <f>"H03.09.30"</f>
        <v>H03.09.30</v>
      </c>
      <c r="M7075" s="7">
        <v>6</v>
      </c>
      <c r="N7075" s="7">
        <v>413339</v>
      </c>
      <c r="O7075" s="7">
        <v>50523</v>
      </c>
      <c r="P7075" s="7">
        <v>0</v>
      </c>
      <c r="Q7075" s="7" t="str">
        <f t="shared" si="2587"/>
        <v>教育庁</v>
      </c>
      <c r="R7075" s="7" t="str">
        <f t="shared" si="2584"/>
        <v>工芸高等学校</v>
      </c>
    </row>
    <row r="7076" spans="1:18" s="1" customFormat="1" x14ac:dyDescent="0.45">
      <c r="A7076" s="7" t="str">
        <f t="shared" ref="A7076:A7099" si="2589">"10275003062"</f>
        <v>10275003062</v>
      </c>
      <c r="B7076" s="7" t="str">
        <f t="shared" ref="B7076:B7099" si="2590">"淀商業高等学校"</f>
        <v>淀商業高等学校</v>
      </c>
      <c r="C7076" s="7" t="str">
        <f t="shared" si="2582"/>
        <v>行政財産</v>
      </c>
      <c r="D7076" s="7" t="str">
        <f t="shared" si="2578"/>
        <v>学校</v>
      </c>
      <c r="E7076" s="7" t="str">
        <f t="shared" ref="E7076:E7099" si="2591">"大阪府大阪市　西淀川区野里２丁目"</f>
        <v>大阪府大阪市　西淀川区野里２丁目</v>
      </c>
      <c r="F7076" s="7"/>
      <c r="G7076" s="7" t="str">
        <f t="shared" si="2586"/>
        <v>事業用資産</v>
      </c>
      <c r="H7076" s="7" t="str">
        <f t="shared" si="2579"/>
        <v>棚卸以外</v>
      </c>
      <c r="I7076" s="7">
        <v>1</v>
      </c>
      <c r="J7076" s="7" t="str">
        <f>"普通教室棟２６－１"</f>
        <v>普通教室棟２６－１</v>
      </c>
      <c r="K7076" s="7" t="str">
        <f t="shared" si="2588"/>
        <v>鉄筋コンクリート造</v>
      </c>
      <c r="L7076" s="7" t="str">
        <f>"S28.07.01"</f>
        <v>S28.07.01</v>
      </c>
      <c r="M7076" s="7">
        <v>303.74</v>
      </c>
      <c r="N7076" s="7">
        <v>2999426</v>
      </c>
      <c r="O7076" s="7">
        <v>2999425</v>
      </c>
      <c r="P7076" s="7">
        <v>0</v>
      </c>
      <c r="Q7076" s="7" t="str">
        <f t="shared" si="2587"/>
        <v>教育庁</v>
      </c>
      <c r="R7076" s="7" t="str">
        <f t="shared" ref="R7076:R7099" si="2592">"淀商業高等学校"</f>
        <v>淀商業高等学校</v>
      </c>
    </row>
    <row r="7077" spans="1:18" s="1" customFormat="1" x14ac:dyDescent="0.45">
      <c r="A7077" s="7" t="str">
        <f t="shared" si="2589"/>
        <v>10275003062</v>
      </c>
      <c r="B7077" s="7" t="str">
        <f t="shared" si="2590"/>
        <v>淀商業高等学校</v>
      </c>
      <c r="C7077" s="7" t="str">
        <f t="shared" si="2582"/>
        <v>行政財産</v>
      </c>
      <c r="D7077" s="7" t="str">
        <f t="shared" si="2578"/>
        <v>学校</v>
      </c>
      <c r="E7077" s="7" t="str">
        <f t="shared" si="2591"/>
        <v>大阪府大阪市　西淀川区野里２丁目</v>
      </c>
      <c r="F7077" s="7"/>
      <c r="G7077" s="7" t="str">
        <f t="shared" si="2586"/>
        <v>事業用資産</v>
      </c>
      <c r="H7077" s="7" t="str">
        <f t="shared" si="2579"/>
        <v>棚卸以外</v>
      </c>
      <c r="I7077" s="7">
        <v>2</v>
      </c>
      <c r="J7077" s="7" t="str">
        <f>"便所"</f>
        <v>便所</v>
      </c>
      <c r="K7077" s="7" t="str">
        <f t="shared" si="2588"/>
        <v>鉄筋コンクリート造</v>
      </c>
      <c r="L7077" s="7" t="str">
        <f>"S28.10.01"</f>
        <v>S28.10.01</v>
      </c>
      <c r="M7077" s="7">
        <v>170.24</v>
      </c>
      <c r="N7077" s="7">
        <v>3565267</v>
      </c>
      <c r="O7077" s="7">
        <v>3565266</v>
      </c>
      <c r="P7077" s="7">
        <v>0</v>
      </c>
      <c r="Q7077" s="7" t="str">
        <f t="shared" si="2587"/>
        <v>教育庁</v>
      </c>
      <c r="R7077" s="7" t="str">
        <f t="shared" si="2592"/>
        <v>淀商業高等学校</v>
      </c>
    </row>
    <row r="7078" spans="1:18" s="1" customFormat="1" x14ac:dyDescent="0.45">
      <c r="A7078" s="7" t="str">
        <f t="shared" si="2589"/>
        <v>10275003062</v>
      </c>
      <c r="B7078" s="7" t="str">
        <f t="shared" si="2590"/>
        <v>淀商業高等学校</v>
      </c>
      <c r="C7078" s="7" t="str">
        <f t="shared" si="2582"/>
        <v>行政財産</v>
      </c>
      <c r="D7078" s="7" t="str">
        <f t="shared" si="2578"/>
        <v>学校</v>
      </c>
      <c r="E7078" s="7" t="str">
        <f t="shared" si="2591"/>
        <v>大阪府大阪市　西淀川区野里２丁目</v>
      </c>
      <c r="F7078" s="7"/>
      <c r="G7078" s="7" t="str">
        <f t="shared" si="2586"/>
        <v>事業用資産</v>
      </c>
      <c r="H7078" s="7" t="str">
        <f t="shared" si="2579"/>
        <v>棚卸以外</v>
      </c>
      <c r="I7078" s="7">
        <v>4</v>
      </c>
      <c r="J7078" s="7" t="str">
        <f>"管理室棟７－１（本館棟）"</f>
        <v>管理室棟７－１（本館棟）</v>
      </c>
      <c r="K7078" s="7" t="str">
        <f t="shared" si="2588"/>
        <v>鉄筋コンクリート造</v>
      </c>
      <c r="L7078" s="7" t="str">
        <f>"S33.12.01"</f>
        <v>S33.12.01</v>
      </c>
      <c r="M7078" s="7">
        <v>659.99</v>
      </c>
      <c r="N7078" s="7">
        <v>11199291</v>
      </c>
      <c r="O7078" s="7">
        <v>11199290</v>
      </c>
      <c r="P7078" s="7">
        <v>0</v>
      </c>
      <c r="Q7078" s="7" t="str">
        <f t="shared" si="2587"/>
        <v>教育庁</v>
      </c>
      <c r="R7078" s="7" t="str">
        <f t="shared" si="2592"/>
        <v>淀商業高等学校</v>
      </c>
    </row>
    <row r="7079" spans="1:18" s="1" customFormat="1" x14ac:dyDescent="0.45">
      <c r="A7079" s="7" t="str">
        <f t="shared" si="2589"/>
        <v>10275003062</v>
      </c>
      <c r="B7079" s="7" t="str">
        <f t="shared" si="2590"/>
        <v>淀商業高等学校</v>
      </c>
      <c r="C7079" s="7" t="str">
        <f t="shared" si="2582"/>
        <v>行政財産</v>
      </c>
      <c r="D7079" s="7" t="str">
        <f t="shared" si="2578"/>
        <v>学校</v>
      </c>
      <c r="E7079" s="7" t="str">
        <f t="shared" si="2591"/>
        <v>大阪府大阪市　西淀川区野里２丁目</v>
      </c>
      <c r="F7079" s="7"/>
      <c r="G7079" s="7" t="str">
        <f t="shared" si="2586"/>
        <v>事業用資産</v>
      </c>
      <c r="H7079" s="7" t="str">
        <f t="shared" si="2579"/>
        <v>棚卸以外</v>
      </c>
      <c r="I7079" s="7">
        <v>5</v>
      </c>
      <c r="J7079" s="7" t="str">
        <f>"管理室棟７－２（本館棟）"</f>
        <v>管理室棟７－２（本館棟）</v>
      </c>
      <c r="K7079" s="7" t="str">
        <f t="shared" si="2588"/>
        <v>鉄筋コンクリート造</v>
      </c>
      <c r="L7079" s="7" t="str">
        <f>"S35.02.01"</f>
        <v>S35.02.01</v>
      </c>
      <c r="M7079" s="7">
        <v>669.38</v>
      </c>
      <c r="N7079" s="7">
        <v>8072972</v>
      </c>
      <c r="O7079" s="7">
        <v>8072971</v>
      </c>
      <c r="P7079" s="7">
        <v>0</v>
      </c>
      <c r="Q7079" s="7" t="str">
        <f t="shared" si="2587"/>
        <v>教育庁</v>
      </c>
      <c r="R7079" s="7" t="str">
        <f t="shared" si="2592"/>
        <v>淀商業高等学校</v>
      </c>
    </row>
    <row r="7080" spans="1:18" s="1" customFormat="1" x14ac:dyDescent="0.45">
      <c r="A7080" s="7" t="str">
        <f t="shared" si="2589"/>
        <v>10275003062</v>
      </c>
      <c r="B7080" s="7" t="str">
        <f t="shared" si="2590"/>
        <v>淀商業高等学校</v>
      </c>
      <c r="C7080" s="7" t="str">
        <f t="shared" si="2582"/>
        <v>行政財産</v>
      </c>
      <c r="D7080" s="7" t="str">
        <f t="shared" si="2578"/>
        <v>学校</v>
      </c>
      <c r="E7080" s="7" t="str">
        <f t="shared" si="2591"/>
        <v>大阪府大阪市　西淀川区野里２丁目</v>
      </c>
      <c r="F7080" s="7"/>
      <c r="G7080" s="7" t="str">
        <f t="shared" si="2586"/>
        <v>事業用資産</v>
      </c>
      <c r="H7080" s="7" t="str">
        <f t="shared" si="2579"/>
        <v>棚卸以外</v>
      </c>
      <c r="I7080" s="7">
        <v>6</v>
      </c>
      <c r="J7080" s="7" t="str">
        <f>"特別教室棟７－３（本館棟）"</f>
        <v>特別教室棟７－３（本館棟）</v>
      </c>
      <c r="K7080" s="7" t="str">
        <f t="shared" si="2588"/>
        <v>鉄筋コンクリート造</v>
      </c>
      <c r="L7080" s="7" t="str">
        <f>"S36.03.01"</f>
        <v>S36.03.01</v>
      </c>
      <c r="M7080" s="7">
        <v>996.33</v>
      </c>
      <c r="N7080" s="7">
        <v>24312229</v>
      </c>
      <c r="O7080" s="7">
        <v>23779858</v>
      </c>
      <c r="P7080" s="7">
        <v>0</v>
      </c>
      <c r="Q7080" s="7" t="str">
        <f t="shared" si="2587"/>
        <v>教育庁</v>
      </c>
      <c r="R7080" s="7" t="str">
        <f t="shared" si="2592"/>
        <v>淀商業高等学校</v>
      </c>
    </row>
    <row r="7081" spans="1:18" s="1" customFormat="1" x14ac:dyDescent="0.45">
      <c r="A7081" s="7" t="str">
        <f t="shared" si="2589"/>
        <v>10275003062</v>
      </c>
      <c r="B7081" s="7" t="str">
        <f t="shared" si="2590"/>
        <v>淀商業高等学校</v>
      </c>
      <c r="C7081" s="7" t="str">
        <f t="shared" si="2582"/>
        <v>行政財産</v>
      </c>
      <c r="D7081" s="7" t="str">
        <f t="shared" si="2578"/>
        <v>学校</v>
      </c>
      <c r="E7081" s="7" t="str">
        <f t="shared" si="2591"/>
        <v>大阪府大阪市　西淀川区野里２丁目</v>
      </c>
      <c r="F7081" s="7"/>
      <c r="G7081" s="7" t="str">
        <f t="shared" si="2586"/>
        <v>事業用資産</v>
      </c>
      <c r="H7081" s="7" t="str">
        <f t="shared" si="2579"/>
        <v>棚卸以外</v>
      </c>
      <c r="I7081" s="7">
        <v>7</v>
      </c>
      <c r="J7081" s="7" t="str">
        <f>"普通教室棟１０－１（第３校舎棟）"</f>
        <v>普通教室棟１０－１（第３校舎棟）</v>
      </c>
      <c r="K7081" s="7" t="str">
        <f t="shared" si="2588"/>
        <v>鉄筋コンクリート造</v>
      </c>
      <c r="L7081" s="7" t="str">
        <f>"S39.01.01"</f>
        <v>S39.01.01</v>
      </c>
      <c r="M7081" s="7">
        <v>818.01</v>
      </c>
      <c r="N7081" s="7">
        <v>16257280</v>
      </c>
      <c r="O7081" s="7">
        <v>16257279</v>
      </c>
      <c r="P7081" s="7">
        <v>0</v>
      </c>
      <c r="Q7081" s="7" t="str">
        <f t="shared" si="2587"/>
        <v>教育庁</v>
      </c>
      <c r="R7081" s="7" t="str">
        <f t="shared" si="2592"/>
        <v>淀商業高等学校</v>
      </c>
    </row>
    <row r="7082" spans="1:18" s="1" customFormat="1" x14ac:dyDescent="0.45">
      <c r="A7082" s="7" t="str">
        <f t="shared" si="2589"/>
        <v>10275003062</v>
      </c>
      <c r="B7082" s="7" t="str">
        <f t="shared" si="2590"/>
        <v>淀商業高等学校</v>
      </c>
      <c r="C7082" s="7" t="str">
        <f t="shared" si="2582"/>
        <v>行政財産</v>
      </c>
      <c r="D7082" s="7" t="str">
        <f t="shared" si="2578"/>
        <v>学校</v>
      </c>
      <c r="E7082" s="7" t="str">
        <f t="shared" si="2591"/>
        <v>大阪府大阪市　西淀川区野里２丁目</v>
      </c>
      <c r="F7082" s="7"/>
      <c r="G7082" s="7" t="str">
        <f t="shared" si="2586"/>
        <v>事業用資産</v>
      </c>
      <c r="H7082" s="7" t="str">
        <f t="shared" si="2579"/>
        <v>棚卸以外</v>
      </c>
      <c r="I7082" s="7">
        <v>8</v>
      </c>
      <c r="J7082" s="7" t="str">
        <f>"普通教室棟１０－２（第３校舎棟）"</f>
        <v>普通教室棟１０－２（第３校舎棟）</v>
      </c>
      <c r="K7082" s="7" t="str">
        <f t="shared" si="2588"/>
        <v>鉄筋コンクリート造</v>
      </c>
      <c r="L7082" s="7" t="str">
        <f>"S44.05.01"</f>
        <v>S44.05.01</v>
      </c>
      <c r="M7082" s="7">
        <v>256.5</v>
      </c>
      <c r="N7082" s="7">
        <v>3430792</v>
      </c>
      <c r="O7082" s="7">
        <v>3430791</v>
      </c>
      <c r="P7082" s="7">
        <v>0</v>
      </c>
      <c r="Q7082" s="7" t="str">
        <f t="shared" si="2587"/>
        <v>教育庁</v>
      </c>
      <c r="R7082" s="7" t="str">
        <f t="shared" si="2592"/>
        <v>淀商業高等学校</v>
      </c>
    </row>
    <row r="7083" spans="1:18" s="1" customFormat="1" x14ac:dyDescent="0.45">
      <c r="A7083" s="7" t="str">
        <f t="shared" si="2589"/>
        <v>10275003062</v>
      </c>
      <c r="B7083" s="7" t="str">
        <f t="shared" si="2590"/>
        <v>淀商業高等学校</v>
      </c>
      <c r="C7083" s="7" t="str">
        <f t="shared" si="2582"/>
        <v>行政財産</v>
      </c>
      <c r="D7083" s="7" t="str">
        <f t="shared" si="2578"/>
        <v>学校</v>
      </c>
      <c r="E7083" s="7" t="str">
        <f t="shared" si="2591"/>
        <v>大阪府大阪市　西淀川区野里２丁目</v>
      </c>
      <c r="F7083" s="7"/>
      <c r="G7083" s="7" t="str">
        <f t="shared" si="2586"/>
        <v>事業用資産</v>
      </c>
      <c r="H7083" s="7" t="str">
        <f t="shared" si="2579"/>
        <v>棚卸以外</v>
      </c>
      <c r="I7083" s="7">
        <v>9</v>
      </c>
      <c r="J7083" s="7" t="str">
        <f>"特別教室棟１６"</f>
        <v>特別教室棟１６</v>
      </c>
      <c r="K7083" s="7" t="str">
        <f t="shared" si="2588"/>
        <v>鉄筋コンクリート造</v>
      </c>
      <c r="L7083" s="7" t="str">
        <f>"S52.11.01"</f>
        <v>S52.11.01</v>
      </c>
      <c r="M7083" s="7">
        <v>855.54</v>
      </c>
      <c r="N7083" s="7">
        <v>28293734</v>
      </c>
      <c r="O7083" s="7">
        <v>9684658</v>
      </c>
      <c r="P7083" s="7">
        <v>0</v>
      </c>
      <c r="Q7083" s="7" t="str">
        <f t="shared" si="2587"/>
        <v>教育庁</v>
      </c>
      <c r="R7083" s="7" t="str">
        <f t="shared" si="2592"/>
        <v>淀商業高等学校</v>
      </c>
    </row>
    <row r="7084" spans="1:18" s="1" customFormat="1" x14ac:dyDescent="0.45">
      <c r="A7084" s="7" t="str">
        <f t="shared" si="2589"/>
        <v>10275003062</v>
      </c>
      <c r="B7084" s="7" t="str">
        <f t="shared" si="2590"/>
        <v>淀商業高等学校</v>
      </c>
      <c r="C7084" s="7" t="str">
        <f t="shared" si="2582"/>
        <v>行政財産</v>
      </c>
      <c r="D7084" s="7" t="str">
        <f t="shared" si="2578"/>
        <v>学校</v>
      </c>
      <c r="E7084" s="7" t="str">
        <f t="shared" si="2591"/>
        <v>大阪府大阪市　西淀川区野里２丁目</v>
      </c>
      <c r="F7084" s="7"/>
      <c r="G7084" s="7" t="str">
        <f t="shared" si="2586"/>
        <v>事業用資産</v>
      </c>
      <c r="H7084" s="7" t="str">
        <f t="shared" si="2579"/>
        <v>棚卸以外</v>
      </c>
      <c r="I7084" s="7">
        <v>10</v>
      </c>
      <c r="J7084" s="7" t="str">
        <f>"入浴介護実習室"</f>
        <v>入浴介護実習室</v>
      </c>
      <c r="K7084" s="7" t="str">
        <f t="shared" si="2588"/>
        <v>鉄筋コンクリート造</v>
      </c>
      <c r="L7084" s="7" t="str">
        <f>"S39.04.01"</f>
        <v>S39.04.01</v>
      </c>
      <c r="M7084" s="7">
        <v>192</v>
      </c>
      <c r="N7084" s="7">
        <v>14228692</v>
      </c>
      <c r="O7084" s="7">
        <v>14228691</v>
      </c>
      <c r="P7084" s="7">
        <v>0</v>
      </c>
      <c r="Q7084" s="7" t="str">
        <f t="shared" si="2587"/>
        <v>教育庁</v>
      </c>
      <c r="R7084" s="7" t="str">
        <f t="shared" si="2592"/>
        <v>淀商業高等学校</v>
      </c>
    </row>
    <row r="7085" spans="1:18" s="1" customFormat="1" x14ac:dyDescent="0.45">
      <c r="A7085" s="7" t="str">
        <f t="shared" si="2589"/>
        <v>10275003062</v>
      </c>
      <c r="B7085" s="7" t="str">
        <f t="shared" si="2590"/>
        <v>淀商業高等学校</v>
      </c>
      <c r="C7085" s="7" t="str">
        <f t="shared" si="2582"/>
        <v>行政財産</v>
      </c>
      <c r="D7085" s="7" t="str">
        <f t="shared" si="2578"/>
        <v>学校</v>
      </c>
      <c r="E7085" s="7" t="str">
        <f t="shared" si="2591"/>
        <v>大阪府大阪市　西淀川区野里２丁目</v>
      </c>
      <c r="F7085" s="7"/>
      <c r="G7085" s="7" t="str">
        <f t="shared" si="2586"/>
        <v>事業用資産</v>
      </c>
      <c r="H7085" s="7" t="str">
        <f t="shared" si="2579"/>
        <v>棚卸以外</v>
      </c>
      <c r="I7085" s="7">
        <v>11</v>
      </c>
      <c r="J7085" s="7" t="str">
        <f>"クラブ室棟"</f>
        <v>クラブ室棟</v>
      </c>
      <c r="K7085" s="7" t="str">
        <f>"軽量鉄骨造"</f>
        <v>軽量鉄骨造</v>
      </c>
      <c r="L7085" s="7" t="str">
        <f>"S52.07.01"</f>
        <v>S52.07.01</v>
      </c>
      <c r="M7085" s="7">
        <v>123</v>
      </c>
      <c r="N7085" s="7">
        <v>1376247</v>
      </c>
      <c r="O7085" s="7">
        <v>1376246</v>
      </c>
      <c r="P7085" s="7">
        <v>0</v>
      </c>
      <c r="Q7085" s="7" t="str">
        <f t="shared" si="2587"/>
        <v>教育庁</v>
      </c>
      <c r="R7085" s="7" t="str">
        <f t="shared" si="2592"/>
        <v>淀商業高等学校</v>
      </c>
    </row>
    <row r="7086" spans="1:18" s="1" customFormat="1" x14ac:dyDescent="0.45">
      <c r="A7086" s="7" t="str">
        <f t="shared" si="2589"/>
        <v>10275003062</v>
      </c>
      <c r="B7086" s="7" t="str">
        <f t="shared" si="2590"/>
        <v>淀商業高等学校</v>
      </c>
      <c r="C7086" s="7" t="str">
        <f t="shared" si="2582"/>
        <v>行政財産</v>
      </c>
      <c r="D7086" s="7" t="str">
        <f t="shared" si="2578"/>
        <v>学校</v>
      </c>
      <c r="E7086" s="7" t="str">
        <f t="shared" si="2591"/>
        <v>大阪府大阪市　西淀川区野里２丁目</v>
      </c>
      <c r="F7086" s="7"/>
      <c r="G7086" s="7" t="str">
        <f t="shared" si="2586"/>
        <v>事業用資産</v>
      </c>
      <c r="H7086" s="7" t="str">
        <f t="shared" si="2579"/>
        <v>棚卸以外</v>
      </c>
      <c r="I7086" s="7">
        <v>12</v>
      </c>
      <c r="J7086" s="7" t="str">
        <f>"クラブ室棟"</f>
        <v>クラブ室棟</v>
      </c>
      <c r="K7086" s="7" t="str">
        <f>"軽量鉄骨造"</f>
        <v>軽量鉄骨造</v>
      </c>
      <c r="L7086" s="7" t="str">
        <f>"S60.03.01"</f>
        <v>S60.03.01</v>
      </c>
      <c r="M7086" s="7">
        <v>78</v>
      </c>
      <c r="N7086" s="7">
        <v>1845606</v>
      </c>
      <c r="O7086" s="7">
        <v>1845605</v>
      </c>
      <c r="P7086" s="7">
        <v>0</v>
      </c>
      <c r="Q7086" s="7" t="str">
        <f t="shared" si="2587"/>
        <v>教育庁</v>
      </c>
      <c r="R7086" s="7" t="str">
        <f t="shared" si="2592"/>
        <v>淀商業高等学校</v>
      </c>
    </row>
    <row r="7087" spans="1:18" s="1" customFormat="1" x14ac:dyDescent="0.45">
      <c r="A7087" s="7" t="str">
        <f t="shared" si="2589"/>
        <v>10275003062</v>
      </c>
      <c r="B7087" s="7" t="str">
        <f t="shared" si="2590"/>
        <v>淀商業高等学校</v>
      </c>
      <c r="C7087" s="7" t="str">
        <f t="shared" si="2582"/>
        <v>行政財産</v>
      </c>
      <c r="D7087" s="7" t="str">
        <f t="shared" si="2578"/>
        <v>学校</v>
      </c>
      <c r="E7087" s="7" t="str">
        <f t="shared" si="2591"/>
        <v>大阪府大阪市　西淀川区野里２丁目</v>
      </c>
      <c r="F7087" s="7"/>
      <c r="G7087" s="7" t="str">
        <f t="shared" si="2586"/>
        <v>事業用資産</v>
      </c>
      <c r="H7087" s="7" t="str">
        <f t="shared" si="2579"/>
        <v>棚卸以外</v>
      </c>
      <c r="I7087" s="7">
        <v>13</v>
      </c>
      <c r="J7087" s="7" t="str">
        <f>"特別教室棟２７"</f>
        <v>特別教室棟２７</v>
      </c>
      <c r="K7087" s="7" t="str">
        <f>"鉄筋コンクリート造"</f>
        <v>鉄筋コンクリート造</v>
      </c>
      <c r="L7087" s="7" t="str">
        <f>"H28.03.31"</f>
        <v>H28.03.31</v>
      </c>
      <c r="M7087" s="7">
        <v>2035</v>
      </c>
      <c r="N7087" s="7">
        <v>493647919</v>
      </c>
      <c r="O7087" s="7">
        <v>11036850</v>
      </c>
      <c r="P7087" s="7">
        <v>0</v>
      </c>
      <c r="Q7087" s="7" t="str">
        <f t="shared" si="2587"/>
        <v>教育庁</v>
      </c>
      <c r="R7087" s="7" t="str">
        <f t="shared" si="2592"/>
        <v>淀商業高等学校</v>
      </c>
    </row>
    <row r="7088" spans="1:18" s="1" customFormat="1" x14ac:dyDescent="0.45">
      <c r="A7088" s="7" t="str">
        <f t="shared" si="2589"/>
        <v>10275003062</v>
      </c>
      <c r="B7088" s="7" t="str">
        <f t="shared" si="2590"/>
        <v>淀商業高等学校</v>
      </c>
      <c r="C7088" s="7" t="str">
        <f t="shared" si="2582"/>
        <v>行政財産</v>
      </c>
      <c r="D7088" s="7" t="str">
        <f t="shared" si="2578"/>
        <v>学校</v>
      </c>
      <c r="E7088" s="7" t="str">
        <f t="shared" si="2591"/>
        <v>大阪府大阪市　西淀川区野里２丁目</v>
      </c>
      <c r="F7088" s="7"/>
      <c r="G7088" s="7" t="str">
        <f t="shared" si="2586"/>
        <v>事業用資産</v>
      </c>
      <c r="H7088" s="7" t="str">
        <f t="shared" si="2579"/>
        <v>棚卸以外</v>
      </c>
      <c r="I7088" s="7">
        <v>14</v>
      </c>
      <c r="J7088" s="7" t="str">
        <f>"倉庫２８"</f>
        <v>倉庫２８</v>
      </c>
      <c r="K7088" s="7" t="str">
        <f>"鉄骨造"</f>
        <v>鉄骨造</v>
      </c>
      <c r="L7088" s="7" t="str">
        <f>"H28.03.31"</f>
        <v>H28.03.31</v>
      </c>
      <c r="M7088" s="7">
        <v>12</v>
      </c>
      <c r="N7088" s="7">
        <v>1089355</v>
      </c>
      <c r="O7088" s="7">
        <v>39952</v>
      </c>
      <c r="P7088" s="7">
        <v>0</v>
      </c>
      <c r="Q7088" s="7" t="str">
        <f t="shared" si="2587"/>
        <v>教育庁</v>
      </c>
      <c r="R7088" s="7" t="str">
        <f t="shared" si="2592"/>
        <v>淀商業高等学校</v>
      </c>
    </row>
    <row r="7089" spans="1:18" s="1" customFormat="1" x14ac:dyDescent="0.45">
      <c r="A7089" s="7" t="str">
        <f t="shared" si="2589"/>
        <v>10275003062</v>
      </c>
      <c r="B7089" s="7" t="str">
        <f t="shared" si="2590"/>
        <v>淀商業高等学校</v>
      </c>
      <c r="C7089" s="7" t="str">
        <f t="shared" si="2582"/>
        <v>行政財産</v>
      </c>
      <c r="D7089" s="7" t="str">
        <f t="shared" si="2578"/>
        <v>学校</v>
      </c>
      <c r="E7089" s="7" t="str">
        <f t="shared" si="2591"/>
        <v>大阪府大阪市　西淀川区野里２丁目</v>
      </c>
      <c r="F7089" s="7"/>
      <c r="G7089" s="7" t="str">
        <f t="shared" si="2586"/>
        <v>事業用資産</v>
      </c>
      <c r="H7089" s="7" t="str">
        <f t="shared" si="2579"/>
        <v>棚卸以外</v>
      </c>
      <c r="I7089" s="7">
        <v>15</v>
      </c>
      <c r="J7089" s="7" t="str">
        <f>"倉庫２９"</f>
        <v>倉庫２９</v>
      </c>
      <c r="K7089" s="7" t="str">
        <f>"鉄骨造"</f>
        <v>鉄骨造</v>
      </c>
      <c r="L7089" s="7" t="str">
        <f>"H28.03.31"</f>
        <v>H28.03.31</v>
      </c>
      <c r="M7089" s="7">
        <v>12</v>
      </c>
      <c r="N7089" s="7">
        <v>1089355</v>
      </c>
      <c r="O7089" s="7">
        <v>39952</v>
      </c>
      <c r="P7089" s="7">
        <v>0</v>
      </c>
      <c r="Q7089" s="7" t="str">
        <f t="shared" si="2587"/>
        <v>教育庁</v>
      </c>
      <c r="R7089" s="7" t="str">
        <f t="shared" si="2592"/>
        <v>淀商業高等学校</v>
      </c>
    </row>
    <row r="7090" spans="1:18" s="1" customFormat="1" x14ac:dyDescent="0.45">
      <c r="A7090" s="7" t="str">
        <f t="shared" si="2589"/>
        <v>10275003062</v>
      </c>
      <c r="B7090" s="7" t="str">
        <f t="shared" si="2590"/>
        <v>淀商業高等学校</v>
      </c>
      <c r="C7090" s="7" t="str">
        <f t="shared" si="2582"/>
        <v>行政財産</v>
      </c>
      <c r="D7090" s="7" t="str">
        <f t="shared" si="2578"/>
        <v>学校</v>
      </c>
      <c r="E7090" s="7" t="str">
        <f t="shared" si="2591"/>
        <v>大阪府大阪市　西淀川区野里２丁目</v>
      </c>
      <c r="F7090" s="7"/>
      <c r="G7090" s="7" t="str">
        <f t="shared" si="2586"/>
        <v>事業用資産</v>
      </c>
      <c r="H7090" s="7" t="str">
        <f t="shared" si="2579"/>
        <v>棚卸以外</v>
      </c>
      <c r="I7090" s="7">
        <v>16</v>
      </c>
      <c r="J7090" s="7" t="str">
        <f>"倉庫３０"</f>
        <v>倉庫３０</v>
      </c>
      <c r="K7090" s="7" t="str">
        <f>"鉄骨造"</f>
        <v>鉄骨造</v>
      </c>
      <c r="L7090" s="7" t="str">
        <f>"H28.03.31"</f>
        <v>H28.03.31</v>
      </c>
      <c r="M7090" s="7">
        <v>12</v>
      </c>
      <c r="N7090" s="7">
        <v>1089355</v>
      </c>
      <c r="O7090" s="7">
        <v>39952</v>
      </c>
      <c r="P7090" s="7">
        <v>0</v>
      </c>
      <c r="Q7090" s="7" t="str">
        <f t="shared" si="2587"/>
        <v>教育庁</v>
      </c>
      <c r="R7090" s="7" t="str">
        <f t="shared" si="2592"/>
        <v>淀商業高等学校</v>
      </c>
    </row>
    <row r="7091" spans="1:18" s="1" customFormat="1" x14ac:dyDescent="0.45">
      <c r="A7091" s="7" t="str">
        <f t="shared" si="2589"/>
        <v>10275003062</v>
      </c>
      <c r="B7091" s="7" t="str">
        <f t="shared" si="2590"/>
        <v>淀商業高等学校</v>
      </c>
      <c r="C7091" s="7" t="str">
        <f t="shared" si="2582"/>
        <v>行政財産</v>
      </c>
      <c r="D7091" s="7" t="str">
        <f t="shared" si="2578"/>
        <v>学校</v>
      </c>
      <c r="E7091" s="7" t="str">
        <f t="shared" si="2591"/>
        <v>大阪府大阪市　西淀川区野里２丁目</v>
      </c>
      <c r="F7091" s="7"/>
      <c r="G7091" s="7" t="str">
        <f t="shared" si="2586"/>
        <v>事業用資産</v>
      </c>
      <c r="H7091" s="7" t="str">
        <f t="shared" si="2579"/>
        <v>棚卸以外</v>
      </c>
      <c r="I7091" s="7">
        <v>17</v>
      </c>
      <c r="J7091" s="7" t="str">
        <f>"校舎棟２"</f>
        <v>校舎棟２</v>
      </c>
      <c r="K7091" s="7" t="str">
        <f>"鉄骨造"</f>
        <v>鉄骨造</v>
      </c>
      <c r="L7091" s="7" t="str">
        <f t="shared" ref="L7091:L7096" si="2593">"H30.03.31"</f>
        <v>H30.03.31</v>
      </c>
      <c r="M7091" s="7">
        <v>492</v>
      </c>
      <c r="N7091" s="7">
        <v>122201883</v>
      </c>
      <c r="O7091" s="7">
        <v>3733950</v>
      </c>
      <c r="P7091" s="7">
        <v>0</v>
      </c>
      <c r="Q7091" s="7" t="str">
        <f t="shared" si="2587"/>
        <v>教育庁</v>
      </c>
      <c r="R7091" s="7" t="str">
        <f t="shared" si="2592"/>
        <v>淀商業高等学校</v>
      </c>
    </row>
    <row r="7092" spans="1:18" s="1" customFormat="1" x14ac:dyDescent="0.45">
      <c r="A7092" s="7" t="str">
        <f t="shared" si="2589"/>
        <v>10275003062</v>
      </c>
      <c r="B7092" s="7" t="str">
        <f t="shared" si="2590"/>
        <v>淀商業高等学校</v>
      </c>
      <c r="C7092" s="7" t="str">
        <f t="shared" si="2582"/>
        <v>行政財産</v>
      </c>
      <c r="D7092" s="7" t="str">
        <f t="shared" si="2578"/>
        <v>学校</v>
      </c>
      <c r="E7092" s="7" t="str">
        <f t="shared" si="2591"/>
        <v>大阪府大阪市　西淀川区野里２丁目</v>
      </c>
      <c r="F7092" s="7"/>
      <c r="G7092" s="7" t="str">
        <f t="shared" si="2586"/>
        <v>事業用資産</v>
      </c>
      <c r="H7092" s="7" t="str">
        <f t="shared" si="2579"/>
        <v>棚卸以外</v>
      </c>
      <c r="I7092" s="7">
        <v>18</v>
      </c>
      <c r="J7092" s="7" t="str">
        <f>"渡り廊下棟"</f>
        <v>渡り廊下棟</v>
      </c>
      <c r="K7092" s="7" t="str">
        <f>"鉄骨造"</f>
        <v>鉄骨造</v>
      </c>
      <c r="L7092" s="7" t="str">
        <f t="shared" si="2593"/>
        <v>H30.03.31</v>
      </c>
      <c r="M7092" s="7">
        <v>239</v>
      </c>
      <c r="N7092" s="7">
        <v>98608341</v>
      </c>
      <c r="O7092" s="7">
        <v>3347817</v>
      </c>
      <c r="P7092" s="7">
        <v>0</v>
      </c>
      <c r="Q7092" s="7" t="str">
        <f t="shared" si="2587"/>
        <v>教育庁</v>
      </c>
      <c r="R7092" s="7" t="str">
        <f t="shared" si="2592"/>
        <v>淀商業高等学校</v>
      </c>
    </row>
    <row r="7093" spans="1:18" s="1" customFormat="1" ht="26.4" x14ac:dyDescent="0.45">
      <c r="A7093" s="7" t="str">
        <f t="shared" si="2589"/>
        <v>10275003062</v>
      </c>
      <c r="B7093" s="7" t="str">
        <f t="shared" si="2590"/>
        <v>淀商業高等学校</v>
      </c>
      <c r="C7093" s="7" t="str">
        <f t="shared" si="2582"/>
        <v>行政財産</v>
      </c>
      <c r="D7093" s="7" t="str">
        <f t="shared" si="2578"/>
        <v>学校</v>
      </c>
      <c r="E7093" s="7" t="str">
        <f t="shared" si="2591"/>
        <v>大阪府大阪市　西淀川区野里２丁目</v>
      </c>
      <c r="F7093" s="7"/>
      <c r="G7093" s="7" t="str">
        <f t="shared" si="2586"/>
        <v>事業用資産</v>
      </c>
      <c r="H7093" s="7" t="str">
        <f t="shared" si="2579"/>
        <v>棚卸以外</v>
      </c>
      <c r="I7093" s="7">
        <v>19</v>
      </c>
      <c r="J7093" s="7" t="str">
        <f>"体育館・クラブ室棟"</f>
        <v>体育館・クラブ室棟</v>
      </c>
      <c r="K7093" s="7" t="str">
        <f>"鉄骨鉄筋コンクリート造"</f>
        <v>鉄骨鉄筋コンクリート造</v>
      </c>
      <c r="L7093" s="7" t="str">
        <f t="shared" si="2593"/>
        <v>H30.03.31</v>
      </c>
      <c r="M7093" s="7">
        <v>3816</v>
      </c>
      <c r="N7093" s="7">
        <v>828234881</v>
      </c>
      <c r="O7093" s="7">
        <v>17656177</v>
      </c>
      <c r="P7093" s="7">
        <v>0</v>
      </c>
      <c r="Q7093" s="7" t="str">
        <f t="shared" si="2587"/>
        <v>教育庁</v>
      </c>
      <c r="R7093" s="7" t="str">
        <f t="shared" si="2592"/>
        <v>淀商業高等学校</v>
      </c>
    </row>
    <row r="7094" spans="1:18" s="1" customFormat="1" x14ac:dyDescent="0.45">
      <c r="A7094" s="7" t="str">
        <f t="shared" si="2589"/>
        <v>10275003062</v>
      </c>
      <c r="B7094" s="7" t="str">
        <f t="shared" si="2590"/>
        <v>淀商業高等学校</v>
      </c>
      <c r="C7094" s="7" t="str">
        <f t="shared" si="2582"/>
        <v>行政財産</v>
      </c>
      <c r="D7094" s="7" t="str">
        <f t="shared" si="2578"/>
        <v>学校</v>
      </c>
      <c r="E7094" s="7" t="str">
        <f t="shared" si="2591"/>
        <v>大阪府大阪市　西淀川区野里２丁目</v>
      </c>
      <c r="F7094" s="7"/>
      <c r="G7094" s="7" t="str">
        <f t="shared" si="2586"/>
        <v>事業用資産</v>
      </c>
      <c r="H7094" s="7" t="str">
        <f t="shared" si="2579"/>
        <v>棚卸以外</v>
      </c>
      <c r="I7094" s="7">
        <v>25</v>
      </c>
      <c r="J7094" s="7" t="str">
        <f>"自転車置場１"</f>
        <v>自転車置場１</v>
      </c>
      <c r="K7094" s="7" t="str">
        <f>"鉄骨造"</f>
        <v>鉄骨造</v>
      </c>
      <c r="L7094" s="7" t="str">
        <f t="shared" si="2593"/>
        <v>H30.03.31</v>
      </c>
      <c r="M7094" s="7">
        <v>258</v>
      </c>
      <c r="N7094" s="7">
        <v>13745247</v>
      </c>
      <c r="O7094" s="7">
        <v>466664</v>
      </c>
      <c r="P7094" s="7">
        <v>0</v>
      </c>
      <c r="Q7094" s="7" t="str">
        <f t="shared" si="2587"/>
        <v>教育庁</v>
      </c>
      <c r="R7094" s="7" t="str">
        <f t="shared" si="2592"/>
        <v>淀商業高等学校</v>
      </c>
    </row>
    <row r="7095" spans="1:18" s="1" customFormat="1" x14ac:dyDescent="0.45">
      <c r="A7095" s="7" t="str">
        <f t="shared" si="2589"/>
        <v>10275003062</v>
      </c>
      <c r="B7095" s="7" t="str">
        <f t="shared" si="2590"/>
        <v>淀商業高等学校</v>
      </c>
      <c r="C7095" s="7" t="str">
        <f t="shared" si="2582"/>
        <v>行政財産</v>
      </c>
      <c r="D7095" s="7" t="str">
        <f t="shared" si="2578"/>
        <v>学校</v>
      </c>
      <c r="E7095" s="7" t="str">
        <f t="shared" si="2591"/>
        <v>大阪府大阪市　西淀川区野里２丁目</v>
      </c>
      <c r="F7095" s="7"/>
      <c r="G7095" s="7" t="str">
        <f t="shared" si="2586"/>
        <v>事業用資産</v>
      </c>
      <c r="H7095" s="7" t="str">
        <f t="shared" si="2579"/>
        <v>棚卸以外</v>
      </c>
      <c r="I7095" s="7">
        <v>26</v>
      </c>
      <c r="J7095" s="7" t="str">
        <f>"自転車置場２"</f>
        <v>自転車置場２</v>
      </c>
      <c r="K7095" s="7" t="str">
        <f>"鉄骨造"</f>
        <v>鉄骨造</v>
      </c>
      <c r="L7095" s="7" t="str">
        <f t="shared" si="2593"/>
        <v>H30.03.31</v>
      </c>
      <c r="M7095" s="7">
        <v>178</v>
      </c>
      <c r="N7095" s="7">
        <v>9643969</v>
      </c>
      <c r="O7095" s="7">
        <v>327426</v>
      </c>
      <c r="P7095" s="7">
        <v>0</v>
      </c>
      <c r="Q7095" s="7" t="str">
        <f t="shared" si="2587"/>
        <v>教育庁</v>
      </c>
      <c r="R7095" s="7" t="str">
        <f t="shared" si="2592"/>
        <v>淀商業高等学校</v>
      </c>
    </row>
    <row r="7096" spans="1:18" s="1" customFormat="1" x14ac:dyDescent="0.45">
      <c r="A7096" s="7" t="str">
        <f t="shared" si="2589"/>
        <v>10275003062</v>
      </c>
      <c r="B7096" s="7" t="str">
        <f t="shared" si="2590"/>
        <v>淀商業高等学校</v>
      </c>
      <c r="C7096" s="7" t="str">
        <f t="shared" si="2582"/>
        <v>行政財産</v>
      </c>
      <c r="D7096" s="7" t="str">
        <f t="shared" si="2578"/>
        <v>学校</v>
      </c>
      <c r="E7096" s="7" t="str">
        <f t="shared" si="2591"/>
        <v>大阪府大阪市　西淀川区野里２丁目</v>
      </c>
      <c r="F7096" s="7"/>
      <c r="G7096" s="7" t="str">
        <f t="shared" si="2586"/>
        <v>事業用資産</v>
      </c>
      <c r="H7096" s="7" t="str">
        <f t="shared" si="2579"/>
        <v>棚卸以外</v>
      </c>
      <c r="I7096" s="7">
        <v>27</v>
      </c>
      <c r="J7096" s="7" t="str">
        <f>"自転車置場３"</f>
        <v>自転車置場３</v>
      </c>
      <c r="K7096" s="7" t="str">
        <f>"鉄骨造"</f>
        <v>鉄骨造</v>
      </c>
      <c r="L7096" s="7" t="str">
        <f t="shared" si="2593"/>
        <v>H30.03.31</v>
      </c>
      <c r="M7096" s="7">
        <v>69</v>
      </c>
      <c r="N7096" s="7">
        <v>3828689</v>
      </c>
      <c r="O7096" s="7">
        <v>129987</v>
      </c>
      <c r="P7096" s="7">
        <v>0</v>
      </c>
      <c r="Q7096" s="7" t="str">
        <f t="shared" si="2587"/>
        <v>教育庁</v>
      </c>
      <c r="R7096" s="7" t="str">
        <f t="shared" si="2592"/>
        <v>淀商業高等学校</v>
      </c>
    </row>
    <row r="7097" spans="1:18" s="1" customFormat="1" x14ac:dyDescent="0.45">
      <c r="A7097" s="7" t="str">
        <f t="shared" si="2589"/>
        <v>10275003062</v>
      </c>
      <c r="B7097" s="7" t="str">
        <f t="shared" si="2590"/>
        <v>淀商業高等学校</v>
      </c>
      <c r="C7097" s="7" t="str">
        <f t="shared" si="2582"/>
        <v>行政財産</v>
      </c>
      <c r="D7097" s="7" t="str">
        <f t="shared" si="2578"/>
        <v>学校</v>
      </c>
      <c r="E7097" s="7" t="str">
        <f t="shared" si="2591"/>
        <v>大阪府大阪市　西淀川区野里２丁目</v>
      </c>
      <c r="F7097" s="7"/>
      <c r="G7097" s="7" t="str">
        <f t="shared" si="2586"/>
        <v>事業用資産</v>
      </c>
      <c r="H7097" s="7" t="str">
        <f t="shared" si="2579"/>
        <v>棚卸以外</v>
      </c>
      <c r="I7097" s="7">
        <v>30</v>
      </c>
      <c r="J7097" s="7" t="str">
        <f>"プール専用付属室２１"</f>
        <v>プール専用付属室２１</v>
      </c>
      <c r="K7097" s="7" t="str">
        <f>"鉄筋コンクリート造"</f>
        <v>鉄筋コンクリート造</v>
      </c>
      <c r="L7097" s="7" t="str">
        <f>"S51.08.31"</f>
        <v>S51.08.31</v>
      </c>
      <c r="M7097" s="7">
        <v>1020</v>
      </c>
      <c r="N7097" s="7">
        <v>23960071</v>
      </c>
      <c r="O7097" s="7">
        <v>15503576</v>
      </c>
      <c r="P7097" s="7">
        <v>0</v>
      </c>
      <c r="Q7097" s="7" t="str">
        <f t="shared" si="2587"/>
        <v>教育庁</v>
      </c>
      <c r="R7097" s="7" t="str">
        <f t="shared" si="2592"/>
        <v>淀商業高等学校</v>
      </c>
    </row>
    <row r="7098" spans="1:18" s="1" customFormat="1" x14ac:dyDescent="0.45">
      <c r="A7098" s="7" t="str">
        <f t="shared" si="2589"/>
        <v>10275003062</v>
      </c>
      <c r="B7098" s="7" t="str">
        <f t="shared" si="2590"/>
        <v>淀商業高等学校</v>
      </c>
      <c r="C7098" s="7" t="str">
        <f t="shared" si="2582"/>
        <v>行政財産</v>
      </c>
      <c r="D7098" s="7" t="str">
        <f t="shared" si="2578"/>
        <v>学校</v>
      </c>
      <c r="E7098" s="7" t="str">
        <f t="shared" si="2591"/>
        <v>大阪府大阪市　西淀川区野里２丁目</v>
      </c>
      <c r="F7098" s="7"/>
      <c r="G7098" s="7" t="str">
        <f t="shared" si="2586"/>
        <v>事業用資産</v>
      </c>
      <c r="H7098" s="7" t="str">
        <f t="shared" si="2579"/>
        <v>棚卸以外</v>
      </c>
      <c r="I7098" s="7">
        <v>31</v>
      </c>
      <c r="J7098" s="7" t="str">
        <f>"プール機械室２２"</f>
        <v>プール機械室２２</v>
      </c>
      <c r="K7098" s="7" t="str">
        <f>"鉄筋コンクリート造"</f>
        <v>鉄筋コンクリート造</v>
      </c>
      <c r="L7098" s="7" t="str">
        <f>"S51.08.31"</f>
        <v>S51.08.31</v>
      </c>
      <c r="M7098" s="7">
        <v>20</v>
      </c>
      <c r="N7098" s="7">
        <v>406697</v>
      </c>
      <c r="O7098" s="7">
        <v>406696</v>
      </c>
      <c r="P7098" s="7">
        <v>0</v>
      </c>
      <c r="Q7098" s="7" t="str">
        <f t="shared" si="2587"/>
        <v>教育庁</v>
      </c>
      <c r="R7098" s="7" t="str">
        <f t="shared" si="2592"/>
        <v>淀商業高等学校</v>
      </c>
    </row>
    <row r="7099" spans="1:18" s="1" customFormat="1" x14ac:dyDescent="0.45">
      <c r="A7099" s="7" t="str">
        <f t="shared" si="2589"/>
        <v>10275003062</v>
      </c>
      <c r="B7099" s="7" t="str">
        <f t="shared" si="2590"/>
        <v>淀商業高等学校</v>
      </c>
      <c r="C7099" s="7" t="str">
        <f t="shared" si="2582"/>
        <v>行政財産</v>
      </c>
      <c r="D7099" s="7" t="str">
        <f t="shared" si="2578"/>
        <v>学校</v>
      </c>
      <c r="E7099" s="7" t="str">
        <f t="shared" si="2591"/>
        <v>大阪府大阪市　西淀川区野里２丁目</v>
      </c>
      <c r="F7099" s="7"/>
      <c r="G7099" s="7" t="str">
        <f t="shared" si="2586"/>
        <v>事業用資産</v>
      </c>
      <c r="H7099" s="7" t="str">
        <f t="shared" si="2579"/>
        <v>棚卸以外</v>
      </c>
      <c r="I7099" s="7">
        <v>32</v>
      </c>
      <c r="J7099" s="7" t="str">
        <f>"倉庫２４"</f>
        <v>倉庫２４</v>
      </c>
      <c r="K7099" s="7" t="str">
        <f>"鉄骨造"</f>
        <v>鉄骨造</v>
      </c>
      <c r="L7099" s="7" t="str">
        <f>"H02.08.31"</f>
        <v>H02.08.31</v>
      </c>
      <c r="M7099" s="7">
        <v>29</v>
      </c>
      <c r="N7099" s="7">
        <v>499131</v>
      </c>
      <c r="O7099" s="7">
        <v>499130</v>
      </c>
      <c r="P7099" s="7">
        <v>0</v>
      </c>
      <c r="Q7099" s="7" t="str">
        <f t="shared" si="2587"/>
        <v>教育庁</v>
      </c>
      <c r="R7099" s="7" t="str">
        <f t="shared" si="2592"/>
        <v>淀商業高等学校</v>
      </c>
    </row>
    <row r="7100" spans="1:18" s="1" customFormat="1" x14ac:dyDescent="0.45">
      <c r="A7100" s="7" t="str">
        <f t="shared" ref="A7100:A7113" si="2594">"10275003063"</f>
        <v>10275003063</v>
      </c>
      <c r="B7100" s="7" t="str">
        <f t="shared" ref="B7100:B7113" si="2595">"鶴見商業高等学校"</f>
        <v>鶴見商業高等学校</v>
      </c>
      <c r="C7100" s="7" t="str">
        <f t="shared" si="2582"/>
        <v>行政財産</v>
      </c>
      <c r="D7100" s="7" t="str">
        <f t="shared" si="2578"/>
        <v>学校</v>
      </c>
      <c r="E7100" s="7" t="str">
        <f t="shared" ref="E7100:E7113" si="2596">"大阪府大阪市　鶴見区緑２丁目"</f>
        <v>大阪府大阪市　鶴見区緑２丁目</v>
      </c>
      <c r="F7100" s="7"/>
      <c r="G7100" s="7" t="str">
        <f t="shared" si="2586"/>
        <v>事業用資産</v>
      </c>
      <c r="H7100" s="7" t="str">
        <f t="shared" si="2579"/>
        <v>棚卸以外</v>
      </c>
      <c r="I7100" s="7">
        <v>1</v>
      </c>
      <c r="J7100" s="7" t="str">
        <f>"管理室棟１－１"</f>
        <v>管理室棟１－１</v>
      </c>
      <c r="K7100" s="7" t="str">
        <f>"鉄筋コンクリート造"</f>
        <v>鉄筋コンクリート造</v>
      </c>
      <c r="L7100" s="7" t="str">
        <f>"S38.08.01"</f>
        <v>S38.08.01</v>
      </c>
      <c r="M7100" s="7">
        <v>3288.29</v>
      </c>
      <c r="N7100" s="7">
        <v>61550802</v>
      </c>
      <c r="O7100" s="7">
        <v>61550801</v>
      </c>
      <c r="P7100" s="7">
        <v>0</v>
      </c>
      <c r="Q7100" s="7" t="str">
        <f t="shared" si="2587"/>
        <v>教育庁</v>
      </c>
      <c r="R7100" s="7" t="str">
        <f t="shared" ref="R7100:R7113" si="2597">"鶴見商業高等学校"</f>
        <v>鶴見商業高等学校</v>
      </c>
    </row>
    <row r="7101" spans="1:18" s="1" customFormat="1" x14ac:dyDescent="0.45">
      <c r="A7101" s="7" t="str">
        <f t="shared" si="2594"/>
        <v>10275003063</v>
      </c>
      <c r="B7101" s="7" t="str">
        <f t="shared" si="2595"/>
        <v>鶴見商業高等学校</v>
      </c>
      <c r="C7101" s="7" t="str">
        <f t="shared" si="2582"/>
        <v>行政財産</v>
      </c>
      <c r="D7101" s="7" t="str">
        <f t="shared" si="2578"/>
        <v>学校</v>
      </c>
      <c r="E7101" s="7" t="str">
        <f t="shared" si="2596"/>
        <v>大阪府大阪市　鶴見区緑２丁目</v>
      </c>
      <c r="F7101" s="7"/>
      <c r="G7101" s="7" t="str">
        <f t="shared" si="2586"/>
        <v>事業用資産</v>
      </c>
      <c r="H7101" s="7" t="str">
        <f t="shared" si="2579"/>
        <v>棚卸以外</v>
      </c>
      <c r="I7101" s="7">
        <v>2</v>
      </c>
      <c r="J7101" s="7" t="str">
        <f>"特別・普通教室棟２"</f>
        <v>特別・普通教室棟２</v>
      </c>
      <c r="K7101" s="7" t="str">
        <f>"鉄筋コンクリート造"</f>
        <v>鉄筋コンクリート造</v>
      </c>
      <c r="L7101" s="7" t="str">
        <f>"S39.03.01"</f>
        <v>S39.03.01</v>
      </c>
      <c r="M7101" s="7">
        <v>3545.91</v>
      </c>
      <c r="N7101" s="7">
        <v>70231799</v>
      </c>
      <c r="O7101" s="7">
        <v>70231798</v>
      </c>
      <c r="P7101" s="7">
        <v>0</v>
      </c>
      <c r="Q7101" s="7" t="str">
        <f t="shared" si="2587"/>
        <v>教育庁</v>
      </c>
      <c r="R7101" s="7" t="str">
        <f t="shared" si="2597"/>
        <v>鶴見商業高等学校</v>
      </c>
    </row>
    <row r="7102" spans="1:18" s="1" customFormat="1" x14ac:dyDescent="0.45">
      <c r="A7102" s="7" t="str">
        <f t="shared" si="2594"/>
        <v>10275003063</v>
      </c>
      <c r="B7102" s="7" t="str">
        <f t="shared" si="2595"/>
        <v>鶴見商業高等学校</v>
      </c>
      <c r="C7102" s="7" t="str">
        <f t="shared" si="2582"/>
        <v>行政財産</v>
      </c>
      <c r="D7102" s="7" t="str">
        <f t="shared" si="2578"/>
        <v>学校</v>
      </c>
      <c r="E7102" s="7" t="str">
        <f t="shared" si="2596"/>
        <v>大阪府大阪市　鶴見区緑２丁目</v>
      </c>
      <c r="F7102" s="7"/>
      <c r="G7102" s="7" t="str">
        <f t="shared" si="2586"/>
        <v>事業用資産</v>
      </c>
      <c r="H7102" s="7" t="str">
        <f t="shared" si="2579"/>
        <v>棚卸以外</v>
      </c>
      <c r="I7102" s="7">
        <v>3</v>
      </c>
      <c r="J7102" s="7" t="str">
        <f>"特別教室棟４"</f>
        <v>特別教室棟４</v>
      </c>
      <c r="K7102" s="7" t="str">
        <f>"鉄筋コンクリート造"</f>
        <v>鉄筋コンクリート造</v>
      </c>
      <c r="L7102" s="7" t="str">
        <f>"S40.04.01"</f>
        <v>S40.04.01</v>
      </c>
      <c r="M7102" s="7">
        <v>1651.37</v>
      </c>
      <c r="N7102" s="7">
        <v>19444184</v>
      </c>
      <c r="O7102" s="7">
        <v>19444183</v>
      </c>
      <c r="P7102" s="7">
        <v>0</v>
      </c>
      <c r="Q7102" s="7" t="str">
        <f t="shared" si="2587"/>
        <v>教育庁</v>
      </c>
      <c r="R7102" s="7" t="str">
        <f t="shared" si="2597"/>
        <v>鶴見商業高等学校</v>
      </c>
    </row>
    <row r="7103" spans="1:18" s="1" customFormat="1" x14ac:dyDescent="0.45">
      <c r="A7103" s="7" t="str">
        <f t="shared" si="2594"/>
        <v>10275003063</v>
      </c>
      <c r="B7103" s="7" t="str">
        <f t="shared" si="2595"/>
        <v>鶴見商業高等学校</v>
      </c>
      <c r="C7103" s="7" t="str">
        <f t="shared" si="2582"/>
        <v>行政財産</v>
      </c>
      <c r="D7103" s="7" t="str">
        <f t="shared" si="2578"/>
        <v>学校</v>
      </c>
      <c r="E7103" s="7" t="str">
        <f t="shared" si="2596"/>
        <v>大阪府大阪市　鶴見区緑２丁目</v>
      </c>
      <c r="F7103" s="7"/>
      <c r="G7103" s="7" t="str">
        <f t="shared" si="2586"/>
        <v>事業用資産</v>
      </c>
      <c r="H7103" s="7" t="str">
        <f t="shared" si="2579"/>
        <v>棚卸以外</v>
      </c>
      <c r="I7103" s="7">
        <v>4</v>
      </c>
      <c r="J7103" s="7" t="str">
        <f>"屋体棟６－１・６－２・６－３"</f>
        <v>屋体棟６－１・６－２・６－３</v>
      </c>
      <c r="K7103" s="7" t="str">
        <f>"鉄骨造"</f>
        <v>鉄骨造</v>
      </c>
      <c r="L7103" s="7" t="str">
        <f>"S40.08.01"</f>
        <v>S40.08.01</v>
      </c>
      <c r="M7103" s="7">
        <v>2354.0100000000002</v>
      </c>
      <c r="N7103" s="7">
        <v>21190623</v>
      </c>
      <c r="O7103" s="7">
        <v>21190622</v>
      </c>
      <c r="P7103" s="7">
        <v>0</v>
      </c>
      <c r="Q7103" s="7" t="str">
        <f t="shared" si="2587"/>
        <v>教育庁</v>
      </c>
      <c r="R7103" s="7" t="str">
        <f t="shared" si="2597"/>
        <v>鶴見商業高等学校</v>
      </c>
    </row>
    <row r="7104" spans="1:18" s="1" customFormat="1" x14ac:dyDescent="0.45">
      <c r="A7104" s="7" t="str">
        <f t="shared" si="2594"/>
        <v>10275003063</v>
      </c>
      <c r="B7104" s="7" t="str">
        <f t="shared" si="2595"/>
        <v>鶴見商業高等学校</v>
      </c>
      <c r="C7104" s="7" t="str">
        <f t="shared" si="2582"/>
        <v>行政財産</v>
      </c>
      <c r="D7104" s="7" t="str">
        <f t="shared" si="2578"/>
        <v>学校</v>
      </c>
      <c r="E7104" s="7" t="str">
        <f t="shared" si="2596"/>
        <v>大阪府大阪市　鶴見区緑２丁目</v>
      </c>
      <c r="F7104" s="7"/>
      <c r="G7104" s="7" t="str">
        <f t="shared" si="2586"/>
        <v>事業用資産</v>
      </c>
      <c r="H7104" s="7" t="str">
        <f t="shared" si="2579"/>
        <v>棚卸以外</v>
      </c>
      <c r="I7104" s="7">
        <v>5</v>
      </c>
      <c r="J7104" s="7" t="str">
        <f>"食堂棟５－１"</f>
        <v>食堂棟５－１</v>
      </c>
      <c r="K7104" s="7" t="str">
        <f>"鉄筋コンクリート造"</f>
        <v>鉄筋コンクリート造</v>
      </c>
      <c r="L7104" s="7" t="str">
        <f>"S41.03.01"</f>
        <v>S41.03.01</v>
      </c>
      <c r="M7104" s="7">
        <v>176.52</v>
      </c>
      <c r="N7104" s="7">
        <v>3128190</v>
      </c>
      <c r="O7104" s="7">
        <v>3128189</v>
      </c>
      <c r="P7104" s="7">
        <v>0</v>
      </c>
      <c r="Q7104" s="7" t="str">
        <f t="shared" si="2587"/>
        <v>教育庁</v>
      </c>
      <c r="R7104" s="7" t="str">
        <f t="shared" si="2597"/>
        <v>鶴見商業高等学校</v>
      </c>
    </row>
    <row r="7105" spans="1:18" s="1" customFormat="1" x14ac:dyDescent="0.45">
      <c r="A7105" s="7" t="str">
        <f t="shared" si="2594"/>
        <v>10275003063</v>
      </c>
      <c r="B7105" s="7" t="str">
        <f t="shared" si="2595"/>
        <v>鶴見商業高等学校</v>
      </c>
      <c r="C7105" s="7" t="str">
        <f t="shared" si="2582"/>
        <v>行政財産</v>
      </c>
      <c r="D7105" s="7" t="str">
        <f t="shared" si="2578"/>
        <v>学校</v>
      </c>
      <c r="E7105" s="7" t="str">
        <f t="shared" si="2596"/>
        <v>大阪府大阪市　鶴見区緑２丁目</v>
      </c>
      <c r="F7105" s="7"/>
      <c r="G7105" s="7" t="str">
        <f t="shared" si="2586"/>
        <v>事業用資産</v>
      </c>
      <c r="H7105" s="7" t="str">
        <f t="shared" si="2579"/>
        <v>棚卸以外</v>
      </c>
      <c r="I7105" s="7">
        <v>6</v>
      </c>
      <c r="J7105" s="7" t="str">
        <f>"普通教室棟１４－３"</f>
        <v>普通教室棟１４－３</v>
      </c>
      <c r="K7105" s="7" t="str">
        <f>"鉄筋コンクリート造"</f>
        <v>鉄筋コンクリート造</v>
      </c>
      <c r="L7105" s="7" t="str">
        <f>"S41.03.01"</f>
        <v>S41.03.01</v>
      </c>
      <c r="M7105" s="7">
        <v>877.71</v>
      </c>
      <c r="N7105" s="7">
        <v>9921450</v>
      </c>
      <c r="O7105" s="7">
        <v>9921449</v>
      </c>
      <c r="P7105" s="7">
        <v>0</v>
      </c>
      <c r="Q7105" s="7" t="str">
        <f t="shared" si="2587"/>
        <v>教育庁</v>
      </c>
      <c r="R7105" s="7" t="str">
        <f t="shared" si="2597"/>
        <v>鶴見商業高等学校</v>
      </c>
    </row>
    <row r="7106" spans="1:18" s="1" customFormat="1" x14ac:dyDescent="0.45">
      <c r="A7106" s="7" t="str">
        <f t="shared" si="2594"/>
        <v>10275003063</v>
      </c>
      <c r="B7106" s="7" t="str">
        <f t="shared" si="2595"/>
        <v>鶴見商業高等学校</v>
      </c>
      <c r="C7106" s="7" t="str">
        <f t="shared" si="2582"/>
        <v>行政財産</v>
      </c>
      <c r="D7106" s="7" t="str">
        <f t="shared" si="2578"/>
        <v>学校</v>
      </c>
      <c r="E7106" s="7" t="str">
        <f t="shared" si="2596"/>
        <v>大阪府大阪市　鶴見区緑２丁目</v>
      </c>
      <c r="F7106" s="7"/>
      <c r="G7106" s="7" t="str">
        <f t="shared" si="2586"/>
        <v>事業用資産</v>
      </c>
      <c r="H7106" s="7" t="str">
        <f t="shared" si="2579"/>
        <v>棚卸以外</v>
      </c>
      <c r="I7106" s="7">
        <v>7</v>
      </c>
      <c r="J7106" s="7" t="str">
        <f>"食堂棟５－２"</f>
        <v>食堂棟５－２</v>
      </c>
      <c r="K7106" s="7" t="str">
        <f>"鉄筋コンクリート造"</f>
        <v>鉄筋コンクリート造</v>
      </c>
      <c r="L7106" s="7" t="str">
        <f>"S58.06.01"</f>
        <v>S58.06.01</v>
      </c>
      <c r="M7106" s="7">
        <v>115.08</v>
      </c>
      <c r="N7106" s="7">
        <v>4285190</v>
      </c>
      <c r="O7106" s="7">
        <v>1812965</v>
      </c>
      <c r="P7106" s="7">
        <v>0</v>
      </c>
      <c r="Q7106" s="7" t="str">
        <f t="shared" si="2587"/>
        <v>教育庁</v>
      </c>
      <c r="R7106" s="7" t="str">
        <f t="shared" si="2597"/>
        <v>鶴見商業高等学校</v>
      </c>
    </row>
    <row r="7107" spans="1:18" s="1" customFormat="1" x14ac:dyDescent="0.45">
      <c r="A7107" s="7" t="str">
        <f t="shared" si="2594"/>
        <v>10275003063</v>
      </c>
      <c r="B7107" s="7" t="str">
        <f t="shared" si="2595"/>
        <v>鶴見商業高等学校</v>
      </c>
      <c r="C7107" s="7" t="str">
        <f t="shared" si="2582"/>
        <v>行政財産</v>
      </c>
      <c r="D7107" s="7" t="str">
        <f t="shared" si="2578"/>
        <v>学校</v>
      </c>
      <c r="E7107" s="7" t="str">
        <f t="shared" si="2596"/>
        <v>大阪府大阪市　鶴見区緑２丁目</v>
      </c>
      <c r="F7107" s="7"/>
      <c r="G7107" s="7" t="str">
        <f t="shared" si="2586"/>
        <v>事業用資産</v>
      </c>
      <c r="H7107" s="7" t="str">
        <f t="shared" si="2579"/>
        <v>棚卸以外</v>
      </c>
      <c r="I7107" s="7">
        <v>8</v>
      </c>
      <c r="J7107" s="7" t="str">
        <f>"普通教室棟１４－２"</f>
        <v>普通教室棟１４－２</v>
      </c>
      <c r="K7107" s="7" t="str">
        <f>"鉄筋コンクリート造"</f>
        <v>鉄筋コンクリート造</v>
      </c>
      <c r="L7107" s="7" t="str">
        <f>"S39.03.01"</f>
        <v>S39.03.01</v>
      </c>
      <c r="M7107" s="7">
        <v>347</v>
      </c>
      <c r="N7107" s="7">
        <v>14675926</v>
      </c>
      <c r="O7107" s="7">
        <v>14675925</v>
      </c>
      <c r="P7107" s="7">
        <v>0</v>
      </c>
      <c r="Q7107" s="7" t="str">
        <f t="shared" si="2587"/>
        <v>教育庁</v>
      </c>
      <c r="R7107" s="7" t="str">
        <f t="shared" si="2597"/>
        <v>鶴見商業高等学校</v>
      </c>
    </row>
    <row r="7108" spans="1:18" s="1" customFormat="1" x14ac:dyDescent="0.45">
      <c r="A7108" s="7" t="str">
        <f t="shared" si="2594"/>
        <v>10275003063</v>
      </c>
      <c r="B7108" s="7" t="str">
        <f t="shared" si="2595"/>
        <v>鶴見商業高等学校</v>
      </c>
      <c r="C7108" s="7" t="str">
        <f t="shared" si="2582"/>
        <v>行政財産</v>
      </c>
      <c r="D7108" s="7" t="str">
        <f t="shared" ref="D7108:D7154" si="2598">"学校"</f>
        <v>学校</v>
      </c>
      <c r="E7108" s="7" t="str">
        <f t="shared" si="2596"/>
        <v>大阪府大阪市　鶴見区緑２丁目</v>
      </c>
      <c r="F7108" s="7"/>
      <c r="G7108" s="7" t="str">
        <f t="shared" si="2586"/>
        <v>事業用資産</v>
      </c>
      <c r="H7108" s="7" t="str">
        <f t="shared" ref="H7108:H7171" si="2599">"棚卸以外"</f>
        <v>棚卸以外</v>
      </c>
      <c r="I7108" s="7">
        <v>9</v>
      </c>
      <c r="J7108" s="7" t="str">
        <f>"普通教室棟７・渡り廊下棟１５"</f>
        <v>普通教室棟７・渡り廊下棟１５</v>
      </c>
      <c r="K7108" s="7" t="str">
        <f>"鉄筋コンクリート造"</f>
        <v>鉄筋コンクリート造</v>
      </c>
      <c r="L7108" s="7" t="str">
        <f>"S51.09.01"</f>
        <v>S51.09.01</v>
      </c>
      <c r="M7108" s="7">
        <v>401</v>
      </c>
      <c r="N7108" s="7">
        <v>17811948</v>
      </c>
      <c r="O7108" s="7">
        <v>11525382</v>
      </c>
      <c r="P7108" s="7">
        <v>0</v>
      </c>
      <c r="Q7108" s="7" t="str">
        <f t="shared" si="2587"/>
        <v>教育庁</v>
      </c>
      <c r="R7108" s="7" t="str">
        <f t="shared" si="2597"/>
        <v>鶴見商業高等学校</v>
      </c>
    </row>
    <row r="7109" spans="1:18" s="1" customFormat="1" x14ac:dyDescent="0.45">
      <c r="A7109" s="7" t="str">
        <f t="shared" si="2594"/>
        <v>10275003063</v>
      </c>
      <c r="B7109" s="7" t="str">
        <f t="shared" si="2595"/>
        <v>鶴見商業高等学校</v>
      </c>
      <c r="C7109" s="7" t="str">
        <f t="shared" si="2582"/>
        <v>行政財産</v>
      </c>
      <c r="D7109" s="7" t="str">
        <f t="shared" si="2598"/>
        <v>学校</v>
      </c>
      <c r="E7109" s="7" t="str">
        <f t="shared" si="2596"/>
        <v>大阪府大阪市　鶴見区緑２丁目</v>
      </c>
      <c r="F7109" s="7"/>
      <c r="G7109" s="7" t="str">
        <f t="shared" si="2586"/>
        <v>事業用資産</v>
      </c>
      <c r="H7109" s="7" t="str">
        <f t="shared" si="2599"/>
        <v>棚卸以外</v>
      </c>
      <c r="I7109" s="7">
        <v>10</v>
      </c>
      <c r="J7109" s="7" t="str">
        <f>"プール更衣室９－１・クラブ部室棟９－２"</f>
        <v>プール更衣室９－１・クラブ部室棟９－２</v>
      </c>
      <c r="K7109" s="7" t="str">
        <f>"軽量鉄骨造"</f>
        <v>軽量鉄骨造</v>
      </c>
      <c r="L7109" s="7" t="str">
        <f>"S52.05.01"</f>
        <v>S52.05.01</v>
      </c>
      <c r="M7109" s="7">
        <v>99</v>
      </c>
      <c r="N7109" s="7">
        <v>1794598</v>
      </c>
      <c r="O7109" s="7">
        <v>1794597</v>
      </c>
      <c r="P7109" s="7">
        <v>0</v>
      </c>
      <c r="Q7109" s="7" t="str">
        <f t="shared" si="2587"/>
        <v>教育庁</v>
      </c>
      <c r="R7109" s="7" t="str">
        <f t="shared" si="2597"/>
        <v>鶴見商業高等学校</v>
      </c>
    </row>
    <row r="7110" spans="1:18" s="1" customFormat="1" x14ac:dyDescent="0.45">
      <c r="A7110" s="7" t="str">
        <f t="shared" si="2594"/>
        <v>10275003063</v>
      </c>
      <c r="B7110" s="7" t="str">
        <f t="shared" si="2595"/>
        <v>鶴見商業高等学校</v>
      </c>
      <c r="C7110" s="7" t="str">
        <f t="shared" si="2582"/>
        <v>行政財産</v>
      </c>
      <c r="D7110" s="7" t="str">
        <f t="shared" si="2598"/>
        <v>学校</v>
      </c>
      <c r="E7110" s="7" t="str">
        <f t="shared" si="2596"/>
        <v>大阪府大阪市　鶴見区緑２丁目</v>
      </c>
      <c r="F7110" s="7"/>
      <c r="G7110" s="7" t="str">
        <f t="shared" si="2586"/>
        <v>事業用資産</v>
      </c>
      <c r="H7110" s="7" t="str">
        <f t="shared" si="2599"/>
        <v>棚卸以外</v>
      </c>
      <c r="I7110" s="7">
        <v>11</v>
      </c>
      <c r="J7110" s="7" t="str">
        <f>"クラブ部室棟１３"</f>
        <v>クラブ部室棟１３</v>
      </c>
      <c r="K7110" s="7" t="str">
        <f>"軽量鉄骨造"</f>
        <v>軽量鉄骨造</v>
      </c>
      <c r="L7110" s="7" t="str">
        <f>"H02.08.01"</f>
        <v>H02.08.01</v>
      </c>
      <c r="M7110" s="7">
        <v>405.75</v>
      </c>
      <c r="N7110" s="7">
        <v>5173772</v>
      </c>
      <c r="O7110" s="7">
        <v>5173771</v>
      </c>
      <c r="P7110" s="7">
        <v>0</v>
      </c>
      <c r="Q7110" s="7" t="str">
        <f t="shared" si="2587"/>
        <v>教育庁</v>
      </c>
      <c r="R7110" s="7" t="str">
        <f t="shared" si="2597"/>
        <v>鶴見商業高等学校</v>
      </c>
    </row>
    <row r="7111" spans="1:18" s="1" customFormat="1" x14ac:dyDescent="0.45">
      <c r="A7111" s="7" t="str">
        <f t="shared" si="2594"/>
        <v>10275003063</v>
      </c>
      <c r="B7111" s="7" t="str">
        <f t="shared" si="2595"/>
        <v>鶴見商業高等学校</v>
      </c>
      <c r="C7111" s="7" t="str">
        <f t="shared" si="2582"/>
        <v>行政財産</v>
      </c>
      <c r="D7111" s="7" t="str">
        <f t="shared" si="2598"/>
        <v>学校</v>
      </c>
      <c r="E7111" s="7" t="str">
        <f t="shared" si="2596"/>
        <v>大阪府大阪市　鶴見区緑２丁目</v>
      </c>
      <c r="F7111" s="7"/>
      <c r="G7111" s="7" t="str">
        <f t="shared" si="2586"/>
        <v>事業用資産</v>
      </c>
      <c r="H7111" s="7" t="str">
        <f t="shared" si="2599"/>
        <v>棚卸以外</v>
      </c>
      <c r="I7111" s="7">
        <v>12</v>
      </c>
      <c r="J7111" s="7" t="str">
        <f>"プール専用付属室（機械室）８"</f>
        <v>プール専用付属室（機械室）８</v>
      </c>
      <c r="K7111" s="7" t="str">
        <f>"鉄筋コンクリート造"</f>
        <v>鉄筋コンクリート造</v>
      </c>
      <c r="L7111" s="7" t="str">
        <f>"S52.05.31"</f>
        <v>S52.05.31</v>
      </c>
      <c r="M7111" s="7">
        <v>30</v>
      </c>
      <c r="N7111" s="7">
        <v>546516</v>
      </c>
      <c r="O7111" s="7">
        <v>546515</v>
      </c>
      <c r="P7111" s="7">
        <v>0</v>
      </c>
      <c r="Q7111" s="7" t="str">
        <f t="shared" si="2587"/>
        <v>教育庁</v>
      </c>
      <c r="R7111" s="7" t="str">
        <f t="shared" si="2597"/>
        <v>鶴見商業高等学校</v>
      </c>
    </row>
    <row r="7112" spans="1:18" s="1" customFormat="1" x14ac:dyDescent="0.45">
      <c r="A7112" s="7" t="str">
        <f t="shared" si="2594"/>
        <v>10275003063</v>
      </c>
      <c r="B7112" s="7" t="str">
        <f t="shared" si="2595"/>
        <v>鶴見商業高等学校</v>
      </c>
      <c r="C7112" s="7" t="str">
        <f t="shared" si="2582"/>
        <v>行政財産</v>
      </c>
      <c r="D7112" s="7" t="str">
        <f t="shared" si="2598"/>
        <v>学校</v>
      </c>
      <c r="E7112" s="7" t="str">
        <f t="shared" si="2596"/>
        <v>大阪府大阪市　鶴見区緑２丁目</v>
      </c>
      <c r="F7112" s="7"/>
      <c r="G7112" s="7" t="str">
        <f t="shared" si="2586"/>
        <v>事業用資産</v>
      </c>
      <c r="H7112" s="7" t="str">
        <f t="shared" si="2599"/>
        <v>棚卸以外</v>
      </c>
      <c r="I7112" s="7">
        <v>13</v>
      </c>
      <c r="J7112" s="7" t="str">
        <f>"倉庫１１"</f>
        <v>倉庫１１</v>
      </c>
      <c r="K7112" s="7" t="str">
        <f>"鉄骨造"</f>
        <v>鉄骨造</v>
      </c>
      <c r="L7112" s="7" t="str">
        <f>"S42.03.31"</f>
        <v>S42.03.31</v>
      </c>
      <c r="M7112" s="7">
        <v>147</v>
      </c>
      <c r="N7112" s="7">
        <v>641928</v>
      </c>
      <c r="O7112" s="7">
        <v>641927</v>
      </c>
      <c r="P7112" s="7">
        <v>0</v>
      </c>
      <c r="Q7112" s="7" t="str">
        <f t="shared" si="2587"/>
        <v>教育庁</v>
      </c>
      <c r="R7112" s="7" t="str">
        <f t="shared" si="2597"/>
        <v>鶴見商業高等学校</v>
      </c>
    </row>
    <row r="7113" spans="1:18" s="1" customFormat="1" x14ac:dyDescent="0.45">
      <c r="A7113" s="7" t="str">
        <f t="shared" si="2594"/>
        <v>10275003063</v>
      </c>
      <c r="B7113" s="7" t="str">
        <f t="shared" si="2595"/>
        <v>鶴見商業高等学校</v>
      </c>
      <c r="C7113" s="7" t="str">
        <f t="shared" si="2582"/>
        <v>行政財産</v>
      </c>
      <c r="D7113" s="7" t="str">
        <f t="shared" si="2598"/>
        <v>学校</v>
      </c>
      <c r="E7113" s="7" t="str">
        <f t="shared" si="2596"/>
        <v>大阪府大阪市　鶴見区緑２丁目</v>
      </c>
      <c r="F7113" s="7"/>
      <c r="G7113" s="7" t="str">
        <f t="shared" si="2586"/>
        <v>事業用資産</v>
      </c>
      <c r="H7113" s="7" t="str">
        <f t="shared" si="2599"/>
        <v>棚卸以外</v>
      </c>
      <c r="I7113" s="7">
        <v>14</v>
      </c>
      <c r="J7113" s="7" t="str">
        <f>"プール専用付属室（便所）１２"</f>
        <v>プール専用付属室（便所）１２</v>
      </c>
      <c r="K7113" s="7" t="str">
        <f>"コンクリートブロック造"</f>
        <v>コンクリートブロック造</v>
      </c>
      <c r="L7113" s="7" t="str">
        <f>"H02.12.28"</f>
        <v>H02.12.28</v>
      </c>
      <c r="M7113" s="7">
        <v>7</v>
      </c>
      <c r="N7113" s="7">
        <v>152726</v>
      </c>
      <c r="O7113" s="7">
        <v>50919</v>
      </c>
      <c r="P7113" s="7">
        <v>0</v>
      </c>
      <c r="Q7113" s="7" t="str">
        <f t="shared" si="2587"/>
        <v>教育庁</v>
      </c>
      <c r="R7113" s="7" t="str">
        <f t="shared" si="2597"/>
        <v>鶴見商業高等学校</v>
      </c>
    </row>
    <row r="7114" spans="1:18" s="1" customFormat="1" x14ac:dyDescent="0.45">
      <c r="A7114" s="7" t="str">
        <f>"10275003064"</f>
        <v>10275003064</v>
      </c>
      <c r="B7114" s="7" t="str">
        <f>"大阪ビジネスフロンティア高等学校"</f>
        <v>大阪ビジネスフロンティア高等学校</v>
      </c>
      <c r="C7114" s="7" t="str">
        <f t="shared" si="2582"/>
        <v>行政財産</v>
      </c>
      <c r="D7114" s="7" t="str">
        <f t="shared" si="2598"/>
        <v>学校</v>
      </c>
      <c r="E7114" s="7" t="str">
        <f>"大阪府大阪市　天王寺区烏ケ辻２丁目"</f>
        <v>大阪府大阪市　天王寺区烏ケ辻２丁目</v>
      </c>
      <c r="F7114" s="7"/>
      <c r="G7114" s="7" t="str">
        <f t="shared" si="2586"/>
        <v>事業用資産</v>
      </c>
      <c r="H7114" s="7" t="str">
        <f t="shared" si="2599"/>
        <v>棚卸以外</v>
      </c>
      <c r="I7114" s="7">
        <v>1</v>
      </c>
      <c r="J7114" s="7" t="str">
        <f>"プール棟（食堂・格技室）"</f>
        <v>プール棟（食堂・格技室）</v>
      </c>
      <c r="K7114" s="7" t="str">
        <f>"鉄筋コンクリート造"</f>
        <v>鉄筋コンクリート造</v>
      </c>
      <c r="L7114" s="7" t="str">
        <f>"S55.09.01"</f>
        <v>S55.09.01</v>
      </c>
      <c r="M7114" s="7">
        <v>1051.33</v>
      </c>
      <c r="N7114" s="7">
        <v>54545802</v>
      </c>
      <c r="O7114" s="7">
        <v>9230837</v>
      </c>
      <c r="P7114" s="7">
        <v>0</v>
      </c>
      <c r="Q7114" s="7" t="str">
        <f t="shared" si="2587"/>
        <v>教育庁</v>
      </c>
      <c r="R7114" s="7" t="str">
        <f>"大阪ビジネスフロンティア高等学校"</f>
        <v>大阪ビジネスフロンティア高等学校</v>
      </c>
    </row>
    <row r="7115" spans="1:18" s="1" customFormat="1" x14ac:dyDescent="0.45">
      <c r="A7115" s="7" t="str">
        <f>"10275003064"</f>
        <v>10275003064</v>
      </c>
      <c r="B7115" s="7" t="str">
        <f>"大阪ビジネスフロンティア高等学校"</f>
        <v>大阪ビジネスフロンティア高等学校</v>
      </c>
      <c r="C7115" s="7" t="str">
        <f t="shared" si="2582"/>
        <v>行政財産</v>
      </c>
      <c r="D7115" s="7" t="str">
        <f t="shared" si="2598"/>
        <v>学校</v>
      </c>
      <c r="E7115" s="7" t="str">
        <f>"大阪府大阪市　天王寺区烏ケ辻２丁目"</f>
        <v>大阪府大阪市　天王寺区烏ケ辻２丁目</v>
      </c>
      <c r="F7115" s="7"/>
      <c r="G7115" s="7" t="str">
        <f t="shared" si="2586"/>
        <v>事業用資産</v>
      </c>
      <c r="H7115" s="7" t="str">
        <f t="shared" si="2599"/>
        <v>棚卸以外</v>
      </c>
      <c r="I7115" s="7">
        <v>2</v>
      </c>
      <c r="J7115" s="7" t="str">
        <f>"プール棟（機械室・倉庫）"</f>
        <v>プール棟（機械室・倉庫）</v>
      </c>
      <c r="K7115" s="7" t="str">
        <f>"鉄筋コンクリート造"</f>
        <v>鉄筋コンクリート造</v>
      </c>
      <c r="L7115" s="7" t="str">
        <f>"S55.10.01"</f>
        <v>S55.10.01</v>
      </c>
      <c r="M7115" s="7">
        <v>51.8</v>
      </c>
      <c r="N7115" s="7">
        <v>2666550</v>
      </c>
      <c r="O7115" s="7">
        <v>2666549</v>
      </c>
      <c r="P7115" s="7">
        <v>0</v>
      </c>
      <c r="Q7115" s="7" t="str">
        <f t="shared" si="2587"/>
        <v>教育庁</v>
      </c>
      <c r="R7115" s="7" t="str">
        <f>"大阪ビジネスフロンティア高等学校"</f>
        <v>大阪ビジネスフロンティア高等学校</v>
      </c>
    </row>
    <row r="7116" spans="1:18" s="1" customFormat="1" x14ac:dyDescent="0.45">
      <c r="A7116" s="7" t="str">
        <f>"10275003064"</f>
        <v>10275003064</v>
      </c>
      <c r="B7116" s="7" t="str">
        <f>"大阪ビジネスフロンティア高等学校"</f>
        <v>大阪ビジネスフロンティア高等学校</v>
      </c>
      <c r="C7116" s="7" t="str">
        <f t="shared" si="2582"/>
        <v>行政財産</v>
      </c>
      <c r="D7116" s="7" t="str">
        <f t="shared" si="2598"/>
        <v>学校</v>
      </c>
      <c r="E7116" s="7" t="str">
        <f>"大阪府大阪市　天王寺区烏ケ辻２丁目"</f>
        <v>大阪府大阪市　天王寺区烏ケ辻２丁目</v>
      </c>
      <c r="F7116" s="7"/>
      <c r="G7116" s="7" t="str">
        <f t="shared" si="2586"/>
        <v>事業用資産</v>
      </c>
      <c r="H7116" s="7" t="str">
        <f t="shared" si="2599"/>
        <v>棚卸以外</v>
      </c>
      <c r="I7116" s="7">
        <v>3</v>
      </c>
      <c r="J7116" s="7" t="str">
        <f>"セミナー棟"</f>
        <v>セミナー棟</v>
      </c>
      <c r="K7116" s="7" t="str">
        <f>"鉄筋コンクリート造"</f>
        <v>鉄筋コンクリート造</v>
      </c>
      <c r="L7116" s="7" t="str">
        <f>"H02.02.01"</f>
        <v>H02.02.01</v>
      </c>
      <c r="M7116" s="7">
        <v>846.97</v>
      </c>
      <c r="N7116" s="7">
        <v>64386849</v>
      </c>
      <c r="O7116" s="7">
        <v>3978964</v>
      </c>
      <c r="P7116" s="7">
        <v>0</v>
      </c>
      <c r="Q7116" s="7" t="str">
        <f t="shared" si="2587"/>
        <v>教育庁</v>
      </c>
      <c r="R7116" s="7" t="str">
        <f>"大阪ビジネスフロンティア高等学校"</f>
        <v>大阪ビジネスフロンティア高等学校</v>
      </c>
    </row>
    <row r="7117" spans="1:18" s="1" customFormat="1" ht="26.4" x14ac:dyDescent="0.45">
      <c r="A7117" s="7" t="str">
        <f>"10275003064"</f>
        <v>10275003064</v>
      </c>
      <c r="B7117" s="7" t="str">
        <f>"大阪ビジネスフロンティア高等学校"</f>
        <v>大阪ビジネスフロンティア高等学校</v>
      </c>
      <c r="C7117" s="7" t="str">
        <f t="shared" ref="C7117:C7167" si="2600">"行政財産"</f>
        <v>行政財産</v>
      </c>
      <c r="D7117" s="7" t="str">
        <f t="shared" si="2598"/>
        <v>学校</v>
      </c>
      <c r="E7117" s="7" t="str">
        <f>"大阪府大阪市　天王寺区烏ケ辻２丁目"</f>
        <v>大阪府大阪市　天王寺区烏ケ辻２丁目</v>
      </c>
      <c r="F7117" s="7"/>
      <c r="G7117" s="7" t="str">
        <f t="shared" si="2586"/>
        <v>事業用資産</v>
      </c>
      <c r="H7117" s="7" t="str">
        <f t="shared" si="2599"/>
        <v>棚卸以外</v>
      </c>
      <c r="I7117" s="7">
        <v>4</v>
      </c>
      <c r="J7117" s="7" t="str">
        <f>"普通教室・特別教室・体育館棟"</f>
        <v>普通教室・特別教室・体育館棟</v>
      </c>
      <c r="K7117" s="7" t="str">
        <f>"鉄骨鉄筋コンクリート造"</f>
        <v>鉄骨鉄筋コンクリート造</v>
      </c>
      <c r="L7117" s="7" t="str">
        <f>"H23.12.21"</f>
        <v>H23.12.21</v>
      </c>
      <c r="M7117" s="7">
        <v>17693.61</v>
      </c>
      <c r="N7117" s="7">
        <v>2798129204</v>
      </c>
      <c r="O7117" s="7">
        <v>69794615</v>
      </c>
      <c r="P7117" s="7">
        <v>0</v>
      </c>
      <c r="Q7117" s="7" t="str">
        <f t="shared" si="2587"/>
        <v>教育庁</v>
      </c>
      <c r="R7117" s="7" t="str">
        <f>"大阪ビジネスフロンティア高等学校"</f>
        <v>大阪ビジネスフロンティア高等学校</v>
      </c>
    </row>
    <row r="7118" spans="1:18" s="1" customFormat="1" x14ac:dyDescent="0.45">
      <c r="A7118" s="7" t="str">
        <f>"10275003064"</f>
        <v>10275003064</v>
      </c>
      <c r="B7118" s="7" t="str">
        <f>"大阪ビジネスフロンティア高等学校"</f>
        <v>大阪ビジネスフロンティア高等学校</v>
      </c>
      <c r="C7118" s="7" t="str">
        <f t="shared" si="2600"/>
        <v>行政財産</v>
      </c>
      <c r="D7118" s="7" t="str">
        <f t="shared" si="2598"/>
        <v>学校</v>
      </c>
      <c r="E7118" s="7" t="str">
        <f>"大阪府大阪市　天王寺区烏ケ辻２丁目"</f>
        <v>大阪府大阪市　天王寺区烏ケ辻２丁目</v>
      </c>
      <c r="F7118" s="7"/>
      <c r="G7118" s="7" t="str">
        <f t="shared" si="2586"/>
        <v>事業用資産</v>
      </c>
      <c r="H7118" s="7" t="str">
        <f t="shared" si="2599"/>
        <v>棚卸以外</v>
      </c>
      <c r="I7118" s="7">
        <v>5</v>
      </c>
      <c r="J7118" s="7" t="str">
        <f>"体育倉庫"</f>
        <v>体育倉庫</v>
      </c>
      <c r="K7118" s="7" t="str">
        <f t="shared" ref="K7118:K7125" si="2601">"鉄筋コンクリート造"</f>
        <v>鉄筋コンクリート造</v>
      </c>
      <c r="L7118" s="7" t="str">
        <f>"H23.12.21"</f>
        <v>H23.12.21</v>
      </c>
      <c r="M7118" s="7">
        <v>34.840000000000003</v>
      </c>
      <c r="N7118" s="7">
        <v>4061728</v>
      </c>
      <c r="O7118" s="7">
        <v>134178</v>
      </c>
      <c r="P7118" s="7">
        <v>0</v>
      </c>
      <c r="Q7118" s="7" t="str">
        <f t="shared" si="2587"/>
        <v>教育庁</v>
      </c>
      <c r="R7118" s="7" t="str">
        <f>"大阪ビジネスフロンティア高等学校"</f>
        <v>大阪ビジネスフロンティア高等学校</v>
      </c>
    </row>
    <row r="7119" spans="1:18" s="1" customFormat="1" x14ac:dyDescent="0.45">
      <c r="A7119" s="7" t="str">
        <f t="shared" ref="A7119:A7145" si="2602">"10275003065"</f>
        <v>10275003065</v>
      </c>
      <c r="B7119" s="7" t="str">
        <f t="shared" ref="B7119:B7145" si="2603">"住吉商業高等学校"</f>
        <v>住吉商業高等学校</v>
      </c>
      <c r="C7119" s="7" t="str">
        <f t="shared" si="2600"/>
        <v>行政財産</v>
      </c>
      <c r="D7119" s="7" t="str">
        <f t="shared" si="2598"/>
        <v>学校</v>
      </c>
      <c r="E7119" s="7" t="str">
        <f t="shared" ref="E7119:E7145" si="2604">"大阪府大阪市　住之江区御崎７丁目"</f>
        <v>大阪府大阪市　住之江区御崎７丁目</v>
      </c>
      <c r="F7119" s="7"/>
      <c r="G7119" s="7" t="str">
        <f t="shared" si="2586"/>
        <v>事業用資産</v>
      </c>
      <c r="H7119" s="7" t="str">
        <f t="shared" si="2599"/>
        <v>棚卸以外</v>
      </c>
      <c r="I7119" s="7">
        <v>1</v>
      </c>
      <c r="J7119" s="7" t="str">
        <f>"普通教室棟１２－２（南館）"</f>
        <v>普通教室棟１２－２（南館）</v>
      </c>
      <c r="K7119" s="7" t="str">
        <f t="shared" si="2601"/>
        <v>鉄筋コンクリート造</v>
      </c>
      <c r="L7119" s="7" t="str">
        <f>"S38.12.01"</f>
        <v>S38.12.01</v>
      </c>
      <c r="M7119" s="7">
        <v>649.67999999999995</v>
      </c>
      <c r="N7119" s="7">
        <v>6755952</v>
      </c>
      <c r="O7119" s="7">
        <v>6755951</v>
      </c>
      <c r="P7119" s="7">
        <v>0</v>
      </c>
      <c r="Q7119" s="7" t="str">
        <f t="shared" si="2587"/>
        <v>教育庁</v>
      </c>
      <c r="R7119" s="7" t="str">
        <f t="shared" ref="R7119:R7145" si="2605">"住吉商業高等学校"</f>
        <v>住吉商業高等学校</v>
      </c>
    </row>
    <row r="7120" spans="1:18" s="1" customFormat="1" x14ac:dyDescent="0.45">
      <c r="A7120" s="7" t="str">
        <f t="shared" si="2602"/>
        <v>10275003065</v>
      </c>
      <c r="B7120" s="7" t="str">
        <f t="shared" si="2603"/>
        <v>住吉商業高等学校</v>
      </c>
      <c r="C7120" s="7" t="str">
        <f t="shared" si="2600"/>
        <v>行政財産</v>
      </c>
      <c r="D7120" s="7" t="str">
        <f t="shared" si="2598"/>
        <v>学校</v>
      </c>
      <c r="E7120" s="7" t="str">
        <f t="shared" si="2604"/>
        <v>大阪府大阪市　住之江区御崎７丁目</v>
      </c>
      <c r="F7120" s="7"/>
      <c r="G7120" s="7" t="str">
        <f t="shared" si="2586"/>
        <v>事業用資産</v>
      </c>
      <c r="H7120" s="7" t="str">
        <f t="shared" si="2599"/>
        <v>棚卸以外</v>
      </c>
      <c r="I7120" s="7">
        <v>2</v>
      </c>
      <c r="J7120" s="7" t="str">
        <f>"普通教室棟２８－１（本館）"</f>
        <v>普通教室棟２８－１（本館）</v>
      </c>
      <c r="K7120" s="7" t="str">
        <f t="shared" si="2601"/>
        <v>鉄筋コンクリート造</v>
      </c>
      <c r="L7120" s="7" t="str">
        <f>"S48.06.01"</f>
        <v>S48.06.01</v>
      </c>
      <c r="M7120" s="7">
        <v>1166.26</v>
      </c>
      <c r="N7120" s="7">
        <v>19108937</v>
      </c>
      <c r="O7120" s="7">
        <v>15752332</v>
      </c>
      <c r="P7120" s="7">
        <v>0</v>
      </c>
      <c r="Q7120" s="7" t="str">
        <f t="shared" si="2587"/>
        <v>教育庁</v>
      </c>
      <c r="R7120" s="7" t="str">
        <f t="shared" si="2605"/>
        <v>住吉商業高等学校</v>
      </c>
    </row>
    <row r="7121" spans="1:18" s="1" customFormat="1" x14ac:dyDescent="0.45">
      <c r="A7121" s="7" t="str">
        <f t="shared" si="2602"/>
        <v>10275003065</v>
      </c>
      <c r="B7121" s="7" t="str">
        <f t="shared" si="2603"/>
        <v>住吉商業高等学校</v>
      </c>
      <c r="C7121" s="7" t="str">
        <f t="shared" si="2600"/>
        <v>行政財産</v>
      </c>
      <c r="D7121" s="7" t="str">
        <f t="shared" si="2598"/>
        <v>学校</v>
      </c>
      <c r="E7121" s="7" t="str">
        <f t="shared" si="2604"/>
        <v>大阪府大阪市　住之江区御崎７丁目</v>
      </c>
      <c r="F7121" s="7"/>
      <c r="G7121" s="7" t="str">
        <f t="shared" si="2586"/>
        <v>事業用資産</v>
      </c>
      <c r="H7121" s="7" t="str">
        <f t="shared" si="2599"/>
        <v>棚卸以外</v>
      </c>
      <c r="I7121" s="7">
        <v>3</v>
      </c>
      <c r="J7121" s="7" t="str">
        <f>"管理室棟２８－２（本館）"</f>
        <v>管理室棟２８－２（本館）</v>
      </c>
      <c r="K7121" s="7" t="str">
        <f t="shared" si="2601"/>
        <v>鉄筋コンクリート造</v>
      </c>
      <c r="L7121" s="7" t="str">
        <f>"S50.04.01"</f>
        <v>S50.04.01</v>
      </c>
      <c r="M7121" s="7">
        <v>2776.12</v>
      </c>
      <c r="N7121" s="7">
        <v>91378686</v>
      </c>
      <c r="O7121" s="7">
        <v>90288196</v>
      </c>
      <c r="P7121" s="7">
        <v>0</v>
      </c>
      <c r="Q7121" s="7" t="str">
        <f t="shared" si="2587"/>
        <v>教育庁</v>
      </c>
      <c r="R7121" s="7" t="str">
        <f t="shared" si="2605"/>
        <v>住吉商業高等学校</v>
      </c>
    </row>
    <row r="7122" spans="1:18" s="1" customFormat="1" x14ac:dyDescent="0.45">
      <c r="A7122" s="7" t="str">
        <f t="shared" si="2602"/>
        <v>10275003065</v>
      </c>
      <c r="B7122" s="7" t="str">
        <f t="shared" si="2603"/>
        <v>住吉商業高等学校</v>
      </c>
      <c r="C7122" s="7" t="str">
        <f t="shared" si="2600"/>
        <v>行政財産</v>
      </c>
      <c r="D7122" s="7" t="str">
        <f t="shared" si="2598"/>
        <v>学校</v>
      </c>
      <c r="E7122" s="7" t="str">
        <f t="shared" si="2604"/>
        <v>大阪府大阪市　住之江区御崎７丁目</v>
      </c>
      <c r="F7122" s="7"/>
      <c r="G7122" s="7" t="str">
        <f t="shared" si="2586"/>
        <v>事業用資産</v>
      </c>
      <c r="H7122" s="7" t="str">
        <f t="shared" si="2599"/>
        <v>棚卸以外</v>
      </c>
      <c r="I7122" s="7">
        <v>4</v>
      </c>
      <c r="J7122" s="7" t="str">
        <f>"特別・普通教室棟２８－３（北館）"</f>
        <v>特別・普通教室棟２８－３（北館）</v>
      </c>
      <c r="K7122" s="7" t="str">
        <f t="shared" si="2601"/>
        <v>鉄筋コンクリート造</v>
      </c>
      <c r="L7122" s="7" t="str">
        <f>"S52.03.01"</f>
        <v>S52.03.01</v>
      </c>
      <c r="M7122" s="7">
        <v>2702.3</v>
      </c>
      <c r="N7122" s="7">
        <v>64710000</v>
      </c>
      <c r="O7122" s="7">
        <v>30948269</v>
      </c>
      <c r="P7122" s="7">
        <v>0</v>
      </c>
      <c r="Q7122" s="7" t="str">
        <f t="shared" si="2587"/>
        <v>教育庁</v>
      </c>
      <c r="R7122" s="7" t="str">
        <f t="shared" si="2605"/>
        <v>住吉商業高等学校</v>
      </c>
    </row>
    <row r="7123" spans="1:18" s="1" customFormat="1" x14ac:dyDescent="0.45">
      <c r="A7123" s="7" t="str">
        <f t="shared" si="2602"/>
        <v>10275003065</v>
      </c>
      <c r="B7123" s="7" t="str">
        <f t="shared" si="2603"/>
        <v>住吉商業高等学校</v>
      </c>
      <c r="C7123" s="7" t="str">
        <f t="shared" si="2600"/>
        <v>行政財産</v>
      </c>
      <c r="D7123" s="7" t="str">
        <f t="shared" si="2598"/>
        <v>学校</v>
      </c>
      <c r="E7123" s="7" t="str">
        <f t="shared" si="2604"/>
        <v>大阪府大阪市　住之江区御崎７丁目</v>
      </c>
      <c r="F7123" s="7"/>
      <c r="G7123" s="7" t="str">
        <f t="shared" si="2586"/>
        <v>事業用資産</v>
      </c>
      <c r="H7123" s="7" t="str">
        <f t="shared" si="2599"/>
        <v>棚卸以外</v>
      </c>
      <c r="I7123" s="7">
        <v>5</v>
      </c>
      <c r="J7123" s="7" t="str">
        <f>"特別普通教室棟２８－４（北館）"</f>
        <v>特別普通教室棟２８－４（北館）</v>
      </c>
      <c r="K7123" s="7" t="str">
        <f t="shared" si="2601"/>
        <v>鉄筋コンクリート造</v>
      </c>
      <c r="L7123" s="7" t="str">
        <f>"S54.03.01"</f>
        <v>S54.03.01</v>
      </c>
      <c r="M7123" s="7">
        <v>901.67</v>
      </c>
      <c r="N7123" s="7">
        <v>24579326</v>
      </c>
      <c r="O7123" s="7">
        <v>5752615</v>
      </c>
      <c r="P7123" s="7">
        <v>0</v>
      </c>
      <c r="Q7123" s="7" t="str">
        <f t="shared" si="2587"/>
        <v>教育庁</v>
      </c>
      <c r="R7123" s="7" t="str">
        <f t="shared" si="2605"/>
        <v>住吉商業高等学校</v>
      </c>
    </row>
    <row r="7124" spans="1:18" s="1" customFormat="1" x14ac:dyDescent="0.45">
      <c r="A7124" s="7" t="str">
        <f t="shared" si="2602"/>
        <v>10275003065</v>
      </c>
      <c r="B7124" s="7" t="str">
        <f t="shared" si="2603"/>
        <v>住吉商業高等学校</v>
      </c>
      <c r="C7124" s="7" t="str">
        <f t="shared" si="2600"/>
        <v>行政財産</v>
      </c>
      <c r="D7124" s="7" t="str">
        <f t="shared" si="2598"/>
        <v>学校</v>
      </c>
      <c r="E7124" s="7" t="str">
        <f t="shared" si="2604"/>
        <v>大阪府大阪市　住之江区御崎７丁目</v>
      </c>
      <c r="F7124" s="7"/>
      <c r="G7124" s="7" t="str">
        <f t="shared" si="2586"/>
        <v>事業用資産</v>
      </c>
      <c r="H7124" s="7" t="str">
        <f t="shared" si="2599"/>
        <v>棚卸以外</v>
      </c>
      <c r="I7124" s="7">
        <v>6</v>
      </c>
      <c r="J7124" s="7" t="str">
        <f>"特別教室棟２８－５（北館）"</f>
        <v>特別教室棟２８－５（北館）</v>
      </c>
      <c r="K7124" s="7" t="str">
        <f t="shared" si="2601"/>
        <v>鉄筋コンクリート造</v>
      </c>
      <c r="L7124" s="7" t="str">
        <f>"S55.03.01"</f>
        <v>S55.03.01</v>
      </c>
      <c r="M7124" s="7">
        <v>525.27</v>
      </c>
      <c r="N7124" s="7">
        <v>12886057</v>
      </c>
      <c r="O7124" s="7">
        <v>2402488</v>
      </c>
      <c r="P7124" s="7">
        <v>0</v>
      </c>
      <c r="Q7124" s="7" t="str">
        <f t="shared" si="2587"/>
        <v>教育庁</v>
      </c>
      <c r="R7124" s="7" t="str">
        <f t="shared" si="2605"/>
        <v>住吉商業高等学校</v>
      </c>
    </row>
    <row r="7125" spans="1:18" s="1" customFormat="1" x14ac:dyDescent="0.45">
      <c r="A7125" s="7" t="str">
        <f t="shared" si="2602"/>
        <v>10275003065</v>
      </c>
      <c r="B7125" s="7" t="str">
        <f t="shared" si="2603"/>
        <v>住吉商業高等学校</v>
      </c>
      <c r="C7125" s="7" t="str">
        <f t="shared" si="2600"/>
        <v>行政財産</v>
      </c>
      <c r="D7125" s="7" t="str">
        <f t="shared" si="2598"/>
        <v>学校</v>
      </c>
      <c r="E7125" s="7" t="str">
        <f t="shared" si="2604"/>
        <v>大阪府大阪市　住之江区御崎７丁目</v>
      </c>
      <c r="F7125" s="7"/>
      <c r="G7125" s="7" t="str">
        <f t="shared" si="2586"/>
        <v>事業用資産</v>
      </c>
      <c r="H7125" s="7" t="str">
        <f t="shared" si="2599"/>
        <v>棚卸以外</v>
      </c>
      <c r="I7125" s="7">
        <v>7</v>
      </c>
      <c r="J7125" s="7" t="str">
        <f>"特別教室棟３０（簿記室・LL教室）"</f>
        <v>特別教室棟３０（簿記室・LL教室）</v>
      </c>
      <c r="K7125" s="7" t="str">
        <f t="shared" si="2601"/>
        <v>鉄筋コンクリート造</v>
      </c>
      <c r="L7125" s="7" t="str">
        <f>"S55.03.01"</f>
        <v>S55.03.01</v>
      </c>
      <c r="M7125" s="7">
        <v>418.54</v>
      </c>
      <c r="N7125" s="7">
        <v>14276508</v>
      </c>
      <c r="O7125" s="7">
        <v>2661725</v>
      </c>
      <c r="P7125" s="7">
        <v>0</v>
      </c>
      <c r="Q7125" s="7" t="str">
        <f t="shared" si="2587"/>
        <v>教育庁</v>
      </c>
      <c r="R7125" s="7" t="str">
        <f t="shared" si="2605"/>
        <v>住吉商業高等学校</v>
      </c>
    </row>
    <row r="7126" spans="1:18" s="1" customFormat="1" ht="26.4" x14ac:dyDescent="0.45">
      <c r="A7126" s="7" t="str">
        <f t="shared" si="2602"/>
        <v>10275003065</v>
      </c>
      <c r="B7126" s="7" t="str">
        <f t="shared" si="2603"/>
        <v>住吉商業高等学校</v>
      </c>
      <c r="C7126" s="7" t="str">
        <f t="shared" si="2600"/>
        <v>行政財産</v>
      </c>
      <c r="D7126" s="7" t="str">
        <f t="shared" si="2598"/>
        <v>学校</v>
      </c>
      <c r="E7126" s="7" t="str">
        <f t="shared" si="2604"/>
        <v>大阪府大阪市　住之江区御崎７丁目</v>
      </c>
      <c r="F7126" s="7"/>
      <c r="G7126" s="7" t="str">
        <f t="shared" si="2586"/>
        <v>事業用資産</v>
      </c>
      <c r="H7126" s="7" t="str">
        <f t="shared" si="2599"/>
        <v>棚卸以外</v>
      </c>
      <c r="I7126" s="7">
        <v>8</v>
      </c>
      <c r="J7126" s="7" t="str">
        <f>"特別教室棟２５－２・格技室棟２５－３（南西館２F・３F）"</f>
        <v>特別教室棟２５－２・格技室棟２５－３（南西館２F・３F）</v>
      </c>
      <c r="K7126" s="7" t="str">
        <f>"鉄骨造"</f>
        <v>鉄骨造</v>
      </c>
      <c r="L7126" s="7" t="str">
        <f>"S56.11.01"</f>
        <v>S56.11.01</v>
      </c>
      <c r="M7126" s="7">
        <v>749.72</v>
      </c>
      <c r="N7126" s="7">
        <v>15764997</v>
      </c>
      <c r="O7126" s="7">
        <v>15669452</v>
      </c>
      <c r="P7126" s="7">
        <v>0</v>
      </c>
      <c r="Q7126" s="7" t="str">
        <f t="shared" si="2587"/>
        <v>教育庁</v>
      </c>
      <c r="R7126" s="7" t="str">
        <f t="shared" si="2605"/>
        <v>住吉商業高等学校</v>
      </c>
    </row>
    <row r="7127" spans="1:18" s="1" customFormat="1" x14ac:dyDescent="0.45">
      <c r="A7127" s="7" t="str">
        <f t="shared" si="2602"/>
        <v>10275003065</v>
      </c>
      <c r="B7127" s="7" t="str">
        <f t="shared" si="2603"/>
        <v>住吉商業高等学校</v>
      </c>
      <c r="C7127" s="7" t="str">
        <f t="shared" si="2600"/>
        <v>行政財産</v>
      </c>
      <c r="D7127" s="7" t="str">
        <f t="shared" si="2598"/>
        <v>学校</v>
      </c>
      <c r="E7127" s="7" t="str">
        <f t="shared" si="2604"/>
        <v>大阪府大阪市　住之江区御崎７丁目</v>
      </c>
      <c r="F7127" s="7"/>
      <c r="G7127" s="7" t="str">
        <f t="shared" ref="G7127:G7190" si="2606">"事業用資産"</f>
        <v>事業用資産</v>
      </c>
      <c r="H7127" s="7" t="str">
        <f t="shared" si="2599"/>
        <v>棚卸以外</v>
      </c>
      <c r="I7127" s="7">
        <v>9</v>
      </c>
      <c r="J7127" s="7" t="str">
        <f>"特別・普通教室棟１２－１（南館）"</f>
        <v>特別・普通教室棟１２－１（南館）</v>
      </c>
      <c r="K7127" s="7" t="str">
        <f>"鉄筋コンクリート造"</f>
        <v>鉄筋コンクリート造</v>
      </c>
      <c r="L7127" s="7" t="str">
        <f>"S37.12.01"</f>
        <v>S37.12.01</v>
      </c>
      <c r="M7127" s="7">
        <v>859</v>
      </c>
      <c r="N7127" s="7">
        <v>52167295</v>
      </c>
      <c r="O7127" s="7">
        <v>51976199</v>
      </c>
      <c r="P7127" s="7">
        <v>0</v>
      </c>
      <c r="Q7127" s="7" t="str">
        <f t="shared" si="2587"/>
        <v>教育庁</v>
      </c>
      <c r="R7127" s="7" t="str">
        <f t="shared" si="2605"/>
        <v>住吉商業高等学校</v>
      </c>
    </row>
    <row r="7128" spans="1:18" s="1" customFormat="1" x14ac:dyDescent="0.45">
      <c r="A7128" s="7" t="str">
        <f t="shared" si="2602"/>
        <v>10275003065</v>
      </c>
      <c r="B7128" s="7" t="str">
        <f t="shared" si="2603"/>
        <v>住吉商業高等学校</v>
      </c>
      <c r="C7128" s="7" t="str">
        <f t="shared" si="2600"/>
        <v>行政財産</v>
      </c>
      <c r="D7128" s="7" t="str">
        <f t="shared" si="2598"/>
        <v>学校</v>
      </c>
      <c r="E7128" s="7" t="str">
        <f t="shared" si="2604"/>
        <v>大阪府大阪市　住之江区御崎７丁目</v>
      </c>
      <c r="F7128" s="7"/>
      <c r="G7128" s="7" t="str">
        <f t="shared" si="2606"/>
        <v>事業用資産</v>
      </c>
      <c r="H7128" s="7" t="str">
        <f t="shared" si="2599"/>
        <v>棚卸以外</v>
      </c>
      <c r="I7128" s="7">
        <v>10</v>
      </c>
      <c r="J7128" s="7" t="str">
        <f>"プール専用付属室１７"</f>
        <v>プール専用付属室１７</v>
      </c>
      <c r="K7128" s="7" t="str">
        <f>"コンクリートブロック造"</f>
        <v>コンクリートブロック造</v>
      </c>
      <c r="L7128" s="7" t="str">
        <f>"S41.07.01"</f>
        <v>S41.07.01</v>
      </c>
      <c r="M7128" s="7">
        <v>144</v>
      </c>
      <c r="N7128" s="7">
        <v>6500541</v>
      </c>
      <c r="O7128" s="7">
        <v>6404996</v>
      </c>
      <c r="P7128" s="7">
        <v>0</v>
      </c>
      <c r="Q7128" s="7" t="str">
        <f t="shared" si="2587"/>
        <v>教育庁</v>
      </c>
      <c r="R7128" s="7" t="str">
        <f t="shared" si="2605"/>
        <v>住吉商業高等学校</v>
      </c>
    </row>
    <row r="7129" spans="1:18" s="1" customFormat="1" x14ac:dyDescent="0.45">
      <c r="A7129" s="7" t="str">
        <f t="shared" si="2602"/>
        <v>10275003065</v>
      </c>
      <c r="B7129" s="7" t="str">
        <f t="shared" si="2603"/>
        <v>住吉商業高等学校</v>
      </c>
      <c r="C7129" s="7" t="str">
        <f t="shared" si="2600"/>
        <v>行政財産</v>
      </c>
      <c r="D7129" s="7" t="str">
        <f t="shared" si="2598"/>
        <v>学校</v>
      </c>
      <c r="E7129" s="7" t="str">
        <f t="shared" si="2604"/>
        <v>大阪府大阪市　住之江区御崎７丁目</v>
      </c>
      <c r="F7129" s="7"/>
      <c r="G7129" s="7" t="str">
        <f t="shared" si="2606"/>
        <v>事業用資産</v>
      </c>
      <c r="H7129" s="7" t="str">
        <f t="shared" si="2599"/>
        <v>棚卸以外</v>
      </c>
      <c r="I7129" s="7">
        <v>11</v>
      </c>
      <c r="J7129" s="7" t="str">
        <f>"食堂棟２５－１（南西館１F）"</f>
        <v>食堂棟２５－１（南西館１F）</v>
      </c>
      <c r="K7129" s="7" t="str">
        <f>"鉄骨造"</f>
        <v>鉄骨造</v>
      </c>
      <c r="L7129" s="7" t="str">
        <f>"S47.07.01"</f>
        <v>S47.07.01</v>
      </c>
      <c r="M7129" s="7">
        <v>395</v>
      </c>
      <c r="N7129" s="7">
        <v>15047320</v>
      </c>
      <c r="O7129" s="7">
        <v>14801183</v>
      </c>
      <c r="P7129" s="7">
        <v>0</v>
      </c>
      <c r="Q7129" s="7" t="str">
        <f t="shared" si="2587"/>
        <v>教育庁</v>
      </c>
      <c r="R7129" s="7" t="str">
        <f t="shared" si="2605"/>
        <v>住吉商業高等学校</v>
      </c>
    </row>
    <row r="7130" spans="1:18" s="1" customFormat="1" x14ac:dyDescent="0.45">
      <c r="A7130" s="7" t="str">
        <f t="shared" si="2602"/>
        <v>10275003065</v>
      </c>
      <c r="B7130" s="7" t="str">
        <f t="shared" si="2603"/>
        <v>住吉商業高等学校</v>
      </c>
      <c r="C7130" s="7" t="str">
        <f t="shared" si="2600"/>
        <v>行政財産</v>
      </c>
      <c r="D7130" s="7" t="str">
        <f t="shared" si="2598"/>
        <v>学校</v>
      </c>
      <c r="E7130" s="7" t="str">
        <f t="shared" si="2604"/>
        <v>大阪府大阪市　住之江区御崎７丁目</v>
      </c>
      <c r="F7130" s="7"/>
      <c r="G7130" s="7" t="str">
        <f t="shared" si="2606"/>
        <v>事業用資産</v>
      </c>
      <c r="H7130" s="7" t="str">
        <f t="shared" si="2599"/>
        <v>棚卸以外</v>
      </c>
      <c r="I7130" s="7">
        <v>12</v>
      </c>
      <c r="J7130" s="7" t="str">
        <f>"クラブ部室棟３４"</f>
        <v>クラブ部室棟３４</v>
      </c>
      <c r="K7130" s="7" t="str">
        <f>"軽量鉄骨造"</f>
        <v>軽量鉄骨造</v>
      </c>
      <c r="L7130" s="7" t="str">
        <f>"H02.09.01"</f>
        <v>H02.09.01</v>
      </c>
      <c r="M7130" s="7">
        <v>321.3</v>
      </c>
      <c r="N7130" s="7">
        <v>6249463</v>
      </c>
      <c r="O7130" s="7">
        <v>6249462</v>
      </c>
      <c r="P7130" s="7">
        <v>0</v>
      </c>
      <c r="Q7130" s="7" t="str">
        <f t="shared" si="2587"/>
        <v>教育庁</v>
      </c>
      <c r="R7130" s="7" t="str">
        <f t="shared" si="2605"/>
        <v>住吉商業高等学校</v>
      </c>
    </row>
    <row r="7131" spans="1:18" s="1" customFormat="1" x14ac:dyDescent="0.45">
      <c r="A7131" s="7" t="str">
        <f t="shared" si="2602"/>
        <v>10275003065</v>
      </c>
      <c r="B7131" s="7" t="str">
        <f t="shared" si="2603"/>
        <v>住吉商業高等学校</v>
      </c>
      <c r="C7131" s="7" t="str">
        <f t="shared" si="2600"/>
        <v>行政財産</v>
      </c>
      <c r="D7131" s="7" t="str">
        <f t="shared" si="2598"/>
        <v>学校</v>
      </c>
      <c r="E7131" s="7" t="str">
        <f t="shared" si="2604"/>
        <v>大阪府大阪市　住之江区御崎７丁目</v>
      </c>
      <c r="F7131" s="7"/>
      <c r="G7131" s="7" t="str">
        <f t="shared" si="2606"/>
        <v>事業用資産</v>
      </c>
      <c r="H7131" s="7" t="str">
        <f t="shared" si="2599"/>
        <v>棚卸以外</v>
      </c>
      <c r="I7131" s="7">
        <v>13</v>
      </c>
      <c r="J7131" s="7" t="str">
        <f>"体育館３８"</f>
        <v>体育館３８</v>
      </c>
      <c r="K7131" s="7" t="str">
        <f>"鉄筋コンクリート造"</f>
        <v>鉄筋コンクリート造</v>
      </c>
      <c r="L7131" s="7" t="str">
        <f>"H26.04.03"</f>
        <v>H26.04.03</v>
      </c>
      <c r="M7131" s="7">
        <v>1682.23</v>
      </c>
      <c r="N7131" s="7">
        <v>405452779</v>
      </c>
      <c r="O7131" s="7">
        <v>9291634</v>
      </c>
      <c r="P7131" s="7">
        <v>0</v>
      </c>
      <c r="Q7131" s="7" t="str">
        <f t="shared" ref="Q7131:Q7154" si="2607">"教育庁"</f>
        <v>教育庁</v>
      </c>
      <c r="R7131" s="7" t="str">
        <f t="shared" si="2605"/>
        <v>住吉商業高等学校</v>
      </c>
    </row>
    <row r="7132" spans="1:18" s="1" customFormat="1" x14ac:dyDescent="0.45">
      <c r="A7132" s="7" t="str">
        <f t="shared" si="2602"/>
        <v>10275003065</v>
      </c>
      <c r="B7132" s="7" t="str">
        <f t="shared" si="2603"/>
        <v>住吉商業高等学校</v>
      </c>
      <c r="C7132" s="7" t="str">
        <f t="shared" si="2600"/>
        <v>行政財産</v>
      </c>
      <c r="D7132" s="7" t="str">
        <f t="shared" si="2598"/>
        <v>学校</v>
      </c>
      <c r="E7132" s="7" t="str">
        <f t="shared" si="2604"/>
        <v>大阪府大阪市　住之江区御崎７丁目</v>
      </c>
      <c r="F7132" s="7"/>
      <c r="G7132" s="7" t="str">
        <f t="shared" si="2606"/>
        <v>事業用資産</v>
      </c>
      <c r="H7132" s="7" t="str">
        <f t="shared" si="2599"/>
        <v>棚卸以外</v>
      </c>
      <c r="I7132" s="7">
        <v>14</v>
      </c>
      <c r="J7132" s="7" t="str">
        <f>"特別教室棟４０（新館）"</f>
        <v>特別教室棟４０（新館）</v>
      </c>
      <c r="K7132" s="7" t="str">
        <f>"鉄筋コンクリート造"</f>
        <v>鉄筋コンクリート造</v>
      </c>
      <c r="L7132" s="7" t="str">
        <f t="shared" ref="L7132:L7141" si="2608">"H28.03.31"</f>
        <v>H28.03.31</v>
      </c>
      <c r="M7132" s="7">
        <v>1066</v>
      </c>
      <c r="N7132" s="7">
        <v>192536875</v>
      </c>
      <c r="O7132" s="7">
        <v>4304696</v>
      </c>
      <c r="P7132" s="7">
        <v>0</v>
      </c>
      <c r="Q7132" s="7" t="str">
        <f t="shared" si="2607"/>
        <v>教育庁</v>
      </c>
      <c r="R7132" s="7" t="str">
        <f t="shared" si="2605"/>
        <v>住吉商業高等学校</v>
      </c>
    </row>
    <row r="7133" spans="1:18" s="1" customFormat="1" x14ac:dyDescent="0.45">
      <c r="A7133" s="7" t="str">
        <f t="shared" si="2602"/>
        <v>10275003065</v>
      </c>
      <c r="B7133" s="7" t="str">
        <f t="shared" si="2603"/>
        <v>住吉商業高等学校</v>
      </c>
      <c r="C7133" s="7" t="str">
        <f t="shared" si="2600"/>
        <v>行政財産</v>
      </c>
      <c r="D7133" s="7" t="str">
        <f t="shared" si="2598"/>
        <v>学校</v>
      </c>
      <c r="E7133" s="7" t="str">
        <f t="shared" si="2604"/>
        <v>大阪府大阪市　住之江区御崎７丁目</v>
      </c>
      <c r="F7133" s="7"/>
      <c r="G7133" s="7" t="str">
        <f t="shared" si="2606"/>
        <v>事業用資産</v>
      </c>
      <c r="H7133" s="7" t="str">
        <f t="shared" si="2599"/>
        <v>棚卸以外</v>
      </c>
      <c r="I7133" s="7">
        <v>15</v>
      </c>
      <c r="J7133" s="7" t="str">
        <f>"渡り廊下棟"</f>
        <v>渡り廊下棟</v>
      </c>
      <c r="K7133" s="7" t="str">
        <f t="shared" ref="K7133:K7143" si="2609">"鉄骨造"</f>
        <v>鉄骨造</v>
      </c>
      <c r="L7133" s="7" t="str">
        <f t="shared" si="2608"/>
        <v>H28.03.31</v>
      </c>
      <c r="M7133" s="7">
        <v>42</v>
      </c>
      <c r="N7133" s="7">
        <v>14971697</v>
      </c>
      <c r="O7133" s="7">
        <v>548966</v>
      </c>
      <c r="P7133" s="7">
        <v>0</v>
      </c>
      <c r="Q7133" s="7" t="str">
        <f t="shared" si="2607"/>
        <v>教育庁</v>
      </c>
      <c r="R7133" s="7" t="str">
        <f t="shared" si="2605"/>
        <v>住吉商業高等学校</v>
      </c>
    </row>
    <row r="7134" spans="1:18" s="1" customFormat="1" x14ac:dyDescent="0.45">
      <c r="A7134" s="7" t="str">
        <f t="shared" si="2602"/>
        <v>10275003065</v>
      </c>
      <c r="B7134" s="7" t="str">
        <f t="shared" si="2603"/>
        <v>住吉商業高等学校</v>
      </c>
      <c r="C7134" s="7" t="str">
        <f t="shared" si="2600"/>
        <v>行政財産</v>
      </c>
      <c r="D7134" s="7" t="str">
        <f t="shared" si="2598"/>
        <v>学校</v>
      </c>
      <c r="E7134" s="7" t="str">
        <f t="shared" si="2604"/>
        <v>大阪府大阪市　住之江区御崎７丁目</v>
      </c>
      <c r="F7134" s="7"/>
      <c r="G7134" s="7" t="str">
        <f t="shared" si="2606"/>
        <v>事業用資産</v>
      </c>
      <c r="H7134" s="7" t="str">
        <f t="shared" si="2599"/>
        <v>棚卸以外</v>
      </c>
      <c r="I7134" s="7">
        <v>16</v>
      </c>
      <c r="J7134" s="7" t="str">
        <f>"部室棟３９"</f>
        <v>部室棟３９</v>
      </c>
      <c r="K7134" s="7" t="str">
        <f t="shared" si="2609"/>
        <v>鉄骨造</v>
      </c>
      <c r="L7134" s="7" t="str">
        <f t="shared" si="2608"/>
        <v>H28.03.31</v>
      </c>
      <c r="M7134" s="7">
        <v>113</v>
      </c>
      <c r="N7134" s="7">
        <v>26282320</v>
      </c>
      <c r="O7134" s="7">
        <v>860442</v>
      </c>
      <c r="P7134" s="7">
        <v>0</v>
      </c>
      <c r="Q7134" s="7" t="str">
        <f t="shared" si="2607"/>
        <v>教育庁</v>
      </c>
      <c r="R7134" s="7" t="str">
        <f t="shared" si="2605"/>
        <v>住吉商業高等学校</v>
      </c>
    </row>
    <row r="7135" spans="1:18" s="1" customFormat="1" x14ac:dyDescent="0.45">
      <c r="A7135" s="7" t="str">
        <f t="shared" si="2602"/>
        <v>10275003065</v>
      </c>
      <c r="B7135" s="7" t="str">
        <f t="shared" si="2603"/>
        <v>住吉商業高等学校</v>
      </c>
      <c r="C7135" s="7" t="str">
        <f t="shared" si="2600"/>
        <v>行政財産</v>
      </c>
      <c r="D7135" s="7" t="str">
        <f t="shared" si="2598"/>
        <v>学校</v>
      </c>
      <c r="E7135" s="7" t="str">
        <f t="shared" si="2604"/>
        <v>大阪府大阪市　住之江区御崎７丁目</v>
      </c>
      <c r="F7135" s="7"/>
      <c r="G7135" s="7" t="str">
        <f t="shared" si="2606"/>
        <v>事業用資産</v>
      </c>
      <c r="H7135" s="7" t="str">
        <f t="shared" si="2599"/>
        <v>棚卸以外</v>
      </c>
      <c r="I7135" s="7">
        <v>17</v>
      </c>
      <c r="J7135" s="7" t="str">
        <f>"渡り廊下（１）"</f>
        <v>渡り廊下（１）</v>
      </c>
      <c r="K7135" s="7" t="str">
        <f t="shared" si="2609"/>
        <v>鉄骨造</v>
      </c>
      <c r="L7135" s="7" t="str">
        <f t="shared" si="2608"/>
        <v>H28.03.31</v>
      </c>
      <c r="M7135" s="7">
        <v>101</v>
      </c>
      <c r="N7135" s="7">
        <v>9965781</v>
      </c>
      <c r="O7135" s="7">
        <v>365420</v>
      </c>
      <c r="P7135" s="7">
        <v>0</v>
      </c>
      <c r="Q7135" s="7" t="str">
        <f t="shared" si="2607"/>
        <v>教育庁</v>
      </c>
      <c r="R7135" s="7" t="str">
        <f t="shared" si="2605"/>
        <v>住吉商業高等学校</v>
      </c>
    </row>
    <row r="7136" spans="1:18" s="1" customFormat="1" x14ac:dyDescent="0.45">
      <c r="A7136" s="7" t="str">
        <f t="shared" si="2602"/>
        <v>10275003065</v>
      </c>
      <c r="B7136" s="7" t="str">
        <f t="shared" si="2603"/>
        <v>住吉商業高等学校</v>
      </c>
      <c r="C7136" s="7" t="str">
        <f t="shared" si="2600"/>
        <v>行政財産</v>
      </c>
      <c r="D7136" s="7" t="str">
        <f t="shared" si="2598"/>
        <v>学校</v>
      </c>
      <c r="E7136" s="7" t="str">
        <f t="shared" si="2604"/>
        <v>大阪府大阪市　住之江区御崎７丁目</v>
      </c>
      <c r="F7136" s="7"/>
      <c r="G7136" s="7" t="str">
        <f t="shared" si="2606"/>
        <v>事業用資産</v>
      </c>
      <c r="H7136" s="7" t="str">
        <f t="shared" si="2599"/>
        <v>棚卸以外</v>
      </c>
      <c r="I7136" s="7">
        <v>18</v>
      </c>
      <c r="J7136" s="7" t="str">
        <f>"渡り廊下（２）"</f>
        <v>渡り廊下（２）</v>
      </c>
      <c r="K7136" s="7" t="str">
        <f t="shared" si="2609"/>
        <v>鉄骨造</v>
      </c>
      <c r="L7136" s="7" t="str">
        <f t="shared" si="2608"/>
        <v>H28.03.31</v>
      </c>
      <c r="M7136" s="7">
        <v>77</v>
      </c>
      <c r="N7136" s="7">
        <v>14484580</v>
      </c>
      <c r="O7136" s="7">
        <v>531102</v>
      </c>
      <c r="P7136" s="7">
        <v>0</v>
      </c>
      <c r="Q7136" s="7" t="str">
        <f t="shared" si="2607"/>
        <v>教育庁</v>
      </c>
      <c r="R7136" s="7" t="str">
        <f t="shared" si="2605"/>
        <v>住吉商業高等学校</v>
      </c>
    </row>
    <row r="7137" spans="1:18" s="1" customFormat="1" x14ac:dyDescent="0.45">
      <c r="A7137" s="7" t="str">
        <f t="shared" si="2602"/>
        <v>10275003065</v>
      </c>
      <c r="B7137" s="7" t="str">
        <f t="shared" si="2603"/>
        <v>住吉商業高等学校</v>
      </c>
      <c r="C7137" s="7" t="str">
        <f t="shared" si="2600"/>
        <v>行政財産</v>
      </c>
      <c r="D7137" s="7" t="str">
        <f t="shared" si="2598"/>
        <v>学校</v>
      </c>
      <c r="E7137" s="7" t="str">
        <f t="shared" si="2604"/>
        <v>大阪府大阪市　住之江区御崎７丁目</v>
      </c>
      <c r="F7137" s="7"/>
      <c r="G7137" s="7" t="str">
        <f t="shared" si="2606"/>
        <v>事業用資産</v>
      </c>
      <c r="H7137" s="7" t="str">
        <f t="shared" si="2599"/>
        <v>棚卸以外</v>
      </c>
      <c r="I7137" s="7">
        <v>19</v>
      </c>
      <c r="J7137" s="7" t="str">
        <f>"倉庫４１"</f>
        <v>倉庫４１</v>
      </c>
      <c r="K7137" s="7" t="str">
        <f t="shared" si="2609"/>
        <v>鉄骨造</v>
      </c>
      <c r="L7137" s="7" t="str">
        <f t="shared" si="2608"/>
        <v>H28.03.31</v>
      </c>
      <c r="M7137" s="7">
        <v>16</v>
      </c>
      <c r="N7137" s="7">
        <v>571881</v>
      </c>
      <c r="O7137" s="7">
        <v>20977</v>
      </c>
      <c r="P7137" s="7">
        <v>0</v>
      </c>
      <c r="Q7137" s="7" t="str">
        <f t="shared" si="2607"/>
        <v>教育庁</v>
      </c>
      <c r="R7137" s="7" t="str">
        <f t="shared" si="2605"/>
        <v>住吉商業高等学校</v>
      </c>
    </row>
    <row r="7138" spans="1:18" s="1" customFormat="1" x14ac:dyDescent="0.45">
      <c r="A7138" s="7" t="str">
        <f t="shared" si="2602"/>
        <v>10275003065</v>
      </c>
      <c r="B7138" s="7" t="str">
        <f t="shared" si="2603"/>
        <v>住吉商業高等学校</v>
      </c>
      <c r="C7138" s="7" t="str">
        <f t="shared" si="2600"/>
        <v>行政財産</v>
      </c>
      <c r="D7138" s="7" t="str">
        <f t="shared" si="2598"/>
        <v>学校</v>
      </c>
      <c r="E7138" s="7" t="str">
        <f t="shared" si="2604"/>
        <v>大阪府大阪市　住之江区御崎７丁目</v>
      </c>
      <c r="F7138" s="7"/>
      <c r="G7138" s="7" t="str">
        <f t="shared" si="2606"/>
        <v>事業用資産</v>
      </c>
      <c r="H7138" s="7" t="str">
        <f t="shared" si="2599"/>
        <v>棚卸以外</v>
      </c>
      <c r="I7138" s="7">
        <v>20</v>
      </c>
      <c r="J7138" s="7" t="str">
        <f>"自転車置場（１）"</f>
        <v>自転車置場（１）</v>
      </c>
      <c r="K7138" s="7" t="str">
        <f t="shared" si="2609"/>
        <v>鉄骨造</v>
      </c>
      <c r="L7138" s="7" t="str">
        <f t="shared" si="2608"/>
        <v>H28.03.31</v>
      </c>
      <c r="M7138" s="7">
        <v>73</v>
      </c>
      <c r="N7138" s="7">
        <v>1573685</v>
      </c>
      <c r="O7138" s="7">
        <v>57706</v>
      </c>
      <c r="P7138" s="7">
        <v>0</v>
      </c>
      <c r="Q7138" s="7" t="str">
        <f t="shared" si="2607"/>
        <v>教育庁</v>
      </c>
      <c r="R7138" s="7" t="str">
        <f t="shared" si="2605"/>
        <v>住吉商業高等学校</v>
      </c>
    </row>
    <row r="7139" spans="1:18" s="1" customFormat="1" x14ac:dyDescent="0.45">
      <c r="A7139" s="7" t="str">
        <f t="shared" si="2602"/>
        <v>10275003065</v>
      </c>
      <c r="B7139" s="7" t="str">
        <f t="shared" si="2603"/>
        <v>住吉商業高等学校</v>
      </c>
      <c r="C7139" s="7" t="str">
        <f t="shared" si="2600"/>
        <v>行政財産</v>
      </c>
      <c r="D7139" s="7" t="str">
        <f t="shared" si="2598"/>
        <v>学校</v>
      </c>
      <c r="E7139" s="7" t="str">
        <f t="shared" si="2604"/>
        <v>大阪府大阪市　住之江区御崎７丁目</v>
      </c>
      <c r="F7139" s="7"/>
      <c r="G7139" s="7" t="str">
        <f t="shared" si="2606"/>
        <v>事業用資産</v>
      </c>
      <c r="H7139" s="7" t="str">
        <f t="shared" si="2599"/>
        <v>棚卸以外</v>
      </c>
      <c r="I7139" s="7">
        <v>21</v>
      </c>
      <c r="J7139" s="7" t="str">
        <f>"自転車置場（２・３・８）"</f>
        <v>自転車置場（２・３・８）</v>
      </c>
      <c r="K7139" s="7" t="str">
        <f t="shared" si="2609"/>
        <v>鉄骨造</v>
      </c>
      <c r="L7139" s="7" t="str">
        <f t="shared" si="2608"/>
        <v>H28.03.31</v>
      </c>
      <c r="M7139" s="7">
        <v>31</v>
      </c>
      <c r="N7139" s="7">
        <v>2064220</v>
      </c>
      <c r="O7139" s="7">
        <v>75691</v>
      </c>
      <c r="P7139" s="7">
        <v>0</v>
      </c>
      <c r="Q7139" s="7" t="str">
        <f t="shared" si="2607"/>
        <v>教育庁</v>
      </c>
      <c r="R7139" s="7" t="str">
        <f t="shared" si="2605"/>
        <v>住吉商業高等学校</v>
      </c>
    </row>
    <row r="7140" spans="1:18" s="1" customFormat="1" x14ac:dyDescent="0.45">
      <c r="A7140" s="7" t="str">
        <f t="shared" si="2602"/>
        <v>10275003065</v>
      </c>
      <c r="B7140" s="7" t="str">
        <f t="shared" si="2603"/>
        <v>住吉商業高等学校</v>
      </c>
      <c r="C7140" s="7" t="str">
        <f t="shared" si="2600"/>
        <v>行政財産</v>
      </c>
      <c r="D7140" s="7" t="str">
        <f t="shared" si="2598"/>
        <v>学校</v>
      </c>
      <c r="E7140" s="7" t="str">
        <f t="shared" si="2604"/>
        <v>大阪府大阪市　住之江区御崎７丁目</v>
      </c>
      <c r="F7140" s="7"/>
      <c r="G7140" s="7" t="str">
        <f t="shared" si="2606"/>
        <v>事業用資産</v>
      </c>
      <c r="H7140" s="7" t="str">
        <f t="shared" si="2599"/>
        <v>棚卸以外</v>
      </c>
      <c r="I7140" s="7">
        <v>22</v>
      </c>
      <c r="J7140" s="7" t="str">
        <f>"自転車置場（４・６・７）"</f>
        <v>自転車置場（４・６・７）</v>
      </c>
      <c r="K7140" s="7" t="str">
        <f t="shared" si="2609"/>
        <v>鉄骨造</v>
      </c>
      <c r="L7140" s="7" t="str">
        <f t="shared" si="2608"/>
        <v>H28.03.31</v>
      </c>
      <c r="M7140" s="7">
        <v>62</v>
      </c>
      <c r="N7140" s="7">
        <v>4127440</v>
      </c>
      <c r="O7140" s="7">
        <v>151349</v>
      </c>
      <c r="P7140" s="7">
        <v>0</v>
      </c>
      <c r="Q7140" s="7" t="str">
        <f t="shared" si="2607"/>
        <v>教育庁</v>
      </c>
      <c r="R7140" s="7" t="str">
        <f t="shared" si="2605"/>
        <v>住吉商業高等学校</v>
      </c>
    </row>
    <row r="7141" spans="1:18" s="1" customFormat="1" x14ac:dyDescent="0.45">
      <c r="A7141" s="7" t="str">
        <f t="shared" si="2602"/>
        <v>10275003065</v>
      </c>
      <c r="B7141" s="7" t="str">
        <f t="shared" si="2603"/>
        <v>住吉商業高等学校</v>
      </c>
      <c r="C7141" s="7" t="str">
        <f t="shared" si="2600"/>
        <v>行政財産</v>
      </c>
      <c r="D7141" s="7" t="str">
        <f t="shared" si="2598"/>
        <v>学校</v>
      </c>
      <c r="E7141" s="7" t="str">
        <f t="shared" si="2604"/>
        <v>大阪府大阪市　住之江区御崎７丁目</v>
      </c>
      <c r="F7141" s="7"/>
      <c r="G7141" s="7" t="str">
        <f t="shared" si="2606"/>
        <v>事業用資産</v>
      </c>
      <c r="H7141" s="7" t="str">
        <f t="shared" si="2599"/>
        <v>棚卸以外</v>
      </c>
      <c r="I7141" s="7">
        <v>23</v>
      </c>
      <c r="J7141" s="7" t="str">
        <f>"ゴミ置場"</f>
        <v>ゴミ置場</v>
      </c>
      <c r="K7141" s="7" t="str">
        <f t="shared" si="2609"/>
        <v>鉄骨造</v>
      </c>
      <c r="L7141" s="7" t="str">
        <f t="shared" si="2608"/>
        <v>H28.03.31</v>
      </c>
      <c r="M7141" s="7">
        <v>11</v>
      </c>
      <c r="N7141" s="7">
        <v>791768</v>
      </c>
      <c r="O7141" s="7">
        <v>29040</v>
      </c>
      <c r="P7141" s="7">
        <v>0</v>
      </c>
      <c r="Q7141" s="7" t="str">
        <f t="shared" si="2607"/>
        <v>教育庁</v>
      </c>
      <c r="R7141" s="7" t="str">
        <f t="shared" si="2605"/>
        <v>住吉商業高等学校</v>
      </c>
    </row>
    <row r="7142" spans="1:18" s="1" customFormat="1" x14ac:dyDescent="0.45">
      <c r="A7142" s="7" t="str">
        <f t="shared" si="2602"/>
        <v>10275003065</v>
      </c>
      <c r="B7142" s="7" t="str">
        <f t="shared" si="2603"/>
        <v>住吉商業高等学校</v>
      </c>
      <c r="C7142" s="7" t="str">
        <f t="shared" si="2600"/>
        <v>行政財産</v>
      </c>
      <c r="D7142" s="7" t="str">
        <f t="shared" si="2598"/>
        <v>学校</v>
      </c>
      <c r="E7142" s="7" t="str">
        <f t="shared" si="2604"/>
        <v>大阪府大阪市　住之江区御崎７丁目</v>
      </c>
      <c r="F7142" s="7"/>
      <c r="G7142" s="7" t="str">
        <f t="shared" si="2606"/>
        <v>事業用資産</v>
      </c>
      <c r="H7142" s="7" t="str">
        <f t="shared" si="2599"/>
        <v>棚卸以外</v>
      </c>
      <c r="I7142" s="7">
        <v>24</v>
      </c>
      <c r="J7142" s="7" t="str">
        <f>"渡り廊下３１"</f>
        <v>渡り廊下３１</v>
      </c>
      <c r="K7142" s="7" t="str">
        <f t="shared" si="2609"/>
        <v>鉄骨造</v>
      </c>
      <c r="L7142" s="7" t="str">
        <f>"S55.03.31"</f>
        <v>S55.03.31</v>
      </c>
      <c r="M7142" s="7">
        <v>25</v>
      </c>
      <c r="N7142" s="7">
        <v>1224191</v>
      </c>
      <c r="O7142" s="7">
        <v>1224190</v>
      </c>
      <c r="P7142" s="7">
        <v>0</v>
      </c>
      <c r="Q7142" s="7" t="str">
        <f t="shared" si="2607"/>
        <v>教育庁</v>
      </c>
      <c r="R7142" s="7" t="str">
        <f t="shared" si="2605"/>
        <v>住吉商業高等学校</v>
      </c>
    </row>
    <row r="7143" spans="1:18" s="1" customFormat="1" x14ac:dyDescent="0.45">
      <c r="A7143" s="7" t="str">
        <f t="shared" si="2602"/>
        <v>10275003065</v>
      </c>
      <c r="B7143" s="7" t="str">
        <f t="shared" si="2603"/>
        <v>住吉商業高等学校</v>
      </c>
      <c r="C7143" s="7" t="str">
        <f t="shared" si="2600"/>
        <v>行政財産</v>
      </c>
      <c r="D7143" s="7" t="str">
        <f t="shared" si="2598"/>
        <v>学校</v>
      </c>
      <c r="E7143" s="7" t="str">
        <f t="shared" si="2604"/>
        <v>大阪府大阪市　住之江区御崎７丁目</v>
      </c>
      <c r="F7143" s="7"/>
      <c r="G7143" s="7" t="str">
        <f t="shared" si="2606"/>
        <v>事業用資産</v>
      </c>
      <c r="H7143" s="7" t="str">
        <f t="shared" si="2599"/>
        <v>棚卸以外</v>
      </c>
      <c r="I7143" s="7">
        <v>25</v>
      </c>
      <c r="J7143" s="7" t="str">
        <f>"体育倉庫３５"</f>
        <v>体育倉庫３５</v>
      </c>
      <c r="K7143" s="7" t="str">
        <f t="shared" si="2609"/>
        <v>鉄骨造</v>
      </c>
      <c r="L7143" s="7" t="str">
        <f>"H02.09.30"</f>
        <v>H02.09.30</v>
      </c>
      <c r="M7143" s="7">
        <v>48</v>
      </c>
      <c r="N7143" s="7">
        <v>826148</v>
      </c>
      <c r="O7143" s="7">
        <v>826147</v>
      </c>
      <c r="P7143" s="7">
        <v>0</v>
      </c>
      <c r="Q7143" s="7" t="str">
        <f t="shared" si="2607"/>
        <v>教育庁</v>
      </c>
      <c r="R7143" s="7" t="str">
        <f t="shared" si="2605"/>
        <v>住吉商業高等学校</v>
      </c>
    </row>
    <row r="7144" spans="1:18" s="1" customFormat="1" x14ac:dyDescent="0.45">
      <c r="A7144" s="7" t="str">
        <f t="shared" si="2602"/>
        <v>10275003065</v>
      </c>
      <c r="B7144" s="7" t="str">
        <f t="shared" si="2603"/>
        <v>住吉商業高等学校</v>
      </c>
      <c r="C7144" s="7" t="str">
        <f t="shared" si="2600"/>
        <v>行政財産</v>
      </c>
      <c r="D7144" s="7" t="str">
        <f t="shared" si="2598"/>
        <v>学校</v>
      </c>
      <c r="E7144" s="7" t="str">
        <f t="shared" si="2604"/>
        <v>大阪府大阪市　住之江区御崎７丁目</v>
      </c>
      <c r="F7144" s="7"/>
      <c r="G7144" s="7" t="str">
        <f t="shared" si="2606"/>
        <v>事業用資産</v>
      </c>
      <c r="H7144" s="7" t="str">
        <f t="shared" si="2599"/>
        <v>棚卸以外</v>
      </c>
      <c r="I7144" s="7">
        <v>26</v>
      </c>
      <c r="J7144" s="7" t="str">
        <f>"渡り廊下棟３６"</f>
        <v>渡り廊下棟３６</v>
      </c>
      <c r="K7144" s="7" t="str">
        <f t="shared" ref="K7144:K7150" si="2610">"鉄筋コンクリート造"</f>
        <v>鉄筋コンクリート造</v>
      </c>
      <c r="L7144" s="7" t="str">
        <f>"S48.06.30"</f>
        <v>S48.06.30</v>
      </c>
      <c r="M7144" s="7">
        <v>65</v>
      </c>
      <c r="N7144" s="7">
        <v>1747748</v>
      </c>
      <c r="O7144" s="7">
        <v>1747747</v>
      </c>
      <c r="P7144" s="7">
        <v>0</v>
      </c>
      <c r="Q7144" s="7" t="str">
        <f t="shared" si="2607"/>
        <v>教育庁</v>
      </c>
      <c r="R7144" s="7" t="str">
        <f t="shared" si="2605"/>
        <v>住吉商業高等学校</v>
      </c>
    </row>
    <row r="7145" spans="1:18" s="1" customFormat="1" x14ac:dyDescent="0.45">
      <c r="A7145" s="7" t="str">
        <f t="shared" si="2602"/>
        <v>10275003065</v>
      </c>
      <c r="B7145" s="7" t="str">
        <f t="shared" si="2603"/>
        <v>住吉商業高等学校</v>
      </c>
      <c r="C7145" s="7" t="str">
        <f t="shared" si="2600"/>
        <v>行政財産</v>
      </c>
      <c r="D7145" s="7" t="str">
        <f t="shared" si="2598"/>
        <v>学校</v>
      </c>
      <c r="E7145" s="7" t="str">
        <f t="shared" si="2604"/>
        <v>大阪府大阪市　住之江区御崎７丁目</v>
      </c>
      <c r="F7145" s="7"/>
      <c r="G7145" s="7" t="str">
        <f t="shared" si="2606"/>
        <v>事業用資産</v>
      </c>
      <c r="H7145" s="7" t="str">
        <f t="shared" si="2599"/>
        <v>棚卸以外</v>
      </c>
      <c r="I7145" s="7">
        <v>27</v>
      </c>
      <c r="J7145" s="7" t="str">
        <f>"設備棟（電気室）３７"</f>
        <v>設備棟（電気室）３７</v>
      </c>
      <c r="K7145" s="7" t="str">
        <f t="shared" si="2610"/>
        <v>鉄筋コンクリート造</v>
      </c>
      <c r="L7145" s="7" t="str">
        <f>"S52.03.31"</f>
        <v>S52.03.31</v>
      </c>
      <c r="M7145" s="7">
        <v>84</v>
      </c>
      <c r="N7145" s="7">
        <v>1662198</v>
      </c>
      <c r="O7145" s="7">
        <v>1662197</v>
      </c>
      <c r="P7145" s="7">
        <v>0</v>
      </c>
      <c r="Q7145" s="7" t="str">
        <f t="shared" si="2607"/>
        <v>教育庁</v>
      </c>
      <c r="R7145" s="7" t="str">
        <f t="shared" si="2605"/>
        <v>住吉商業高等学校</v>
      </c>
    </row>
    <row r="7146" spans="1:18" s="1" customFormat="1" x14ac:dyDescent="0.45">
      <c r="A7146" s="7" t="str">
        <f t="shared" ref="A7146:A7152" si="2611">"10275003067"</f>
        <v>10275003067</v>
      </c>
      <c r="B7146" s="7" t="str">
        <f t="shared" ref="B7146:B7152" si="2612">"咲くやこの花高等学校"</f>
        <v>咲くやこの花高等学校</v>
      </c>
      <c r="C7146" s="7" t="str">
        <f t="shared" si="2600"/>
        <v>行政財産</v>
      </c>
      <c r="D7146" s="7" t="str">
        <f t="shared" si="2598"/>
        <v>学校</v>
      </c>
      <c r="E7146" s="7" t="str">
        <f t="shared" ref="E7146:E7152" si="2613">"大阪府大阪市　此花区西九条６丁目"</f>
        <v>大阪府大阪市　此花区西九条６丁目</v>
      </c>
      <c r="F7146" s="7"/>
      <c r="G7146" s="7" t="str">
        <f t="shared" si="2606"/>
        <v>事業用資産</v>
      </c>
      <c r="H7146" s="7" t="str">
        <f t="shared" si="2599"/>
        <v>棚卸以外</v>
      </c>
      <c r="I7146" s="7">
        <v>1</v>
      </c>
      <c r="J7146" s="7" t="str">
        <f>"校舎棟"</f>
        <v>校舎棟</v>
      </c>
      <c r="K7146" s="7" t="str">
        <f t="shared" si="2610"/>
        <v>鉄筋コンクリート造</v>
      </c>
      <c r="L7146" s="7" t="str">
        <f t="shared" ref="L7146:L7152" si="2614">"H20.03.20"</f>
        <v>H20.03.20</v>
      </c>
      <c r="M7146" s="7">
        <v>18781.53</v>
      </c>
      <c r="N7146" s="7">
        <v>2693266852</v>
      </c>
      <c r="O7146" s="7">
        <v>74812969</v>
      </c>
      <c r="P7146" s="7">
        <v>0</v>
      </c>
      <c r="Q7146" s="7" t="str">
        <f t="shared" si="2607"/>
        <v>教育庁</v>
      </c>
      <c r="R7146" s="7" t="str">
        <f t="shared" ref="R7146:R7152" si="2615">"咲くやこの花高等学校"</f>
        <v>咲くやこの花高等学校</v>
      </c>
    </row>
    <row r="7147" spans="1:18" s="1" customFormat="1" x14ac:dyDescent="0.45">
      <c r="A7147" s="7" t="str">
        <f t="shared" si="2611"/>
        <v>10275003067</v>
      </c>
      <c r="B7147" s="7" t="str">
        <f t="shared" si="2612"/>
        <v>咲くやこの花高等学校</v>
      </c>
      <c r="C7147" s="7" t="str">
        <f t="shared" si="2600"/>
        <v>行政財産</v>
      </c>
      <c r="D7147" s="7" t="str">
        <f t="shared" si="2598"/>
        <v>学校</v>
      </c>
      <c r="E7147" s="7" t="str">
        <f t="shared" si="2613"/>
        <v>大阪府大阪市　此花区西九条６丁目</v>
      </c>
      <c r="F7147" s="7"/>
      <c r="G7147" s="7" t="str">
        <f t="shared" si="2606"/>
        <v>事業用資産</v>
      </c>
      <c r="H7147" s="7" t="str">
        <f t="shared" si="2599"/>
        <v>棚卸以外</v>
      </c>
      <c r="I7147" s="7">
        <v>2</v>
      </c>
      <c r="J7147" s="7" t="str">
        <f>"体育館棟"</f>
        <v>体育館棟</v>
      </c>
      <c r="K7147" s="7" t="str">
        <f t="shared" si="2610"/>
        <v>鉄筋コンクリート造</v>
      </c>
      <c r="L7147" s="7" t="str">
        <f t="shared" si="2614"/>
        <v>H20.03.20</v>
      </c>
      <c r="M7147" s="7">
        <v>5395.98</v>
      </c>
      <c r="N7147" s="7">
        <v>960446104</v>
      </c>
      <c r="O7147" s="7">
        <v>26679059</v>
      </c>
      <c r="P7147" s="7">
        <v>0</v>
      </c>
      <c r="Q7147" s="7" t="str">
        <f t="shared" si="2607"/>
        <v>教育庁</v>
      </c>
      <c r="R7147" s="7" t="str">
        <f t="shared" si="2615"/>
        <v>咲くやこの花高等学校</v>
      </c>
    </row>
    <row r="7148" spans="1:18" s="1" customFormat="1" x14ac:dyDescent="0.45">
      <c r="A7148" s="7" t="str">
        <f t="shared" si="2611"/>
        <v>10275003067</v>
      </c>
      <c r="B7148" s="7" t="str">
        <f t="shared" si="2612"/>
        <v>咲くやこの花高等学校</v>
      </c>
      <c r="C7148" s="7" t="str">
        <f t="shared" si="2600"/>
        <v>行政財産</v>
      </c>
      <c r="D7148" s="7" t="str">
        <f t="shared" si="2598"/>
        <v>学校</v>
      </c>
      <c r="E7148" s="7" t="str">
        <f t="shared" si="2613"/>
        <v>大阪府大阪市　此花区西九条６丁目</v>
      </c>
      <c r="F7148" s="7"/>
      <c r="G7148" s="7" t="str">
        <f t="shared" si="2606"/>
        <v>事業用資産</v>
      </c>
      <c r="H7148" s="7" t="str">
        <f t="shared" si="2599"/>
        <v>棚卸以外</v>
      </c>
      <c r="I7148" s="7">
        <v>3</v>
      </c>
      <c r="J7148" s="7" t="str">
        <f>"電気室棟"</f>
        <v>電気室棟</v>
      </c>
      <c r="K7148" s="7" t="str">
        <f t="shared" si="2610"/>
        <v>鉄筋コンクリート造</v>
      </c>
      <c r="L7148" s="7" t="str">
        <f t="shared" si="2614"/>
        <v>H20.03.20</v>
      </c>
      <c r="M7148" s="7">
        <v>82.5</v>
      </c>
      <c r="N7148" s="7">
        <v>28378525</v>
      </c>
      <c r="O7148" s="7">
        <v>1083907</v>
      </c>
      <c r="P7148" s="7">
        <v>0</v>
      </c>
      <c r="Q7148" s="7" t="str">
        <f t="shared" si="2607"/>
        <v>教育庁</v>
      </c>
      <c r="R7148" s="7" t="str">
        <f t="shared" si="2615"/>
        <v>咲くやこの花高等学校</v>
      </c>
    </row>
    <row r="7149" spans="1:18" s="1" customFormat="1" x14ac:dyDescent="0.45">
      <c r="A7149" s="7" t="str">
        <f t="shared" si="2611"/>
        <v>10275003067</v>
      </c>
      <c r="B7149" s="7" t="str">
        <f t="shared" si="2612"/>
        <v>咲くやこの花高等学校</v>
      </c>
      <c r="C7149" s="7" t="str">
        <f t="shared" si="2600"/>
        <v>行政財産</v>
      </c>
      <c r="D7149" s="7" t="str">
        <f t="shared" si="2598"/>
        <v>学校</v>
      </c>
      <c r="E7149" s="7" t="str">
        <f t="shared" si="2613"/>
        <v>大阪府大阪市　此花区西九条６丁目</v>
      </c>
      <c r="F7149" s="7"/>
      <c r="G7149" s="7" t="str">
        <f t="shared" si="2606"/>
        <v>事業用資産</v>
      </c>
      <c r="H7149" s="7" t="str">
        <f t="shared" si="2599"/>
        <v>棚卸以外</v>
      </c>
      <c r="I7149" s="7">
        <v>4</v>
      </c>
      <c r="J7149" s="7" t="str">
        <f>"倉庫棟"</f>
        <v>倉庫棟</v>
      </c>
      <c r="K7149" s="7" t="str">
        <f t="shared" si="2610"/>
        <v>鉄筋コンクリート造</v>
      </c>
      <c r="L7149" s="7" t="str">
        <f t="shared" si="2614"/>
        <v>H20.03.20</v>
      </c>
      <c r="M7149" s="7">
        <v>25</v>
      </c>
      <c r="N7149" s="7">
        <v>3002828</v>
      </c>
      <c r="O7149" s="7">
        <v>114697</v>
      </c>
      <c r="P7149" s="7">
        <v>0</v>
      </c>
      <c r="Q7149" s="7" t="str">
        <f t="shared" si="2607"/>
        <v>教育庁</v>
      </c>
      <c r="R7149" s="7" t="str">
        <f t="shared" si="2615"/>
        <v>咲くやこの花高等学校</v>
      </c>
    </row>
    <row r="7150" spans="1:18" s="1" customFormat="1" x14ac:dyDescent="0.45">
      <c r="A7150" s="7" t="str">
        <f t="shared" si="2611"/>
        <v>10275003067</v>
      </c>
      <c r="B7150" s="7" t="str">
        <f t="shared" si="2612"/>
        <v>咲くやこの花高等学校</v>
      </c>
      <c r="C7150" s="7" t="str">
        <f t="shared" si="2600"/>
        <v>行政財産</v>
      </c>
      <c r="D7150" s="7" t="str">
        <f t="shared" si="2598"/>
        <v>学校</v>
      </c>
      <c r="E7150" s="7" t="str">
        <f t="shared" si="2613"/>
        <v>大阪府大阪市　此花区西九条６丁目</v>
      </c>
      <c r="F7150" s="7"/>
      <c r="G7150" s="7" t="str">
        <f t="shared" si="2606"/>
        <v>事業用資産</v>
      </c>
      <c r="H7150" s="7" t="str">
        <f t="shared" si="2599"/>
        <v>棚卸以外</v>
      </c>
      <c r="I7150" s="7">
        <v>5</v>
      </c>
      <c r="J7150" s="7" t="str">
        <f>"ゴミ置場"</f>
        <v>ゴミ置場</v>
      </c>
      <c r="K7150" s="7" t="str">
        <f t="shared" si="2610"/>
        <v>鉄筋コンクリート造</v>
      </c>
      <c r="L7150" s="7" t="str">
        <f t="shared" si="2614"/>
        <v>H20.03.20</v>
      </c>
      <c r="M7150" s="7">
        <v>42.04</v>
      </c>
      <c r="N7150" s="7">
        <v>3896842</v>
      </c>
      <c r="O7150" s="7">
        <v>148841</v>
      </c>
      <c r="P7150" s="7">
        <v>0</v>
      </c>
      <c r="Q7150" s="7" t="str">
        <f t="shared" si="2607"/>
        <v>教育庁</v>
      </c>
      <c r="R7150" s="7" t="str">
        <f t="shared" si="2615"/>
        <v>咲くやこの花高等学校</v>
      </c>
    </row>
    <row r="7151" spans="1:18" s="1" customFormat="1" x14ac:dyDescent="0.45">
      <c r="A7151" s="7" t="str">
        <f t="shared" si="2611"/>
        <v>10275003067</v>
      </c>
      <c r="B7151" s="7" t="str">
        <f t="shared" si="2612"/>
        <v>咲くやこの花高等学校</v>
      </c>
      <c r="C7151" s="7" t="str">
        <f t="shared" si="2600"/>
        <v>行政財産</v>
      </c>
      <c r="D7151" s="7" t="str">
        <f t="shared" si="2598"/>
        <v>学校</v>
      </c>
      <c r="E7151" s="7" t="str">
        <f t="shared" si="2613"/>
        <v>大阪府大阪市　此花区西九条６丁目</v>
      </c>
      <c r="F7151" s="7"/>
      <c r="G7151" s="7" t="str">
        <f t="shared" si="2606"/>
        <v>事業用資産</v>
      </c>
      <c r="H7151" s="7" t="str">
        <f t="shared" si="2599"/>
        <v>棚卸以外</v>
      </c>
      <c r="I7151" s="7">
        <v>6</v>
      </c>
      <c r="J7151" s="7" t="str">
        <f>"渡り廊下棟"</f>
        <v>渡り廊下棟</v>
      </c>
      <c r="K7151" s="7" t="str">
        <f>"鉄骨造"</f>
        <v>鉄骨造</v>
      </c>
      <c r="L7151" s="7" t="str">
        <f t="shared" si="2614"/>
        <v>H20.03.20</v>
      </c>
      <c r="M7151" s="7">
        <v>145.05000000000001</v>
      </c>
      <c r="N7151" s="7">
        <v>35463738</v>
      </c>
      <c r="O7151" s="7">
        <v>1912262</v>
      </c>
      <c r="P7151" s="7">
        <v>0</v>
      </c>
      <c r="Q7151" s="7" t="str">
        <f t="shared" si="2607"/>
        <v>教育庁</v>
      </c>
      <c r="R7151" s="7" t="str">
        <f t="shared" si="2615"/>
        <v>咲くやこの花高等学校</v>
      </c>
    </row>
    <row r="7152" spans="1:18" s="1" customFormat="1" x14ac:dyDescent="0.45">
      <c r="A7152" s="7" t="str">
        <f t="shared" si="2611"/>
        <v>10275003067</v>
      </c>
      <c r="B7152" s="7" t="str">
        <f t="shared" si="2612"/>
        <v>咲くやこの花高等学校</v>
      </c>
      <c r="C7152" s="7" t="str">
        <f t="shared" si="2600"/>
        <v>行政財産</v>
      </c>
      <c r="D7152" s="7" t="str">
        <f t="shared" si="2598"/>
        <v>学校</v>
      </c>
      <c r="E7152" s="7" t="str">
        <f t="shared" si="2613"/>
        <v>大阪府大阪市　此花区西九条６丁目</v>
      </c>
      <c r="F7152" s="7"/>
      <c r="G7152" s="7" t="str">
        <f t="shared" si="2606"/>
        <v>事業用資産</v>
      </c>
      <c r="H7152" s="7" t="str">
        <f t="shared" si="2599"/>
        <v>棚卸以外</v>
      </c>
      <c r="I7152" s="7">
        <v>7</v>
      </c>
      <c r="J7152" s="7" t="str">
        <f>"自転車置き場"</f>
        <v>自転車置き場</v>
      </c>
      <c r="K7152" s="7" t="str">
        <f>"鉄骨造"</f>
        <v>鉄骨造</v>
      </c>
      <c r="L7152" s="7" t="str">
        <f t="shared" si="2614"/>
        <v>H20.03.20</v>
      </c>
      <c r="M7152" s="7">
        <v>258</v>
      </c>
      <c r="N7152" s="7">
        <v>16127249</v>
      </c>
      <c r="O7152" s="7">
        <v>869616</v>
      </c>
      <c r="P7152" s="7">
        <v>0</v>
      </c>
      <c r="Q7152" s="7" t="str">
        <f t="shared" si="2607"/>
        <v>教育庁</v>
      </c>
      <c r="R7152" s="7" t="str">
        <f t="shared" si="2615"/>
        <v>咲くやこの花高等学校</v>
      </c>
    </row>
    <row r="7153" spans="1:18" s="1" customFormat="1" ht="26.4" x14ac:dyDescent="0.45">
      <c r="A7153" s="7" t="str">
        <f>"10275003068"</f>
        <v>10275003068</v>
      </c>
      <c r="B7153" s="7" t="str">
        <f>"中央高等学校"</f>
        <v>中央高等学校</v>
      </c>
      <c r="C7153" s="7" t="str">
        <f t="shared" si="2600"/>
        <v>行政財産</v>
      </c>
      <c r="D7153" s="7" t="str">
        <f t="shared" si="2598"/>
        <v>学校</v>
      </c>
      <c r="E7153" s="7" t="str">
        <f>"大阪府大阪市　中央区島町１丁目"</f>
        <v>大阪府大阪市　中央区島町１丁目</v>
      </c>
      <c r="F7153" s="7"/>
      <c r="G7153" s="7" t="str">
        <f t="shared" si="2606"/>
        <v>事業用資産</v>
      </c>
      <c r="H7153" s="7" t="str">
        <f t="shared" si="2599"/>
        <v>棚卸以外</v>
      </c>
      <c r="I7153" s="7">
        <v>1</v>
      </c>
      <c r="J7153" s="7" t="str">
        <f>"本館"</f>
        <v>本館</v>
      </c>
      <c r="K7153" s="7" t="str">
        <f>"鉄骨鉄筋コンクリート造"</f>
        <v>鉄骨鉄筋コンクリート造</v>
      </c>
      <c r="L7153" s="7" t="str">
        <f>"H04.03.01"</f>
        <v>H04.03.01</v>
      </c>
      <c r="M7153" s="7">
        <v>14503</v>
      </c>
      <c r="N7153" s="7">
        <v>1217632812</v>
      </c>
      <c r="O7153" s="7">
        <v>65969596</v>
      </c>
      <c r="P7153" s="7">
        <v>0</v>
      </c>
      <c r="Q7153" s="7" t="str">
        <f t="shared" si="2607"/>
        <v>教育庁</v>
      </c>
      <c r="R7153" s="7" t="str">
        <f>"中央高等学校"</f>
        <v>中央高等学校</v>
      </c>
    </row>
    <row r="7154" spans="1:18" s="1" customFormat="1" x14ac:dyDescent="0.45">
      <c r="A7154" s="7" t="str">
        <f>"10275003068"</f>
        <v>10275003068</v>
      </c>
      <c r="B7154" s="7" t="str">
        <f>"中央高等学校"</f>
        <v>中央高等学校</v>
      </c>
      <c r="C7154" s="7" t="str">
        <f t="shared" si="2600"/>
        <v>行政財産</v>
      </c>
      <c r="D7154" s="7" t="str">
        <f t="shared" si="2598"/>
        <v>学校</v>
      </c>
      <c r="E7154" s="7" t="str">
        <f>"大阪府大阪市　中央区島町１丁目"</f>
        <v>大阪府大阪市　中央区島町１丁目</v>
      </c>
      <c r="F7154" s="7"/>
      <c r="G7154" s="7" t="str">
        <f t="shared" si="2606"/>
        <v>事業用資産</v>
      </c>
      <c r="H7154" s="7" t="str">
        <f t="shared" si="2599"/>
        <v>棚卸以外</v>
      </c>
      <c r="I7154" s="7">
        <v>2</v>
      </c>
      <c r="J7154" s="7" t="str">
        <f>"部室棟"</f>
        <v>部室棟</v>
      </c>
      <c r="K7154" s="7" t="str">
        <f>"軽量鉄骨造"</f>
        <v>軽量鉄骨造</v>
      </c>
      <c r="L7154" s="7" t="str">
        <f>"H04.03.01"</f>
        <v>H04.03.01</v>
      </c>
      <c r="M7154" s="7">
        <v>294</v>
      </c>
      <c r="N7154" s="7">
        <v>21324090</v>
      </c>
      <c r="O7154" s="7">
        <v>21324089</v>
      </c>
      <c r="P7154" s="7">
        <v>0</v>
      </c>
      <c r="Q7154" s="7" t="str">
        <f t="shared" si="2607"/>
        <v>教育庁</v>
      </c>
      <c r="R7154" s="7" t="str">
        <f>"中央高等学校"</f>
        <v>中央高等学校</v>
      </c>
    </row>
    <row r="7155" spans="1:18" x14ac:dyDescent="0.45">
      <c r="A7155" s="8" t="str">
        <f>"01026000228"</f>
        <v>01026000228</v>
      </c>
      <c r="B7155" s="8" t="str">
        <f>"大阪府警察本部　森之宮別館"</f>
        <v>大阪府警察本部　森之宮別館</v>
      </c>
      <c r="C7155" s="8" t="str">
        <f t="shared" si="2600"/>
        <v>行政財産</v>
      </c>
      <c r="D7155" s="8" t="str">
        <f>"警察（消防）施設"</f>
        <v>警察（消防）施設</v>
      </c>
      <c r="E7155" s="8" t="str">
        <f>"大阪府大阪市　城東区森之宮１丁目"</f>
        <v>大阪府大阪市　城東区森之宮１丁目</v>
      </c>
      <c r="F7155" s="8"/>
      <c r="G7155" s="8" t="str">
        <f t="shared" si="2606"/>
        <v>事業用資産</v>
      </c>
      <c r="H7155" s="8" t="str">
        <f t="shared" si="2599"/>
        <v>棚卸以外</v>
      </c>
      <c r="I7155" s="8">
        <v>12</v>
      </c>
      <c r="J7155" s="8" t="str">
        <f>"庁舎"</f>
        <v>庁舎</v>
      </c>
      <c r="K7155" s="8" t="str">
        <f>"鉄骨造"</f>
        <v>鉄骨造</v>
      </c>
      <c r="L7155" s="8" t="str">
        <f>"H07.09.29"</f>
        <v>H07.09.29</v>
      </c>
      <c r="M7155" s="8">
        <v>1373.4</v>
      </c>
      <c r="N7155" s="8">
        <v>281427097</v>
      </c>
      <c r="O7155" s="8">
        <v>188083151</v>
      </c>
      <c r="P7155" s="8">
        <v>0</v>
      </c>
      <c r="Q7155" s="8" t="str">
        <f t="shared" ref="Q7155:Q7218" si="2616">"公安委員会"</f>
        <v>公安委員会</v>
      </c>
      <c r="R7155" s="8" t="str">
        <f t="shared" ref="R7155:R7186" si="2617">"警察本部施設課"</f>
        <v>警察本部施設課</v>
      </c>
    </row>
    <row r="7156" spans="1:18" x14ac:dyDescent="0.45">
      <c r="A7156" s="8" t="str">
        <f t="shared" ref="A7156:A7162" si="2618">"03258000084"</f>
        <v>03258000084</v>
      </c>
      <c r="B7156" s="8" t="str">
        <f t="shared" ref="B7156:B7162" si="2619">"大阪府警察本部　芦原別館"</f>
        <v>大阪府警察本部　芦原別館</v>
      </c>
      <c r="C7156" s="8" t="str">
        <f t="shared" si="2600"/>
        <v>行政財産</v>
      </c>
      <c r="D7156" s="8" t="str">
        <f t="shared" ref="D7156:D7162" si="2620">"その他（公共用）の施設"</f>
        <v>その他（公共用）の施設</v>
      </c>
      <c r="E7156" s="8" t="str">
        <f t="shared" ref="E7156:E7162" si="2621">"大阪府大阪市　浪速区久保吉２丁目"</f>
        <v>大阪府大阪市　浪速区久保吉２丁目</v>
      </c>
      <c r="F7156" s="8"/>
      <c r="G7156" s="8" t="str">
        <f t="shared" si="2606"/>
        <v>事業用資産</v>
      </c>
      <c r="H7156" s="8" t="str">
        <f t="shared" si="2599"/>
        <v>棚卸以外</v>
      </c>
      <c r="I7156" s="8">
        <v>1</v>
      </c>
      <c r="J7156" s="8" t="str">
        <f>"本館"</f>
        <v>本館</v>
      </c>
      <c r="K7156" s="8" t="str">
        <f>"鉄筋コンクリート造"</f>
        <v>鉄筋コンクリート造</v>
      </c>
      <c r="L7156" s="8" t="str">
        <f>"S61.05.14"</f>
        <v>S61.05.14</v>
      </c>
      <c r="M7156" s="8">
        <v>3473.87</v>
      </c>
      <c r="N7156" s="8">
        <v>749921180</v>
      </c>
      <c r="O7156" s="8">
        <v>531680087</v>
      </c>
      <c r="P7156" s="8">
        <v>0</v>
      </c>
      <c r="Q7156" s="8" t="str">
        <f t="shared" si="2616"/>
        <v>公安委員会</v>
      </c>
      <c r="R7156" s="8" t="str">
        <f t="shared" si="2617"/>
        <v>警察本部施設課</v>
      </c>
    </row>
    <row r="7157" spans="1:18" x14ac:dyDescent="0.45">
      <c r="A7157" s="8" t="str">
        <f t="shared" si="2618"/>
        <v>03258000084</v>
      </c>
      <c r="B7157" s="8" t="str">
        <f t="shared" si="2619"/>
        <v>大阪府警察本部　芦原別館</v>
      </c>
      <c r="C7157" s="8" t="str">
        <f t="shared" si="2600"/>
        <v>行政財産</v>
      </c>
      <c r="D7157" s="8" t="str">
        <f t="shared" si="2620"/>
        <v>その他（公共用）の施設</v>
      </c>
      <c r="E7157" s="8" t="str">
        <f t="shared" si="2621"/>
        <v>大阪府大阪市　浪速区久保吉２丁目</v>
      </c>
      <c r="F7157" s="8"/>
      <c r="G7157" s="8" t="str">
        <f t="shared" si="2606"/>
        <v>事業用資産</v>
      </c>
      <c r="H7157" s="8" t="str">
        <f t="shared" si="2599"/>
        <v>棚卸以外</v>
      </c>
      <c r="I7157" s="8">
        <v>3</v>
      </c>
      <c r="J7157" s="8" t="str">
        <f>"車庫"</f>
        <v>車庫</v>
      </c>
      <c r="K7157" s="8" t="str">
        <f>"鉄筋コンクリート造"</f>
        <v>鉄筋コンクリート造</v>
      </c>
      <c r="L7157" s="8" t="str">
        <f>"S62.03.10"</f>
        <v>S62.03.10</v>
      </c>
      <c r="M7157" s="8">
        <v>21.66</v>
      </c>
      <c r="N7157" s="8">
        <v>3396000</v>
      </c>
      <c r="O7157" s="8">
        <v>3217536</v>
      </c>
      <c r="P7157" s="8">
        <v>0</v>
      </c>
      <c r="Q7157" s="8" t="str">
        <f t="shared" si="2616"/>
        <v>公安委員会</v>
      </c>
      <c r="R7157" s="8" t="str">
        <f t="shared" si="2617"/>
        <v>警察本部施設課</v>
      </c>
    </row>
    <row r="7158" spans="1:18" x14ac:dyDescent="0.45">
      <c r="A7158" s="8" t="str">
        <f t="shared" si="2618"/>
        <v>03258000084</v>
      </c>
      <c r="B7158" s="8" t="str">
        <f t="shared" si="2619"/>
        <v>大阪府警察本部　芦原別館</v>
      </c>
      <c r="C7158" s="8" t="str">
        <f t="shared" si="2600"/>
        <v>行政財産</v>
      </c>
      <c r="D7158" s="8" t="str">
        <f t="shared" si="2620"/>
        <v>その他（公共用）の施設</v>
      </c>
      <c r="E7158" s="8" t="str">
        <f t="shared" si="2621"/>
        <v>大阪府大阪市　浪速区久保吉２丁目</v>
      </c>
      <c r="F7158" s="8"/>
      <c r="G7158" s="8" t="str">
        <f t="shared" si="2606"/>
        <v>事業用資産</v>
      </c>
      <c r="H7158" s="8" t="str">
        <f t="shared" si="2599"/>
        <v>棚卸以外</v>
      </c>
      <c r="I7158" s="8">
        <v>4</v>
      </c>
      <c r="J7158" s="8" t="str">
        <f>"車両保管庫　１"</f>
        <v>車両保管庫　１</v>
      </c>
      <c r="K7158" s="8" t="str">
        <f>"軽量鉄骨造"</f>
        <v>軽量鉄骨造</v>
      </c>
      <c r="L7158" s="8" t="str">
        <f>"H24.03.01"</f>
        <v>H24.03.01</v>
      </c>
      <c r="M7158" s="8">
        <v>93</v>
      </c>
      <c r="N7158" s="8">
        <v>5617938</v>
      </c>
      <c r="O7158" s="8">
        <v>2757876</v>
      </c>
      <c r="P7158" s="8">
        <v>0</v>
      </c>
      <c r="Q7158" s="8" t="str">
        <f t="shared" si="2616"/>
        <v>公安委員会</v>
      </c>
      <c r="R7158" s="8" t="str">
        <f t="shared" si="2617"/>
        <v>警察本部施設課</v>
      </c>
    </row>
    <row r="7159" spans="1:18" x14ac:dyDescent="0.45">
      <c r="A7159" s="8" t="str">
        <f t="shared" si="2618"/>
        <v>03258000084</v>
      </c>
      <c r="B7159" s="8" t="str">
        <f t="shared" si="2619"/>
        <v>大阪府警察本部　芦原別館</v>
      </c>
      <c r="C7159" s="8" t="str">
        <f t="shared" si="2600"/>
        <v>行政財産</v>
      </c>
      <c r="D7159" s="8" t="str">
        <f t="shared" si="2620"/>
        <v>その他（公共用）の施設</v>
      </c>
      <c r="E7159" s="8" t="str">
        <f t="shared" si="2621"/>
        <v>大阪府大阪市　浪速区久保吉２丁目</v>
      </c>
      <c r="F7159" s="8"/>
      <c r="G7159" s="8" t="str">
        <f t="shared" si="2606"/>
        <v>事業用資産</v>
      </c>
      <c r="H7159" s="8" t="str">
        <f t="shared" si="2599"/>
        <v>棚卸以外</v>
      </c>
      <c r="I7159" s="8">
        <v>5</v>
      </c>
      <c r="J7159" s="8" t="str">
        <f>"車両保管庫　２"</f>
        <v>車両保管庫　２</v>
      </c>
      <c r="K7159" s="8" t="str">
        <f>"軽量鉄骨造"</f>
        <v>軽量鉄骨造</v>
      </c>
      <c r="L7159" s="8" t="str">
        <f>"H24.03.01"</f>
        <v>H24.03.01</v>
      </c>
      <c r="M7159" s="8">
        <v>93</v>
      </c>
      <c r="N7159" s="8">
        <v>5617938</v>
      </c>
      <c r="O7159" s="8">
        <v>2757876</v>
      </c>
      <c r="P7159" s="8">
        <v>0</v>
      </c>
      <c r="Q7159" s="8" t="str">
        <f t="shared" si="2616"/>
        <v>公安委員会</v>
      </c>
      <c r="R7159" s="8" t="str">
        <f t="shared" si="2617"/>
        <v>警察本部施設課</v>
      </c>
    </row>
    <row r="7160" spans="1:18" x14ac:dyDescent="0.45">
      <c r="A7160" s="8" t="str">
        <f t="shared" si="2618"/>
        <v>03258000084</v>
      </c>
      <c r="B7160" s="8" t="str">
        <f t="shared" si="2619"/>
        <v>大阪府警察本部　芦原別館</v>
      </c>
      <c r="C7160" s="8" t="str">
        <f t="shared" si="2600"/>
        <v>行政財産</v>
      </c>
      <c r="D7160" s="8" t="str">
        <f t="shared" si="2620"/>
        <v>その他（公共用）の施設</v>
      </c>
      <c r="E7160" s="8" t="str">
        <f t="shared" si="2621"/>
        <v>大阪府大阪市　浪速区久保吉２丁目</v>
      </c>
      <c r="F7160" s="8"/>
      <c r="G7160" s="8" t="str">
        <f t="shared" si="2606"/>
        <v>事業用資産</v>
      </c>
      <c r="H7160" s="8" t="str">
        <f t="shared" si="2599"/>
        <v>棚卸以外</v>
      </c>
      <c r="I7160" s="8">
        <v>6</v>
      </c>
      <c r="J7160" s="8" t="str">
        <f>"車両保管庫　３"</f>
        <v>車両保管庫　３</v>
      </c>
      <c r="K7160" s="8" t="str">
        <f>"軽量鉄骨造"</f>
        <v>軽量鉄骨造</v>
      </c>
      <c r="L7160" s="8" t="str">
        <f>"H24.03.01"</f>
        <v>H24.03.01</v>
      </c>
      <c r="M7160" s="8">
        <v>93</v>
      </c>
      <c r="N7160" s="8">
        <v>5617938</v>
      </c>
      <c r="O7160" s="8">
        <v>2757876</v>
      </c>
      <c r="P7160" s="8">
        <v>0</v>
      </c>
      <c r="Q7160" s="8" t="str">
        <f t="shared" si="2616"/>
        <v>公安委員会</v>
      </c>
      <c r="R7160" s="8" t="str">
        <f t="shared" si="2617"/>
        <v>警察本部施設課</v>
      </c>
    </row>
    <row r="7161" spans="1:18" x14ac:dyDescent="0.45">
      <c r="A7161" s="8" t="str">
        <f t="shared" si="2618"/>
        <v>03258000084</v>
      </c>
      <c r="B7161" s="8" t="str">
        <f t="shared" si="2619"/>
        <v>大阪府警察本部　芦原別館</v>
      </c>
      <c r="C7161" s="8" t="str">
        <f t="shared" si="2600"/>
        <v>行政財産</v>
      </c>
      <c r="D7161" s="8" t="str">
        <f t="shared" si="2620"/>
        <v>その他（公共用）の施設</v>
      </c>
      <c r="E7161" s="8" t="str">
        <f t="shared" si="2621"/>
        <v>大阪府大阪市　浪速区久保吉２丁目</v>
      </c>
      <c r="F7161" s="8"/>
      <c r="G7161" s="8" t="str">
        <f t="shared" si="2606"/>
        <v>事業用資産</v>
      </c>
      <c r="H7161" s="8" t="str">
        <f t="shared" si="2599"/>
        <v>棚卸以外</v>
      </c>
      <c r="I7161" s="8">
        <v>7</v>
      </c>
      <c r="J7161" s="8" t="str">
        <f>"車両保管庫　４"</f>
        <v>車両保管庫　４</v>
      </c>
      <c r="K7161" s="8" t="str">
        <f>"軽量鉄骨造"</f>
        <v>軽量鉄骨造</v>
      </c>
      <c r="L7161" s="8" t="str">
        <f>"H24.03.01"</f>
        <v>H24.03.01</v>
      </c>
      <c r="M7161" s="8">
        <v>93</v>
      </c>
      <c r="N7161" s="8">
        <v>5617938</v>
      </c>
      <c r="O7161" s="8">
        <v>2757876</v>
      </c>
      <c r="P7161" s="8">
        <v>0</v>
      </c>
      <c r="Q7161" s="8" t="str">
        <f t="shared" si="2616"/>
        <v>公安委員会</v>
      </c>
      <c r="R7161" s="8" t="str">
        <f t="shared" si="2617"/>
        <v>警察本部施設課</v>
      </c>
    </row>
    <row r="7162" spans="1:18" x14ac:dyDescent="0.45">
      <c r="A7162" s="8" t="str">
        <f t="shared" si="2618"/>
        <v>03258000084</v>
      </c>
      <c r="B7162" s="8" t="str">
        <f t="shared" si="2619"/>
        <v>大阪府警察本部　芦原別館</v>
      </c>
      <c r="C7162" s="8" t="str">
        <f t="shared" si="2600"/>
        <v>行政財産</v>
      </c>
      <c r="D7162" s="8" t="str">
        <f t="shared" si="2620"/>
        <v>その他（公共用）の施設</v>
      </c>
      <c r="E7162" s="8" t="str">
        <f t="shared" si="2621"/>
        <v>大阪府大阪市　浪速区久保吉２丁目</v>
      </c>
      <c r="F7162" s="8"/>
      <c r="G7162" s="8" t="str">
        <f t="shared" si="2606"/>
        <v>事業用資産</v>
      </c>
      <c r="H7162" s="8" t="str">
        <f t="shared" si="2599"/>
        <v>棚卸以外</v>
      </c>
      <c r="I7162" s="8">
        <v>8</v>
      </c>
      <c r="J7162" s="8" t="str">
        <f>"車両保管庫　５"</f>
        <v>車両保管庫　５</v>
      </c>
      <c r="K7162" s="8" t="str">
        <f>"軽量鉄骨造"</f>
        <v>軽量鉄骨造</v>
      </c>
      <c r="L7162" s="8" t="str">
        <f>"H24.03.01"</f>
        <v>H24.03.01</v>
      </c>
      <c r="M7162" s="8">
        <v>93</v>
      </c>
      <c r="N7162" s="8">
        <v>5617938</v>
      </c>
      <c r="O7162" s="8">
        <v>2757876</v>
      </c>
      <c r="P7162" s="8">
        <v>0</v>
      </c>
      <c r="Q7162" s="8" t="str">
        <f t="shared" si="2616"/>
        <v>公安委員会</v>
      </c>
      <c r="R7162" s="8" t="str">
        <f t="shared" si="2617"/>
        <v>警察本部施設課</v>
      </c>
    </row>
    <row r="7163" spans="1:18" x14ac:dyDescent="0.45">
      <c r="A7163" s="8" t="str">
        <f>"11521000000"</f>
        <v>11521000000</v>
      </c>
      <c r="B7163" s="8" t="str">
        <f>"大阪府警察本部"</f>
        <v>大阪府警察本部</v>
      </c>
      <c r="C7163" s="8" t="str">
        <f t="shared" si="2600"/>
        <v>行政財産</v>
      </c>
      <c r="D7163" s="8" t="str">
        <f>"警察（消防）施設"</f>
        <v>警察（消防）施設</v>
      </c>
      <c r="E7163" s="8" t="str">
        <f>"大阪府大阪市　中央区大手前３丁目"</f>
        <v>大阪府大阪市　中央区大手前３丁目</v>
      </c>
      <c r="F7163" s="8"/>
      <c r="G7163" s="8" t="str">
        <f t="shared" si="2606"/>
        <v>事業用資産</v>
      </c>
      <c r="H7163" s="8" t="str">
        <f t="shared" si="2599"/>
        <v>棚卸以外</v>
      </c>
      <c r="I7163" s="8">
        <v>35</v>
      </c>
      <c r="J7163" s="8" t="str">
        <f>"警備詰所Ｃ"</f>
        <v>警備詰所Ｃ</v>
      </c>
      <c r="K7163" s="8" t="str">
        <f>"プレハブ"</f>
        <v>プレハブ</v>
      </c>
      <c r="L7163" s="8" t="str">
        <f>"H10.08.06"</f>
        <v>H10.08.06</v>
      </c>
      <c r="M7163" s="8">
        <v>5.98</v>
      </c>
      <c r="N7163" s="8">
        <v>304000</v>
      </c>
      <c r="O7163" s="8">
        <v>249275</v>
      </c>
      <c r="P7163" s="8">
        <v>0</v>
      </c>
      <c r="Q7163" s="8" t="str">
        <f t="shared" si="2616"/>
        <v>公安委員会</v>
      </c>
      <c r="R7163" s="8" t="str">
        <f t="shared" si="2617"/>
        <v>警察本部施設課</v>
      </c>
    </row>
    <row r="7164" spans="1:18" x14ac:dyDescent="0.45">
      <c r="A7164" s="8" t="str">
        <f>"11521000000"</f>
        <v>11521000000</v>
      </c>
      <c r="B7164" s="8" t="str">
        <f>"大阪府警察本部"</f>
        <v>大阪府警察本部</v>
      </c>
      <c r="C7164" s="8" t="str">
        <f t="shared" si="2600"/>
        <v>行政財産</v>
      </c>
      <c r="D7164" s="8" t="str">
        <f>"警察（消防）施設"</f>
        <v>警察（消防）施設</v>
      </c>
      <c r="E7164" s="8" t="str">
        <f>"大阪府大阪市　中央区大手前３丁目"</f>
        <v>大阪府大阪市　中央区大手前３丁目</v>
      </c>
      <c r="F7164" s="8"/>
      <c r="G7164" s="8" t="str">
        <f t="shared" si="2606"/>
        <v>事業用資産</v>
      </c>
      <c r="H7164" s="8" t="str">
        <f t="shared" si="2599"/>
        <v>棚卸以外</v>
      </c>
      <c r="I7164" s="8">
        <v>36</v>
      </c>
      <c r="J7164" s="8" t="str">
        <f>"警備詰所Ｄ"</f>
        <v>警備詰所Ｄ</v>
      </c>
      <c r="K7164" s="8" t="str">
        <f>"プレハブ"</f>
        <v>プレハブ</v>
      </c>
      <c r="L7164" s="8" t="str">
        <f>"H10.08.06"</f>
        <v>H10.08.06</v>
      </c>
      <c r="M7164" s="8">
        <v>1.25</v>
      </c>
      <c r="N7164" s="8">
        <v>63000</v>
      </c>
      <c r="O7164" s="8">
        <v>51625</v>
      </c>
      <c r="P7164" s="8">
        <v>0</v>
      </c>
      <c r="Q7164" s="8" t="str">
        <f t="shared" si="2616"/>
        <v>公安委員会</v>
      </c>
      <c r="R7164" s="8" t="str">
        <f t="shared" si="2617"/>
        <v>警察本部施設課</v>
      </c>
    </row>
    <row r="7165" spans="1:18" ht="26.4" x14ac:dyDescent="0.45">
      <c r="A7165" s="8" t="str">
        <f>"11521000000"</f>
        <v>11521000000</v>
      </c>
      <c r="B7165" s="8" t="str">
        <f>"大阪府警察本部"</f>
        <v>大阪府警察本部</v>
      </c>
      <c r="C7165" s="8" t="str">
        <f t="shared" si="2600"/>
        <v>行政財産</v>
      </c>
      <c r="D7165" s="8" t="str">
        <f>"警察（消防）施設"</f>
        <v>警察（消防）施設</v>
      </c>
      <c r="E7165" s="8" t="str">
        <f>"大阪府大阪市　中央区大手前３丁目"</f>
        <v>大阪府大阪市　中央区大手前３丁目</v>
      </c>
      <c r="F7165" s="8"/>
      <c r="G7165" s="8" t="str">
        <f t="shared" si="2606"/>
        <v>事業用資産</v>
      </c>
      <c r="H7165" s="8" t="str">
        <f t="shared" si="2599"/>
        <v>棚卸以外</v>
      </c>
      <c r="I7165" s="8">
        <v>51</v>
      </c>
      <c r="J7165" s="8" t="str">
        <f>"本庁舎"</f>
        <v>本庁舎</v>
      </c>
      <c r="K7165" s="8" t="str">
        <f>"鉄骨鉄筋コンクリート造"</f>
        <v>鉄骨鉄筋コンクリート造</v>
      </c>
      <c r="L7165" s="8" t="str">
        <f>"H14.07.31"</f>
        <v>H14.07.31</v>
      </c>
      <c r="M7165" s="8">
        <v>118079.03</v>
      </c>
      <c r="N7165" s="8">
        <v>56461033713</v>
      </c>
      <c r="O7165" s="8">
        <v>21216933706</v>
      </c>
      <c r="P7165" s="8">
        <v>0</v>
      </c>
      <c r="Q7165" s="8" t="str">
        <f t="shared" si="2616"/>
        <v>公安委員会</v>
      </c>
      <c r="R7165" s="8" t="str">
        <f t="shared" si="2617"/>
        <v>警察本部施設課</v>
      </c>
    </row>
    <row r="7166" spans="1:18" x14ac:dyDescent="0.45">
      <c r="A7166" s="8" t="str">
        <f>"11521000000"</f>
        <v>11521000000</v>
      </c>
      <c r="B7166" s="8" t="str">
        <f>"大阪府警察本部"</f>
        <v>大阪府警察本部</v>
      </c>
      <c r="C7166" s="8" t="str">
        <f t="shared" si="2600"/>
        <v>行政財産</v>
      </c>
      <c r="D7166" s="8" t="str">
        <f>"警察（消防）施設"</f>
        <v>警察（消防）施設</v>
      </c>
      <c r="E7166" s="8" t="str">
        <f>"大阪府大阪市　中央区大手前３丁目"</f>
        <v>大阪府大阪市　中央区大手前３丁目</v>
      </c>
      <c r="F7166" s="8"/>
      <c r="G7166" s="8" t="str">
        <f t="shared" si="2606"/>
        <v>事業用資産</v>
      </c>
      <c r="H7166" s="8" t="str">
        <f t="shared" si="2599"/>
        <v>棚卸以外</v>
      </c>
      <c r="I7166" s="8">
        <v>54</v>
      </c>
      <c r="J7166" s="8" t="str">
        <f>"警備詰所Ａ"</f>
        <v>警備詰所Ａ</v>
      </c>
      <c r="K7166" s="8" t="str">
        <f>"鉄筋コンクリート造"</f>
        <v>鉄筋コンクリート造</v>
      </c>
      <c r="L7166" s="8" t="str">
        <f>"H19.12.10"</f>
        <v>H19.12.10</v>
      </c>
      <c r="M7166" s="8">
        <v>2.6</v>
      </c>
      <c r="N7166" s="8">
        <v>4487000</v>
      </c>
      <c r="O7166" s="8">
        <v>1368657</v>
      </c>
      <c r="P7166" s="8">
        <v>0</v>
      </c>
      <c r="Q7166" s="8" t="str">
        <f t="shared" si="2616"/>
        <v>公安委員会</v>
      </c>
      <c r="R7166" s="8" t="str">
        <f t="shared" si="2617"/>
        <v>警察本部施設課</v>
      </c>
    </row>
    <row r="7167" spans="1:18" x14ac:dyDescent="0.45">
      <c r="A7167" s="8" t="str">
        <f>"11521000000"</f>
        <v>11521000000</v>
      </c>
      <c r="B7167" s="8" t="str">
        <f>"大阪府警察本部"</f>
        <v>大阪府警察本部</v>
      </c>
      <c r="C7167" s="8" t="str">
        <f t="shared" si="2600"/>
        <v>行政財産</v>
      </c>
      <c r="D7167" s="8" t="str">
        <f>"警察（消防）施設"</f>
        <v>警察（消防）施設</v>
      </c>
      <c r="E7167" s="8" t="str">
        <f>"大阪府大阪市　中央区大手前３丁目"</f>
        <v>大阪府大阪市　中央区大手前３丁目</v>
      </c>
      <c r="F7167" s="8"/>
      <c r="G7167" s="8" t="str">
        <f t="shared" si="2606"/>
        <v>事業用資産</v>
      </c>
      <c r="H7167" s="8" t="str">
        <f t="shared" si="2599"/>
        <v>棚卸以外</v>
      </c>
      <c r="I7167" s="8">
        <v>55</v>
      </c>
      <c r="J7167" s="8" t="str">
        <f>"警備詰所Ｂ"</f>
        <v>警備詰所Ｂ</v>
      </c>
      <c r="K7167" s="8" t="str">
        <f>"鉄筋コンクリート造"</f>
        <v>鉄筋コンクリート造</v>
      </c>
      <c r="L7167" s="8" t="str">
        <f>"H19.12.10"</f>
        <v>H19.12.10</v>
      </c>
      <c r="M7167" s="8">
        <v>2.6</v>
      </c>
      <c r="N7167" s="8">
        <v>4487000</v>
      </c>
      <c r="O7167" s="8">
        <v>1368657</v>
      </c>
      <c r="P7167" s="8">
        <v>0</v>
      </c>
      <c r="Q7167" s="8" t="str">
        <f t="shared" si="2616"/>
        <v>公安委員会</v>
      </c>
      <c r="R7167" s="8" t="str">
        <f t="shared" si="2617"/>
        <v>警察本部施設課</v>
      </c>
    </row>
    <row r="7168" spans="1:18" x14ac:dyDescent="0.45">
      <c r="A7168" s="8" t="str">
        <f>"11521000004"</f>
        <v>11521000004</v>
      </c>
      <c r="B7168" s="8" t="s">
        <v>18</v>
      </c>
      <c r="C7168" s="8" t="str">
        <f>"普通財産"</f>
        <v>普通財産</v>
      </c>
      <c r="D7168" s="8" t="str">
        <f>"その他"</f>
        <v>その他</v>
      </c>
      <c r="E7168" s="8" t="s">
        <v>19</v>
      </c>
      <c r="F7168" s="8"/>
      <c r="G7168" s="8" t="str">
        <f t="shared" si="2606"/>
        <v>事業用資産</v>
      </c>
      <c r="H7168" s="8" t="str">
        <f t="shared" si="2599"/>
        <v>棚卸以外</v>
      </c>
      <c r="I7168" s="8">
        <v>1</v>
      </c>
      <c r="J7168" s="8" t="str">
        <f>"宿舎"</f>
        <v>宿舎</v>
      </c>
      <c r="K7168" s="8" t="str">
        <f>"鉄筋コンクリート造"</f>
        <v>鉄筋コンクリート造</v>
      </c>
      <c r="L7168" s="8" t="str">
        <f>"H07.02.28"</f>
        <v>H07.02.28</v>
      </c>
      <c r="M7168" s="8">
        <v>3401.54</v>
      </c>
      <c r="N7168" s="8">
        <v>687069464</v>
      </c>
      <c r="O7168" s="8">
        <v>358446378</v>
      </c>
      <c r="P7168" s="8">
        <v>0</v>
      </c>
      <c r="Q7168" s="8" t="str">
        <f t="shared" si="2616"/>
        <v>公安委員会</v>
      </c>
      <c r="R7168" s="8" t="str">
        <f t="shared" si="2617"/>
        <v>警察本部施設課</v>
      </c>
    </row>
    <row r="7169" spans="1:18" x14ac:dyDescent="0.45">
      <c r="A7169" s="8" t="str">
        <f>"11521000004"</f>
        <v>11521000004</v>
      </c>
      <c r="B7169" s="8" t="s">
        <v>18</v>
      </c>
      <c r="C7169" s="8" t="str">
        <f>"普通財産"</f>
        <v>普通財産</v>
      </c>
      <c r="D7169" s="8" t="str">
        <f>"その他"</f>
        <v>その他</v>
      </c>
      <c r="E7169" s="8" t="s">
        <v>19</v>
      </c>
      <c r="F7169" s="8"/>
      <c r="G7169" s="8" t="str">
        <f t="shared" si="2606"/>
        <v>事業用資産</v>
      </c>
      <c r="H7169" s="8" t="str">
        <f t="shared" si="2599"/>
        <v>棚卸以外</v>
      </c>
      <c r="I7169" s="8">
        <v>2</v>
      </c>
      <c r="J7169" s="8" t="str">
        <f>"受水槽ポンプ室"</f>
        <v>受水槽ポンプ室</v>
      </c>
      <c r="K7169" s="8" t="str">
        <f>"鉄筋コンクリート造"</f>
        <v>鉄筋コンクリート造</v>
      </c>
      <c r="L7169" s="8" t="str">
        <f>"H07.02.28"</f>
        <v>H07.02.28</v>
      </c>
      <c r="M7169" s="8">
        <v>63.8</v>
      </c>
      <c r="N7169" s="8">
        <v>8373000</v>
      </c>
      <c r="O7169" s="8">
        <v>5658120</v>
      </c>
      <c r="P7169" s="8">
        <v>0</v>
      </c>
      <c r="Q7169" s="8" t="str">
        <f t="shared" si="2616"/>
        <v>公安委員会</v>
      </c>
      <c r="R7169" s="8" t="str">
        <f t="shared" si="2617"/>
        <v>警察本部施設課</v>
      </c>
    </row>
    <row r="7170" spans="1:18" x14ac:dyDescent="0.45">
      <c r="A7170" s="8" t="str">
        <f>"11521000014"</f>
        <v>11521000014</v>
      </c>
      <c r="B7170" s="8" t="str">
        <f>"交通機動隊枚方分駐所"</f>
        <v>交通機動隊枚方分駐所</v>
      </c>
      <c r="C7170" s="8" t="str">
        <f t="shared" ref="C7170:C7178" si="2622">"行政財産"</f>
        <v>行政財産</v>
      </c>
      <c r="D7170" s="8" t="str">
        <f t="shared" ref="D7170:D7178" si="2623">"警察（消防）施設"</f>
        <v>警察（消防）施設</v>
      </c>
      <c r="E7170" s="8" t="str">
        <f>"大阪府枚方市北山１丁目"</f>
        <v>大阪府枚方市北山１丁目</v>
      </c>
      <c r="F7170" s="8"/>
      <c r="G7170" s="8" t="str">
        <f t="shared" si="2606"/>
        <v>事業用資産</v>
      </c>
      <c r="H7170" s="8" t="str">
        <f t="shared" si="2599"/>
        <v>棚卸以外</v>
      </c>
      <c r="I7170" s="8">
        <v>1</v>
      </c>
      <c r="J7170" s="8" t="str">
        <f>"枚方分駐所"</f>
        <v>枚方分駐所</v>
      </c>
      <c r="K7170" s="8" t="str">
        <f>"鉄骨造"</f>
        <v>鉄骨造</v>
      </c>
      <c r="L7170" s="8" t="str">
        <f>"S61.03.31"</f>
        <v>S61.03.31</v>
      </c>
      <c r="M7170" s="8">
        <v>297.29000000000002</v>
      </c>
      <c r="N7170" s="8">
        <v>53798554</v>
      </c>
      <c r="O7170" s="8">
        <v>52041221</v>
      </c>
      <c r="P7170" s="8">
        <v>0</v>
      </c>
      <c r="Q7170" s="8" t="str">
        <f t="shared" si="2616"/>
        <v>公安委員会</v>
      </c>
      <c r="R7170" s="8" t="str">
        <f t="shared" si="2617"/>
        <v>警察本部施設課</v>
      </c>
    </row>
    <row r="7171" spans="1:18" x14ac:dyDescent="0.45">
      <c r="A7171" s="8" t="str">
        <f>"11521000016"</f>
        <v>11521000016</v>
      </c>
      <c r="B7171" s="8" t="str">
        <f>"交通機動隊高槻分駐所"</f>
        <v>交通機動隊高槻分駐所</v>
      </c>
      <c r="C7171" s="8" t="str">
        <f t="shared" si="2622"/>
        <v>行政財産</v>
      </c>
      <c r="D7171" s="8" t="str">
        <f t="shared" si="2623"/>
        <v>警察（消防）施設</v>
      </c>
      <c r="E7171" s="8" t="str">
        <f>"大阪府高槻市唐崎北３丁目"</f>
        <v>大阪府高槻市唐崎北３丁目</v>
      </c>
      <c r="F7171" s="8"/>
      <c r="G7171" s="8" t="str">
        <f t="shared" si="2606"/>
        <v>事業用資産</v>
      </c>
      <c r="H7171" s="8" t="str">
        <f t="shared" si="2599"/>
        <v>棚卸以外</v>
      </c>
      <c r="I7171" s="8">
        <v>1</v>
      </c>
      <c r="J7171" s="8" t="str">
        <f>"高槻分駐所"</f>
        <v>高槻分駐所</v>
      </c>
      <c r="K7171" s="8" t="str">
        <f>"鉄骨造"</f>
        <v>鉄骨造</v>
      </c>
      <c r="L7171" s="8" t="str">
        <f>"H10.01.14"</f>
        <v>H10.01.14</v>
      </c>
      <c r="M7171" s="8">
        <v>408</v>
      </c>
      <c r="N7171" s="8">
        <v>81433000</v>
      </c>
      <c r="O7171" s="8">
        <v>53931764</v>
      </c>
      <c r="P7171" s="8">
        <v>0</v>
      </c>
      <c r="Q7171" s="8" t="str">
        <f t="shared" si="2616"/>
        <v>公安委員会</v>
      </c>
      <c r="R7171" s="8" t="str">
        <f t="shared" si="2617"/>
        <v>警察本部施設課</v>
      </c>
    </row>
    <row r="7172" spans="1:18" x14ac:dyDescent="0.45">
      <c r="A7172" s="8" t="str">
        <f>"11521000016"</f>
        <v>11521000016</v>
      </c>
      <c r="B7172" s="8" t="str">
        <f>"交通機動隊高槻分駐所"</f>
        <v>交通機動隊高槻分駐所</v>
      </c>
      <c r="C7172" s="8" t="str">
        <f t="shared" si="2622"/>
        <v>行政財産</v>
      </c>
      <c r="D7172" s="8" t="str">
        <f t="shared" si="2623"/>
        <v>警察（消防）施設</v>
      </c>
      <c r="E7172" s="8" t="str">
        <f>"大阪府高槻市唐崎北３丁目"</f>
        <v>大阪府高槻市唐崎北３丁目</v>
      </c>
      <c r="F7172" s="8"/>
      <c r="G7172" s="8" t="str">
        <f t="shared" si="2606"/>
        <v>事業用資産</v>
      </c>
      <c r="H7172" s="8" t="str">
        <f t="shared" ref="H7172:H7235" si="2624">"棚卸以外"</f>
        <v>棚卸以外</v>
      </c>
      <c r="I7172" s="8">
        <v>2</v>
      </c>
      <c r="J7172" s="8" t="str">
        <f>"プロパン庫"</f>
        <v>プロパン庫</v>
      </c>
      <c r="K7172" s="8" t="str">
        <f>"コンクリートブロック造"</f>
        <v>コンクリートブロック造</v>
      </c>
      <c r="L7172" s="8" t="str">
        <f>"H10.01.14"</f>
        <v>H10.01.14</v>
      </c>
      <c r="M7172" s="8">
        <v>3.54</v>
      </c>
      <c r="N7172" s="8">
        <v>794000</v>
      </c>
      <c r="O7172" s="8">
        <v>587994</v>
      </c>
      <c r="P7172" s="8">
        <v>0</v>
      </c>
      <c r="Q7172" s="8" t="str">
        <f t="shared" si="2616"/>
        <v>公安委員会</v>
      </c>
      <c r="R7172" s="8" t="str">
        <f t="shared" si="2617"/>
        <v>警察本部施設課</v>
      </c>
    </row>
    <row r="7173" spans="1:18" x14ac:dyDescent="0.45">
      <c r="A7173" s="8" t="str">
        <f>"11521000024"</f>
        <v>11521000024</v>
      </c>
      <c r="B7173" s="8" t="str">
        <f>"大阪府警察本部新北島別館"</f>
        <v>大阪府警察本部新北島別館</v>
      </c>
      <c r="C7173" s="8" t="str">
        <f t="shared" si="2622"/>
        <v>行政財産</v>
      </c>
      <c r="D7173" s="8" t="str">
        <f t="shared" si="2623"/>
        <v>警察（消防）施設</v>
      </c>
      <c r="E7173" s="8" t="str">
        <f>"大阪府大阪市　住之江区新北島３丁目"</f>
        <v>大阪府大阪市　住之江区新北島３丁目</v>
      </c>
      <c r="F7173" s="8"/>
      <c r="G7173" s="8" t="str">
        <f t="shared" si="2606"/>
        <v>事業用資産</v>
      </c>
      <c r="H7173" s="8" t="str">
        <f t="shared" si="2624"/>
        <v>棚卸以外</v>
      </c>
      <c r="I7173" s="8">
        <v>1</v>
      </c>
      <c r="J7173" s="8" t="str">
        <f>"庁舎"</f>
        <v>庁舎</v>
      </c>
      <c r="K7173" s="8" t="str">
        <f>"鉄筋コンクリート造"</f>
        <v>鉄筋コンクリート造</v>
      </c>
      <c r="L7173" s="8" t="str">
        <f>"H22.02.26"</f>
        <v>H22.02.26</v>
      </c>
      <c r="M7173" s="8">
        <v>1971.02</v>
      </c>
      <c r="N7173" s="8">
        <v>614590405</v>
      </c>
      <c r="O7173" s="8">
        <v>161024071</v>
      </c>
      <c r="P7173" s="8">
        <v>0</v>
      </c>
      <c r="Q7173" s="8" t="str">
        <f t="shared" si="2616"/>
        <v>公安委員会</v>
      </c>
      <c r="R7173" s="8" t="str">
        <f t="shared" si="2617"/>
        <v>警察本部施設課</v>
      </c>
    </row>
    <row r="7174" spans="1:18" x14ac:dyDescent="0.45">
      <c r="A7174" s="8" t="str">
        <f>"11521000024"</f>
        <v>11521000024</v>
      </c>
      <c r="B7174" s="8" t="str">
        <f>"大阪府警察本部新北島別館"</f>
        <v>大阪府警察本部新北島別館</v>
      </c>
      <c r="C7174" s="8" t="str">
        <f t="shared" si="2622"/>
        <v>行政財産</v>
      </c>
      <c r="D7174" s="8" t="str">
        <f t="shared" si="2623"/>
        <v>警察（消防）施設</v>
      </c>
      <c r="E7174" s="8" t="str">
        <f>"大阪府大阪市　住之江区新北島３丁目"</f>
        <v>大阪府大阪市　住之江区新北島３丁目</v>
      </c>
      <c r="F7174" s="8"/>
      <c r="G7174" s="8" t="str">
        <f t="shared" si="2606"/>
        <v>事業用資産</v>
      </c>
      <c r="H7174" s="8" t="str">
        <f t="shared" si="2624"/>
        <v>棚卸以外</v>
      </c>
      <c r="I7174" s="8">
        <v>2</v>
      </c>
      <c r="J7174" s="8" t="str">
        <f>"ゴミ置場"</f>
        <v>ゴミ置場</v>
      </c>
      <c r="K7174" s="8" t="str">
        <f>"鉄筋コンクリート造"</f>
        <v>鉄筋コンクリート造</v>
      </c>
      <c r="L7174" s="8" t="str">
        <f>"H22.02.26"</f>
        <v>H22.02.26</v>
      </c>
      <c r="M7174" s="8">
        <v>9.9499999999999993</v>
      </c>
      <c r="N7174" s="8">
        <v>2024000</v>
      </c>
      <c r="O7174" s="8">
        <v>529718</v>
      </c>
      <c r="P7174" s="8">
        <v>0</v>
      </c>
      <c r="Q7174" s="8" t="str">
        <f t="shared" si="2616"/>
        <v>公安委員会</v>
      </c>
      <c r="R7174" s="8" t="str">
        <f t="shared" si="2617"/>
        <v>警察本部施設課</v>
      </c>
    </row>
    <row r="7175" spans="1:18" x14ac:dyDescent="0.45">
      <c r="A7175" s="8" t="str">
        <f>"11521000025"</f>
        <v>11521000025</v>
      </c>
      <c r="B7175" s="8" t="str">
        <f>"大阪府警察学校"</f>
        <v>大阪府警察学校</v>
      </c>
      <c r="C7175" s="8" t="str">
        <f t="shared" si="2622"/>
        <v>行政財産</v>
      </c>
      <c r="D7175" s="8" t="str">
        <f t="shared" si="2623"/>
        <v>警察（消防）施設</v>
      </c>
      <c r="E7175" s="8" t="str">
        <f>"大阪府泉南郡　田尻町りんくうポート南"</f>
        <v>大阪府泉南郡　田尻町りんくうポート南</v>
      </c>
      <c r="F7175" s="8"/>
      <c r="G7175" s="8" t="str">
        <f t="shared" si="2606"/>
        <v>事業用資産</v>
      </c>
      <c r="H7175" s="8" t="str">
        <f t="shared" si="2624"/>
        <v>棚卸以外</v>
      </c>
      <c r="I7175" s="8">
        <v>1</v>
      </c>
      <c r="J7175" s="8" t="str">
        <f>"生徒寮B"</f>
        <v>生徒寮B</v>
      </c>
      <c r="K7175" s="8" t="str">
        <f>"鉄筋コンクリート造"</f>
        <v>鉄筋コンクリート造</v>
      </c>
      <c r="L7175" s="8" t="str">
        <f>"H25.02.28"</f>
        <v>H25.02.28</v>
      </c>
      <c r="M7175" s="8">
        <v>8888.6</v>
      </c>
      <c r="N7175" s="8">
        <v>1751252642</v>
      </c>
      <c r="O7175" s="8">
        <v>591441415</v>
      </c>
      <c r="P7175" s="8">
        <v>0</v>
      </c>
      <c r="Q7175" s="8" t="str">
        <f t="shared" si="2616"/>
        <v>公安委員会</v>
      </c>
      <c r="R7175" s="8" t="str">
        <f t="shared" si="2617"/>
        <v>警察本部施設課</v>
      </c>
    </row>
    <row r="7176" spans="1:18" x14ac:dyDescent="0.45">
      <c r="A7176" s="8" t="str">
        <f>"11521000025"</f>
        <v>11521000025</v>
      </c>
      <c r="B7176" s="8" t="str">
        <f>"大阪府警察学校"</f>
        <v>大阪府警察学校</v>
      </c>
      <c r="C7176" s="8" t="str">
        <f t="shared" si="2622"/>
        <v>行政財産</v>
      </c>
      <c r="D7176" s="8" t="str">
        <f t="shared" si="2623"/>
        <v>警察（消防）施設</v>
      </c>
      <c r="E7176" s="8" t="str">
        <f>"大阪府泉南郡　田尻町りんくうポート南"</f>
        <v>大阪府泉南郡　田尻町りんくうポート南</v>
      </c>
      <c r="F7176" s="8"/>
      <c r="G7176" s="8" t="str">
        <f t="shared" si="2606"/>
        <v>事業用資産</v>
      </c>
      <c r="H7176" s="8" t="str">
        <f t="shared" si="2624"/>
        <v>棚卸以外</v>
      </c>
      <c r="I7176" s="8">
        <v>2</v>
      </c>
      <c r="J7176" s="8" t="str">
        <f>"道場・体育館"</f>
        <v>道場・体育館</v>
      </c>
      <c r="K7176" s="8" t="str">
        <f>"鉄筋コンクリート造"</f>
        <v>鉄筋コンクリート造</v>
      </c>
      <c r="L7176" s="8" t="str">
        <f>"H25.02.28"</f>
        <v>H25.02.28</v>
      </c>
      <c r="M7176" s="8">
        <v>4472.0600000000004</v>
      </c>
      <c r="N7176" s="8">
        <v>997453564</v>
      </c>
      <c r="O7176" s="8">
        <v>282792479</v>
      </c>
      <c r="P7176" s="8">
        <v>0</v>
      </c>
      <c r="Q7176" s="8" t="str">
        <f t="shared" si="2616"/>
        <v>公安委員会</v>
      </c>
      <c r="R7176" s="8" t="str">
        <f t="shared" si="2617"/>
        <v>警察本部施設課</v>
      </c>
    </row>
    <row r="7177" spans="1:18" x14ac:dyDescent="0.45">
      <c r="A7177" s="8" t="str">
        <f>"11521000025"</f>
        <v>11521000025</v>
      </c>
      <c r="B7177" s="8" t="str">
        <f>"大阪府警察学校"</f>
        <v>大阪府警察学校</v>
      </c>
      <c r="C7177" s="8" t="str">
        <f t="shared" si="2622"/>
        <v>行政財産</v>
      </c>
      <c r="D7177" s="8" t="str">
        <f t="shared" si="2623"/>
        <v>警察（消防）施設</v>
      </c>
      <c r="E7177" s="8" t="str">
        <f>"大阪府泉南郡　田尻町りんくうポート南"</f>
        <v>大阪府泉南郡　田尻町りんくうポート南</v>
      </c>
      <c r="F7177" s="8"/>
      <c r="G7177" s="8" t="str">
        <f t="shared" si="2606"/>
        <v>事業用資産</v>
      </c>
      <c r="H7177" s="8" t="str">
        <f t="shared" si="2624"/>
        <v>棚卸以外</v>
      </c>
      <c r="I7177" s="8">
        <v>3</v>
      </c>
      <c r="J7177" s="8" t="str">
        <f>"第２車庫"</f>
        <v>第２車庫</v>
      </c>
      <c r="K7177" s="8" t="str">
        <f>"鉄骨造"</f>
        <v>鉄骨造</v>
      </c>
      <c r="L7177" s="8" t="str">
        <f>"H25.02.28"</f>
        <v>H25.02.28</v>
      </c>
      <c r="M7177" s="8">
        <v>136.5</v>
      </c>
      <c r="N7177" s="8">
        <v>21149392</v>
      </c>
      <c r="O7177" s="8">
        <v>7846608</v>
      </c>
      <c r="P7177" s="8">
        <v>0</v>
      </c>
      <c r="Q7177" s="8" t="str">
        <f t="shared" si="2616"/>
        <v>公安委員会</v>
      </c>
      <c r="R7177" s="8" t="str">
        <f t="shared" si="2617"/>
        <v>警察本部施設課</v>
      </c>
    </row>
    <row r="7178" spans="1:18" x14ac:dyDescent="0.45">
      <c r="A7178" s="8" t="str">
        <f>"11521000025"</f>
        <v>11521000025</v>
      </c>
      <c r="B7178" s="8" t="str">
        <f>"大阪府警察学校"</f>
        <v>大阪府警察学校</v>
      </c>
      <c r="C7178" s="8" t="str">
        <f t="shared" si="2622"/>
        <v>行政財産</v>
      </c>
      <c r="D7178" s="8" t="str">
        <f t="shared" si="2623"/>
        <v>警察（消防）施設</v>
      </c>
      <c r="E7178" s="8" t="str">
        <f>"大阪府泉南郡　田尻町りんくうポート南"</f>
        <v>大阪府泉南郡　田尻町りんくうポート南</v>
      </c>
      <c r="F7178" s="8"/>
      <c r="G7178" s="8" t="str">
        <f t="shared" si="2606"/>
        <v>事業用資産</v>
      </c>
      <c r="H7178" s="8" t="str">
        <f t="shared" si="2624"/>
        <v>棚卸以外</v>
      </c>
      <c r="I7178" s="8">
        <v>4</v>
      </c>
      <c r="J7178" s="8" t="str">
        <f>"記念館"</f>
        <v>記念館</v>
      </c>
      <c r="K7178" s="8" t="str">
        <f>"鉄筋コンクリート造"</f>
        <v>鉄筋コンクリート造</v>
      </c>
      <c r="L7178" s="8" t="str">
        <f>"H25.02.28"</f>
        <v>H25.02.28</v>
      </c>
      <c r="M7178" s="8">
        <v>230</v>
      </c>
      <c r="N7178" s="8">
        <v>46446131</v>
      </c>
      <c r="O7178" s="8">
        <v>12681603</v>
      </c>
      <c r="P7178" s="8">
        <v>0</v>
      </c>
      <c r="Q7178" s="8" t="str">
        <f t="shared" si="2616"/>
        <v>公安委員会</v>
      </c>
      <c r="R7178" s="8" t="str">
        <f t="shared" si="2617"/>
        <v>警察本部施設課</v>
      </c>
    </row>
    <row r="7179" spans="1:18" x14ac:dyDescent="0.45">
      <c r="A7179" s="8" t="str">
        <f t="shared" ref="A7179:A7184" si="2625">"11521000028"</f>
        <v>11521000028</v>
      </c>
      <c r="B7179" s="8" t="str">
        <f t="shared" ref="B7179:B7184" si="2626">"大阪府警察旭待機宿舎"</f>
        <v>大阪府警察旭待機宿舎</v>
      </c>
      <c r="C7179" s="8" t="str">
        <f t="shared" ref="C7179:C7184" si="2627">"普通財産"</f>
        <v>普通財産</v>
      </c>
      <c r="D7179" s="8" t="str">
        <f t="shared" ref="D7179:D7184" si="2628">"その他"</f>
        <v>その他</v>
      </c>
      <c r="E7179" s="8" t="s">
        <v>20</v>
      </c>
      <c r="F7179" s="8"/>
      <c r="G7179" s="8" t="str">
        <f t="shared" si="2606"/>
        <v>事業用資産</v>
      </c>
      <c r="H7179" s="8" t="str">
        <f t="shared" si="2624"/>
        <v>棚卸以外</v>
      </c>
      <c r="I7179" s="8">
        <v>1</v>
      </c>
      <c r="J7179" s="8" t="str">
        <f>"宿舎Ａ"</f>
        <v>宿舎Ａ</v>
      </c>
      <c r="K7179" s="8" t="str">
        <f>"鉄筋コンクリート造"</f>
        <v>鉄筋コンクリート造</v>
      </c>
      <c r="L7179" s="8" t="str">
        <f t="shared" ref="L7179:L7184" si="2629">"S50.03.31"</f>
        <v>S50.03.31</v>
      </c>
      <c r="M7179" s="8">
        <v>2195.5</v>
      </c>
      <c r="N7179" s="8">
        <v>221732000</v>
      </c>
      <c r="O7179" s="8">
        <v>221731999</v>
      </c>
      <c r="P7179" s="8">
        <v>0</v>
      </c>
      <c r="Q7179" s="8" t="str">
        <f t="shared" si="2616"/>
        <v>公安委員会</v>
      </c>
      <c r="R7179" s="8" t="str">
        <f t="shared" si="2617"/>
        <v>警察本部施設課</v>
      </c>
    </row>
    <row r="7180" spans="1:18" x14ac:dyDescent="0.45">
      <c r="A7180" s="8" t="str">
        <f t="shared" si="2625"/>
        <v>11521000028</v>
      </c>
      <c r="B7180" s="8" t="str">
        <f t="shared" si="2626"/>
        <v>大阪府警察旭待機宿舎</v>
      </c>
      <c r="C7180" s="8" t="str">
        <f t="shared" si="2627"/>
        <v>普通財産</v>
      </c>
      <c r="D7180" s="8" t="str">
        <f t="shared" si="2628"/>
        <v>その他</v>
      </c>
      <c r="E7180" s="8" t="s">
        <v>20</v>
      </c>
      <c r="F7180" s="8"/>
      <c r="G7180" s="8" t="str">
        <f t="shared" si="2606"/>
        <v>事業用資産</v>
      </c>
      <c r="H7180" s="8" t="str">
        <f t="shared" si="2624"/>
        <v>棚卸以外</v>
      </c>
      <c r="I7180" s="8">
        <v>2</v>
      </c>
      <c r="J7180" s="8" t="str">
        <f>"宿舎Ｂ"</f>
        <v>宿舎Ｂ</v>
      </c>
      <c r="K7180" s="8" t="str">
        <f>"鉄筋コンクリート造"</f>
        <v>鉄筋コンクリート造</v>
      </c>
      <c r="L7180" s="8" t="str">
        <f t="shared" si="2629"/>
        <v>S50.03.31</v>
      </c>
      <c r="M7180" s="8">
        <v>1317.3</v>
      </c>
      <c r="N7180" s="8">
        <v>132207000</v>
      </c>
      <c r="O7180" s="8">
        <v>132206999</v>
      </c>
      <c r="P7180" s="8">
        <v>0</v>
      </c>
      <c r="Q7180" s="8" t="str">
        <f t="shared" si="2616"/>
        <v>公安委員会</v>
      </c>
      <c r="R7180" s="8" t="str">
        <f t="shared" si="2617"/>
        <v>警察本部施設課</v>
      </c>
    </row>
    <row r="7181" spans="1:18" x14ac:dyDescent="0.45">
      <c r="A7181" s="8" t="str">
        <f t="shared" si="2625"/>
        <v>11521000028</v>
      </c>
      <c r="B7181" s="8" t="str">
        <f t="shared" si="2626"/>
        <v>大阪府警察旭待機宿舎</v>
      </c>
      <c r="C7181" s="8" t="str">
        <f t="shared" si="2627"/>
        <v>普通財産</v>
      </c>
      <c r="D7181" s="8" t="str">
        <f t="shared" si="2628"/>
        <v>その他</v>
      </c>
      <c r="E7181" s="8" t="s">
        <v>20</v>
      </c>
      <c r="F7181" s="8"/>
      <c r="G7181" s="8" t="str">
        <f t="shared" si="2606"/>
        <v>事業用資産</v>
      </c>
      <c r="H7181" s="8" t="str">
        <f t="shared" si="2624"/>
        <v>棚卸以外</v>
      </c>
      <c r="I7181" s="8">
        <v>3</v>
      </c>
      <c r="J7181" s="8" t="str">
        <f>"宿舎Ｃ"</f>
        <v>宿舎Ｃ</v>
      </c>
      <c r="K7181" s="8" t="str">
        <f>"鉄筋コンクリート造"</f>
        <v>鉄筋コンクリート造</v>
      </c>
      <c r="L7181" s="8" t="str">
        <f t="shared" si="2629"/>
        <v>S50.03.31</v>
      </c>
      <c r="M7181" s="8">
        <v>1120.1600000000001</v>
      </c>
      <c r="N7181" s="8">
        <v>107805000</v>
      </c>
      <c r="O7181" s="8">
        <v>107804999</v>
      </c>
      <c r="P7181" s="8">
        <v>0</v>
      </c>
      <c r="Q7181" s="8" t="str">
        <f t="shared" si="2616"/>
        <v>公安委員会</v>
      </c>
      <c r="R7181" s="8" t="str">
        <f t="shared" si="2617"/>
        <v>警察本部施設課</v>
      </c>
    </row>
    <row r="7182" spans="1:18" x14ac:dyDescent="0.45">
      <c r="A7182" s="8" t="str">
        <f t="shared" si="2625"/>
        <v>11521000028</v>
      </c>
      <c r="B7182" s="8" t="str">
        <f t="shared" si="2626"/>
        <v>大阪府警察旭待機宿舎</v>
      </c>
      <c r="C7182" s="8" t="str">
        <f t="shared" si="2627"/>
        <v>普通財産</v>
      </c>
      <c r="D7182" s="8" t="str">
        <f t="shared" si="2628"/>
        <v>その他</v>
      </c>
      <c r="E7182" s="8" t="s">
        <v>20</v>
      </c>
      <c r="F7182" s="8"/>
      <c r="G7182" s="8" t="str">
        <f t="shared" si="2606"/>
        <v>事業用資産</v>
      </c>
      <c r="H7182" s="8" t="str">
        <f t="shared" si="2624"/>
        <v>棚卸以外</v>
      </c>
      <c r="I7182" s="8">
        <v>4</v>
      </c>
      <c r="J7182" s="8" t="str">
        <f>"ポンプ室"</f>
        <v>ポンプ室</v>
      </c>
      <c r="K7182" s="8" t="str">
        <f>"鉄筋コンクリート造"</f>
        <v>鉄筋コンクリート造</v>
      </c>
      <c r="L7182" s="8" t="str">
        <f t="shared" si="2629"/>
        <v>S50.03.31</v>
      </c>
      <c r="M7182" s="8">
        <v>15</v>
      </c>
      <c r="N7182" s="8">
        <v>1466667</v>
      </c>
      <c r="O7182" s="8">
        <v>1466666</v>
      </c>
      <c r="P7182" s="8">
        <v>0</v>
      </c>
      <c r="Q7182" s="8" t="str">
        <f t="shared" si="2616"/>
        <v>公安委員会</v>
      </c>
      <c r="R7182" s="8" t="str">
        <f t="shared" si="2617"/>
        <v>警察本部施設課</v>
      </c>
    </row>
    <row r="7183" spans="1:18" x14ac:dyDescent="0.45">
      <c r="A7183" s="8" t="str">
        <f t="shared" si="2625"/>
        <v>11521000028</v>
      </c>
      <c r="B7183" s="8" t="str">
        <f t="shared" si="2626"/>
        <v>大阪府警察旭待機宿舎</v>
      </c>
      <c r="C7183" s="8" t="str">
        <f t="shared" si="2627"/>
        <v>普通財産</v>
      </c>
      <c r="D7183" s="8" t="str">
        <f t="shared" si="2628"/>
        <v>その他</v>
      </c>
      <c r="E7183" s="8" t="s">
        <v>20</v>
      </c>
      <c r="F7183" s="8"/>
      <c r="G7183" s="8" t="str">
        <f t="shared" si="2606"/>
        <v>事業用資産</v>
      </c>
      <c r="H7183" s="8" t="str">
        <f t="shared" si="2624"/>
        <v>棚卸以外</v>
      </c>
      <c r="I7183" s="8">
        <v>5</v>
      </c>
      <c r="J7183" s="8" t="str">
        <f>"物置Ａ"</f>
        <v>物置Ａ</v>
      </c>
      <c r="K7183" s="8" t="str">
        <f>"コンクリートブロック造"</f>
        <v>コンクリートブロック造</v>
      </c>
      <c r="L7183" s="8" t="str">
        <f t="shared" si="2629"/>
        <v>S50.03.31</v>
      </c>
      <c r="M7183" s="8">
        <v>99.6</v>
      </c>
      <c r="N7183" s="8">
        <v>5050000</v>
      </c>
      <c r="O7183" s="8">
        <v>5049999</v>
      </c>
      <c r="P7183" s="8">
        <v>0</v>
      </c>
      <c r="Q7183" s="8" t="str">
        <f t="shared" si="2616"/>
        <v>公安委員会</v>
      </c>
      <c r="R7183" s="8" t="str">
        <f t="shared" si="2617"/>
        <v>警察本部施設課</v>
      </c>
    </row>
    <row r="7184" spans="1:18" x14ac:dyDescent="0.45">
      <c r="A7184" s="8" t="str">
        <f t="shared" si="2625"/>
        <v>11521000028</v>
      </c>
      <c r="B7184" s="8" t="str">
        <f t="shared" si="2626"/>
        <v>大阪府警察旭待機宿舎</v>
      </c>
      <c r="C7184" s="8" t="str">
        <f t="shared" si="2627"/>
        <v>普通財産</v>
      </c>
      <c r="D7184" s="8" t="str">
        <f t="shared" si="2628"/>
        <v>その他</v>
      </c>
      <c r="E7184" s="8" t="s">
        <v>20</v>
      </c>
      <c r="F7184" s="8"/>
      <c r="G7184" s="8" t="str">
        <f t="shared" si="2606"/>
        <v>事業用資産</v>
      </c>
      <c r="H7184" s="8" t="str">
        <f t="shared" si="2624"/>
        <v>棚卸以外</v>
      </c>
      <c r="I7184" s="8">
        <v>6</v>
      </c>
      <c r="J7184" s="8" t="str">
        <f>"物置Ｂ"</f>
        <v>物置Ｂ</v>
      </c>
      <c r="K7184" s="8" t="str">
        <f>"コンクリートブロック造"</f>
        <v>コンクリートブロック造</v>
      </c>
      <c r="L7184" s="8" t="str">
        <f t="shared" si="2629"/>
        <v>S50.03.31</v>
      </c>
      <c r="M7184" s="8">
        <v>99.6</v>
      </c>
      <c r="N7184" s="8">
        <v>5050000</v>
      </c>
      <c r="O7184" s="8">
        <v>5049999</v>
      </c>
      <c r="P7184" s="8">
        <v>0</v>
      </c>
      <c r="Q7184" s="8" t="str">
        <f t="shared" si="2616"/>
        <v>公安委員会</v>
      </c>
      <c r="R7184" s="8" t="str">
        <f t="shared" si="2617"/>
        <v>警察本部施設課</v>
      </c>
    </row>
    <row r="7185" spans="1:18" x14ac:dyDescent="0.45">
      <c r="A7185" s="8" t="str">
        <f>"11521000031"</f>
        <v>11521000031</v>
      </c>
      <c r="B7185" s="8" t="str">
        <f>"舞洲警察活動センター"</f>
        <v>舞洲警察活動センター</v>
      </c>
      <c r="C7185" s="8" t="str">
        <f>"行政財産"</f>
        <v>行政財産</v>
      </c>
      <c r="D7185" s="8" t="str">
        <f>"警察（消防）施設"</f>
        <v>警察（消防）施設</v>
      </c>
      <c r="E7185" s="8" t="str">
        <f>"大阪府大阪市　此花区北港緑地２丁目"</f>
        <v>大阪府大阪市　此花区北港緑地２丁目</v>
      </c>
      <c r="F7185" s="8"/>
      <c r="G7185" s="8" t="str">
        <f t="shared" si="2606"/>
        <v>事業用資産</v>
      </c>
      <c r="H7185" s="8" t="str">
        <f t="shared" si="2624"/>
        <v>棚卸以外</v>
      </c>
      <c r="I7185" s="8">
        <v>1</v>
      </c>
      <c r="J7185" s="8" t="str">
        <f>"管理棟"</f>
        <v>管理棟</v>
      </c>
      <c r="K7185" s="8" t="str">
        <f>"鉄骨造"</f>
        <v>鉄骨造</v>
      </c>
      <c r="L7185" s="8" t="str">
        <f>"H09.03.31"</f>
        <v>H09.03.31</v>
      </c>
      <c r="M7185" s="8">
        <v>154.34</v>
      </c>
      <c r="N7185" s="8">
        <v>27686000</v>
      </c>
      <c r="O7185" s="8">
        <v>18943080</v>
      </c>
      <c r="P7185" s="8">
        <v>0</v>
      </c>
      <c r="Q7185" s="8" t="str">
        <f t="shared" si="2616"/>
        <v>公安委員会</v>
      </c>
      <c r="R7185" s="8" t="str">
        <f t="shared" si="2617"/>
        <v>警察本部施設課</v>
      </c>
    </row>
    <row r="7186" spans="1:18" x14ac:dyDescent="0.45">
      <c r="A7186" s="8" t="str">
        <f>"11521000031"</f>
        <v>11521000031</v>
      </c>
      <c r="B7186" s="8" t="str">
        <f>"舞洲警察活動センター"</f>
        <v>舞洲警察活動センター</v>
      </c>
      <c r="C7186" s="8" t="str">
        <f>"行政財産"</f>
        <v>行政財産</v>
      </c>
      <c r="D7186" s="8" t="str">
        <f>"警察（消防）施設"</f>
        <v>警察（消防）施設</v>
      </c>
      <c r="E7186" s="8" t="str">
        <f>"大阪府大阪市　此花区北港緑地２丁目"</f>
        <v>大阪府大阪市　此花区北港緑地２丁目</v>
      </c>
      <c r="F7186" s="8"/>
      <c r="G7186" s="8" t="str">
        <f t="shared" si="2606"/>
        <v>事業用資産</v>
      </c>
      <c r="H7186" s="8" t="str">
        <f t="shared" si="2624"/>
        <v>棚卸以外</v>
      </c>
      <c r="I7186" s="8">
        <v>2</v>
      </c>
      <c r="J7186" s="8" t="str">
        <f>"付属屋"</f>
        <v>付属屋</v>
      </c>
      <c r="K7186" s="8" t="str">
        <f>"軽量鉄骨造"</f>
        <v>軽量鉄骨造</v>
      </c>
      <c r="L7186" s="8" t="str">
        <f>"H03.03.30"</f>
        <v>H03.03.30</v>
      </c>
      <c r="M7186" s="8">
        <v>121.5</v>
      </c>
      <c r="N7186" s="8">
        <v>12687000</v>
      </c>
      <c r="O7186" s="8">
        <v>11072184</v>
      </c>
      <c r="P7186" s="8">
        <v>0</v>
      </c>
      <c r="Q7186" s="8" t="str">
        <f t="shared" si="2616"/>
        <v>公安委員会</v>
      </c>
      <c r="R7186" s="8" t="str">
        <f t="shared" si="2617"/>
        <v>警察本部施設課</v>
      </c>
    </row>
    <row r="7187" spans="1:18" x14ac:dyDescent="0.45">
      <c r="A7187" s="8" t="str">
        <f>"11521000031"</f>
        <v>11521000031</v>
      </c>
      <c r="B7187" s="8" t="str">
        <f>"舞洲警察活動センター"</f>
        <v>舞洲警察活動センター</v>
      </c>
      <c r="C7187" s="8" t="str">
        <f>"行政財産"</f>
        <v>行政財産</v>
      </c>
      <c r="D7187" s="8" t="str">
        <f>"警察（消防）施設"</f>
        <v>警察（消防）施設</v>
      </c>
      <c r="E7187" s="8" t="str">
        <f>"大阪府大阪市　此花区北港緑地２丁目"</f>
        <v>大阪府大阪市　此花区北港緑地２丁目</v>
      </c>
      <c r="F7187" s="8"/>
      <c r="G7187" s="8" t="str">
        <f t="shared" si="2606"/>
        <v>事業用資産</v>
      </c>
      <c r="H7187" s="8" t="str">
        <f t="shared" si="2624"/>
        <v>棚卸以外</v>
      </c>
      <c r="I7187" s="8">
        <v>3</v>
      </c>
      <c r="J7187" s="8" t="str">
        <f>"犬舎"</f>
        <v>犬舎</v>
      </c>
      <c r="K7187" s="8" t="str">
        <f>"鉄骨造"</f>
        <v>鉄骨造</v>
      </c>
      <c r="L7187" s="8" t="str">
        <f>"H27.01.30"</f>
        <v>H27.01.30</v>
      </c>
      <c r="M7187" s="8">
        <v>78.819999999999993</v>
      </c>
      <c r="N7187" s="8">
        <v>32627279</v>
      </c>
      <c r="O7187" s="8">
        <v>7485730</v>
      </c>
      <c r="P7187" s="8">
        <v>0</v>
      </c>
      <c r="Q7187" s="8" t="str">
        <f t="shared" si="2616"/>
        <v>公安委員会</v>
      </c>
      <c r="R7187" s="8" t="str">
        <f t="shared" ref="R7187:R7218" si="2630">"警察本部施設課"</f>
        <v>警察本部施設課</v>
      </c>
    </row>
    <row r="7188" spans="1:18" ht="26.4" x14ac:dyDescent="0.45">
      <c r="A7188" s="8" t="str">
        <f>"11521000035"</f>
        <v>11521000035</v>
      </c>
      <c r="B7188" s="8" t="s">
        <v>21</v>
      </c>
      <c r="C7188" s="8" t="str">
        <f>"普通財産"</f>
        <v>普通財産</v>
      </c>
      <c r="D7188" s="8" t="str">
        <f>"その他"</f>
        <v>その他</v>
      </c>
      <c r="E7188" s="8" t="s">
        <v>22</v>
      </c>
      <c r="F7188" s="8"/>
      <c r="G7188" s="8" t="str">
        <f t="shared" si="2606"/>
        <v>事業用資産</v>
      </c>
      <c r="H7188" s="8" t="str">
        <f t="shared" si="2624"/>
        <v>棚卸以外</v>
      </c>
      <c r="I7188" s="8">
        <v>1</v>
      </c>
      <c r="J7188" s="8" t="str">
        <f>"宿舎Ａ棟"</f>
        <v>宿舎Ａ棟</v>
      </c>
      <c r="K7188" s="8" t="str">
        <f>"鉄骨鉄筋コンクリート造"</f>
        <v>鉄骨鉄筋コンクリート造</v>
      </c>
      <c r="L7188" s="8" t="str">
        <f>"S58.03.01"</f>
        <v>S58.03.01</v>
      </c>
      <c r="M7188" s="8">
        <v>9385.61</v>
      </c>
      <c r="N7188" s="8">
        <v>1680071848</v>
      </c>
      <c r="O7188" s="8">
        <v>1429745520</v>
      </c>
      <c r="P7188" s="8">
        <v>0</v>
      </c>
      <c r="Q7188" s="8" t="str">
        <f t="shared" si="2616"/>
        <v>公安委員会</v>
      </c>
      <c r="R7188" s="8" t="str">
        <f t="shared" si="2630"/>
        <v>警察本部施設課</v>
      </c>
    </row>
    <row r="7189" spans="1:18" ht="26.4" x14ac:dyDescent="0.45">
      <c r="A7189" s="8" t="str">
        <f>"11521000035"</f>
        <v>11521000035</v>
      </c>
      <c r="B7189" s="8" t="s">
        <v>21</v>
      </c>
      <c r="C7189" s="8" t="str">
        <f>"普通財産"</f>
        <v>普通財産</v>
      </c>
      <c r="D7189" s="8" t="str">
        <f>"その他"</f>
        <v>その他</v>
      </c>
      <c r="E7189" s="8" t="s">
        <v>22</v>
      </c>
      <c r="F7189" s="8"/>
      <c r="G7189" s="8" t="str">
        <f t="shared" si="2606"/>
        <v>事業用資産</v>
      </c>
      <c r="H7189" s="8" t="str">
        <f t="shared" si="2624"/>
        <v>棚卸以外</v>
      </c>
      <c r="I7189" s="8">
        <v>2</v>
      </c>
      <c r="J7189" s="8" t="str">
        <f>"宿舎Ｂ棟"</f>
        <v>宿舎Ｂ棟</v>
      </c>
      <c r="K7189" s="8" t="str">
        <f>"鉄骨鉄筋コンクリート造"</f>
        <v>鉄骨鉄筋コンクリート造</v>
      </c>
      <c r="L7189" s="8" t="str">
        <f>"S57.07.31"</f>
        <v>S57.07.31</v>
      </c>
      <c r="M7189" s="8">
        <v>9333.4599999999991</v>
      </c>
      <c r="N7189" s="8">
        <v>1404434002</v>
      </c>
      <c r="O7189" s="8">
        <v>1193678880</v>
      </c>
      <c r="P7189" s="8">
        <v>0</v>
      </c>
      <c r="Q7189" s="8" t="str">
        <f t="shared" si="2616"/>
        <v>公安委員会</v>
      </c>
      <c r="R7189" s="8" t="str">
        <f t="shared" si="2630"/>
        <v>警察本部施設課</v>
      </c>
    </row>
    <row r="7190" spans="1:18" ht="26.4" x14ac:dyDescent="0.45">
      <c r="A7190" s="8" t="str">
        <f>"11521000035"</f>
        <v>11521000035</v>
      </c>
      <c r="B7190" s="8" t="s">
        <v>21</v>
      </c>
      <c r="C7190" s="8" t="str">
        <f>"普通財産"</f>
        <v>普通財産</v>
      </c>
      <c r="D7190" s="8" t="str">
        <f>"その他"</f>
        <v>その他</v>
      </c>
      <c r="E7190" s="8" t="s">
        <v>22</v>
      </c>
      <c r="F7190" s="8"/>
      <c r="G7190" s="8" t="str">
        <f t="shared" si="2606"/>
        <v>事業用資産</v>
      </c>
      <c r="H7190" s="8" t="str">
        <f t="shared" si="2624"/>
        <v>棚卸以外</v>
      </c>
      <c r="I7190" s="8">
        <v>4</v>
      </c>
      <c r="J7190" s="8" t="s">
        <v>23</v>
      </c>
      <c r="K7190" s="8" t="str">
        <f>"鉄骨鉄筋コンクリート造"</f>
        <v>鉄骨鉄筋コンクリート造</v>
      </c>
      <c r="L7190" s="8" t="str">
        <f>"S57.03.31"</f>
        <v>S57.03.31</v>
      </c>
      <c r="M7190" s="8">
        <v>52.15</v>
      </c>
      <c r="N7190" s="8">
        <v>8084090</v>
      </c>
      <c r="O7190" s="8">
        <v>6778054</v>
      </c>
      <c r="P7190" s="8">
        <v>0</v>
      </c>
      <c r="Q7190" s="8" t="str">
        <f t="shared" si="2616"/>
        <v>公安委員会</v>
      </c>
      <c r="R7190" s="8" t="str">
        <f t="shared" si="2630"/>
        <v>警察本部施設課</v>
      </c>
    </row>
    <row r="7191" spans="1:18" x14ac:dyDescent="0.45">
      <c r="A7191" s="8" t="str">
        <f>"11521000519"</f>
        <v>11521000519</v>
      </c>
      <c r="B7191" s="8" t="str">
        <f>"大阪府警察本部　中崎町別館"</f>
        <v>大阪府警察本部　中崎町別館</v>
      </c>
      <c r="C7191" s="8" t="str">
        <f t="shared" ref="C7191:C7203" si="2631">"行政財産"</f>
        <v>行政財産</v>
      </c>
      <c r="D7191" s="8" t="str">
        <f t="shared" ref="D7191:D7203" si="2632">"警察（消防）施設"</f>
        <v>警察（消防）施設</v>
      </c>
      <c r="E7191" s="8" t="str">
        <f>"大阪府大阪市　北区中崎２丁目"</f>
        <v>大阪府大阪市　北区中崎２丁目</v>
      </c>
      <c r="F7191" s="8"/>
      <c r="G7191" s="8" t="str">
        <f t="shared" ref="G7191:G7254" si="2633">"事業用資産"</f>
        <v>事業用資産</v>
      </c>
      <c r="H7191" s="8" t="str">
        <f t="shared" si="2624"/>
        <v>棚卸以外</v>
      </c>
      <c r="I7191" s="8">
        <v>1</v>
      </c>
      <c r="J7191" s="8" t="str">
        <f>"庁舎"</f>
        <v>庁舎</v>
      </c>
      <c r="K7191" s="8" t="str">
        <f>"鉄骨造"</f>
        <v>鉄骨造</v>
      </c>
      <c r="L7191" s="8" t="str">
        <f>"H06.09.14"</f>
        <v>H06.09.14</v>
      </c>
      <c r="M7191" s="8">
        <v>163.71</v>
      </c>
      <c r="N7191" s="8">
        <v>61465545</v>
      </c>
      <c r="O7191" s="8">
        <v>44152143</v>
      </c>
      <c r="P7191" s="8">
        <v>0</v>
      </c>
      <c r="Q7191" s="8" t="str">
        <f t="shared" si="2616"/>
        <v>公安委員会</v>
      </c>
      <c r="R7191" s="8" t="str">
        <f t="shared" si="2630"/>
        <v>警察本部施設課</v>
      </c>
    </row>
    <row r="7192" spans="1:18" x14ac:dyDescent="0.45">
      <c r="A7192" s="8" t="str">
        <f>"11521000519"</f>
        <v>11521000519</v>
      </c>
      <c r="B7192" s="8" t="str">
        <f>"大阪府警察本部　中崎町別館"</f>
        <v>大阪府警察本部　中崎町別館</v>
      </c>
      <c r="C7192" s="8" t="str">
        <f t="shared" si="2631"/>
        <v>行政財産</v>
      </c>
      <c r="D7192" s="8" t="str">
        <f t="shared" si="2632"/>
        <v>警察（消防）施設</v>
      </c>
      <c r="E7192" s="8" t="str">
        <f>"大阪府大阪市　北区中崎２丁目"</f>
        <v>大阪府大阪市　北区中崎２丁目</v>
      </c>
      <c r="F7192" s="8"/>
      <c r="G7192" s="8" t="str">
        <f t="shared" si="2633"/>
        <v>事業用資産</v>
      </c>
      <c r="H7192" s="8" t="str">
        <f t="shared" si="2624"/>
        <v>棚卸以外</v>
      </c>
      <c r="I7192" s="8">
        <v>2</v>
      </c>
      <c r="J7192" s="8" t="str">
        <f>"立体駐車棟"</f>
        <v>立体駐車棟</v>
      </c>
      <c r="K7192" s="8" t="str">
        <f>"鉄骨造"</f>
        <v>鉄骨造</v>
      </c>
      <c r="L7192" s="8" t="str">
        <f>"H06.09.14"</f>
        <v>H06.09.14</v>
      </c>
      <c r="M7192" s="8">
        <v>793.45</v>
      </c>
      <c r="N7192" s="8">
        <v>305717000</v>
      </c>
      <c r="O7192" s="8">
        <v>281062440</v>
      </c>
      <c r="P7192" s="8">
        <v>0</v>
      </c>
      <c r="Q7192" s="8" t="str">
        <f t="shared" si="2616"/>
        <v>公安委員会</v>
      </c>
      <c r="R7192" s="8" t="str">
        <f t="shared" si="2630"/>
        <v>警察本部施設課</v>
      </c>
    </row>
    <row r="7193" spans="1:18" x14ac:dyDescent="0.45">
      <c r="A7193" s="8" t="str">
        <f>"11521000520"</f>
        <v>11521000520</v>
      </c>
      <c r="B7193" s="8" t="str">
        <f>"大阪府警察総合訓練センター"</f>
        <v>大阪府警察総合訓練センター</v>
      </c>
      <c r="C7193" s="8" t="str">
        <f t="shared" si="2631"/>
        <v>行政財産</v>
      </c>
      <c r="D7193" s="8" t="str">
        <f t="shared" si="2632"/>
        <v>警察（消防）施設</v>
      </c>
      <c r="E7193" s="8" t="str">
        <f>"大阪府大東市大字龍間"</f>
        <v>大阪府大東市大字龍間</v>
      </c>
      <c r="F7193" s="8"/>
      <c r="G7193" s="8" t="str">
        <f t="shared" si="2633"/>
        <v>事業用資産</v>
      </c>
      <c r="H7193" s="8" t="str">
        <f t="shared" si="2624"/>
        <v>棚卸以外</v>
      </c>
      <c r="I7193" s="8">
        <v>1</v>
      </c>
      <c r="J7193" s="8" t="str">
        <f>"第一射撃場"</f>
        <v>第一射撃場</v>
      </c>
      <c r="K7193" s="8" t="str">
        <f t="shared" ref="K7193:K7198" si="2634">"鉄筋コンクリート造"</f>
        <v>鉄筋コンクリート造</v>
      </c>
      <c r="L7193" s="8" t="str">
        <f>"H09.03.31"</f>
        <v>H09.03.31</v>
      </c>
      <c r="M7193" s="8">
        <v>5995.13</v>
      </c>
      <c r="N7193" s="8">
        <v>3004402930</v>
      </c>
      <c r="O7193" s="8">
        <v>2055373736</v>
      </c>
      <c r="P7193" s="8">
        <v>0</v>
      </c>
      <c r="Q7193" s="8" t="str">
        <f t="shared" si="2616"/>
        <v>公安委員会</v>
      </c>
      <c r="R7193" s="8" t="str">
        <f t="shared" si="2630"/>
        <v>警察本部施設課</v>
      </c>
    </row>
    <row r="7194" spans="1:18" x14ac:dyDescent="0.45">
      <c r="A7194" s="8" t="str">
        <f>"11521000520"</f>
        <v>11521000520</v>
      </c>
      <c r="B7194" s="8" t="str">
        <f>"大阪府警察総合訓練センター"</f>
        <v>大阪府警察総合訓練センター</v>
      </c>
      <c r="C7194" s="8" t="str">
        <f t="shared" si="2631"/>
        <v>行政財産</v>
      </c>
      <c r="D7194" s="8" t="str">
        <f t="shared" si="2632"/>
        <v>警察（消防）施設</v>
      </c>
      <c r="E7194" s="8" t="str">
        <f>"大阪府大東市大字龍間"</f>
        <v>大阪府大東市大字龍間</v>
      </c>
      <c r="F7194" s="8"/>
      <c r="G7194" s="8" t="str">
        <f t="shared" si="2633"/>
        <v>事業用資産</v>
      </c>
      <c r="H7194" s="8" t="str">
        <f t="shared" si="2624"/>
        <v>棚卸以外</v>
      </c>
      <c r="I7194" s="8">
        <v>2</v>
      </c>
      <c r="J7194" s="8" t="str">
        <f>"第二射撃場"</f>
        <v>第二射撃場</v>
      </c>
      <c r="K7194" s="8" t="str">
        <f t="shared" si="2634"/>
        <v>鉄筋コンクリート造</v>
      </c>
      <c r="L7194" s="8" t="str">
        <f>"H09.03.31"</f>
        <v>H09.03.31</v>
      </c>
      <c r="M7194" s="8">
        <v>1269.97</v>
      </c>
      <c r="N7194" s="8">
        <v>547997963</v>
      </c>
      <c r="O7194" s="8">
        <v>374599581</v>
      </c>
      <c r="P7194" s="8">
        <v>0</v>
      </c>
      <c r="Q7194" s="8" t="str">
        <f t="shared" si="2616"/>
        <v>公安委員会</v>
      </c>
      <c r="R7194" s="8" t="str">
        <f t="shared" si="2630"/>
        <v>警察本部施設課</v>
      </c>
    </row>
    <row r="7195" spans="1:18" x14ac:dyDescent="0.45">
      <c r="A7195" s="8" t="str">
        <f>"11521000520"</f>
        <v>11521000520</v>
      </c>
      <c r="B7195" s="8" t="str">
        <f>"大阪府警察総合訓練センター"</f>
        <v>大阪府警察総合訓練センター</v>
      </c>
      <c r="C7195" s="8" t="str">
        <f t="shared" si="2631"/>
        <v>行政財産</v>
      </c>
      <c r="D7195" s="8" t="str">
        <f t="shared" si="2632"/>
        <v>警察（消防）施設</v>
      </c>
      <c r="E7195" s="8" t="str">
        <f>"大阪府大東市大字龍間"</f>
        <v>大阪府大東市大字龍間</v>
      </c>
      <c r="F7195" s="8"/>
      <c r="G7195" s="8" t="str">
        <f t="shared" si="2633"/>
        <v>事業用資産</v>
      </c>
      <c r="H7195" s="8" t="str">
        <f t="shared" si="2624"/>
        <v>棚卸以外</v>
      </c>
      <c r="I7195" s="8">
        <v>3</v>
      </c>
      <c r="J7195" s="8" t="str">
        <f>"自動車訓練コース待機所"</f>
        <v>自動車訓練コース待機所</v>
      </c>
      <c r="K7195" s="8" t="str">
        <f t="shared" si="2634"/>
        <v>鉄筋コンクリート造</v>
      </c>
      <c r="L7195" s="8" t="str">
        <f>"H09.03.31"</f>
        <v>H09.03.31</v>
      </c>
      <c r="M7195" s="8">
        <v>144.03</v>
      </c>
      <c r="N7195" s="8">
        <v>50757891</v>
      </c>
      <c r="O7195" s="8">
        <v>26337896</v>
      </c>
      <c r="P7195" s="8">
        <v>0</v>
      </c>
      <c r="Q7195" s="8" t="str">
        <f t="shared" si="2616"/>
        <v>公安委員会</v>
      </c>
      <c r="R7195" s="8" t="str">
        <f t="shared" si="2630"/>
        <v>警察本部施設課</v>
      </c>
    </row>
    <row r="7196" spans="1:18" x14ac:dyDescent="0.45">
      <c r="A7196" s="8" t="str">
        <f>"11521000520"</f>
        <v>11521000520</v>
      </c>
      <c r="B7196" s="8" t="str">
        <f>"大阪府警察総合訓練センター"</f>
        <v>大阪府警察総合訓練センター</v>
      </c>
      <c r="C7196" s="8" t="str">
        <f t="shared" si="2631"/>
        <v>行政財産</v>
      </c>
      <c r="D7196" s="8" t="str">
        <f t="shared" si="2632"/>
        <v>警察（消防）施設</v>
      </c>
      <c r="E7196" s="8" t="str">
        <f>"大阪府大東市大字龍間"</f>
        <v>大阪府大東市大字龍間</v>
      </c>
      <c r="F7196" s="8"/>
      <c r="G7196" s="8" t="str">
        <f t="shared" si="2633"/>
        <v>事業用資産</v>
      </c>
      <c r="H7196" s="8" t="str">
        <f t="shared" si="2624"/>
        <v>棚卸以外</v>
      </c>
      <c r="I7196" s="8">
        <v>4</v>
      </c>
      <c r="J7196" s="8" t="str">
        <f>"陸上競技観覧場"</f>
        <v>陸上競技観覧場</v>
      </c>
      <c r="K7196" s="8" t="str">
        <f t="shared" si="2634"/>
        <v>鉄筋コンクリート造</v>
      </c>
      <c r="L7196" s="8" t="str">
        <f>"H09.03.31"</f>
        <v>H09.03.31</v>
      </c>
      <c r="M7196" s="8">
        <v>400.34</v>
      </c>
      <c r="N7196" s="8">
        <v>138591000</v>
      </c>
      <c r="O7196" s="8">
        <v>94825536</v>
      </c>
      <c r="P7196" s="8">
        <v>0</v>
      </c>
      <c r="Q7196" s="8" t="str">
        <f t="shared" si="2616"/>
        <v>公安委員会</v>
      </c>
      <c r="R7196" s="8" t="str">
        <f t="shared" si="2630"/>
        <v>警察本部施設課</v>
      </c>
    </row>
    <row r="7197" spans="1:18" x14ac:dyDescent="0.45">
      <c r="A7197" s="8" t="str">
        <f>"11521000520"</f>
        <v>11521000520</v>
      </c>
      <c r="B7197" s="8" t="str">
        <f>"大阪府警察総合訓練センター"</f>
        <v>大阪府警察総合訓練センター</v>
      </c>
      <c r="C7197" s="8" t="str">
        <f t="shared" si="2631"/>
        <v>行政財産</v>
      </c>
      <c r="D7197" s="8" t="str">
        <f t="shared" si="2632"/>
        <v>警察（消防）施設</v>
      </c>
      <c r="E7197" s="8" t="str">
        <f>"大阪府大東市大字龍間"</f>
        <v>大阪府大東市大字龍間</v>
      </c>
      <c r="F7197" s="8"/>
      <c r="G7197" s="8" t="str">
        <f t="shared" si="2633"/>
        <v>事業用資産</v>
      </c>
      <c r="H7197" s="8" t="str">
        <f t="shared" si="2624"/>
        <v>棚卸以外</v>
      </c>
      <c r="I7197" s="8">
        <v>5</v>
      </c>
      <c r="J7197" s="8" t="str">
        <f>"ゴミ置場"</f>
        <v>ゴミ置場</v>
      </c>
      <c r="K7197" s="8" t="str">
        <f t="shared" si="2634"/>
        <v>鉄筋コンクリート造</v>
      </c>
      <c r="L7197" s="8" t="str">
        <f>"H09.03.31"</f>
        <v>H09.03.31</v>
      </c>
      <c r="M7197" s="8">
        <v>4</v>
      </c>
      <c r="N7197" s="8">
        <v>980000</v>
      </c>
      <c r="O7197" s="8">
        <v>670800</v>
      </c>
      <c r="P7197" s="8">
        <v>0</v>
      </c>
      <c r="Q7197" s="8" t="str">
        <f t="shared" si="2616"/>
        <v>公安委員会</v>
      </c>
      <c r="R7197" s="8" t="str">
        <f t="shared" si="2630"/>
        <v>警察本部施設課</v>
      </c>
    </row>
    <row r="7198" spans="1:18" x14ac:dyDescent="0.45">
      <c r="A7198" s="8" t="str">
        <f>"11521000521"</f>
        <v>11521000521</v>
      </c>
      <c r="B7198" s="8" t="str">
        <f>"りんくうタウン別館"</f>
        <v>りんくうタウン別館</v>
      </c>
      <c r="C7198" s="8" t="str">
        <f t="shared" si="2631"/>
        <v>行政財産</v>
      </c>
      <c r="D7198" s="8" t="str">
        <f t="shared" si="2632"/>
        <v>警察（消防）施設</v>
      </c>
      <c r="E7198" s="8" t="str">
        <f t="shared" ref="E7198:E7203" si="2635">"大阪府泉佐野市りんくう往来北"</f>
        <v>大阪府泉佐野市りんくう往来北</v>
      </c>
      <c r="F7198" s="8"/>
      <c r="G7198" s="8" t="str">
        <f t="shared" si="2633"/>
        <v>事業用資産</v>
      </c>
      <c r="H7198" s="8" t="str">
        <f t="shared" si="2624"/>
        <v>棚卸以外</v>
      </c>
      <c r="I7198" s="8">
        <v>1</v>
      </c>
      <c r="J7198" s="8" t="str">
        <f>"庁舎"</f>
        <v>庁舎</v>
      </c>
      <c r="K7198" s="8" t="str">
        <f t="shared" si="2634"/>
        <v>鉄筋コンクリート造</v>
      </c>
      <c r="L7198" s="8" t="str">
        <f>"H05.10.29"</f>
        <v>H05.10.29</v>
      </c>
      <c r="M7198" s="8">
        <v>2818.4</v>
      </c>
      <c r="N7198" s="8">
        <v>1338330798</v>
      </c>
      <c r="O7198" s="8">
        <v>769992687</v>
      </c>
      <c r="P7198" s="8">
        <v>0</v>
      </c>
      <c r="Q7198" s="8" t="str">
        <f t="shared" si="2616"/>
        <v>公安委員会</v>
      </c>
      <c r="R7198" s="8" t="str">
        <f t="shared" si="2630"/>
        <v>警察本部施設課</v>
      </c>
    </row>
    <row r="7199" spans="1:18" x14ac:dyDescent="0.45">
      <c r="A7199" s="8" t="str">
        <f>"11521000521"</f>
        <v>11521000521</v>
      </c>
      <c r="B7199" s="8" t="str">
        <f>"りんくうタウン別館"</f>
        <v>りんくうタウン別館</v>
      </c>
      <c r="C7199" s="8" t="str">
        <f t="shared" si="2631"/>
        <v>行政財産</v>
      </c>
      <c r="D7199" s="8" t="str">
        <f t="shared" si="2632"/>
        <v>警察（消防）施設</v>
      </c>
      <c r="E7199" s="8" t="str">
        <f t="shared" si="2635"/>
        <v>大阪府泉佐野市りんくう往来北</v>
      </c>
      <c r="F7199" s="8"/>
      <c r="G7199" s="8" t="str">
        <f t="shared" si="2633"/>
        <v>事業用資産</v>
      </c>
      <c r="H7199" s="8" t="str">
        <f t="shared" si="2624"/>
        <v>棚卸以外</v>
      </c>
      <c r="I7199" s="8">
        <v>2</v>
      </c>
      <c r="J7199" s="8" t="str">
        <f>"大型車庫"</f>
        <v>大型車庫</v>
      </c>
      <c r="K7199" s="8" t="str">
        <f>"鉄骨造"</f>
        <v>鉄骨造</v>
      </c>
      <c r="L7199" s="8" t="str">
        <f>"H05.10.29"</f>
        <v>H05.10.29</v>
      </c>
      <c r="M7199" s="8">
        <v>92.87</v>
      </c>
      <c r="N7199" s="8">
        <v>22074000</v>
      </c>
      <c r="O7199" s="8">
        <v>20946667</v>
      </c>
      <c r="P7199" s="8">
        <v>0</v>
      </c>
      <c r="Q7199" s="8" t="str">
        <f t="shared" si="2616"/>
        <v>公安委員会</v>
      </c>
      <c r="R7199" s="8" t="str">
        <f t="shared" si="2630"/>
        <v>警察本部施設課</v>
      </c>
    </row>
    <row r="7200" spans="1:18" x14ac:dyDescent="0.45">
      <c r="A7200" s="8" t="str">
        <f>"11521000521"</f>
        <v>11521000521</v>
      </c>
      <c r="B7200" s="8" t="str">
        <f>"りんくうタウン別館"</f>
        <v>りんくうタウン別館</v>
      </c>
      <c r="C7200" s="8" t="str">
        <f t="shared" si="2631"/>
        <v>行政財産</v>
      </c>
      <c r="D7200" s="8" t="str">
        <f t="shared" si="2632"/>
        <v>警察（消防）施設</v>
      </c>
      <c r="E7200" s="8" t="str">
        <f t="shared" si="2635"/>
        <v>大阪府泉佐野市りんくう往来北</v>
      </c>
      <c r="F7200" s="8"/>
      <c r="G7200" s="8" t="str">
        <f t="shared" si="2633"/>
        <v>事業用資産</v>
      </c>
      <c r="H7200" s="8" t="str">
        <f t="shared" si="2624"/>
        <v>棚卸以外</v>
      </c>
      <c r="I7200" s="8">
        <v>3</v>
      </c>
      <c r="J7200" s="8" t="str">
        <f>"車庫１"</f>
        <v>車庫１</v>
      </c>
      <c r="K7200" s="8" t="str">
        <f>"鉄骨造"</f>
        <v>鉄骨造</v>
      </c>
      <c r="L7200" s="8" t="str">
        <f>"H05.10.29"</f>
        <v>H05.10.29</v>
      </c>
      <c r="M7200" s="8">
        <v>173.74</v>
      </c>
      <c r="N7200" s="8">
        <v>45175000</v>
      </c>
      <c r="O7200" s="8">
        <v>42867967</v>
      </c>
      <c r="P7200" s="8">
        <v>0</v>
      </c>
      <c r="Q7200" s="8" t="str">
        <f t="shared" si="2616"/>
        <v>公安委員会</v>
      </c>
      <c r="R7200" s="8" t="str">
        <f t="shared" si="2630"/>
        <v>警察本部施設課</v>
      </c>
    </row>
    <row r="7201" spans="1:18" x14ac:dyDescent="0.45">
      <c r="A7201" s="8" t="str">
        <f>"11521000521"</f>
        <v>11521000521</v>
      </c>
      <c r="B7201" s="8" t="str">
        <f>"りんくうタウン別館"</f>
        <v>りんくうタウン別館</v>
      </c>
      <c r="C7201" s="8" t="str">
        <f t="shared" si="2631"/>
        <v>行政財産</v>
      </c>
      <c r="D7201" s="8" t="str">
        <f t="shared" si="2632"/>
        <v>警察（消防）施設</v>
      </c>
      <c r="E7201" s="8" t="str">
        <f t="shared" si="2635"/>
        <v>大阪府泉佐野市りんくう往来北</v>
      </c>
      <c r="F7201" s="8"/>
      <c r="G7201" s="8" t="str">
        <f t="shared" si="2633"/>
        <v>事業用資産</v>
      </c>
      <c r="H7201" s="8" t="str">
        <f t="shared" si="2624"/>
        <v>棚卸以外</v>
      </c>
      <c r="I7201" s="8">
        <v>4</v>
      </c>
      <c r="J7201" s="8" t="str">
        <f>"車庫２"</f>
        <v>車庫２</v>
      </c>
      <c r="K7201" s="8" t="str">
        <f>"鉄骨造"</f>
        <v>鉄骨造</v>
      </c>
      <c r="L7201" s="8" t="str">
        <f>"H05.10.29"</f>
        <v>H05.10.29</v>
      </c>
      <c r="M7201" s="8">
        <v>64.27</v>
      </c>
      <c r="N7201" s="8">
        <v>15826000</v>
      </c>
      <c r="O7201" s="8">
        <v>15018032</v>
      </c>
      <c r="P7201" s="8">
        <v>0</v>
      </c>
      <c r="Q7201" s="8" t="str">
        <f t="shared" si="2616"/>
        <v>公安委員会</v>
      </c>
      <c r="R7201" s="8" t="str">
        <f t="shared" si="2630"/>
        <v>警察本部施設課</v>
      </c>
    </row>
    <row r="7202" spans="1:18" x14ac:dyDescent="0.45">
      <c r="A7202" s="8" t="str">
        <f>"11521000521"</f>
        <v>11521000521</v>
      </c>
      <c r="B7202" s="8" t="str">
        <f>"りんくうタウン別館"</f>
        <v>りんくうタウン別館</v>
      </c>
      <c r="C7202" s="8" t="str">
        <f t="shared" si="2631"/>
        <v>行政財産</v>
      </c>
      <c r="D7202" s="8" t="str">
        <f t="shared" si="2632"/>
        <v>警察（消防）施設</v>
      </c>
      <c r="E7202" s="8" t="str">
        <f t="shared" si="2635"/>
        <v>大阪府泉佐野市りんくう往来北</v>
      </c>
      <c r="F7202" s="8"/>
      <c r="G7202" s="8" t="str">
        <f t="shared" si="2633"/>
        <v>事業用資産</v>
      </c>
      <c r="H7202" s="8" t="str">
        <f t="shared" si="2624"/>
        <v>棚卸以外</v>
      </c>
      <c r="I7202" s="8">
        <v>5</v>
      </c>
      <c r="J7202" s="8" t="str">
        <f>"ガソリンスタンドポンプ室"</f>
        <v>ガソリンスタンドポンプ室</v>
      </c>
      <c r="K7202" s="8" t="str">
        <f>"鉄筋コンクリート造"</f>
        <v>鉄筋コンクリート造</v>
      </c>
      <c r="L7202" s="8" t="str">
        <f>"H05.10.29"</f>
        <v>H05.10.29</v>
      </c>
      <c r="M7202" s="8">
        <v>22.43</v>
      </c>
      <c r="N7202" s="8">
        <v>4003000</v>
      </c>
      <c r="O7202" s="8">
        <v>3098987</v>
      </c>
      <c r="P7202" s="8">
        <v>0</v>
      </c>
      <c r="Q7202" s="8" t="str">
        <f t="shared" si="2616"/>
        <v>公安委員会</v>
      </c>
      <c r="R7202" s="8" t="str">
        <f t="shared" si="2630"/>
        <v>警察本部施設課</v>
      </c>
    </row>
    <row r="7203" spans="1:18" x14ac:dyDescent="0.45">
      <c r="A7203" s="8" t="str">
        <f>"11521000523"</f>
        <v>11521000523</v>
      </c>
      <c r="B7203" s="8" t="str">
        <f>"第三機動隊"</f>
        <v>第三機動隊</v>
      </c>
      <c r="C7203" s="8" t="str">
        <f t="shared" si="2631"/>
        <v>行政財産</v>
      </c>
      <c r="D7203" s="8" t="str">
        <f t="shared" si="2632"/>
        <v>警察（消防）施設</v>
      </c>
      <c r="E7203" s="8" t="str">
        <f t="shared" si="2635"/>
        <v>大阪府泉佐野市りんくう往来北</v>
      </c>
      <c r="F7203" s="8"/>
      <c r="G7203" s="8" t="str">
        <f t="shared" si="2633"/>
        <v>事業用資産</v>
      </c>
      <c r="H7203" s="8" t="str">
        <f t="shared" si="2624"/>
        <v>棚卸以外</v>
      </c>
      <c r="I7203" s="8">
        <v>1</v>
      </c>
      <c r="J7203" s="8" t="str">
        <f>"警備用立番所"</f>
        <v>警備用立番所</v>
      </c>
      <c r="K7203" s="8" t="str">
        <f>"鉄骨造"</f>
        <v>鉄骨造</v>
      </c>
      <c r="L7203" s="8" t="str">
        <f>"H05.12.20"</f>
        <v>H05.12.20</v>
      </c>
      <c r="M7203" s="8">
        <v>3.23</v>
      </c>
      <c r="N7203" s="8">
        <v>1536000</v>
      </c>
      <c r="O7203" s="8">
        <v>1182519</v>
      </c>
      <c r="P7203" s="8">
        <v>0</v>
      </c>
      <c r="Q7203" s="8" t="str">
        <f t="shared" si="2616"/>
        <v>公安委員会</v>
      </c>
      <c r="R7203" s="8" t="str">
        <f t="shared" si="2630"/>
        <v>警察本部施設課</v>
      </c>
    </row>
    <row r="7204" spans="1:18" x14ac:dyDescent="0.45">
      <c r="A7204" s="8" t="str">
        <f>"11521000527"</f>
        <v>11521000527</v>
      </c>
      <c r="B7204" s="8" t="s">
        <v>24</v>
      </c>
      <c r="C7204" s="8" t="str">
        <f>"普通財産"</f>
        <v>普通財産</v>
      </c>
      <c r="D7204" s="8" t="str">
        <f>"その他"</f>
        <v>その他</v>
      </c>
      <c r="E7204" s="8" t="s">
        <v>25</v>
      </c>
      <c r="F7204" s="8"/>
      <c r="G7204" s="8" t="str">
        <f t="shared" si="2633"/>
        <v>事業用資産</v>
      </c>
      <c r="H7204" s="8" t="str">
        <f t="shared" si="2624"/>
        <v>棚卸以外</v>
      </c>
      <c r="I7204" s="8">
        <v>1</v>
      </c>
      <c r="J7204" s="8" t="str">
        <f>"宿舎棟"</f>
        <v>宿舎棟</v>
      </c>
      <c r="K7204" s="8" t="str">
        <f>"鉄筋コンクリート造"</f>
        <v>鉄筋コンクリート造</v>
      </c>
      <c r="L7204" s="8" t="str">
        <f>"H07.01.11"</f>
        <v>H07.01.11</v>
      </c>
      <c r="M7204" s="8">
        <v>5327.4</v>
      </c>
      <c r="N7204" s="8">
        <v>1988973746</v>
      </c>
      <c r="O7204" s="8">
        <v>1191671383</v>
      </c>
      <c r="P7204" s="8">
        <v>0</v>
      </c>
      <c r="Q7204" s="8" t="str">
        <f t="shared" si="2616"/>
        <v>公安委員会</v>
      </c>
      <c r="R7204" s="8" t="str">
        <f t="shared" si="2630"/>
        <v>警察本部施設課</v>
      </c>
    </row>
    <row r="7205" spans="1:18" x14ac:dyDescent="0.45">
      <c r="A7205" s="8" t="str">
        <f t="shared" ref="A7205:A7210" si="2636">"11521001002"</f>
        <v>11521001002</v>
      </c>
      <c r="B7205" s="8" t="str">
        <f t="shared" ref="B7205:B7210" si="2637">"門真運転免許試験場"</f>
        <v>門真運転免許試験場</v>
      </c>
      <c r="C7205" s="8" t="str">
        <f t="shared" ref="C7205:C7219" si="2638">"行政財産"</f>
        <v>行政財産</v>
      </c>
      <c r="D7205" s="8" t="str">
        <f t="shared" ref="D7205:D7219" si="2639">"警察（消防）施設"</f>
        <v>警察（消防）施設</v>
      </c>
      <c r="E7205" s="8" t="str">
        <f t="shared" ref="E7205:E7210" si="2640">"大阪府門真市一番町"</f>
        <v>大阪府門真市一番町</v>
      </c>
      <c r="F7205" s="8"/>
      <c r="G7205" s="8" t="str">
        <f t="shared" si="2633"/>
        <v>事業用資産</v>
      </c>
      <c r="H7205" s="8" t="str">
        <f t="shared" si="2624"/>
        <v>棚卸以外</v>
      </c>
      <c r="I7205" s="8">
        <v>38</v>
      </c>
      <c r="J7205" s="8" t="str">
        <f>"別館"</f>
        <v>別館</v>
      </c>
      <c r="K7205" s="8" t="str">
        <f>"鉄筋コンクリート造"</f>
        <v>鉄筋コンクリート造</v>
      </c>
      <c r="L7205" s="8" t="str">
        <f>"S57.12.28"</f>
        <v>S57.12.28</v>
      </c>
      <c r="M7205" s="8">
        <v>2643.69</v>
      </c>
      <c r="N7205" s="8">
        <v>742630996</v>
      </c>
      <c r="O7205" s="8">
        <v>560972834</v>
      </c>
      <c r="P7205" s="8">
        <v>0</v>
      </c>
      <c r="Q7205" s="8" t="str">
        <f t="shared" si="2616"/>
        <v>公安委員会</v>
      </c>
      <c r="R7205" s="8" t="str">
        <f t="shared" si="2630"/>
        <v>警察本部施設課</v>
      </c>
    </row>
    <row r="7206" spans="1:18" x14ac:dyDescent="0.45">
      <c r="A7206" s="8" t="str">
        <f t="shared" si="2636"/>
        <v>11521001002</v>
      </c>
      <c r="B7206" s="8" t="str">
        <f t="shared" si="2637"/>
        <v>門真運転免許試験場</v>
      </c>
      <c r="C7206" s="8" t="str">
        <f t="shared" si="2638"/>
        <v>行政財産</v>
      </c>
      <c r="D7206" s="8" t="str">
        <f t="shared" si="2639"/>
        <v>警察（消防）施設</v>
      </c>
      <c r="E7206" s="8" t="str">
        <f t="shared" si="2640"/>
        <v>大阪府門真市一番町</v>
      </c>
      <c r="F7206" s="8"/>
      <c r="G7206" s="8" t="str">
        <f t="shared" si="2633"/>
        <v>事業用資産</v>
      </c>
      <c r="H7206" s="8" t="str">
        <f t="shared" si="2624"/>
        <v>棚卸以外</v>
      </c>
      <c r="I7206" s="8">
        <v>41</v>
      </c>
      <c r="J7206" s="8" t="str">
        <f>"車庫"</f>
        <v>車庫</v>
      </c>
      <c r="K7206" s="8" t="str">
        <f>"鉄骨造"</f>
        <v>鉄骨造</v>
      </c>
      <c r="L7206" s="8" t="str">
        <f>"H05.04.30"</f>
        <v>H05.04.30</v>
      </c>
      <c r="M7206" s="8">
        <v>705.05</v>
      </c>
      <c r="N7206" s="8">
        <v>84333000</v>
      </c>
      <c r="O7206" s="8">
        <v>81386018</v>
      </c>
      <c r="P7206" s="8">
        <v>0</v>
      </c>
      <c r="Q7206" s="8" t="str">
        <f t="shared" si="2616"/>
        <v>公安委員会</v>
      </c>
      <c r="R7206" s="8" t="str">
        <f t="shared" si="2630"/>
        <v>警察本部施設課</v>
      </c>
    </row>
    <row r="7207" spans="1:18" ht="26.4" x14ac:dyDescent="0.45">
      <c r="A7207" s="8" t="str">
        <f t="shared" si="2636"/>
        <v>11521001002</v>
      </c>
      <c r="B7207" s="8" t="str">
        <f t="shared" si="2637"/>
        <v>門真運転免許試験場</v>
      </c>
      <c r="C7207" s="8" t="str">
        <f t="shared" si="2638"/>
        <v>行政財産</v>
      </c>
      <c r="D7207" s="8" t="str">
        <f t="shared" si="2639"/>
        <v>警察（消防）施設</v>
      </c>
      <c r="E7207" s="8" t="str">
        <f t="shared" si="2640"/>
        <v>大阪府門真市一番町</v>
      </c>
      <c r="F7207" s="8"/>
      <c r="G7207" s="8" t="str">
        <f t="shared" si="2633"/>
        <v>事業用資産</v>
      </c>
      <c r="H7207" s="8" t="str">
        <f t="shared" si="2624"/>
        <v>棚卸以外</v>
      </c>
      <c r="I7207" s="8">
        <v>51</v>
      </c>
      <c r="J7207" s="8" t="str">
        <f>"本館"</f>
        <v>本館</v>
      </c>
      <c r="K7207" s="8" t="str">
        <f>"鉄骨鉄筋コンクリート造"</f>
        <v>鉄骨鉄筋コンクリート造</v>
      </c>
      <c r="L7207" s="8" t="str">
        <f>"H07.07.20"</f>
        <v>H07.07.20</v>
      </c>
      <c r="M7207" s="8">
        <v>24321.25</v>
      </c>
      <c r="N7207" s="8">
        <v>12759316038</v>
      </c>
      <c r="O7207" s="8">
        <v>7067756104</v>
      </c>
      <c r="P7207" s="8">
        <v>0</v>
      </c>
      <c r="Q7207" s="8" t="str">
        <f t="shared" si="2616"/>
        <v>公安委員会</v>
      </c>
      <c r="R7207" s="8" t="str">
        <f t="shared" si="2630"/>
        <v>警察本部施設課</v>
      </c>
    </row>
    <row r="7208" spans="1:18" x14ac:dyDescent="0.45">
      <c r="A7208" s="8" t="str">
        <f t="shared" si="2636"/>
        <v>11521001002</v>
      </c>
      <c r="B7208" s="8" t="str">
        <f t="shared" si="2637"/>
        <v>門真運転免許試験場</v>
      </c>
      <c r="C7208" s="8" t="str">
        <f t="shared" si="2638"/>
        <v>行政財産</v>
      </c>
      <c r="D7208" s="8" t="str">
        <f t="shared" si="2639"/>
        <v>警察（消防）施設</v>
      </c>
      <c r="E7208" s="8" t="str">
        <f t="shared" si="2640"/>
        <v>大阪府門真市一番町</v>
      </c>
      <c r="F7208" s="8"/>
      <c r="G7208" s="8" t="str">
        <f t="shared" si="2633"/>
        <v>事業用資産</v>
      </c>
      <c r="H7208" s="8" t="str">
        <f t="shared" si="2624"/>
        <v>棚卸以外</v>
      </c>
      <c r="I7208" s="8">
        <v>53</v>
      </c>
      <c r="J7208" s="8" t="str">
        <f>"原付講習待合所"</f>
        <v>原付講習待合所</v>
      </c>
      <c r="K7208" s="8" t="str">
        <f>"鉄筋コンクリート造"</f>
        <v>鉄筋コンクリート造</v>
      </c>
      <c r="L7208" s="8" t="str">
        <f>"H09.02.28"</f>
        <v>H09.02.28</v>
      </c>
      <c r="M7208" s="8">
        <v>368.34</v>
      </c>
      <c r="N7208" s="8">
        <v>65287000</v>
      </c>
      <c r="O7208" s="8">
        <v>34058156</v>
      </c>
      <c r="P7208" s="8">
        <v>0</v>
      </c>
      <c r="Q7208" s="8" t="str">
        <f t="shared" si="2616"/>
        <v>公安委員会</v>
      </c>
      <c r="R7208" s="8" t="str">
        <f t="shared" si="2630"/>
        <v>警察本部施設課</v>
      </c>
    </row>
    <row r="7209" spans="1:18" x14ac:dyDescent="0.45">
      <c r="A7209" s="8" t="str">
        <f t="shared" si="2636"/>
        <v>11521001002</v>
      </c>
      <c r="B7209" s="8" t="str">
        <f t="shared" si="2637"/>
        <v>門真運転免許試験場</v>
      </c>
      <c r="C7209" s="8" t="str">
        <f t="shared" si="2638"/>
        <v>行政財産</v>
      </c>
      <c r="D7209" s="8" t="str">
        <f t="shared" si="2639"/>
        <v>警察（消防）施設</v>
      </c>
      <c r="E7209" s="8" t="str">
        <f t="shared" si="2640"/>
        <v>大阪府門真市一番町</v>
      </c>
      <c r="F7209" s="8"/>
      <c r="G7209" s="8" t="str">
        <f t="shared" si="2633"/>
        <v>事業用資産</v>
      </c>
      <c r="H7209" s="8" t="str">
        <f t="shared" si="2624"/>
        <v>棚卸以外</v>
      </c>
      <c r="I7209" s="8">
        <v>54</v>
      </c>
      <c r="J7209" s="8" t="str">
        <f>"駐車料金徴収所"</f>
        <v>駐車料金徴収所</v>
      </c>
      <c r="K7209" s="8" t="str">
        <f>"プレハブ"</f>
        <v>プレハブ</v>
      </c>
      <c r="L7209" s="8" t="str">
        <f>"H10.05.26"</f>
        <v>H10.05.26</v>
      </c>
      <c r="M7209" s="8">
        <v>2.63</v>
      </c>
      <c r="N7209" s="8">
        <v>2426902</v>
      </c>
      <c r="O7209" s="8">
        <v>2009116</v>
      </c>
      <c r="P7209" s="8">
        <v>0</v>
      </c>
      <c r="Q7209" s="8" t="str">
        <f t="shared" si="2616"/>
        <v>公安委員会</v>
      </c>
      <c r="R7209" s="8" t="str">
        <f t="shared" si="2630"/>
        <v>警察本部施設課</v>
      </c>
    </row>
    <row r="7210" spans="1:18" x14ac:dyDescent="0.45">
      <c r="A7210" s="8" t="str">
        <f t="shared" si="2636"/>
        <v>11521001002</v>
      </c>
      <c r="B7210" s="8" t="str">
        <f t="shared" si="2637"/>
        <v>門真運転免許試験場</v>
      </c>
      <c r="C7210" s="8" t="str">
        <f t="shared" si="2638"/>
        <v>行政財産</v>
      </c>
      <c r="D7210" s="8" t="str">
        <f t="shared" si="2639"/>
        <v>警察（消防）施設</v>
      </c>
      <c r="E7210" s="8" t="str">
        <f t="shared" si="2640"/>
        <v>大阪府門真市一番町</v>
      </c>
      <c r="F7210" s="8"/>
      <c r="G7210" s="8" t="str">
        <f t="shared" si="2633"/>
        <v>事業用資産</v>
      </c>
      <c r="H7210" s="8" t="str">
        <f t="shared" si="2624"/>
        <v>棚卸以外</v>
      </c>
      <c r="I7210" s="8">
        <v>55</v>
      </c>
      <c r="J7210" s="8" t="str">
        <f>"メーター室上屋"</f>
        <v>メーター室上屋</v>
      </c>
      <c r="K7210" s="8" t="str">
        <f>"鉄筋コンクリート造"</f>
        <v>鉄筋コンクリート造</v>
      </c>
      <c r="L7210" s="8" t="str">
        <f>"H12.12.26"</f>
        <v>H12.12.26</v>
      </c>
      <c r="M7210" s="8">
        <v>2.72</v>
      </c>
      <c r="N7210" s="8">
        <v>1573000</v>
      </c>
      <c r="O7210" s="8">
        <v>921150</v>
      </c>
      <c r="P7210" s="8">
        <v>0</v>
      </c>
      <c r="Q7210" s="8" t="str">
        <f t="shared" si="2616"/>
        <v>公安委員会</v>
      </c>
      <c r="R7210" s="8" t="str">
        <f t="shared" si="2630"/>
        <v>警察本部施設課</v>
      </c>
    </row>
    <row r="7211" spans="1:18" x14ac:dyDescent="0.45">
      <c r="A7211" s="8" t="str">
        <f t="shared" ref="A7211:A7218" si="2641">"11521001003"</f>
        <v>11521001003</v>
      </c>
      <c r="B7211" s="8" t="str">
        <f t="shared" ref="B7211:B7218" si="2642">"八尾航空基地"</f>
        <v>八尾航空基地</v>
      </c>
      <c r="C7211" s="8" t="str">
        <f t="shared" si="2638"/>
        <v>行政財産</v>
      </c>
      <c r="D7211" s="8" t="str">
        <f t="shared" si="2639"/>
        <v>警察（消防）施設</v>
      </c>
      <c r="E7211" s="8" t="str">
        <f t="shared" ref="E7211:E7218" si="2643">"大阪府八尾市空港１丁目"</f>
        <v>大阪府八尾市空港１丁目</v>
      </c>
      <c r="F7211" s="8"/>
      <c r="G7211" s="8" t="str">
        <f t="shared" si="2633"/>
        <v>事業用資産</v>
      </c>
      <c r="H7211" s="8" t="str">
        <f t="shared" si="2624"/>
        <v>棚卸以外</v>
      </c>
      <c r="I7211" s="8">
        <v>4</v>
      </c>
      <c r="J7211" s="8" t="str">
        <f>"油庫"</f>
        <v>油庫</v>
      </c>
      <c r="K7211" s="8" t="str">
        <f>"コンクリートブロック造"</f>
        <v>コンクリートブロック造</v>
      </c>
      <c r="L7211" s="8" t="str">
        <f>"S37.12.27"</f>
        <v>S37.12.27</v>
      </c>
      <c r="M7211" s="8">
        <v>23.57</v>
      </c>
      <c r="N7211" s="8">
        <v>480000</v>
      </c>
      <c r="O7211" s="8">
        <v>479999</v>
      </c>
      <c r="P7211" s="8">
        <v>0</v>
      </c>
      <c r="Q7211" s="8" t="str">
        <f t="shared" si="2616"/>
        <v>公安委員会</v>
      </c>
      <c r="R7211" s="8" t="str">
        <f t="shared" si="2630"/>
        <v>警察本部施設課</v>
      </c>
    </row>
    <row r="7212" spans="1:18" x14ac:dyDescent="0.45">
      <c r="A7212" s="8" t="str">
        <f t="shared" si="2641"/>
        <v>11521001003</v>
      </c>
      <c r="B7212" s="8" t="str">
        <f t="shared" si="2642"/>
        <v>八尾航空基地</v>
      </c>
      <c r="C7212" s="8" t="str">
        <f t="shared" si="2638"/>
        <v>行政財産</v>
      </c>
      <c r="D7212" s="8" t="str">
        <f t="shared" si="2639"/>
        <v>警察（消防）施設</v>
      </c>
      <c r="E7212" s="8" t="str">
        <f t="shared" si="2643"/>
        <v>大阪府八尾市空港１丁目</v>
      </c>
      <c r="F7212" s="8"/>
      <c r="G7212" s="8" t="str">
        <f t="shared" si="2633"/>
        <v>事業用資産</v>
      </c>
      <c r="H7212" s="8" t="str">
        <f t="shared" si="2624"/>
        <v>棚卸以外</v>
      </c>
      <c r="I7212" s="8">
        <v>6</v>
      </c>
      <c r="J7212" s="8" t="str">
        <f>"格納庫"</f>
        <v>格納庫</v>
      </c>
      <c r="K7212" s="8" t="str">
        <f>"鉄骨造"</f>
        <v>鉄骨造</v>
      </c>
      <c r="L7212" s="8" t="str">
        <f>"S47.03.29"</f>
        <v>S47.03.29</v>
      </c>
      <c r="M7212" s="8">
        <v>399</v>
      </c>
      <c r="N7212" s="8">
        <v>1679105</v>
      </c>
      <c r="O7212" s="8">
        <v>1636170</v>
      </c>
      <c r="P7212" s="8">
        <v>0</v>
      </c>
      <c r="Q7212" s="8" t="str">
        <f t="shared" si="2616"/>
        <v>公安委員会</v>
      </c>
      <c r="R7212" s="8" t="str">
        <f t="shared" si="2630"/>
        <v>警察本部施設課</v>
      </c>
    </row>
    <row r="7213" spans="1:18" x14ac:dyDescent="0.45">
      <c r="A7213" s="8" t="str">
        <f t="shared" si="2641"/>
        <v>11521001003</v>
      </c>
      <c r="B7213" s="8" t="str">
        <f t="shared" si="2642"/>
        <v>八尾航空基地</v>
      </c>
      <c r="C7213" s="8" t="str">
        <f t="shared" si="2638"/>
        <v>行政財産</v>
      </c>
      <c r="D7213" s="8" t="str">
        <f t="shared" si="2639"/>
        <v>警察（消防）施設</v>
      </c>
      <c r="E7213" s="8" t="str">
        <f t="shared" si="2643"/>
        <v>大阪府八尾市空港１丁目</v>
      </c>
      <c r="F7213" s="8"/>
      <c r="G7213" s="8" t="str">
        <f t="shared" si="2633"/>
        <v>事業用資産</v>
      </c>
      <c r="H7213" s="8" t="str">
        <f t="shared" si="2624"/>
        <v>棚卸以外</v>
      </c>
      <c r="I7213" s="8">
        <v>7</v>
      </c>
      <c r="J7213" s="8" t="str">
        <f>"庁舎"</f>
        <v>庁舎</v>
      </c>
      <c r="K7213" s="8" t="str">
        <f>"鉄骨造"</f>
        <v>鉄骨造</v>
      </c>
      <c r="L7213" s="8" t="str">
        <f>"S53.07.07"</f>
        <v>S53.07.07</v>
      </c>
      <c r="M7213" s="8">
        <v>439.93</v>
      </c>
      <c r="N7213" s="8">
        <v>89355295</v>
      </c>
      <c r="O7213" s="8">
        <v>86452525</v>
      </c>
      <c r="P7213" s="8">
        <v>0</v>
      </c>
      <c r="Q7213" s="8" t="str">
        <f t="shared" si="2616"/>
        <v>公安委員会</v>
      </c>
      <c r="R7213" s="8" t="str">
        <f t="shared" si="2630"/>
        <v>警察本部施設課</v>
      </c>
    </row>
    <row r="7214" spans="1:18" x14ac:dyDescent="0.45">
      <c r="A7214" s="8" t="str">
        <f t="shared" si="2641"/>
        <v>11521001003</v>
      </c>
      <c r="B7214" s="8" t="str">
        <f t="shared" si="2642"/>
        <v>八尾航空基地</v>
      </c>
      <c r="C7214" s="8" t="str">
        <f t="shared" si="2638"/>
        <v>行政財産</v>
      </c>
      <c r="D7214" s="8" t="str">
        <f t="shared" si="2639"/>
        <v>警察（消防）施設</v>
      </c>
      <c r="E7214" s="8" t="str">
        <f t="shared" si="2643"/>
        <v>大阪府八尾市空港１丁目</v>
      </c>
      <c r="F7214" s="8"/>
      <c r="G7214" s="8" t="str">
        <f t="shared" si="2633"/>
        <v>事業用資産</v>
      </c>
      <c r="H7214" s="8" t="str">
        <f t="shared" si="2624"/>
        <v>棚卸以外</v>
      </c>
      <c r="I7214" s="8">
        <v>9</v>
      </c>
      <c r="J7214" s="8" t="str">
        <f>"ポンプ室"</f>
        <v>ポンプ室</v>
      </c>
      <c r="K7214" s="8" t="str">
        <f>"コンクリートブロック造"</f>
        <v>コンクリートブロック造</v>
      </c>
      <c r="L7214" s="8" t="str">
        <f>"S61.01.18"</f>
        <v>S61.01.18</v>
      </c>
      <c r="M7214" s="8">
        <v>9.6</v>
      </c>
      <c r="N7214" s="8">
        <v>919000</v>
      </c>
      <c r="O7214" s="8">
        <v>918999</v>
      </c>
      <c r="P7214" s="8">
        <v>0</v>
      </c>
      <c r="Q7214" s="8" t="str">
        <f t="shared" si="2616"/>
        <v>公安委員会</v>
      </c>
      <c r="R7214" s="8" t="str">
        <f t="shared" si="2630"/>
        <v>警察本部施設課</v>
      </c>
    </row>
    <row r="7215" spans="1:18" x14ac:dyDescent="0.45">
      <c r="A7215" s="8" t="str">
        <f t="shared" si="2641"/>
        <v>11521001003</v>
      </c>
      <c r="B7215" s="8" t="str">
        <f t="shared" si="2642"/>
        <v>八尾航空基地</v>
      </c>
      <c r="C7215" s="8" t="str">
        <f t="shared" si="2638"/>
        <v>行政財産</v>
      </c>
      <c r="D7215" s="8" t="str">
        <f t="shared" si="2639"/>
        <v>警察（消防）施設</v>
      </c>
      <c r="E7215" s="8" t="str">
        <f t="shared" si="2643"/>
        <v>大阪府八尾市空港１丁目</v>
      </c>
      <c r="F7215" s="8"/>
      <c r="G7215" s="8" t="str">
        <f t="shared" si="2633"/>
        <v>事業用資産</v>
      </c>
      <c r="H7215" s="8" t="str">
        <f t="shared" si="2624"/>
        <v>棚卸以外</v>
      </c>
      <c r="I7215" s="8">
        <v>10</v>
      </c>
      <c r="J7215" s="8" t="str">
        <f>"ホースリール室"</f>
        <v>ホースリール室</v>
      </c>
      <c r="K7215" s="8" t="str">
        <f>"コンクリートブロック造"</f>
        <v>コンクリートブロック造</v>
      </c>
      <c r="L7215" s="8" t="str">
        <f>"S61.01.18"</f>
        <v>S61.01.18</v>
      </c>
      <c r="M7215" s="8">
        <v>9</v>
      </c>
      <c r="N7215" s="8">
        <v>1069000</v>
      </c>
      <c r="O7215" s="8">
        <v>1068999</v>
      </c>
      <c r="P7215" s="8">
        <v>0</v>
      </c>
      <c r="Q7215" s="8" t="str">
        <f t="shared" si="2616"/>
        <v>公安委員会</v>
      </c>
      <c r="R7215" s="8" t="str">
        <f t="shared" si="2630"/>
        <v>警察本部施設課</v>
      </c>
    </row>
    <row r="7216" spans="1:18" x14ac:dyDescent="0.45">
      <c r="A7216" s="8" t="str">
        <f t="shared" si="2641"/>
        <v>11521001003</v>
      </c>
      <c r="B7216" s="8" t="str">
        <f t="shared" si="2642"/>
        <v>八尾航空基地</v>
      </c>
      <c r="C7216" s="8" t="str">
        <f t="shared" si="2638"/>
        <v>行政財産</v>
      </c>
      <c r="D7216" s="8" t="str">
        <f t="shared" si="2639"/>
        <v>警察（消防）施設</v>
      </c>
      <c r="E7216" s="8" t="str">
        <f t="shared" si="2643"/>
        <v>大阪府八尾市空港１丁目</v>
      </c>
      <c r="F7216" s="8"/>
      <c r="G7216" s="8" t="str">
        <f t="shared" si="2633"/>
        <v>事業用資産</v>
      </c>
      <c r="H7216" s="8" t="str">
        <f t="shared" si="2624"/>
        <v>棚卸以外</v>
      </c>
      <c r="I7216" s="8">
        <v>11</v>
      </c>
      <c r="J7216" s="8" t="str">
        <f>"格納庫"</f>
        <v>格納庫</v>
      </c>
      <c r="K7216" s="8" t="str">
        <f>"鉄骨造"</f>
        <v>鉄骨造</v>
      </c>
      <c r="L7216" s="8" t="str">
        <f>"H01.02.23"</f>
        <v>H01.02.23</v>
      </c>
      <c r="M7216" s="8">
        <v>653.91999999999996</v>
      </c>
      <c r="N7216" s="8">
        <v>85203196</v>
      </c>
      <c r="O7216" s="8">
        <v>85192926</v>
      </c>
      <c r="P7216" s="8">
        <v>0</v>
      </c>
      <c r="Q7216" s="8" t="str">
        <f t="shared" si="2616"/>
        <v>公安委員会</v>
      </c>
      <c r="R7216" s="8" t="str">
        <f t="shared" si="2630"/>
        <v>警察本部施設課</v>
      </c>
    </row>
    <row r="7217" spans="1:18" x14ac:dyDescent="0.45">
      <c r="A7217" s="8" t="str">
        <f t="shared" si="2641"/>
        <v>11521001003</v>
      </c>
      <c r="B7217" s="8" t="str">
        <f t="shared" si="2642"/>
        <v>八尾航空基地</v>
      </c>
      <c r="C7217" s="8" t="str">
        <f t="shared" si="2638"/>
        <v>行政財産</v>
      </c>
      <c r="D7217" s="8" t="str">
        <f t="shared" si="2639"/>
        <v>警察（消防）施設</v>
      </c>
      <c r="E7217" s="8" t="str">
        <f t="shared" si="2643"/>
        <v>大阪府八尾市空港１丁目</v>
      </c>
      <c r="F7217" s="8"/>
      <c r="G7217" s="8" t="str">
        <f t="shared" si="2633"/>
        <v>事業用資産</v>
      </c>
      <c r="H7217" s="8" t="str">
        <f t="shared" si="2624"/>
        <v>棚卸以外</v>
      </c>
      <c r="I7217" s="8">
        <v>12</v>
      </c>
      <c r="J7217" s="8" t="str">
        <f>"車庫棟"</f>
        <v>車庫棟</v>
      </c>
      <c r="K7217" s="8" t="str">
        <f>"鉄骨造"</f>
        <v>鉄骨造</v>
      </c>
      <c r="L7217" s="8" t="str">
        <f>"H01.02.23"</f>
        <v>H01.02.23</v>
      </c>
      <c r="M7217" s="8">
        <v>48.24</v>
      </c>
      <c r="N7217" s="8">
        <v>4987438</v>
      </c>
      <c r="O7217" s="8">
        <v>4987437</v>
      </c>
      <c r="P7217" s="8">
        <v>0</v>
      </c>
      <c r="Q7217" s="8" t="str">
        <f t="shared" si="2616"/>
        <v>公安委員会</v>
      </c>
      <c r="R7217" s="8" t="str">
        <f t="shared" si="2630"/>
        <v>警察本部施設課</v>
      </c>
    </row>
    <row r="7218" spans="1:18" x14ac:dyDescent="0.45">
      <c r="A7218" s="8" t="str">
        <f t="shared" si="2641"/>
        <v>11521001003</v>
      </c>
      <c r="B7218" s="8" t="str">
        <f t="shared" si="2642"/>
        <v>八尾航空基地</v>
      </c>
      <c r="C7218" s="8" t="str">
        <f t="shared" si="2638"/>
        <v>行政財産</v>
      </c>
      <c r="D7218" s="8" t="str">
        <f t="shared" si="2639"/>
        <v>警察（消防）施設</v>
      </c>
      <c r="E7218" s="8" t="str">
        <f t="shared" si="2643"/>
        <v>大阪府八尾市空港１丁目</v>
      </c>
      <c r="F7218" s="8"/>
      <c r="G7218" s="8" t="str">
        <f t="shared" si="2633"/>
        <v>事業用資産</v>
      </c>
      <c r="H7218" s="8" t="str">
        <f t="shared" si="2624"/>
        <v>棚卸以外</v>
      </c>
      <c r="I7218" s="8">
        <v>13</v>
      </c>
      <c r="J7218" s="8" t="str">
        <f>"ゴミ置場"</f>
        <v>ゴミ置場</v>
      </c>
      <c r="K7218" s="8" t="str">
        <f>"プレハブ"</f>
        <v>プレハブ</v>
      </c>
      <c r="L7218" s="8" t="str">
        <f>"H11.06.14"</f>
        <v>H11.06.14</v>
      </c>
      <c r="M7218" s="8">
        <v>6.4</v>
      </c>
      <c r="N7218" s="8">
        <v>553000</v>
      </c>
      <c r="O7218" s="8">
        <v>547485</v>
      </c>
      <c r="P7218" s="8">
        <v>0</v>
      </c>
      <c r="Q7218" s="8" t="str">
        <f t="shared" si="2616"/>
        <v>公安委員会</v>
      </c>
      <c r="R7218" s="8" t="str">
        <f t="shared" si="2630"/>
        <v>警察本部施設課</v>
      </c>
    </row>
    <row r="7219" spans="1:18" x14ac:dyDescent="0.45">
      <c r="A7219" s="8" t="str">
        <f>"11521001004"</f>
        <v>11521001004</v>
      </c>
      <c r="B7219" s="8" t="str">
        <f>"第一方面機動警ら隊"</f>
        <v>第一方面機動警ら隊</v>
      </c>
      <c r="C7219" s="8" t="str">
        <f t="shared" si="2638"/>
        <v>行政財産</v>
      </c>
      <c r="D7219" s="8" t="str">
        <f t="shared" si="2639"/>
        <v>警察（消防）施設</v>
      </c>
      <c r="E7219" s="8" t="str">
        <f>"大阪府大阪市　西区立売堀２丁目"</f>
        <v>大阪府大阪市　西区立売堀２丁目</v>
      </c>
      <c r="F7219" s="8"/>
      <c r="G7219" s="8" t="str">
        <f t="shared" si="2633"/>
        <v>事業用資産</v>
      </c>
      <c r="H7219" s="8" t="str">
        <f t="shared" si="2624"/>
        <v>棚卸以外</v>
      </c>
      <c r="I7219" s="8">
        <v>1</v>
      </c>
      <c r="J7219" s="8" t="str">
        <f>"庁舎"</f>
        <v>庁舎</v>
      </c>
      <c r="K7219" s="8" t="str">
        <f>"鉄筋コンクリート造"</f>
        <v>鉄筋コンクリート造</v>
      </c>
      <c r="L7219" s="8" t="str">
        <f>"S43.03.28"</f>
        <v>S43.03.28</v>
      </c>
      <c r="M7219" s="8">
        <v>1860.22</v>
      </c>
      <c r="N7219" s="8">
        <v>334219749</v>
      </c>
      <c r="O7219" s="8">
        <v>192057262</v>
      </c>
      <c r="P7219" s="8">
        <v>0</v>
      </c>
      <c r="Q7219" s="8" t="str">
        <f t="shared" ref="Q7219:Q7282" si="2644">"公安委員会"</f>
        <v>公安委員会</v>
      </c>
      <c r="R7219" s="8" t="str">
        <f t="shared" ref="R7219:R7250" si="2645">"警察本部施設課"</f>
        <v>警察本部施設課</v>
      </c>
    </row>
    <row r="7220" spans="1:18" x14ac:dyDescent="0.45">
      <c r="A7220" s="8" t="str">
        <f>"11521001016"</f>
        <v>11521001016</v>
      </c>
      <c r="B7220" s="8" t="s">
        <v>26</v>
      </c>
      <c r="C7220" s="8" t="str">
        <f>"普通財産"</f>
        <v>普通財産</v>
      </c>
      <c r="D7220" s="8" t="str">
        <f>"その他"</f>
        <v>その他</v>
      </c>
      <c r="E7220" s="8" t="s">
        <v>27</v>
      </c>
      <c r="F7220" s="8"/>
      <c r="G7220" s="8" t="str">
        <f t="shared" si="2633"/>
        <v>事業用資産</v>
      </c>
      <c r="H7220" s="8" t="str">
        <f t="shared" si="2624"/>
        <v>棚卸以外</v>
      </c>
      <c r="I7220" s="8">
        <v>3</v>
      </c>
      <c r="J7220" s="8" t="s">
        <v>28</v>
      </c>
      <c r="K7220" s="8" t="str">
        <f>"鉄筋コンクリート造"</f>
        <v>鉄筋コンクリート造</v>
      </c>
      <c r="L7220" s="8" t="str">
        <f>"H02.03.26"</f>
        <v>H02.03.26</v>
      </c>
      <c r="M7220" s="8">
        <v>238.12</v>
      </c>
      <c r="N7220" s="8">
        <v>47122265</v>
      </c>
      <c r="O7220" s="8">
        <v>32383638</v>
      </c>
      <c r="P7220" s="8">
        <v>0</v>
      </c>
      <c r="Q7220" s="8" t="str">
        <f t="shared" si="2644"/>
        <v>公安委員会</v>
      </c>
      <c r="R7220" s="8" t="str">
        <f t="shared" si="2645"/>
        <v>警察本部施設課</v>
      </c>
    </row>
    <row r="7221" spans="1:18" x14ac:dyDescent="0.45">
      <c r="A7221" s="8" t="str">
        <f>"11521001016"</f>
        <v>11521001016</v>
      </c>
      <c r="B7221" s="8" t="s">
        <v>26</v>
      </c>
      <c r="C7221" s="8" t="str">
        <f>"普通財産"</f>
        <v>普通財産</v>
      </c>
      <c r="D7221" s="8" t="str">
        <f>"その他"</f>
        <v>その他</v>
      </c>
      <c r="E7221" s="8" t="s">
        <v>27</v>
      </c>
      <c r="F7221" s="8"/>
      <c r="G7221" s="8" t="str">
        <f t="shared" si="2633"/>
        <v>事業用資産</v>
      </c>
      <c r="H7221" s="8" t="str">
        <f t="shared" si="2624"/>
        <v>棚卸以外</v>
      </c>
      <c r="I7221" s="8">
        <v>4</v>
      </c>
      <c r="J7221" s="8" t="str">
        <f>"物置"</f>
        <v>物置</v>
      </c>
      <c r="K7221" s="8" t="str">
        <f>"土蔵造(簡易建物)"</f>
        <v>土蔵造(簡易建物)</v>
      </c>
      <c r="L7221" s="8" t="str">
        <f>"H02.03.26"</f>
        <v>H02.03.26</v>
      </c>
      <c r="M7221" s="8">
        <v>26.1</v>
      </c>
      <c r="N7221" s="8">
        <v>1024000</v>
      </c>
      <c r="O7221" s="8">
        <v>1023999</v>
      </c>
      <c r="P7221" s="8">
        <v>0</v>
      </c>
      <c r="Q7221" s="8" t="str">
        <f t="shared" si="2644"/>
        <v>公安委員会</v>
      </c>
      <c r="R7221" s="8" t="str">
        <f t="shared" si="2645"/>
        <v>警察本部施設課</v>
      </c>
    </row>
    <row r="7222" spans="1:18" x14ac:dyDescent="0.45">
      <c r="A7222" s="8" t="str">
        <f>"11521001025"</f>
        <v>11521001025</v>
      </c>
      <c r="B7222" s="8" t="str">
        <f>"大阪府警察本部自動車整備工場"</f>
        <v>大阪府警察本部自動車整備工場</v>
      </c>
      <c r="C7222" s="8" t="str">
        <f t="shared" ref="C7222:C7229" si="2646">"行政財産"</f>
        <v>行政財産</v>
      </c>
      <c r="D7222" s="8" t="str">
        <f t="shared" ref="D7222:D7229" si="2647">"警察（消防）施設"</f>
        <v>警察（消防）施設</v>
      </c>
      <c r="E7222" s="8" t="str">
        <f>"大阪府大阪市　城東区関目６丁目"</f>
        <v>大阪府大阪市　城東区関目６丁目</v>
      </c>
      <c r="F7222" s="8"/>
      <c r="G7222" s="8" t="str">
        <f t="shared" si="2633"/>
        <v>事業用資産</v>
      </c>
      <c r="H7222" s="8" t="str">
        <f t="shared" si="2624"/>
        <v>棚卸以外</v>
      </c>
      <c r="I7222" s="8">
        <v>1</v>
      </c>
      <c r="J7222" s="8" t="str">
        <f>"整備工場"</f>
        <v>整備工場</v>
      </c>
      <c r="K7222" s="8" t="str">
        <f>"鉄骨造"</f>
        <v>鉄骨造</v>
      </c>
      <c r="L7222" s="8" t="str">
        <f>"S50.08.31"</f>
        <v>S50.08.31</v>
      </c>
      <c r="M7222" s="8">
        <v>971.06</v>
      </c>
      <c r="N7222" s="8">
        <v>128423225</v>
      </c>
      <c r="O7222" s="8">
        <v>124661057</v>
      </c>
      <c r="P7222" s="8">
        <v>0</v>
      </c>
      <c r="Q7222" s="8" t="str">
        <f t="shared" si="2644"/>
        <v>公安委員会</v>
      </c>
      <c r="R7222" s="8" t="str">
        <f t="shared" si="2645"/>
        <v>警察本部施設課</v>
      </c>
    </row>
    <row r="7223" spans="1:18" x14ac:dyDescent="0.45">
      <c r="A7223" s="8" t="str">
        <f>"11521001025"</f>
        <v>11521001025</v>
      </c>
      <c r="B7223" s="8" t="str">
        <f>"大阪府警察本部自動車整備工場"</f>
        <v>大阪府警察本部自動車整備工場</v>
      </c>
      <c r="C7223" s="8" t="str">
        <f t="shared" si="2646"/>
        <v>行政財産</v>
      </c>
      <c r="D7223" s="8" t="str">
        <f t="shared" si="2647"/>
        <v>警察（消防）施設</v>
      </c>
      <c r="E7223" s="8" t="str">
        <f>"大阪府大阪市　城東区関目６丁目"</f>
        <v>大阪府大阪市　城東区関目６丁目</v>
      </c>
      <c r="F7223" s="8"/>
      <c r="G7223" s="8" t="str">
        <f t="shared" si="2633"/>
        <v>事業用資産</v>
      </c>
      <c r="H7223" s="8" t="str">
        <f t="shared" si="2624"/>
        <v>棚卸以外</v>
      </c>
      <c r="I7223" s="8">
        <v>2</v>
      </c>
      <c r="J7223" s="8" t="str">
        <f>"オイル庫"</f>
        <v>オイル庫</v>
      </c>
      <c r="K7223" s="8" t="str">
        <f>"コンクリートブロック造"</f>
        <v>コンクリートブロック造</v>
      </c>
      <c r="L7223" s="8" t="str">
        <f>"S50.08.31"</f>
        <v>S50.08.31</v>
      </c>
      <c r="M7223" s="8">
        <v>11.86</v>
      </c>
      <c r="N7223" s="8">
        <v>793000</v>
      </c>
      <c r="O7223" s="8">
        <v>792999</v>
      </c>
      <c r="P7223" s="8">
        <v>0</v>
      </c>
      <c r="Q7223" s="8" t="str">
        <f t="shared" si="2644"/>
        <v>公安委員会</v>
      </c>
      <c r="R7223" s="8" t="str">
        <f t="shared" si="2645"/>
        <v>警察本部施設課</v>
      </c>
    </row>
    <row r="7224" spans="1:18" x14ac:dyDescent="0.45">
      <c r="A7224" s="8" t="str">
        <f t="shared" ref="A7224:A7229" si="2648">"11521001026"</f>
        <v>11521001026</v>
      </c>
      <c r="B7224" s="8" t="str">
        <f t="shared" ref="B7224:B7229" si="2649">"光明池運転免許試験場"</f>
        <v>光明池運転免許試験場</v>
      </c>
      <c r="C7224" s="8" t="str">
        <f t="shared" si="2646"/>
        <v>行政財産</v>
      </c>
      <c r="D7224" s="8" t="str">
        <f t="shared" si="2647"/>
        <v>警察（消防）施設</v>
      </c>
      <c r="E7224" s="8" t="str">
        <f t="shared" ref="E7224:E7229" si="2650">"大阪府和泉市伏屋町５丁目"</f>
        <v>大阪府和泉市伏屋町５丁目</v>
      </c>
      <c r="F7224" s="8"/>
      <c r="G7224" s="8" t="str">
        <f t="shared" si="2633"/>
        <v>事業用資産</v>
      </c>
      <c r="H7224" s="8" t="str">
        <f t="shared" si="2624"/>
        <v>棚卸以外</v>
      </c>
      <c r="I7224" s="8">
        <v>1</v>
      </c>
      <c r="J7224" s="8" t="str">
        <f>"本館"</f>
        <v>本館</v>
      </c>
      <c r="K7224" s="8" t="str">
        <f>"鉄筋コンクリート造"</f>
        <v>鉄筋コンクリート造</v>
      </c>
      <c r="L7224" s="8" t="str">
        <f>"S58.06.13"</f>
        <v>S58.06.13</v>
      </c>
      <c r="M7224" s="8">
        <v>8580.49</v>
      </c>
      <c r="N7224" s="8">
        <v>1806157084</v>
      </c>
      <c r="O7224" s="8">
        <v>1429972626</v>
      </c>
      <c r="P7224" s="8">
        <v>0</v>
      </c>
      <c r="Q7224" s="8" t="str">
        <f t="shared" si="2644"/>
        <v>公安委員会</v>
      </c>
      <c r="R7224" s="8" t="str">
        <f t="shared" si="2645"/>
        <v>警察本部施設課</v>
      </c>
    </row>
    <row r="7225" spans="1:18" x14ac:dyDescent="0.45">
      <c r="A7225" s="8" t="str">
        <f t="shared" si="2648"/>
        <v>11521001026</v>
      </c>
      <c r="B7225" s="8" t="str">
        <f t="shared" si="2649"/>
        <v>光明池運転免許試験場</v>
      </c>
      <c r="C7225" s="8" t="str">
        <f t="shared" si="2646"/>
        <v>行政財産</v>
      </c>
      <c r="D7225" s="8" t="str">
        <f t="shared" si="2647"/>
        <v>警察（消防）施設</v>
      </c>
      <c r="E7225" s="8" t="str">
        <f t="shared" si="2650"/>
        <v>大阪府和泉市伏屋町５丁目</v>
      </c>
      <c r="F7225" s="8"/>
      <c r="G7225" s="8" t="str">
        <f t="shared" si="2633"/>
        <v>事業用資産</v>
      </c>
      <c r="H7225" s="8" t="str">
        <f t="shared" si="2624"/>
        <v>棚卸以外</v>
      </c>
      <c r="I7225" s="8">
        <v>3</v>
      </c>
      <c r="J7225" s="8" t="str">
        <f>"二輪車待合所"</f>
        <v>二輪車待合所</v>
      </c>
      <c r="K7225" s="8" t="str">
        <f>"鉄筋コンクリート造"</f>
        <v>鉄筋コンクリート造</v>
      </c>
      <c r="L7225" s="8" t="str">
        <f>"S60.12.23"</f>
        <v>S60.12.23</v>
      </c>
      <c r="M7225" s="8">
        <v>131.18</v>
      </c>
      <c r="N7225" s="8">
        <v>43009000</v>
      </c>
      <c r="O7225" s="8">
        <v>32041854</v>
      </c>
      <c r="P7225" s="8">
        <v>0</v>
      </c>
      <c r="Q7225" s="8" t="str">
        <f t="shared" si="2644"/>
        <v>公安委員会</v>
      </c>
      <c r="R7225" s="8" t="str">
        <f t="shared" si="2645"/>
        <v>警察本部施設課</v>
      </c>
    </row>
    <row r="7226" spans="1:18" x14ac:dyDescent="0.45">
      <c r="A7226" s="8" t="str">
        <f t="shared" si="2648"/>
        <v>11521001026</v>
      </c>
      <c r="B7226" s="8" t="str">
        <f t="shared" si="2649"/>
        <v>光明池運転免許試験場</v>
      </c>
      <c r="C7226" s="8" t="str">
        <f t="shared" si="2646"/>
        <v>行政財産</v>
      </c>
      <c r="D7226" s="8" t="str">
        <f t="shared" si="2647"/>
        <v>警察（消防）施設</v>
      </c>
      <c r="E7226" s="8" t="str">
        <f t="shared" si="2650"/>
        <v>大阪府和泉市伏屋町５丁目</v>
      </c>
      <c r="F7226" s="8"/>
      <c r="G7226" s="8" t="str">
        <f t="shared" si="2633"/>
        <v>事業用資産</v>
      </c>
      <c r="H7226" s="8" t="str">
        <f t="shared" si="2624"/>
        <v>棚卸以外</v>
      </c>
      <c r="I7226" s="8">
        <v>4</v>
      </c>
      <c r="J7226" s="8" t="str">
        <f>"車庫"</f>
        <v>車庫</v>
      </c>
      <c r="K7226" s="8" t="str">
        <f>"鉄骨造"</f>
        <v>鉄骨造</v>
      </c>
      <c r="L7226" s="8" t="str">
        <f>"S60.12.23"</f>
        <v>S60.12.23</v>
      </c>
      <c r="M7226" s="8">
        <v>265.32</v>
      </c>
      <c r="N7226" s="8">
        <v>34847000</v>
      </c>
      <c r="O7226" s="8">
        <v>34846999</v>
      </c>
      <c r="P7226" s="8">
        <v>0</v>
      </c>
      <c r="Q7226" s="8" t="str">
        <f t="shared" si="2644"/>
        <v>公安委員会</v>
      </c>
      <c r="R7226" s="8" t="str">
        <f t="shared" si="2645"/>
        <v>警察本部施設課</v>
      </c>
    </row>
    <row r="7227" spans="1:18" x14ac:dyDescent="0.45">
      <c r="A7227" s="8" t="str">
        <f t="shared" si="2648"/>
        <v>11521001026</v>
      </c>
      <c r="B7227" s="8" t="str">
        <f t="shared" si="2649"/>
        <v>光明池運転免許試験場</v>
      </c>
      <c r="C7227" s="8" t="str">
        <f t="shared" si="2646"/>
        <v>行政財産</v>
      </c>
      <c r="D7227" s="8" t="str">
        <f t="shared" si="2647"/>
        <v>警察（消防）施設</v>
      </c>
      <c r="E7227" s="8" t="str">
        <f t="shared" si="2650"/>
        <v>大阪府和泉市伏屋町５丁目</v>
      </c>
      <c r="F7227" s="8"/>
      <c r="G7227" s="8" t="str">
        <f t="shared" si="2633"/>
        <v>事業用資産</v>
      </c>
      <c r="H7227" s="8" t="str">
        <f t="shared" si="2624"/>
        <v>棚卸以外</v>
      </c>
      <c r="I7227" s="8">
        <v>5</v>
      </c>
      <c r="J7227" s="8" t="str">
        <f>"保安員詰所"</f>
        <v>保安員詰所</v>
      </c>
      <c r="K7227" s="8" t="str">
        <f>"鉄筋コンクリート造"</f>
        <v>鉄筋コンクリート造</v>
      </c>
      <c r="L7227" s="8" t="str">
        <f>"S60.12.23"</f>
        <v>S60.12.23</v>
      </c>
      <c r="M7227" s="8">
        <v>10.5</v>
      </c>
      <c r="N7227" s="8">
        <v>2173000</v>
      </c>
      <c r="O7227" s="8">
        <v>1619034</v>
      </c>
      <c r="P7227" s="8">
        <v>0</v>
      </c>
      <c r="Q7227" s="8" t="str">
        <f t="shared" si="2644"/>
        <v>公安委員会</v>
      </c>
      <c r="R7227" s="8" t="str">
        <f t="shared" si="2645"/>
        <v>警察本部施設課</v>
      </c>
    </row>
    <row r="7228" spans="1:18" x14ac:dyDescent="0.45">
      <c r="A7228" s="8" t="str">
        <f t="shared" si="2648"/>
        <v>11521001026</v>
      </c>
      <c r="B7228" s="8" t="str">
        <f t="shared" si="2649"/>
        <v>光明池運転免許試験場</v>
      </c>
      <c r="C7228" s="8" t="str">
        <f t="shared" si="2646"/>
        <v>行政財産</v>
      </c>
      <c r="D7228" s="8" t="str">
        <f t="shared" si="2647"/>
        <v>警察（消防）施設</v>
      </c>
      <c r="E7228" s="8" t="str">
        <f t="shared" si="2650"/>
        <v>大阪府和泉市伏屋町５丁目</v>
      </c>
      <c r="F7228" s="8"/>
      <c r="G7228" s="8" t="str">
        <f t="shared" si="2633"/>
        <v>事業用資産</v>
      </c>
      <c r="H7228" s="8" t="str">
        <f t="shared" si="2624"/>
        <v>棚卸以外</v>
      </c>
      <c r="I7228" s="8">
        <v>7</v>
      </c>
      <c r="J7228" s="8" t="str">
        <f>"保安員詰所"</f>
        <v>保安員詰所</v>
      </c>
      <c r="K7228" s="8" t="str">
        <f>"鉄筋コンクリート造"</f>
        <v>鉄筋コンクリート造</v>
      </c>
      <c r="L7228" s="8" t="str">
        <f>"H18.12.18"</f>
        <v>H18.12.18</v>
      </c>
      <c r="M7228" s="8">
        <v>6</v>
      </c>
      <c r="N7228" s="8">
        <v>1767000</v>
      </c>
      <c r="O7228" s="8">
        <v>574275</v>
      </c>
      <c r="P7228" s="8">
        <v>0</v>
      </c>
      <c r="Q7228" s="8" t="str">
        <f t="shared" si="2644"/>
        <v>公安委員会</v>
      </c>
      <c r="R7228" s="8" t="str">
        <f t="shared" si="2645"/>
        <v>警察本部施設課</v>
      </c>
    </row>
    <row r="7229" spans="1:18" x14ac:dyDescent="0.45">
      <c r="A7229" s="8" t="str">
        <f t="shared" si="2648"/>
        <v>11521001026</v>
      </c>
      <c r="B7229" s="8" t="str">
        <f t="shared" si="2649"/>
        <v>光明池運転免許試験場</v>
      </c>
      <c r="C7229" s="8" t="str">
        <f t="shared" si="2646"/>
        <v>行政財産</v>
      </c>
      <c r="D7229" s="8" t="str">
        <f t="shared" si="2647"/>
        <v>警察（消防）施設</v>
      </c>
      <c r="E7229" s="8" t="str">
        <f t="shared" si="2650"/>
        <v>大阪府和泉市伏屋町５丁目</v>
      </c>
      <c r="F7229" s="8"/>
      <c r="G7229" s="8" t="str">
        <f t="shared" si="2633"/>
        <v>事業用資産</v>
      </c>
      <c r="H7229" s="8" t="str">
        <f t="shared" si="2624"/>
        <v>棚卸以外</v>
      </c>
      <c r="I7229" s="8">
        <v>8</v>
      </c>
      <c r="J7229" s="8" t="str">
        <f>"立体駐車場用出口詰所"</f>
        <v>立体駐車場用出口詰所</v>
      </c>
      <c r="K7229" s="8" t="str">
        <f>"軽量鉄骨造"</f>
        <v>軽量鉄骨造</v>
      </c>
      <c r="L7229" s="8" t="str">
        <f>"H19.03.22"</f>
        <v>H19.03.22</v>
      </c>
      <c r="M7229" s="8">
        <v>1.19</v>
      </c>
      <c r="N7229" s="8">
        <v>221000</v>
      </c>
      <c r="O7229" s="8">
        <v>117888</v>
      </c>
      <c r="P7229" s="8">
        <v>0</v>
      </c>
      <c r="Q7229" s="8" t="str">
        <f t="shared" si="2644"/>
        <v>公安委員会</v>
      </c>
      <c r="R7229" s="8" t="str">
        <f t="shared" si="2645"/>
        <v>警察本部施設課</v>
      </c>
    </row>
    <row r="7230" spans="1:18" x14ac:dyDescent="0.45">
      <c r="A7230" s="8" t="str">
        <f>"11521001029"</f>
        <v>11521001029</v>
      </c>
      <c r="B7230" s="8" t="str">
        <f>"大阪府警察寝屋川待機宿舎"</f>
        <v>大阪府警察寝屋川待機宿舎</v>
      </c>
      <c r="C7230" s="8" t="str">
        <f>"普通財産"</f>
        <v>普通財産</v>
      </c>
      <c r="D7230" s="8" t="str">
        <f>"その他"</f>
        <v>その他</v>
      </c>
      <c r="E7230" s="8" t="s">
        <v>29</v>
      </c>
      <c r="F7230" s="8"/>
      <c r="G7230" s="8" t="str">
        <f t="shared" si="2633"/>
        <v>事業用資産</v>
      </c>
      <c r="H7230" s="8" t="str">
        <f t="shared" si="2624"/>
        <v>棚卸以外</v>
      </c>
      <c r="I7230" s="8">
        <v>33</v>
      </c>
      <c r="J7230" s="8" t="str">
        <f>"Ａ棟"</f>
        <v>Ａ棟</v>
      </c>
      <c r="K7230" s="8" t="str">
        <f>"鉄筋コンクリート造"</f>
        <v>鉄筋コンクリート造</v>
      </c>
      <c r="L7230" s="8" t="str">
        <f>"H20.04.01"</f>
        <v>H20.04.01</v>
      </c>
      <c r="M7230" s="8">
        <v>16033.01</v>
      </c>
      <c r="N7230" s="8">
        <v>1939789392</v>
      </c>
      <c r="O7230" s="8">
        <v>615562415</v>
      </c>
      <c r="P7230" s="8">
        <v>0</v>
      </c>
      <c r="Q7230" s="8" t="str">
        <f t="shared" si="2644"/>
        <v>公安委員会</v>
      </c>
      <c r="R7230" s="8" t="str">
        <f t="shared" si="2645"/>
        <v>警察本部施設課</v>
      </c>
    </row>
    <row r="7231" spans="1:18" x14ac:dyDescent="0.45">
      <c r="A7231" s="8" t="str">
        <f>"11521001029"</f>
        <v>11521001029</v>
      </c>
      <c r="B7231" s="8" t="str">
        <f>"大阪府警察寝屋川待機宿舎"</f>
        <v>大阪府警察寝屋川待機宿舎</v>
      </c>
      <c r="C7231" s="8" t="str">
        <f>"普通財産"</f>
        <v>普通財産</v>
      </c>
      <c r="D7231" s="8" t="str">
        <f>"その他"</f>
        <v>その他</v>
      </c>
      <c r="E7231" s="8" t="s">
        <v>29</v>
      </c>
      <c r="F7231" s="8"/>
      <c r="G7231" s="8" t="str">
        <f t="shared" si="2633"/>
        <v>事業用資産</v>
      </c>
      <c r="H7231" s="8" t="str">
        <f t="shared" si="2624"/>
        <v>棚卸以外</v>
      </c>
      <c r="I7231" s="8">
        <v>34</v>
      </c>
      <c r="J7231" s="8" t="str">
        <f>"Ｂ棟"</f>
        <v>Ｂ棟</v>
      </c>
      <c r="K7231" s="8" t="str">
        <f>"鉄筋コンクリート造"</f>
        <v>鉄筋コンクリート造</v>
      </c>
      <c r="L7231" s="8" t="str">
        <f>"H20.04.01"</f>
        <v>H20.04.01</v>
      </c>
      <c r="M7231" s="8">
        <v>4876.7</v>
      </c>
      <c r="N7231" s="8">
        <v>786470000</v>
      </c>
      <c r="O7231" s="8">
        <v>249606729</v>
      </c>
      <c r="P7231" s="8">
        <v>0</v>
      </c>
      <c r="Q7231" s="8" t="str">
        <f t="shared" si="2644"/>
        <v>公安委員会</v>
      </c>
      <c r="R7231" s="8" t="str">
        <f t="shared" si="2645"/>
        <v>警察本部施設課</v>
      </c>
    </row>
    <row r="7232" spans="1:18" x14ac:dyDescent="0.45">
      <c r="A7232" s="8" t="str">
        <f>"11521001029"</f>
        <v>11521001029</v>
      </c>
      <c r="B7232" s="8" t="str">
        <f>"大阪府警察寝屋川待機宿舎"</f>
        <v>大阪府警察寝屋川待機宿舎</v>
      </c>
      <c r="C7232" s="8" t="str">
        <f>"普通財産"</f>
        <v>普通財産</v>
      </c>
      <c r="D7232" s="8" t="str">
        <f>"その他"</f>
        <v>その他</v>
      </c>
      <c r="E7232" s="8" t="s">
        <v>29</v>
      </c>
      <c r="F7232" s="8"/>
      <c r="G7232" s="8" t="str">
        <f t="shared" si="2633"/>
        <v>事業用資産</v>
      </c>
      <c r="H7232" s="8" t="str">
        <f t="shared" si="2624"/>
        <v>棚卸以外</v>
      </c>
      <c r="I7232" s="8">
        <v>35</v>
      </c>
      <c r="J7232" s="8" t="str">
        <f>"Ｃ棟"</f>
        <v>Ｃ棟</v>
      </c>
      <c r="K7232" s="8" t="str">
        <f>"鉄筋コンクリート造"</f>
        <v>鉄筋コンクリート造</v>
      </c>
      <c r="L7232" s="8" t="str">
        <f>"H22.10.01"</f>
        <v>H22.10.01</v>
      </c>
      <c r="M7232" s="8">
        <v>17609.88</v>
      </c>
      <c r="N7232" s="8">
        <v>2320863680</v>
      </c>
      <c r="O7232" s="8">
        <v>613018676</v>
      </c>
      <c r="P7232" s="8">
        <v>0</v>
      </c>
      <c r="Q7232" s="8" t="str">
        <f t="shared" si="2644"/>
        <v>公安委員会</v>
      </c>
      <c r="R7232" s="8" t="str">
        <f t="shared" si="2645"/>
        <v>警察本部施設課</v>
      </c>
    </row>
    <row r="7233" spans="1:18" x14ac:dyDescent="0.45">
      <c r="A7233" s="8" t="str">
        <f>"11521001029"</f>
        <v>11521001029</v>
      </c>
      <c r="B7233" s="8" t="str">
        <f>"大阪府警察寝屋川待機宿舎"</f>
        <v>大阪府警察寝屋川待機宿舎</v>
      </c>
      <c r="C7233" s="8" t="str">
        <f>"普通財産"</f>
        <v>普通財産</v>
      </c>
      <c r="D7233" s="8" t="str">
        <f>"その他"</f>
        <v>その他</v>
      </c>
      <c r="E7233" s="8" t="s">
        <v>29</v>
      </c>
      <c r="F7233" s="8"/>
      <c r="G7233" s="8" t="str">
        <f t="shared" si="2633"/>
        <v>事業用資産</v>
      </c>
      <c r="H7233" s="8" t="str">
        <f t="shared" si="2624"/>
        <v>棚卸以外</v>
      </c>
      <c r="I7233" s="8">
        <v>36</v>
      </c>
      <c r="J7233" s="8" t="str">
        <f>"Ｄ棟"</f>
        <v>Ｄ棟</v>
      </c>
      <c r="K7233" s="8" t="str">
        <f>"鉄筋コンクリート造"</f>
        <v>鉄筋コンクリート造</v>
      </c>
      <c r="L7233" s="8" t="str">
        <f>"H22.10.01"</f>
        <v>H22.10.01</v>
      </c>
      <c r="M7233" s="8">
        <v>12387.47</v>
      </c>
      <c r="N7233" s="8">
        <v>1632577665</v>
      </c>
      <c r="O7233" s="8">
        <v>431218787</v>
      </c>
      <c r="P7233" s="8">
        <v>0</v>
      </c>
      <c r="Q7233" s="8" t="str">
        <f t="shared" si="2644"/>
        <v>公安委員会</v>
      </c>
      <c r="R7233" s="8" t="str">
        <f t="shared" si="2645"/>
        <v>警察本部施設課</v>
      </c>
    </row>
    <row r="7234" spans="1:18" x14ac:dyDescent="0.45">
      <c r="A7234" s="8" t="str">
        <f>"11521001029"</f>
        <v>11521001029</v>
      </c>
      <c r="B7234" s="8" t="str">
        <f>"大阪府警察寝屋川待機宿舎"</f>
        <v>大阪府警察寝屋川待機宿舎</v>
      </c>
      <c r="C7234" s="8" t="str">
        <f>"普通財産"</f>
        <v>普通財産</v>
      </c>
      <c r="D7234" s="8" t="str">
        <f>"その他"</f>
        <v>その他</v>
      </c>
      <c r="E7234" s="8" t="s">
        <v>29</v>
      </c>
      <c r="F7234" s="8"/>
      <c r="G7234" s="8" t="str">
        <f t="shared" si="2633"/>
        <v>事業用資産</v>
      </c>
      <c r="H7234" s="8" t="str">
        <f t="shared" si="2624"/>
        <v>棚卸以外</v>
      </c>
      <c r="I7234" s="8">
        <v>37</v>
      </c>
      <c r="J7234" s="8" t="str">
        <f>"集会棟"</f>
        <v>集会棟</v>
      </c>
      <c r="K7234" s="8" t="str">
        <f>"鉄筋コンクリート造"</f>
        <v>鉄筋コンクリート造</v>
      </c>
      <c r="L7234" s="8" t="str">
        <f>"H22.10.01"</f>
        <v>H22.10.01</v>
      </c>
      <c r="M7234" s="8">
        <v>311.52999999999997</v>
      </c>
      <c r="N7234" s="8">
        <v>78668000</v>
      </c>
      <c r="O7234" s="8">
        <v>20782967</v>
      </c>
      <c r="P7234" s="8">
        <v>0</v>
      </c>
      <c r="Q7234" s="8" t="str">
        <f t="shared" si="2644"/>
        <v>公安委員会</v>
      </c>
      <c r="R7234" s="8" t="str">
        <f t="shared" si="2645"/>
        <v>警察本部施設課</v>
      </c>
    </row>
    <row r="7235" spans="1:18" x14ac:dyDescent="0.45">
      <c r="A7235" s="8" t="str">
        <f>"11521001031"</f>
        <v>11521001031</v>
      </c>
      <c r="B7235" s="8" t="str">
        <f>"第二機動隊"</f>
        <v>第二機動隊</v>
      </c>
      <c r="C7235" s="8" t="str">
        <f t="shared" ref="C7235:C7249" si="2651">"行政財産"</f>
        <v>行政財産</v>
      </c>
      <c r="D7235" s="8" t="str">
        <f t="shared" ref="D7235:D7249" si="2652">"警察（消防）施設"</f>
        <v>警察（消防）施設</v>
      </c>
      <c r="E7235" s="8" t="str">
        <f>"大阪府大阪市　住之江区新北島１丁目"</f>
        <v>大阪府大阪市　住之江区新北島１丁目</v>
      </c>
      <c r="F7235" s="8"/>
      <c r="G7235" s="8" t="str">
        <f t="shared" si="2633"/>
        <v>事業用資産</v>
      </c>
      <c r="H7235" s="8" t="str">
        <f t="shared" si="2624"/>
        <v>棚卸以外</v>
      </c>
      <c r="I7235" s="8">
        <v>1</v>
      </c>
      <c r="J7235" s="8" t="str">
        <f>"警備資材庫"</f>
        <v>警備資材庫</v>
      </c>
      <c r="K7235" s="8" t="str">
        <f>"パイプ"</f>
        <v>パイプ</v>
      </c>
      <c r="L7235" s="8" t="str">
        <f>"S45.03.31"</f>
        <v>S45.03.31</v>
      </c>
      <c r="M7235" s="8">
        <v>54.6</v>
      </c>
      <c r="N7235" s="8">
        <v>1795085</v>
      </c>
      <c r="O7235" s="8">
        <v>1795084</v>
      </c>
      <c r="P7235" s="8">
        <v>0</v>
      </c>
      <c r="Q7235" s="8" t="str">
        <f t="shared" si="2644"/>
        <v>公安委員会</v>
      </c>
      <c r="R7235" s="8" t="str">
        <f t="shared" si="2645"/>
        <v>警察本部施設課</v>
      </c>
    </row>
    <row r="7236" spans="1:18" x14ac:dyDescent="0.45">
      <c r="A7236" s="8" t="str">
        <f>"11521001031"</f>
        <v>11521001031</v>
      </c>
      <c r="B7236" s="8" t="str">
        <f>"第二機動隊"</f>
        <v>第二機動隊</v>
      </c>
      <c r="C7236" s="8" t="str">
        <f t="shared" si="2651"/>
        <v>行政財産</v>
      </c>
      <c r="D7236" s="8" t="str">
        <f t="shared" si="2652"/>
        <v>警察（消防）施設</v>
      </c>
      <c r="E7236" s="8" t="str">
        <f>"大阪府大阪市　住之江区新北島１丁目"</f>
        <v>大阪府大阪市　住之江区新北島１丁目</v>
      </c>
      <c r="F7236" s="8"/>
      <c r="G7236" s="8" t="str">
        <f t="shared" si="2633"/>
        <v>事業用資産</v>
      </c>
      <c r="H7236" s="8" t="str">
        <f t="shared" ref="H7236:H7299" si="2653">"棚卸以外"</f>
        <v>棚卸以外</v>
      </c>
      <c r="I7236" s="8">
        <v>2</v>
      </c>
      <c r="J7236" s="8" t="str">
        <f>"庁舎"</f>
        <v>庁舎</v>
      </c>
      <c r="K7236" s="8" t="str">
        <f>"鉄筋コンクリート造"</f>
        <v>鉄筋コンクリート造</v>
      </c>
      <c r="L7236" s="8" t="str">
        <f>"S45.03.28"</f>
        <v>S45.03.28</v>
      </c>
      <c r="M7236" s="8">
        <v>768.31</v>
      </c>
      <c r="N7236" s="8">
        <v>110262872</v>
      </c>
      <c r="O7236" s="8">
        <v>103278649</v>
      </c>
      <c r="P7236" s="8">
        <v>0</v>
      </c>
      <c r="Q7236" s="8" t="str">
        <f t="shared" si="2644"/>
        <v>公安委員会</v>
      </c>
      <c r="R7236" s="8" t="str">
        <f t="shared" si="2645"/>
        <v>警察本部施設課</v>
      </c>
    </row>
    <row r="7237" spans="1:18" x14ac:dyDescent="0.45">
      <c r="A7237" s="8" t="str">
        <f>"11521001031"</f>
        <v>11521001031</v>
      </c>
      <c r="B7237" s="8" t="str">
        <f>"第二機動隊"</f>
        <v>第二機動隊</v>
      </c>
      <c r="C7237" s="8" t="str">
        <f t="shared" si="2651"/>
        <v>行政財産</v>
      </c>
      <c r="D7237" s="8" t="str">
        <f t="shared" si="2652"/>
        <v>警察（消防）施設</v>
      </c>
      <c r="E7237" s="8" t="str">
        <f>"大阪府大阪市　住之江区新北島１丁目"</f>
        <v>大阪府大阪市　住之江区新北島１丁目</v>
      </c>
      <c r="F7237" s="8"/>
      <c r="G7237" s="8" t="str">
        <f t="shared" si="2633"/>
        <v>事業用資産</v>
      </c>
      <c r="H7237" s="8" t="str">
        <f t="shared" si="2653"/>
        <v>棚卸以外</v>
      </c>
      <c r="I7237" s="8">
        <v>5</v>
      </c>
      <c r="J7237" s="8" t="str">
        <f>"ポンプ室"</f>
        <v>ポンプ室</v>
      </c>
      <c r="K7237" s="8" t="str">
        <f>"鉄筋コンクリート造"</f>
        <v>鉄筋コンクリート造</v>
      </c>
      <c r="L7237" s="8" t="str">
        <f>"S45.03.28"</f>
        <v>S45.03.28</v>
      </c>
      <c r="M7237" s="8">
        <v>13.2</v>
      </c>
      <c r="N7237" s="8">
        <v>2691000</v>
      </c>
      <c r="O7237" s="8">
        <v>2690999</v>
      </c>
      <c r="P7237" s="8">
        <v>0</v>
      </c>
      <c r="Q7237" s="8" t="str">
        <f t="shared" si="2644"/>
        <v>公安委員会</v>
      </c>
      <c r="R7237" s="8" t="str">
        <f t="shared" si="2645"/>
        <v>警察本部施設課</v>
      </c>
    </row>
    <row r="7238" spans="1:18" x14ac:dyDescent="0.45">
      <c r="A7238" s="8" t="str">
        <f>"11521001031"</f>
        <v>11521001031</v>
      </c>
      <c r="B7238" s="8" t="str">
        <f>"第二機動隊"</f>
        <v>第二機動隊</v>
      </c>
      <c r="C7238" s="8" t="str">
        <f t="shared" si="2651"/>
        <v>行政財産</v>
      </c>
      <c r="D7238" s="8" t="str">
        <f t="shared" si="2652"/>
        <v>警察（消防）施設</v>
      </c>
      <c r="E7238" s="8" t="str">
        <f>"大阪府大阪市　住之江区新北島１丁目"</f>
        <v>大阪府大阪市　住之江区新北島１丁目</v>
      </c>
      <c r="F7238" s="8"/>
      <c r="G7238" s="8" t="str">
        <f t="shared" si="2633"/>
        <v>事業用資産</v>
      </c>
      <c r="H7238" s="8" t="str">
        <f t="shared" si="2653"/>
        <v>棚卸以外</v>
      </c>
      <c r="I7238" s="8">
        <v>6</v>
      </c>
      <c r="J7238" s="8" t="str">
        <f>"ごみ置場"</f>
        <v>ごみ置場</v>
      </c>
      <c r="K7238" s="8" t="str">
        <f>"鉄骨造"</f>
        <v>鉄骨造</v>
      </c>
      <c r="L7238" s="8" t="str">
        <f>"H09.11.26"</f>
        <v>H09.11.26</v>
      </c>
      <c r="M7238" s="8">
        <v>8.33</v>
      </c>
      <c r="N7238" s="8">
        <v>953000</v>
      </c>
      <c r="O7238" s="8">
        <v>778848</v>
      </c>
      <c r="P7238" s="8">
        <v>0</v>
      </c>
      <c r="Q7238" s="8" t="str">
        <f t="shared" si="2644"/>
        <v>公安委員会</v>
      </c>
      <c r="R7238" s="8" t="str">
        <f t="shared" si="2645"/>
        <v>警察本部施設課</v>
      </c>
    </row>
    <row r="7239" spans="1:18" x14ac:dyDescent="0.45">
      <c r="A7239" s="8" t="str">
        <f t="shared" ref="A7239:A7249" si="2654">"11521001033"</f>
        <v>11521001033</v>
      </c>
      <c r="B7239" s="8" t="str">
        <f t="shared" ref="B7239:B7249" si="2655">"関目別館"</f>
        <v>関目別館</v>
      </c>
      <c r="C7239" s="8" t="str">
        <f t="shared" si="2651"/>
        <v>行政財産</v>
      </c>
      <c r="D7239" s="8" t="str">
        <f t="shared" si="2652"/>
        <v>警察（消防）施設</v>
      </c>
      <c r="E7239" s="8" t="str">
        <f t="shared" ref="E7239:E7249" si="2656">"大阪府大阪市　城東区関目６丁目"</f>
        <v>大阪府大阪市　城東区関目６丁目</v>
      </c>
      <c r="F7239" s="8"/>
      <c r="G7239" s="8" t="str">
        <f t="shared" si="2633"/>
        <v>事業用資産</v>
      </c>
      <c r="H7239" s="8" t="str">
        <f t="shared" si="2653"/>
        <v>棚卸以外</v>
      </c>
      <c r="I7239" s="8">
        <v>1</v>
      </c>
      <c r="J7239" s="8" t="str">
        <f>"関目別館"</f>
        <v>関目別館</v>
      </c>
      <c r="K7239" s="8" t="str">
        <f>"鉄筋コンクリート造"</f>
        <v>鉄筋コンクリート造</v>
      </c>
      <c r="L7239" s="8" t="str">
        <f>"S51.04.30"</f>
        <v>S51.04.30</v>
      </c>
      <c r="M7239" s="8">
        <v>5681.15</v>
      </c>
      <c r="N7239" s="8">
        <v>1115669784</v>
      </c>
      <c r="O7239" s="8">
        <v>933490244</v>
      </c>
      <c r="P7239" s="8">
        <v>0</v>
      </c>
      <c r="Q7239" s="8" t="str">
        <f t="shared" si="2644"/>
        <v>公安委員会</v>
      </c>
      <c r="R7239" s="8" t="str">
        <f t="shared" si="2645"/>
        <v>警察本部施設課</v>
      </c>
    </row>
    <row r="7240" spans="1:18" x14ac:dyDescent="0.45">
      <c r="A7240" s="8" t="str">
        <f t="shared" si="2654"/>
        <v>11521001033</v>
      </c>
      <c r="B7240" s="8" t="str">
        <f t="shared" si="2655"/>
        <v>関目別館</v>
      </c>
      <c r="C7240" s="8" t="str">
        <f t="shared" si="2651"/>
        <v>行政財産</v>
      </c>
      <c r="D7240" s="8" t="str">
        <f t="shared" si="2652"/>
        <v>警察（消防）施設</v>
      </c>
      <c r="E7240" s="8" t="str">
        <f t="shared" si="2656"/>
        <v>大阪府大阪市　城東区関目６丁目</v>
      </c>
      <c r="F7240" s="8"/>
      <c r="G7240" s="8" t="str">
        <f t="shared" si="2633"/>
        <v>事業用資産</v>
      </c>
      <c r="H7240" s="8" t="str">
        <f t="shared" si="2653"/>
        <v>棚卸以外</v>
      </c>
      <c r="I7240" s="8">
        <v>2</v>
      </c>
      <c r="J7240" s="8" t="str">
        <f>"車庫Ａ"</f>
        <v>車庫Ａ</v>
      </c>
      <c r="K7240" s="8" t="str">
        <f>"鉄骨造"</f>
        <v>鉄骨造</v>
      </c>
      <c r="L7240" s="8" t="str">
        <f>"S50.04.10"</f>
        <v>S50.04.10</v>
      </c>
      <c r="M7240" s="8">
        <v>246.4</v>
      </c>
      <c r="N7240" s="8">
        <v>5199000</v>
      </c>
      <c r="O7240" s="8">
        <v>4927499</v>
      </c>
      <c r="P7240" s="8">
        <v>0</v>
      </c>
      <c r="Q7240" s="8" t="str">
        <f t="shared" si="2644"/>
        <v>公安委員会</v>
      </c>
      <c r="R7240" s="8" t="str">
        <f t="shared" si="2645"/>
        <v>警察本部施設課</v>
      </c>
    </row>
    <row r="7241" spans="1:18" x14ac:dyDescent="0.45">
      <c r="A7241" s="8" t="str">
        <f t="shared" si="2654"/>
        <v>11521001033</v>
      </c>
      <c r="B7241" s="8" t="str">
        <f t="shared" si="2655"/>
        <v>関目別館</v>
      </c>
      <c r="C7241" s="8" t="str">
        <f t="shared" si="2651"/>
        <v>行政財産</v>
      </c>
      <c r="D7241" s="8" t="str">
        <f t="shared" si="2652"/>
        <v>警察（消防）施設</v>
      </c>
      <c r="E7241" s="8" t="str">
        <f t="shared" si="2656"/>
        <v>大阪府大阪市　城東区関目６丁目</v>
      </c>
      <c r="F7241" s="8"/>
      <c r="G7241" s="8" t="str">
        <f t="shared" si="2633"/>
        <v>事業用資産</v>
      </c>
      <c r="H7241" s="8" t="str">
        <f t="shared" si="2653"/>
        <v>棚卸以外</v>
      </c>
      <c r="I7241" s="8">
        <v>3</v>
      </c>
      <c r="J7241" s="8" t="str">
        <f>"車庫Ｂ"</f>
        <v>車庫Ｂ</v>
      </c>
      <c r="K7241" s="8" t="str">
        <f>"軽量鉄骨造"</f>
        <v>軽量鉄骨造</v>
      </c>
      <c r="L7241" s="8" t="str">
        <f>"S39.03.25"</f>
        <v>S39.03.25</v>
      </c>
      <c r="M7241" s="8">
        <v>307.76</v>
      </c>
      <c r="N7241" s="8">
        <v>4883000</v>
      </c>
      <c r="O7241" s="8">
        <v>4882999</v>
      </c>
      <c r="P7241" s="8">
        <v>0</v>
      </c>
      <c r="Q7241" s="8" t="str">
        <f t="shared" si="2644"/>
        <v>公安委員会</v>
      </c>
      <c r="R7241" s="8" t="str">
        <f t="shared" si="2645"/>
        <v>警察本部施設課</v>
      </c>
    </row>
    <row r="7242" spans="1:18" x14ac:dyDescent="0.45">
      <c r="A7242" s="8" t="str">
        <f t="shared" si="2654"/>
        <v>11521001033</v>
      </c>
      <c r="B7242" s="8" t="str">
        <f t="shared" si="2655"/>
        <v>関目別館</v>
      </c>
      <c r="C7242" s="8" t="str">
        <f t="shared" si="2651"/>
        <v>行政財産</v>
      </c>
      <c r="D7242" s="8" t="str">
        <f t="shared" si="2652"/>
        <v>警察（消防）施設</v>
      </c>
      <c r="E7242" s="8" t="str">
        <f t="shared" si="2656"/>
        <v>大阪府大阪市　城東区関目６丁目</v>
      </c>
      <c r="F7242" s="8"/>
      <c r="G7242" s="8" t="str">
        <f t="shared" si="2633"/>
        <v>事業用資産</v>
      </c>
      <c r="H7242" s="8" t="str">
        <f t="shared" si="2653"/>
        <v>棚卸以外</v>
      </c>
      <c r="I7242" s="8">
        <v>5</v>
      </c>
      <c r="J7242" s="8" t="str">
        <f>"車庫Ｄ"</f>
        <v>車庫Ｄ</v>
      </c>
      <c r="K7242" s="8" t="str">
        <f>"鉄骨造"</f>
        <v>鉄骨造</v>
      </c>
      <c r="L7242" s="8" t="str">
        <f>"S44.03.31"</f>
        <v>S44.03.31</v>
      </c>
      <c r="M7242" s="8">
        <v>198</v>
      </c>
      <c r="N7242" s="8">
        <v>4187000</v>
      </c>
      <c r="O7242" s="8">
        <v>4186999</v>
      </c>
      <c r="P7242" s="8">
        <v>0</v>
      </c>
      <c r="Q7242" s="8" t="str">
        <f t="shared" si="2644"/>
        <v>公安委員会</v>
      </c>
      <c r="R7242" s="8" t="str">
        <f t="shared" si="2645"/>
        <v>警察本部施設課</v>
      </c>
    </row>
    <row r="7243" spans="1:18" x14ac:dyDescent="0.45">
      <c r="A7243" s="8" t="str">
        <f t="shared" si="2654"/>
        <v>11521001033</v>
      </c>
      <c r="B7243" s="8" t="str">
        <f t="shared" si="2655"/>
        <v>関目別館</v>
      </c>
      <c r="C7243" s="8" t="str">
        <f t="shared" si="2651"/>
        <v>行政財産</v>
      </c>
      <c r="D7243" s="8" t="str">
        <f t="shared" si="2652"/>
        <v>警察（消防）施設</v>
      </c>
      <c r="E7243" s="8" t="str">
        <f t="shared" si="2656"/>
        <v>大阪府大阪市　城東区関目６丁目</v>
      </c>
      <c r="F7243" s="8"/>
      <c r="G7243" s="8" t="str">
        <f t="shared" si="2633"/>
        <v>事業用資産</v>
      </c>
      <c r="H7243" s="8" t="str">
        <f t="shared" si="2653"/>
        <v>棚卸以外</v>
      </c>
      <c r="I7243" s="8">
        <v>6</v>
      </c>
      <c r="J7243" s="8" t="str">
        <f>"油庫"</f>
        <v>油庫</v>
      </c>
      <c r="K7243" s="8" t="str">
        <f>"軽量鉄骨造"</f>
        <v>軽量鉄骨造</v>
      </c>
      <c r="L7243" s="8" t="str">
        <f>"S42.09.18"</f>
        <v>S42.09.18</v>
      </c>
      <c r="M7243" s="8">
        <v>16</v>
      </c>
      <c r="N7243" s="8">
        <v>178000</v>
      </c>
      <c r="O7243" s="8">
        <v>177999</v>
      </c>
      <c r="P7243" s="8">
        <v>0</v>
      </c>
      <c r="Q7243" s="8" t="str">
        <f t="shared" si="2644"/>
        <v>公安委員会</v>
      </c>
      <c r="R7243" s="8" t="str">
        <f t="shared" si="2645"/>
        <v>警察本部施設課</v>
      </c>
    </row>
    <row r="7244" spans="1:18" x14ac:dyDescent="0.45">
      <c r="A7244" s="8" t="str">
        <f t="shared" si="2654"/>
        <v>11521001033</v>
      </c>
      <c r="B7244" s="8" t="str">
        <f t="shared" si="2655"/>
        <v>関目別館</v>
      </c>
      <c r="C7244" s="8" t="str">
        <f t="shared" si="2651"/>
        <v>行政財産</v>
      </c>
      <c r="D7244" s="8" t="str">
        <f t="shared" si="2652"/>
        <v>警察（消防）施設</v>
      </c>
      <c r="E7244" s="8" t="str">
        <f t="shared" si="2656"/>
        <v>大阪府大阪市　城東区関目６丁目</v>
      </c>
      <c r="F7244" s="8"/>
      <c r="G7244" s="8" t="str">
        <f t="shared" si="2633"/>
        <v>事業用資産</v>
      </c>
      <c r="H7244" s="8" t="str">
        <f t="shared" si="2653"/>
        <v>棚卸以外</v>
      </c>
      <c r="I7244" s="8">
        <v>8</v>
      </c>
      <c r="J7244" s="8" t="str">
        <f>"白バイ仮設格納庫"</f>
        <v>白バイ仮設格納庫</v>
      </c>
      <c r="K7244" s="8" t="str">
        <f>"軽量鉄骨造"</f>
        <v>軽量鉄骨造</v>
      </c>
      <c r="L7244" s="8" t="str">
        <f>"H02.02.03"</f>
        <v>H02.02.03</v>
      </c>
      <c r="M7244" s="8">
        <v>116.74</v>
      </c>
      <c r="N7244" s="8">
        <v>3470000</v>
      </c>
      <c r="O7244" s="8">
        <v>3469999</v>
      </c>
      <c r="P7244" s="8">
        <v>0</v>
      </c>
      <c r="Q7244" s="8" t="str">
        <f t="shared" si="2644"/>
        <v>公安委員会</v>
      </c>
      <c r="R7244" s="8" t="str">
        <f t="shared" si="2645"/>
        <v>警察本部施設課</v>
      </c>
    </row>
    <row r="7245" spans="1:18" x14ac:dyDescent="0.45">
      <c r="A7245" s="8" t="str">
        <f t="shared" si="2654"/>
        <v>11521001033</v>
      </c>
      <c r="B7245" s="8" t="str">
        <f t="shared" si="2655"/>
        <v>関目別館</v>
      </c>
      <c r="C7245" s="8" t="str">
        <f t="shared" si="2651"/>
        <v>行政財産</v>
      </c>
      <c r="D7245" s="8" t="str">
        <f t="shared" si="2652"/>
        <v>警察（消防）施設</v>
      </c>
      <c r="E7245" s="8" t="str">
        <f t="shared" si="2656"/>
        <v>大阪府大阪市　城東区関目６丁目</v>
      </c>
      <c r="F7245" s="8"/>
      <c r="G7245" s="8" t="str">
        <f t="shared" si="2633"/>
        <v>事業用資産</v>
      </c>
      <c r="H7245" s="8" t="str">
        <f t="shared" si="2653"/>
        <v>棚卸以外</v>
      </c>
      <c r="I7245" s="8">
        <v>9</v>
      </c>
      <c r="J7245" s="8" t="str">
        <f>"倉庫"</f>
        <v>倉庫</v>
      </c>
      <c r="K7245" s="8" t="str">
        <f>"プレハブ"</f>
        <v>プレハブ</v>
      </c>
      <c r="L7245" s="8" t="str">
        <f>"H05.11.30"</f>
        <v>H05.11.30</v>
      </c>
      <c r="M7245" s="8">
        <v>44.37</v>
      </c>
      <c r="N7245" s="8">
        <v>2467000</v>
      </c>
      <c r="O7245" s="8">
        <v>2466999</v>
      </c>
      <c r="P7245" s="8">
        <v>0</v>
      </c>
      <c r="Q7245" s="8" t="str">
        <f t="shared" si="2644"/>
        <v>公安委員会</v>
      </c>
      <c r="R7245" s="8" t="str">
        <f t="shared" si="2645"/>
        <v>警察本部施設課</v>
      </c>
    </row>
    <row r="7246" spans="1:18" x14ac:dyDescent="0.45">
      <c r="A7246" s="8" t="str">
        <f t="shared" si="2654"/>
        <v>11521001033</v>
      </c>
      <c r="B7246" s="8" t="str">
        <f t="shared" si="2655"/>
        <v>関目別館</v>
      </c>
      <c r="C7246" s="8" t="str">
        <f t="shared" si="2651"/>
        <v>行政財産</v>
      </c>
      <c r="D7246" s="8" t="str">
        <f t="shared" si="2652"/>
        <v>警察（消防）施設</v>
      </c>
      <c r="E7246" s="8" t="str">
        <f t="shared" si="2656"/>
        <v>大阪府大阪市　城東区関目６丁目</v>
      </c>
      <c r="F7246" s="8"/>
      <c r="G7246" s="8" t="str">
        <f t="shared" si="2633"/>
        <v>事業用資産</v>
      </c>
      <c r="H7246" s="8" t="str">
        <f t="shared" si="2653"/>
        <v>棚卸以外</v>
      </c>
      <c r="I7246" s="8">
        <v>10</v>
      </c>
      <c r="J7246" s="8" t="str">
        <f>"大型車庫"</f>
        <v>大型車庫</v>
      </c>
      <c r="K7246" s="8" t="str">
        <f>"鉄骨造"</f>
        <v>鉄骨造</v>
      </c>
      <c r="L7246" s="8" t="str">
        <f>"H08.09.12"</f>
        <v>H08.09.12</v>
      </c>
      <c r="M7246" s="8">
        <v>47.23</v>
      </c>
      <c r="N7246" s="8">
        <v>6201000</v>
      </c>
      <c r="O7246" s="8">
        <v>5301060</v>
      </c>
      <c r="P7246" s="8">
        <v>0</v>
      </c>
      <c r="Q7246" s="8" t="str">
        <f t="shared" si="2644"/>
        <v>公安委員会</v>
      </c>
      <c r="R7246" s="8" t="str">
        <f t="shared" si="2645"/>
        <v>警察本部施設課</v>
      </c>
    </row>
    <row r="7247" spans="1:18" x14ac:dyDescent="0.45">
      <c r="A7247" s="8" t="str">
        <f t="shared" si="2654"/>
        <v>11521001033</v>
      </c>
      <c r="B7247" s="8" t="str">
        <f t="shared" si="2655"/>
        <v>関目別館</v>
      </c>
      <c r="C7247" s="8" t="str">
        <f t="shared" si="2651"/>
        <v>行政財産</v>
      </c>
      <c r="D7247" s="8" t="str">
        <f t="shared" si="2652"/>
        <v>警察（消防）施設</v>
      </c>
      <c r="E7247" s="8" t="str">
        <f t="shared" si="2656"/>
        <v>大阪府大阪市　城東区関目６丁目</v>
      </c>
      <c r="F7247" s="8"/>
      <c r="G7247" s="8" t="str">
        <f t="shared" si="2633"/>
        <v>事業用資産</v>
      </c>
      <c r="H7247" s="8" t="str">
        <f t="shared" si="2653"/>
        <v>棚卸以外</v>
      </c>
      <c r="I7247" s="8">
        <v>11</v>
      </c>
      <c r="J7247" s="8" t="str">
        <f>"車庫Ｅ"</f>
        <v>車庫Ｅ</v>
      </c>
      <c r="K7247" s="8" t="str">
        <f>"鉄骨造"</f>
        <v>鉄骨造</v>
      </c>
      <c r="L7247" s="8" t="str">
        <f>"H09.09.22"</f>
        <v>H09.09.22</v>
      </c>
      <c r="M7247" s="8">
        <v>114.91</v>
      </c>
      <c r="N7247" s="8">
        <v>6748000</v>
      </c>
      <c r="O7247" s="8">
        <v>5550840</v>
      </c>
      <c r="P7247" s="8">
        <v>0</v>
      </c>
      <c r="Q7247" s="8" t="str">
        <f t="shared" si="2644"/>
        <v>公安委員会</v>
      </c>
      <c r="R7247" s="8" t="str">
        <f t="shared" si="2645"/>
        <v>警察本部施設課</v>
      </c>
    </row>
    <row r="7248" spans="1:18" x14ac:dyDescent="0.45">
      <c r="A7248" s="8" t="str">
        <f t="shared" si="2654"/>
        <v>11521001033</v>
      </c>
      <c r="B7248" s="8" t="str">
        <f t="shared" si="2655"/>
        <v>関目別館</v>
      </c>
      <c r="C7248" s="8" t="str">
        <f t="shared" si="2651"/>
        <v>行政財産</v>
      </c>
      <c r="D7248" s="8" t="str">
        <f t="shared" si="2652"/>
        <v>警察（消防）施設</v>
      </c>
      <c r="E7248" s="8" t="str">
        <f t="shared" si="2656"/>
        <v>大阪府大阪市　城東区関目６丁目</v>
      </c>
      <c r="F7248" s="8"/>
      <c r="G7248" s="8" t="str">
        <f t="shared" si="2633"/>
        <v>事業用資産</v>
      </c>
      <c r="H7248" s="8" t="str">
        <f t="shared" si="2653"/>
        <v>棚卸以外</v>
      </c>
      <c r="I7248" s="8">
        <v>12</v>
      </c>
      <c r="J7248" s="8" t="str">
        <f>"ゴミ置場"</f>
        <v>ゴミ置場</v>
      </c>
      <c r="K7248" s="8" t="str">
        <f>"プレハブ"</f>
        <v>プレハブ</v>
      </c>
      <c r="L7248" s="8" t="str">
        <f>"H11.03.10"</f>
        <v>H11.03.10</v>
      </c>
      <c r="M7248" s="8">
        <v>3.37</v>
      </c>
      <c r="N7248" s="8">
        <v>376000</v>
      </c>
      <c r="O7248" s="8">
        <v>375999</v>
      </c>
      <c r="P7248" s="8">
        <v>0</v>
      </c>
      <c r="Q7248" s="8" t="str">
        <f t="shared" si="2644"/>
        <v>公安委員会</v>
      </c>
      <c r="R7248" s="8" t="str">
        <f t="shared" si="2645"/>
        <v>警察本部施設課</v>
      </c>
    </row>
    <row r="7249" spans="1:18" x14ac:dyDescent="0.45">
      <c r="A7249" s="8" t="str">
        <f t="shared" si="2654"/>
        <v>11521001033</v>
      </c>
      <c r="B7249" s="8" t="str">
        <f t="shared" si="2655"/>
        <v>関目別館</v>
      </c>
      <c r="C7249" s="8" t="str">
        <f t="shared" si="2651"/>
        <v>行政財産</v>
      </c>
      <c r="D7249" s="8" t="str">
        <f t="shared" si="2652"/>
        <v>警察（消防）施設</v>
      </c>
      <c r="E7249" s="8" t="str">
        <f t="shared" si="2656"/>
        <v>大阪府大阪市　城東区関目６丁目</v>
      </c>
      <c r="F7249" s="8"/>
      <c r="G7249" s="8" t="str">
        <f t="shared" si="2633"/>
        <v>事業用資産</v>
      </c>
      <c r="H7249" s="8" t="str">
        <f t="shared" si="2653"/>
        <v>棚卸以外</v>
      </c>
      <c r="I7249" s="8">
        <v>13</v>
      </c>
      <c r="J7249" s="8" t="str">
        <f>"物置"</f>
        <v>物置</v>
      </c>
      <c r="K7249" s="8" t="str">
        <f>"鉄骨造"</f>
        <v>鉄骨造</v>
      </c>
      <c r="L7249" s="8" t="str">
        <f>"S42.03.31"</f>
        <v>S42.03.31</v>
      </c>
      <c r="M7249" s="8">
        <v>16.809999999999999</v>
      </c>
      <c r="N7249" s="8">
        <v>87000</v>
      </c>
      <c r="O7249" s="8">
        <v>86999</v>
      </c>
      <c r="P7249" s="8">
        <v>0</v>
      </c>
      <c r="Q7249" s="8" t="str">
        <f t="shared" si="2644"/>
        <v>公安委員会</v>
      </c>
      <c r="R7249" s="8" t="str">
        <f t="shared" si="2645"/>
        <v>警察本部施設課</v>
      </c>
    </row>
    <row r="7250" spans="1:18" x14ac:dyDescent="0.45">
      <c r="A7250" s="8" t="str">
        <f>"11521001035"</f>
        <v>11521001035</v>
      </c>
      <c r="B7250" s="8" t="s">
        <v>30</v>
      </c>
      <c r="C7250" s="8" t="str">
        <f t="shared" ref="C7250:C7255" si="2657">"普通財産"</f>
        <v>普通財産</v>
      </c>
      <c r="D7250" s="8" t="str">
        <f t="shared" ref="D7250:D7255" si="2658">"その他"</f>
        <v>その他</v>
      </c>
      <c r="E7250" s="8" t="s">
        <v>19</v>
      </c>
      <c r="F7250" s="8"/>
      <c r="G7250" s="8" t="str">
        <f t="shared" si="2633"/>
        <v>事業用資産</v>
      </c>
      <c r="H7250" s="8" t="str">
        <f t="shared" si="2653"/>
        <v>棚卸以外</v>
      </c>
      <c r="I7250" s="8">
        <v>4</v>
      </c>
      <c r="J7250" s="8" t="str">
        <f>"宿舎２"</f>
        <v>宿舎２</v>
      </c>
      <c r="K7250" s="8" t="str">
        <f>"鉄筋コンクリート造"</f>
        <v>鉄筋コンクリート造</v>
      </c>
      <c r="L7250" s="8" t="str">
        <f>"S62.03.31"</f>
        <v>S62.03.31</v>
      </c>
      <c r="M7250" s="8">
        <v>1272.96</v>
      </c>
      <c r="N7250" s="8">
        <v>159619000</v>
      </c>
      <c r="O7250" s="8">
        <v>122261616</v>
      </c>
      <c r="P7250" s="8">
        <v>0</v>
      </c>
      <c r="Q7250" s="8" t="str">
        <f t="shared" si="2644"/>
        <v>公安委員会</v>
      </c>
      <c r="R7250" s="8" t="str">
        <f t="shared" si="2645"/>
        <v>警察本部施設課</v>
      </c>
    </row>
    <row r="7251" spans="1:18" x14ac:dyDescent="0.45">
      <c r="A7251" s="8" t="str">
        <f>"11521001035"</f>
        <v>11521001035</v>
      </c>
      <c r="B7251" s="8" t="s">
        <v>30</v>
      </c>
      <c r="C7251" s="8" t="str">
        <f t="shared" si="2657"/>
        <v>普通財産</v>
      </c>
      <c r="D7251" s="8" t="str">
        <f t="shared" si="2658"/>
        <v>その他</v>
      </c>
      <c r="E7251" s="8" t="s">
        <v>19</v>
      </c>
      <c r="F7251" s="8"/>
      <c r="G7251" s="8" t="str">
        <f t="shared" si="2633"/>
        <v>事業用資産</v>
      </c>
      <c r="H7251" s="8" t="str">
        <f t="shared" si="2653"/>
        <v>棚卸以外</v>
      </c>
      <c r="I7251" s="8">
        <v>7</v>
      </c>
      <c r="J7251" s="8" t="str">
        <f>"ゴミ置場"</f>
        <v>ゴミ置場</v>
      </c>
      <c r="K7251" s="8" t="str">
        <f>"鉄筋コンクリート造"</f>
        <v>鉄筋コンクリート造</v>
      </c>
      <c r="L7251" s="8" t="str">
        <f>"S62.03.31"</f>
        <v>S62.03.31</v>
      </c>
      <c r="M7251" s="8">
        <v>8.98</v>
      </c>
      <c r="N7251" s="8">
        <v>1549000</v>
      </c>
      <c r="O7251" s="8">
        <v>1467504</v>
      </c>
      <c r="P7251" s="8">
        <v>0</v>
      </c>
      <c r="Q7251" s="8" t="str">
        <f t="shared" si="2644"/>
        <v>公安委員会</v>
      </c>
      <c r="R7251" s="8" t="str">
        <f t="shared" ref="R7251:R7282" si="2659">"警察本部施設課"</f>
        <v>警察本部施設課</v>
      </c>
    </row>
    <row r="7252" spans="1:18" x14ac:dyDescent="0.45">
      <c r="A7252" s="8" t="str">
        <f>"11521001035"</f>
        <v>11521001035</v>
      </c>
      <c r="B7252" s="8" t="s">
        <v>30</v>
      </c>
      <c r="C7252" s="8" t="str">
        <f t="shared" si="2657"/>
        <v>普通財産</v>
      </c>
      <c r="D7252" s="8" t="str">
        <f t="shared" si="2658"/>
        <v>その他</v>
      </c>
      <c r="E7252" s="8" t="s">
        <v>19</v>
      </c>
      <c r="F7252" s="8"/>
      <c r="G7252" s="8" t="str">
        <f t="shared" si="2633"/>
        <v>事業用資産</v>
      </c>
      <c r="H7252" s="8" t="str">
        <f t="shared" si="2653"/>
        <v>棚卸以外</v>
      </c>
      <c r="I7252" s="8">
        <v>9</v>
      </c>
      <c r="J7252" s="8" t="s">
        <v>28</v>
      </c>
      <c r="K7252" s="8" t="str">
        <f>"鉄骨造"</f>
        <v>鉄骨造</v>
      </c>
      <c r="L7252" s="8" t="str">
        <f>"R01.05.31"</f>
        <v>R01.05.31</v>
      </c>
      <c r="M7252" s="8">
        <v>2175.85</v>
      </c>
      <c r="N7252" s="8">
        <v>680571612</v>
      </c>
      <c r="O7252" s="8">
        <v>108926068</v>
      </c>
      <c r="P7252" s="8">
        <v>0</v>
      </c>
      <c r="Q7252" s="8" t="str">
        <f t="shared" si="2644"/>
        <v>公安委員会</v>
      </c>
      <c r="R7252" s="8" t="str">
        <f t="shared" si="2659"/>
        <v>警察本部施設課</v>
      </c>
    </row>
    <row r="7253" spans="1:18" x14ac:dyDescent="0.45">
      <c r="A7253" s="8" t="str">
        <f>"11521001035"</f>
        <v>11521001035</v>
      </c>
      <c r="B7253" s="8" t="s">
        <v>30</v>
      </c>
      <c r="C7253" s="8" t="str">
        <f t="shared" si="2657"/>
        <v>普通財産</v>
      </c>
      <c r="D7253" s="8" t="str">
        <f t="shared" si="2658"/>
        <v>その他</v>
      </c>
      <c r="E7253" s="8" t="s">
        <v>19</v>
      </c>
      <c r="F7253" s="8"/>
      <c r="G7253" s="8" t="str">
        <f t="shared" si="2633"/>
        <v>事業用資産</v>
      </c>
      <c r="H7253" s="8" t="str">
        <f t="shared" si="2653"/>
        <v>棚卸以外</v>
      </c>
      <c r="I7253" s="8">
        <v>10</v>
      </c>
      <c r="J7253" s="8" t="str">
        <f>"ゴミ置場"</f>
        <v>ゴミ置場</v>
      </c>
      <c r="K7253" s="8" t="str">
        <f>"コンクリートブロック造"</f>
        <v>コンクリートブロック造</v>
      </c>
      <c r="L7253" s="8" t="str">
        <f>"R01.05.31"</f>
        <v>R01.05.31</v>
      </c>
      <c r="M7253" s="8">
        <v>5.7</v>
      </c>
      <c r="N7253" s="8">
        <v>1333268</v>
      </c>
      <c r="O7253" s="8">
        <v>168268</v>
      </c>
      <c r="P7253" s="8">
        <v>0</v>
      </c>
      <c r="Q7253" s="8" t="str">
        <f t="shared" si="2644"/>
        <v>公安委員会</v>
      </c>
      <c r="R7253" s="8" t="str">
        <f t="shared" si="2659"/>
        <v>警察本部施設課</v>
      </c>
    </row>
    <row r="7254" spans="1:18" x14ac:dyDescent="0.45">
      <c r="A7254" s="8" t="str">
        <f>"11521001056"</f>
        <v>11521001056</v>
      </c>
      <c r="B7254" s="8" t="str">
        <f>"大阪府警察城東単身寮"</f>
        <v>大阪府警察城東単身寮</v>
      </c>
      <c r="C7254" s="8" t="str">
        <f t="shared" si="2657"/>
        <v>普通財産</v>
      </c>
      <c r="D7254" s="8" t="str">
        <f t="shared" si="2658"/>
        <v>その他</v>
      </c>
      <c r="E7254" s="8" t="s">
        <v>19</v>
      </c>
      <c r="F7254" s="8"/>
      <c r="G7254" s="8" t="str">
        <f t="shared" si="2633"/>
        <v>事業用資産</v>
      </c>
      <c r="H7254" s="8" t="str">
        <f t="shared" si="2653"/>
        <v>棚卸以外</v>
      </c>
      <c r="I7254" s="8">
        <v>1</v>
      </c>
      <c r="J7254" s="8" t="str">
        <f>"宿舎"</f>
        <v>宿舎</v>
      </c>
      <c r="K7254" s="8" t="str">
        <f>"鉄筋コンクリート造"</f>
        <v>鉄筋コンクリート造</v>
      </c>
      <c r="L7254" s="8" t="str">
        <f>"S40.01.20"</f>
        <v>S40.01.20</v>
      </c>
      <c r="M7254" s="8">
        <v>457.78</v>
      </c>
      <c r="N7254" s="8">
        <v>18195829</v>
      </c>
      <c r="O7254" s="8">
        <v>18195828</v>
      </c>
      <c r="P7254" s="8">
        <v>0</v>
      </c>
      <c r="Q7254" s="8" t="str">
        <f t="shared" si="2644"/>
        <v>公安委員会</v>
      </c>
      <c r="R7254" s="8" t="str">
        <f t="shared" si="2659"/>
        <v>警察本部施設課</v>
      </c>
    </row>
    <row r="7255" spans="1:18" x14ac:dyDescent="0.45">
      <c r="A7255" s="8" t="str">
        <f>"11521001056"</f>
        <v>11521001056</v>
      </c>
      <c r="B7255" s="8" t="str">
        <f>"大阪府警察城東単身寮"</f>
        <v>大阪府警察城東単身寮</v>
      </c>
      <c r="C7255" s="8" t="str">
        <f t="shared" si="2657"/>
        <v>普通財産</v>
      </c>
      <c r="D7255" s="8" t="str">
        <f t="shared" si="2658"/>
        <v>その他</v>
      </c>
      <c r="E7255" s="8" t="s">
        <v>19</v>
      </c>
      <c r="F7255" s="8"/>
      <c r="G7255" s="8" t="str">
        <f t="shared" ref="G7255:G7318" si="2660">"事業用資産"</f>
        <v>事業用資産</v>
      </c>
      <c r="H7255" s="8" t="str">
        <f t="shared" si="2653"/>
        <v>棚卸以外</v>
      </c>
      <c r="I7255" s="8">
        <v>2</v>
      </c>
      <c r="J7255" s="8" t="str">
        <f>"ポンプ室ボンベ置場"</f>
        <v>ポンプ室ボンベ置場</v>
      </c>
      <c r="K7255" s="8" t="str">
        <f>"鉄筋コンクリート造"</f>
        <v>鉄筋コンクリート造</v>
      </c>
      <c r="L7255" s="8" t="str">
        <f>"S40.01.20"</f>
        <v>S40.01.20</v>
      </c>
      <c r="M7255" s="8">
        <v>3.33</v>
      </c>
      <c r="N7255" s="8">
        <v>65000</v>
      </c>
      <c r="O7255" s="8">
        <v>64999</v>
      </c>
      <c r="P7255" s="8">
        <v>0</v>
      </c>
      <c r="Q7255" s="8" t="str">
        <f t="shared" si="2644"/>
        <v>公安委員会</v>
      </c>
      <c r="R7255" s="8" t="str">
        <f t="shared" si="2659"/>
        <v>警察本部施設課</v>
      </c>
    </row>
    <row r="7256" spans="1:18" x14ac:dyDescent="0.45">
      <c r="A7256" s="8" t="str">
        <f>"11521001061"</f>
        <v>11521001061</v>
      </c>
      <c r="B7256" s="8" t="str">
        <f>"交通機動隊大東分駐所"</f>
        <v>交通機動隊大東分駐所</v>
      </c>
      <c r="C7256" s="8" t="str">
        <f>"行政財産"</f>
        <v>行政財産</v>
      </c>
      <c r="D7256" s="8" t="str">
        <f>"警察（消防）施設"</f>
        <v>警察（消防）施設</v>
      </c>
      <c r="E7256" s="8" t="str">
        <f>"大阪府大東市寺川１丁目"</f>
        <v>大阪府大東市寺川１丁目</v>
      </c>
      <c r="F7256" s="8"/>
      <c r="G7256" s="8" t="str">
        <f t="shared" si="2660"/>
        <v>事業用資産</v>
      </c>
      <c r="H7256" s="8" t="str">
        <f t="shared" si="2653"/>
        <v>棚卸以外</v>
      </c>
      <c r="I7256" s="8">
        <v>2</v>
      </c>
      <c r="J7256" s="8" t="str">
        <f>"大東分駐所"</f>
        <v>大東分駐所</v>
      </c>
      <c r="K7256" s="8" t="str">
        <f>"鉄骨造"</f>
        <v>鉄骨造</v>
      </c>
      <c r="L7256" s="8" t="str">
        <f>"H06.01.31"</f>
        <v>H06.01.31</v>
      </c>
      <c r="M7256" s="8">
        <v>357</v>
      </c>
      <c r="N7256" s="8">
        <v>75533050</v>
      </c>
      <c r="O7256" s="8">
        <v>58295540</v>
      </c>
      <c r="P7256" s="8">
        <v>0</v>
      </c>
      <c r="Q7256" s="8" t="str">
        <f t="shared" si="2644"/>
        <v>公安委員会</v>
      </c>
      <c r="R7256" s="8" t="str">
        <f t="shared" si="2659"/>
        <v>警察本部施設課</v>
      </c>
    </row>
    <row r="7257" spans="1:18" x14ac:dyDescent="0.45">
      <c r="A7257" s="8" t="str">
        <f>"11521001064"</f>
        <v>11521001064</v>
      </c>
      <c r="B7257" s="8" t="str">
        <f>"交通機動隊八尾分駐所"</f>
        <v>交通機動隊八尾分駐所</v>
      </c>
      <c r="C7257" s="8" t="str">
        <f>"行政財産"</f>
        <v>行政財産</v>
      </c>
      <c r="D7257" s="8" t="str">
        <f>"警察（消防）施設"</f>
        <v>警察（消防）施設</v>
      </c>
      <c r="E7257" s="8" t="str">
        <f>"大阪府八尾市天王寺屋２丁目"</f>
        <v>大阪府八尾市天王寺屋２丁目</v>
      </c>
      <c r="F7257" s="8"/>
      <c r="G7257" s="8" t="str">
        <f t="shared" si="2660"/>
        <v>事業用資産</v>
      </c>
      <c r="H7257" s="8" t="str">
        <f t="shared" si="2653"/>
        <v>棚卸以外</v>
      </c>
      <c r="I7257" s="8">
        <v>2</v>
      </c>
      <c r="J7257" s="8" t="str">
        <f>"八尾分駐所"</f>
        <v>八尾分駐所</v>
      </c>
      <c r="K7257" s="8" t="str">
        <f>"鉄骨造"</f>
        <v>鉄骨造</v>
      </c>
      <c r="L7257" s="8" t="str">
        <f>"H03.03.30"</f>
        <v>H03.03.30</v>
      </c>
      <c r="M7257" s="8">
        <v>348.94</v>
      </c>
      <c r="N7257" s="8">
        <v>81018000</v>
      </c>
      <c r="O7257" s="8">
        <v>68226048</v>
      </c>
      <c r="P7257" s="8">
        <v>0</v>
      </c>
      <c r="Q7257" s="8" t="str">
        <f t="shared" si="2644"/>
        <v>公安委員会</v>
      </c>
      <c r="R7257" s="8" t="str">
        <f t="shared" si="2659"/>
        <v>警察本部施設課</v>
      </c>
    </row>
    <row r="7258" spans="1:18" x14ac:dyDescent="0.45">
      <c r="A7258" s="8" t="str">
        <f>"11521001066"</f>
        <v>11521001066</v>
      </c>
      <c r="B7258" s="8" t="s">
        <v>31</v>
      </c>
      <c r="C7258" s="8" t="str">
        <f t="shared" ref="C7258:C7285" si="2661">"普通財産"</f>
        <v>普通財産</v>
      </c>
      <c r="D7258" s="8" t="str">
        <f t="shared" ref="D7258:D7285" si="2662">"その他"</f>
        <v>その他</v>
      </c>
      <c r="E7258" s="8" t="s">
        <v>32</v>
      </c>
      <c r="F7258" s="8"/>
      <c r="G7258" s="8" t="str">
        <f t="shared" si="2660"/>
        <v>事業用資産</v>
      </c>
      <c r="H7258" s="8" t="str">
        <f t="shared" si="2653"/>
        <v>棚卸以外</v>
      </c>
      <c r="I7258" s="8">
        <v>13</v>
      </c>
      <c r="J7258" s="8" t="str">
        <f>"Ａ棟"</f>
        <v>Ａ棟</v>
      </c>
      <c r="K7258" s="8" t="str">
        <f t="shared" ref="K7258:K7263" si="2663">"鉄筋コンクリート造"</f>
        <v>鉄筋コンクリート造</v>
      </c>
      <c r="L7258" s="8" t="str">
        <f>"R05.02.28"</f>
        <v>R05.02.28</v>
      </c>
      <c r="M7258" s="8">
        <v>4081.53</v>
      </c>
      <c r="N7258" s="8">
        <v>1547602981</v>
      </c>
      <c r="O7258" s="8">
        <v>4196132</v>
      </c>
      <c r="P7258" s="8">
        <v>0</v>
      </c>
      <c r="Q7258" s="8" t="str">
        <f t="shared" si="2644"/>
        <v>公安委員会</v>
      </c>
      <c r="R7258" s="8" t="str">
        <f t="shared" si="2659"/>
        <v>警察本部施設課</v>
      </c>
    </row>
    <row r="7259" spans="1:18" x14ac:dyDescent="0.45">
      <c r="A7259" s="8" t="str">
        <f>"11521001066"</f>
        <v>11521001066</v>
      </c>
      <c r="B7259" s="8" t="s">
        <v>31</v>
      </c>
      <c r="C7259" s="8" t="str">
        <f t="shared" si="2661"/>
        <v>普通財産</v>
      </c>
      <c r="D7259" s="8" t="str">
        <f t="shared" si="2662"/>
        <v>その他</v>
      </c>
      <c r="E7259" s="8" t="s">
        <v>32</v>
      </c>
      <c r="F7259" s="8"/>
      <c r="G7259" s="8" t="str">
        <f t="shared" si="2660"/>
        <v>事業用資産</v>
      </c>
      <c r="H7259" s="8" t="str">
        <f t="shared" si="2653"/>
        <v>棚卸以外</v>
      </c>
      <c r="I7259" s="8">
        <v>14</v>
      </c>
      <c r="J7259" s="8" t="str">
        <f>"Ｂ棟"</f>
        <v>Ｂ棟</v>
      </c>
      <c r="K7259" s="8" t="str">
        <f t="shared" si="2663"/>
        <v>鉄筋コンクリート造</v>
      </c>
      <c r="L7259" s="8" t="str">
        <f>"R05.02.28"</f>
        <v>R05.02.28</v>
      </c>
      <c r="M7259" s="8">
        <v>2740.22</v>
      </c>
      <c r="N7259" s="8">
        <v>961234748</v>
      </c>
      <c r="O7259" s="8">
        <v>2636055</v>
      </c>
      <c r="P7259" s="8">
        <v>0</v>
      </c>
      <c r="Q7259" s="8" t="str">
        <f t="shared" si="2644"/>
        <v>公安委員会</v>
      </c>
      <c r="R7259" s="8" t="str">
        <f t="shared" si="2659"/>
        <v>警察本部施設課</v>
      </c>
    </row>
    <row r="7260" spans="1:18" x14ac:dyDescent="0.45">
      <c r="A7260" s="8" t="str">
        <f>"11521001066"</f>
        <v>11521001066</v>
      </c>
      <c r="B7260" s="8" t="s">
        <v>31</v>
      </c>
      <c r="C7260" s="8" t="str">
        <f t="shared" si="2661"/>
        <v>普通財産</v>
      </c>
      <c r="D7260" s="8" t="str">
        <f t="shared" si="2662"/>
        <v>その他</v>
      </c>
      <c r="E7260" s="8" t="s">
        <v>32</v>
      </c>
      <c r="F7260" s="8"/>
      <c r="G7260" s="8" t="str">
        <f t="shared" si="2660"/>
        <v>事業用資産</v>
      </c>
      <c r="H7260" s="8" t="str">
        <f t="shared" si="2653"/>
        <v>棚卸以外</v>
      </c>
      <c r="I7260" s="8">
        <v>15</v>
      </c>
      <c r="J7260" s="8" t="str">
        <f>"収蔵庫"</f>
        <v>収蔵庫</v>
      </c>
      <c r="K7260" s="8" t="str">
        <f t="shared" si="2663"/>
        <v>鉄筋コンクリート造</v>
      </c>
      <c r="L7260" s="8" t="str">
        <f>"R05.02.28"</f>
        <v>R05.02.28</v>
      </c>
      <c r="M7260" s="8">
        <v>39</v>
      </c>
      <c r="N7260" s="8">
        <v>9302729</v>
      </c>
      <c r="O7260" s="8">
        <v>22595</v>
      </c>
      <c r="P7260" s="8">
        <v>0</v>
      </c>
      <c r="Q7260" s="8" t="str">
        <f t="shared" si="2644"/>
        <v>公安委員会</v>
      </c>
      <c r="R7260" s="8" t="str">
        <f t="shared" si="2659"/>
        <v>警察本部施設課</v>
      </c>
    </row>
    <row r="7261" spans="1:18" x14ac:dyDescent="0.45">
      <c r="A7261" s="8" t="str">
        <f>"11521001066"</f>
        <v>11521001066</v>
      </c>
      <c r="B7261" s="8" t="s">
        <v>31</v>
      </c>
      <c r="C7261" s="8" t="str">
        <f t="shared" si="2661"/>
        <v>普通財産</v>
      </c>
      <c r="D7261" s="8" t="str">
        <f t="shared" si="2662"/>
        <v>その他</v>
      </c>
      <c r="E7261" s="8" t="s">
        <v>32</v>
      </c>
      <c r="F7261" s="8"/>
      <c r="G7261" s="8" t="str">
        <f t="shared" si="2660"/>
        <v>事業用資産</v>
      </c>
      <c r="H7261" s="8" t="str">
        <f t="shared" si="2653"/>
        <v>棚卸以外</v>
      </c>
      <c r="I7261" s="8">
        <v>16</v>
      </c>
      <c r="J7261" s="8" t="str">
        <f>"ゴミ置場"</f>
        <v>ゴミ置場</v>
      </c>
      <c r="K7261" s="8" t="str">
        <f t="shared" si="2663"/>
        <v>鉄筋コンクリート造</v>
      </c>
      <c r="L7261" s="8" t="str">
        <f>"R05.02.28"</f>
        <v>R05.02.28</v>
      </c>
      <c r="M7261" s="8">
        <v>17.190000000000001</v>
      </c>
      <c r="N7261" s="8">
        <v>4170830</v>
      </c>
      <c r="O7261" s="8">
        <v>10116</v>
      </c>
      <c r="P7261" s="8">
        <v>0</v>
      </c>
      <c r="Q7261" s="8" t="str">
        <f t="shared" si="2644"/>
        <v>公安委員会</v>
      </c>
      <c r="R7261" s="8" t="str">
        <f t="shared" si="2659"/>
        <v>警察本部施設課</v>
      </c>
    </row>
    <row r="7262" spans="1:18" x14ac:dyDescent="0.45">
      <c r="A7262" s="8" t="str">
        <f>"11521001068"</f>
        <v>11521001068</v>
      </c>
      <c r="B7262" s="8" t="s">
        <v>33</v>
      </c>
      <c r="C7262" s="8" t="str">
        <f t="shared" si="2661"/>
        <v>普通財産</v>
      </c>
      <c r="D7262" s="8" t="str">
        <f t="shared" si="2662"/>
        <v>その他</v>
      </c>
      <c r="E7262" s="8" t="s">
        <v>34</v>
      </c>
      <c r="F7262" s="8"/>
      <c r="G7262" s="8" t="str">
        <f t="shared" si="2660"/>
        <v>事業用資産</v>
      </c>
      <c r="H7262" s="8" t="str">
        <f t="shared" si="2653"/>
        <v>棚卸以外</v>
      </c>
      <c r="I7262" s="8">
        <v>3</v>
      </c>
      <c r="J7262" s="8" t="str">
        <f>"宿舎"</f>
        <v>宿舎</v>
      </c>
      <c r="K7262" s="8" t="str">
        <f t="shared" si="2663"/>
        <v>鉄筋コンクリート造</v>
      </c>
      <c r="L7262" s="8" t="str">
        <f>"H27.09.30"</f>
        <v>H27.09.30</v>
      </c>
      <c r="M7262" s="8">
        <v>8103.47</v>
      </c>
      <c r="N7262" s="8">
        <v>1362061948</v>
      </c>
      <c r="O7262" s="8">
        <v>354952782</v>
      </c>
      <c r="P7262" s="8">
        <v>0</v>
      </c>
      <c r="Q7262" s="8" t="str">
        <f t="shared" si="2644"/>
        <v>公安委員会</v>
      </c>
      <c r="R7262" s="8" t="str">
        <f t="shared" si="2659"/>
        <v>警察本部施設課</v>
      </c>
    </row>
    <row r="7263" spans="1:18" x14ac:dyDescent="0.45">
      <c r="A7263" s="8" t="str">
        <f>"11521001068"</f>
        <v>11521001068</v>
      </c>
      <c r="B7263" s="8" t="s">
        <v>33</v>
      </c>
      <c r="C7263" s="8" t="str">
        <f t="shared" si="2661"/>
        <v>普通財産</v>
      </c>
      <c r="D7263" s="8" t="str">
        <f t="shared" si="2662"/>
        <v>その他</v>
      </c>
      <c r="E7263" s="8" t="s">
        <v>34</v>
      </c>
      <c r="F7263" s="8"/>
      <c r="G7263" s="8" t="str">
        <f t="shared" si="2660"/>
        <v>事業用資産</v>
      </c>
      <c r="H7263" s="8" t="str">
        <f t="shared" si="2653"/>
        <v>棚卸以外</v>
      </c>
      <c r="I7263" s="8">
        <v>4</v>
      </c>
      <c r="J7263" s="8" t="str">
        <f>"ゴミ置場"</f>
        <v>ゴミ置場</v>
      </c>
      <c r="K7263" s="8" t="str">
        <f t="shared" si="2663"/>
        <v>鉄筋コンクリート造</v>
      </c>
      <c r="L7263" s="8" t="str">
        <f>"H27.09.30"</f>
        <v>H27.09.30</v>
      </c>
      <c r="M7263" s="8">
        <v>34.71</v>
      </c>
      <c r="N7263" s="8">
        <v>16601054</v>
      </c>
      <c r="O7263" s="8">
        <v>3567330</v>
      </c>
      <c r="P7263" s="8">
        <v>0</v>
      </c>
      <c r="Q7263" s="8" t="str">
        <f t="shared" si="2644"/>
        <v>公安委員会</v>
      </c>
      <c r="R7263" s="8" t="str">
        <f t="shared" si="2659"/>
        <v>警察本部施設課</v>
      </c>
    </row>
    <row r="7264" spans="1:18" x14ac:dyDescent="0.45">
      <c r="A7264" s="8" t="str">
        <f>"11521001068"</f>
        <v>11521001068</v>
      </c>
      <c r="B7264" s="8" t="s">
        <v>33</v>
      </c>
      <c r="C7264" s="8" t="str">
        <f t="shared" si="2661"/>
        <v>普通財産</v>
      </c>
      <c r="D7264" s="8" t="str">
        <f t="shared" si="2662"/>
        <v>その他</v>
      </c>
      <c r="E7264" s="8" t="s">
        <v>34</v>
      </c>
      <c r="F7264" s="8"/>
      <c r="G7264" s="8" t="str">
        <f t="shared" si="2660"/>
        <v>事業用資産</v>
      </c>
      <c r="H7264" s="8" t="str">
        <f t="shared" si="2653"/>
        <v>棚卸以外</v>
      </c>
      <c r="I7264" s="8">
        <v>5</v>
      </c>
      <c r="J7264" s="8" t="str">
        <f>"立体駐車場"</f>
        <v>立体駐車場</v>
      </c>
      <c r="K7264" s="8" t="str">
        <f>"鉄骨造"</f>
        <v>鉄骨造</v>
      </c>
      <c r="L7264" s="8" t="str">
        <f>"H27.09.30"</f>
        <v>H27.09.30</v>
      </c>
      <c r="M7264" s="8">
        <v>1699</v>
      </c>
      <c r="N7264" s="8">
        <v>99833042</v>
      </c>
      <c r="O7264" s="8">
        <v>25767000</v>
      </c>
      <c r="P7264" s="8">
        <v>0</v>
      </c>
      <c r="Q7264" s="8" t="str">
        <f t="shared" si="2644"/>
        <v>公安委員会</v>
      </c>
      <c r="R7264" s="8" t="str">
        <f t="shared" si="2659"/>
        <v>警察本部施設課</v>
      </c>
    </row>
    <row r="7265" spans="1:18" x14ac:dyDescent="0.45">
      <c r="A7265" s="8" t="str">
        <f>"11521001071"</f>
        <v>11521001071</v>
      </c>
      <c r="B7265" s="8" t="s">
        <v>35</v>
      </c>
      <c r="C7265" s="8" t="str">
        <f t="shared" si="2661"/>
        <v>普通財産</v>
      </c>
      <c r="D7265" s="8" t="str">
        <f t="shared" si="2662"/>
        <v>その他</v>
      </c>
      <c r="E7265" s="8" t="s">
        <v>36</v>
      </c>
      <c r="F7265" s="8"/>
      <c r="G7265" s="8" t="str">
        <f t="shared" si="2660"/>
        <v>事業用資産</v>
      </c>
      <c r="H7265" s="8" t="str">
        <f t="shared" si="2653"/>
        <v>棚卸以外</v>
      </c>
      <c r="I7265" s="8">
        <v>1</v>
      </c>
      <c r="J7265" s="8" t="str">
        <f>"宿舎"</f>
        <v>宿舎</v>
      </c>
      <c r="K7265" s="8" t="str">
        <f>"鉄筋コンクリート造"</f>
        <v>鉄筋コンクリート造</v>
      </c>
      <c r="L7265" s="8" t="str">
        <f>"S41.08.31"</f>
        <v>S41.08.31</v>
      </c>
      <c r="M7265" s="8">
        <v>787.8</v>
      </c>
      <c r="N7265" s="8">
        <v>44118706</v>
      </c>
      <c r="O7265" s="8">
        <v>33218804</v>
      </c>
      <c r="P7265" s="8">
        <v>0</v>
      </c>
      <c r="Q7265" s="8" t="str">
        <f t="shared" si="2644"/>
        <v>公安委員会</v>
      </c>
      <c r="R7265" s="8" t="str">
        <f t="shared" si="2659"/>
        <v>警察本部施設課</v>
      </c>
    </row>
    <row r="7266" spans="1:18" x14ac:dyDescent="0.45">
      <c r="A7266" s="8" t="str">
        <f>"11521001071"</f>
        <v>11521001071</v>
      </c>
      <c r="B7266" s="8" t="s">
        <v>35</v>
      </c>
      <c r="C7266" s="8" t="str">
        <f t="shared" si="2661"/>
        <v>普通財産</v>
      </c>
      <c r="D7266" s="8" t="str">
        <f t="shared" si="2662"/>
        <v>その他</v>
      </c>
      <c r="E7266" s="8" t="s">
        <v>36</v>
      </c>
      <c r="F7266" s="8"/>
      <c r="G7266" s="8" t="str">
        <f t="shared" si="2660"/>
        <v>事業用資産</v>
      </c>
      <c r="H7266" s="8" t="str">
        <f t="shared" si="2653"/>
        <v>棚卸以外</v>
      </c>
      <c r="I7266" s="8">
        <v>2</v>
      </c>
      <c r="J7266" s="8" t="str">
        <f>"ポンプ室"</f>
        <v>ポンプ室</v>
      </c>
      <c r="K7266" s="8" t="str">
        <f>"鉄筋コンクリート造"</f>
        <v>鉄筋コンクリート造</v>
      </c>
      <c r="L7266" s="8" t="str">
        <f>"S41.08.31"</f>
        <v>S41.08.31</v>
      </c>
      <c r="M7266" s="8">
        <v>10.5</v>
      </c>
      <c r="N7266" s="8">
        <v>858271</v>
      </c>
      <c r="O7266" s="8">
        <v>858270</v>
      </c>
      <c r="P7266" s="8">
        <v>0</v>
      </c>
      <c r="Q7266" s="8" t="str">
        <f t="shared" si="2644"/>
        <v>公安委員会</v>
      </c>
      <c r="R7266" s="8" t="str">
        <f t="shared" si="2659"/>
        <v>警察本部施設課</v>
      </c>
    </row>
    <row r="7267" spans="1:18" x14ac:dyDescent="0.45">
      <c r="A7267" s="8" t="str">
        <f>"11521001074"</f>
        <v>11521001074</v>
      </c>
      <c r="B7267" s="8" t="str">
        <f>"大阪府警察生野単身寮"</f>
        <v>大阪府警察生野単身寮</v>
      </c>
      <c r="C7267" s="8" t="str">
        <f t="shared" si="2661"/>
        <v>普通財産</v>
      </c>
      <c r="D7267" s="8" t="str">
        <f t="shared" si="2662"/>
        <v>その他</v>
      </c>
      <c r="E7267" s="8" t="s">
        <v>37</v>
      </c>
      <c r="F7267" s="8"/>
      <c r="G7267" s="8" t="str">
        <f t="shared" si="2660"/>
        <v>事業用資産</v>
      </c>
      <c r="H7267" s="8" t="str">
        <f t="shared" si="2653"/>
        <v>棚卸以外</v>
      </c>
      <c r="I7267" s="8">
        <v>1</v>
      </c>
      <c r="J7267" s="8" t="str">
        <f>"宿舎"</f>
        <v>宿舎</v>
      </c>
      <c r="K7267" s="8" t="str">
        <f>"鉄筋コンクリート造"</f>
        <v>鉄筋コンクリート造</v>
      </c>
      <c r="L7267" s="8" t="str">
        <f>"S41.08.31"</f>
        <v>S41.08.31</v>
      </c>
      <c r="M7267" s="8">
        <v>549.33000000000004</v>
      </c>
      <c r="N7267" s="8">
        <v>23029715</v>
      </c>
      <c r="O7267" s="8">
        <v>22439314</v>
      </c>
      <c r="P7267" s="8">
        <v>0</v>
      </c>
      <c r="Q7267" s="8" t="str">
        <f t="shared" si="2644"/>
        <v>公安委員会</v>
      </c>
      <c r="R7267" s="8" t="str">
        <f t="shared" si="2659"/>
        <v>警察本部施設課</v>
      </c>
    </row>
    <row r="7268" spans="1:18" x14ac:dyDescent="0.45">
      <c r="A7268" s="8" t="str">
        <f>"11521001074"</f>
        <v>11521001074</v>
      </c>
      <c r="B7268" s="8" t="str">
        <f>"大阪府警察生野単身寮"</f>
        <v>大阪府警察生野単身寮</v>
      </c>
      <c r="C7268" s="8" t="str">
        <f t="shared" si="2661"/>
        <v>普通財産</v>
      </c>
      <c r="D7268" s="8" t="str">
        <f t="shared" si="2662"/>
        <v>その他</v>
      </c>
      <c r="E7268" s="8" t="s">
        <v>37</v>
      </c>
      <c r="F7268" s="8"/>
      <c r="G7268" s="8" t="str">
        <f t="shared" si="2660"/>
        <v>事業用資産</v>
      </c>
      <c r="H7268" s="8" t="str">
        <f t="shared" si="2653"/>
        <v>棚卸以外</v>
      </c>
      <c r="I7268" s="8">
        <v>2</v>
      </c>
      <c r="J7268" s="8" t="str">
        <f>"ポンプ室"</f>
        <v>ポンプ室</v>
      </c>
      <c r="K7268" s="8" t="str">
        <f>"鉄筋コンクリート造"</f>
        <v>鉄筋コンクリート造</v>
      </c>
      <c r="L7268" s="8" t="str">
        <f>"S41.08.31"</f>
        <v>S41.08.31</v>
      </c>
      <c r="M7268" s="8">
        <v>8.59</v>
      </c>
      <c r="N7268" s="8">
        <v>497000</v>
      </c>
      <c r="O7268" s="8">
        <v>496999</v>
      </c>
      <c r="P7268" s="8">
        <v>0</v>
      </c>
      <c r="Q7268" s="8" t="str">
        <f t="shared" si="2644"/>
        <v>公安委員会</v>
      </c>
      <c r="R7268" s="8" t="str">
        <f t="shared" si="2659"/>
        <v>警察本部施設課</v>
      </c>
    </row>
    <row r="7269" spans="1:18" ht="26.4" x14ac:dyDescent="0.45">
      <c r="A7269" s="8" t="str">
        <f t="shared" ref="A7269:A7275" si="2664">"11521001076"</f>
        <v>11521001076</v>
      </c>
      <c r="B7269" s="8" t="s">
        <v>38</v>
      </c>
      <c r="C7269" s="8" t="str">
        <f t="shared" si="2661"/>
        <v>普通財産</v>
      </c>
      <c r="D7269" s="8" t="str">
        <f t="shared" si="2662"/>
        <v>その他</v>
      </c>
      <c r="E7269" s="8" t="s">
        <v>39</v>
      </c>
      <c r="F7269" s="8"/>
      <c r="G7269" s="8" t="str">
        <f t="shared" si="2660"/>
        <v>事業用資産</v>
      </c>
      <c r="H7269" s="8" t="str">
        <f t="shared" si="2653"/>
        <v>棚卸以外</v>
      </c>
      <c r="I7269" s="8">
        <v>1</v>
      </c>
      <c r="J7269" s="8" t="str">
        <f>"宿舎１５棟Ａ"</f>
        <v>宿舎１５棟Ａ</v>
      </c>
      <c r="K7269" s="8" t="str">
        <f>"鉄骨鉄筋コンクリート造"</f>
        <v>鉄骨鉄筋コンクリート造</v>
      </c>
      <c r="L7269" s="8" t="str">
        <f>"H10.08.28"</f>
        <v>H10.08.28</v>
      </c>
      <c r="M7269" s="8">
        <v>6477.88</v>
      </c>
      <c r="N7269" s="8">
        <v>1278928191</v>
      </c>
      <c r="O7269" s="8">
        <v>668975735</v>
      </c>
      <c r="P7269" s="8">
        <v>0</v>
      </c>
      <c r="Q7269" s="8" t="str">
        <f t="shared" si="2644"/>
        <v>公安委員会</v>
      </c>
      <c r="R7269" s="8" t="str">
        <f t="shared" si="2659"/>
        <v>警察本部施設課</v>
      </c>
    </row>
    <row r="7270" spans="1:18" ht="26.4" x14ac:dyDescent="0.45">
      <c r="A7270" s="8" t="str">
        <f t="shared" si="2664"/>
        <v>11521001076</v>
      </c>
      <c r="B7270" s="8" t="s">
        <v>38</v>
      </c>
      <c r="C7270" s="8" t="str">
        <f t="shared" si="2661"/>
        <v>普通財産</v>
      </c>
      <c r="D7270" s="8" t="str">
        <f t="shared" si="2662"/>
        <v>その他</v>
      </c>
      <c r="E7270" s="8" t="s">
        <v>39</v>
      </c>
      <c r="F7270" s="8"/>
      <c r="G7270" s="8" t="str">
        <f t="shared" si="2660"/>
        <v>事業用資産</v>
      </c>
      <c r="H7270" s="8" t="str">
        <f t="shared" si="2653"/>
        <v>棚卸以外</v>
      </c>
      <c r="I7270" s="8">
        <v>2</v>
      </c>
      <c r="J7270" s="8" t="str">
        <f>"宿舎１６棟Ｂ"</f>
        <v>宿舎１６棟Ｂ</v>
      </c>
      <c r="K7270" s="8" t="str">
        <f>"鉄骨鉄筋コンクリート造"</f>
        <v>鉄骨鉄筋コンクリート造</v>
      </c>
      <c r="L7270" s="8" t="str">
        <f>"H10.08.28"</f>
        <v>H10.08.28</v>
      </c>
      <c r="M7270" s="8">
        <v>6197.2</v>
      </c>
      <c r="N7270" s="8">
        <v>1279694562</v>
      </c>
      <c r="O7270" s="8">
        <v>669376640</v>
      </c>
      <c r="P7270" s="8">
        <v>0</v>
      </c>
      <c r="Q7270" s="8" t="str">
        <f t="shared" si="2644"/>
        <v>公安委員会</v>
      </c>
      <c r="R7270" s="8" t="str">
        <f t="shared" si="2659"/>
        <v>警察本部施設課</v>
      </c>
    </row>
    <row r="7271" spans="1:18" x14ac:dyDescent="0.45">
      <c r="A7271" s="8" t="str">
        <f t="shared" si="2664"/>
        <v>11521001076</v>
      </c>
      <c r="B7271" s="8" t="s">
        <v>38</v>
      </c>
      <c r="C7271" s="8" t="str">
        <f t="shared" si="2661"/>
        <v>普通財産</v>
      </c>
      <c r="D7271" s="8" t="str">
        <f t="shared" si="2662"/>
        <v>その他</v>
      </c>
      <c r="E7271" s="8" t="s">
        <v>39</v>
      </c>
      <c r="F7271" s="8"/>
      <c r="G7271" s="8" t="str">
        <f t="shared" si="2660"/>
        <v>事業用資産</v>
      </c>
      <c r="H7271" s="8" t="str">
        <f t="shared" si="2653"/>
        <v>棚卸以外</v>
      </c>
      <c r="I7271" s="8">
        <v>3</v>
      </c>
      <c r="J7271" s="8" t="str">
        <f>"設備棟"</f>
        <v>設備棟</v>
      </c>
      <c r="K7271" s="8" t="str">
        <f>"鉄筋コンクリート造"</f>
        <v>鉄筋コンクリート造</v>
      </c>
      <c r="L7271" s="8" t="str">
        <f>"H10.08.28"</f>
        <v>H10.08.28</v>
      </c>
      <c r="M7271" s="8">
        <v>120</v>
      </c>
      <c r="N7271" s="8">
        <v>131355658</v>
      </c>
      <c r="O7271" s="8">
        <v>84977995</v>
      </c>
      <c r="P7271" s="8">
        <v>0</v>
      </c>
      <c r="Q7271" s="8" t="str">
        <f t="shared" si="2644"/>
        <v>公安委員会</v>
      </c>
      <c r="R7271" s="8" t="str">
        <f t="shared" si="2659"/>
        <v>警察本部施設課</v>
      </c>
    </row>
    <row r="7272" spans="1:18" ht="26.4" x14ac:dyDescent="0.45">
      <c r="A7272" s="8" t="str">
        <f t="shared" si="2664"/>
        <v>11521001076</v>
      </c>
      <c r="B7272" s="8" t="s">
        <v>38</v>
      </c>
      <c r="C7272" s="8" t="str">
        <f t="shared" si="2661"/>
        <v>普通財産</v>
      </c>
      <c r="D7272" s="8" t="str">
        <f t="shared" si="2662"/>
        <v>その他</v>
      </c>
      <c r="E7272" s="8" t="s">
        <v>39</v>
      </c>
      <c r="F7272" s="8"/>
      <c r="G7272" s="8" t="str">
        <f t="shared" si="2660"/>
        <v>事業用資産</v>
      </c>
      <c r="H7272" s="8" t="str">
        <f t="shared" si="2653"/>
        <v>棚卸以外</v>
      </c>
      <c r="I7272" s="8">
        <v>4</v>
      </c>
      <c r="J7272" s="8" t="str">
        <f>"宿舎１７棟Ｃ"</f>
        <v>宿舎１７棟Ｃ</v>
      </c>
      <c r="K7272" s="8" t="str">
        <f>"鉄骨鉄筋コンクリート造"</f>
        <v>鉄骨鉄筋コンクリート造</v>
      </c>
      <c r="L7272" s="8" t="str">
        <f>"H11.08.20"</f>
        <v>H11.08.20</v>
      </c>
      <c r="M7272" s="8">
        <v>6665.32</v>
      </c>
      <c r="N7272" s="8">
        <v>1408629411</v>
      </c>
      <c r="O7272" s="8">
        <v>707046916</v>
      </c>
      <c r="P7272" s="8">
        <v>0</v>
      </c>
      <c r="Q7272" s="8" t="str">
        <f t="shared" si="2644"/>
        <v>公安委員会</v>
      </c>
      <c r="R7272" s="8" t="str">
        <f t="shared" si="2659"/>
        <v>警察本部施設課</v>
      </c>
    </row>
    <row r="7273" spans="1:18" ht="26.4" x14ac:dyDescent="0.45">
      <c r="A7273" s="8" t="str">
        <f t="shared" si="2664"/>
        <v>11521001076</v>
      </c>
      <c r="B7273" s="8" t="s">
        <v>38</v>
      </c>
      <c r="C7273" s="8" t="str">
        <f t="shared" si="2661"/>
        <v>普通財産</v>
      </c>
      <c r="D7273" s="8" t="str">
        <f t="shared" si="2662"/>
        <v>その他</v>
      </c>
      <c r="E7273" s="8" t="s">
        <v>39</v>
      </c>
      <c r="F7273" s="8"/>
      <c r="G7273" s="8" t="str">
        <f t="shared" si="2660"/>
        <v>事業用資産</v>
      </c>
      <c r="H7273" s="8" t="str">
        <f t="shared" si="2653"/>
        <v>棚卸以外</v>
      </c>
      <c r="I7273" s="8">
        <v>5</v>
      </c>
      <c r="J7273" s="8" t="str">
        <f>"宿舎１８棟Ｄ"</f>
        <v>宿舎１８棟Ｄ</v>
      </c>
      <c r="K7273" s="8" t="str">
        <f>"鉄骨鉄筋コンクリート造"</f>
        <v>鉄骨鉄筋コンクリート造</v>
      </c>
      <c r="L7273" s="8" t="str">
        <f>"H11.08.20"</f>
        <v>H11.08.20</v>
      </c>
      <c r="M7273" s="8">
        <v>5628.54</v>
      </c>
      <c r="N7273" s="8">
        <v>1177647051</v>
      </c>
      <c r="O7273" s="8">
        <v>591145964</v>
      </c>
      <c r="P7273" s="8">
        <v>0</v>
      </c>
      <c r="Q7273" s="8" t="str">
        <f t="shared" si="2644"/>
        <v>公安委員会</v>
      </c>
      <c r="R7273" s="8" t="str">
        <f t="shared" si="2659"/>
        <v>警察本部施設課</v>
      </c>
    </row>
    <row r="7274" spans="1:18" x14ac:dyDescent="0.45">
      <c r="A7274" s="8" t="str">
        <f t="shared" si="2664"/>
        <v>11521001076</v>
      </c>
      <c r="B7274" s="8" t="s">
        <v>38</v>
      </c>
      <c r="C7274" s="8" t="str">
        <f t="shared" si="2661"/>
        <v>普通財産</v>
      </c>
      <c r="D7274" s="8" t="str">
        <f t="shared" si="2662"/>
        <v>その他</v>
      </c>
      <c r="E7274" s="8" t="s">
        <v>39</v>
      </c>
      <c r="F7274" s="8"/>
      <c r="G7274" s="8" t="str">
        <f t="shared" si="2660"/>
        <v>事業用資産</v>
      </c>
      <c r="H7274" s="8" t="str">
        <f t="shared" si="2653"/>
        <v>棚卸以外</v>
      </c>
      <c r="I7274" s="8">
        <v>6</v>
      </c>
      <c r="J7274" s="8" t="str">
        <f>"集会所及び設備棟"</f>
        <v>集会所及び設備棟</v>
      </c>
      <c r="K7274" s="8" t="str">
        <f>"鉄筋コンクリート造"</f>
        <v>鉄筋コンクリート造</v>
      </c>
      <c r="L7274" s="8" t="str">
        <f>"H11.08.20"</f>
        <v>H11.08.20</v>
      </c>
      <c r="M7274" s="8">
        <v>170</v>
      </c>
      <c r="N7274" s="8">
        <v>43989831</v>
      </c>
      <c r="O7274" s="8">
        <v>22073151</v>
      </c>
      <c r="P7274" s="8">
        <v>0</v>
      </c>
      <c r="Q7274" s="8" t="str">
        <f t="shared" si="2644"/>
        <v>公安委員会</v>
      </c>
      <c r="R7274" s="8" t="str">
        <f t="shared" si="2659"/>
        <v>警察本部施設課</v>
      </c>
    </row>
    <row r="7275" spans="1:18" ht="26.4" x14ac:dyDescent="0.45">
      <c r="A7275" s="8" t="str">
        <f t="shared" si="2664"/>
        <v>11521001076</v>
      </c>
      <c r="B7275" s="8" t="s">
        <v>38</v>
      </c>
      <c r="C7275" s="8" t="str">
        <f t="shared" si="2661"/>
        <v>普通財産</v>
      </c>
      <c r="D7275" s="8" t="str">
        <f t="shared" si="2662"/>
        <v>その他</v>
      </c>
      <c r="E7275" s="8" t="s">
        <v>39</v>
      </c>
      <c r="F7275" s="8"/>
      <c r="G7275" s="8" t="str">
        <f t="shared" si="2660"/>
        <v>事業用資産</v>
      </c>
      <c r="H7275" s="8" t="str">
        <f t="shared" si="2653"/>
        <v>棚卸以外</v>
      </c>
      <c r="I7275" s="8">
        <v>8</v>
      </c>
      <c r="J7275" s="8" t="s">
        <v>23</v>
      </c>
      <c r="K7275" s="8" t="str">
        <f>"鉄骨鉄筋コンクリート造"</f>
        <v>鉄骨鉄筋コンクリート造</v>
      </c>
      <c r="L7275" s="8" t="str">
        <f>"H10.08.28"</f>
        <v>H10.08.28</v>
      </c>
      <c r="M7275" s="8">
        <v>61</v>
      </c>
      <c r="N7275" s="8">
        <v>12042662</v>
      </c>
      <c r="O7275" s="8">
        <v>6299135</v>
      </c>
      <c r="P7275" s="8">
        <v>0</v>
      </c>
      <c r="Q7275" s="8" t="str">
        <f t="shared" si="2644"/>
        <v>公安委員会</v>
      </c>
      <c r="R7275" s="8" t="str">
        <f t="shared" si="2659"/>
        <v>警察本部施設課</v>
      </c>
    </row>
    <row r="7276" spans="1:18" x14ac:dyDescent="0.45">
      <c r="A7276" s="8" t="str">
        <f>"11521001077"</f>
        <v>11521001077</v>
      </c>
      <c r="B7276" s="8" t="s">
        <v>40</v>
      </c>
      <c r="C7276" s="8" t="str">
        <f t="shared" si="2661"/>
        <v>普通財産</v>
      </c>
      <c r="D7276" s="8" t="str">
        <f t="shared" si="2662"/>
        <v>その他</v>
      </c>
      <c r="E7276" s="8" t="s">
        <v>41</v>
      </c>
      <c r="F7276" s="8"/>
      <c r="G7276" s="8" t="str">
        <f t="shared" si="2660"/>
        <v>事業用資産</v>
      </c>
      <c r="H7276" s="8" t="str">
        <f t="shared" si="2653"/>
        <v>棚卸以外</v>
      </c>
      <c r="I7276" s="8">
        <v>1</v>
      </c>
      <c r="J7276" s="8" t="str">
        <f>"宿舎"</f>
        <v>宿舎</v>
      </c>
      <c r="K7276" s="8" t="str">
        <f>"鉄筋コンクリート造"</f>
        <v>鉄筋コンクリート造</v>
      </c>
      <c r="L7276" s="8" t="str">
        <f>"S41.09.28"</f>
        <v>S41.09.28</v>
      </c>
      <c r="M7276" s="8">
        <v>1733.08</v>
      </c>
      <c r="N7276" s="8">
        <v>234568454</v>
      </c>
      <c r="O7276" s="8">
        <v>137999080</v>
      </c>
      <c r="P7276" s="8">
        <v>0</v>
      </c>
      <c r="Q7276" s="8" t="str">
        <f t="shared" si="2644"/>
        <v>公安委員会</v>
      </c>
      <c r="R7276" s="8" t="str">
        <f t="shared" si="2659"/>
        <v>警察本部施設課</v>
      </c>
    </row>
    <row r="7277" spans="1:18" x14ac:dyDescent="0.45">
      <c r="A7277" s="8" t="str">
        <f>"11521001085"</f>
        <v>11521001085</v>
      </c>
      <c r="B7277" s="8" t="str">
        <f>"大阪府警察大正単身寮"</f>
        <v>大阪府警察大正単身寮</v>
      </c>
      <c r="C7277" s="8" t="str">
        <f t="shared" si="2661"/>
        <v>普通財産</v>
      </c>
      <c r="D7277" s="8" t="str">
        <f t="shared" si="2662"/>
        <v>その他</v>
      </c>
      <c r="E7277" s="8" t="s">
        <v>42</v>
      </c>
      <c r="F7277" s="8"/>
      <c r="G7277" s="8" t="str">
        <f t="shared" si="2660"/>
        <v>事業用資産</v>
      </c>
      <c r="H7277" s="8" t="str">
        <f t="shared" si="2653"/>
        <v>棚卸以外</v>
      </c>
      <c r="I7277" s="8">
        <v>1</v>
      </c>
      <c r="J7277" s="8" t="str">
        <f>"宿舎"</f>
        <v>宿舎</v>
      </c>
      <c r="K7277" s="8" t="str">
        <f>"鉄筋コンクリート造"</f>
        <v>鉄筋コンクリート造</v>
      </c>
      <c r="L7277" s="8" t="str">
        <f>"S44.03.28"</f>
        <v>S44.03.28</v>
      </c>
      <c r="M7277" s="8">
        <v>1291.5</v>
      </c>
      <c r="N7277" s="8">
        <v>97005290</v>
      </c>
      <c r="O7277" s="8">
        <v>81903966</v>
      </c>
      <c r="P7277" s="8">
        <v>0</v>
      </c>
      <c r="Q7277" s="8" t="str">
        <f t="shared" si="2644"/>
        <v>公安委員会</v>
      </c>
      <c r="R7277" s="8" t="str">
        <f t="shared" si="2659"/>
        <v>警察本部施設課</v>
      </c>
    </row>
    <row r="7278" spans="1:18" x14ac:dyDescent="0.45">
      <c r="A7278" s="8" t="str">
        <f>"11521001092"</f>
        <v>11521001092</v>
      </c>
      <c r="B7278" s="8" t="str">
        <f>"大阪府警察西淀川単身寮"</f>
        <v>大阪府警察西淀川単身寮</v>
      </c>
      <c r="C7278" s="8" t="str">
        <f t="shared" si="2661"/>
        <v>普通財産</v>
      </c>
      <c r="D7278" s="8" t="str">
        <f t="shared" si="2662"/>
        <v>その他</v>
      </c>
      <c r="E7278" s="8" t="s">
        <v>43</v>
      </c>
      <c r="F7278" s="8"/>
      <c r="G7278" s="8" t="str">
        <f t="shared" si="2660"/>
        <v>事業用資産</v>
      </c>
      <c r="H7278" s="8" t="str">
        <f t="shared" si="2653"/>
        <v>棚卸以外</v>
      </c>
      <c r="I7278" s="8">
        <v>1</v>
      </c>
      <c r="J7278" s="8" t="str">
        <f>"宿舎"</f>
        <v>宿舎</v>
      </c>
      <c r="K7278" s="8" t="str">
        <f>"鉄筋コンクリート造"</f>
        <v>鉄筋コンクリート造</v>
      </c>
      <c r="L7278" s="8" t="str">
        <f>"S46.03.29"</f>
        <v>S46.03.29</v>
      </c>
      <c r="M7278" s="8">
        <v>648.28</v>
      </c>
      <c r="N7278" s="8">
        <v>82055430</v>
      </c>
      <c r="O7278" s="8">
        <v>49901930</v>
      </c>
      <c r="P7278" s="8">
        <v>0</v>
      </c>
      <c r="Q7278" s="8" t="str">
        <f t="shared" si="2644"/>
        <v>公安委員会</v>
      </c>
      <c r="R7278" s="8" t="str">
        <f t="shared" si="2659"/>
        <v>警察本部施設課</v>
      </c>
    </row>
    <row r="7279" spans="1:18" x14ac:dyDescent="0.45">
      <c r="A7279" s="8" t="str">
        <f>"11521001093"</f>
        <v>11521001093</v>
      </c>
      <c r="B7279" s="8" t="str">
        <f>"大阪府警察西成単身寮"</f>
        <v>大阪府警察西成単身寮</v>
      </c>
      <c r="C7279" s="8" t="str">
        <f t="shared" si="2661"/>
        <v>普通財産</v>
      </c>
      <c r="D7279" s="8" t="str">
        <f t="shared" si="2662"/>
        <v>その他</v>
      </c>
      <c r="E7279" s="8" t="s">
        <v>44</v>
      </c>
      <c r="F7279" s="8"/>
      <c r="G7279" s="8" t="str">
        <f t="shared" si="2660"/>
        <v>事業用資産</v>
      </c>
      <c r="H7279" s="8" t="str">
        <f t="shared" si="2653"/>
        <v>棚卸以外</v>
      </c>
      <c r="I7279" s="8">
        <v>1</v>
      </c>
      <c r="J7279" s="8" t="s">
        <v>28</v>
      </c>
      <c r="K7279" s="8" t="str">
        <f>"鉄骨造"</f>
        <v>鉄骨造</v>
      </c>
      <c r="L7279" s="8" t="str">
        <f>"S49.03.30"</f>
        <v>S49.03.30</v>
      </c>
      <c r="M7279" s="8">
        <v>534.78</v>
      </c>
      <c r="N7279" s="8">
        <v>57346035</v>
      </c>
      <c r="O7279" s="8">
        <v>57320050</v>
      </c>
      <c r="P7279" s="8">
        <v>0</v>
      </c>
      <c r="Q7279" s="8" t="str">
        <f t="shared" si="2644"/>
        <v>公安委員会</v>
      </c>
      <c r="R7279" s="8" t="str">
        <f t="shared" si="2659"/>
        <v>警察本部施設課</v>
      </c>
    </row>
    <row r="7280" spans="1:18" x14ac:dyDescent="0.45">
      <c r="A7280" s="8" t="str">
        <f>"11521001096"</f>
        <v>11521001096</v>
      </c>
      <c r="B7280" s="8" t="s">
        <v>45</v>
      </c>
      <c r="C7280" s="8" t="str">
        <f t="shared" si="2661"/>
        <v>普通財産</v>
      </c>
      <c r="D7280" s="8" t="str">
        <f t="shared" si="2662"/>
        <v>その他</v>
      </c>
      <c r="E7280" s="8" t="s">
        <v>46</v>
      </c>
      <c r="F7280" s="8"/>
      <c r="G7280" s="8" t="str">
        <f t="shared" si="2660"/>
        <v>事業用資産</v>
      </c>
      <c r="H7280" s="8" t="str">
        <f t="shared" si="2653"/>
        <v>棚卸以外</v>
      </c>
      <c r="I7280" s="8">
        <v>3</v>
      </c>
      <c r="J7280" s="8" t="str">
        <f>"宿舎"</f>
        <v>宿舎</v>
      </c>
      <c r="K7280" s="8" t="str">
        <f>"鉄筋コンクリート造"</f>
        <v>鉄筋コンクリート造</v>
      </c>
      <c r="L7280" s="8" t="str">
        <f>"R01.08.30"</f>
        <v>R01.08.30</v>
      </c>
      <c r="M7280" s="8">
        <v>2795.53</v>
      </c>
      <c r="N7280" s="8">
        <v>1020594902</v>
      </c>
      <c r="O7280" s="8">
        <v>127708452</v>
      </c>
      <c r="P7280" s="8">
        <v>0</v>
      </c>
      <c r="Q7280" s="8" t="str">
        <f t="shared" si="2644"/>
        <v>公安委員会</v>
      </c>
      <c r="R7280" s="8" t="str">
        <f t="shared" si="2659"/>
        <v>警察本部施設課</v>
      </c>
    </row>
    <row r="7281" spans="1:18" x14ac:dyDescent="0.45">
      <c r="A7281" s="8" t="str">
        <f>"11521001096"</f>
        <v>11521001096</v>
      </c>
      <c r="B7281" s="8" t="s">
        <v>45</v>
      </c>
      <c r="C7281" s="8" t="str">
        <f t="shared" si="2661"/>
        <v>普通財産</v>
      </c>
      <c r="D7281" s="8" t="str">
        <f t="shared" si="2662"/>
        <v>その他</v>
      </c>
      <c r="E7281" s="8" t="s">
        <v>46</v>
      </c>
      <c r="F7281" s="8"/>
      <c r="G7281" s="8" t="str">
        <f t="shared" si="2660"/>
        <v>事業用資産</v>
      </c>
      <c r="H7281" s="8" t="str">
        <f t="shared" si="2653"/>
        <v>棚卸以外</v>
      </c>
      <c r="I7281" s="8">
        <v>4</v>
      </c>
      <c r="J7281" s="8" t="str">
        <f>"ゴミ置場"</f>
        <v>ゴミ置場</v>
      </c>
      <c r="K7281" s="8" t="str">
        <f>"鉄筋コンクリート造"</f>
        <v>鉄筋コンクリート造</v>
      </c>
      <c r="L7281" s="8" t="str">
        <f>"R01.08.30"</f>
        <v>R01.08.30</v>
      </c>
      <c r="M7281" s="8">
        <v>9.89</v>
      </c>
      <c r="N7281" s="8">
        <v>2824396</v>
      </c>
      <c r="O7281" s="8">
        <v>326499</v>
      </c>
      <c r="P7281" s="8">
        <v>0</v>
      </c>
      <c r="Q7281" s="8" t="str">
        <f t="shared" si="2644"/>
        <v>公安委員会</v>
      </c>
      <c r="R7281" s="8" t="str">
        <f t="shared" si="2659"/>
        <v>警察本部施設課</v>
      </c>
    </row>
    <row r="7282" spans="1:18" ht="26.4" x14ac:dyDescent="0.45">
      <c r="A7282" s="8" t="str">
        <f>"11521001100"</f>
        <v>11521001100</v>
      </c>
      <c r="B7282" s="8" t="s">
        <v>47</v>
      </c>
      <c r="C7282" s="8" t="str">
        <f t="shared" si="2661"/>
        <v>普通財産</v>
      </c>
      <c r="D7282" s="8" t="str">
        <f t="shared" si="2662"/>
        <v>その他</v>
      </c>
      <c r="E7282" s="8" t="s">
        <v>48</v>
      </c>
      <c r="F7282" s="8"/>
      <c r="G7282" s="8" t="str">
        <f t="shared" si="2660"/>
        <v>事業用資産</v>
      </c>
      <c r="H7282" s="8" t="str">
        <f t="shared" si="2653"/>
        <v>棚卸以外</v>
      </c>
      <c r="I7282" s="8">
        <v>1</v>
      </c>
      <c r="J7282" s="8" t="str">
        <f>"宿舎"</f>
        <v>宿舎</v>
      </c>
      <c r="K7282" s="8" t="str">
        <f>"鉄骨鉄筋コンクリート造"</f>
        <v>鉄骨鉄筋コンクリート造</v>
      </c>
      <c r="L7282" s="8" t="str">
        <f>"H12.06.23"</f>
        <v>H12.06.23</v>
      </c>
      <c r="M7282" s="8">
        <v>3702.03</v>
      </c>
      <c r="N7282" s="8">
        <v>1161992284</v>
      </c>
      <c r="O7282" s="8">
        <v>562413309</v>
      </c>
      <c r="P7282" s="8">
        <v>0</v>
      </c>
      <c r="Q7282" s="8" t="str">
        <f t="shared" si="2644"/>
        <v>公安委員会</v>
      </c>
      <c r="R7282" s="8" t="str">
        <f t="shared" si="2659"/>
        <v>警察本部施設課</v>
      </c>
    </row>
    <row r="7283" spans="1:18" x14ac:dyDescent="0.45">
      <c r="A7283" s="8" t="str">
        <f>"11521001100"</f>
        <v>11521001100</v>
      </c>
      <c r="B7283" s="8" t="s">
        <v>47</v>
      </c>
      <c r="C7283" s="8" t="str">
        <f t="shared" si="2661"/>
        <v>普通財産</v>
      </c>
      <c r="D7283" s="8" t="str">
        <f t="shared" si="2662"/>
        <v>その他</v>
      </c>
      <c r="E7283" s="8" t="s">
        <v>48</v>
      </c>
      <c r="F7283" s="8"/>
      <c r="G7283" s="8" t="str">
        <f t="shared" si="2660"/>
        <v>事業用資産</v>
      </c>
      <c r="H7283" s="8" t="str">
        <f t="shared" si="2653"/>
        <v>棚卸以外</v>
      </c>
      <c r="I7283" s="8">
        <v>2</v>
      </c>
      <c r="J7283" s="8" t="str">
        <f>"ゴミ置場"</f>
        <v>ゴミ置場</v>
      </c>
      <c r="K7283" s="8" t="str">
        <f>"鉄筋コンクリート造"</f>
        <v>鉄筋コンクリート造</v>
      </c>
      <c r="L7283" s="8" t="str">
        <f>"H12.06.23"</f>
        <v>H12.06.23</v>
      </c>
      <c r="M7283" s="8">
        <v>13.52</v>
      </c>
      <c r="N7283" s="8">
        <v>2634000</v>
      </c>
      <c r="O7283" s="8">
        <v>1577121</v>
      </c>
      <c r="P7283" s="8">
        <v>0</v>
      </c>
      <c r="Q7283" s="8" t="str">
        <f t="shared" ref="Q7283:Q7346" si="2665">"公安委員会"</f>
        <v>公安委員会</v>
      </c>
      <c r="R7283" s="8" t="str">
        <f t="shared" ref="R7283:R7292" si="2666">"警察本部施設課"</f>
        <v>警察本部施設課</v>
      </c>
    </row>
    <row r="7284" spans="1:18" x14ac:dyDescent="0.45">
      <c r="A7284" s="8" t="str">
        <f>"11521001101"</f>
        <v>11521001101</v>
      </c>
      <c r="B7284" s="8" t="s">
        <v>49</v>
      </c>
      <c r="C7284" s="8" t="str">
        <f t="shared" si="2661"/>
        <v>普通財産</v>
      </c>
      <c r="D7284" s="8" t="str">
        <f t="shared" si="2662"/>
        <v>その他</v>
      </c>
      <c r="E7284" s="8" t="s">
        <v>50</v>
      </c>
      <c r="F7284" s="8"/>
      <c r="G7284" s="8" t="str">
        <f t="shared" si="2660"/>
        <v>事業用資産</v>
      </c>
      <c r="H7284" s="8" t="str">
        <f t="shared" si="2653"/>
        <v>棚卸以外</v>
      </c>
      <c r="I7284" s="8">
        <v>1</v>
      </c>
      <c r="J7284" s="8" t="str">
        <f>"宿舎"</f>
        <v>宿舎</v>
      </c>
      <c r="K7284" s="8" t="str">
        <f>"鉄筋コンクリート造"</f>
        <v>鉄筋コンクリート造</v>
      </c>
      <c r="L7284" s="8" t="str">
        <f>"H22.04.01"</f>
        <v>H22.04.01</v>
      </c>
      <c r="M7284" s="8">
        <v>7080.03</v>
      </c>
      <c r="N7284" s="8">
        <v>1406043561</v>
      </c>
      <c r="O7284" s="8">
        <v>386412830</v>
      </c>
      <c r="P7284" s="8">
        <v>0</v>
      </c>
      <c r="Q7284" s="8" t="str">
        <f t="shared" si="2665"/>
        <v>公安委員会</v>
      </c>
      <c r="R7284" s="8" t="str">
        <f t="shared" si="2666"/>
        <v>警察本部施設課</v>
      </c>
    </row>
    <row r="7285" spans="1:18" x14ac:dyDescent="0.45">
      <c r="A7285" s="8" t="str">
        <f>"11521003005"</f>
        <v>11521003005</v>
      </c>
      <c r="B7285" s="8" t="s">
        <v>26</v>
      </c>
      <c r="C7285" s="8" t="str">
        <f t="shared" si="2661"/>
        <v>普通財産</v>
      </c>
      <c r="D7285" s="8" t="str">
        <f t="shared" si="2662"/>
        <v>その他</v>
      </c>
      <c r="E7285" s="8" t="s">
        <v>51</v>
      </c>
      <c r="F7285" s="8"/>
      <c r="G7285" s="8" t="str">
        <f t="shared" si="2660"/>
        <v>事業用資産</v>
      </c>
      <c r="H7285" s="8" t="str">
        <f t="shared" si="2653"/>
        <v>棚卸以外</v>
      </c>
      <c r="I7285" s="8">
        <v>1</v>
      </c>
      <c r="J7285" s="8" t="s">
        <v>26</v>
      </c>
      <c r="K7285" s="8" t="str">
        <f>"鉄筋コンクリート造"</f>
        <v>鉄筋コンクリート造</v>
      </c>
      <c r="L7285" s="8" t="str">
        <f>"H07.02.28"</f>
        <v>H07.02.28</v>
      </c>
      <c r="M7285" s="8">
        <v>61.48</v>
      </c>
      <c r="N7285" s="8">
        <v>12415888</v>
      </c>
      <c r="O7285" s="8">
        <v>6482472</v>
      </c>
      <c r="P7285" s="8">
        <v>0</v>
      </c>
      <c r="Q7285" s="8" t="str">
        <f t="shared" si="2665"/>
        <v>公安委員会</v>
      </c>
      <c r="R7285" s="8" t="str">
        <f t="shared" si="2666"/>
        <v>警察本部施設課</v>
      </c>
    </row>
    <row r="7286" spans="1:18" ht="26.4" x14ac:dyDescent="0.45">
      <c r="A7286" s="8" t="str">
        <f>"11521003033"</f>
        <v>11521003033</v>
      </c>
      <c r="B7286" s="8" t="str">
        <f>"大阪府警察本部　大手前立体駐車場"</f>
        <v>大阪府警察本部　大手前立体駐車場</v>
      </c>
      <c r="C7286" s="8" t="str">
        <f t="shared" ref="C7286:C7349" si="2667">"行政財産"</f>
        <v>行政財産</v>
      </c>
      <c r="D7286" s="8" t="str">
        <f>"警察（消防）施設"</f>
        <v>警察（消防）施設</v>
      </c>
      <c r="E7286" s="8" t="str">
        <f>"大阪府大阪市　中央区大手前３丁目"</f>
        <v>大阪府大阪市　中央区大手前３丁目</v>
      </c>
      <c r="F7286" s="8"/>
      <c r="G7286" s="8" t="str">
        <f t="shared" si="2660"/>
        <v>事業用資産</v>
      </c>
      <c r="H7286" s="8" t="str">
        <f t="shared" si="2653"/>
        <v>棚卸以外</v>
      </c>
      <c r="I7286" s="8">
        <v>1</v>
      </c>
      <c r="J7286" s="8" t="str">
        <f>"大手前立体駐車場"</f>
        <v>大手前立体駐車場</v>
      </c>
      <c r="K7286" s="8" t="str">
        <f>"鉄骨鉄筋コンクリート造"</f>
        <v>鉄骨鉄筋コンクリート造</v>
      </c>
      <c r="L7286" s="8" t="str">
        <f>"H28.02.29"</f>
        <v>H28.02.29</v>
      </c>
      <c r="M7286" s="8">
        <v>8448.0300000000007</v>
      </c>
      <c r="N7286" s="8">
        <v>1167456335</v>
      </c>
      <c r="O7286" s="8">
        <v>317081215</v>
      </c>
      <c r="P7286" s="8">
        <v>0</v>
      </c>
      <c r="Q7286" s="8" t="str">
        <f t="shared" si="2665"/>
        <v>公安委員会</v>
      </c>
      <c r="R7286" s="8" t="str">
        <f t="shared" si="2666"/>
        <v>警察本部施設課</v>
      </c>
    </row>
    <row r="7287" spans="1:18" x14ac:dyDescent="0.45">
      <c r="A7287" s="8" t="str">
        <f>"11521003042"</f>
        <v>11521003042</v>
      </c>
      <c r="B7287" s="8" t="str">
        <f>"第二方面機動警ら隊"</f>
        <v>第二方面機動警ら隊</v>
      </c>
      <c r="C7287" s="8" t="str">
        <f t="shared" si="2667"/>
        <v>行政財産</v>
      </c>
      <c r="D7287" s="8" t="str">
        <f>"警察（消防）施設"</f>
        <v>警察（消防）施設</v>
      </c>
      <c r="E7287" s="8" t="str">
        <f>"大阪府大阪市　淀川区十三本町３丁目"</f>
        <v>大阪府大阪市　淀川区十三本町３丁目</v>
      </c>
      <c r="F7287" s="8"/>
      <c r="G7287" s="8" t="str">
        <f t="shared" si="2660"/>
        <v>事業用資産</v>
      </c>
      <c r="H7287" s="8" t="str">
        <f t="shared" si="2653"/>
        <v>棚卸以外</v>
      </c>
      <c r="I7287" s="8">
        <v>1</v>
      </c>
      <c r="J7287" s="8" t="str">
        <f>"庁舎"</f>
        <v>庁舎</v>
      </c>
      <c r="K7287" s="8" t="str">
        <f t="shared" ref="K7287:K7293" si="2668">"鉄筋コンクリート造"</f>
        <v>鉄筋コンクリート造</v>
      </c>
      <c r="L7287" s="8" t="str">
        <f>"H30.09.05"</f>
        <v>H30.09.05</v>
      </c>
      <c r="M7287" s="8">
        <v>1998.3</v>
      </c>
      <c r="N7287" s="8">
        <v>948460317</v>
      </c>
      <c r="O7287" s="8">
        <v>146052018</v>
      </c>
      <c r="P7287" s="8">
        <v>0</v>
      </c>
      <c r="Q7287" s="8" t="str">
        <f t="shared" si="2665"/>
        <v>公安委員会</v>
      </c>
      <c r="R7287" s="8" t="str">
        <f t="shared" si="2666"/>
        <v>警察本部施設課</v>
      </c>
    </row>
    <row r="7288" spans="1:18" x14ac:dyDescent="0.45">
      <c r="A7288" s="8" t="str">
        <f>"11521003045"</f>
        <v>11521003045</v>
      </c>
      <c r="B7288" s="8" t="s">
        <v>26</v>
      </c>
      <c r="C7288" s="8" t="str">
        <f t="shared" si="2667"/>
        <v>行政財産</v>
      </c>
      <c r="D7288" s="8" t="str">
        <f>"その他"</f>
        <v>その他</v>
      </c>
      <c r="E7288" s="8" t="s">
        <v>27</v>
      </c>
      <c r="F7288" s="8"/>
      <c r="G7288" s="8" t="str">
        <f t="shared" si="2660"/>
        <v>事業用資産</v>
      </c>
      <c r="H7288" s="8" t="str">
        <f t="shared" si="2653"/>
        <v>棚卸以外</v>
      </c>
      <c r="I7288" s="8">
        <v>1</v>
      </c>
      <c r="J7288" s="8" t="s">
        <v>26</v>
      </c>
      <c r="K7288" s="8" t="str">
        <f t="shared" si="2668"/>
        <v>鉄筋コンクリート造</v>
      </c>
      <c r="L7288" s="8" t="str">
        <f>"H02.03.26"</f>
        <v>H02.03.26</v>
      </c>
      <c r="M7288" s="8">
        <v>80.8</v>
      </c>
      <c r="N7288" s="8">
        <v>15989748</v>
      </c>
      <c r="O7288" s="8">
        <v>11226996</v>
      </c>
      <c r="P7288" s="8">
        <v>0</v>
      </c>
      <c r="Q7288" s="8" t="str">
        <f t="shared" si="2665"/>
        <v>公安委員会</v>
      </c>
      <c r="R7288" s="8" t="str">
        <f t="shared" si="2666"/>
        <v>警察本部施設課</v>
      </c>
    </row>
    <row r="7289" spans="1:18" x14ac:dyDescent="0.45">
      <c r="A7289" s="8" t="str">
        <f>"11521003045"</f>
        <v>11521003045</v>
      </c>
      <c r="B7289" s="8" t="s">
        <v>26</v>
      </c>
      <c r="C7289" s="8" t="str">
        <f t="shared" si="2667"/>
        <v>行政財産</v>
      </c>
      <c r="D7289" s="8" t="str">
        <f>"その他"</f>
        <v>その他</v>
      </c>
      <c r="E7289" s="8" t="s">
        <v>27</v>
      </c>
      <c r="F7289" s="8"/>
      <c r="G7289" s="8" t="str">
        <f t="shared" si="2660"/>
        <v>事業用資産</v>
      </c>
      <c r="H7289" s="8" t="str">
        <f t="shared" si="2653"/>
        <v>棚卸以外</v>
      </c>
      <c r="I7289" s="8">
        <v>2</v>
      </c>
      <c r="J7289" s="8" t="s">
        <v>26</v>
      </c>
      <c r="K7289" s="8" t="str">
        <f t="shared" si="2668"/>
        <v>鉄筋コンクリート造</v>
      </c>
      <c r="L7289" s="8" t="str">
        <f>"H02.03.26"</f>
        <v>H02.03.26</v>
      </c>
      <c r="M7289" s="8">
        <v>80.83</v>
      </c>
      <c r="N7289" s="8">
        <v>16004388</v>
      </c>
      <c r="O7289" s="8">
        <v>11214525</v>
      </c>
      <c r="P7289" s="8">
        <v>0</v>
      </c>
      <c r="Q7289" s="8" t="str">
        <f t="shared" si="2665"/>
        <v>公安委員会</v>
      </c>
      <c r="R7289" s="8" t="str">
        <f t="shared" si="2666"/>
        <v>警察本部施設課</v>
      </c>
    </row>
    <row r="7290" spans="1:18" x14ac:dyDescent="0.45">
      <c r="A7290" s="8" t="str">
        <f>"11521003045"</f>
        <v>11521003045</v>
      </c>
      <c r="B7290" s="8" t="s">
        <v>26</v>
      </c>
      <c r="C7290" s="8" t="str">
        <f t="shared" si="2667"/>
        <v>行政財産</v>
      </c>
      <c r="D7290" s="8" t="str">
        <f>"その他"</f>
        <v>その他</v>
      </c>
      <c r="E7290" s="8" t="s">
        <v>27</v>
      </c>
      <c r="F7290" s="8"/>
      <c r="G7290" s="8" t="str">
        <f t="shared" si="2660"/>
        <v>事業用資産</v>
      </c>
      <c r="H7290" s="8" t="str">
        <f t="shared" si="2653"/>
        <v>棚卸以外</v>
      </c>
      <c r="I7290" s="8">
        <v>3</v>
      </c>
      <c r="J7290" s="8" t="s">
        <v>26</v>
      </c>
      <c r="K7290" s="8" t="str">
        <f t="shared" si="2668"/>
        <v>鉄筋コンクリート造</v>
      </c>
      <c r="L7290" s="8" t="str">
        <f>"H02.03.26"</f>
        <v>H02.03.26</v>
      </c>
      <c r="M7290" s="8">
        <v>80.8</v>
      </c>
      <c r="N7290" s="8">
        <v>15993850</v>
      </c>
      <c r="O7290" s="8">
        <v>11219259</v>
      </c>
      <c r="P7290" s="8">
        <v>0</v>
      </c>
      <c r="Q7290" s="8" t="str">
        <f t="shared" si="2665"/>
        <v>公安委員会</v>
      </c>
      <c r="R7290" s="8" t="str">
        <f t="shared" si="2666"/>
        <v>警察本部施設課</v>
      </c>
    </row>
    <row r="7291" spans="1:18" x14ac:dyDescent="0.45">
      <c r="A7291" s="8" t="str">
        <f>"11521003045"</f>
        <v>11521003045</v>
      </c>
      <c r="B7291" s="8" t="s">
        <v>26</v>
      </c>
      <c r="C7291" s="8" t="str">
        <f t="shared" si="2667"/>
        <v>行政財産</v>
      </c>
      <c r="D7291" s="8" t="str">
        <f>"その他"</f>
        <v>その他</v>
      </c>
      <c r="E7291" s="8" t="s">
        <v>27</v>
      </c>
      <c r="F7291" s="8"/>
      <c r="G7291" s="8" t="str">
        <f t="shared" si="2660"/>
        <v>事業用資産</v>
      </c>
      <c r="H7291" s="8" t="str">
        <f t="shared" si="2653"/>
        <v>棚卸以外</v>
      </c>
      <c r="I7291" s="8">
        <v>4</v>
      </c>
      <c r="J7291" s="8" t="s">
        <v>26</v>
      </c>
      <c r="K7291" s="8" t="str">
        <f t="shared" si="2668"/>
        <v>鉄筋コンクリート造</v>
      </c>
      <c r="L7291" s="8" t="str">
        <f>"H02.03.26"</f>
        <v>H02.03.26</v>
      </c>
      <c r="M7291" s="8">
        <v>80.83</v>
      </c>
      <c r="N7291" s="8">
        <v>15995685</v>
      </c>
      <c r="O7291" s="8">
        <v>11231352</v>
      </c>
      <c r="P7291" s="8">
        <v>0</v>
      </c>
      <c r="Q7291" s="8" t="str">
        <f t="shared" si="2665"/>
        <v>公安委員会</v>
      </c>
      <c r="R7291" s="8" t="str">
        <f t="shared" si="2666"/>
        <v>警察本部施設課</v>
      </c>
    </row>
    <row r="7292" spans="1:18" x14ac:dyDescent="0.45">
      <c r="A7292" s="8" t="str">
        <f>"11568000150"</f>
        <v>11568000150</v>
      </c>
      <c r="B7292" s="8" t="str">
        <f>"もと四條畷警察署深野北交番"</f>
        <v>もと四條畷警察署深野北交番</v>
      </c>
      <c r="C7292" s="8" t="str">
        <f t="shared" si="2667"/>
        <v>行政財産</v>
      </c>
      <c r="D7292" s="8" t="str">
        <f t="shared" ref="D7292:D7355" si="2669">"警察（消防）施設"</f>
        <v>警察（消防）施設</v>
      </c>
      <c r="E7292" s="8" t="str">
        <f>"大阪府大東市深野２丁目"</f>
        <v>大阪府大東市深野２丁目</v>
      </c>
      <c r="F7292" s="8"/>
      <c r="G7292" s="8" t="str">
        <f t="shared" si="2660"/>
        <v>事業用資産</v>
      </c>
      <c r="H7292" s="8" t="str">
        <f t="shared" si="2653"/>
        <v>棚卸以外</v>
      </c>
      <c r="I7292" s="8">
        <v>1</v>
      </c>
      <c r="J7292" s="8" t="str">
        <f>"深野北交番"</f>
        <v>深野北交番</v>
      </c>
      <c r="K7292" s="8" t="str">
        <f t="shared" si="2668"/>
        <v>鉄筋コンクリート造</v>
      </c>
      <c r="L7292" s="8" t="str">
        <f>"S46.03.29"</f>
        <v>S46.03.29</v>
      </c>
      <c r="M7292" s="8">
        <v>32.93</v>
      </c>
      <c r="N7292" s="8">
        <v>2915000</v>
      </c>
      <c r="O7292" s="8">
        <v>2914999</v>
      </c>
      <c r="P7292" s="8">
        <v>0</v>
      </c>
      <c r="Q7292" s="8" t="str">
        <f t="shared" si="2665"/>
        <v>公安委員会</v>
      </c>
      <c r="R7292" s="8" t="str">
        <f t="shared" si="2666"/>
        <v>警察本部施設課</v>
      </c>
    </row>
    <row r="7293" spans="1:18" x14ac:dyDescent="0.45">
      <c r="A7293" s="8" t="str">
        <f>"11523000000"</f>
        <v>11523000000</v>
      </c>
      <c r="B7293" s="8" t="str">
        <f>"大淀警察署"</f>
        <v>大淀警察署</v>
      </c>
      <c r="C7293" s="8" t="str">
        <f t="shared" si="2667"/>
        <v>行政財産</v>
      </c>
      <c r="D7293" s="8" t="str">
        <f t="shared" si="2669"/>
        <v>警察（消防）施設</v>
      </c>
      <c r="E7293" s="8" t="str">
        <f>"大阪府大阪市　北区中津１丁目"</f>
        <v>大阪府大阪市　北区中津１丁目</v>
      </c>
      <c r="F7293" s="8"/>
      <c r="G7293" s="8" t="str">
        <f t="shared" si="2660"/>
        <v>事業用資産</v>
      </c>
      <c r="H7293" s="8" t="str">
        <f t="shared" si="2653"/>
        <v>棚卸以外</v>
      </c>
      <c r="I7293" s="8">
        <v>13</v>
      </c>
      <c r="J7293" s="8" t="str">
        <f>"庁舎"</f>
        <v>庁舎</v>
      </c>
      <c r="K7293" s="8" t="str">
        <f t="shared" si="2668"/>
        <v>鉄筋コンクリート造</v>
      </c>
      <c r="L7293" s="8" t="str">
        <f>"S60.03.30"</f>
        <v>S60.03.30</v>
      </c>
      <c r="M7293" s="8">
        <v>3089.8</v>
      </c>
      <c r="N7293" s="8">
        <v>803660999</v>
      </c>
      <c r="O7293" s="8">
        <v>602778039</v>
      </c>
      <c r="P7293" s="8">
        <v>0</v>
      </c>
      <c r="Q7293" s="8" t="str">
        <f t="shared" si="2665"/>
        <v>公安委員会</v>
      </c>
      <c r="R7293" s="8" t="str">
        <f t="shared" ref="R7293:R7299" si="2670">"大淀警察署"</f>
        <v>大淀警察署</v>
      </c>
    </row>
    <row r="7294" spans="1:18" x14ac:dyDescent="0.45">
      <c r="A7294" s="8" t="str">
        <f>"11523000000"</f>
        <v>11523000000</v>
      </c>
      <c r="B7294" s="8" t="str">
        <f>"大淀警察署"</f>
        <v>大淀警察署</v>
      </c>
      <c r="C7294" s="8" t="str">
        <f t="shared" si="2667"/>
        <v>行政財産</v>
      </c>
      <c r="D7294" s="8" t="str">
        <f t="shared" si="2669"/>
        <v>警察（消防）施設</v>
      </c>
      <c r="E7294" s="8" t="str">
        <f>"大阪府大阪市　北区中津１丁目"</f>
        <v>大阪府大阪市　北区中津１丁目</v>
      </c>
      <c r="F7294" s="8"/>
      <c r="G7294" s="8" t="str">
        <f t="shared" si="2660"/>
        <v>事業用資産</v>
      </c>
      <c r="H7294" s="8" t="str">
        <f t="shared" si="2653"/>
        <v>棚卸以外</v>
      </c>
      <c r="I7294" s="8">
        <v>14</v>
      </c>
      <c r="J7294" s="8" t="str">
        <f>"二輪車置場・倉庫"</f>
        <v>二輪車置場・倉庫</v>
      </c>
      <c r="K7294" s="8" t="str">
        <f>"鉄骨造"</f>
        <v>鉄骨造</v>
      </c>
      <c r="L7294" s="8" t="str">
        <f>"S60.03.30"</f>
        <v>S60.03.30</v>
      </c>
      <c r="M7294" s="8">
        <v>128.54</v>
      </c>
      <c r="N7294" s="8">
        <v>19834050</v>
      </c>
      <c r="O7294" s="8">
        <v>19682100</v>
      </c>
      <c r="P7294" s="8">
        <v>0</v>
      </c>
      <c r="Q7294" s="8" t="str">
        <f t="shared" si="2665"/>
        <v>公安委員会</v>
      </c>
      <c r="R7294" s="8" t="str">
        <f t="shared" si="2670"/>
        <v>大淀警察署</v>
      </c>
    </row>
    <row r="7295" spans="1:18" x14ac:dyDescent="0.45">
      <c r="A7295" s="8" t="str">
        <f>"11523000000"</f>
        <v>11523000000</v>
      </c>
      <c r="B7295" s="8" t="str">
        <f>"大淀警察署"</f>
        <v>大淀警察署</v>
      </c>
      <c r="C7295" s="8" t="str">
        <f t="shared" si="2667"/>
        <v>行政財産</v>
      </c>
      <c r="D7295" s="8" t="str">
        <f t="shared" si="2669"/>
        <v>警察（消防）施設</v>
      </c>
      <c r="E7295" s="8" t="str">
        <f>"大阪府大阪市　北区中津１丁目"</f>
        <v>大阪府大阪市　北区中津１丁目</v>
      </c>
      <c r="F7295" s="8"/>
      <c r="G7295" s="8" t="str">
        <f t="shared" si="2660"/>
        <v>事業用資産</v>
      </c>
      <c r="H7295" s="8" t="str">
        <f t="shared" si="2653"/>
        <v>棚卸以外</v>
      </c>
      <c r="I7295" s="8">
        <v>16</v>
      </c>
      <c r="J7295" s="8" t="str">
        <f>"大型車庫"</f>
        <v>大型車庫</v>
      </c>
      <c r="K7295" s="8" t="str">
        <f>"鉄骨造"</f>
        <v>鉄骨造</v>
      </c>
      <c r="L7295" s="8" t="str">
        <f>"S61.03.31"</f>
        <v>S61.03.31</v>
      </c>
      <c r="M7295" s="8">
        <v>70.37</v>
      </c>
      <c r="N7295" s="8">
        <v>10880448</v>
      </c>
      <c r="O7295" s="8">
        <v>10880447</v>
      </c>
      <c r="P7295" s="8">
        <v>0</v>
      </c>
      <c r="Q7295" s="8" t="str">
        <f t="shared" si="2665"/>
        <v>公安委員会</v>
      </c>
      <c r="R7295" s="8" t="str">
        <f t="shared" si="2670"/>
        <v>大淀警察署</v>
      </c>
    </row>
    <row r="7296" spans="1:18" x14ac:dyDescent="0.45">
      <c r="A7296" s="8" t="str">
        <f>"11523000130"</f>
        <v>11523000130</v>
      </c>
      <c r="B7296" s="8" t="str">
        <f>"本庄交番"</f>
        <v>本庄交番</v>
      </c>
      <c r="C7296" s="8" t="str">
        <f t="shared" si="2667"/>
        <v>行政財産</v>
      </c>
      <c r="D7296" s="8" t="str">
        <f t="shared" si="2669"/>
        <v>警察（消防）施設</v>
      </c>
      <c r="E7296" s="8" t="str">
        <f>"大阪府大阪市　北区本庄西２丁目"</f>
        <v>大阪府大阪市　北区本庄西２丁目</v>
      </c>
      <c r="F7296" s="8"/>
      <c r="G7296" s="8" t="str">
        <f t="shared" si="2660"/>
        <v>事業用資産</v>
      </c>
      <c r="H7296" s="8" t="str">
        <f t="shared" si="2653"/>
        <v>棚卸以外</v>
      </c>
      <c r="I7296" s="8">
        <v>2</v>
      </c>
      <c r="J7296" s="8" t="str">
        <f>"本庄交番"</f>
        <v>本庄交番</v>
      </c>
      <c r="K7296" s="8" t="str">
        <f>"軽量鉄骨造"</f>
        <v>軽量鉄骨造</v>
      </c>
      <c r="L7296" s="8" t="str">
        <f>"H30.02.05"</f>
        <v>H30.02.05</v>
      </c>
      <c r="M7296" s="8">
        <v>46.8</v>
      </c>
      <c r="N7296" s="8">
        <v>24076215</v>
      </c>
      <c r="O7296" s="8">
        <v>4725100</v>
      </c>
      <c r="P7296" s="8">
        <v>0</v>
      </c>
      <c r="Q7296" s="8" t="str">
        <f t="shared" si="2665"/>
        <v>公安委員会</v>
      </c>
      <c r="R7296" s="8" t="str">
        <f t="shared" si="2670"/>
        <v>大淀警察署</v>
      </c>
    </row>
    <row r="7297" spans="1:18" x14ac:dyDescent="0.45">
      <c r="A7297" s="8" t="str">
        <f>"11523000200"</f>
        <v>11523000200</v>
      </c>
      <c r="B7297" s="8" t="str">
        <f>"大淀南交番"</f>
        <v>大淀南交番</v>
      </c>
      <c r="C7297" s="8" t="str">
        <f t="shared" si="2667"/>
        <v>行政財産</v>
      </c>
      <c r="D7297" s="8" t="str">
        <f t="shared" si="2669"/>
        <v>警察（消防）施設</v>
      </c>
      <c r="E7297" s="8" t="str">
        <f>"大阪府大阪市　北区大淀南３丁目"</f>
        <v>大阪府大阪市　北区大淀南３丁目</v>
      </c>
      <c r="F7297" s="8"/>
      <c r="G7297" s="8" t="str">
        <f t="shared" si="2660"/>
        <v>事業用資産</v>
      </c>
      <c r="H7297" s="8" t="str">
        <f t="shared" si="2653"/>
        <v>棚卸以外</v>
      </c>
      <c r="I7297" s="8">
        <v>1</v>
      </c>
      <c r="J7297" s="8" t="str">
        <f>"大淀南交番"</f>
        <v>大淀南交番</v>
      </c>
      <c r="K7297" s="8" t="str">
        <f>"鉄筋コンクリート造"</f>
        <v>鉄筋コンクリート造</v>
      </c>
      <c r="L7297" s="8" t="str">
        <f>"S45.11.02"</f>
        <v>S45.11.02</v>
      </c>
      <c r="M7297" s="8">
        <v>59.6</v>
      </c>
      <c r="N7297" s="8">
        <v>3853000</v>
      </c>
      <c r="O7297" s="8">
        <v>3852999</v>
      </c>
      <c r="P7297" s="8">
        <v>0</v>
      </c>
      <c r="Q7297" s="8" t="str">
        <f t="shared" si="2665"/>
        <v>公安委員会</v>
      </c>
      <c r="R7297" s="8" t="str">
        <f t="shared" si="2670"/>
        <v>大淀警察署</v>
      </c>
    </row>
    <row r="7298" spans="1:18" x14ac:dyDescent="0.45">
      <c r="A7298" s="8" t="str">
        <f>"11523000210"</f>
        <v>11523000210</v>
      </c>
      <c r="B7298" s="8" t="str">
        <f>"さざなみ交番"</f>
        <v>さざなみ交番</v>
      </c>
      <c r="C7298" s="8" t="str">
        <f t="shared" si="2667"/>
        <v>行政財産</v>
      </c>
      <c r="D7298" s="8" t="str">
        <f t="shared" si="2669"/>
        <v>警察（消防）施設</v>
      </c>
      <c r="E7298" s="8" t="str">
        <f>"大阪府大阪市　北区長柄東２丁目"</f>
        <v>大阪府大阪市　北区長柄東２丁目</v>
      </c>
      <c r="F7298" s="8"/>
      <c r="G7298" s="8" t="str">
        <f t="shared" si="2660"/>
        <v>事業用資産</v>
      </c>
      <c r="H7298" s="8" t="str">
        <f t="shared" si="2653"/>
        <v>棚卸以外</v>
      </c>
      <c r="I7298" s="8">
        <v>1</v>
      </c>
      <c r="J7298" s="8" t="str">
        <f>"さざなみ交番"</f>
        <v>さざなみ交番</v>
      </c>
      <c r="K7298" s="8" t="str">
        <f>"鉄筋コンクリート造"</f>
        <v>鉄筋コンクリート造</v>
      </c>
      <c r="L7298" s="8" t="str">
        <f>"H05.03.30"</f>
        <v>H05.03.30</v>
      </c>
      <c r="M7298" s="8">
        <v>53</v>
      </c>
      <c r="N7298" s="8">
        <v>19024000</v>
      </c>
      <c r="O7298" s="8">
        <v>11414520</v>
      </c>
      <c r="P7298" s="8">
        <v>0</v>
      </c>
      <c r="Q7298" s="8" t="str">
        <f t="shared" si="2665"/>
        <v>公安委員会</v>
      </c>
      <c r="R7298" s="8" t="str">
        <f t="shared" si="2670"/>
        <v>大淀警察署</v>
      </c>
    </row>
    <row r="7299" spans="1:18" x14ac:dyDescent="0.45">
      <c r="A7299" s="8" t="str">
        <f>"11523000210"</f>
        <v>11523000210</v>
      </c>
      <c r="B7299" s="8" t="str">
        <f>"さざなみ交番"</f>
        <v>さざなみ交番</v>
      </c>
      <c r="C7299" s="8" t="str">
        <f t="shared" si="2667"/>
        <v>行政財産</v>
      </c>
      <c r="D7299" s="8" t="str">
        <f t="shared" si="2669"/>
        <v>警察（消防）施設</v>
      </c>
      <c r="E7299" s="8" t="str">
        <f>"大阪府大阪市　北区長柄東２丁目"</f>
        <v>大阪府大阪市　北区長柄東２丁目</v>
      </c>
      <c r="F7299" s="8"/>
      <c r="G7299" s="8" t="str">
        <f t="shared" si="2660"/>
        <v>事業用資産</v>
      </c>
      <c r="H7299" s="8" t="str">
        <f t="shared" si="2653"/>
        <v>棚卸以外</v>
      </c>
      <c r="I7299" s="8">
        <v>2</v>
      </c>
      <c r="J7299" s="8" t="str">
        <f>"自転車置場"</f>
        <v>自転車置場</v>
      </c>
      <c r="K7299" s="8" t="str">
        <f>"土蔵造(簡易建物)"</f>
        <v>土蔵造(簡易建物)</v>
      </c>
      <c r="L7299" s="8" t="str">
        <f>"H05.03.30"</f>
        <v>H05.03.30</v>
      </c>
      <c r="M7299" s="8">
        <v>4.8600000000000003</v>
      </c>
      <c r="N7299" s="8">
        <v>481000</v>
      </c>
      <c r="O7299" s="8">
        <v>480999</v>
      </c>
      <c r="P7299" s="8">
        <v>0</v>
      </c>
      <c r="Q7299" s="8" t="str">
        <f t="shared" si="2665"/>
        <v>公安委員会</v>
      </c>
      <c r="R7299" s="8" t="str">
        <f t="shared" si="2670"/>
        <v>大淀警察署</v>
      </c>
    </row>
    <row r="7300" spans="1:18" ht="26.4" x14ac:dyDescent="0.45">
      <c r="A7300" s="8" t="str">
        <f>"11524000000"</f>
        <v>11524000000</v>
      </c>
      <c r="B7300" s="8" t="str">
        <f>"曽根崎警察署"</f>
        <v>曽根崎警察署</v>
      </c>
      <c r="C7300" s="8" t="str">
        <f t="shared" si="2667"/>
        <v>行政財産</v>
      </c>
      <c r="D7300" s="8" t="str">
        <f t="shared" si="2669"/>
        <v>警察（消防）施設</v>
      </c>
      <c r="E7300" s="8" t="str">
        <f>"大阪府大阪市　北区曾根崎２丁目"</f>
        <v>大阪府大阪市　北区曾根崎２丁目</v>
      </c>
      <c r="F7300" s="8"/>
      <c r="G7300" s="8" t="str">
        <f t="shared" si="2660"/>
        <v>事業用資産</v>
      </c>
      <c r="H7300" s="8" t="str">
        <f t="shared" ref="H7300:H7363" si="2671">"棚卸以外"</f>
        <v>棚卸以外</v>
      </c>
      <c r="I7300" s="8">
        <v>17</v>
      </c>
      <c r="J7300" s="8" t="str">
        <f>"庁舎"</f>
        <v>庁舎</v>
      </c>
      <c r="K7300" s="8" t="str">
        <f>"鉄骨鉄筋コンクリート造"</f>
        <v>鉄骨鉄筋コンクリート造</v>
      </c>
      <c r="L7300" s="8" t="str">
        <f>"S48.03.28"</f>
        <v>S48.03.28</v>
      </c>
      <c r="M7300" s="8">
        <v>13477.48</v>
      </c>
      <c r="N7300" s="8">
        <v>2444233177</v>
      </c>
      <c r="O7300" s="8">
        <v>830776237</v>
      </c>
      <c r="P7300" s="8">
        <v>0</v>
      </c>
      <c r="Q7300" s="8" t="str">
        <f t="shared" si="2665"/>
        <v>公安委員会</v>
      </c>
      <c r="R7300" s="8" t="str">
        <f t="shared" ref="R7300:R7308" si="2672">"曽根崎警察署"</f>
        <v>曽根崎警察署</v>
      </c>
    </row>
    <row r="7301" spans="1:18" x14ac:dyDescent="0.45">
      <c r="A7301" s="8" t="str">
        <f>"11524000120"</f>
        <v>11524000120</v>
      </c>
      <c r="B7301" s="8" t="str">
        <f>"天神橋五丁目交番"</f>
        <v>天神橋五丁目交番</v>
      </c>
      <c r="C7301" s="8" t="str">
        <f t="shared" si="2667"/>
        <v>行政財産</v>
      </c>
      <c r="D7301" s="8" t="str">
        <f t="shared" si="2669"/>
        <v>警察（消防）施設</v>
      </c>
      <c r="E7301" s="8" t="str">
        <f>"大阪府大阪市　北区天神橋５丁目"</f>
        <v>大阪府大阪市　北区天神橋５丁目</v>
      </c>
      <c r="F7301" s="8"/>
      <c r="G7301" s="8" t="str">
        <f t="shared" si="2660"/>
        <v>事業用資産</v>
      </c>
      <c r="H7301" s="8" t="str">
        <f t="shared" si="2671"/>
        <v>棚卸以外</v>
      </c>
      <c r="I7301" s="8">
        <v>2</v>
      </c>
      <c r="J7301" s="8" t="str">
        <f>"天神橋五丁目交番"</f>
        <v>天神橋五丁目交番</v>
      </c>
      <c r="K7301" s="8" t="str">
        <f>"鉄筋コンクリート造"</f>
        <v>鉄筋コンクリート造</v>
      </c>
      <c r="L7301" s="8" t="str">
        <f>"S42.01.27"</f>
        <v>S42.01.27</v>
      </c>
      <c r="M7301" s="8">
        <v>35.06</v>
      </c>
      <c r="N7301" s="8">
        <v>1909557</v>
      </c>
      <c r="O7301" s="8">
        <v>1839271</v>
      </c>
      <c r="P7301" s="8">
        <v>0</v>
      </c>
      <c r="Q7301" s="8" t="str">
        <f t="shared" si="2665"/>
        <v>公安委員会</v>
      </c>
      <c r="R7301" s="8" t="str">
        <f t="shared" si="2672"/>
        <v>曽根崎警察署</v>
      </c>
    </row>
    <row r="7302" spans="1:18" x14ac:dyDescent="0.45">
      <c r="A7302" s="8" t="str">
        <f>"11524000130"</f>
        <v>11524000130</v>
      </c>
      <c r="B7302" s="8" t="str">
        <f>"扇町公園交番"</f>
        <v>扇町公園交番</v>
      </c>
      <c r="C7302" s="8" t="str">
        <f t="shared" si="2667"/>
        <v>行政財産</v>
      </c>
      <c r="D7302" s="8" t="str">
        <f t="shared" si="2669"/>
        <v>警察（消防）施設</v>
      </c>
      <c r="E7302" s="8" t="str">
        <f>"大阪府大阪市　北区扇町１丁目"</f>
        <v>大阪府大阪市　北区扇町１丁目</v>
      </c>
      <c r="F7302" s="8"/>
      <c r="G7302" s="8" t="str">
        <f t="shared" si="2660"/>
        <v>事業用資産</v>
      </c>
      <c r="H7302" s="8" t="str">
        <f t="shared" si="2671"/>
        <v>棚卸以外</v>
      </c>
      <c r="I7302" s="8">
        <v>3</v>
      </c>
      <c r="J7302" s="8" t="str">
        <f>"扇町公園交番"</f>
        <v>扇町公園交番</v>
      </c>
      <c r="K7302" s="8" t="str">
        <f>"鉄骨造"</f>
        <v>鉄骨造</v>
      </c>
      <c r="L7302" s="8" t="str">
        <f>"H06.12.16"</f>
        <v>H06.12.16</v>
      </c>
      <c r="M7302" s="8">
        <v>88.97</v>
      </c>
      <c r="N7302" s="8">
        <v>33096645</v>
      </c>
      <c r="O7302" s="8">
        <v>24553321</v>
      </c>
      <c r="P7302" s="8">
        <v>0</v>
      </c>
      <c r="Q7302" s="8" t="str">
        <f t="shared" si="2665"/>
        <v>公安委員会</v>
      </c>
      <c r="R7302" s="8" t="str">
        <f t="shared" si="2672"/>
        <v>曽根崎警察署</v>
      </c>
    </row>
    <row r="7303" spans="1:18" x14ac:dyDescent="0.45">
      <c r="A7303" s="8" t="str">
        <f>"11524000140"</f>
        <v>11524000140</v>
      </c>
      <c r="B7303" s="8" t="str">
        <f>"曽根崎二丁目交番"</f>
        <v>曽根崎二丁目交番</v>
      </c>
      <c r="C7303" s="8" t="str">
        <f t="shared" si="2667"/>
        <v>行政財産</v>
      </c>
      <c r="D7303" s="8" t="str">
        <f t="shared" si="2669"/>
        <v>警察（消防）施設</v>
      </c>
      <c r="E7303" s="8" t="str">
        <f>"大阪府大阪市　北区曾根崎２丁目"</f>
        <v>大阪府大阪市　北区曾根崎２丁目</v>
      </c>
      <c r="F7303" s="8"/>
      <c r="G7303" s="8" t="str">
        <f t="shared" si="2660"/>
        <v>事業用資産</v>
      </c>
      <c r="H7303" s="8" t="str">
        <f t="shared" si="2671"/>
        <v>棚卸以外</v>
      </c>
      <c r="I7303" s="8">
        <v>1</v>
      </c>
      <c r="J7303" s="8" t="str">
        <f>"曽根崎２丁目交番"</f>
        <v>曽根崎２丁目交番</v>
      </c>
      <c r="K7303" s="8" t="str">
        <f>"鉄筋コンクリート造"</f>
        <v>鉄筋コンクリート造</v>
      </c>
      <c r="L7303" s="8" t="str">
        <f>"S29.04.01"</f>
        <v>S29.04.01</v>
      </c>
      <c r="M7303" s="8">
        <v>27.9</v>
      </c>
      <c r="N7303" s="8">
        <v>1925548</v>
      </c>
      <c r="O7303" s="8">
        <v>1856270</v>
      </c>
      <c r="P7303" s="8">
        <v>0</v>
      </c>
      <c r="Q7303" s="8" t="str">
        <f t="shared" si="2665"/>
        <v>公安委員会</v>
      </c>
      <c r="R7303" s="8" t="str">
        <f t="shared" si="2672"/>
        <v>曽根崎警察署</v>
      </c>
    </row>
    <row r="7304" spans="1:18" x14ac:dyDescent="0.45">
      <c r="A7304" s="8" t="str">
        <f>"11524000160"</f>
        <v>11524000160</v>
      </c>
      <c r="B7304" s="8" t="str">
        <f>"兎我野町警ら連絡所"</f>
        <v>兎我野町警ら連絡所</v>
      </c>
      <c r="C7304" s="8" t="str">
        <f t="shared" si="2667"/>
        <v>行政財産</v>
      </c>
      <c r="D7304" s="8" t="str">
        <f t="shared" si="2669"/>
        <v>警察（消防）施設</v>
      </c>
      <c r="E7304" s="8" t="str">
        <f>"大阪府大阪市　北区兎我野町"</f>
        <v>大阪府大阪市　北区兎我野町</v>
      </c>
      <c r="F7304" s="8"/>
      <c r="G7304" s="8" t="str">
        <f t="shared" si="2660"/>
        <v>事業用資産</v>
      </c>
      <c r="H7304" s="8" t="str">
        <f t="shared" si="2671"/>
        <v>棚卸以外</v>
      </c>
      <c r="I7304" s="8">
        <v>1</v>
      </c>
      <c r="J7304" s="8" t="str">
        <f>"兎我野町警ら連絡所"</f>
        <v>兎我野町警ら連絡所</v>
      </c>
      <c r="K7304" s="8" t="str">
        <f>"木造"</f>
        <v>木造</v>
      </c>
      <c r="L7304" s="8" t="str">
        <f>"S36.01.18"</f>
        <v>S36.01.18</v>
      </c>
      <c r="M7304" s="8">
        <v>21.35</v>
      </c>
      <c r="N7304" s="8">
        <v>797500</v>
      </c>
      <c r="O7304" s="8">
        <v>797498</v>
      </c>
      <c r="P7304" s="8">
        <v>0</v>
      </c>
      <c r="Q7304" s="8" t="str">
        <f t="shared" si="2665"/>
        <v>公安委員会</v>
      </c>
      <c r="R7304" s="8" t="str">
        <f t="shared" si="2672"/>
        <v>曽根崎警察署</v>
      </c>
    </row>
    <row r="7305" spans="1:18" x14ac:dyDescent="0.45">
      <c r="A7305" s="8" t="str">
        <f>"11524000180"</f>
        <v>11524000180</v>
      </c>
      <c r="B7305" s="8" t="str">
        <f>"天神橋四丁目交番"</f>
        <v>天神橋四丁目交番</v>
      </c>
      <c r="C7305" s="8" t="str">
        <f t="shared" si="2667"/>
        <v>行政財産</v>
      </c>
      <c r="D7305" s="8" t="str">
        <f t="shared" si="2669"/>
        <v>警察（消防）施設</v>
      </c>
      <c r="E7305" s="8" t="str">
        <f>"大阪府大阪市　北区天神橋４丁目"</f>
        <v>大阪府大阪市　北区天神橋４丁目</v>
      </c>
      <c r="F7305" s="8"/>
      <c r="G7305" s="8" t="str">
        <f t="shared" si="2660"/>
        <v>事業用資産</v>
      </c>
      <c r="H7305" s="8" t="str">
        <f t="shared" si="2671"/>
        <v>棚卸以外</v>
      </c>
      <c r="I7305" s="8">
        <v>1</v>
      </c>
      <c r="J7305" s="8" t="str">
        <f>"天神橋四丁目交番"</f>
        <v>天神橋四丁目交番</v>
      </c>
      <c r="K7305" s="8" t="str">
        <f>"コンクリートブロック造"</f>
        <v>コンクリートブロック造</v>
      </c>
      <c r="L7305" s="8" t="str">
        <f>"S38.03.31"</f>
        <v>S38.03.31</v>
      </c>
      <c r="M7305" s="8">
        <v>30.64</v>
      </c>
      <c r="N7305" s="8">
        <v>1615689</v>
      </c>
      <c r="O7305" s="8">
        <v>1545279</v>
      </c>
      <c r="P7305" s="8">
        <v>0</v>
      </c>
      <c r="Q7305" s="8" t="str">
        <f t="shared" si="2665"/>
        <v>公安委員会</v>
      </c>
      <c r="R7305" s="8" t="str">
        <f t="shared" si="2672"/>
        <v>曽根崎警察署</v>
      </c>
    </row>
    <row r="7306" spans="1:18" x14ac:dyDescent="0.45">
      <c r="A7306" s="8" t="str">
        <f>"11524000190"</f>
        <v>11524000190</v>
      </c>
      <c r="B7306" s="8" t="str">
        <f>"黒崎町交番"</f>
        <v>黒崎町交番</v>
      </c>
      <c r="C7306" s="8" t="str">
        <f t="shared" si="2667"/>
        <v>行政財産</v>
      </c>
      <c r="D7306" s="8" t="str">
        <f t="shared" si="2669"/>
        <v>警察（消防）施設</v>
      </c>
      <c r="E7306" s="8" t="str">
        <f>"大阪府大阪市　北区黒崎町"</f>
        <v>大阪府大阪市　北区黒崎町</v>
      </c>
      <c r="F7306" s="8"/>
      <c r="G7306" s="8" t="str">
        <f t="shared" si="2660"/>
        <v>事業用資産</v>
      </c>
      <c r="H7306" s="8" t="str">
        <f t="shared" si="2671"/>
        <v>棚卸以外</v>
      </c>
      <c r="I7306" s="8">
        <v>1</v>
      </c>
      <c r="J7306" s="8" t="str">
        <f>"黒崎町交番"</f>
        <v>黒崎町交番</v>
      </c>
      <c r="K7306" s="8" t="str">
        <f>"鉄筋コンクリート造"</f>
        <v>鉄筋コンクリート造</v>
      </c>
      <c r="L7306" s="8" t="str">
        <f>"S43.03.30"</f>
        <v>S43.03.30</v>
      </c>
      <c r="M7306" s="8">
        <v>45.65</v>
      </c>
      <c r="N7306" s="8">
        <v>2637469</v>
      </c>
      <c r="O7306" s="8">
        <v>2567271</v>
      </c>
      <c r="P7306" s="8">
        <v>0</v>
      </c>
      <c r="Q7306" s="8" t="str">
        <f t="shared" si="2665"/>
        <v>公安委員会</v>
      </c>
      <c r="R7306" s="8" t="str">
        <f t="shared" si="2672"/>
        <v>曽根崎警察署</v>
      </c>
    </row>
    <row r="7307" spans="1:18" x14ac:dyDescent="0.45">
      <c r="A7307" s="8" t="str">
        <f>"11524000190"</f>
        <v>11524000190</v>
      </c>
      <c r="B7307" s="8" t="str">
        <f>"黒崎町交番"</f>
        <v>黒崎町交番</v>
      </c>
      <c r="C7307" s="8" t="str">
        <f t="shared" si="2667"/>
        <v>行政財産</v>
      </c>
      <c r="D7307" s="8" t="str">
        <f t="shared" si="2669"/>
        <v>警察（消防）施設</v>
      </c>
      <c r="E7307" s="8" t="str">
        <f>"大阪府大阪市　北区黒崎町"</f>
        <v>大阪府大阪市　北区黒崎町</v>
      </c>
      <c r="F7307" s="8"/>
      <c r="G7307" s="8" t="str">
        <f t="shared" si="2660"/>
        <v>事業用資産</v>
      </c>
      <c r="H7307" s="8" t="str">
        <f t="shared" si="2671"/>
        <v>棚卸以外</v>
      </c>
      <c r="I7307" s="8">
        <v>2</v>
      </c>
      <c r="J7307" s="8" t="str">
        <f>"自転車置場"</f>
        <v>自転車置場</v>
      </c>
      <c r="K7307" s="8" t="str">
        <f>"軽量鉄骨造"</f>
        <v>軽量鉄骨造</v>
      </c>
      <c r="L7307" s="8" t="str">
        <f>"S43.03.30"</f>
        <v>S43.03.30</v>
      </c>
      <c r="M7307" s="8">
        <v>7.6</v>
      </c>
      <c r="N7307" s="8">
        <v>125000</v>
      </c>
      <c r="O7307" s="8">
        <v>124999</v>
      </c>
      <c r="P7307" s="8">
        <v>0</v>
      </c>
      <c r="Q7307" s="8" t="str">
        <f t="shared" si="2665"/>
        <v>公安委員会</v>
      </c>
      <c r="R7307" s="8" t="str">
        <f t="shared" si="2672"/>
        <v>曽根崎警察署</v>
      </c>
    </row>
    <row r="7308" spans="1:18" x14ac:dyDescent="0.45">
      <c r="A7308" s="8" t="str">
        <f>"11524000220"</f>
        <v>11524000220</v>
      </c>
      <c r="B7308" s="8" t="str">
        <f>"阪急東通交番"</f>
        <v>阪急東通交番</v>
      </c>
      <c r="C7308" s="8" t="str">
        <f t="shared" si="2667"/>
        <v>行政財産</v>
      </c>
      <c r="D7308" s="8" t="str">
        <f t="shared" si="2669"/>
        <v>警察（消防）施設</v>
      </c>
      <c r="E7308" s="8" t="str">
        <f>"大阪府大阪市　北区小松原町"</f>
        <v>大阪府大阪市　北区小松原町</v>
      </c>
      <c r="F7308" s="8"/>
      <c r="G7308" s="8" t="str">
        <f t="shared" si="2660"/>
        <v>事業用資産</v>
      </c>
      <c r="H7308" s="8" t="str">
        <f t="shared" si="2671"/>
        <v>棚卸以外</v>
      </c>
      <c r="I7308" s="8">
        <v>1</v>
      </c>
      <c r="J7308" s="8" t="str">
        <f>"阪急東通交番"</f>
        <v>阪急東通交番</v>
      </c>
      <c r="K7308" s="8" t="str">
        <f>"鉄骨造"</f>
        <v>鉄骨造</v>
      </c>
      <c r="L7308" s="8" t="str">
        <f>"H05.03.31"</f>
        <v>H05.03.31</v>
      </c>
      <c r="M7308" s="8">
        <v>93.66</v>
      </c>
      <c r="N7308" s="8">
        <v>66674778</v>
      </c>
      <c r="O7308" s="8">
        <v>52611112</v>
      </c>
      <c r="P7308" s="8">
        <v>0</v>
      </c>
      <c r="Q7308" s="8" t="str">
        <f t="shared" si="2665"/>
        <v>公安委員会</v>
      </c>
      <c r="R7308" s="8" t="str">
        <f t="shared" si="2672"/>
        <v>曽根崎警察署</v>
      </c>
    </row>
    <row r="7309" spans="1:18" x14ac:dyDescent="0.45">
      <c r="A7309" s="8" t="str">
        <f>"11521001090"</f>
        <v>11521001090</v>
      </c>
      <c r="B7309" s="8" t="str">
        <f>"天満警察署　別館"</f>
        <v>天満警察署　別館</v>
      </c>
      <c r="C7309" s="8" t="str">
        <f t="shared" si="2667"/>
        <v>行政財産</v>
      </c>
      <c r="D7309" s="8" t="str">
        <f t="shared" si="2669"/>
        <v>警察（消防）施設</v>
      </c>
      <c r="E7309" s="8" t="str">
        <f>"大阪府大阪市　北区西天満１丁目"</f>
        <v>大阪府大阪市　北区西天満１丁目</v>
      </c>
      <c r="F7309" s="8"/>
      <c r="G7309" s="8" t="str">
        <f t="shared" si="2660"/>
        <v>事業用資産</v>
      </c>
      <c r="H7309" s="8" t="str">
        <f t="shared" si="2671"/>
        <v>棚卸以外</v>
      </c>
      <c r="I7309" s="8">
        <v>2</v>
      </c>
      <c r="J7309" s="8" t="str">
        <f>"別館"</f>
        <v>別館</v>
      </c>
      <c r="K7309" s="8" t="str">
        <f>"鉄骨造"</f>
        <v>鉄骨造</v>
      </c>
      <c r="L7309" s="8" t="str">
        <f>"H29.08.31"</f>
        <v>H29.08.31</v>
      </c>
      <c r="M7309" s="8">
        <v>354.67</v>
      </c>
      <c r="N7309" s="8">
        <v>173495882</v>
      </c>
      <c r="O7309" s="8">
        <v>35052773</v>
      </c>
      <c r="P7309" s="8">
        <v>0</v>
      </c>
      <c r="Q7309" s="8" t="str">
        <f t="shared" si="2665"/>
        <v>公安委員会</v>
      </c>
      <c r="R7309" s="8" t="str">
        <f t="shared" ref="R7309:R7315" si="2673">"天満警察署"</f>
        <v>天満警察署</v>
      </c>
    </row>
    <row r="7310" spans="1:18" ht="26.4" x14ac:dyDescent="0.45">
      <c r="A7310" s="8" t="str">
        <f>"11525000000"</f>
        <v>11525000000</v>
      </c>
      <c r="B7310" s="8" t="str">
        <f>"天満警察署"</f>
        <v>天満警察署</v>
      </c>
      <c r="C7310" s="8" t="str">
        <f t="shared" si="2667"/>
        <v>行政財産</v>
      </c>
      <c r="D7310" s="8" t="str">
        <f t="shared" si="2669"/>
        <v>警察（消防）施設</v>
      </c>
      <c r="E7310" s="8" t="str">
        <f>"大阪府大阪市　北区西天満１丁目"</f>
        <v>大阪府大阪市　北区西天満１丁目</v>
      </c>
      <c r="F7310" s="8"/>
      <c r="G7310" s="8" t="str">
        <f t="shared" si="2660"/>
        <v>事業用資産</v>
      </c>
      <c r="H7310" s="8" t="str">
        <f t="shared" si="2671"/>
        <v>棚卸以外</v>
      </c>
      <c r="I7310" s="8">
        <v>15</v>
      </c>
      <c r="J7310" s="8" t="str">
        <f>"庁舎"</f>
        <v>庁舎</v>
      </c>
      <c r="K7310" s="8" t="str">
        <f>"鉄骨鉄筋コンクリート造"</f>
        <v>鉄骨鉄筋コンクリート造</v>
      </c>
      <c r="L7310" s="8" t="str">
        <f>"H29.08.31"</f>
        <v>H29.08.31</v>
      </c>
      <c r="M7310" s="8">
        <v>5908.9</v>
      </c>
      <c r="N7310" s="8">
        <v>2387168062</v>
      </c>
      <c r="O7310" s="8">
        <v>462771448</v>
      </c>
      <c r="P7310" s="8">
        <v>0</v>
      </c>
      <c r="Q7310" s="8" t="str">
        <f t="shared" si="2665"/>
        <v>公安委員会</v>
      </c>
      <c r="R7310" s="8" t="str">
        <f t="shared" si="2673"/>
        <v>天満警察署</v>
      </c>
    </row>
    <row r="7311" spans="1:18" x14ac:dyDescent="0.45">
      <c r="A7311" s="8" t="str">
        <f>"11525000130"</f>
        <v>11525000130</v>
      </c>
      <c r="B7311" s="8" t="str">
        <f>"天神橋北交番"</f>
        <v>天神橋北交番</v>
      </c>
      <c r="C7311" s="8" t="str">
        <f t="shared" si="2667"/>
        <v>行政財産</v>
      </c>
      <c r="D7311" s="8" t="str">
        <f t="shared" si="2669"/>
        <v>警察（消防）施設</v>
      </c>
      <c r="E7311" s="8" t="str">
        <f>"大阪府大阪市　北区天神橋１丁目"</f>
        <v>大阪府大阪市　北区天神橋１丁目</v>
      </c>
      <c r="F7311" s="8"/>
      <c r="G7311" s="8" t="str">
        <f t="shared" si="2660"/>
        <v>事業用資産</v>
      </c>
      <c r="H7311" s="8" t="str">
        <f t="shared" si="2671"/>
        <v>棚卸以外</v>
      </c>
      <c r="I7311" s="8">
        <v>2</v>
      </c>
      <c r="J7311" s="8" t="str">
        <f>"天神橋北交番"</f>
        <v>天神橋北交番</v>
      </c>
      <c r="K7311" s="8" t="str">
        <f>"鉄筋コンクリート造"</f>
        <v>鉄筋コンクリート造</v>
      </c>
      <c r="L7311" s="8" t="str">
        <f>"S44.03.29"</f>
        <v>S44.03.29</v>
      </c>
      <c r="M7311" s="8">
        <v>87.13</v>
      </c>
      <c r="N7311" s="8">
        <v>4128000</v>
      </c>
      <c r="O7311" s="8">
        <v>4055279</v>
      </c>
      <c r="P7311" s="8">
        <v>0</v>
      </c>
      <c r="Q7311" s="8" t="str">
        <f t="shared" si="2665"/>
        <v>公安委員会</v>
      </c>
      <c r="R7311" s="8" t="str">
        <f t="shared" si="2673"/>
        <v>天満警察署</v>
      </c>
    </row>
    <row r="7312" spans="1:18" x14ac:dyDescent="0.45">
      <c r="A7312" s="8" t="str">
        <f>"11525000140"</f>
        <v>11525000140</v>
      </c>
      <c r="B7312" s="8" t="str">
        <f>"天満橋北警ら連絡所"</f>
        <v>天満橋北警ら連絡所</v>
      </c>
      <c r="C7312" s="8" t="str">
        <f t="shared" si="2667"/>
        <v>行政財産</v>
      </c>
      <c r="D7312" s="8" t="str">
        <f t="shared" si="2669"/>
        <v>警察（消防）施設</v>
      </c>
      <c r="E7312" s="8" t="str">
        <f>"大阪府大阪市　北区天満１丁目"</f>
        <v>大阪府大阪市　北区天満１丁目</v>
      </c>
      <c r="F7312" s="8"/>
      <c r="G7312" s="8" t="str">
        <f t="shared" si="2660"/>
        <v>事業用資産</v>
      </c>
      <c r="H7312" s="8" t="str">
        <f t="shared" si="2671"/>
        <v>棚卸以外</v>
      </c>
      <c r="I7312" s="8">
        <v>1</v>
      </c>
      <c r="J7312" s="8" t="str">
        <f>"天満橋北警ら連絡所"</f>
        <v>天満橋北警ら連絡所</v>
      </c>
      <c r="K7312" s="8" t="str">
        <f>"コンクリートブロック造"</f>
        <v>コンクリートブロック造</v>
      </c>
      <c r="L7312" s="8" t="str">
        <f>"S40.02.01"</f>
        <v>S40.02.01</v>
      </c>
      <c r="M7312" s="8">
        <v>24.72</v>
      </c>
      <c r="N7312" s="8">
        <v>1923000</v>
      </c>
      <c r="O7312" s="8">
        <v>1922999</v>
      </c>
      <c r="P7312" s="8">
        <v>0</v>
      </c>
      <c r="Q7312" s="8" t="str">
        <f t="shared" si="2665"/>
        <v>公安委員会</v>
      </c>
      <c r="R7312" s="8" t="str">
        <f t="shared" si="2673"/>
        <v>天満警察署</v>
      </c>
    </row>
    <row r="7313" spans="1:18" x14ac:dyDescent="0.45">
      <c r="A7313" s="8" t="str">
        <f>"11525000170"</f>
        <v>11525000170</v>
      </c>
      <c r="B7313" s="8" t="str">
        <f>"常安橋警ら連絡所"</f>
        <v>常安橋警ら連絡所</v>
      </c>
      <c r="C7313" s="8" t="str">
        <f t="shared" si="2667"/>
        <v>行政財産</v>
      </c>
      <c r="D7313" s="8" t="str">
        <f t="shared" si="2669"/>
        <v>警察（消防）施設</v>
      </c>
      <c r="E7313" s="8" t="str">
        <f>"大阪府大阪市　北区中之島４丁目"</f>
        <v>大阪府大阪市　北区中之島４丁目</v>
      </c>
      <c r="F7313" s="8"/>
      <c r="G7313" s="8" t="str">
        <f t="shared" si="2660"/>
        <v>事業用資産</v>
      </c>
      <c r="H7313" s="8" t="str">
        <f t="shared" si="2671"/>
        <v>棚卸以外</v>
      </c>
      <c r="I7313" s="8">
        <v>1</v>
      </c>
      <c r="J7313" s="8" t="str">
        <f>"常安橋警ら連絡所"</f>
        <v>常安橋警ら連絡所</v>
      </c>
      <c r="K7313" s="8" t="str">
        <f>"コンクリートブロック造"</f>
        <v>コンクリートブロック造</v>
      </c>
      <c r="L7313" s="8" t="str">
        <f>"S38.03.27"</f>
        <v>S38.03.27</v>
      </c>
      <c r="M7313" s="8">
        <v>20.39</v>
      </c>
      <c r="N7313" s="8">
        <v>955000</v>
      </c>
      <c r="O7313" s="8">
        <v>954999</v>
      </c>
      <c r="P7313" s="8">
        <v>0</v>
      </c>
      <c r="Q7313" s="8" t="str">
        <f t="shared" si="2665"/>
        <v>公安委員会</v>
      </c>
      <c r="R7313" s="8" t="str">
        <f t="shared" si="2673"/>
        <v>天満警察署</v>
      </c>
    </row>
    <row r="7314" spans="1:18" x14ac:dyDescent="0.45">
      <c r="A7314" s="8" t="str">
        <f>"11525000180"</f>
        <v>11525000180</v>
      </c>
      <c r="B7314" s="8" t="str">
        <f>"渡辺橋交番"</f>
        <v>渡辺橋交番</v>
      </c>
      <c r="C7314" s="8" t="str">
        <f t="shared" si="2667"/>
        <v>行政財産</v>
      </c>
      <c r="D7314" s="8" t="str">
        <f t="shared" si="2669"/>
        <v>警察（消防）施設</v>
      </c>
      <c r="E7314" s="8" t="str">
        <f>"大阪府大阪市　北区堂島浜２丁目"</f>
        <v>大阪府大阪市　北区堂島浜２丁目</v>
      </c>
      <c r="F7314" s="8"/>
      <c r="G7314" s="8" t="str">
        <f t="shared" si="2660"/>
        <v>事業用資産</v>
      </c>
      <c r="H7314" s="8" t="str">
        <f t="shared" si="2671"/>
        <v>棚卸以外</v>
      </c>
      <c r="I7314" s="8">
        <v>1</v>
      </c>
      <c r="J7314" s="8" t="str">
        <f>"渡辺橋交番"</f>
        <v>渡辺橋交番</v>
      </c>
      <c r="K7314" s="8" t="str">
        <f>"鉄骨造"</f>
        <v>鉄骨造</v>
      </c>
      <c r="L7314" s="8" t="str">
        <f>"S42.05.19"</f>
        <v>S42.05.19</v>
      </c>
      <c r="M7314" s="8">
        <v>53.69</v>
      </c>
      <c r="N7314" s="8">
        <v>5388000</v>
      </c>
      <c r="O7314" s="8">
        <v>5315279</v>
      </c>
      <c r="P7314" s="8">
        <v>0</v>
      </c>
      <c r="Q7314" s="8" t="str">
        <f t="shared" si="2665"/>
        <v>公安委員会</v>
      </c>
      <c r="R7314" s="8" t="str">
        <f t="shared" si="2673"/>
        <v>天満警察署</v>
      </c>
    </row>
    <row r="7315" spans="1:18" x14ac:dyDescent="0.45">
      <c r="A7315" s="8" t="str">
        <f>"11525000200"</f>
        <v>11525000200</v>
      </c>
      <c r="B7315" s="8" t="str">
        <f>"梅新南警察官詰所"</f>
        <v>梅新南警察官詰所</v>
      </c>
      <c r="C7315" s="8" t="str">
        <f t="shared" si="2667"/>
        <v>行政財産</v>
      </c>
      <c r="D7315" s="8" t="str">
        <f t="shared" si="2669"/>
        <v>警察（消防）施設</v>
      </c>
      <c r="E7315" s="8" t="str">
        <f>"大阪府大阪市　北区西天満４丁目"</f>
        <v>大阪府大阪市　北区西天満４丁目</v>
      </c>
      <c r="F7315" s="8"/>
      <c r="G7315" s="8" t="str">
        <f t="shared" si="2660"/>
        <v>事業用資産</v>
      </c>
      <c r="H7315" s="8" t="str">
        <f t="shared" si="2671"/>
        <v>棚卸以外</v>
      </c>
      <c r="I7315" s="8">
        <v>1</v>
      </c>
      <c r="J7315" s="8" t="str">
        <f>"梅新南警察官詰所"</f>
        <v>梅新南警察官詰所</v>
      </c>
      <c r="K7315" s="8" t="str">
        <f>"鉄骨造"</f>
        <v>鉄骨造</v>
      </c>
      <c r="L7315" s="8" t="str">
        <f>"S61.09.19"</f>
        <v>S61.09.19</v>
      </c>
      <c r="M7315" s="8">
        <v>45</v>
      </c>
      <c r="N7315" s="8">
        <v>31144544</v>
      </c>
      <c r="O7315" s="8">
        <v>29810751</v>
      </c>
      <c r="P7315" s="8">
        <v>0</v>
      </c>
      <c r="Q7315" s="8" t="str">
        <f t="shared" si="2665"/>
        <v>公安委員会</v>
      </c>
      <c r="R7315" s="8" t="str">
        <f t="shared" si="2673"/>
        <v>天満警察署</v>
      </c>
    </row>
    <row r="7316" spans="1:18" x14ac:dyDescent="0.45">
      <c r="A7316" s="8" t="str">
        <f>"11526000000"</f>
        <v>11526000000</v>
      </c>
      <c r="B7316" s="8" t="str">
        <f>"都島警察署"</f>
        <v>都島警察署</v>
      </c>
      <c r="C7316" s="8" t="str">
        <f t="shared" si="2667"/>
        <v>行政財産</v>
      </c>
      <c r="D7316" s="8" t="str">
        <f t="shared" si="2669"/>
        <v>警察（消防）施設</v>
      </c>
      <c r="E7316" s="8" t="str">
        <f>"大阪府大阪市　都島区都島北通１丁目"</f>
        <v>大阪府大阪市　都島区都島北通１丁目</v>
      </c>
      <c r="F7316" s="8"/>
      <c r="G7316" s="8" t="str">
        <f t="shared" si="2660"/>
        <v>事業用資産</v>
      </c>
      <c r="H7316" s="8" t="str">
        <f t="shared" si="2671"/>
        <v>棚卸以外</v>
      </c>
      <c r="I7316" s="8">
        <v>51</v>
      </c>
      <c r="J7316" s="8" t="str">
        <f>"庁舎"</f>
        <v>庁舎</v>
      </c>
      <c r="K7316" s="8" t="str">
        <f>"鉄筋コンクリート造"</f>
        <v>鉄筋コンクリート造</v>
      </c>
      <c r="L7316" s="8" t="str">
        <f>"H12.09.04"</f>
        <v>H12.09.04</v>
      </c>
      <c r="M7316" s="8">
        <v>4685.37</v>
      </c>
      <c r="N7316" s="8">
        <v>1782678702</v>
      </c>
      <c r="O7316" s="8">
        <v>802171256</v>
      </c>
      <c r="P7316" s="8">
        <v>0</v>
      </c>
      <c r="Q7316" s="8" t="str">
        <f t="shared" si="2665"/>
        <v>公安委員会</v>
      </c>
      <c r="R7316" s="8" t="str">
        <f t="shared" ref="R7316:R7323" si="2674">"都島警察署"</f>
        <v>都島警察署</v>
      </c>
    </row>
    <row r="7317" spans="1:18" x14ac:dyDescent="0.45">
      <c r="A7317" s="8" t="str">
        <f>"11526000000"</f>
        <v>11526000000</v>
      </c>
      <c r="B7317" s="8" t="str">
        <f>"都島警察署"</f>
        <v>都島警察署</v>
      </c>
      <c r="C7317" s="8" t="str">
        <f t="shared" si="2667"/>
        <v>行政財産</v>
      </c>
      <c r="D7317" s="8" t="str">
        <f t="shared" si="2669"/>
        <v>警察（消防）施設</v>
      </c>
      <c r="E7317" s="8" t="str">
        <f>"大阪府大阪市　都島区都島北通１丁目"</f>
        <v>大阪府大阪市　都島区都島北通１丁目</v>
      </c>
      <c r="F7317" s="8"/>
      <c r="G7317" s="8" t="str">
        <f t="shared" si="2660"/>
        <v>事業用資産</v>
      </c>
      <c r="H7317" s="8" t="str">
        <f t="shared" si="2671"/>
        <v>棚卸以外</v>
      </c>
      <c r="I7317" s="8">
        <v>52</v>
      </c>
      <c r="J7317" s="8" t="str">
        <f>"ゴミ置場"</f>
        <v>ゴミ置場</v>
      </c>
      <c r="K7317" s="8" t="str">
        <f>"鉄筋コンクリート造"</f>
        <v>鉄筋コンクリート造</v>
      </c>
      <c r="L7317" s="8" t="str">
        <f>"H12.09.04"</f>
        <v>H12.09.04</v>
      </c>
      <c r="M7317" s="8">
        <v>4.83</v>
      </c>
      <c r="N7317" s="8">
        <v>1830000</v>
      </c>
      <c r="O7317" s="8">
        <v>1083780</v>
      </c>
      <c r="P7317" s="8">
        <v>0</v>
      </c>
      <c r="Q7317" s="8" t="str">
        <f t="shared" si="2665"/>
        <v>公安委員会</v>
      </c>
      <c r="R7317" s="8" t="str">
        <f t="shared" si="2674"/>
        <v>都島警察署</v>
      </c>
    </row>
    <row r="7318" spans="1:18" x14ac:dyDescent="0.45">
      <c r="A7318" s="8" t="str">
        <f>"11526000140"</f>
        <v>11526000140</v>
      </c>
      <c r="B7318" s="8" t="str">
        <f>"中野町交番"</f>
        <v>中野町交番</v>
      </c>
      <c r="C7318" s="8" t="str">
        <f t="shared" si="2667"/>
        <v>行政財産</v>
      </c>
      <c r="D7318" s="8" t="str">
        <f t="shared" si="2669"/>
        <v>警察（消防）施設</v>
      </c>
      <c r="E7318" s="8" t="str">
        <f>"大阪府大阪市　都島区中野町４丁目"</f>
        <v>大阪府大阪市　都島区中野町４丁目</v>
      </c>
      <c r="F7318" s="8"/>
      <c r="G7318" s="8" t="str">
        <f t="shared" si="2660"/>
        <v>事業用資産</v>
      </c>
      <c r="H7318" s="8" t="str">
        <f t="shared" si="2671"/>
        <v>棚卸以外</v>
      </c>
      <c r="I7318" s="8">
        <v>3</v>
      </c>
      <c r="J7318" s="8" t="str">
        <f>"中野町交番"</f>
        <v>中野町交番</v>
      </c>
      <c r="K7318" s="8" t="str">
        <f>"鉄骨造"</f>
        <v>鉄骨造</v>
      </c>
      <c r="L7318" s="8" t="str">
        <f>"S55.03.26"</f>
        <v>S55.03.26</v>
      </c>
      <c r="M7318" s="8">
        <v>50.4</v>
      </c>
      <c r="N7318" s="8">
        <v>16829378</v>
      </c>
      <c r="O7318" s="8">
        <v>16804391</v>
      </c>
      <c r="P7318" s="8">
        <v>0</v>
      </c>
      <c r="Q7318" s="8" t="str">
        <f t="shared" si="2665"/>
        <v>公安委員会</v>
      </c>
      <c r="R7318" s="8" t="str">
        <f t="shared" si="2674"/>
        <v>都島警察署</v>
      </c>
    </row>
    <row r="7319" spans="1:18" x14ac:dyDescent="0.45">
      <c r="A7319" s="8" t="str">
        <f>"11526000200"</f>
        <v>11526000200</v>
      </c>
      <c r="B7319" s="8" t="str">
        <f>"淀川交番"</f>
        <v>淀川交番</v>
      </c>
      <c r="C7319" s="8" t="str">
        <f t="shared" si="2667"/>
        <v>行政財産</v>
      </c>
      <c r="D7319" s="8" t="str">
        <f t="shared" si="2669"/>
        <v>警察（消防）施設</v>
      </c>
      <c r="E7319" s="8" t="str">
        <f>"大阪府大阪市　都島区毛馬町４丁目"</f>
        <v>大阪府大阪市　都島区毛馬町４丁目</v>
      </c>
      <c r="F7319" s="8"/>
      <c r="G7319" s="8" t="str">
        <f t="shared" ref="G7319:G7382" si="2675">"事業用資産"</f>
        <v>事業用資産</v>
      </c>
      <c r="H7319" s="8" t="str">
        <f t="shared" si="2671"/>
        <v>棚卸以外</v>
      </c>
      <c r="I7319" s="8">
        <v>3</v>
      </c>
      <c r="J7319" s="8" t="str">
        <f>"淀川交番"</f>
        <v>淀川交番</v>
      </c>
      <c r="K7319" s="8" t="str">
        <f>"鉄筋コンクリート造"</f>
        <v>鉄筋コンクリート造</v>
      </c>
      <c r="L7319" s="8" t="str">
        <f>"H05.03.15"</f>
        <v>H05.03.15</v>
      </c>
      <c r="M7319" s="8">
        <v>52.92</v>
      </c>
      <c r="N7319" s="8">
        <v>19571642</v>
      </c>
      <c r="O7319" s="8">
        <v>11735388</v>
      </c>
      <c r="P7319" s="8">
        <v>0</v>
      </c>
      <c r="Q7319" s="8" t="str">
        <f t="shared" si="2665"/>
        <v>公安委員会</v>
      </c>
      <c r="R7319" s="8" t="str">
        <f t="shared" si="2674"/>
        <v>都島警察署</v>
      </c>
    </row>
    <row r="7320" spans="1:18" x14ac:dyDescent="0.45">
      <c r="A7320" s="8" t="str">
        <f>"11526000220"</f>
        <v>11526000220</v>
      </c>
      <c r="B7320" s="8" t="str">
        <f>"都島本通交番"</f>
        <v>都島本通交番</v>
      </c>
      <c r="C7320" s="8" t="str">
        <f t="shared" si="2667"/>
        <v>行政財産</v>
      </c>
      <c r="D7320" s="8" t="str">
        <f t="shared" si="2669"/>
        <v>警察（消防）施設</v>
      </c>
      <c r="E7320" s="8" t="str">
        <f>"大阪府大阪市　都島区善源寺町１丁目"</f>
        <v>大阪府大阪市　都島区善源寺町１丁目</v>
      </c>
      <c r="F7320" s="8"/>
      <c r="G7320" s="8" t="str">
        <f t="shared" si="2675"/>
        <v>事業用資産</v>
      </c>
      <c r="H7320" s="8" t="str">
        <f t="shared" si="2671"/>
        <v>棚卸以外</v>
      </c>
      <c r="I7320" s="8">
        <v>1</v>
      </c>
      <c r="J7320" s="8" t="str">
        <f>"都島本通交番"</f>
        <v>都島本通交番</v>
      </c>
      <c r="K7320" s="8" t="str">
        <f>"鉄筋コンクリート造"</f>
        <v>鉄筋コンクリート造</v>
      </c>
      <c r="L7320" s="8" t="str">
        <f>"S43.02.01"</f>
        <v>S43.02.01</v>
      </c>
      <c r="M7320" s="8">
        <v>45.65</v>
      </c>
      <c r="N7320" s="8">
        <v>2398236</v>
      </c>
      <c r="O7320" s="8">
        <v>2372695</v>
      </c>
      <c r="P7320" s="8">
        <v>0</v>
      </c>
      <c r="Q7320" s="8" t="str">
        <f t="shared" si="2665"/>
        <v>公安委員会</v>
      </c>
      <c r="R7320" s="8" t="str">
        <f t="shared" si="2674"/>
        <v>都島警察署</v>
      </c>
    </row>
    <row r="7321" spans="1:18" x14ac:dyDescent="0.45">
      <c r="A7321" s="8" t="str">
        <f>"11526000240"</f>
        <v>11526000240</v>
      </c>
      <c r="B7321" s="8" t="str">
        <f>"善源寺パトカー分駐所"</f>
        <v>善源寺パトカー分駐所</v>
      </c>
      <c r="C7321" s="8" t="str">
        <f t="shared" si="2667"/>
        <v>行政財産</v>
      </c>
      <c r="D7321" s="8" t="str">
        <f t="shared" si="2669"/>
        <v>警察（消防）施設</v>
      </c>
      <c r="E7321" s="8" t="str">
        <f>"大阪府大阪市　都島区善源寺町１丁目"</f>
        <v>大阪府大阪市　都島区善源寺町１丁目</v>
      </c>
      <c r="F7321" s="8"/>
      <c r="G7321" s="8" t="str">
        <f t="shared" si="2675"/>
        <v>事業用資産</v>
      </c>
      <c r="H7321" s="8" t="str">
        <f t="shared" si="2671"/>
        <v>棚卸以外</v>
      </c>
      <c r="I7321" s="8">
        <v>1</v>
      </c>
      <c r="J7321" s="8" t="str">
        <f>"善源寺パトカー分駐所"</f>
        <v>善源寺パトカー分駐所</v>
      </c>
      <c r="K7321" s="8" t="str">
        <f>"軽量鉄骨造"</f>
        <v>軽量鉄骨造</v>
      </c>
      <c r="L7321" s="8" t="str">
        <f>"S44.01.24"</f>
        <v>S44.01.24</v>
      </c>
      <c r="M7321" s="8">
        <v>50</v>
      </c>
      <c r="N7321" s="8">
        <v>2445038</v>
      </c>
      <c r="O7321" s="8">
        <v>2219283</v>
      </c>
      <c r="P7321" s="8">
        <v>0</v>
      </c>
      <c r="Q7321" s="8" t="str">
        <f t="shared" si="2665"/>
        <v>公安委員会</v>
      </c>
      <c r="R7321" s="8" t="str">
        <f t="shared" si="2674"/>
        <v>都島警察署</v>
      </c>
    </row>
    <row r="7322" spans="1:18" x14ac:dyDescent="0.45">
      <c r="A7322" s="8" t="str">
        <f>"11526000260"</f>
        <v>11526000260</v>
      </c>
      <c r="B7322" s="8" t="str">
        <f>"京橋交番"</f>
        <v>京橋交番</v>
      </c>
      <c r="C7322" s="8" t="str">
        <f t="shared" si="2667"/>
        <v>行政財産</v>
      </c>
      <c r="D7322" s="8" t="str">
        <f t="shared" si="2669"/>
        <v>警察（消防）施設</v>
      </c>
      <c r="E7322" s="8" t="str">
        <f>"大阪府大阪市　都島区東野田町２丁目"</f>
        <v>大阪府大阪市　都島区東野田町２丁目</v>
      </c>
      <c r="F7322" s="8"/>
      <c r="G7322" s="8" t="str">
        <f t="shared" si="2675"/>
        <v>事業用資産</v>
      </c>
      <c r="H7322" s="8" t="str">
        <f t="shared" si="2671"/>
        <v>棚卸以外</v>
      </c>
      <c r="I7322" s="8">
        <v>1</v>
      </c>
      <c r="J7322" s="8" t="str">
        <f>"京橋交番"</f>
        <v>京橋交番</v>
      </c>
      <c r="K7322" s="8" t="str">
        <f>"コンクリートブロック造"</f>
        <v>コンクリートブロック造</v>
      </c>
      <c r="L7322" s="8" t="str">
        <f>"S45.07.15"</f>
        <v>S45.07.15</v>
      </c>
      <c r="M7322" s="8">
        <v>133.72</v>
      </c>
      <c r="N7322" s="8">
        <v>5315350</v>
      </c>
      <c r="O7322" s="8">
        <v>5270137</v>
      </c>
      <c r="P7322" s="8">
        <v>0</v>
      </c>
      <c r="Q7322" s="8" t="str">
        <f t="shared" si="2665"/>
        <v>公安委員会</v>
      </c>
      <c r="R7322" s="8" t="str">
        <f t="shared" si="2674"/>
        <v>都島警察署</v>
      </c>
    </row>
    <row r="7323" spans="1:18" x14ac:dyDescent="0.45">
      <c r="A7323" s="8" t="str">
        <f>"11526000270"</f>
        <v>11526000270</v>
      </c>
      <c r="B7323" s="8" t="str">
        <f>"友渕町交番"</f>
        <v>友渕町交番</v>
      </c>
      <c r="C7323" s="8" t="str">
        <f t="shared" si="2667"/>
        <v>行政財産</v>
      </c>
      <c r="D7323" s="8" t="str">
        <f t="shared" si="2669"/>
        <v>警察（消防）施設</v>
      </c>
      <c r="E7323" s="8" t="str">
        <f>"大阪府大阪市　都島区友渕町２丁目"</f>
        <v>大阪府大阪市　都島区友渕町２丁目</v>
      </c>
      <c r="F7323" s="8"/>
      <c r="G7323" s="8" t="str">
        <f t="shared" si="2675"/>
        <v>事業用資産</v>
      </c>
      <c r="H7323" s="8" t="str">
        <f t="shared" si="2671"/>
        <v>棚卸以外</v>
      </c>
      <c r="I7323" s="8">
        <v>1</v>
      </c>
      <c r="J7323" s="8" t="str">
        <f>"友渕町交番"</f>
        <v>友渕町交番</v>
      </c>
      <c r="K7323" s="8" t="str">
        <f>"鉄筋コンクリート造"</f>
        <v>鉄筋コンクリート造</v>
      </c>
      <c r="L7323" s="8" t="str">
        <f>"H03.03.30"</f>
        <v>H03.03.30</v>
      </c>
      <c r="M7323" s="8">
        <v>55.77</v>
      </c>
      <c r="N7323" s="8">
        <v>27069080</v>
      </c>
      <c r="O7323" s="8">
        <v>16947556</v>
      </c>
      <c r="P7323" s="8">
        <v>0</v>
      </c>
      <c r="Q7323" s="8" t="str">
        <f t="shared" si="2665"/>
        <v>公安委員会</v>
      </c>
      <c r="R7323" s="8" t="str">
        <f t="shared" si="2674"/>
        <v>都島警察署</v>
      </c>
    </row>
    <row r="7324" spans="1:18" x14ac:dyDescent="0.45">
      <c r="A7324" s="8" t="str">
        <f>"11527000000"</f>
        <v>11527000000</v>
      </c>
      <c r="B7324" s="8" t="s">
        <v>26</v>
      </c>
      <c r="C7324" s="8" t="str">
        <f t="shared" si="2667"/>
        <v>行政財産</v>
      </c>
      <c r="D7324" s="8" t="str">
        <f t="shared" si="2669"/>
        <v>警察（消防）施設</v>
      </c>
      <c r="E7324" s="8" t="s">
        <v>52</v>
      </c>
      <c r="F7324" s="8"/>
      <c r="G7324" s="8" t="str">
        <f t="shared" si="2675"/>
        <v>事業用資産</v>
      </c>
      <c r="H7324" s="8" t="str">
        <f t="shared" si="2671"/>
        <v>棚卸以外</v>
      </c>
      <c r="I7324" s="8">
        <v>12</v>
      </c>
      <c r="J7324" s="8" t="s">
        <v>26</v>
      </c>
      <c r="K7324" s="8" t="str">
        <f>"鉄骨造"</f>
        <v>鉄骨造</v>
      </c>
      <c r="L7324" s="8" t="str">
        <f>"H29.09.21"</f>
        <v>H29.09.21</v>
      </c>
      <c r="M7324" s="8">
        <v>83.6</v>
      </c>
      <c r="N7324" s="8">
        <v>46374758</v>
      </c>
      <c r="O7324" s="8">
        <v>9279336</v>
      </c>
      <c r="P7324" s="8">
        <v>0</v>
      </c>
      <c r="Q7324" s="8" t="str">
        <f t="shared" si="2665"/>
        <v>公安委員会</v>
      </c>
      <c r="R7324" s="8" t="str">
        <f t="shared" ref="R7324:R7333" si="2676">"福島警察署"</f>
        <v>福島警察署</v>
      </c>
    </row>
    <row r="7325" spans="1:18" x14ac:dyDescent="0.45">
      <c r="A7325" s="8" t="str">
        <f>"11527000100"</f>
        <v>11527000100</v>
      </c>
      <c r="B7325" s="8" t="str">
        <f>"淀川大橋警ら連絡所"</f>
        <v>淀川大橋警ら連絡所</v>
      </c>
      <c r="C7325" s="8" t="str">
        <f t="shared" si="2667"/>
        <v>行政財産</v>
      </c>
      <c r="D7325" s="8" t="str">
        <f t="shared" si="2669"/>
        <v>警察（消防）施設</v>
      </c>
      <c r="E7325" s="8" t="str">
        <f>"大阪府大阪市　福島区海老江８丁目"</f>
        <v>大阪府大阪市　福島区海老江８丁目</v>
      </c>
      <c r="F7325" s="8"/>
      <c r="G7325" s="8" t="str">
        <f t="shared" si="2675"/>
        <v>事業用資産</v>
      </c>
      <c r="H7325" s="8" t="str">
        <f t="shared" si="2671"/>
        <v>棚卸以外</v>
      </c>
      <c r="I7325" s="8">
        <v>1</v>
      </c>
      <c r="J7325" s="8" t="str">
        <f>"淀川大橋警ら連絡所"</f>
        <v>淀川大橋警ら連絡所</v>
      </c>
      <c r="K7325" s="8" t="str">
        <f>"鉄筋コンクリート造"</f>
        <v>鉄筋コンクリート造</v>
      </c>
      <c r="L7325" s="8" t="str">
        <f>"T08.04.01"</f>
        <v>T08.04.01</v>
      </c>
      <c r="M7325" s="8">
        <v>14.87</v>
      </c>
      <c r="N7325" s="8">
        <v>806117</v>
      </c>
      <c r="O7325" s="8">
        <v>595958</v>
      </c>
      <c r="P7325" s="8">
        <v>0</v>
      </c>
      <c r="Q7325" s="8" t="str">
        <f t="shared" si="2665"/>
        <v>公安委員会</v>
      </c>
      <c r="R7325" s="8" t="str">
        <f t="shared" si="2676"/>
        <v>福島警察署</v>
      </c>
    </row>
    <row r="7326" spans="1:18" x14ac:dyDescent="0.45">
      <c r="A7326" s="8" t="str">
        <f>"11527000220"</f>
        <v>11527000220</v>
      </c>
      <c r="B7326" s="8" t="str">
        <f>"上福島交通警察官詰所"</f>
        <v>上福島交通警察官詰所</v>
      </c>
      <c r="C7326" s="8" t="str">
        <f t="shared" si="2667"/>
        <v>行政財産</v>
      </c>
      <c r="D7326" s="8" t="str">
        <f t="shared" si="2669"/>
        <v>警察（消防）施設</v>
      </c>
      <c r="E7326" s="8" t="str">
        <f>"大阪府大阪市　福島区福島７丁目"</f>
        <v>大阪府大阪市　福島区福島７丁目</v>
      </c>
      <c r="F7326" s="8"/>
      <c r="G7326" s="8" t="str">
        <f t="shared" si="2675"/>
        <v>事業用資産</v>
      </c>
      <c r="H7326" s="8" t="str">
        <f t="shared" si="2671"/>
        <v>棚卸以外</v>
      </c>
      <c r="I7326" s="8">
        <v>1</v>
      </c>
      <c r="J7326" s="8" t="str">
        <f>"上福島交通警察官詰所"</f>
        <v>上福島交通警察官詰所</v>
      </c>
      <c r="K7326" s="8" t="str">
        <f>"コンクリートブロック造"</f>
        <v>コンクリートブロック造</v>
      </c>
      <c r="L7326" s="8" t="str">
        <f>"S43.03.28"</f>
        <v>S43.03.28</v>
      </c>
      <c r="M7326" s="8">
        <v>16.510000000000002</v>
      </c>
      <c r="N7326" s="8">
        <v>800000</v>
      </c>
      <c r="O7326" s="8">
        <v>799999</v>
      </c>
      <c r="P7326" s="8">
        <v>0</v>
      </c>
      <c r="Q7326" s="8" t="str">
        <f t="shared" si="2665"/>
        <v>公安委員会</v>
      </c>
      <c r="R7326" s="8" t="str">
        <f t="shared" si="2676"/>
        <v>福島警察署</v>
      </c>
    </row>
    <row r="7327" spans="1:18" x14ac:dyDescent="0.45">
      <c r="A7327" s="8" t="str">
        <f>"11527000230"</f>
        <v>11527000230</v>
      </c>
      <c r="B7327" s="8" t="str">
        <f>"福島交番"</f>
        <v>福島交番</v>
      </c>
      <c r="C7327" s="8" t="str">
        <f t="shared" si="2667"/>
        <v>行政財産</v>
      </c>
      <c r="D7327" s="8" t="str">
        <f t="shared" si="2669"/>
        <v>警察（消防）施設</v>
      </c>
      <c r="E7327" s="8" t="str">
        <f>"大阪府大阪市　福島区福島５丁目"</f>
        <v>大阪府大阪市　福島区福島５丁目</v>
      </c>
      <c r="F7327" s="8"/>
      <c r="G7327" s="8" t="str">
        <f t="shared" si="2675"/>
        <v>事業用資産</v>
      </c>
      <c r="H7327" s="8" t="str">
        <f t="shared" si="2671"/>
        <v>棚卸以外</v>
      </c>
      <c r="I7327" s="8">
        <v>2</v>
      </c>
      <c r="J7327" s="8" t="str">
        <f>"福島交番"</f>
        <v>福島交番</v>
      </c>
      <c r="K7327" s="8" t="str">
        <f>"鉄筋コンクリート造"</f>
        <v>鉄筋コンクリート造</v>
      </c>
      <c r="L7327" s="8" t="str">
        <f>"H07.11.17"</f>
        <v>H07.11.17</v>
      </c>
      <c r="M7327" s="8">
        <v>129.09</v>
      </c>
      <c r="N7327" s="8">
        <v>38310779</v>
      </c>
      <c r="O7327" s="8">
        <v>20935412</v>
      </c>
      <c r="P7327" s="8">
        <v>0</v>
      </c>
      <c r="Q7327" s="8" t="str">
        <f t="shared" si="2665"/>
        <v>公安委員会</v>
      </c>
      <c r="R7327" s="8" t="str">
        <f t="shared" si="2676"/>
        <v>福島警察署</v>
      </c>
    </row>
    <row r="7328" spans="1:18" x14ac:dyDescent="0.45">
      <c r="A7328" s="8" t="str">
        <f>"11527000240"</f>
        <v>11527000240</v>
      </c>
      <c r="B7328" s="8" t="str">
        <f>"海老江交番"</f>
        <v>海老江交番</v>
      </c>
      <c r="C7328" s="8" t="str">
        <f t="shared" si="2667"/>
        <v>行政財産</v>
      </c>
      <c r="D7328" s="8" t="str">
        <f t="shared" si="2669"/>
        <v>警察（消防）施設</v>
      </c>
      <c r="E7328" s="8" t="str">
        <f>"大阪府大阪市　福島区海老江６丁目"</f>
        <v>大阪府大阪市　福島区海老江６丁目</v>
      </c>
      <c r="F7328" s="8"/>
      <c r="G7328" s="8" t="str">
        <f t="shared" si="2675"/>
        <v>事業用資産</v>
      </c>
      <c r="H7328" s="8" t="str">
        <f t="shared" si="2671"/>
        <v>棚卸以外</v>
      </c>
      <c r="I7328" s="8">
        <v>1</v>
      </c>
      <c r="J7328" s="8" t="str">
        <f>"海老江交番"</f>
        <v>海老江交番</v>
      </c>
      <c r="K7328" s="8" t="str">
        <f>"鉄筋コンクリート造"</f>
        <v>鉄筋コンクリート造</v>
      </c>
      <c r="L7328" s="8" t="str">
        <f>"S48.03.30"</f>
        <v>S48.03.30</v>
      </c>
      <c r="M7328" s="8">
        <v>64.239999999999995</v>
      </c>
      <c r="N7328" s="8">
        <v>7284241</v>
      </c>
      <c r="O7328" s="8">
        <v>4504959</v>
      </c>
      <c r="P7328" s="8">
        <v>0</v>
      </c>
      <c r="Q7328" s="8" t="str">
        <f t="shared" si="2665"/>
        <v>公安委員会</v>
      </c>
      <c r="R7328" s="8" t="str">
        <f t="shared" si="2676"/>
        <v>福島警察署</v>
      </c>
    </row>
    <row r="7329" spans="1:18" x14ac:dyDescent="0.45">
      <c r="A7329" s="8" t="str">
        <f>"11527000250"</f>
        <v>11527000250</v>
      </c>
      <c r="B7329" s="8" t="str">
        <f>"大開交番"</f>
        <v>大開交番</v>
      </c>
      <c r="C7329" s="8" t="str">
        <f t="shared" si="2667"/>
        <v>行政財産</v>
      </c>
      <c r="D7329" s="8" t="str">
        <f t="shared" si="2669"/>
        <v>警察（消防）施設</v>
      </c>
      <c r="E7329" s="8" t="str">
        <f>"大阪府大阪市　福島区大開２丁目"</f>
        <v>大阪府大阪市　福島区大開２丁目</v>
      </c>
      <c r="F7329" s="8"/>
      <c r="G7329" s="8" t="str">
        <f t="shared" si="2675"/>
        <v>事業用資産</v>
      </c>
      <c r="H7329" s="8" t="str">
        <f t="shared" si="2671"/>
        <v>棚卸以外</v>
      </c>
      <c r="I7329" s="8">
        <v>2</v>
      </c>
      <c r="J7329" s="8" t="str">
        <f>"大開交番"</f>
        <v>大開交番</v>
      </c>
      <c r="K7329" s="8" t="str">
        <f>"鉄骨造"</f>
        <v>鉄骨造</v>
      </c>
      <c r="L7329" s="8" t="str">
        <f>"H10.07.27"</f>
        <v>H10.07.27</v>
      </c>
      <c r="M7329" s="8">
        <v>57.69</v>
      </c>
      <c r="N7329" s="8">
        <v>22117000</v>
      </c>
      <c r="O7329" s="8">
        <v>14356888</v>
      </c>
      <c r="P7329" s="8">
        <v>0</v>
      </c>
      <c r="Q7329" s="8" t="str">
        <f t="shared" si="2665"/>
        <v>公安委員会</v>
      </c>
      <c r="R7329" s="8" t="str">
        <f t="shared" si="2676"/>
        <v>福島警察署</v>
      </c>
    </row>
    <row r="7330" spans="1:18" x14ac:dyDescent="0.45">
      <c r="A7330" s="8" t="str">
        <f>"11527000260"</f>
        <v>11527000260</v>
      </c>
      <c r="B7330" s="8" t="str">
        <f>"野田交番"</f>
        <v>野田交番</v>
      </c>
      <c r="C7330" s="8" t="str">
        <f t="shared" si="2667"/>
        <v>行政財産</v>
      </c>
      <c r="D7330" s="8" t="str">
        <f t="shared" si="2669"/>
        <v>警察（消防）施設</v>
      </c>
      <c r="E7330" s="8" t="str">
        <f>"大阪府大阪市　福島区吉野３丁目"</f>
        <v>大阪府大阪市　福島区吉野３丁目</v>
      </c>
      <c r="F7330" s="8"/>
      <c r="G7330" s="8" t="str">
        <f t="shared" si="2675"/>
        <v>事業用資産</v>
      </c>
      <c r="H7330" s="8" t="str">
        <f t="shared" si="2671"/>
        <v>棚卸以外</v>
      </c>
      <c r="I7330" s="8">
        <v>1</v>
      </c>
      <c r="J7330" s="8" t="str">
        <f>"野田交番"</f>
        <v>野田交番</v>
      </c>
      <c r="K7330" s="8" t="str">
        <f>"鉄筋コンクリート造"</f>
        <v>鉄筋コンクリート造</v>
      </c>
      <c r="L7330" s="8" t="str">
        <f>"S63.10.31"</f>
        <v>S63.10.31</v>
      </c>
      <c r="M7330" s="8">
        <v>54.6</v>
      </c>
      <c r="N7330" s="8">
        <v>15767076</v>
      </c>
      <c r="O7330" s="8">
        <v>10812092</v>
      </c>
      <c r="P7330" s="8">
        <v>0</v>
      </c>
      <c r="Q7330" s="8" t="str">
        <f t="shared" si="2665"/>
        <v>公安委員会</v>
      </c>
      <c r="R7330" s="8" t="str">
        <f t="shared" si="2676"/>
        <v>福島警察署</v>
      </c>
    </row>
    <row r="7331" spans="1:18" x14ac:dyDescent="0.45">
      <c r="A7331" s="8" t="str">
        <f>"11527000270"</f>
        <v>11527000270</v>
      </c>
      <c r="B7331" s="8" t="str">
        <f>"野田阪神交番"</f>
        <v>野田阪神交番</v>
      </c>
      <c r="C7331" s="8" t="str">
        <f t="shared" si="2667"/>
        <v>行政財産</v>
      </c>
      <c r="D7331" s="8" t="str">
        <f t="shared" si="2669"/>
        <v>警察（消防）施設</v>
      </c>
      <c r="E7331" s="8" t="str">
        <f>"大阪府大阪市　福島区海老江１丁目"</f>
        <v>大阪府大阪市　福島区海老江１丁目</v>
      </c>
      <c r="F7331" s="8"/>
      <c r="G7331" s="8" t="str">
        <f t="shared" si="2675"/>
        <v>事業用資産</v>
      </c>
      <c r="H7331" s="8" t="str">
        <f t="shared" si="2671"/>
        <v>棚卸以外</v>
      </c>
      <c r="I7331" s="8">
        <v>1</v>
      </c>
      <c r="J7331" s="8" t="str">
        <f>"野田阪神交番"</f>
        <v>野田阪神交番</v>
      </c>
      <c r="K7331" s="8" t="str">
        <f>"鉄骨造"</f>
        <v>鉄骨造</v>
      </c>
      <c r="L7331" s="8" t="str">
        <f>"H02.12.20"</f>
        <v>H02.12.20</v>
      </c>
      <c r="M7331" s="8">
        <v>51.25</v>
      </c>
      <c r="N7331" s="8">
        <v>17790000</v>
      </c>
      <c r="O7331" s="8">
        <v>15098418</v>
      </c>
      <c r="P7331" s="8">
        <v>0</v>
      </c>
      <c r="Q7331" s="8" t="str">
        <f t="shared" si="2665"/>
        <v>公安委員会</v>
      </c>
      <c r="R7331" s="8" t="str">
        <f t="shared" si="2676"/>
        <v>福島警察署</v>
      </c>
    </row>
    <row r="7332" spans="1:18" ht="26.4" x14ac:dyDescent="0.45">
      <c r="A7332" s="8" t="str">
        <f>"11527003002"</f>
        <v>11527003002</v>
      </c>
      <c r="B7332" s="8" t="str">
        <f>"福島警察署"</f>
        <v>福島警察署</v>
      </c>
      <c r="C7332" s="8" t="str">
        <f t="shared" si="2667"/>
        <v>行政財産</v>
      </c>
      <c r="D7332" s="8" t="str">
        <f t="shared" si="2669"/>
        <v>警察（消防）施設</v>
      </c>
      <c r="E7332" s="8" t="str">
        <f>"大阪府大阪市　福島区吉野３丁目"</f>
        <v>大阪府大阪市　福島区吉野３丁目</v>
      </c>
      <c r="F7332" s="8"/>
      <c r="G7332" s="8" t="str">
        <f t="shared" si="2675"/>
        <v>事業用資産</v>
      </c>
      <c r="H7332" s="8" t="str">
        <f t="shared" si="2671"/>
        <v>棚卸以外</v>
      </c>
      <c r="I7332" s="8">
        <v>1</v>
      </c>
      <c r="J7332" s="8" t="str">
        <f>"庁舎"</f>
        <v>庁舎</v>
      </c>
      <c r="K7332" s="8" t="str">
        <f>"鉄骨鉄筋コンクリート造"</f>
        <v>鉄骨鉄筋コンクリート造</v>
      </c>
      <c r="L7332" s="8" t="str">
        <f>"H28.02.29"</f>
        <v>H28.02.29</v>
      </c>
      <c r="M7332" s="8">
        <v>5156.4799999999996</v>
      </c>
      <c r="N7332" s="8">
        <v>2132089849</v>
      </c>
      <c r="O7332" s="8">
        <v>564554190</v>
      </c>
      <c r="P7332" s="8">
        <v>0</v>
      </c>
      <c r="Q7332" s="8" t="str">
        <f t="shared" si="2665"/>
        <v>公安委員会</v>
      </c>
      <c r="R7332" s="8" t="str">
        <f t="shared" si="2676"/>
        <v>福島警察署</v>
      </c>
    </row>
    <row r="7333" spans="1:18" x14ac:dyDescent="0.45">
      <c r="A7333" s="8" t="str">
        <f>"11527003002"</f>
        <v>11527003002</v>
      </c>
      <c r="B7333" s="8" t="str">
        <f>"福島警察署"</f>
        <v>福島警察署</v>
      </c>
      <c r="C7333" s="8" t="str">
        <f t="shared" si="2667"/>
        <v>行政財産</v>
      </c>
      <c r="D7333" s="8" t="str">
        <f t="shared" si="2669"/>
        <v>警察（消防）施設</v>
      </c>
      <c r="E7333" s="8" t="str">
        <f>"大阪府大阪市　福島区吉野３丁目"</f>
        <v>大阪府大阪市　福島区吉野３丁目</v>
      </c>
      <c r="F7333" s="8"/>
      <c r="G7333" s="8" t="str">
        <f t="shared" si="2675"/>
        <v>事業用資産</v>
      </c>
      <c r="H7333" s="8" t="str">
        <f t="shared" si="2671"/>
        <v>棚卸以外</v>
      </c>
      <c r="I7333" s="8">
        <v>2</v>
      </c>
      <c r="J7333" s="8" t="str">
        <f>"大型車庫"</f>
        <v>大型車庫</v>
      </c>
      <c r="K7333" s="8" t="str">
        <f>"鉄骨造"</f>
        <v>鉄骨造</v>
      </c>
      <c r="L7333" s="8" t="str">
        <f>"H28.02.29"</f>
        <v>H28.02.29</v>
      </c>
      <c r="M7333" s="8">
        <v>51.68</v>
      </c>
      <c r="N7333" s="8">
        <v>31570271</v>
      </c>
      <c r="O7333" s="8">
        <v>10468855</v>
      </c>
      <c r="P7333" s="8">
        <v>0</v>
      </c>
      <c r="Q7333" s="8" t="str">
        <f t="shared" si="2665"/>
        <v>公安委員会</v>
      </c>
      <c r="R7333" s="8" t="str">
        <f t="shared" si="2676"/>
        <v>福島警察署</v>
      </c>
    </row>
    <row r="7334" spans="1:18" x14ac:dyDescent="0.45">
      <c r="A7334" s="8" t="str">
        <f>"11528000000"</f>
        <v>11528000000</v>
      </c>
      <c r="B7334" s="8" t="str">
        <f>"此花警察署"</f>
        <v>此花警察署</v>
      </c>
      <c r="C7334" s="8" t="str">
        <f t="shared" si="2667"/>
        <v>行政財産</v>
      </c>
      <c r="D7334" s="8" t="str">
        <f t="shared" si="2669"/>
        <v>警察（消防）施設</v>
      </c>
      <c r="E7334" s="8" t="str">
        <f>"大阪府大阪市　此花区春日出北１丁目"</f>
        <v>大阪府大阪市　此花区春日出北１丁目</v>
      </c>
      <c r="F7334" s="8"/>
      <c r="G7334" s="8" t="str">
        <f t="shared" si="2675"/>
        <v>事業用資産</v>
      </c>
      <c r="H7334" s="8" t="str">
        <f t="shared" si="2671"/>
        <v>棚卸以外</v>
      </c>
      <c r="I7334" s="8">
        <v>51</v>
      </c>
      <c r="J7334" s="8" t="str">
        <f>"本館"</f>
        <v>本館</v>
      </c>
      <c r="K7334" s="8" t="str">
        <f>"鉄筋コンクリート造"</f>
        <v>鉄筋コンクリート造</v>
      </c>
      <c r="L7334" s="8" t="str">
        <f>"H15.01.31"</f>
        <v>H15.01.31</v>
      </c>
      <c r="M7334" s="8">
        <v>3126.09</v>
      </c>
      <c r="N7334" s="8">
        <v>1155403547</v>
      </c>
      <c r="O7334" s="8">
        <v>466166595</v>
      </c>
      <c r="P7334" s="8">
        <v>0</v>
      </c>
      <c r="Q7334" s="8" t="str">
        <f t="shared" si="2665"/>
        <v>公安委員会</v>
      </c>
      <c r="R7334" s="8" t="str">
        <f t="shared" ref="R7334:R7344" si="2677">"此花警察署"</f>
        <v>此花警察署</v>
      </c>
    </row>
    <row r="7335" spans="1:18" x14ac:dyDescent="0.45">
      <c r="A7335" s="8" t="str">
        <f>"11528000000"</f>
        <v>11528000000</v>
      </c>
      <c r="B7335" s="8" t="str">
        <f>"此花警察署"</f>
        <v>此花警察署</v>
      </c>
      <c r="C7335" s="8" t="str">
        <f t="shared" si="2667"/>
        <v>行政財産</v>
      </c>
      <c r="D7335" s="8" t="str">
        <f t="shared" si="2669"/>
        <v>警察（消防）施設</v>
      </c>
      <c r="E7335" s="8" t="str">
        <f>"大阪府大阪市　此花区春日出北１丁目"</f>
        <v>大阪府大阪市　此花区春日出北１丁目</v>
      </c>
      <c r="F7335" s="8"/>
      <c r="G7335" s="8" t="str">
        <f t="shared" si="2675"/>
        <v>事業用資産</v>
      </c>
      <c r="H7335" s="8" t="str">
        <f t="shared" si="2671"/>
        <v>棚卸以外</v>
      </c>
      <c r="I7335" s="8">
        <v>52</v>
      </c>
      <c r="J7335" s="8" t="str">
        <f>"別館"</f>
        <v>別館</v>
      </c>
      <c r="K7335" s="8" t="str">
        <f>"鉄筋コンクリート造"</f>
        <v>鉄筋コンクリート造</v>
      </c>
      <c r="L7335" s="8" t="str">
        <f>"H15.01.31"</f>
        <v>H15.01.31</v>
      </c>
      <c r="M7335" s="8">
        <v>2146</v>
      </c>
      <c r="N7335" s="8">
        <v>638767004</v>
      </c>
      <c r="O7335" s="8">
        <v>257563758</v>
      </c>
      <c r="P7335" s="8">
        <v>0</v>
      </c>
      <c r="Q7335" s="8" t="str">
        <f t="shared" si="2665"/>
        <v>公安委員会</v>
      </c>
      <c r="R7335" s="8" t="str">
        <f t="shared" si="2677"/>
        <v>此花警察署</v>
      </c>
    </row>
    <row r="7336" spans="1:18" x14ac:dyDescent="0.45">
      <c r="A7336" s="8" t="str">
        <f>"11528000000"</f>
        <v>11528000000</v>
      </c>
      <c r="B7336" s="8" t="str">
        <f>"此花警察署"</f>
        <v>此花警察署</v>
      </c>
      <c r="C7336" s="8" t="str">
        <f t="shared" si="2667"/>
        <v>行政財産</v>
      </c>
      <c r="D7336" s="8" t="str">
        <f t="shared" si="2669"/>
        <v>警察（消防）施設</v>
      </c>
      <c r="E7336" s="8" t="str">
        <f>"大阪府大阪市　此花区春日出北１丁目"</f>
        <v>大阪府大阪市　此花区春日出北１丁目</v>
      </c>
      <c r="F7336" s="8"/>
      <c r="G7336" s="8" t="str">
        <f t="shared" si="2675"/>
        <v>事業用資産</v>
      </c>
      <c r="H7336" s="8" t="str">
        <f t="shared" si="2671"/>
        <v>棚卸以外</v>
      </c>
      <c r="I7336" s="8">
        <v>53</v>
      </c>
      <c r="J7336" s="8" t="str">
        <f>"ゴミ置場"</f>
        <v>ゴミ置場</v>
      </c>
      <c r="K7336" s="8" t="str">
        <f>"鉄筋コンクリート造"</f>
        <v>鉄筋コンクリート造</v>
      </c>
      <c r="L7336" s="8" t="str">
        <f>"H15.01.31"</f>
        <v>H15.01.31</v>
      </c>
      <c r="M7336" s="8">
        <v>3.74</v>
      </c>
      <c r="N7336" s="8">
        <v>1030000</v>
      </c>
      <c r="O7336" s="8">
        <v>546678</v>
      </c>
      <c r="P7336" s="8">
        <v>0</v>
      </c>
      <c r="Q7336" s="8" t="str">
        <f t="shared" si="2665"/>
        <v>公安委員会</v>
      </c>
      <c r="R7336" s="8" t="str">
        <f t="shared" si="2677"/>
        <v>此花警察署</v>
      </c>
    </row>
    <row r="7337" spans="1:18" x14ac:dyDescent="0.45">
      <c r="A7337" s="8" t="str">
        <f>"11528000190"</f>
        <v>11528000190</v>
      </c>
      <c r="B7337" s="8" t="str">
        <f>"酉島交番"</f>
        <v>酉島交番</v>
      </c>
      <c r="C7337" s="8" t="str">
        <f t="shared" si="2667"/>
        <v>行政財産</v>
      </c>
      <c r="D7337" s="8" t="str">
        <f t="shared" si="2669"/>
        <v>警察（消防）施設</v>
      </c>
      <c r="E7337" s="8" t="str">
        <f>"大阪府大阪市　此花区酉島５丁目"</f>
        <v>大阪府大阪市　此花区酉島５丁目</v>
      </c>
      <c r="F7337" s="8"/>
      <c r="G7337" s="8" t="str">
        <f t="shared" si="2675"/>
        <v>事業用資産</v>
      </c>
      <c r="H7337" s="8" t="str">
        <f t="shared" si="2671"/>
        <v>棚卸以外</v>
      </c>
      <c r="I7337" s="8">
        <v>2</v>
      </c>
      <c r="J7337" s="8" t="str">
        <f>"酉島交番"</f>
        <v>酉島交番</v>
      </c>
      <c r="K7337" s="8" t="str">
        <f>"鉄筋コンクリート造"</f>
        <v>鉄筋コンクリート造</v>
      </c>
      <c r="L7337" s="8" t="str">
        <f>"H05.01.29"</f>
        <v>H05.01.29</v>
      </c>
      <c r="M7337" s="8">
        <v>53</v>
      </c>
      <c r="N7337" s="8">
        <v>18809906</v>
      </c>
      <c r="O7337" s="8">
        <v>11339378</v>
      </c>
      <c r="P7337" s="8">
        <v>0</v>
      </c>
      <c r="Q7337" s="8" t="str">
        <f t="shared" si="2665"/>
        <v>公安委員会</v>
      </c>
      <c r="R7337" s="8" t="str">
        <f t="shared" si="2677"/>
        <v>此花警察署</v>
      </c>
    </row>
    <row r="7338" spans="1:18" x14ac:dyDescent="0.45">
      <c r="A7338" s="8" t="str">
        <f>"11528000200"</f>
        <v>11528000200</v>
      </c>
      <c r="B7338" s="8" t="str">
        <f>"西九条駅前交番"</f>
        <v>西九条駅前交番</v>
      </c>
      <c r="C7338" s="8" t="str">
        <f t="shared" si="2667"/>
        <v>行政財産</v>
      </c>
      <c r="D7338" s="8" t="str">
        <f t="shared" si="2669"/>
        <v>警察（消防）施設</v>
      </c>
      <c r="E7338" s="8" t="str">
        <f>"大阪府大阪市　此花区西九条１丁目"</f>
        <v>大阪府大阪市　此花区西九条１丁目</v>
      </c>
      <c r="F7338" s="8"/>
      <c r="G7338" s="8" t="str">
        <f t="shared" si="2675"/>
        <v>事業用資産</v>
      </c>
      <c r="H7338" s="8" t="str">
        <f t="shared" si="2671"/>
        <v>棚卸以外</v>
      </c>
      <c r="I7338" s="8">
        <v>2</v>
      </c>
      <c r="J7338" s="8" t="str">
        <f>"西九条駅前交番"</f>
        <v>西九条駅前交番</v>
      </c>
      <c r="K7338" s="8" t="str">
        <f>"鉄骨造"</f>
        <v>鉄骨造</v>
      </c>
      <c r="L7338" s="8" t="str">
        <f>"H06.03.31"</f>
        <v>H06.03.31</v>
      </c>
      <c r="M7338" s="8">
        <v>53.28</v>
      </c>
      <c r="N7338" s="8">
        <v>22007029</v>
      </c>
      <c r="O7338" s="8">
        <v>16623468</v>
      </c>
      <c r="P7338" s="8">
        <v>0</v>
      </c>
      <c r="Q7338" s="8" t="str">
        <f t="shared" si="2665"/>
        <v>公安委員会</v>
      </c>
      <c r="R7338" s="8" t="str">
        <f t="shared" si="2677"/>
        <v>此花警察署</v>
      </c>
    </row>
    <row r="7339" spans="1:18" x14ac:dyDescent="0.45">
      <c r="A7339" s="8" t="str">
        <f>"11528000220"</f>
        <v>11528000220</v>
      </c>
      <c r="B7339" s="8" t="str">
        <f>"伝法交番"</f>
        <v>伝法交番</v>
      </c>
      <c r="C7339" s="8" t="str">
        <f t="shared" si="2667"/>
        <v>行政財産</v>
      </c>
      <c r="D7339" s="8" t="str">
        <f t="shared" si="2669"/>
        <v>警察（消防）施設</v>
      </c>
      <c r="E7339" s="8" t="str">
        <f>"大阪府大阪市　此花区伝法３丁目"</f>
        <v>大阪府大阪市　此花区伝法３丁目</v>
      </c>
      <c r="F7339" s="8"/>
      <c r="G7339" s="8" t="str">
        <f t="shared" si="2675"/>
        <v>事業用資産</v>
      </c>
      <c r="H7339" s="8" t="str">
        <f t="shared" si="2671"/>
        <v>棚卸以外</v>
      </c>
      <c r="I7339" s="8">
        <v>1</v>
      </c>
      <c r="J7339" s="8" t="str">
        <f>"伝法交番"</f>
        <v>伝法交番</v>
      </c>
      <c r="K7339" s="8" t="str">
        <f>"軽量鉄骨造"</f>
        <v>軽量鉄骨造</v>
      </c>
      <c r="L7339" s="8" t="str">
        <f>"S46.09.06"</f>
        <v>S46.09.06</v>
      </c>
      <c r="M7339" s="8">
        <v>70.400000000000006</v>
      </c>
      <c r="N7339" s="8">
        <v>6475390</v>
      </c>
      <c r="O7339" s="8">
        <v>6475389</v>
      </c>
      <c r="P7339" s="8">
        <v>0</v>
      </c>
      <c r="Q7339" s="8" t="str">
        <f t="shared" si="2665"/>
        <v>公安委員会</v>
      </c>
      <c r="R7339" s="8" t="str">
        <f t="shared" si="2677"/>
        <v>此花警察署</v>
      </c>
    </row>
    <row r="7340" spans="1:18" x14ac:dyDescent="0.45">
      <c r="A7340" s="8" t="str">
        <f>"11528000230"</f>
        <v>11528000230</v>
      </c>
      <c r="B7340" s="8" t="str">
        <f>"春日出交番"</f>
        <v>春日出交番</v>
      </c>
      <c r="C7340" s="8" t="str">
        <f t="shared" si="2667"/>
        <v>行政財産</v>
      </c>
      <c r="D7340" s="8" t="str">
        <f t="shared" si="2669"/>
        <v>警察（消防）施設</v>
      </c>
      <c r="E7340" s="8" t="str">
        <f>"大阪府大阪市　此花区春日出北３丁目"</f>
        <v>大阪府大阪市　此花区春日出北３丁目</v>
      </c>
      <c r="F7340" s="8"/>
      <c r="G7340" s="8" t="str">
        <f t="shared" si="2675"/>
        <v>事業用資産</v>
      </c>
      <c r="H7340" s="8" t="str">
        <f t="shared" si="2671"/>
        <v>棚卸以外</v>
      </c>
      <c r="I7340" s="8">
        <v>1</v>
      </c>
      <c r="J7340" s="8" t="str">
        <f>"春日出交番"</f>
        <v>春日出交番</v>
      </c>
      <c r="K7340" s="8" t="str">
        <f>"鉄筋コンクリート造"</f>
        <v>鉄筋コンクリート造</v>
      </c>
      <c r="L7340" s="8" t="str">
        <f>"S47.10.23"</f>
        <v>S47.10.23</v>
      </c>
      <c r="M7340" s="8">
        <v>65.7</v>
      </c>
      <c r="N7340" s="8">
        <v>4346559</v>
      </c>
      <c r="O7340" s="8">
        <v>4325190</v>
      </c>
      <c r="P7340" s="8">
        <v>0</v>
      </c>
      <c r="Q7340" s="8" t="str">
        <f t="shared" si="2665"/>
        <v>公安委員会</v>
      </c>
      <c r="R7340" s="8" t="str">
        <f t="shared" si="2677"/>
        <v>此花警察署</v>
      </c>
    </row>
    <row r="7341" spans="1:18" x14ac:dyDescent="0.45">
      <c r="A7341" s="8" t="str">
        <f>"11528000240"</f>
        <v>11528000240</v>
      </c>
      <c r="B7341" s="8" t="str">
        <f>"高見交番"</f>
        <v>高見交番</v>
      </c>
      <c r="C7341" s="8" t="str">
        <f t="shared" si="2667"/>
        <v>行政財産</v>
      </c>
      <c r="D7341" s="8" t="str">
        <f t="shared" si="2669"/>
        <v>警察（消防）施設</v>
      </c>
      <c r="E7341" s="8" t="str">
        <f>"大阪府大阪市　此花区高見１丁目"</f>
        <v>大阪府大阪市　此花区高見１丁目</v>
      </c>
      <c r="F7341" s="8"/>
      <c r="G7341" s="8" t="str">
        <f t="shared" si="2675"/>
        <v>事業用資産</v>
      </c>
      <c r="H7341" s="8" t="str">
        <f t="shared" si="2671"/>
        <v>棚卸以外</v>
      </c>
      <c r="I7341" s="8">
        <v>1</v>
      </c>
      <c r="J7341" s="8" t="str">
        <f>"高見交番"</f>
        <v>高見交番</v>
      </c>
      <c r="K7341" s="8" t="str">
        <f>"鉄筋コンクリート造"</f>
        <v>鉄筋コンクリート造</v>
      </c>
      <c r="L7341" s="8" t="str">
        <f>"H02.02.26"</f>
        <v>H02.02.26</v>
      </c>
      <c r="M7341" s="8">
        <v>53.55</v>
      </c>
      <c r="N7341" s="8">
        <v>19401618</v>
      </c>
      <c r="O7341" s="8">
        <v>12748657</v>
      </c>
      <c r="P7341" s="8">
        <v>0</v>
      </c>
      <c r="Q7341" s="8" t="str">
        <f t="shared" si="2665"/>
        <v>公安委員会</v>
      </c>
      <c r="R7341" s="8" t="str">
        <f t="shared" si="2677"/>
        <v>此花警察署</v>
      </c>
    </row>
    <row r="7342" spans="1:18" x14ac:dyDescent="0.45">
      <c r="A7342" s="8" t="str">
        <f>"11528000250"</f>
        <v>11528000250</v>
      </c>
      <c r="B7342" s="8" t="str">
        <f>"ユニバーサルスタジオ前交番"</f>
        <v>ユニバーサルスタジオ前交番</v>
      </c>
      <c r="C7342" s="8" t="str">
        <f t="shared" si="2667"/>
        <v>行政財産</v>
      </c>
      <c r="D7342" s="8" t="str">
        <f t="shared" si="2669"/>
        <v>警察（消防）施設</v>
      </c>
      <c r="E7342" s="8" t="str">
        <f>"大阪府大阪市　此花区島屋５丁目"</f>
        <v>大阪府大阪市　此花区島屋５丁目</v>
      </c>
      <c r="F7342" s="8"/>
      <c r="G7342" s="8" t="str">
        <f t="shared" si="2675"/>
        <v>事業用資産</v>
      </c>
      <c r="H7342" s="8" t="str">
        <f t="shared" si="2671"/>
        <v>棚卸以外</v>
      </c>
      <c r="I7342" s="8">
        <v>1</v>
      </c>
      <c r="J7342" s="8" t="str">
        <f>"ユニバーサルスタジオ前交番"</f>
        <v>ユニバーサルスタジオ前交番</v>
      </c>
      <c r="K7342" s="8" t="str">
        <f>"鉄骨造"</f>
        <v>鉄骨造</v>
      </c>
      <c r="L7342" s="8" t="str">
        <f>"H13.03.30"</f>
        <v>H13.03.30</v>
      </c>
      <c r="M7342" s="8">
        <v>119.88</v>
      </c>
      <c r="N7342" s="8">
        <v>39619975</v>
      </c>
      <c r="O7342" s="8">
        <v>22754952</v>
      </c>
      <c r="P7342" s="8">
        <v>0</v>
      </c>
      <c r="Q7342" s="8" t="str">
        <f t="shared" si="2665"/>
        <v>公安委員会</v>
      </c>
      <c r="R7342" s="8" t="str">
        <f t="shared" si="2677"/>
        <v>此花警察署</v>
      </c>
    </row>
    <row r="7343" spans="1:18" x14ac:dyDescent="0.45">
      <c r="A7343" s="8" t="str">
        <f>"11528003001"</f>
        <v>11528003001</v>
      </c>
      <c r="B7343" s="8" t="str">
        <f>"千鳥橋交番"</f>
        <v>千鳥橋交番</v>
      </c>
      <c r="C7343" s="8" t="str">
        <f t="shared" si="2667"/>
        <v>行政財産</v>
      </c>
      <c r="D7343" s="8" t="str">
        <f t="shared" si="2669"/>
        <v>警察（消防）施設</v>
      </c>
      <c r="E7343" s="8" t="str">
        <f>"大阪府大阪市　此花区梅香３丁目"</f>
        <v>大阪府大阪市　此花区梅香３丁目</v>
      </c>
      <c r="F7343" s="8"/>
      <c r="G7343" s="8" t="str">
        <f t="shared" si="2675"/>
        <v>事業用資産</v>
      </c>
      <c r="H7343" s="8" t="str">
        <f t="shared" si="2671"/>
        <v>棚卸以外</v>
      </c>
      <c r="I7343" s="8">
        <v>1</v>
      </c>
      <c r="J7343" s="8" t="str">
        <f>"千鳥橋交番"</f>
        <v>千鳥橋交番</v>
      </c>
      <c r="K7343" s="8" t="str">
        <f>"軽量鉄骨造"</f>
        <v>軽量鉄骨造</v>
      </c>
      <c r="L7343" s="8" t="str">
        <f>"H29.07.03"</f>
        <v>H29.07.03</v>
      </c>
      <c r="M7343" s="8">
        <v>84.64</v>
      </c>
      <c r="N7343" s="8">
        <v>31531111</v>
      </c>
      <c r="O7343" s="8">
        <v>6928999</v>
      </c>
      <c r="P7343" s="8">
        <v>0</v>
      </c>
      <c r="Q7343" s="8" t="str">
        <f t="shared" si="2665"/>
        <v>公安委員会</v>
      </c>
      <c r="R7343" s="8" t="str">
        <f t="shared" si="2677"/>
        <v>此花警察署</v>
      </c>
    </row>
    <row r="7344" spans="1:18" x14ac:dyDescent="0.45">
      <c r="A7344" s="8" t="str">
        <f>"11528003001"</f>
        <v>11528003001</v>
      </c>
      <c r="B7344" s="8" t="str">
        <f>"千鳥橋交番"</f>
        <v>千鳥橋交番</v>
      </c>
      <c r="C7344" s="8" t="str">
        <f t="shared" si="2667"/>
        <v>行政財産</v>
      </c>
      <c r="D7344" s="8" t="str">
        <f t="shared" si="2669"/>
        <v>警察（消防）施設</v>
      </c>
      <c r="E7344" s="8" t="str">
        <f>"大阪府大阪市　此花区梅香３丁目"</f>
        <v>大阪府大阪市　此花区梅香３丁目</v>
      </c>
      <c r="F7344" s="8"/>
      <c r="G7344" s="8" t="str">
        <f t="shared" si="2675"/>
        <v>事業用資産</v>
      </c>
      <c r="H7344" s="8" t="str">
        <f t="shared" si="2671"/>
        <v>棚卸以外</v>
      </c>
      <c r="I7344" s="8">
        <v>2</v>
      </c>
      <c r="J7344" s="8" t="str">
        <f>"物置"</f>
        <v>物置</v>
      </c>
      <c r="K7344" s="8" t="str">
        <f>"土蔵造(簡易建物)"</f>
        <v>土蔵造(簡易建物)</v>
      </c>
      <c r="L7344" s="8" t="str">
        <f>"H29.07.03"</f>
        <v>H29.07.03</v>
      </c>
      <c r="M7344" s="8">
        <v>1.95</v>
      </c>
      <c r="N7344" s="8">
        <v>144735</v>
      </c>
      <c r="O7344" s="8">
        <v>21624</v>
      </c>
      <c r="P7344" s="8">
        <v>0</v>
      </c>
      <c r="Q7344" s="8" t="str">
        <f t="shared" si="2665"/>
        <v>公安委員会</v>
      </c>
      <c r="R7344" s="8" t="str">
        <f t="shared" si="2677"/>
        <v>此花警察署</v>
      </c>
    </row>
    <row r="7345" spans="1:18" x14ac:dyDescent="0.45">
      <c r="A7345" s="8" t="str">
        <f>"11521003035"</f>
        <v>11521003035</v>
      </c>
      <c r="B7345" s="8" t="str">
        <f>"上町交番"</f>
        <v>上町交番</v>
      </c>
      <c r="C7345" s="8" t="str">
        <f t="shared" si="2667"/>
        <v>行政財産</v>
      </c>
      <c r="D7345" s="8" t="str">
        <f t="shared" si="2669"/>
        <v>警察（消防）施設</v>
      </c>
      <c r="E7345" s="8" t="str">
        <f>"大阪府大阪市　中央区上町１丁目"</f>
        <v>大阪府大阪市　中央区上町１丁目</v>
      </c>
      <c r="F7345" s="8"/>
      <c r="G7345" s="8" t="str">
        <f t="shared" si="2675"/>
        <v>事業用資産</v>
      </c>
      <c r="H7345" s="8" t="str">
        <f t="shared" si="2671"/>
        <v>棚卸以外</v>
      </c>
      <c r="I7345" s="8">
        <v>2</v>
      </c>
      <c r="J7345" s="8" t="str">
        <f>"物置"</f>
        <v>物置</v>
      </c>
      <c r="K7345" s="8" t="str">
        <f>"土蔵造(簡易建物)"</f>
        <v>土蔵造(簡易建物)</v>
      </c>
      <c r="L7345" s="8" t="str">
        <f>"H30.11.09"</f>
        <v>H30.11.09</v>
      </c>
      <c r="M7345" s="8">
        <v>1.96</v>
      </c>
      <c r="N7345" s="8">
        <v>232119</v>
      </c>
      <c r="O7345" s="8">
        <v>71864</v>
      </c>
      <c r="P7345" s="8">
        <v>0</v>
      </c>
      <c r="Q7345" s="8" t="str">
        <f t="shared" si="2665"/>
        <v>公安委員会</v>
      </c>
      <c r="R7345" s="8" t="str">
        <f t="shared" ref="R7345:R7352" si="2678">"東警察署"</f>
        <v>東警察署</v>
      </c>
    </row>
    <row r="7346" spans="1:18" x14ac:dyDescent="0.45">
      <c r="A7346" s="8" t="str">
        <f>"11521003035"</f>
        <v>11521003035</v>
      </c>
      <c r="B7346" s="8" t="str">
        <f>"上町交番"</f>
        <v>上町交番</v>
      </c>
      <c r="C7346" s="8" t="str">
        <f t="shared" si="2667"/>
        <v>行政財産</v>
      </c>
      <c r="D7346" s="8" t="str">
        <f t="shared" si="2669"/>
        <v>警察（消防）施設</v>
      </c>
      <c r="E7346" s="8" t="str">
        <f>"大阪府大阪市　中央区上町１丁目"</f>
        <v>大阪府大阪市　中央区上町１丁目</v>
      </c>
      <c r="F7346" s="8"/>
      <c r="G7346" s="8" t="str">
        <f t="shared" si="2675"/>
        <v>事業用資産</v>
      </c>
      <c r="H7346" s="8" t="str">
        <f t="shared" si="2671"/>
        <v>棚卸以外</v>
      </c>
      <c r="I7346" s="8">
        <v>3</v>
      </c>
      <c r="J7346" s="8" t="str">
        <f>"上町交番"</f>
        <v>上町交番</v>
      </c>
      <c r="K7346" s="8" t="str">
        <f>"軽量鉄骨造"</f>
        <v>軽量鉄骨造</v>
      </c>
      <c r="L7346" s="8" t="str">
        <f>"H30.11.09"</f>
        <v>H30.11.09</v>
      </c>
      <c r="M7346" s="8">
        <v>73.260000000000005</v>
      </c>
      <c r="N7346" s="8">
        <v>33543946</v>
      </c>
      <c r="O7346" s="8">
        <v>5619588</v>
      </c>
      <c r="P7346" s="8">
        <v>0</v>
      </c>
      <c r="Q7346" s="8" t="str">
        <f t="shared" si="2665"/>
        <v>公安委員会</v>
      </c>
      <c r="R7346" s="8" t="str">
        <f t="shared" si="2678"/>
        <v>東警察署</v>
      </c>
    </row>
    <row r="7347" spans="1:18" x14ac:dyDescent="0.45">
      <c r="A7347" s="8" t="str">
        <f>"11529000000"</f>
        <v>11529000000</v>
      </c>
      <c r="B7347" s="8" t="str">
        <f>"東警察署"</f>
        <v>東警察署</v>
      </c>
      <c r="C7347" s="8" t="str">
        <f t="shared" si="2667"/>
        <v>行政財産</v>
      </c>
      <c r="D7347" s="8" t="str">
        <f t="shared" si="2669"/>
        <v>警察（消防）施設</v>
      </c>
      <c r="E7347" s="8" t="str">
        <f>"大阪府大阪市　中央区本町１丁目"</f>
        <v>大阪府大阪市　中央区本町１丁目</v>
      </c>
      <c r="F7347" s="8"/>
      <c r="G7347" s="8" t="str">
        <f t="shared" si="2675"/>
        <v>事業用資産</v>
      </c>
      <c r="H7347" s="8" t="str">
        <f t="shared" si="2671"/>
        <v>棚卸以外</v>
      </c>
      <c r="I7347" s="8">
        <v>9</v>
      </c>
      <c r="J7347" s="8" t="str">
        <f>"附属庁舎"</f>
        <v>附属庁舎</v>
      </c>
      <c r="K7347" s="8" t="str">
        <f>"鉄筋コンクリート造"</f>
        <v>鉄筋コンクリート造</v>
      </c>
      <c r="L7347" s="8" t="str">
        <f>"S41.09.28"</f>
        <v>S41.09.28</v>
      </c>
      <c r="M7347" s="8">
        <v>784.83</v>
      </c>
      <c r="N7347" s="8">
        <v>47433519</v>
      </c>
      <c r="O7347" s="8">
        <v>47370580</v>
      </c>
      <c r="P7347" s="8">
        <v>0</v>
      </c>
      <c r="Q7347" s="8" t="str">
        <f t="shared" ref="Q7347:Q7410" si="2679">"公安委員会"</f>
        <v>公安委員会</v>
      </c>
      <c r="R7347" s="8" t="str">
        <f t="shared" si="2678"/>
        <v>東警察署</v>
      </c>
    </row>
    <row r="7348" spans="1:18" x14ac:dyDescent="0.45">
      <c r="A7348" s="8" t="str">
        <f>"11529000000"</f>
        <v>11529000000</v>
      </c>
      <c r="B7348" s="8" t="str">
        <f>"東警察署"</f>
        <v>東警察署</v>
      </c>
      <c r="C7348" s="8" t="str">
        <f t="shared" si="2667"/>
        <v>行政財産</v>
      </c>
      <c r="D7348" s="8" t="str">
        <f t="shared" si="2669"/>
        <v>警察（消防）施設</v>
      </c>
      <c r="E7348" s="8" t="str">
        <f>"大阪府大阪市　中央区本町１丁目"</f>
        <v>大阪府大阪市　中央区本町１丁目</v>
      </c>
      <c r="F7348" s="8"/>
      <c r="G7348" s="8" t="str">
        <f t="shared" si="2675"/>
        <v>事業用資産</v>
      </c>
      <c r="H7348" s="8" t="str">
        <f t="shared" si="2671"/>
        <v>棚卸以外</v>
      </c>
      <c r="I7348" s="8">
        <v>10</v>
      </c>
      <c r="J7348" s="8" t="str">
        <f>"駐車場"</f>
        <v>駐車場</v>
      </c>
      <c r="K7348" s="8" t="str">
        <f>"パイプ"</f>
        <v>パイプ</v>
      </c>
      <c r="L7348" s="8" t="str">
        <f>"S41.09.28"</f>
        <v>S41.09.28</v>
      </c>
      <c r="M7348" s="8">
        <v>128</v>
      </c>
      <c r="N7348" s="8">
        <v>3291000</v>
      </c>
      <c r="O7348" s="8">
        <v>3290998</v>
      </c>
      <c r="P7348" s="8">
        <v>0</v>
      </c>
      <c r="Q7348" s="8" t="str">
        <f t="shared" si="2679"/>
        <v>公安委員会</v>
      </c>
      <c r="R7348" s="8" t="str">
        <f t="shared" si="2678"/>
        <v>東警察署</v>
      </c>
    </row>
    <row r="7349" spans="1:18" ht="26.4" x14ac:dyDescent="0.45">
      <c r="A7349" s="8" t="str">
        <f>"11529000000"</f>
        <v>11529000000</v>
      </c>
      <c r="B7349" s="8" t="str">
        <f>"東警察署"</f>
        <v>東警察署</v>
      </c>
      <c r="C7349" s="8" t="str">
        <f t="shared" si="2667"/>
        <v>行政財産</v>
      </c>
      <c r="D7349" s="8" t="str">
        <f t="shared" si="2669"/>
        <v>警察（消防）施設</v>
      </c>
      <c r="E7349" s="8" t="str">
        <f>"大阪府大阪市　中央区本町１丁目"</f>
        <v>大阪府大阪市　中央区本町１丁目</v>
      </c>
      <c r="F7349" s="8"/>
      <c r="G7349" s="8" t="str">
        <f t="shared" si="2675"/>
        <v>事業用資産</v>
      </c>
      <c r="H7349" s="8" t="str">
        <f t="shared" si="2671"/>
        <v>棚卸以外</v>
      </c>
      <c r="I7349" s="8">
        <v>13</v>
      </c>
      <c r="J7349" s="8" t="str">
        <f>"庁舎"</f>
        <v>庁舎</v>
      </c>
      <c r="K7349" s="8" t="str">
        <f>"鉄骨鉄筋コンクリート造"</f>
        <v>鉄骨鉄筋コンクリート造</v>
      </c>
      <c r="L7349" s="8" t="str">
        <f>"H04.02.07"</f>
        <v>H04.02.07</v>
      </c>
      <c r="M7349" s="8">
        <v>7689.58</v>
      </c>
      <c r="N7349" s="8">
        <v>2678918053</v>
      </c>
      <c r="O7349" s="8">
        <v>1604005640</v>
      </c>
      <c r="P7349" s="8">
        <v>0</v>
      </c>
      <c r="Q7349" s="8" t="str">
        <f t="shared" si="2679"/>
        <v>公安委員会</v>
      </c>
      <c r="R7349" s="8" t="str">
        <f t="shared" si="2678"/>
        <v>東警察署</v>
      </c>
    </row>
    <row r="7350" spans="1:18" x14ac:dyDescent="0.45">
      <c r="A7350" s="8" t="str">
        <f>"11529000110"</f>
        <v>11529000110</v>
      </c>
      <c r="B7350" s="8" t="str">
        <f>"南久宝寺町交番"</f>
        <v>南久宝寺町交番</v>
      </c>
      <c r="C7350" s="8" t="str">
        <f t="shared" ref="C7350:C7413" si="2680">"行政財産"</f>
        <v>行政財産</v>
      </c>
      <c r="D7350" s="8" t="str">
        <f t="shared" si="2669"/>
        <v>警察（消防）施設</v>
      </c>
      <c r="E7350" s="8" t="str">
        <f>"大阪府大阪市　中央区南久宝寺町１丁目"</f>
        <v>大阪府大阪市　中央区南久宝寺町１丁目</v>
      </c>
      <c r="F7350" s="8"/>
      <c r="G7350" s="8" t="str">
        <f t="shared" si="2675"/>
        <v>事業用資産</v>
      </c>
      <c r="H7350" s="8" t="str">
        <f t="shared" si="2671"/>
        <v>棚卸以外</v>
      </c>
      <c r="I7350" s="8">
        <v>2</v>
      </c>
      <c r="J7350" s="8" t="str">
        <f>"南久宝寺町交番"</f>
        <v>南久宝寺町交番</v>
      </c>
      <c r="K7350" s="8" t="str">
        <f>"鉄骨造"</f>
        <v>鉄骨造</v>
      </c>
      <c r="L7350" s="8" t="str">
        <f>"H08.01.18"</f>
        <v>H08.01.18</v>
      </c>
      <c r="M7350" s="8">
        <v>35.409999999999997</v>
      </c>
      <c r="N7350" s="8">
        <v>14934649</v>
      </c>
      <c r="O7350" s="8">
        <v>10624756</v>
      </c>
      <c r="P7350" s="8">
        <v>0</v>
      </c>
      <c r="Q7350" s="8" t="str">
        <f t="shared" si="2679"/>
        <v>公安委員会</v>
      </c>
      <c r="R7350" s="8" t="str">
        <f t="shared" si="2678"/>
        <v>東警察署</v>
      </c>
    </row>
    <row r="7351" spans="1:18" x14ac:dyDescent="0.45">
      <c r="A7351" s="8" t="str">
        <f>"11529000250"</f>
        <v>11529000250</v>
      </c>
      <c r="B7351" s="8" t="str">
        <f>"南大江交番"</f>
        <v>南大江交番</v>
      </c>
      <c r="C7351" s="8" t="str">
        <f t="shared" si="2680"/>
        <v>行政財産</v>
      </c>
      <c r="D7351" s="8" t="str">
        <f t="shared" si="2669"/>
        <v>警察（消防）施設</v>
      </c>
      <c r="E7351" s="8" t="str">
        <f>"大阪府大阪市　中央区谷町４丁目"</f>
        <v>大阪府大阪市　中央区谷町４丁目</v>
      </c>
      <c r="F7351" s="8"/>
      <c r="G7351" s="8" t="str">
        <f t="shared" si="2675"/>
        <v>事業用資産</v>
      </c>
      <c r="H7351" s="8" t="str">
        <f t="shared" si="2671"/>
        <v>棚卸以外</v>
      </c>
      <c r="I7351" s="8">
        <v>1</v>
      </c>
      <c r="J7351" s="8" t="str">
        <f>"南大江交番"</f>
        <v>南大江交番</v>
      </c>
      <c r="K7351" s="8" t="str">
        <f>"鉄骨造"</f>
        <v>鉄骨造</v>
      </c>
      <c r="L7351" s="8" t="str">
        <f>"S49.03.30"</f>
        <v>S49.03.30</v>
      </c>
      <c r="M7351" s="8">
        <v>50.4</v>
      </c>
      <c r="N7351" s="8">
        <v>11468877</v>
      </c>
      <c r="O7351" s="8">
        <v>7591067</v>
      </c>
      <c r="P7351" s="8">
        <v>0</v>
      </c>
      <c r="Q7351" s="8" t="str">
        <f t="shared" si="2679"/>
        <v>公安委員会</v>
      </c>
      <c r="R7351" s="8" t="str">
        <f t="shared" si="2678"/>
        <v>東警察署</v>
      </c>
    </row>
    <row r="7352" spans="1:18" x14ac:dyDescent="0.45">
      <c r="A7352" s="8" t="str">
        <f>"11529003009"</f>
        <v>11529003009</v>
      </c>
      <c r="B7352" s="8" t="str">
        <f>"平野町交番"</f>
        <v>平野町交番</v>
      </c>
      <c r="C7352" s="8" t="str">
        <f t="shared" si="2680"/>
        <v>行政財産</v>
      </c>
      <c r="D7352" s="8" t="str">
        <f t="shared" si="2669"/>
        <v>警察（消防）施設</v>
      </c>
      <c r="E7352" s="8" t="str">
        <f>"大阪府大阪市　中央区安土町１丁目"</f>
        <v>大阪府大阪市　中央区安土町１丁目</v>
      </c>
      <c r="F7352" s="8"/>
      <c r="G7352" s="8" t="str">
        <f t="shared" si="2675"/>
        <v>事業用資産</v>
      </c>
      <c r="H7352" s="8" t="str">
        <f t="shared" si="2671"/>
        <v>棚卸以外</v>
      </c>
      <c r="I7352" s="8">
        <v>1</v>
      </c>
      <c r="J7352" s="8" t="str">
        <f>"平野町交番"</f>
        <v>平野町交番</v>
      </c>
      <c r="K7352" s="8" t="str">
        <f>"鉄骨造"</f>
        <v>鉄骨造</v>
      </c>
      <c r="L7352" s="8" t="str">
        <f>"H26.03.28"</f>
        <v>H26.03.28</v>
      </c>
      <c r="M7352" s="8">
        <v>54.4</v>
      </c>
      <c r="N7352" s="8">
        <v>25838484</v>
      </c>
      <c r="O7352" s="8">
        <v>7910836</v>
      </c>
      <c r="P7352" s="8">
        <v>0</v>
      </c>
      <c r="Q7352" s="8" t="str">
        <f t="shared" si="2679"/>
        <v>公安委員会</v>
      </c>
      <c r="R7352" s="8" t="str">
        <f t="shared" si="2678"/>
        <v>東警察署</v>
      </c>
    </row>
    <row r="7353" spans="1:18" x14ac:dyDescent="0.45">
      <c r="A7353" s="8" t="str">
        <f>"11521000528"</f>
        <v>11521000528</v>
      </c>
      <c r="B7353" s="8" t="str">
        <f>"第一別館"</f>
        <v>第一別館</v>
      </c>
      <c r="C7353" s="8" t="str">
        <f t="shared" si="2680"/>
        <v>行政財産</v>
      </c>
      <c r="D7353" s="8" t="str">
        <f t="shared" si="2669"/>
        <v>警察（消防）施設</v>
      </c>
      <c r="E7353" s="8" t="str">
        <f>"大阪府大阪市　中央区南船場１丁目"</f>
        <v>大阪府大阪市　中央区南船場１丁目</v>
      </c>
      <c r="F7353" s="8"/>
      <c r="G7353" s="8" t="str">
        <f t="shared" si="2675"/>
        <v>事業用資産</v>
      </c>
      <c r="H7353" s="8" t="str">
        <f t="shared" si="2671"/>
        <v>棚卸以外</v>
      </c>
      <c r="I7353" s="8">
        <v>1</v>
      </c>
      <c r="J7353" s="8" t="str">
        <f>"庁舎"</f>
        <v>庁舎</v>
      </c>
      <c r="K7353" s="8" t="str">
        <f>"鉄骨造"</f>
        <v>鉄骨造</v>
      </c>
      <c r="L7353" s="8" t="str">
        <f>"H13.01.24"</f>
        <v>H13.01.24</v>
      </c>
      <c r="M7353" s="8">
        <v>200.05</v>
      </c>
      <c r="N7353" s="8">
        <v>57998666</v>
      </c>
      <c r="O7353" s="8">
        <v>33688270</v>
      </c>
      <c r="P7353" s="8">
        <v>0</v>
      </c>
      <c r="Q7353" s="8" t="str">
        <f t="shared" si="2679"/>
        <v>公安委員会</v>
      </c>
      <c r="R7353" s="8" t="str">
        <f t="shared" ref="R7353:R7369" si="2681">"南警察署"</f>
        <v>南警察署</v>
      </c>
    </row>
    <row r="7354" spans="1:18" ht="26.4" x14ac:dyDescent="0.45">
      <c r="A7354" s="8" t="str">
        <f>"11530000000"</f>
        <v>11530000000</v>
      </c>
      <c r="B7354" s="8" t="str">
        <f>"南警察署"</f>
        <v>南警察署</v>
      </c>
      <c r="C7354" s="8" t="str">
        <f t="shared" si="2680"/>
        <v>行政財産</v>
      </c>
      <c r="D7354" s="8" t="str">
        <f t="shared" si="2669"/>
        <v>警察（消防）施設</v>
      </c>
      <c r="E7354" s="8" t="str">
        <f>"大阪府大阪市　中央区東心斎橋１丁目"</f>
        <v>大阪府大阪市　中央区東心斎橋１丁目</v>
      </c>
      <c r="F7354" s="8"/>
      <c r="G7354" s="8" t="str">
        <f t="shared" si="2675"/>
        <v>事業用資産</v>
      </c>
      <c r="H7354" s="8" t="str">
        <f t="shared" si="2671"/>
        <v>棚卸以外</v>
      </c>
      <c r="I7354" s="8">
        <v>21</v>
      </c>
      <c r="J7354" s="8" t="str">
        <f>"庁舎"</f>
        <v>庁舎</v>
      </c>
      <c r="K7354" s="8" t="str">
        <f>"鉄骨鉄筋コンクリート造"</f>
        <v>鉄骨鉄筋コンクリート造</v>
      </c>
      <c r="L7354" s="8" t="str">
        <f>"S62.11.20"</f>
        <v>S62.11.20</v>
      </c>
      <c r="M7354" s="8">
        <v>7311.27</v>
      </c>
      <c r="N7354" s="8">
        <v>1934759308</v>
      </c>
      <c r="O7354" s="8">
        <v>1356869788</v>
      </c>
      <c r="P7354" s="8">
        <v>0</v>
      </c>
      <c r="Q7354" s="8" t="str">
        <f t="shared" si="2679"/>
        <v>公安委員会</v>
      </c>
      <c r="R7354" s="8" t="str">
        <f t="shared" si="2681"/>
        <v>南警察署</v>
      </c>
    </row>
    <row r="7355" spans="1:18" x14ac:dyDescent="0.45">
      <c r="A7355" s="8" t="str">
        <f>"11530000000"</f>
        <v>11530000000</v>
      </c>
      <c r="B7355" s="8" t="str">
        <f>"南警察署"</f>
        <v>南警察署</v>
      </c>
      <c r="C7355" s="8" t="str">
        <f t="shared" si="2680"/>
        <v>行政財産</v>
      </c>
      <c r="D7355" s="8" t="str">
        <f t="shared" si="2669"/>
        <v>警察（消防）施設</v>
      </c>
      <c r="E7355" s="8" t="str">
        <f>"大阪府大阪市　中央区東心斎橋１丁目"</f>
        <v>大阪府大阪市　中央区東心斎橋１丁目</v>
      </c>
      <c r="F7355" s="8"/>
      <c r="G7355" s="8" t="str">
        <f t="shared" si="2675"/>
        <v>事業用資産</v>
      </c>
      <c r="H7355" s="8" t="str">
        <f t="shared" si="2671"/>
        <v>棚卸以外</v>
      </c>
      <c r="I7355" s="8">
        <v>22</v>
      </c>
      <c r="J7355" s="8" t="str">
        <f>"附属棟"</f>
        <v>附属棟</v>
      </c>
      <c r="K7355" s="8" t="str">
        <f>"鉄筋コンクリート造"</f>
        <v>鉄筋コンクリート造</v>
      </c>
      <c r="L7355" s="8" t="str">
        <f>"S62.11.20"</f>
        <v>S62.11.20</v>
      </c>
      <c r="M7355" s="8">
        <v>63.85</v>
      </c>
      <c r="N7355" s="8">
        <v>10252302</v>
      </c>
      <c r="O7355" s="8">
        <v>7142560</v>
      </c>
      <c r="P7355" s="8">
        <v>0</v>
      </c>
      <c r="Q7355" s="8" t="str">
        <f t="shared" si="2679"/>
        <v>公安委員会</v>
      </c>
      <c r="R7355" s="8" t="str">
        <f t="shared" si="2681"/>
        <v>南警察署</v>
      </c>
    </row>
    <row r="7356" spans="1:18" x14ac:dyDescent="0.45">
      <c r="A7356" s="8" t="str">
        <f>"11530000000"</f>
        <v>11530000000</v>
      </c>
      <c r="B7356" s="8" t="str">
        <f>"南警察署"</f>
        <v>南警察署</v>
      </c>
      <c r="C7356" s="8" t="str">
        <f t="shared" si="2680"/>
        <v>行政財産</v>
      </c>
      <c r="D7356" s="8" t="str">
        <f t="shared" ref="D7356:D7419" si="2682">"警察（消防）施設"</f>
        <v>警察（消防）施設</v>
      </c>
      <c r="E7356" s="8" t="str">
        <f>"大阪府大阪市　中央区東心斎橋１丁目"</f>
        <v>大阪府大阪市　中央区東心斎橋１丁目</v>
      </c>
      <c r="F7356" s="8"/>
      <c r="G7356" s="8" t="str">
        <f t="shared" si="2675"/>
        <v>事業用資産</v>
      </c>
      <c r="H7356" s="8" t="str">
        <f t="shared" si="2671"/>
        <v>棚卸以外</v>
      </c>
      <c r="I7356" s="8">
        <v>23</v>
      </c>
      <c r="J7356" s="8" t="str">
        <f>"ゴミステ―ション"</f>
        <v>ゴミステ―ション</v>
      </c>
      <c r="K7356" s="8" t="str">
        <f>"鉄筋コンクリート造"</f>
        <v>鉄筋コンクリート造</v>
      </c>
      <c r="L7356" s="8" t="str">
        <f>"S62.11.20"</f>
        <v>S62.11.20</v>
      </c>
      <c r="M7356" s="8">
        <v>4</v>
      </c>
      <c r="N7356" s="8">
        <v>606917</v>
      </c>
      <c r="O7356" s="8">
        <v>544488</v>
      </c>
      <c r="P7356" s="8">
        <v>0</v>
      </c>
      <c r="Q7356" s="8" t="str">
        <f t="shared" si="2679"/>
        <v>公安委員会</v>
      </c>
      <c r="R7356" s="8" t="str">
        <f t="shared" si="2681"/>
        <v>南警察署</v>
      </c>
    </row>
    <row r="7357" spans="1:18" x14ac:dyDescent="0.45">
      <c r="A7357" s="8" t="str">
        <f>"11530000000"</f>
        <v>11530000000</v>
      </c>
      <c r="B7357" s="8" t="str">
        <f>"南警察署"</f>
        <v>南警察署</v>
      </c>
      <c r="C7357" s="8" t="str">
        <f t="shared" si="2680"/>
        <v>行政財産</v>
      </c>
      <c r="D7357" s="8" t="str">
        <f t="shared" si="2682"/>
        <v>警察（消防）施設</v>
      </c>
      <c r="E7357" s="8" t="str">
        <f>"大阪府大阪市　中央区東心斎橋１丁目"</f>
        <v>大阪府大阪市　中央区東心斎橋１丁目</v>
      </c>
      <c r="F7357" s="8"/>
      <c r="G7357" s="8" t="str">
        <f t="shared" si="2675"/>
        <v>事業用資産</v>
      </c>
      <c r="H7357" s="8" t="str">
        <f t="shared" si="2671"/>
        <v>棚卸以外</v>
      </c>
      <c r="I7357" s="8">
        <v>24</v>
      </c>
      <c r="J7357" s="8" t="str">
        <f>"ポンプ室"</f>
        <v>ポンプ室</v>
      </c>
      <c r="K7357" s="8" t="str">
        <f>"鉄筋コンクリート造"</f>
        <v>鉄筋コンクリート造</v>
      </c>
      <c r="L7357" s="8" t="str">
        <f>"S62.11.20"</f>
        <v>S62.11.20</v>
      </c>
      <c r="M7357" s="8">
        <v>1.8</v>
      </c>
      <c r="N7357" s="8">
        <v>260000</v>
      </c>
      <c r="O7357" s="8">
        <v>242104</v>
      </c>
      <c r="P7357" s="8">
        <v>0</v>
      </c>
      <c r="Q7357" s="8" t="str">
        <f t="shared" si="2679"/>
        <v>公安委員会</v>
      </c>
      <c r="R7357" s="8" t="str">
        <f t="shared" si="2681"/>
        <v>南警察署</v>
      </c>
    </row>
    <row r="7358" spans="1:18" x14ac:dyDescent="0.45">
      <c r="A7358" s="8" t="str">
        <f>"11530000000"</f>
        <v>11530000000</v>
      </c>
      <c r="B7358" s="8" t="str">
        <f>"南警察署"</f>
        <v>南警察署</v>
      </c>
      <c r="C7358" s="8" t="str">
        <f t="shared" si="2680"/>
        <v>行政財産</v>
      </c>
      <c r="D7358" s="8" t="str">
        <f t="shared" si="2682"/>
        <v>警察（消防）施設</v>
      </c>
      <c r="E7358" s="8" t="str">
        <f>"大阪府大阪市　中央区東心斎橋１丁目"</f>
        <v>大阪府大阪市　中央区東心斎橋１丁目</v>
      </c>
      <c r="F7358" s="8"/>
      <c r="G7358" s="8" t="str">
        <f t="shared" si="2675"/>
        <v>事業用資産</v>
      </c>
      <c r="H7358" s="8" t="str">
        <f t="shared" si="2671"/>
        <v>棚卸以外</v>
      </c>
      <c r="I7358" s="8">
        <v>25</v>
      </c>
      <c r="J7358" s="8" t="str">
        <f>"ゴミ置場"</f>
        <v>ゴミ置場</v>
      </c>
      <c r="K7358" s="8" t="str">
        <f>"コンクリートブロック造"</f>
        <v>コンクリートブロック造</v>
      </c>
      <c r="L7358" s="8" t="str">
        <f>"H11.03.30"</f>
        <v>H11.03.30</v>
      </c>
      <c r="M7358" s="8">
        <v>3.8</v>
      </c>
      <c r="N7358" s="8">
        <v>267000</v>
      </c>
      <c r="O7358" s="8">
        <v>188640</v>
      </c>
      <c r="P7358" s="8">
        <v>0</v>
      </c>
      <c r="Q7358" s="8" t="str">
        <f t="shared" si="2679"/>
        <v>公安委員会</v>
      </c>
      <c r="R7358" s="8" t="str">
        <f t="shared" si="2681"/>
        <v>南警察署</v>
      </c>
    </row>
    <row r="7359" spans="1:18" x14ac:dyDescent="0.45">
      <c r="A7359" s="8" t="str">
        <f>"11530000100"</f>
        <v>11530000100</v>
      </c>
      <c r="B7359" s="8" t="str">
        <f>"戎橋交番"</f>
        <v>戎橋交番</v>
      </c>
      <c r="C7359" s="8" t="str">
        <f t="shared" si="2680"/>
        <v>行政財産</v>
      </c>
      <c r="D7359" s="8" t="str">
        <f t="shared" si="2682"/>
        <v>警察（消防）施設</v>
      </c>
      <c r="E7359" s="8" t="str">
        <f>"大阪府大阪市　中央区道頓堀１丁目"</f>
        <v>大阪府大阪市　中央区道頓堀１丁目</v>
      </c>
      <c r="F7359" s="8"/>
      <c r="G7359" s="8" t="str">
        <f t="shared" si="2675"/>
        <v>事業用資産</v>
      </c>
      <c r="H7359" s="8" t="str">
        <f t="shared" si="2671"/>
        <v>棚卸以外</v>
      </c>
      <c r="I7359" s="8">
        <v>3</v>
      </c>
      <c r="J7359" s="8" t="str">
        <f>"戎橋交番"</f>
        <v>戎橋交番</v>
      </c>
      <c r="K7359" s="8" t="str">
        <f>"鉄筋コンクリート造"</f>
        <v>鉄筋コンクリート造</v>
      </c>
      <c r="L7359" s="8" t="str">
        <f>"H10.06.30"</f>
        <v>H10.06.30</v>
      </c>
      <c r="M7359" s="8">
        <v>188.57</v>
      </c>
      <c r="N7359" s="8">
        <v>240733429</v>
      </c>
      <c r="O7359" s="8">
        <v>119056353</v>
      </c>
      <c r="P7359" s="8">
        <v>0</v>
      </c>
      <c r="Q7359" s="8" t="str">
        <f t="shared" si="2679"/>
        <v>公安委員会</v>
      </c>
      <c r="R7359" s="8" t="str">
        <f t="shared" si="2681"/>
        <v>南警察署</v>
      </c>
    </row>
    <row r="7360" spans="1:18" x14ac:dyDescent="0.45">
      <c r="A7360" s="8" t="str">
        <f>"11530000130"</f>
        <v>11530000130</v>
      </c>
      <c r="B7360" s="8" t="str">
        <f>"東平交番"</f>
        <v>東平交番</v>
      </c>
      <c r="C7360" s="8" t="str">
        <f t="shared" si="2680"/>
        <v>行政財産</v>
      </c>
      <c r="D7360" s="8" t="str">
        <f t="shared" si="2682"/>
        <v>警察（消防）施設</v>
      </c>
      <c r="E7360" s="8" t="str">
        <f>"大阪府大阪市　中央区上本町西５丁目"</f>
        <v>大阪府大阪市　中央区上本町西５丁目</v>
      </c>
      <c r="F7360" s="8"/>
      <c r="G7360" s="8" t="str">
        <f t="shared" si="2675"/>
        <v>事業用資産</v>
      </c>
      <c r="H7360" s="8" t="str">
        <f t="shared" si="2671"/>
        <v>棚卸以外</v>
      </c>
      <c r="I7360" s="8">
        <v>2</v>
      </c>
      <c r="J7360" s="8" t="str">
        <f>"東平交番"</f>
        <v>東平交番</v>
      </c>
      <c r="K7360" s="8" t="str">
        <f>"鉄筋コンクリート造"</f>
        <v>鉄筋コンクリート造</v>
      </c>
      <c r="L7360" s="8" t="str">
        <f>"S47.03.29"</f>
        <v>S47.03.29</v>
      </c>
      <c r="M7360" s="8">
        <v>34.799999999999997</v>
      </c>
      <c r="N7360" s="8">
        <v>2635202</v>
      </c>
      <c r="O7360" s="8">
        <v>2548422</v>
      </c>
      <c r="P7360" s="8">
        <v>0</v>
      </c>
      <c r="Q7360" s="8" t="str">
        <f t="shared" si="2679"/>
        <v>公安委員会</v>
      </c>
      <c r="R7360" s="8" t="str">
        <f t="shared" si="2681"/>
        <v>南警察署</v>
      </c>
    </row>
    <row r="7361" spans="1:18" x14ac:dyDescent="0.45">
      <c r="A7361" s="8" t="str">
        <f>"11530000230"</f>
        <v>11530000230</v>
      </c>
      <c r="B7361" s="8" t="str">
        <f>"道頓堀交番"</f>
        <v>道頓堀交番</v>
      </c>
      <c r="C7361" s="8" t="str">
        <f t="shared" si="2680"/>
        <v>行政財産</v>
      </c>
      <c r="D7361" s="8" t="str">
        <f t="shared" si="2682"/>
        <v>警察（消防）施設</v>
      </c>
      <c r="E7361" s="8" t="str">
        <f>"大阪府大阪市　中央区宗右衛門町"</f>
        <v>大阪府大阪市　中央区宗右衛門町</v>
      </c>
      <c r="F7361" s="8"/>
      <c r="G7361" s="8" t="str">
        <f t="shared" si="2675"/>
        <v>事業用資産</v>
      </c>
      <c r="H7361" s="8" t="str">
        <f t="shared" si="2671"/>
        <v>棚卸以外</v>
      </c>
      <c r="I7361" s="8">
        <v>1</v>
      </c>
      <c r="J7361" s="8" t="str">
        <f>"道頓堀交番"</f>
        <v>道頓堀交番</v>
      </c>
      <c r="K7361" s="8" t="str">
        <f>"鉄筋コンクリート造"</f>
        <v>鉄筋コンクリート造</v>
      </c>
      <c r="L7361" s="8" t="str">
        <f>"S37.12.11"</f>
        <v>S37.12.11</v>
      </c>
      <c r="M7361" s="8">
        <v>124.19</v>
      </c>
      <c r="N7361" s="8">
        <v>17553345</v>
      </c>
      <c r="O7361" s="8">
        <v>11329114</v>
      </c>
      <c r="P7361" s="8">
        <v>0</v>
      </c>
      <c r="Q7361" s="8" t="str">
        <f t="shared" si="2679"/>
        <v>公安委員会</v>
      </c>
      <c r="R7361" s="8" t="str">
        <f t="shared" si="2681"/>
        <v>南警察署</v>
      </c>
    </row>
    <row r="7362" spans="1:18" x14ac:dyDescent="0.45">
      <c r="A7362" s="8" t="str">
        <f>"11530000230"</f>
        <v>11530000230</v>
      </c>
      <c r="B7362" s="8" t="str">
        <f>"道頓堀交番"</f>
        <v>道頓堀交番</v>
      </c>
      <c r="C7362" s="8" t="str">
        <f t="shared" si="2680"/>
        <v>行政財産</v>
      </c>
      <c r="D7362" s="8" t="str">
        <f t="shared" si="2682"/>
        <v>警察（消防）施設</v>
      </c>
      <c r="E7362" s="8" t="str">
        <f>"大阪府大阪市　中央区宗右衛門町"</f>
        <v>大阪府大阪市　中央区宗右衛門町</v>
      </c>
      <c r="F7362" s="8"/>
      <c r="G7362" s="8" t="str">
        <f t="shared" si="2675"/>
        <v>事業用資産</v>
      </c>
      <c r="H7362" s="8" t="str">
        <f t="shared" si="2671"/>
        <v>棚卸以外</v>
      </c>
      <c r="I7362" s="8">
        <v>2</v>
      </c>
      <c r="J7362" s="8" t="str">
        <f>"車庫"</f>
        <v>車庫</v>
      </c>
      <c r="K7362" s="8" t="str">
        <f>"鉄骨造"</f>
        <v>鉄骨造</v>
      </c>
      <c r="L7362" s="8" t="str">
        <f>"S49.07.31"</f>
        <v>S49.07.31</v>
      </c>
      <c r="M7362" s="8">
        <v>51.1</v>
      </c>
      <c r="N7362" s="8">
        <v>3800000</v>
      </c>
      <c r="O7362" s="8">
        <v>3799999</v>
      </c>
      <c r="P7362" s="8">
        <v>0</v>
      </c>
      <c r="Q7362" s="8" t="str">
        <f t="shared" si="2679"/>
        <v>公安委員会</v>
      </c>
      <c r="R7362" s="8" t="str">
        <f t="shared" si="2681"/>
        <v>南警察署</v>
      </c>
    </row>
    <row r="7363" spans="1:18" x14ac:dyDescent="0.45">
      <c r="A7363" s="8" t="str">
        <f>"11530000240"</f>
        <v>11530000240</v>
      </c>
      <c r="B7363" s="8" t="str">
        <f>"千日前交番"</f>
        <v>千日前交番</v>
      </c>
      <c r="C7363" s="8" t="str">
        <f t="shared" si="2680"/>
        <v>行政財産</v>
      </c>
      <c r="D7363" s="8" t="str">
        <f t="shared" si="2682"/>
        <v>警察（消防）施設</v>
      </c>
      <c r="E7363" s="8" t="str">
        <f>"大阪府大阪市　中央区千日前２丁目"</f>
        <v>大阪府大阪市　中央区千日前２丁目</v>
      </c>
      <c r="F7363" s="8"/>
      <c r="G7363" s="8" t="str">
        <f t="shared" si="2675"/>
        <v>事業用資産</v>
      </c>
      <c r="H7363" s="8" t="str">
        <f t="shared" si="2671"/>
        <v>棚卸以外</v>
      </c>
      <c r="I7363" s="8">
        <v>3</v>
      </c>
      <c r="J7363" s="8" t="str">
        <f>"千日前交番"</f>
        <v>千日前交番</v>
      </c>
      <c r="K7363" s="8" t="str">
        <f>"鉄骨造"</f>
        <v>鉄骨造</v>
      </c>
      <c r="L7363" s="8" t="str">
        <f>"H08.02.29"</f>
        <v>H08.02.29</v>
      </c>
      <c r="M7363" s="8">
        <v>104</v>
      </c>
      <c r="N7363" s="8">
        <v>34258714</v>
      </c>
      <c r="O7363" s="8">
        <v>24406581</v>
      </c>
      <c r="P7363" s="8">
        <v>0</v>
      </c>
      <c r="Q7363" s="8" t="str">
        <f t="shared" si="2679"/>
        <v>公安委員会</v>
      </c>
      <c r="R7363" s="8" t="str">
        <f t="shared" si="2681"/>
        <v>南警察署</v>
      </c>
    </row>
    <row r="7364" spans="1:18" x14ac:dyDescent="0.45">
      <c r="A7364" s="8" t="str">
        <f>"11530000300"</f>
        <v>11530000300</v>
      </c>
      <c r="B7364" s="8" t="str">
        <f>"長堀交番"</f>
        <v>長堀交番</v>
      </c>
      <c r="C7364" s="8" t="str">
        <f t="shared" si="2680"/>
        <v>行政財産</v>
      </c>
      <c r="D7364" s="8" t="str">
        <f t="shared" si="2682"/>
        <v>警察（消防）施設</v>
      </c>
      <c r="E7364" s="8" t="str">
        <f>"大阪府大阪市　中央区島之内１丁目"</f>
        <v>大阪府大阪市　中央区島之内１丁目</v>
      </c>
      <c r="F7364" s="8"/>
      <c r="G7364" s="8" t="str">
        <f t="shared" si="2675"/>
        <v>事業用資産</v>
      </c>
      <c r="H7364" s="8" t="str">
        <f t="shared" ref="H7364:H7427" si="2683">"棚卸以外"</f>
        <v>棚卸以外</v>
      </c>
      <c r="I7364" s="8">
        <v>1</v>
      </c>
      <c r="J7364" s="8" t="str">
        <f>"長堀交番"</f>
        <v>長堀交番</v>
      </c>
      <c r="K7364" s="8" t="str">
        <f>"鉄筋コンクリート造"</f>
        <v>鉄筋コンクリート造</v>
      </c>
      <c r="L7364" s="8" t="str">
        <f>"S43.03.30"</f>
        <v>S43.03.30</v>
      </c>
      <c r="M7364" s="8">
        <v>164.16</v>
      </c>
      <c r="N7364" s="8">
        <v>10405800</v>
      </c>
      <c r="O7364" s="8">
        <v>10269602</v>
      </c>
      <c r="P7364" s="8">
        <v>0</v>
      </c>
      <c r="Q7364" s="8" t="str">
        <f t="shared" si="2679"/>
        <v>公安委員会</v>
      </c>
      <c r="R7364" s="8" t="str">
        <f t="shared" si="2681"/>
        <v>南警察署</v>
      </c>
    </row>
    <row r="7365" spans="1:18" x14ac:dyDescent="0.45">
      <c r="A7365" s="8" t="str">
        <f>"11530000310"</f>
        <v>11530000310</v>
      </c>
      <c r="B7365" s="8" t="str">
        <f>"西心斎橋交番"</f>
        <v>西心斎橋交番</v>
      </c>
      <c r="C7365" s="8" t="str">
        <f t="shared" si="2680"/>
        <v>行政財産</v>
      </c>
      <c r="D7365" s="8" t="str">
        <f t="shared" si="2682"/>
        <v>警察（消防）施設</v>
      </c>
      <c r="E7365" s="8" t="str">
        <f>"大阪府大阪市　中央区西心斎橋２丁目"</f>
        <v>大阪府大阪市　中央区西心斎橋２丁目</v>
      </c>
      <c r="F7365" s="8"/>
      <c r="G7365" s="8" t="str">
        <f t="shared" si="2675"/>
        <v>事業用資産</v>
      </c>
      <c r="H7365" s="8" t="str">
        <f t="shared" si="2683"/>
        <v>棚卸以外</v>
      </c>
      <c r="I7365" s="8">
        <v>1</v>
      </c>
      <c r="J7365" s="8" t="str">
        <f>"西心斎橋交番"</f>
        <v>西心斎橋交番</v>
      </c>
      <c r="K7365" s="8" t="str">
        <f>"鉄筋コンクリート造"</f>
        <v>鉄筋コンクリート造</v>
      </c>
      <c r="L7365" s="8" t="str">
        <f>"S44.03.31"</f>
        <v>S44.03.31</v>
      </c>
      <c r="M7365" s="8">
        <v>86.52</v>
      </c>
      <c r="N7365" s="8">
        <v>5020274</v>
      </c>
      <c r="O7365" s="8">
        <v>4978076</v>
      </c>
      <c r="P7365" s="8">
        <v>0</v>
      </c>
      <c r="Q7365" s="8" t="str">
        <f t="shared" si="2679"/>
        <v>公安委員会</v>
      </c>
      <c r="R7365" s="8" t="str">
        <f t="shared" si="2681"/>
        <v>南警察署</v>
      </c>
    </row>
    <row r="7366" spans="1:18" x14ac:dyDescent="0.45">
      <c r="A7366" s="8" t="str">
        <f>"11530000320"</f>
        <v>11530000320</v>
      </c>
      <c r="B7366" s="8" t="str">
        <f>"高津交番"</f>
        <v>高津交番</v>
      </c>
      <c r="C7366" s="8" t="str">
        <f t="shared" si="2680"/>
        <v>行政財産</v>
      </c>
      <c r="D7366" s="8" t="str">
        <f t="shared" si="2682"/>
        <v>警察（消防）施設</v>
      </c>
      <c r="E7366" s="8" t="str">
        <f>"大阪府大阪市　中央区高津３丁目"</f>
        <v>大阪府大阪市　中央区高津３丁目</v>
      </c>
      <c r="F7366" s="8"/>
      <c r="G7366" s="8" t="str">
        <f t="shared" si="2675"/>
        <v>事業用資産</v>
      </c>
      <c r="H7366" s="8" t="str">
        <f t="shared" si="2683"/>
        <v>棚卸以外</v>
      </c>
      <c r="I7366" s="8">
        <v>2</v>
      </c>
      <c r="J7366" s="8" t="str">
        <f>"高津交番"</f>
        <v>高津交番</v>
      </c>
      <c r="K7366" s="8" t="str">
        <f>"軽量鉄骨造"</f>
        <v>軽量鉄骨造</v>
      </c>
      <c r="L7366" s="8" t="str">
        <f>"H25.03.29"</f>
        <v>H25.03.29</v>
      </c>
      <c r="M7366" s="8">
        <v>73.849999999999994</v>
      </c>
      <c r="N7366" s="8">
        <v>20644269</v>
      </c>
      <c r="O7366" s="8">
        <v>8085796</v>
      </c>
      <c r="P7366" s="8">
        <v>0</v>
      </c>
      <c r="Q7366" s="8" t="str">
        <f t="shared" si="2679"/>
        <v>公安委員会</v>
      </c>
      <c r="R7366" s="8" t="str">
        <f t="shared" si="2681"/>
        <v>南警察署</v>
      </c>
    </row>
    <row r="7367" spans="1:18" x14ac:dyDescent="0.45">
      <c r="A7367" s="8" t="str">
        <f>"11530000320"</f>
        <v>11530000320</v>
      </c>
      <c r="B7367" s="8" t="str">
        <f>"高津交番"</f>
        <v>高津交番</v>
      </c>
      <c r="C7367" s="8" t="str">
        <f t="shared" si="2680"/>
        <v>行政財産</v>
      </c>
      <c r="D7367" s="8" t="str">
        <f t="shared" si="2682"/>
        <v>警察（消防）施設</v>
      </c>
      <c r="E7367" s="8" t="str">
        <f>"大阪府大阪市　中央区高津３丁目"</f>
        <v>大阪府大阪市　中央区高津３丁目</v>
      </c>
      <c r="F7367" s="8"/>
      <c r="G7367" s="8" t="str">
        <f t="shared" si="2675"/>
        <v>事業用資産</v>
      </c>
      <c r="H7367" s="8" t="str">
        <f t="shared" si="2683"/>
        <v>棚卸以外</v>
      </c>
      <c r="I7367" s="8">
        <v>3</v>
      </c>
      <c r="J7367" s="8" t="str">
        <f>"防災倉庫"</f>
        <v>防災倉庫</v>
      </c>
      <c r="K7367" s="8" t="str">
        <f>"土蔵造(簡易建物)"</f>
        <v>土蔵造(簡易建物)</v>
      </c>
      <c r="L7367" s="8" t="str">
        <f>"H25.03.29"</f>
        <v>H25.03.29</v>
      </c>
      <c r="M7367" s="8">
        <v>1.96</v>
      </c>
      <c r="N7367" s="8">
        <v>71914</v>
      </c>
      <c r="O7367" s="8">
        <v>30000</v>
      </c>
      <c r="P7367" s="8">
        <v>0</v>
      </c>
      <c r="Q7367" s="8" t="str">
        <f t="shared" si="2679"/>
        <v>公安委員会</v>
      </c>
      <c r="R7367" s="8" t="str">
        <f t="shared" si="2681"/>
        <v>南警察署</v>
      </c>
    </row>
    <row r="7368" spans="1:18" x14ac:dyDescent="0.45">
      <c r="A7368" s="8" t="str">
        <f>"11530000330"</f>
        <v>11530000330</v>
      </c>
      <c r="B7368" s="8" t="str">
        <f>"難波３丁目交通警察官詰所"</f>
        <v>難波３丁目交通警察官詰所</v>
      </c>
      <c r="C7368" s="8" t="str">
        <f t="shared" si="2680"/>
        <v>行政財産</v>
      </c>
      <c r="D7368" s="8" t="str">
        <f t="shared" si="2682"/>
        <v>警察（消防）施設</v>
      </c>
      <c r="E7368" s="8" t="str">
        <f>"大阪府大阪市　中央区難波３丁目"</f>
        <v>大阪府大阪市　中央区難波３丁目</v>
      </c>
      <c r="F7368" s="8"/>
      <c r="G7368" s="8" t="str">
        <f t="shared" si="2675"/>
        <v>事業用資産</v>
      </c>
      <c r="H7368" s="8" t="str">
        <f t="shared" si="2683"/>
        <v>棚卸以外</v>
      </c>
      <c r="I7368" s="8">
        <v>2</v>
      </c>
      <c r="J7368" s="8" t="str">
        <f>"難波３丁目交通警察官詰所"</f>
        <v>難波３丁目交通警察官詰所</v>
      </c>
      <c r="K7368" s="8" t="str">
        <f>"鉄筋コンクリート造"</f>
        <v>鉄筋コンクリート造</v>
      </c>
      <c r="L7368" s="8" t="str">
        <f>"H17.01.19"</f>
        <v>H17.01.19</v>
      </c>
      <c r="M7368" s="8">
        <v>12.25</v>
      </c>
      <c r="N7368" s="8">
        <v>12877000</v>
      </c>
      <c r="O7368" s="8">
        <v>4678716</v>
      </c>
      <c r="P7368" s="8">
        <v>0</v>
      </c>
      <c r="Q7368" s="8" t="str">
        <f t="shared" si="2679"/>
        <v>公安委員会</v>
      </c>
      <c r="R7368" s="8" t="str">
        <f t="shared" si="2681"/>
        <v>南警察署</v>
      </c>
    </row>
    <row r="7369" spans="1:18" x14ac:dyDescent="0.45">
      <c r="A7369" s="8" t="str">
        <f>"11530003006"</f>
        <v>11530003006</v>
      </c>
      <c r="B7369" s="8" t="str">
        <f>"南警察署　第二別館"</f>
        <v>南警察署　第二別館</v>
      </c>
      <c r="C7369" s="8" t="str">
        <f t="shared" si="2680"/>
        <v>行政財産</v>
      </c>
      <c r="D7369" s="8" t="str">
        <f t="shared" si="2682"/>
        <v>警察（消防）施設</v>
      </c>
      <c r="E7369" s="8" t="str">
        <f>"大阪府大阪市　中央区島之内１丁目"</f>
        <v>大阪府大阪市　中央区島之内１丁目</v>
      </c>
      <c r="F7369" s="8"/>
      <c r="G7369" s="8" t="str">
        <f t="shared" si="2675"/>
        <v>事業用資産</v>
      </c>
      <c r="H7369" s="8" t="str">
        <f t="shared" si="2683"/>
        <v>棚卸以外</v>
      </c>
      <c r="I7369" s="8">
        <v>1</v>
      </c>
      <c r="J7369" s="8" t="str">
        <f>"第二別館"</f>
        <v>第二別館</v>
      </c>
      <c r="K7369" s="8" t="str">
        <f>"鉄筋コンクリート造"</f>
        <v>鉄筋コンクリート造</v>
      </c>
      <c r="L7369" s="8" t="str">
        <f>"H30.11.30"</f>
        <v>H30.11.30</v>
      </c>
      <c r="M7369" s="8">
        <v>933</v>
      </c>
      <c r="N7369" s="8">
        <v>423532346</v>
      </c>
      <c r="O7369" s="8">
        <v>74240148</v>
      </c>
      <c r="P7369" s="8">
        <v>0</v>
      </c>
      <c r="Q7369" s="8" t="str">
        <f t="shared" si="2679"/>
        <v>公安委員会</v>
      </c>
      <c r="R7369" s="8" t="str">
        <f t="shared" si="2681"/>
        <v>南警察署</v>
      </c>
    </row>
    <row r="7370" spans="1:18" x14ac:dyDescent="0.45">
      <c r="A7370" s="8" t="str">
        <f t="shared" ref="A7370:A7377" si="2684">"11531000000"</f>
        <v>11531000000</v>
      </c>
      <c r="B7370" s="8" t="str">
        <f t="shared" ref="B7370:B7377" si="2685">"西警察署"</f>
        <v>西警察署</v>
      </c>
      <c r="C7370" s="8" t="str">
        <f t="shared" si="2680"/>
        <v>行政財産</v>
      </c>
      <c r="D7370" s="8" t="str">
        <f t="shared" si="2682"/>
        <v>警察（消防）施設</v>
      </c>
      <c r="E7370" s="8" t="str">
        <f t="shared" ref="E7370:E7377" si="2686">"大阪府大阪市　西区川口２丁目"</f>
        <v>大阪府大阪市　西区川口２丁目</v>
      </c>
      <c r="F7370" s="8"/>
      <c r="G7370" s="8" t="str">
        <f t="shared" si="2675"/>
        <v>事業用資産</v>
      </c>
      <c r="H7370" s="8" t="str">
        <f t="shared" si="2683"/>
        <v>棚卸以外</v>
      </c>
      <c r="I7370" s="8">
        <v>12</v>
      </c>
      <c r="J7370" s="8" t="str">
        <f>"庁舎"</f>
        <v>庁舎</v>
      </c>
      <c r="K7370" s="8" t="str">
        <f>"鉄筋コンクリート造"</f>
        <v>鉄筋コンクリート造</v>
      </c>
      <c r="L7370" s="8" t="str">
        <f>"S36.03.31"</f>
        <v>S36.03.31</v>
      </c>
      <c r="M7370" s="8">
        <v>2042.09</v>
      </c>
      <c r="N7370" s="8">
        <v>437310330</v>
      </c>
      <c r="O7370" s="8">
        <v>225184103</v>
      </c>
      <c r="P7370" s="8">
        <v>0</v>
      </c>
      <c r="Q7370" s="8" t="str">
        <f t="shared" si="2679"/>
        <v>公安委員会</v>
      </c>
      <c r="R7370" s="8" t="str">
        <f t="shared" ref="R7370:R7387" si="2687">"西警察署"</f>
        <v>西警察署</v>
      </c>
    </row>
    <row r="7371" spans="1:18" x14ac:dyDescent="0.45">
      <c r="A7371" s="8" t="str">
        <f t="shared" si="2684"/>
        <v>11531000000</v>
      </c>
      <c r="B7371" s="8" t="str">
        <f t="shared" si="2685"/>
        <v>西警察署</v>
      </c>
      <c r="C7371" s="8" t="str">
        <f t="shared" si="2680"/>
        <v>行政財産</v>
      </c>
      <c r="D7371" s="8" t="str">
        <f t="shared" si="2682"/>
        <v>警察（消防）施設</v>
      </c>
      <c r="E7371" s="8" t="str">
        <f t="shared" si="2686"/>
        <v>大阪府大阪市　西区川口２丁目</v>
      </c>
      <c r="F7371" s="8"/>
      <c r="G7371" s="8" t="str">
        <f t="shared" si="2675"/>
        <v>事業用資産</v>
      </c>
      <c r="H7371" s="8" t="str">
        <f t="shared" si="2683"/>
        <v>棚卸以外</v>
      </c>
      <c r="I7371" s="8">
        <v>17</v>
      </c>
      <c r="J7371" s="8" t="str">
        <f>"車庫及び倉庫"</f>
        <v>車庫及び倉庫</v>
      </c>
      <c r="K7371" s="8" t="str">
        <f>"鉄骨造"</f>
        <v>鉄骨造</v>
      </c>
      <c r="L7371" s="8" t="str">
        <f>"S41.03.25"</f>
        <v>S41.03.25</v>
      </c>
      <c r="M7371" s="8">
        <v>95.02</v>
      </c>
      <c r="N7371" s="8">
        <v>2722333</v>
      </c>
      <c r="O7371" s="8">
        <v>2582891</v>
      </c>
      <c r="P7371" s="8">
        <v>0</v>
      </c>
      <c r="Q7371" s="8" t="str">
        <f t="shared" si="2679"/>
        <v>公安委員会</v>
      </c>
      <c r="R7371" s="8" t="str">
        <f t="shared" si="2687"/>
        <v>西警察署</v>
      </c>
    </row>
    <row r="7372" spans="1:18" x14ac:dyDescent="0.45">
      <c r="A7372" s="8" t="str">
        <f t="shared" si="2684"/>
        <v>11531000000</v>
      </c>
      <c r="B7372" s="8" t="str">
        <f t="shared" si="2685"/>
        <v>西警察署</v>
      </c>
      <c r="C7372" s="8" t="str">
        <f t="shared" si="2680"/>
        <v>行政財産</v>
      </c>
      <c r="D7372" s="8" t="str">
        <f t="shared" si="2682"/>
        <v>警察（消防）施設</v>
      </c>
      <c r="E7372" s="8" t="str">
        <f t="shared" si="2686"/>
        <v>大阪府大阪市　西区川口２丁目</v>
      </c>
      <c r="F7372" s="8"/>
      <c r="G7372" s="8" t="str">
        <f t="shared" si="2675"/>
        <v>事業用資産</v>
      </c>
      <c r="H7372" s="8" t="str">
        <f t="shared" si="2683"/>
        <v>棚卸以外</v>
      </c>
      <c r="I7372" s="8">
        <v>20</v>
      </c>
      <c r="J7372" s="8" t="str">
        <f>"署長公舎"</f>
        <v>署長公舎</v>
      </c>
      <c r="K7372" s="8" t="str">
        <f>"鉄筋コンクリート造"</f>
        <v>鉄筋コンクリート造</v>
      </c>
      <c r="L7372" s="8" t="str">
        <f>"S41.08.30"</f>
        <v>S41.08.30</v>
      </c>
      <c r="M7372" s="8">
        <v>82.6</v>
      </c>
      <c r="N7372" s="8">
        <v>4683766</v>
      </c>
      <c r="O7372" s="8">
        <v>4107597</v>
      </c>
      <c r="P7372" s="8">
        <v>0</v>
      </c>
      <c r="Q7372" s="8" t="str">
        <f t="shared" si="2679"/>
        <v>公安委員会</v>
      </c>
      <c r="R7372" s="8" t="str">
        <f t="shared" si="2687"/>
        <v>西警察署</v>
      </c>
    </row>
    <row r="7373" spans="1:18" x14ac:dyDescent="0.45">
      <c r="A7373" s="8" t="str">
        <f t="shared" si="2684"/>
        <v>11531000000</v>
      </c>
      <c r="B7373" s="8" t="str">
        <f t="shared" si="2685"/>
        <v>西警察署</v>
      </c>
      <c r="C7373" s="8" t="str">
        <f t="shared" si="2680"/>
        <v>行政財産</v>
      </c>
      <c r="D7373" s="8" t="str">
        <f t="shared" si="2682"/>
        <v>警察（消防）施設</v>
      </c>
      <c r="E7373" s="8" t="str">
        <f t="shared" si="2686"/>
        <v>大阪府大阪市　西区川口２丁目</v>
      </c>
      <c r="F7373" s="8"/>
      <c r="G7373" s="8" t="str">
        <f t="shared" si="2675"/>
        <v>事業用資産</v>
      </c>
      <c r="H7373" s="8" t="str">
        <f t="shared" si="2683"/>
        <v>棚卸以外</v>
      </c>
      <c r="I7373" s="8">
        <v>22</v>
      </c>
      <c r="J7373" s="8" t="str">
        <f>"警備資材倉庫"</f>
        <v>警備資材倉庫</v>
      </c>
      <c r="K7373" s="8" t="str">
        <f>"コンクリートブロック造"</f>
        <v>コンクリートブロック造</v>
      </c>
      <c r="L7373" s="8" t="str">
        <f>"S44.09.11"</f>
        <v>S44.09.11</v>
      </c>
      <c r="M7373" s="8">
        <v>14.68</v>
      </c>
      <c r="N7373" s="8">
        <v>259000</v>
      </c>
      <c r="O7373" s="8">
        <v>258999</v>
      </c>
      <c r="P7373" s="8">
        <v>0</v>
      </c>
      <c r="Q7373" s="8" t="str">
        <f t="shared" si="2679"/>
        <v>公安委員会</v>
      </c>
      <c r="R7373" s="8" t="str">
        <f t="shared" si="2687"/>
        <v>西警察署</v>
      </c>
    </row>
    <row r="7374" spans="1:18" x14ac:dyDescent="0.45">
      <c r="A7374" s="8" t="str">
        <f t="shared" si="2684"/>
        <v>11531000000</v>
      </c>
      <c r="B7374" s="8" t="str">
        <f t="shared" si="2685"/>
        <v>西警察署</v>
      </c>
      <c r="C7374" s="8" t="str">
        <f t="shared" si="2680"/>
        <v>行政財産</v>
      </c>
      <c r="D7374" s="8" t="str">
        <f t="shared" si="2682"/>
        <v>警察（消防）施設</v>
      </c>
      <c r="E7374" s="8" t="str">
        <f t="shared" si="2686"/>
        <v>大阪府大阪市　西区川口２丁目</v>
      </c>
      <c r="F7374" s="8"/>
      <c r="G7374" s="8" t="str">
        <f t="shared" si="2675"/>
        <v>事業用資産</v>
      </c>
      <c r="H7374" s="8" t="str">
        <f t="shared" si="2683"/>
        <v>棚卸以外</v>
      </c>
      <c r="I7374" s="8">
        <v>23</v>
      </c>
      <c r="J7374" s="8" t="str">
        <f>"別館"</f>
        <v>別館</v>
      </c>
      <c r="K7374" s="8" t="str">
        <f>"鉄筋コンクリート造"</f>
        <v>鉄筋コンクリート造</v>
      </c>
      <c r="L7374" s="8" t="str">
        <f>"S49.09.15"</f>
        <v>S49.09.15</v>
      </c>
      <c r="M7374" s="8">
        <v>644.11</v>
      </c>
      <c r="N7374" s="8">
        <v>141178192</v>
      </c>
      <c r="O7374" s="8">
        <v>125027251</v>
      </c>
      <c r="P7374" s="8">
        <v>0</v>
      </c>
      <c r="Q7374" s="8" t="str">
        <f t="shared" si="2679"/>
        <v>公安委員会</v>
      </c>
      <c r="R7374" s="8" t="str">
        <f t="shared" si="2687"/>
        <v>西警察署</v>
      </c>
    </row>
    <row r="7375" spans="1:18" x14ac:dyDescent="0.45">
      <c r="A7375" s="8" t="str">
        <f t="shared" si="2684"/>
        <v>11531000000</v>
      </c>
      <c r="B7375" s="8" t="str">
        <f t="shared" si="2685"/>
        <v>西警察署</v>
      </c>
      <c r="C7375" s="8" t="str">
        <f t="shared" si="2680"/>
        <v>行政財産</v>
      </c>
      <c r="D7375" s="8" t="str">
        <f t="shared" si="2682"/>
        <v>警察（消防）施設</v>
      </c>
      <c r="E7375" s="8" t="str">
        <f t="shared" si="2686"/>
        <v>大阪府大阪市　西区川口２丁目</v>
      </c>
      <c r="F7375" s="8"/>
      <c r="G7375" s="8" t="str">
        <f t="shared" si="2675"/>
        <v>事業用資産</v>
      </c>
      <c r="H7375" s="8" t="str">
        <f t="shared" si="2683"/>
        <v>棚卸以外</v>
      </c>
      <c r="I7375" s="8">
        <v>24</v>
      </c>
      <c r="J7375" s="8" t="str">
        <f>"食堂"</f>
        <v>食堂</v>
      </c>
      <c r="K7375" s="8" t="str">
        <f>"鉄筋コンクリート造"</f>
        <v>鉄筋コンクリート造</v>
      </c>
      <c r="L7375" s="8" t="str">
        <f>"S41.08.31"</f>
        <v>S41.08.31</v>
      </c>
      <c r="M7375" s="8">
        <v>75.540000000000006</v>
      </c>
      <c r="N7375" s="8">
        <v>6978600</v>
      </c>
      <c r="O7375" s="8">
        <v>5894364</v>
      </c>
      <c r="P7375" s="8">
        <v>0</v>
      </c>
      <c r="Q7375" s="8" t="str">
        <f t="shared" si="2679"/>
        <v>公安委員会</v>
      </c>
      <c r="R7375" s="8" t="str">
        <f t="shared" si="2687"/>
        <v>西警察署</v>
      </c>
    </row>
    <row r="7376" spans="1:18" x14ac:dyDescent="0.45">
      <c r="A7376" s="8" t="str">
        <f t="shared" si="2684"/>
        <v>11531000000</v>
      </c>
      <c r="B7376" s="8" t="str">
        <f t="shared" si="2685"/>
        <v>西警察署</v>
      </c>
      <c r="C7376" s="8" t="str">
        <f t="shared" si="2680"/>
        <v>行政財産</v>
      </c>
      <c r="D7376" s="8" t="str">
        <f t="shared" si="2682"/>
        <v>警察（消防）施設</v>
      </c>
      <c r="E7376" s="8" t="str">
        <f t="shared" si="2686"/>
        <v>大阪府大阪市　西区川口２丁目</v>
      </c>
      <c r="F7376" s="8"/>
      <c r="G7376" s="8" t="str">
        <f t="shared" si="2675"/>
        <v>事業用資産</v>
      </c>
      <c r="H7376" s="8" t="str">
        <f t="shared" si="2683"/>
        <v>棚卸以外</v>
      </c>
      <c r="I7376" s="8">
        <v>25</v>
      </c>
      <c r="J7376" s="8" t="str">
        <f>"霊安室"</f>
        <v>霊安室</v>
      </c>
      <c r="K7376" s="8" t="str">
        <f>"木造"</f>
        <v>木造</v>
      </c>
      <c r="L7376" s="8" t="str">
        <f>"H01.07.10"</f>
        <v>H01.07.10</v>
      </c>
      <c r="M7376" s="8">
        <v>9.7200000000000006</v>
      </c>
      <c r="N7376" s="8">
        <v>1023520</v>
      </c>
      <c r="O7376" s="8">
        <v>959877</v>
      </c>
      <c r="P7376" s="8">
        <v>0</v>
      </c>
      <c r="Q7376" s="8" t="str">
        <f t="shared" si="2679"/>
        <v>公安委員会</v>
      </c>
      <c r="R7376" s="8" t="str">
        <f t="shared" si="2687"/>
        <v>西警察署</v>
      </c>
    </row>
    <row r="7377" spans="1:18" x14ac:dyDescent="0.45">
      <c r="A7377" s="8" t="str">
        <f t="shared" si="2684"/>
        <v>11531000000</v>
      </c>
      <c r="B7377" s="8" t="str">
        <f t="shared" si="2685"/>
        <v>西警察署</v>
      </c>
      <c r="C7377" s="8" t="str">
        <f t="shared" si="2680"/>
        <v>行政財産</v>
      </c>
      <c r="D7377" s="8" t="str">
        <f t="shared" si="2682"/>
        <v>警察（消防）施設</v>
      </c>
      <c r="E7377" s="8" t="str">
        <f t="shared" si="2686"/>
        <v>大阪府大阪市　西区川口２丁目</v>
      </c>
      <c r="F7377" s="8"/>
      <c r="G7377" s="8" t="str">
        <f t="shared" si="2675"/>
        <v>事業用資産</v>
      </c>
      <c r="H7377" s="8" t="str">
        <f t="shared" si="2683"/>
        <v>棚卸以外</v>
      </c>
      <c r="I7377" s="8">
        <v>26</v>
      </c>
      <c r="J7377" s="8" t="str">
        <f>"会計倉庫"</f>
        <v>会計倉庫</v>
      </c>
      <c r="K7377" s="8" t="str">
        <f>"鉄骨造"</f>
        <v>鉄骨造</v>
      </c>
      <c r="L7377" s="8" t="str">
        <f>"H18.03.17"</f>
        <v>H18.03.17</v>
      </c>
      <c r="M7377" s="8">
        <v>23.6</v>
      </c>
      <c r="N7377" s="8">
        <v>417000</v>
      </c>
      <c r="O7377" s="8">
        <v>416999</v>
      </c>
      <c r="P7377" s="8">
        <v>0</v>
      </c>
      <c r="Q7377" s="8" t="str">
        <f t="shared" si="2679"/>
        <v>公安委員会</v>
      </c>
      <c r="R7377" s="8" t="str">
        <f t="shared" si="2687"/>
        <v>西警察署</v>
      </c>
    </row>
    <row r="7378" spans="1:18" x14ac:dyDescent="0.45">
      <c r="A7378" s="8" t="str">
        <f>"11531000120"</f>
        <v>11531000120</v>
      </c>
      <c r="B7378" s="8" t="str">
        <f>"九条交番"</f>
        <v>九条交番</v>
      </c>
      <c r="C7378" s="8" t="str">
        <f t="shared" si="2680"/>
        <v>行政財産</v>
      </c>
      <c r="D7378" s="8" t="str">
        <f t="shared" si="2682"/>
        <v>警察（消防）施設</v>
      </c>
      <c r="E7378" s="8" t="str">
        <f>"大阪府大阪市　西区九条２丁目"</f>
        <v>大阪府大阪市　西区九条２丁目</v>
      </c>
      <c r="F7378" s="8"/>
      <c r="G7378" s="8" t="str">
        <f t="shared" si="2675"/>
        <v>事業用資産</v>
      </c>
      <c r="H7378" s="8" t="str">
        <f t="shared" si="2683"/>
        <v>棚卸以外</v>
      </c>
      <c r="I7378" s="8">
        <v>2</v>
      </c>
      <c r="J7378" s="8" t="str">
        <f>"九条交番"</f>
        <v>九条交番</v>
      </c>
      <c r="K7378" s="8" t="str">
        <f>"鉄骨造"</f>
        <v>鉄骨造</v>
      </c>
      <c r="L7378" s="8" t="str">
        <f>"H19.02.28"</f>
        <v>H19.02.28</v>
      </c>
      <c r="M7378" s="8">
        <v>53.95</v>
      </c>
      <c r="N7378" s="8">
        <v>15496102</v>
      </c>
      <c r="O7378" s="8">
        <v>6529404</v>
      </c>
      <c r="P7378" s="8">
        <v>0</v>
      </c>
      <c r="Q7378" s="8" t="str">
        <f t="shared" si="2679"/>
        <v>公安委員会</v>
      </c>
      <c r="R7378" s="8" t="str">
        <f t="shared" si="2687"/>
        <v>西警察署</v>
      </c>
    </row>
    <row r="7379" spans="1:18" x14ac:dyDescent="0.45">
      <c r="A7379" s="8" t="str">
        <f>"11531000210"</f>
        <v>11531000210</v>
      </c>
      <c r="B7379" s="8" t="str">
        <f>"千代崎橋警ら連絡所"</f>
        <v>千代崎橋警ら連絡所</v>
      </c>
      <c r="C7379" s="8" t="str">
        <f t="shared" si="2680"/>
        <v>行政財産</v>
      </c>
      <c r="D7379" s="8" t="str">
        <f t="shared" si="2682"/>
        <v>警察（消防）施設</v>
      </c>
      <c r="E7379" s="8" t="str">
        <f>"大阪府大阪市　西区北堀江４丁目"</f>
        <v>大阪府大阪市　西区北堀江４丁目</v>
      </c>
      <c r="F7379" s="8"/>
      <c r="G7379" s="8" t="str">
        <f t="shared" si="2675"/>
        <v>事業用資産</v>
      </c>
      <c r="H7379" s="8" t="str">
        <f t="shared" si="2683"/>
        <v>棚卸以外</v>
      </c>
      <c r="I7379" s="8">
        <v>1</v>
      </c>
      <c r="J7379" s="8" t="str">
        <f>"千代崎橋警ら連絡所"</f>
        <v>千代崎橋警ら連絡所</v>
      </c>
      <c r="K7379" s="8" t="str">
        <f>"コンクリートブロック造"</f>
        <v>コンクリートブロック造</v>
      </c>
      <c r="L7379" s="8" t="str">
        <f>"S36.03.31"</f>
        <v>S36.03.31</v>
      </c>
      <c r="M7379" s="8">
        <v>23.14</v>
      </c>
      <c r="N7379" s="8">
        <v>1684500</v>
      </c>
      <c r="O7379" s="8">
        <v>1465891</v>
      </c>
      <c r="P7379" s="8">
        <v>0</v>
      </c>
      <c r="Q7379" s="8" t="str">
        <f t="shared" si="2679"/>
        <v>公安委員会</v>
      </c>
      <c r="R7379" s="8" t="str">
        <f t="shared" si="2687"/>
        <v>西警察署</v>
      </c>
    </row>
    <row r="7380" spans="1:18" x14ac:dyDescent="0.45">
      <c r="A7380" s="8" t="str">
        <f>"11531000240"</f>
        <v>11531000240</v>
      </c>
      <c r="B7380" s="8" t="str">
        <f>"靱交番"</f>
        <v>靱交番</v>
      </c>
      <c r="C7380" s="8" t="str">
        <f t="shared" si="2680"/>
        <v>行政財産</v>
      </c>
      <c r="D7380" s="8" t="str">
        <f t="shared" si="2682"/>
        <v>警察（消防）施設</v>
      </c>
      <c r="E7380" s="8" t="str">
        <f>"大阪府大阪市　西区靱本町２丁目"</f>
        <v>大阪府大阪市　西区靱本町２丁目</v>
      </c>
      <c r="F7380" s="8"/>
      <c r="G7380" s="8" t="str">
        <f t="shared" si="2675"/>
        <v>事業用資産</v>
      </c>
      <c r="H7380" s="8" t="str">
        <f t="shared" si="2683"/>
        <v>棚卸以外</v>
      </c>
      <c r="I7380" s="8">
        <v>2</v>
      </c>
      <c r="J7380" s="8" t="str">
        <f>"靱交番"</f>
        <v>靱交番</v>
      </c>
      <c r="K7380" s="8" t="str">
        <f>"鉄筋コンクリート造"</f>
        <v>鉄筋コンクリート造</v>
      </c>
      <c r="L7380" s="8" t="str">
        <f>"S44.03.28"</f>
        <v>S44.03.28</v>
      </c>
      <c r="M7380" s="8">
        <v>59.55</v>
      </c>
      <c r="N7380" s="8">
        <v>3219177</v>
      </c>
      <c r="O7380" s="8">
        <v>3032403</v>
      </c>
      <c r="P7380" s="8">
        <v>0</v>
      </c>
      <c r="Q7380" s="8" t="str">
        <f t="shared" si="2679"/>
        <v>公安委員会</v>
      </c>
      <c r="R7380" s="8" t="str">
        <f t="shared" si="2687"/>
        <v>西警察署</v>
      </c>
    </row>
    <row r="7381" spans="1:18" x14ac:dyDescent="0.45">
      <c r="A7381" s="8" t="str">
        <f>"11531000250"</f>
        <v>11531000250</v>
      </c>
      <c r="B7381" s="8" t="str">
        <f>"堀江交番"</f>
        <v>堀江交番</v>
      </c>
      <c r="C7381" s="8" t="str">
        <f t="shared" si="2680"/>
        <v>行政財産</v>
      </c>
      <c r="D7381" s="8" t="str">
        <f t="shared" si="2682"/>
        <v>警察（消防）施設</v>
      </c>
      <c r="E7381" s="8" t="str">
        <f>"大阪府大阪市　西区南堀江１丁目"</f>
        <v>大阪府大阪市　西区南堀江１丁目</v>
      </c>
      <c r="F7381" s="8"/>
      <c r="G7381" s="8" t="str">
        <f t="shared" si="2675"/>
        <v>事業用資産</v>
      </c>
      <c r="H7381" s="8" t="str">
        <f t="shared" si="2683"/>
        <v>棚卸以外</v>
      </c>
      <c r="I7381" s="8">
        <v>2</v>
      </c>
      <c r="J7381" s="8" t="str">
        <f>"堀江交番"</f>
        <v>堀江交番</v>
      </c>
      <c r="K7381" s="8" t="str">
        <f>"鉄骨造"</f>
        <v>鉄骨造</v>
      </c>
      <c r="L7381" s="8" t="str">
        <f>"H17.02.07"</f>
        <v>H17.02.07</v>
      </c>
      <c r="M7381" s="8">
        <v>113.44</v>
      </c>
      <c r="N7381" s="8">
        <v>38887125</v>
      </c>
      <c r="O7381" s="8">
        <v>18504906</v>
      </c>
      <c r="P7381" s="8">
        <v>0</v>
      </c>
      <c r="Q7381" s="8" t="str">
        <f t="shared" si="2679"/>
        <v>公安委員会</v>
      </c>
      <c r="R7381" s="8" t="str">
        <f t="shared" si="2687"/>
        <v>西警察署</v>
      </c>
    </row>
    <row r="7382" spans="1:18" x14ac:dyDescent="0.45">
      <c r="A7382" s="8" t="str">
        <f>"11531000260"</f>
        <v>11531000260</v>
      </c>
      <c r="B7382" s="8" t="str">
        <f>"立売堀交番"</f>
        <v>立売堀交番</v>
      </c>
      <c r="C7382" s="8" t="str">
        <f t="shared" si="2680"/>
        <v>行政財産</v>
      </c>
      <c r="D7382" s="8" t="str">
        <f t="shared" si="2682"/>
        <v>警察（消防）施設</v>
      </c>
      <c r="E7382" s="8" t="str">
        <f>"大阪府大阪市　西区立売堀６丁目"</f>
        <v>大阪府大阪市　西区立売堀６丁目</v>
      </c>
      <c r="F7382" s="8"/>
      <c r="G7382" s="8" t="str">
        <f t="shared" si="2675"/>
        <v>事業用資産</v>
      </c>
      <c r="H7382" s="8" t="str">
        <f t="shared" si="2683"/>
        <v>棚卸以外</v>
      </c>
      <c r="I7382" s="8">
        <v>2</v>
      </c>
      <c r="J7382" s="8" t="str">
        <f>"立売堀交番"</f>
        <v>立売堀交番</v>
      </c>
      <c r="K7382" s="8" t="str">
        <f>"鉄骨造"</f>
        <v>鉄骨造</v>
      </c>
      <c r="L7382" s="8" t="str">
        <f>"H22.03.29"</f>
        <v>H22.03.29</v>
      </c>
      <c r="M7382" s="8">
        <v>53.08</v>
      </c>
      <c r="N7382" s="8">
        <v>20407856</v>
      </c>
      <c r="O7382" s="8">
        <v>6959948</v>
      </c>
      <c r="P7382" s="8">
        <v>0</v>
      </c>
      <c r="Q7382" s="8" t="str">
        <f t="shared" si="2679"/>
        <v>公安委員会</v>
      </c>
      <c r="R7382" s="8" t="str">
        <f t="shared" si="2687"/>
        <v>西警察署</v>
      </c>
    </row>
    <row r="7383" spans="1:18" x14ac:dyDescent="0.45">
      <c r="A7383" s="8" t="str">
        <f>"11531000290"</f>
        <v>11531000290</v>
      </c>
      <c r="B7383" s="8" t="str">
        <f>"西本町交番"</f>
        <v>西本町交番</v>
      </c>
      <c r="C7383" s="8" t="str">
        <f t="shared" si="2680"/>
        <v>行政財産</v>
      </c>
      <c r="D7383" s="8" t="str">
        <f t="shared" si="2682"/>
        <v>警察（消防）施設</v>
      </c>
      <c r="E7383" s="8" t="str">
        <f>"大阪府大阪市　西区西本町１丁目"</f>
        <v>大阪府大阪市　西区西本町１丁目</v>
      </c>
      <c r="F7383" s="8"/>
      <c r="G7383" s="8" t="str">
        <f t="shared" ref="G7383:G7446" si="2688">"事業用資産"</f>
        <v>事業用資産</v>
      </c>
      <c r="H7383" s="8" t="str">
        <f t="shared" si="2683"/>
        <v>棚卸以外</v>
      </c>
      <c r="I7383" s="8">
        <v>2</v>
      </c>
      <c r="J7383" s="8" t="str">
        <f>"西本町交番"</f>
        <v>西本町交番</v>
      </c>
      <c r="K7383" s="8" t="str">
        <f>"軽量鉄骨造"</f>
        <v>軽量鉄骨造</v>
      </c>
      <c r="L7383" s="8" t="str">
        <f>"R04.03.09"</f>
        <v>R04.03.09</v>
      </c>
      <c r="M7383" s="8">
        <v>49.62</v>
      </c>
      <c r="N7383" s="8">
        <v>32885801</v>
      </c>
      <c r="O7383" s="8">
        <v>1305340</v>
      </c>
      <c r="P7383" s="8">
        <v>0</v>
      </c>
      <c r="Q7383" s="8" t="str">
        <f t="shared" si="2679"/>
        <v>公安委員会</v>
      </c>
      <c r="R7383" s="8" t="str">
        <f t="shared" si="2687"/>
        <v>西警察署</v>
      </c>
    </row>
    <row r="7384" spans="1:18" x14ac:dyDescent="0.45">
      <c r="A7384" s="8" t="str">
        <f>"11531000290"</f>
        <v>11531000290</v>
      </c>
      <c r="B7384" s="8" t="str">
        <f>"西本町交番"</f>
        <v>西本町交番</v>
      </c>
      <c r="C7384" s="8" t="str">
        <f t="shared" si="2680"/>
        <v>行政財産</v>
      </c>
      <c r="D7384" s="8" t="str">
        <f t="shared" si="2682"/>
        <v>警察（消防）施設</v>
      </c>
      <c r="E7384" s="8" t="str">
        <f>"大阪府大阪市　西区西本町１丁目"</f>
        <v>大阪府大阪市　西区西本町１丁目</v>
      </c>
      <c r="F7384" s="8"/>
      <c r="G7384" s="8" t="str">
        <f t="shared" si="2688"/>
        <v>事業用資産</v>
      </c>
      <c r="H7384" s="8" t="str">
        <f t="shared" si="2683"/>
        <v>棚卸以外</v>
      </c>
      <c r="I7384" s="8">
        <v>3</v>
      </c>
      <c r="J7384" s="8" t="str">
        <f>"防災倉庫"</f>
        <v>防災倉庫</v>
      </c>
      <c r="K7384" s="8" t="str">
        <f>"鉄骨造"</f>
        <v>鉄骨造</v>
      </c>
      <c r="L7384" s="8" t="str">
        <f>"R04.03.09"</f>
        <v>R04.03.09</v>
      </c>
      <c r="M7384" s="8">
        <v>1.96</v>
      </c>
      <c r="N7384" s="8">
        <v>385575</v>
      </c>
      <c r="O7384" s="8">
        <v>12444</v>
      </c>
      <c r="P7384" s="8">
        <v>0</v>
      </c>
      <c r="Q7384" s="8" t="str">
        <f t="shared" si="2679"/>
        <v>公安委員会</v>
      </c>
      <c r="R7384" s="8" t="str">
        <f t="shared" si="2687"/>
        <v>西警察署</v>
      </c>
    </row>
    <row r="7385" spans="1:18" x14ac:dyDescent="0.45">
      <c r="A7385" s="8" t="str">
        <f>"11531000300"</f>
        <v>11531000300</v>
      </c>
      <c r="B7385" s="8" t="str">
        <f>"松島交番"</f>
        <v>松島交番</v>
      </c>
      <c r="C7385" s="8" t="str">
        <f t="shared" si="2680"/>
        <v>行政財産</v>
      </c>
      <c r="D7385" s="8" t="str">
        <f t="shared" si="2682"/>
        <v>警察（消防）施設</v>
      </c>
      <c r="E7385" s="8" t="str">
        <f>"大阪府大阪市　西区九条１丁目"</f>
        <v>大阪府大阪市　西区九条１丁目</v>
      </c>
      <c r="F7385" s="8"/>
      <c r="G7385" s="8" t="str">
        <f t="shared" si="2688"/>
        <v>事業用資産</v>
      </c>
      <c r="H7385" s="8" t="str">
        <f t="shared" si="2683"/>
        <v>棚卸以外</v>
      </c>
      <c r="I7385" s="8">
        <v>3</v>
      </c>
      <c r="J7385" s="8" t="str">
        <f>"松島交番"</f>
        <v>松島交番</v>
      </c>
      <c r="K7385" s="8" t="str">
        <f>"軽量鉄骨造"</f>
        <v>軽量鉄骨造</v>
      </c>
      <c r="L7385" s="8" t="str">
        <f>"H28.03.07"</f>
        <v>H28.03.07</v>
      </c>
      <c r="M7385" s="8">
        <v>93.18</v>
      </c>
      <c r="N7385" s="8">
        <v>29261680</v>
      </c>
      <c r="O7385" s="8">
        <v>8218410</v>
      </c>
      <c r="P7385" s="8">
        <v>0</v>
      </c>
      <c r="Q7385" s="8" t="str">
        <f t="shared" si="2679"/>
        <v>公安委員会</v>
      </c>
      <c r="R7385" s="8" t="str">
        <f t="shared" si="2687"/>
        <v>西警察署</v>
      </c>
    </row>
    <row r="7386" spans="1:18" x14ac:dyDescent="0.45">
      <c r="A7386" s="8" t="str">
        <f>"11531000310"</f>
        <v>11531000310</v>
      </c>
      <c r="B7386" s="8" t="str">
        <f>"新町交番"</f>
        <v>新町交番</v>
      </c>
      <c r="C7386" s="8" t="str">
        <f t="shared" si="2680"/>
        <v>行政財産</v>
      </c>
      <c r="D7386" s="8" t="str">
        <f t="shared" si="2682"/>
        <v>警察（消防）施設</v>
      </c>
      <c r="E7386" s="8" t="str">
        <f>"大阪府大阪市　西区新町４丁目"</f>
        <v>大阪府大阪市　西区新町４丁目</v>
      </c>
      <c r="F7386" s="8"/>
      <c r="G7386" s="8" t="str">
        <f t="shared" si="2688"/>
        <v>事業用資産</v>
      </c>
      <c r="H7386" s="8" t="str">
        <f t="shared" si="2683"/>
        <v>棚卸以外</v>
      </c>
      <c r="I7386" s="8">
        <v>1</v>
      </c>
      <c r="J7386" s="8" t="str">
        <f>"新町交番"</f>
        <v>新町交番</v>
      </c>
      <c r="K7386" s="8" t="str">
        <f>"鉄骨造"</f>
        <v>鉄骨造</v>
      </c>
      <c r="L7386" s="8" t="str">
        <f>"S54.03.31"</f>
        <v>S54.03.31</v>
      </c>
      <c r="M7386" s="8">
        <v>54</v>
      </c>
      <c r="N7386" s="8">
        <v>12765420</v>
      </c>
      <c r="O7386" s="8">
        <v>12671638</v>
      </c>
      <c r="P7386" s="8">
        <v>0</v>
      </c>
      <c r="Q7386" s="8" t="str">
        <f t="shared" si="2679"/>
        <v>公安委員会</v>
      </c>
      <c r="R7386" s="8" t="str">
        <f t="shared" si="2687"/>
        <v>西警察署</v>
      </c>
    </row>
    <row r="7387" spans="1:18" x14ac:dyDescent="0.45">
      <c r="A7387" s="8" t="str">
        <f>"11531000320"</f>
        <v>11531000320</v>
      </c>
      <c r="B7387" s="8" t="str">
        <f>"靱本町警備詰所"</f>
        <v>靱本町警備詰所</v>
      </c>
      <c r="C7387" s="8" t="str">
        <f t="shared" si="2680"/>
        <v>行政財産</v>
      </c>
      <c r="D7387" s="8" t="str">
        <f t="shared" si="2682"/>
        <v>警察（消防）施設</v>
      </c>
      <c r="E7387" s="8" t="str">
        <f>"大阪府大阪市　西区靱本町３丁目"</f>
        <v>大阪府大阪市　西区靱本町３丁目</v>
      </c>
      <c r="F7387" s="8"/>
      <c r="G7387" s="8" t="str">
        <f t="shared" si="2688"/>
        <v>事業用資産</v>
      </c>
      <c r="H7387" s="8" t="str">
        <f t="shared" si="2683"/>
        <v>棚卸以外</v>
      </c>
      <c r="I7387" s="8">
        <v>1</v>
      </c>
      <c r="J7387" s="8" t="str">
        <f>"靱本町警備詰所"</f>
        <v>靱本町警備詰所</v>
      </c>
      <c r="K7387" s="8" t="str">
        <f>"軽量鉄骨造"</f>
        <v>軽量鉄骨造</v>
      </c>
      <c r="L7387" s="8" t="str">
        <f>"S60.10.01"</f>
        <v>S60.10.01</v>
      </c>
      <c r="M7387" s="8">
        <v>53.02</v>
      </c>
      <c r="N7387" s="8">
        <v>8511000</v>
      </c>
      <c r="O7387" s="8">
        <v>8510999</v>
      </c>
      <c r="P7387" s="8">
        <v>0</v>
      </c>
      <c r="Q7387" s="8" t="str">
        <f t="shared" si="2679"/>
        <v>公安委員会</v>
      </c>
      <c r="R7387" s="8" t="str">
        <f t="shared" si="2687"/>
        <v>西警察署</v>
      </c>
    </row>
    <row r="7388" spans="1:18" ht="26.4" x14ac:dyDescent="0.45">
      <c r="A7388" s="8" t="str">
        <f t="shared" ref="A7388:A7394" si="2689">"11532000000"</f>
        <v>11532000000</v>
      </c>
      <c r="B7388" s="8" t="str">
        <f t="shared" ref="B7388:B7394" si="2690">"港警察署"</f>
        <v>港警察署</v>
      </c>
      <c r="C7388" s="8" t="str">
        <f t="shared" si="2680"/>
        <v>行政財産</v>
      </c>
      <c r="D7388" s="8" t="str">
        <f t="shared" si="2682"/>
        <v>警察（消防）施設</v>
      </c>
      <c r="E7388" s="8" t="str">
        <f t="shared" ref="E7388:E7394" si="2691">"大阪府大阪市　港区市岡１丁目"</f>
        <v>大阪府大阪市　港区市岡１丁目</v>
      </c>
      <c r="F7388" s="8"/>
      <c r="G7388" s="8" t="str">
        <f t="shared" si="2688"/>
        <v>事業用資産</v>
      </c>
      <c r="H7388" s="8" t="str">
        <f t="shared" si="2683"/>
        <v>棚卸以外</v>
      </c>
      <c r="I7388" s="8">
        <v>21</v>
      </c>
      <c r="J7388" s="8" t="str">
        <f>"庁舎"</f>
        <v>庁舎</v>
      </c>
      <c r="K7388" s="8" t="str">
        <f>"鉄骨鉄筋コンクリート造"</f>
        <v>鉄骨鉄筋コンクリート造</v>
      </c>
      <c r="L7388" s="8" t="str">
        <f>"S53.11.24"</f>
        <v>S53.11.24</v>
      </c>
      <c r="M7388" s="8">
        <v>3061.57</v>
      </c>
      <c r="N7388" s="8">
        <v>624517610</v>
      </c>
      <c r="O7388" s="8">
        <v>525647100</v>
      </c>
      <c r="P7388" s="8">
        <v>0</v>
      </c>
      <c r="Q7388" s="8" t="str">
        <f t="shared" si="2679"/>
        <v>公安委員会</v>
      </c>
      <c r="R7388" s="8" t="str">
        <f t="shared" ref="R7388:R7402" si="2692">"港警察署"</f>
        <v>港警察署</v>
      </c>
    </row>
    <row r="7389" spans="1:18" x14ac:dyDescent="0.45">
      <c r="A7389" s="8" t="str">
        <f t="shared" si="2689"/>
        <v>11532000000</v>
      </c>
      <c r="B7389" s="8" t="str">
        <f t="shared" si="2690"/>
        <v>港警察署</v>
      </c>
      <c r="C7389" s="8" t="str">
        <f t="shared" si="2680"/>
        <v>行政財産</v>
      </c>
      <c r="D7389" s="8" t="str">
        <f t="shared" si="2682"/>
        <v>警察（消防）施設</v>
      </c>
      <c r="E7389" s="8" t="str">
        <f t="shared" si="2691"/>
        <v>大阪府大阪市　港区市岡１丁目</v>
      </c>
      <c r="F7389" s="8"/>
      <c r="G7389" s="8" t="str">
        <f t="shared" si="2688"/>
        <v>事業用資産</v>
      </c>
      <c r="H7389" s="8" t="str">
        <f t="shared" si="2683"/>
        <v>棚卸以外</v>
      </c>
      <c r="I7389" s="8">
        <v>22</v>
      </c>
      <c r="J7389" s="8" t="str">
        <f>"ポンプ室"</f>
        <v>ポンプ室</v>
      </c>
      <c r="K7389" s="8" t="str">
        <f>"鉄筋コンクリート造"</f>
        <v>鉄筋コンクリート造</v>
      </c>
      <c r="L7389" s="8" t="str">
        <f>"S53.11.24"</f>
        <v>S53.11.24</v>
      </c>
      <c r="M7389" s="8">
        <v>4</v>
      </c>
      <c r="N7389" s="8">
        <v>851285</v>
      </c>
      <c r="O7389" s="8">
        <v>769575</v>
      </c>
      <c r="P7389" s="8">
        <v>0</v>
      </c>
      <c r="Q7389" s="8" t="str">
        <f t="shared" si="2679"/>
        <v>公安委員会</v>
      </c>
      <c r="R7389" s="8" t="str">
        <f t="shared" si="2692"/>
        <v>港警察署</v>
      </c>
    </row>
    <row r="7390" spans="1:18" x14ac:dyDescent="0.45">
      <c r="A7390" s="8" t="str">
        <f t="shared" si="2689"/>
        <v>11532000000</v>
      </c>
      <c r="B7390" s="8" t="str">
        <f t="shared" si="2690"/>
        <v>港警察署</v>
      </c>
      <c r="C7390" s="8" t="str">
        <f t="shared" si="2680"/>
        <v>行政財産</v>
      </c>
      <c r="D7390" s="8" t="str">
        <f t="shared" si="2682"/>
        <v>警察（消防）施設</v>
      </c>
      <c r="E7390" s="8" t="str">
        <f t="shared" si="2691"/>
        <v>大阪府大阪市　港区市岡１丁目</v>
      </c>
      <c r="F7390" s="8"/>
      <c r="G7390" s="8" t="str">
        <f t="shared" si="2688"/>
        <v>事業用資産</v>
      </c>
      <c r="H7390" s="8" t="str">
        <f t="shared" si="2683"/>
        <v>棚卸以外</v>
      </c>
      <c r="I7390" s="8">
        <v>23</v>
      </c>
      <c r="J7390" s="8" t="str">
        <f>"大型車庫"</f>
        <v>大型車庫</v>
      </c>
      <c r="K7390" s="8" t="str">
        <f>"鉄骨造"</f>
        <v>鉄骨造</v>
      </c>
      <c r="L7390" s="8" t="str">
        <f>"S54.03.31"</f>
        <v>S54.03.31</v>
      </c>
      <c r="M7390" s="8">
        <v>103.7</v>
      </c>
      <c r="N7390" s="8">
        <v>5498000</v>
      </c>
      <c r="O7390" s="8">
        <v>5497999</v>
      </c>
      <c r="P7390" s="8">
        <v>0</v>
      </c>
      <c r="Q7390" s="8" t="str">
        <f t="shared" si="2679"/>
        <v>公安委員会</v>
      </c>
      <c r="R7390" s="8" t="str">
        <f t="shared" si="2692"/>
        <v>港警察署</v>
      </c>
    </row>
    <row r="7391" spans="1:18" x14ac:dyDescent="0.45">
      <c r="A7391" s="8" t="str">
        <f t="shared" si="2689"/>
        <v>11532000000</v>
      </c>
      <c r="B7391" s="8" t="str">
        <f t="shared" si="2690"/>
        <v>港警察署</v>
      </c>
      <c r="C7391" s="8" t="str">
        <f t="shared" si="2680"/>
        <v>行政財産</v>
      </c>
      <c r="D7391" s="8" t="str">
        <f t="shared" si="2682"/>
        <v>警察（消防）施設</v>
      </c>
      <c r="E7391" s="8" t="str">
        <f t="shared" si="2691"/>
        <v>大阪府大阪市　港区市岡１丁目</v>
      </c>
      <c r="F7391" s="8"/>
      <c r="G7391" s="8" t="str">
        <f t="shared" si="2688"/>
        <v>事業用資産</v>
      </c>
      <c r="H7391" s="8" t="str">
        <f t="shared" si="2683"/>
        <v>棚卸以外</v>
      </c>
      <c r="I7391" s="8">
        <v>24</v>
      </c>
      <c r="J7391" s="8" t="str">
        <f>"車庫"</f>
        <v>車庫</v>
      </c>
      <c r="K7391" s="8" t="str">
        <f>"鉄骨造"</f>
        <v>鉄骨造</v>
      </c>
      <c r="L7391" s="8" t="str">
        <f>"S54.03.31"</f>
        <v>S54.03.31</v>
      </c>
      <c r="M7391" s="8">
        <v>96.3</v>
      </c>
      <c r="N7391" s="8">
        <v>6340176</v>
      </c>
      <c r="O7391" s="8">
        <v>5967275</v>
      </c>
      <c r="P7391" s="8">
        <v>0</v>
      </c>
      <c r="Q7391" s="8" t="str">
        <f t="shared" si="2679"/>
        <v>公安委員会</v>
      </c>
      <c r="R7391" s="8" t="str">
        <f t="shared" si="2692"/>
        <v>港警察署</v>
      </c>
    </row>
    <row r="7392" spans="1:18" x14ac:dyDescent="0.45">
      <c r="A7392" s="8" t="str">
        <f t="shared" si="2689"/>
        <v>11532000000</v>
      </c>
      <c r="B7392" s="8" t="str">
        <f t="shared" si="2690"/>
        <v>港警察署</v>
      </c>
      <c r="C7392" s="8" t="str">
        <f t="shared" si="2680"/>
        <v>行政財産</v>
      </c>
      <c r="D7392" s="8" t="str">
        <f t="shared" si="2682"/>
        <v>警察（消防）施設</v>
      </c>
      <c r="E7392" s="8" t="str">
        <f t="shared" si="2691"/>
        <v>大阪府大阪市　港区市岡１丁目</v>
      </c>
      <c r="F7392" s="8"/>
      <c r="G7392" s="8" t="str">
        <f t="shared" si="2688"/>
        <v>事業用資産</v>
      </c>
      <c r="H7392" s="8" t="str">
        <f t="shared" si="2683"/>
        <v>棚卸以外</v>
      </c>
      <c r="I7392" s="8">
        <v>25</v>
      </c>
      <c r="J7392" s="8" t="str">
        <f>"車庫及び倉庫"</f>
        <v>車庫及び倉庫</v>
      </c>
      <c r="K7392" s="8" t="str">
        <f>"鉄骨造"</f>
        <v>鉄骨造</v>
      </c>
      <c r="L7392" s="8" t="str">
        <f>"S54.03.31"</f>
        <v>S54.03.31</v>
      </c>
      <c r="M7392" s="8">
        <v>107.3</v>
      </c>
      <c r="N7392" s="8">
        <v>4898000</v>
      </c>
      <c r="O7392" s="8">
        <v>4897999</v>
      </c>
      <c r="P7392" s="8">
        <v>0</v>
      </c>
      <c r="Q7392" s="8" t="str">
        <f t="shared" si="2679"/>
        <v>公安委員会</v>
      </c>
      <c r="R7392" s="8" t="str">
        <f t="shared" si="2692"/>
        <v>港警察署</v>
      </c>
    </row>
    <row r="7393" spans="1:18" x14ac:dyDescent="0.45">
      <c r="A7393" s="8" t="str">
        <f t="shared" si="2689"/>
        <v>11532000000</v>
      </c>
      <c r="B7393" s="8" t="str">
        <f t="shared" si="2690"/>
        <v>港警察署</v>
      </c>
      <c r="C7393" s="8" t="str">
        <f t="shared" si="2680"/>
        <v>行政財産</v>
      </c>
      <c r="D7393" s="8" t="str">
        <f t="shared" si="2682"/>
        <v>警察（消防）施設</v>
      </c>
      <c r="E7393" s="8" t="str">
        <f t="shared" si="2691"/>
        <v>大阪府大阪市　港区市岡１丁目</v>
      </c>
      <c r="F7393" s="8"/>
      <c r="G7393" s="8" t="str">
        <f t="shared" si="2688"/>
        <v>事業用資産</v>
      </c>
      <c r="H7393" s="8" t="str">
        <f t="shared" si="2683"/>
        <v>棚卸以外</v>
      </c>
      <c r="I7393" s="8">
        <v>27</v>
      </c>
      <c r="J7393" s="8" t="str">
        <f>"署長公舎"</f>
        <v>署長公舎</v>
      </c>
      <c r="K7393" s="8" t="str">
        <f>"鉄筋コンクリート造"</f>
        <v>鉄筋コンクリート造</v>
      </c>
      <c r="L7393" s="8" t="str">
        <f>"S54.11.24"</f>
        <v>S54.11.24</v>
      </c>
      <c r="M7393" s="8">
        <v>86.18</v>
      </c>
      <c r="N7393" s="8">
        <v>16789520</v>
      </c>
      <c r="O7393" s="8">
        <v>15451560</v>
      </c>
      <c r="P7393" s="8">
        <v>0</v>
      </c>
      <c r="Q7393" s="8" t="str">
        <f t="shared" si="2679"/>
        <v>公安委員会</v>
      </c>
      <c r="R7393" s="8" t="str">
        <f t="shared" si="2692"/>
        <v>港警察署</v>
      </c>
    </row>
    <row r="7394" spans="1:18" x14ac:dyDescent="0.45">
      <c r="A7394" s="8" t="str">
        <f t="shared" si="2689"/>
        <v>11532000000</v>
      </c>
      <c r="B7394" s="8" t="str">
        <f t="shared" si="2690"/>
        <v>港警察署</v>
      </c>
      <c r="C7394" s="8" t="str">
        <f t="shared" si="2680"/>
        <v>行政財産</v>
      </c>
      <c r="D7394" s="8" t="str">
        <f t="shared" si="2682"/>
        <v>警察（消防）施設</v>
      </c>
      <c r="E7394" s="8" t="str">
        <f t="shared" si="2691"/>
        <v>大阪府大阪市　港区市岡１丁目</v>
      </c>
      <c r="F7394" s="8"/>
      <c r="G7394" s="8" t="str">
        <f t="shared" si="2688"/>
        <v>事業用資産</v>
      </c>
      <c r="H7394" s="8" t="str">
        <f t="shared" si="2683"/>
        <v>棚卸以外</v>
      </c>
      <c r="I7394" s="8">
        <v>28</v>
      </c>
      <c r="J7394" s="8" t="str">
        <f>"倉庫Ａ"</f>
        <v>倉庫Ａ</v>
      </c>
      <c r="K7394" s="8" t="str">
        <f>"プレハブ"</f>
        <v>プレハブ</v>
      </c>
      <c r="L7394" s="8" t="str">
        <f>"H07.03.31"</f>
        <v>H07.03.31</v>
      </c>
      <c r="M7394" s="8">
        <v>9.1999999999999993</v>
      </c>
      <c r="N7394" s="8">
        <v>547000</v>
      </c>
      <c r="O7394" s="8">
        <v>546999</v>
      </c>
      <c r="P7394" s="8">
        <v>0</v>
      </c>
      <c r="Q7394" s="8" t="str">
        <f t="shared" si="2679"/>
        <v>公安委員会</v>
      </c>
      <c r="R7394" s="8" t="str">
        <f t="shared" si="2692"/>
        <v>港警察署</v>
      </c>
    </row>
    <row r="7395" spans="1:18" x14ac:dyDescent="0.45">
      <c r="A7395" s="8" t="str">
        <f>"11532000170"</f>
        <v>11532000170</v>
      </c>
      <c r="B7395" s="8" t="str">
        <f>"池島交番"</f>
        <v>池島交番</v>
      </c>
      <c r="C7395" s="8" t="str">
        <f t="shared" si="2680"/>
        <v>行政財産</v>
      </c>
      <c r="D7395" s="8" t="str">
        <f t="shared" si="2682"/>
        <v>警察（消防）施設</v>
      </c>
      <c r="E7395" s="8" t="str">
        <f>"大阪府大阪市　港区池島３丁目"</f>
        <v>大阪府大阪市　港区池島３丁目</v>
      </c>
      <c r="F7395" s="8"/>
      <c r="G7395" s="8" t="str">
        <f t="shared" si="2688"/>
        <v>事業用資産</v>
      </c>
      <c r="H7395" s="8" t="str">
        <f t="shared" si="2683"/>
        <v>棚卸以外</v>
      </c>
      <c r="I7395" s="8">
        <v>2</v>
      </c>
      <c r="J7395" s="8" t="str">
        <f>"池島交番"</f>
        <v>池島交番</v>
      </c>
      <c r="K7395" s="8" t="str">
        <f>"鉄骨造"</f>
        <v>鉄骨造</v>
      </c>
      <c r="L7395" s="8" t="str">
        <f>"S56.03.31"</f>
        <v>S56.03.31</v>
      </c>
      <c r="M7395" s="8">
        <v>55.38</v>
      </c>
      <c r="N7395" s="8">
        <v>13884281</v>
      </c>
      <c r="O7395" s="8">
        <v>13844782</v>
      </c>
      <c r="P7395" s="8">
        <v>0</v>
      </c>
      <c r="Q7395" s="8" t="str">
        <f t="shared" si="2679"/>
        <v>公安委員会</v>
      </c>
      <c r="R7395" s="8" t="str">
        <f t="shared" si="2692"/>
        <v>港警察署</v>
      </c>
    </row>
    <row r="7396" spans="1:18" x14ac:dyDescent="0.45">
      <c r="A7396" s="8" t="str">
        <f>"11532000251"</f>
        <v>11532000251</v>
      </c>
      <c r="B7396" s="8" t="str">
        <f>"市岡元町三丁目交番"</f>
        <v>市岡元町三丁目交番</v>
      </c>
      <c r="C7396" s="8" t="str">
        <f t="shared" si="2680"/>
        <v>行政財産</v>
      </c>
      <c r="D7396" s="8" t="str">
        <f t="shared" si="2682"/>
        <v>警察（消防）施設</v>
      </c>
      <c r="E7396" s="8" t="str">
        <f>"大阪府大阪市　港区市岡元町３丁目"</f>
        <v>大阪府大阪市　港区市岡元町３丁目</v>
      </c>
      <c r="F7396" s="8"/>
      <c r="G7396" s="8" t="str">
        <f t="shared" si="2688"/>
        <v>事業用資産</v>
      </c>
      <c r="H7396" s="8" t="str">
        <f t="shared" si="2683"/>
        <v>棚卸以外</v>
      </c>
      <c r="I7396" s="8">
        <v>1</v>
      </c>
      <c r="J7396" s="8" t="str">
        <f>"市岡元町３丁目交番"</f>
        <v>市岡元町３丁目交番</v>
      </c>
      <c r="K7396" s="8" t="str">
        <f>"鉄筋コンクリート造"</f>
        <v>鉄筋コンクリート造</v>
      </c>
      <c r="L7396" s="8" t="str">
        <f>"S43.03.28"</f>
        <v>S43.03.28</v>
      </c>
      <c r="M7396" s="8">
        <v>35.06</v>
      </c>
      <c r="N7396" s="8">
        <v>1888000</v>
      </c>
      <c r="O7396" s="8">
        <v>1887999</v>
      </c>
      <c r="P7396" s="8">
        <v>0</v>
      </c>
      <c r="Q7396" s="8" t="str">
        <f t="shared" si="2679"/>
        <v>公安委員会</v>
      </c>
      <c r="R7396" s="8" t="str">
        <f t="shared" si="2692"/>
        <v>港警察署</v>
      </c>
    </row>
    <row r="7397" spans="1:18" x14ac:dyDescent="0.45">
      <c r="A7397" s="8" t="str">
        <f>"11532000260"</f>
        <v>11532000260</v>
      </c>
      <c r="B7397" s="8" t="str">
        <f>"夕凪交番"</f>
        <v>夕凪交番</v>
      </c>
      <c r="C7397" s="8" t="str">
        <f t="shared" si="2680"/>
        <v>行政財産</v>
      </c>
      <c r="D7397" s="8" t="str">
        <f t="shared" si="2682"/>
        <v>警察（消防）施設</v>
      </c>
      <c r="E7397" s="8" t="str">
        <f>"大阪府大阪市　港区三先１丁目"</f>
        <v>大阪府大阪市　港区三先１丁目</v>
      </c>
      <c r="F7397" s="8"/>
      <c r="G7397" s="8" t="str">
        <f t="shared" si="2688"/>
        <v>事業用資産</v>
      </c>
      <c r="H7397" s="8" t="str">
        <f t="shared" si="2683"/>
        <v>棚卸以外</v>
      </c>
      <c r="I7397" s="8">
        <v>1</v>
      </c>
      <c r="J7397" s="8" t="str">
        <f>"夕凪交番"</f>
        <v>夕凪交番</v>
      </c>
      <c r="K7397" s="8" t="str">
        <f>"鉄筋コンクリート造"</f>
        <v>鉄筋コンクリート造</v>
      </c>
      <c r="L7397" s="8" t="str">
        <f>"S44.03.31"</f>
        <v>S44.03.31</v>
      </c>
      <c r="M7397" s="8">
        <v>79.58</v>
      </c>
      <c r="N7397" s="8">
        <v>4345021</v>
      </c>
      <c r="O7397" s="8">
        <v>4319050</v>
      </c>
      <c r="P7397" s="8">
        <v>0</v>
      </c>
      <c r="Q7397" s="8" t="str">
        <f t="shared" si="2679"/>
        <v>公安委員会</v>
      </c>
      <c r="R7397" s="8" t="str">
        <f t="shared" si="2692"/>
        <v>港警察署</v>
      </c>
    </row>
    <row r="7398" spans="1:18" x14ac:dyDescent="0.45">
      <c r="A7398" s="8" t="str">
        <f>"11532000290"</f>
        <v>11532000290</v>
      </c>
      <c r="B7398" s="8" t="str">
        <f>"弁天三丁目交番"</f>
        <v>弁天三丁目交番</v>
      </c>
      <c r="C7398" s="8" t="str">
        <f t="shared" si="2680"/>
        <v>行政財産</v>
      </c>
      <c r="D7398" s="8" t="str">
        <f t="shared" si="2682"/>
        <v>警察（消防）施設</v>
      </c>
      <c r="E7398" s="8" t="str">
        <f>"大阪府大阪市　港区弁天３丁目"</f>
        <v>大阪府大阪市　港区弁天３丁目</v>
      </c>
      <c r="F7398" s="8"/>
      <c r="G7398" s="8" t="str">
        <f t="shared" si="2688"/>
        <v>事業用資産</v>
      </c>
      <c r="H7398" s="8" t="str">
        <f t="shared" si="2683"/>
        <v>棚卸以外</v>
      </c>
      <c r="I7398" s="8">
        <v>1</v>
      </c>
      <c r="J7398" s="8" t="str">
        <f>"弁天３丁目交番"</f>
        <v>弁天３丁目交番</v>
      </c>
      <c r="K7398" s="8" t="str">
        <f>"鉄筋コンクリート造"</f>
        <v>鉄筋コンクリート造</v>
      </c>
      <c r="L7398" s="8" t="str">
        <f>"S57.03.03"</f>
        <v>S57.03.03</v>
      </c>
      <c r="M7398" s="8">
        <v>54</v>
      </c>
      <c r="N7398" s="8">
        <v>18884000</v>
      </c>
      <c r="O7398" s="8">
        <v>15485208</v>
      </c>
      <c r="P7398" s="8">
        <v>0</v>
      </c>
      <c r="Q7398" s="8" t="str">
        <f t="shared" si="2679"/>
        <v>公安委員会</v>
      </c>
      <c r="R7398" s="8" t="str">
        <f t="shared" si="2692"/>
        <v>港警察署</v>
      </c>
    </row>
    <row r="7399" spans="1:18" x14ac:dyDescent="0.45">
      <c r="A7399" s="8" t="str">
        <f>"11532000300"</f>
        <v>11532000300</v>
      </c>
      <c r="B7399" s="8" t="str">
        <f>"八幡屋公園前交番"</f>
        <v>八幡屋公園前交番</v>
      </c>
      <c r="C7399" s="8" t="str">
        <f t="shared" si="2680"/>
        <v>行政財産</v>
      </c>
      <c r="D7399" s="8" t="str">
        <f t="shared" si="2682"/>
        <v>警察（消防）施設</v>
      </c>
      <c r="E7399" s="8" t="str">
        <f>"大阪府大阪市　港区田中３丁目"</f>
        <v>大阪府大阪市　港区田中３丁目</v>
      </c>
      <c r="F7399" s="8"/>
      <c r="G7399" s="8" t="str">
        <f t="shared" si="2688"/>
        <v>事業用資産</v>
      </c>
      <c r="H7399" s="8" t="str">
        <f t="shared" si="2683"/>
        <v>棚卸以外</v>
      </c>
      <c r="I7399" s="8">
        <v>1</v>
      </c>
      <c r="J7399" s="8" t="str">
        <f>"八幡屋公園前交番"</f>
        <v>八幡屋公園前交番</v>
      </c>
      <c r="K7399" s="8" t="str">
        <f>"鉄骨造"</f>
        <v>鉄骨造</v>
      </c>
      <c r="L7399" s="8" t="str">
        <f>"H09.03.31"</f>
        <v>H09.03.31</v>
      </c>
      <c r="M7399" s="8">
        <v>118.42</v>
      </c>
      <c r="N7399" s="8">
        <v>49851579</v>
      </c>
      <c r="O7399" s="8">
        <v>33808618</v>
      </c>
      <c r="P7399" s="8">
        <v>0</v>
      </c>
      <c r="Q7399" s="8" t="str">
        <f t="shared" si="2679"/>
        <v>公安委員会</v>
      </c>
      <c r="R7399" s="8" t="str">
        <f t="shared" si="2692"/>
        <v>港警察署</v>
      </c>
    </row>
    <row r="7400" spans="1:18" x14ac:dyDescent="0.45">
      <c r="A7400" s="8" t="str">
        <f>"11532003001"</f>
        <v>11532003001</v>
      </c>
      <c r="B7400" s="8" t="str">
        <f>"築港交番"</f>
        <v>築港交番</v>
      </c>
      <c r="C7400" s="8" t="str">
        <f t="shared" si="2680"/>
        <v>行政財産</v>
      </c>
      <c r="D7400" s="8" t="str">
        <f t="shared" si="2682"/>
        <v>警察（消防）施設</v>
      </c>
      <c r="E7400" s="8" t="str">
        <f>"大阪府大阪市　港区築港４丁目"</f>
        <v>大阪府大阪市　港区築港４丁目</v>
      </c>
      <c r="F7400" s="8"/>
      <c r="G7400" s="8" t="str">
        <f t="shared" si="2688"/>
        <v>事業用資産</v>
      </c>
      <c r="H7400" s="8" t="str">
        <f t="shared" si="2683"/>
        <v>棚卸以外</v>
      </c>
      <c r="I7400" s="8">
        <v>1</v>
      </c>
      <c r="J7400" s="8" t="str">
        <f>"築港交番"</f>
        <v>築港交番</v>
      </c>
      <c r="K7400" s="8" t="str">
        <f>"軽量鉄骨造"</f>
        <v>軽量鉄骨造</v>
      </c>
      <c r="L7400" s="8" t="str">
        <f>"H30.02.01"</f>
        <v>H30.02.01</v>
      </c>
      <c r="M7400" s="8">
        <v>48.44</v>
      </c>
      <c r="N7400" s="8">
        <v>27199400</v>
      </c>
      <c r="O7400" s="8">
        <v>5359861</v>
      </c>
      <c r="P7400" s="8">
        <v>0</v>
      </c>
      <c r="Q7400" s="8" t="str">
        <f t="shared" si="2679"/>
        <v>公安委員会</v>
      </c>
      <c r="R7400" s="8" t="str">
        <f t="shared" si="2692"/>
        <v>港警察署</v>
      </c>
    </row>
    <row r="7401" spans="1:18" x14ac:dyDescent="0.45">
      <c r="A7401" s="8" t="str">
        <f>"11532003003"</f>
        <v>11532003003</v>
      </c>
      <c r="B7401" s="8" t="str">
        <f>"弁天町駅前交番"</f>
        <v>弁天町駅前交番</v>
      </c>
      <c r="C7401" s="8" t="str">
        <f t="shared" si="2680"/>
        <v>行政財産</v>
      </c>
      <c r="D7401" s="8" t="str">
        <f t="shared" si="2682"/>
        <v>警察（消防）施設</v>
      </c>
      <c r="E7401" s="8" t="str">
        <f>"大阪府大阪市　港区波除３丁目"</f>
        <v>大阪府大阪市　港区波除３丁目</v>
      </c>
      <c r="F7401" s="8"/>
      <c r="G7401" s="8" t="str">
        <f t="shared" si="2688"/>
        <v>事業用資産</v>
      </c>
      <c r="H7401" s="8" t="str">
        <f t="shared" si="2683"/>
        <v>棚卸以外</v>
      </c>
      <c r="I7401" s="8">
        <v>1</v>
      </c>
      <c r="J7401" s="8" t="str">
        <f>"弁天町駅前交番"</f>
        <v>弁天町駅前交番</v>
      </c>
      <c r="K7401" s="8" t="str">
        <f>"軽量鉄骨造"</f>
        <v>軽量鉄骨造</v>
      </c>
      <c r="L7401" s="8" t="str">
        <f>"H30.01.17"</f>
        <v>H30.01.17</v>
      </c>
      <c r="M7401" s="8">
        <v>71.64</v>
      </c>
      <c r="N7401" s="8">
        <v>32718058</v>
      </c>
      <c r="O7401" s="8">
        <v>6664588</v>
      </c>
      <c r="P7401" s="8">
        <v>0</v>
      </c>
      <c r="Q7401" s="8" t="str">
        <f t="shared" si="2679"/>
        <v>公安委員会</v>
      </c>
      <c r="R7401" s="8" t="str">
        <f t="shared" si="2692"/>
        <v>港警察署</v>
      </c>
    </row>
    <row r="7402" spans="1:18" x14ac:dyDescent="0.45">
      <c r="A7402" s="8" t="str">
        <f>"11532003003"</f>
        <v>11532003003</v>
      </c>
      <c r="B7402" s="8" t="str">
        <f>"弁天町駅前交番"</f>
        <v>弁天町駅前交番</v>
      </c>
      <c r="C7402" s="8" t="str">
        <f t="shared" si="2680"/>
        <v>行政財産</v>
      </c>
      <c r="D7402" s="8" t="str">
        <f t="shared" si="2682"/>
        <v>警察（消防）施設</v>
      </c>
      <c r="E7402" s="8" t="str">
        <f>"大阪府大阪市　港区波除３丁目"</f>
        <v>大阪府大阪市　港区波除３丁目</v>
      </c>
      <c r="F7402" s="8"/>
      <c r="G7402" s="8" t="str">
        <f t="shared" si="2688"/>
        <v>事業用資産</v>
      </c>
      <c r="H7402" s="8" t="str">
        <f t="shared" si="2683"/>
        <v>棚卸以外</v>
      </c>
      <c r="I7402" s="8">
        <v>2</v>
      </c>
      <c r="J7402" s="8" t="str">
        <f>"物置"</f>
        <v>物置</v>
      </c>
      <c r="K7402" s="8" t="str">
        <f>"土蔵造(簡易建物)"</f>
        <v>土蔵造(簡易建物)</v>
      </c>
      <c r="L7402" s="8" t="str">
        <f>"H30.01.17"</f>
        <v>H30.01.17</v>
      </c>
      <c r="M7402" s="8">
        <v>1.96</v>
      </c>
      <c r="N7402" s="8">
        <v>271440</v>
      </c>
      <c r="O7402" s="8">
        <v>100192</v>
      </c>
      <c r="P7402" s="8">
        <v>0</v>
      </c>
      <c r="Q7402" s="8" t="str">
        <f t="shared" si="2679"/>
        <v>公安委員会</v>
      </c>
      <c r="R7402" s="8" t="str">
        <f t="shared" si="2692"/>
        <v>港警察署</v>
      </c>
    </row>
    <row r="7403" spans="1:18" x14ac:dyDescent="0.45">
      <c r="A7403" s="8" t="str">
        <f>"11533000000"</f>
        <v>11533000000</v>
      </c>
      <c r="B7403" s="8" t="str">
        <f>"旭警察署"</f>
        <v>旭警察署</v>
      </c>
      <c r="C7403" s="8" t="str">
        <f t="shared" si="2680"/>
        <v>行政財産</v>
      </c>
      <c r="D7403" s="8" t="str">
        <f t="shared" si="2682"/>
        <v>警察（消防）施設</v>
      </c>
      <c r="E7403" s="8" t="str">
        <f>"大阪府大阪市　旭区中宮１丁目"</f>
        <v>大阪府大阪市　旭区中宮１丁目</v>
      </c>
      <c r="F7403" s="8"/>
      <c r="G7403" s="8" t="str">
        <f t="shared" si="2688"/>
        <v>事業用資産</v>
      </c>
      <c r="H7403" s="8" t="str">
        <f t="shared" si="2683"/>
        <v>棚卸以外</v>
      </c>
      <c r="I7403" s="8">
        <v>51</v>
      </c>
      <c r="J7403" s="8" t="str">
        <f>"庁舎"</f>
        <v>庁舎</v>
      </c>
      <c r="K7403" s="8" t="str">
        <f>"鉄筋コンクリート造"</f>
        <v>鉄筋コンクリート造</v>
      </c>
      <c r="L7403" s="8" t="str">
        <f>"H12.11.20"</f>
        <v>H12.11.20</v>
      </c>
      <c r="M7403" s="8">
        <v>3622.26</v>
      </c>
      <c r="N7403" s="8">
        <v>1308062099</v>
      </c>
      <c r="O7403" s="8">
        <v>584096412</v>
      </c>
      <c r="P7403" s="8">
        <v>0</v>
      </c>
      <c r="Q7403" s="8" t="str">
        <f t="shared" si="2679"/>
        <v>公安委員会</v>
      </c>
      <c r="R7403" s="8" t="str">
        <f t="shared" ref="R7403:R7412" si="2693">"旭警察署"</f>
        <v>旭警察署</v>
      </c>
    </row>
    <row r="7404" spans="1:18" x14ac:dyDescent="0.45">
      <c r="A7404" s="8" t="str">
        <f>"11533000000"</f>
        <v>11533000000</v>
      </c>
      <c r="B7404" s="8" t="str">
        <f>"旭警察署"</f>
        <v>旭警察署</v>
      </c>
      <c r="C7404" s="8" t="str">
        <f t="shared" si="2680"/>
        <v>行政財産</v>
      </c>
      <c r="D7404" s="8" t="str">
        <f t="shared" si="2682"/>
        <v>警察（消防）施設</v>
      </c>
      <c r="E7404" s="8" t="str">
        <f>"大阪府大阪市　旭区中宮１丁目"</f>
        <v>大阪府大阪市　旭区中宮１丁目</v>
      </c>
      <c r="F7404" s="8"/>
      <c r="G7404" s="8" t="str">
        <f t="shared" si="2688"/>
        <v>事業用資産</v>
      </c>
      <c r="H7404" s="8" t="str">
        <f t="shared" si="2683"/>
        <v>棚卸以外</v>
      </c>
      <c r="I7404" s="8">
        <v>52</v>
      </c>
      <c r="J7404" s="8" t="str">
        <f>"附属棟"</f>
        <v>附属棟</v>
      </c>
      <c r="K7404" s="8" t="str">
        <f>"鉄筋コンクリート造"</f>
        <v>鉄筋コンクリート造</v>
      </c>
      <c r="L7404" s="8" t="str">
        <f>"H12.11.20"</f>
        <v>H12.11.20</v>
      </c>
      <c r="M7404" s="8">
        <v>546.79</v>
      </c>
      <c r="N7404" s="8">
        <v>122551404</v>
      </c>
      <c r="O7404" s="8">
        <v>54739804</v>
      </c>
      <c r="P7404" s="8">
        <v>0</v>
      </c>
      <c r="Q7404" s="8" t="str">
        <f t="shared" si="2679"/>
        <v>公安委員会</v>
      </c>
      <c r="R7404" s="8" t="str">
        <f t="shared" si="2693"/>
        <v>旭警察署</v>
      </c>
    </row>
    <row r="7405" spans="1:18" x14ac:dyDescent="0.45">
      <c r="A7405" s="8" t="str">
        <f>"11533000000"</f>
        <v>11533000000</v>
      </c>
      <c r="B7405" s="8" t="str">
        <f>"旭警察署"</f>
        <v>旭警察署</v>
      </c>
      <c r="C7405" s="8" t="str">
        <f t="shared" si="2680"/>
        <v>行政財産</v>
      </c>
      <c r="D7405" s="8" t="str">
        <f t="shared" si="2682"/>
        <v>警察（消防）施設</v>
      </c>
      <c r="E7405" s="8" t="str">
        <f>"大阪府大阪市　旭区中宮１丁目"</f>
        <v>大阪府大阪市　旭区中宮１丁目</v>
      </c>
      <c r="F7405" s="8"/>
      <c r="G7405" s="8" t="str">
        <f t="shared" si="2688"/>
        <v>事業用資産</v>
      </c>
      <c r="H7405" s="8" t="str">
        <f t="shared" si="2683"/>
        <v>棚卸以外</v>
      </c>
      <c r="I7405" s="8">
        <v>53</v>
      </c>
      <c r="J7405" s="8" t="str">
        <f>"公用車車庫"</f>
        <v>公用車車庫</v>
      </c>
      <c r="K7405" s="8" t="str">
        <f>"鉄筋コンクリート造"</f>
        <v>鉄筋コンクリート造</v>
      </c>
      <c r="L7405" s="8" t="str">
        <f>"H12.11.20"</f>
        <v>H12.11.20</v>
      </c>
      <c r="M7405" s="8">
        <v>35.1</v>
      </c>
      <c r="N7405" s="8">
        <v>7289000</v>
      </c>
      <c r="O7405" s="8">
        <v>4283980</v>
      </c>
      <c r="P7405" s="8">
        <v>0</v>
      </c>
      <c r="Q7405" s="8" t="str">
        <f t="shared" si="2679"/>
        <v>公安委員会</v>
      </c>
      <c r="R7405" s="8" t="str">
        <f t="shared" si="2693"/>
        <v>旭警察署</v>
      </c>
    </row>
    <row r="7406" spans="1:18" x14ac:dyDescent="0.45">
      <c r="A7406" s="8" t="str">
        <f>"11533000220"</f>
        <v>11533000220</v>
      </c>
      <c r="B7406" s="8" t="str">
        <f>"高殿交番"</f>
        <v>高殿交番</v>
      </c>
      <c r="C7406" s="8" t="str">
        <f t="shared" si="2680"/>
        <v>行政財産</v>
      </c>
      <c r="D7406" s="8" t="str">
        <f t="shared" si="2682"/>
        <v>警察（消防）施設</v>
      </c>
      <c r="E7406" s="8" t="str">
        <f>"大阪府大阪市　旭区高殿６丁目"</f>
        <v>大阪府大阪市　旭区高殿６丁目</v>
      </c>
      <c r="F7406" s="8"/>
      <c r="G7406" s="8" t="str">
        <f t="shared" si="2688"/>
        <v>事業用資産</v>
      </c>
      <c r="H7406" s="8" t="str">
        <f t="shared" si="2683"/>
        <v>棚卸以外</v>
      </c>
      <c r="I7406" s="8">
        <v>2</v>
      </c>
      <c r="J7406" s="8" t="str">
        <f>"高殿交番"</f>
        <v>高殿交番</v>
      </c>
      <c r="K7406" s="8" t="str">
        <f>"鉄骨造"</f>
        <v>鉄骨造</v>
      </c>
      <c r="L7406" s="8" t="str">
        <f>"H12.02.28"</f>
        <v>H12.02.28</v>
      </c>
      <c r="M7406" s="8">
        <v>55.04</v>
      </c>
      <c r="N7406" s="8">
        <v>18987000</v>
      </c>
      <c r="O7406" s="8">
        <v>11534003</v>
      </c>
      <c r="P7406" s="8">
        <v>0</v>
      </c>
      <c r="Q7406" s="8" t="str">
        <f t="shared" si="2679"/>
        <v>公安委員会</v>
      </c>
      <c r="R7406" s="8" t="str">
        <f t="shared" si="2693"/>
        <v>旭警察署</v>
      </c>
    </row>
    <row r="7407" spans="1:18" x14ac:dyDescent="0.45">
      <c r="A7407" s="8" t="str">
        <f>"11533000230"</f>
        <v>11533000230</v>
      </c>
      <c r="B7407" s="8" t="str">
        <f>"太子橋交番"</f>
        <v>太子橋交番</v>
      </c>
      <c r="C7407" s="8" t="str">
        <f t="shared" si="2680"/>
        <v>行政財産</v>
      </c>
      <c r="D7407" s="8" t="str">
        <f t="shared" si="2682"/>
        <v>警察（消防）施設</v>
      </c>
      <c r="E7407" s="8" t="str">
        <f>"大阪府大阪市　旭区太子橋１丁目"</f>
        <v>大阪府大阪市　旭区太子橋１丁目</v>
      </c>
      <c r="F7407" s="8"/>
      <c r="G7407" s="8" t="str">
        <f t="shared" si="2688"/>
        <v>事業用資産</v>
      </c>
      <c r="H7407" s="8" t="str">
        <f t="shared" si="2683"/>
        <v>棚卸以外</v>
      </c>
      <c r="I7407" s="8">
        <v>2</v>
      </c>
      <c r="J7407" s="8" t="str">
        <f>"太子橋交番"</f>
        <v>太子橋交番</v>
      </c>
      <c r="K7407" s="8" t="str">
        <f>"軽量鉄骨造"</f>
        <v>軽量鉄骨造</v>
      </c>
      <c r="L7407" s="8" t="str">
        <f>"R02.01.31"</f>
        <v>R02.01.31</v>
      </c>
      <c r="M7407" s="8">
        <v>44.86</v>
      </c>
      <c r="N7407" s="8">
        <v>26629137</v>
      </c>
      <c r="O7407" s="8">
        <v>3299728</v>
      </c>
      <c r="P7407" s="8">
        <v>0</v>
      </c>
      <c r="Q7407" s="8" t="str">
        <f t="shared" si="2679"/>
        <v>公安委員会</v>
      </c>
      <c r="R7407" s="8" t="str">
        <f t="shared" si="2693"/>
        <v>旭警察署</v>
      </c>
    </row>
    <row r="7408" spans="1:18" x14ac:dyDescent="0.45">
      <c r="A7408" s="8" t="str">
        <f>"11533000240"</f>
        <v>11533000240</v>
      </c>
      <c r="B7408" s="8" t="str">
        <f>"清水警ら連絡所"</f>
        <v>清水警ら連絡所</v>
      </c>
      <c r="C7408" s="8" t="str">
        <f t="shared" si="2680"/>
        <v>行政財産</v>
      </c>
      <c r="D7408" s="8" t="str">
        <f t="shared" si="2682"/>
        <v>警察（消防）施設</v>
      </c>
      <c r="E7408" s="8" t="str">
        <f>"大阪府大阪市　旭区清水４丁目"</f>
        <v>大阪府大阪市　旭区清水４丁目</v>
      </c>
      <c r="F7408" s="8"/>
      <c r="G7408" s="8" t="str">
        <f t="shared" si="2688"/>
        <v>事業用資産</v>
      </c>
      <c r="H7408" s="8" t="str">
        <f t="shared" si="2683"/>
        <v>棚卸以外</v>
      </c>
      <c r="I7408" s="8">
        <v>1</v>
      </c>
      <c r="J7408" s="8" t="str">
        <f>"清水警ら連絡所"</f>
        <v>清水警ら連絡所</v>
      </c>
      <c r="K7408" s="8" t="str">
        <f>"コンクリートブロック造"</f>
        <v>コンクリートブロック造</v>
      </c>
      <c r="L7408" s="8" t="str">
        <f>"S37.02.11"</f>
        <v>S37.02.11</v>
      </c>
      <c r="M7408" s="8">
        <v>23.14</v>
      </c>
      <c r="N7408" s="8">
        <v>686000</v>
      </c>
      <c r="O7408" s="8">
        <v>685999</v>
      </c>
      <c r="P7408" s="8">
        <v>0</v>
      </c>
      <c r="Q7408" s="8" t="str">
        <f t="shared" si="2679"/>
        <v>公安委員会</v>
      </c>
      <c r="R7408" s="8" t="str">
        <f t="shared" si="2693"/>
        <v>旭警察署</v>
      </c>
    </row>
    <row r="7409" spans="1:18" x14ac:dyDescent="0.45">
      <c r="A7409" s="8" t="str">
        <f>"11533000260"</f>
        <v>11533000260</v>
      </c>
      <c r="B7409" s="8" t="str">
        <f>"新森交番"</f>
        <v>新森交番</v>
      </c>
      <c r="C7409" s="8" t="str">
        <f t="shared" si="2680"/>
        <v>行政財産</v>
      </c>
      <c r="D7409" s="8" t="str">
        <f t="shared" si="2682"/>
        <v>警察（消防）施設</v>
      </c>
      <c r="E7409" s="8" t="str">
        <f>"大阪府大阪市　旭区新森２丁目"</f>
        <v>大阪府大阪市　旭区新森２丁目</v>
      </c>
      <c r="F7409" s="8"/>
      <c r="G7409" s="8" t="str">
        <f t="shared" si="2688"/>
        <v>事業用資産</v>
      </c>
      <c r="H7409" s="8" t="str">
        <f t="shared" si="2683"/>
        <v>棚卸以外</v>
      </c>
      <c r="I7409" s="8">
        <v>1</v>
      </c>
      <c r="J7409" s="8" t="str">
        <f>"新森交番"</f>
        <v>新森交番</v>
      </c>
      <c r="K7409" s="8" t="str">
        <f>"鉄筋コンクリート造"</f>
        <v>鉄筋コンクリート造</v>
      </c>
      <c r="L7409" s="8" t="str">
        <f>"S45.02.20"</f>
        <v>S45.02.20</v>
      </c>
      <c r="M7409" s="8">
        <v>69.48</v>
      </c>
      <c r="N7409" s="8">
        <v>4103000</v>
      </c>
      <c r="O7409" s="8">
        <v>4102999</v>
      </c>
      <c r="P7409" s="8">
        <v>0</v>
      </c>
      <c r="Q7409" s="8" t="str">
        <f t="shared" si="2679"/>
        <v>公安委員会</v>
      </c>
      <c r="R7409" s="8" t="str">
        <f t="shared" si="2693"/>
        <v>旭警察署</v>
      </c>
    </row>
    <row r="7410" spans="1:18" x14ac:dyDescent="0.45">
      <c r="A7410" s="8" t="str">
        <f>"11533000270"</f>
        <v>11533000270</v>
      </c>
      <c r="B7410" s="8" t="str">
        <f>"赤川交番"</f>
        <v>赤川交番</v>
      </c>
      <c r="C7410" s="8" t="str">
        <f t="shared" si="2680"/>
        <v>行政財産</v>
      </c>
      <c r="D7410" s="8" t="str">
        <f t="shared" si="2682"/>
        <v>警察（消防）施設</v>
      </c>
      <c r="E7410" s="8" t="str">
        <f>"大阪府大阪市　旭区赤川２丁目"</f>
        <v>大阪府大阪市　旭区赤川２丁目</v>
      </c>
      <c r="F7410" s="8"/>
      <c r="G7410" s="8" t="str">
        <f t="shared" si="2688"/>
        <v>事業用資産</v>
      </c>
      <c r="H7410" s="8" t="str">
        <f t="shared" si="2683"/>
        <v>棚卸以外</v>
      </c>
      <c r="I7410" s="8">
        <v>1</v>
      </c>
      <c r="J7410" s="8" t="str">
        <f>"赤川交番"</f>
        <v>赤川交番</v>
      </c>
      <c r="K7410" s="8" t="str">
        <f>"鉄筋コンクリート造"</f>
        <v>鉄筋コンクリート造</v>
      </c>
      <c r="L7410" s="8" t="str">
        <f>"S45.11.14"</f>
        <v>S45.11.14</v>
      </c>
      <c r="M7410" s="8">
        <v>94.96</v>
      </c>
      <c r="N7410" s="8">
        <v>4154562</v>
      </c>
      <c r="O7410" s="8">
        <v>4139381</v>
      </c>
      <c r="P7410" s="8">
        <v>0</v>
      </c>
      <c r="Q7410" s="8" t="str">
        <f t="shared" si="2679"/>
        <v>公安委員会</v>
      </c>
      <c r="R7410" s="8" t="str">
        <f t="shared" si="2693"/>
        <v>旭警察署</v>
      </c>
    </row>
    <row r="7411" spans="1:18" x14ac:dyDescent="0.45">
      <c r="A7411" s="8" t="str">
        <f>"11533000280"</f>
        <v>11533000280</v>
      </c>
      <c r="B7411" s="8" t="str">
        <f>"大宮交番"</f>
        <v>大宮交番</v>
      </c>
      <c r="C7411" s="8" t="str">
        <f t="shared" si="2680"/>
        <v>行政財産</v>
      </c>
      <c r="D7411" s="8" t="str">
        <f t="shared" si="2682"/>
        <v>警察（消防）施設</v>
      </c>
      <c r="E7411" s="8" t="str">
        <f>"大阪府大阪市　旭区大宮１丁目"</f>
        <v>大阪府大阪市　旭区大宮１丁目</v>
      </c>
      <c r="F7411" s="8"/>
      <c r="G7411" s="8" t="str">
        <f t="shared" si="2688"/>
        <v>事業用資産</v>
      </c>
      <c r="H7411" s="8" t="str">
        <f t="shared" si="2683"/>
        <v>棚卸以外</v>
      </c>
      <c r="I7411" s="8">
        <v>1</v>
      </c>
      <c r="J7411" s="8" t="str">
        <f>"大宮交番"</f>
        <v>大宮交番</v>
      </c>
      <c r="K7411" s="8" t="str">
        <f>"鉄筋コンクリート造"</f>
        <v>鉄筋コンクリート造</v>
      </c>
      <c r="L7411" s="8" t="str">
        <f>"S47.03.29"</f>
        <v>S47.03.29</v>
      </c>
      <c r="M7411" s="8">
        <v>66.08</v>
      </c>
      <c r="N7411" s="8">
        <v>4399400</v>
      </c>
      <c r="O7411" s="8">
        <v>4374979</v>
      </c>
      <c r="P7411" s="8">
        <v>0</v>
      </c>
      <c r="Q7411" s="8" t="str">
        <f t="shared" ref="Q7411:Q7474" si="2694">"公安委員会"</f>
        <v>公安委員会</v>
      </c>
      <c r="R7411" s="8" t="str">
        <f t="shared" si="2693"/>
        <v>旭警察署</v>
      </c>
    </row>
    <row r="7412" spans="1:18" x14ac:dyDescent="0.45">
      <c r="A7412" s="8" t="str">
        <f>"11533003001"</f>
        <v>11533003001</v>
      </c>
      <c r="B7412" s="8" t="str">
        <f>"千林交番"</f>
        <v>千林交番</v>
      </c>
      <c r="C7412" s="8" t="str">
        <f t="shared" si="2680"/>
        <v>行政財産</v>
      </c>
      <c r="D7412" s="8" t="str">
        <f t="shared" si="2682"/>
        <v>警察（消防）施設</v>
      </c>
      <c r="E7412" s="8" t="str">
        <f>"大阪府大阪市　旭区千林２丁目"</f>
        <v>大阪府大阪市　旭区千林２丁目</v>
      </c>
      <c r="F7412" s="8"/>
      <c r="G7412" s="8" t="str">
        <f t="shared" si="2688"/>
        <v>事業用資産</v>
      </c>
      <c r="H7412" s="8" t="str">
        <f t="shared" si="2683"/>
        <v>棚卸以外</v>
      </c>
      <c r="I7412" s="8">
        <v>1</v>
      </c>
      <c r="J7412" s="8" t="str">
        <f>"千林交番"</f>
        <v>千林交番</v>
      </c>
      <c r="K7412" s="8" t="str">
        <f>"軽量鉄骨造"</f>
        <v>軽量鉄骨造</v>
      </c>
      <c r="L7412" s="8" t="str">
        <f>"H26.03.28"</f>
        <v>H26.03.28</v>
      </c>
      <c r="M7412" s="8">
        <v>44.2</v>
      </c>
      <c r="N7412" s="8">
        <v>17437960</v>
      </c>
      <c r="O7412" s="8">
        <v>6378156</v>
      </c>
      <c r="P7412" s="8">
        <v>0</v>
      </c>
      <c r="Q7412" s="8" t="str">
        <f t="shared" si="2694"/>
        <v>公安委員会</v>
      </c>
      <c r="R7412" s="8" t="str">
        <f t="shared" si="2693"/>
        <v>旭警察署</v>
      </c>
    </row>
    <row r="7413" spans="1:18" ht="26.4" x14ac:dyDescent="0.45">
      <c r="A7413" s="8" t="str">
        <f>"11534000000"</f>
        <v>11534000000</v>
      </c>
      <c r="B7413" s="8" t="str">
        <f>"城東警察署"</f>
        <v>城東警察署</v>
      </c>
      <c r="C7413" s="8" t="str">
        <f t="shared" si="2680"/>
        <v>行政財産</v>
      </c>
      <c r="D7413" s="8" t="str">
        <f t="shared" si="2682"/>
        <v>警察（消防）施設</v>
      </c>
      <c r="E7413" s="8" t="str">
        <f>"大阪府大阪市　城東区中央１丁目"</f>
        <v>大阪府大阪市　城東区中央１丁目</v>
      </c>
      <c r="F7413" s="8"/>
      <c r="G7413" s="8" t="str">
        <f t="shared" si="2688"/>
        <v>事業用資産</v>
      </c>
      <c r="H7413" s="8" t="str">
        <f t="shared" si="2683"/>
        <v>棚卸以外</v>
      </c>
      <c r="I7413" s="8">
        <v>20</v>
      </c>
      <c r="J7413" s="8" t="str">
        <f>"庁舎"</f>
        <v>庁舎</v>
      </c>
      <c r="K7413" s="8" t="str">
        <f>"鉄骨鉄筋コンクリート造"</f>
        <v>鉄骨鉄筋コンクリート造</v>
      </c>
      <c r="L7413" s="8" t="str">
        <f>"H26.05.30"</f>
        <v>H26.05.30</v>
      </c>
      <c r="M7413" s="8">
        <v>5113.78</v>
      </c>
      <c r="N7413" s="8">
        <v>1592317684</v>
      </c>
      <c r="O7413" s="8">
        <v>522327852</v>
      </c>
      <c r="P7413" s="8">
        <v>0</v>
      </c>
      <c r="Q7413" s="8" t="str">
        <f t="shared" si="2694"/>
        <v>公安委員会</v>
      </c>
      <c r="R7413" s="8" t="str">
        <f t="shared" ref="R7413:R7424" si="2695">"城東警察署"</f>
        <v>城東警察署</v>
      </c>
    </row>
    <row r="7414" spans="1:18" x14ac:dyDescent="0.45">
      <c r="A7414" s="8" t="str">
        <f>"11534000000"</f>
        <v>11534000000</v>
      </c>
      <c r="B7414" s="8" t="str">
        <f>"城東警察署"</f>
        <v>城東警察署</v>
      </c>
      <c r="C7414" s="8" t="str">
        <f t="shared" ref="C7414:C7477" si="2696">"行政財産"</f>
        <v>行政財産</v>
      </c>
      <c r="D7414" s="8" t="str">
        <f t="shared" si="2682"/>
        <v>警察（消防）施設</v>
      </c>
      <c r="E7414" s="8" t="str">
        <f>"大阪府大阪市　城東区中央１丁目"</f>
        <v>大阪府大阪市　城東区中央１丁目</v>
      </c>
      <c r="F7414" s="8"/>
      <c r="G7414" s="8" t="str">
        <f t="shared" si="2688"/>
        <v>事業用資産</v>
      </c>
      <c r="H7414" s="8" t="str">
        <f t="shared" si="2683"/>
        <v>棚卸以外</v>
      </c>
      <c r="I7414" s="8">
        <v>21</v>
      </c>
      <c r="J7414" s="8" t="str">
        <f>"公舎"</f>
        <v>公舎</v>
      </c>
      <c r="K7414" s="8" t="str">
        <f>"鉄骨造"</f>
        <v>鉄骨造</v>
      </c>
      <c r="L7414" s="8" t="str">
        <f>"H26.05.30"</f>
        <v>H26.05.30</v>
      </c>
      <c r="M7414" s="8">
        <v>541.80999999999995</v>
      </c>
      <c r="N7414" s="8">
        <v>125610275</v>
      </c>
      <c r="O7414" s="8">
        <v>33145726</v>
      </c>
      <c r="P7414" s="8">
        <v>0</v>
      </c>
      <c r="Q7414" s="8" t="str">
        <f t="shared" si="2694"/>
        <v>公安委員会</v>
      </c>
      <c r="R7414" s="8" t="str">
        <f t="shared" si="2695"/>
        <v>城東警察署</v>
      </c>
    </row>
    <row r="7415" spans="1:18" x14ac:dyDescent="0.45">
      <c r="A7415" s="8" t="str">
        <f>"11534000170"</f>
        <v>11534000170</v>
      </c>
      <c r="B7415" s="8" t="str">
        <f>"鴫野東交番"</f>
        <v>鴫野東交番</v>
      </c>
      <c r="C7415" s="8" t="str">
        <f t="shared" si="2696"/>
        <v>行政財産</v>
      </c>
      <c r="D7415" s="8" t="str">
        <f t="shared" si="2682"/>
        <v>警察（消防）施設</v>
      </c>
      <c r="E7415" s="8" t="str">
        <f>"大阪府大阪市　城東区鴫野東３丁目"</f>
        <v>大阪府大阪市　城東区鴫野東３丁目</v>
      </c>
      <c r="F7415" s="8"/>
      <c r="G7415" s="8" t="str">
        <f t="shared" si="2688"/>
        <v>事業用資産</v>
      </c>
      <c r="H7415" s="8" t="str">
        <f t="shared" si="2683"/>
        <v>棚卸以外</v>
      </c>
      <c r="I7415" s="8">
        <v>2</v>
      </c>
      <c r="J7415" s="8" t="str">
        <f>"鴫野東交番"</f>
        <v>鴫野東交番</v>
      </c>
      <c r="K7415" s="8" t="str">
        <f>"鉄筋コンクリート造"</f>
        <v>鉄筋コンクリート造</v>
      </c>
      <c r="L7415" s="8" t="str">
        <f>"S46.11.22"</f>
        <v>S46.11.22</v>
      </c>
      <c r="M7415" s="8">
        <v>46.83</v>
      </c>
      <c r="N7415" s="8">
        <v>2964379</v>
      </c>
      <c r="O7415" s="8">
        <v>2902275</v>
      </c>
      <c r="P7415" s="8">
        <v>0</v>
      </c>
      <c r="Q7415" s="8" t="str">
        <f t="shared" si="2694"/>
        <v>公安委員会</v>
      </c>
      <c r="R7415" s="8" t="str">
        <f t="shared" si="2695"/>
        <v>城東警察署</v>
      </c>
    </row>
    <row r="7416" spans="1:18" x14ac:dyDescent="0.45">
      <c r="A7416" s="8" t="str">
        <f>"11534000190"</f>
        <v>11534000190</v>
      </c>
      <c r="B7416" s="8" t="str">
        <f>"関目交番"</f>
        <v>関目交番</v>
      </c>
      <c r="C7416" s="8" t="str">
        <f t="shared" si="2696"/>
        <v>行政財産</v>
      </c>
      <c r="D7416" s="8" t="str">
        <f t="shared" si="2682"/>
        <v>警察（消防）施設</v>
      </c>
      <c r="E7416" s="8" t="str">
        <f>"大阪府大阪市　城東区関目５丁目"</f>
        <v>大阪府大阪市　城東区関目５丁目</v>
      </c>
      <c r="F7416" s="8"/>
      <c r="G7416" s="8" t="str">
        <f t="shared" si="2688"/>
        <v>事業用資産</v>
      </c>
      <c r="H7416" s="8" t="str">
        <f t="shared" si="2683"/>
        <v>棚卸以外</v>
      </c>
      <c r="I7416" s="8">
        <v>3</v>
      </c>
      <c r="J7416" s="8" t="str">
        <f>"関目交番"</f>
        <v>関目交番</v>
      </c>
      <c r="K7416" s="8" t="str">
        <f>"鉄骨造"</f>
        <v>鉄骨造</v>
      </c>
      <c r="L7416" s="8" t="str">
        <f>"H18.12.01"</f>
        <v>H18.12.01</v>
      </c>
      <c r="M7416" s="8">
        <v>47.43</v>
      </c>
      <c r="N7416" s="8">
        <v>21824280</v>
      </c>
      <c r="O7416" s="8">
        <v>9304476</v>
      </c>
      <c r="P7416" s="8">
        <v>0</v>
      </c>
      <c r="Q7416" s="8" t="str">
        <f t="shared" si="2694"/>
        <v>公安委員会</v>
      </c>
      <c r="R7416" s="8" t="str">
        <f t="shared" si="2695"/>
        <v>城東警察署</v>
      </c>
    </row>
    <row r="7417" spans="1:18" x14ac:dyDescent="0.45">
      <c r="A7417" s="8" t="str">
        <f>"11534000260"</f>
        <v>11534000260</v>
      </c>
      <c r="B7417" s="8" t="str">
        <f>"諏訪交番"</f>
        <v>諏訪交番</v>
      </c>
      <c r="C7417" s="8" t="str">
        <f t="shared" si="2696"/>
        <v>行政財産</v>
      </c>
      <c r="D7417" s="8" t="str">
        <f t="shared" si="2682"/>
        <v>警察（消防）施設</v>
      </c>
      <c r="E7417" s="8" t="str">
        <f>"大阪府大阪市　城東区永田３丁目"</f>
        <v>大阪府大阪市　城東区永田３丁目</v>
      </c>
      <c r="F7417" s="8"/>
      <c r="G7417" s="8" t="str">
        <f t="shared" si="2688"/>
        <v>事業用資産</v>
      </c>
      <c r="H7417" s="8" t="str">
        <f t="shared" si="2683"/>
        <v>棚卸以外</v>
      </c>
      <c r="I7417" s="8">
        <v>2</v>
      </c>
      <c r="J7417" s="8" t="str">
        <f>"諏訪交番"</f>
        <v>諏訪交番</v>
      </c>
      <c r="K7417" s="8" t="str">
        <f>"鉄骨造"</f>
        <v>鉄骨造</v>
      </c>
      <c r="L7417" s="8" t="str">
        <f>"H15.01.21"</f>
        <v>H15.01.21</v>
      </c>
      <c r="M7417" s="8">
        <v>133.76</v>
      </c>
      <c r="N7417" s="8">
        <v>26851560</v>
      </c>
      <c r="O7417" s="8">
        <v>14217738</v>
      </c>
      <c r="P7417" s="8">
        <v>0</v>
      </c>
      <c r="Q7417" s="8" t="str">
        <f t="shared" si="2694"/>
        <v>公安委員会</v>
      </c>
      <c r="R7417" s="8" t="str">
        <f t="shared" si="2695"/>
        <v>城東警察署</v>
      </c>
    </row>
    <row r="7418" spans="1:18" x14ac:dyDescent="0.45">
      <c r="A7418" s="8" t="str">
        <f>"11534000330"</f>
        <v>11534000330</v>
      </c>
      <c r="B7418" s="8" t="str">
        <f>"関目南交番"</f>
        <v>関目南交番</v>
      </c>
      <c r="C7418" s="8" t="str">
        <f t="shared" si="2696"/>
        <v>行政財産</v>
      </c>
      <c r="D7418" s="8" t="str">
        <f t="shared" si="2682"/>
        <v>警察（消防）施設</v>
      </c>
      <c r="E7418" s="8" t="str">
        <f>"大阪府大阪市　城東区関目２丁目"</f>
        <v>大阪府大阪市　城東区関目２丁目</v>
      </c>
      <c r="F7418" s="8"/>
      <c r="G7418" s="8" t="str">
        <f t="shared" si="2688"/>
        <v>事業用資産</v>
      </c>
      <c r="H7418" s="8" t="str">
        <f t="shared" si="2683"/>
        <v>棚卸以外</v>
      </c>
      <c r="I7418" s="8">
        <v>2</v>
      </c>
      <c r="J7418" s="8" t="str">
        <f>"関目南交番"</f>
        <v>関目南交番</v>
      </c>
      <c r="K7418" s="8" t="str">
        <f>"鉄骨造"</f>
        <v>鉄骨造</v>
      </c>
      <c r="L7418" s="8" t="str">
        <f>"H20.03.07"</f>
        <v>H20.03.07</v>
      </c>
      <c r="M7418" s="8">
        <v>54.36</v>
      </c>
      <c r="N7418" s="8">
        <v>16585752</v>
      </c>
      <c r="O7418" s="8">
        <v>6524820</v>
      </c>
      <c r="P7418" s="8">
        <v>0</v>
      </c>
      <c r="Q7418" s="8" t="str">
        <f t="shared" si="2694"/>
        <v>公安委員会</v>
      </c>
      <c r="R7418" s="8" t="str">
        <f t="shared" si="2695"/>
        <v>城東警察署</v>
      </c>
    </row>
    <row r="7419" spans="1:18" x14ac:dyDescent="0.45">
      <c r="A7419" s="8" t="str">
        <f>"11534000340"</f>
        <v>11534000340</v>
      </c>
      <c r="B7419" s="8" t="str">
        <f>"今福交番"</f>
        <v>今福交番</v>
      </c>
      <c r="C7419" s="8" t="str">
        <f t="shared" si="2696"/>
        <v>行政財産</v>
      </c>
      <c r="D7419" s="8" t="str">
        <f t="shared" si="2682"/>
        <v>警察（消防）施設</v>
      </c>
      <c r="E7419" s="8" t="str">
        <f>"大阪府大阪市　城東区今福南２丁目"</f>
        <v>大阪府大阪市　城東区今福南２丁目</v>
      </c>
      <c r="F7419" s="8"/>
      <c r="G7419" s="8" t="str">
        <f t="shared" si="2688"/>
        <v>事業用資産</v>
      </c>
      <c r="H7419" s="8" t="str">
        <f t="shared" si="2683"/>
        <v>棚卸以外</v>
      </c>
      <c r="I7419" s="8">
        <v>1</v>
      </c>
      <c r="J7419" s="8" t="str">
        <f>"今福交番"</f>
        <v>今福交番</v>
      </c>
      <c r="K7419" s="8" t="str">
        <f>"鉄筋コンクリート造"</f>
        <v>鉄筋コンクリート造</v>
      </c>
      <c r="L7419" s="8" t="str">
        <f>"S43.03.27"</f>
        <v>S43.03.27</v>
      </c>
      <c r="M7419" s="8">
        <v>45.65</v>
      </c>
      <c r="N7419" s="8">
        <v>3039677</v>
      </c>
      <c r="O7419" s="8">
        <v>2977284</v>
      </c>
      <c r="P7419" s="8">
        <v>0</v>
      </c>
      <c r="Q7419" s="8" t="str">
        <f t="shared" si="2694"/>
        <v>公安委員会</v>
      </c>
      <c r="R7419" s="8" t="str">
        <f t="shared" si="2695"/>
        <v>城東警察署</v>
      </c>
    </row>
    <row r="7420" spans="1:18" x14ac:dyDescent="0.45">
      <c r="A7420" s="8" t="str">
        <f>"11534000340"</f>
        <v>11534000340</v>
      </c>
      <c r="B7420" s="8" t="str">
        <f>"今福交番"</f>
        <v>今福交番</v>
      </c>
      <c r="C7420" s="8" t="str">
        <f t="shared" si="2696"/>
        <v>行政財産</v>
      </c>
      <c r="D7420" s="8" t="str">
        <f t="shared" ref="D7420:D7483" si="2697">"警察（消防）施設"</f>
        <v>警察（消防）施設</v>
      </c>
      <c r="E7420" s="8" t="str">
        <f>"大阪府大阪市　城東区今福南２丁目"</f>
        <v>大阪府大阪市　城東区今福南２丁目</v>
      </c>
      <c r="F7420" s="8"/>
      <c r="G7420" s="8" t="str">
        <f t="shared" si="2688"/>
        <v>事業用資産</v>
      </c>
      <c r="H7420" s="8" t="str">
        <f t="shared" si="2683"/>
        <v>棚卸以外</v>
      </c>
      <c r="I7420" s="8">
        <v>2</v>
      </c>
      <c r="J7420" s="8" t="str">
        <f>"物置"</f>
        <v>物置</v>
      </c>
      <c r="K7420" s="8" t="str">
        <f>"木造"</f>
        <v>木造</v>
      </c>
      <c r="L7420" s="8" t="str">
        <f>"S47.03.30"</f>
        <v>S47.03.30</v>
      </c>
      <c r="M7420" s="8">
        <v>4.42</v>
      </c>
      <c r="N7420" s="8">
        <v>80350</v>
      </c>
      <c r="O7420" s="8">
        <v>80349</v>
      </c>
      <c r="P7420" s="8">
        <v>0</v>
      </c>
      <c r="Q7420" s="8" t="str">
        <f t="shared" si="2694"/>
        <v>公安委員会</v>
      </c>
      <c r="R7420" s="8" t="str">
        <f t="shared" si="2695"/>
        <v>城東警察署</v>
      </c>
    </row>
    <row r="7421" spans="1:18" x14ac:dyDescent="0.45">
      <c r="A7421" s="8" t="str">
        <f>"11534000350"</f>
        <v>11534000350</v>
      </c>
      <c r="B7421" s="8" t="str">
        <f>"野江交番"</f>
        <v>野江交番</v>
      </c>
      <c r="C7421" s="8" t="str">
        <f t="shared" si="2696"/>
        <v>行政財産</v>
      </c>
      <c r="D7421" s="8" t="str">
        <f t="shared" si="2697"/>
        <v>警察（消防）施設</v>
      </c>
      <c r="E7421" s="8" t="str">
        <f>"大阪府大阪市　城東区野江１丁目"</f>
        <v>大阪府大阪市　城東区野江１丁目</v>
      </c>
      <c r="F7421" s="8"/>
      <c r="G7421" s="8" t="str">
        <f t="shared" si="2688"/>
        <v>事業用資産</v>
      </c>
      <c r="H7421" s="8" t="str">
        <f t="shared" si="2683"/>
        <v>棚卸以外</v>
      </c>
      <c r="I7421" s="8">
        <v>2</v>
      </c>
      <c r="J7421" s="8" t="str">
        <f>"野江交番"</f>
        <v>野江交番</v>
      </c>
      <c r="K7421" s="8" t="str">
        <f>"鉄骨造"</f>
        <v>鉄骨造</v>
      </c>
      <c r="L7421" s="8" t="str">
        <f>"H21.07.30"</f>
        <v>H21.07.30</v>
      </c>
      <c r="M7421" s="8">
        <v>52.78</v>
      </c>
      <c r="N7421" s="8">
        <v>18546379</v>
      </c>
      <c r="O7421" s="8">
        <v>6650032</v>
      </c>
      <c r="P7421" s="8">
        <v>0</v>
      </c>
      <c r="Q7421" s="8" t="str">
        <f t="shared" si="2694"/>
        <v>公安委員会</v>
      </c>
      <c r="R7421" s="8" t="str">
        <f t="shared" si="2695"/>
        <v>城東警察署</v>
      </c>
    </row>
    <row r="7422" spans="1:18" x14ac:dyDescent="0.45">
      <c r="A7422" s="8" t="str">
        <f>"11534000380"</f>
        <v>11534000380</v>
      </c>
      <c r="B7422" s="8" t="str">
        <f>"中浜交番"</f>
        <v>中浜交番</v>
      </c>
      <c r="C7422" s="8" t="str">
        <f t="shared" si="2696"/>
        <v>行政財産</v>
      </c>
      <c r="D7422" s="8" t="str">
        <f t="shared" si="2697"/>
        <v>警察（消防）施設</v>
      </c>
      <c r="E7422" s="8" t="str">
        <f>"大阪府大阪市　城東区中浜２丁目"</f>
        <v>大阪府大阪市　城東区中浜２丁目</v>
      </c>
      <c r="F7422" s="8"/>
      <c r="G7422" s="8" t="str">
        <f t="shared" si="2688"/>
        <v>事業用資産</v>
      </c>
      <c r="H7422" s="8" t="str">
        <f t="shared" si="2683"/>
        <v>棚卸以外</v>
      </c>
      <c r="I7422" s="8">
        <v>1</v>
      </c>
      <c r="J7422" s="8" t="str">
        <f>"中浜交番"</f>
        <v>中浜交番</v>
      </c>
      <c r="K7422" s="8" t="str">
        <f>"鉄筋コンクリート造"</f>
        <v>鉄筋コンクリート造</v>
      </c>
      <c r="L7422" s="8" t="str">
        <f>"S45.12.14"</f>
        <v>S45.12.14</v>
      </c>
      <c r="M7422" s="8">
        <v>32.4</v>
      </c>
      <c r="N7422" s="8">
        <v>2552315</v>
      </c>
      <c r="O7422" s="8">
        <v>2489320</v>
      </c>
      <c r="P7422" s="8">
        <v>0</v>
      </c>
      <c r="Q7422" s="8" t="str">
        <f t="shared" si="2694"/>
        <v>公安委員会</v>
      </c>
      <c r="R7422" s="8" t="str">
        <f t="shared" si="2695"/>
        <v>城東警察署</v>
      </c>
    </row>
    <row r="7423" spans="1:18" x14ac:dyDescent="0.45">
      <c r="A7423" s="8" t="str">
        <f>"11534000390"</f>
        <v>11534000390</v>
      </c>
      <c r="B7423" s="8" t="str">
        <f>"鴫野西交番"</f>
        <v>鴫野西交番</v>
      </c>
      <c r="C7423" s="8" t="str">
        <f t="shared" si="2696"/>
        <v>行政財産</v>
      </c>
      <c r="D7423" s="8" t="str">
        <f t="shared" si="2697"/>
        <v>警察（消防）施設</v>
      </c>
      <c r="E7423" s="8" t="str">
        <f>"大阪府大阪市　城東区鴫野西２丁目"</f>
        <v>大阪府大阪市　城東区鴫野西２丁目</v>
      </c>
      <c r="F7423" s="8"/>
      <c r="G7423" s="8" t="str">
        <f t="shared" si="2688"/>
        <v>事業用資産</v>
      </c>
      <c r="H7423" s="8" t="str">
        <f t="shared" si="2683"/>
        <v>棚卸以外</v>
      </c>
      <c r="I7423" s="8">
        <v>1</v>
      </c>
      <c r="J7423" s="8" t="str">
        <f>"鴫野西交番"</f>
        <v>鴫野西交番</v>
      </c>
      <c r="K7423" s="8" t="str">
        <f>"鉄筋コンクリート造"</f>
        <v>鉄筋コンクリート造</v>
      </c>
      <c r="L7423" s="8" t="str">
        <f>"S61.03.27"</f>
        <v>S61.03.27</v>
      </c>
      <c r="M7423" s="8">
        <v>54</v>
      </c>
      <c r="N7423" s="8">
        <v>13592699</v>
      </c>
      <c r="O7423" s="8">
        <v>10013265</v>
      </c>
      <c r="P7423" s="8">
        <v>0</v>
      </c>
      <c r="Q7423" s="8" t="str">
        <f t="shared" si="2694"/>
        <v>公安委員会</v>
      </c>
      <c r="R7423" s="8" t="str">
        <f t="shared" si="2695"/>
        <v>城東警察署</v>
      </c>
    </row>
    <row r="7424" spans="1:18" x14ac:dyDescent="0.45">
      <c r="A7424" s="8" t="str">
        <f>"11534000390"</f>
        <v>11534000390</v>
      </c>
      <c r="B7424" s="8" t="str">
        <f>"鴫野西交番"</f>
        <v>鴫野西交番</v>
      </c>
      <c r="C7424" s="8" t="str">
        <f t="shared" si="2696"/>
        <v>行政財産</v>
      </c>
      <c r="D7424" s="8" t="str">
        <f t="shared" si="2697"/>
        <v>警察（消防）施設</v>
      </c>
      <c r="E7424" s="8" t="str">
        <f>"大阪府大阪市　城東区鴫野西２丁目"</f>
        <v>大阪府大阪市　城東区鴫野西２丁目</v>
      </c>
      <c r="F7424" s="8"/>
      <c r="G7424" s="8" t="str">
        <f t="shared" si="2688"/>
        <v>事業用資産</v>
      </c>
      <c r="H7424" s="8" t="str">
        <f t="shared" si="2683"/>
        <v>棚卸以外</v>
      </c>
      <c r="I7424" s="8">
        <v>2</v>
      </c>
      <c r="J7424" s="8" t="str">
        <f>"車庫"</f>
        <v>車庫</v>
      </c>
      <c r="K7424" s="8" t="str">
        <f>"鉄骨造"</f>
        <v>鉄骨造</v>
      </c>
      <c r="L7424" s="8" t="str">
        <f>"S61.03.27"</f>
        <v>S61.03.27</v>
      </c>
      <c r="M7424" s="8">
        <v>15.21</v>
      </c>
      <c r="N7424" s="8">
        <v>635000</v>
      </c>
      <c r="O7424" s="8">
        <v>634999</v>
      </c>
      <c r="P7424" s="8">
        <v>0</v>
      </c>
      <c r="Q7424" s="8" t="str">
        <f t="shared" si="2694"/>
        <v>公安委員会</v>
      </c>
      <c r="R7424" s="8" t="str">
        <f t="shared" si="2695"/>
        <v>城東警察署</v>
      </c>
    </row>
    <row r="7425" spans="1:18" x14ac:dyDescent="0.45">
      <c r="A7425" s="8" t="str">
        <f>"11535000000"</f>
        <v>11535000000</v>
      </c>
      <c r="B7425" s="8" t="str">
        <f>"鶴見警察署"</f>
        <v>鶴見警察署</v>
      </c>
      <c r="C7425" s="8" t="str">
        <f t="shared" si="2696"/>
        <v>行政財産</v>
      </c>
      <c r="D7425" s="8" t="str">
        <f t="shared" si="2697"/>
        <v>警察（消防）施設</v>
      </c>
      <c r="E7425" s="8" t="str">
        <f>"大阪府大阪市　鶴見区諸口６丁目"</f>
        <v>大阪府大阪市　鶴見区諸口６丁目</v>
      </c>
      <c r="F7425" s="8"/>
      <c r="G7425" s="8" t="str">
        <f t="shared" si="2688"/>
        <v>事業用資産</v>
      </c>
      <c r="H7425" s="8" t="str">
        <f t="shared" si="2683"/>
        <v>棚卸以外</v>
      </c>
      <c r="I7425" s="8">
        <v>1</v>
      </c>
      <c r="J7425" s="8" t="str">
        <f>"庁舎"</f>
        <v>庁舎</v>
      </c>
      <c r="K7425" s="8" t="str">
        <f>"鉄筋コンクリート造"</f>
        <v>鉄筋コンクリート造</v>
      </c>
      <c r="L7425" s="8" t="str">
        <f>"S56.03.09"</f>
        <v>S56.03.09</v>
      </c>
      <c r="M7425" s="8">
        <v>2917.86</v>
      </c>
      <c r="N7425" s="8">
        <v>606370673</v>
      </c>
      <c r="O7425" s="8">
        <v>497803763</v>
      </c>
      <c r="P7425" s="8">
        <v>0</v>
      </c>
      <c r="Q7425" s="8" t="str">
        <f t="shared" si="2694"/>
        <v>公安委員会</v>
      </c>
      <c r="R7425" s="8" t="str">
        <f t="shared" ref="R7425:R7436" si="2698">"鶴見警察署"</f>
        <v>鶴見警察署</v>
      </c>
    </row>
    <row r="7426" spans="1:18" ht="26.4" x14ac:dyDescent="0.45">
      <c r="A7426" s="8" t="str">
        <f>"11535000000"</f>
        <v>11535000000</v>
      </c>
      <c r="B7426" s="8" t="str">
        <f>"鶴見警察署"</f>
        <v>鶴見警察署</v>
      </c>
      <c r="C7426" s="8" t="str">
        <f t="shared" si="2696"/>
        <v>行政財産</v>
      </c>
      <c r="D7426" s="8" t="str">
        <f t="shared" si="2697"/>
        <v>警察（消防）施設</v>
      </c>
      <c r="E7426" s="8" t="str">
        <f>"大阪府大阪市　鶴見区諸口６丁目"</f>
        <v>大阪府大阪市　鶴見区諸口６丁目</v>
      </c>
      <c r="F7426" s="8"/>
      <c r="G7426" s="8" t="str">
        <f t="shared" si="2688"/>
        <v>事業用資産</v>
      </c>
      <c r="H7426" s="8" t="str">
        <f t="shared" si="2683"/>
        <v>棚卸以外</v>
      </c>
      <c r="I7426" s="8">
        <v>2</v>
      </c>
      <c r="J7426" s="8" t="str">
        <f>"車庫Ａ"</f>
        <v>車庫Ａ</v>
      </c>
      <c r="K7426" s="8" t="str">
        <f>"鉄骨鉄筋コンクリート造"</f>
        <v>鉄骨鉄筋コンクリート造</v>
      </c>
      <c r="L7426" s="8" t="str">
        <f>"S56.03.09"</f>
        <v>S56.03.09</v>
      </c>
      <c r="M7426" s="8">
        <v>95.59</v>
      </c>
      <c r="N7426" s="8">
        <v>6690000</v>
      </c>
      <c r="O7426" s="8">
        <v>6689999</v>
      </c>
      <c r="P7426" s="8">
        <v>0</v>
      </c>
      <c r="Q7426" s="8" t="str">
        <f t="shared" si="2694"/>
        <v>公安委員会</v>
      </c>
      <c r="R7426" s="8" t="str">
        <f t="shared" si="2698"/>
        <v>鶴見警察署</v>
      </c>
    </row>
    <row r="7427" spans="1:18" ht="26.4" x14ac:dyDescent="0.45">
      <c r="A7427" s="8" t="str">
        <f>"11535000000"</f>
        <v>11535000000</v>
      </c>
      <c r="B7427" s="8" t="str">
        <f>"鶴見警察署"</f>
        <v>鶴見警察署</v>
      </c>
      <c r="C7427" s="8" t="str">
        <f t="shared" si="2696"/>
        <v>行政財産</v>
      </c>
      <c r="D7427" s="8" t="str">
        <f t="shared" si="2697"/>
        <v>警察（消防）施設</v>
      </c>
      <c r="E7427" s="8" t="str">
        <f>"大阪府大阪市　鶴見区諸口６丁目"</f>
        <v>大阪府大阪市　鶴見区諸口６丁目</v>
      </c>
      <c r="F7427" s="8"/>
      <c r="G7427" s="8" t="str">
        <f t="shared" si="2688"/>
        <v>事業用資産</v>
      </c>
      <c r="H7427" s="8" t="str">
        <f t="shared" si="2683"/>
        <v>棚卸以外</v>
      </c>
      <c r="I7427" s="8">
        <v>3</v>
      </c>
      <c r="J7427" s="8" t="str">
        <f>"車庫Ｂ"</f>
        <v>車庫Ｂ</v>
      </c>
      <c r="K7427" s="8" t="str">
        <f>"鉄骨鉄筋コンクリート造"</f>
        <v>鉄骨鉄筋コンクリート造</v>
      </c>
      <c r="L7427" s="8" t="str">
        <f>"S56.03.09"</f>
        <v>S56.03.09</v>
      </c>
      <c r="M7427" s="8">
        <v>99.29</v>
      </c>
      <c r="N7427" s="8">
        <v>6404000</v>
      </c>
      <c r="O7427" s="8">
        <v>6403999</v>
      </c>
      <c r="P7427" s="8">
        <v>0</v>
      </c>
      <c r="Q7427" s="8" t="str">
        <f t="shared" si="2694"/>
        <v>公安委員会</v>
      </c>
      <c r="R7427" s="8" t="str">
        <f t="shared" si="2698"/>
        <v>鶴見警察署</v>
      </c>
    </row>
    <row r="7428" spans="1:18" x14ac:dyDescent="0.45">
      <c r="A7428" s="8" t="str">
        <f>"11535000000"</f>
        <v>11535000000</v>
      </c>
      <c r="B7428" s="8" t="str">
        <f>"鶴見警察署"</f>
        <v>鶴見警察署</v>
      </c>
      <c r="C7428" s="8" t="str">
        <f t="shared" si="2696"/>
        <v>行政財産</v>
      </c>
      <c r="D7428" s="8" t="str">
        <f t="shared" si="2697"/>
        <v>警察（消防）施設</v>
      </c>
      <c r="E7428" s="8" t="str">
        <f>"大阪府大阪市　鶴見区諸口６丁目"</f>
        <v>大阪府大阪市　鶴見区諸口６丁目</v>
      </c>
      <c r="F7428" s="8"/>
      <c r="G7428" s="8" t="str">
        <f t="shared" si="2688"/>
        <v>事業用資産</v>
      </c>
      <c r="H7428" s="8" t="str">
        <f t="shared" ref="H7428:H7491" si="2699">"棚卸以外"</f>
        <v>棚卸以外</v>
      </c>
      <c r="I7428" s="8">
        <v>4</v>
      </c>
      <c r="J7428" s="8" t="str">
        <f>"大型車庫及び倉庫"</f>
        <v>大型車庫及び倉庫</v>
      </c>
      <c r="K7428" s="8" t="str">
        <f>"鉄骨造"</f>
        <v>鉄骨造</v>
      </c>
      <c r="L7428" s="8" t="str">
        <f>"S56.03.09"</f>
        <v>S56.03.09</v>
      </c>
      <c r="M7428" s="8">
        <v>174.83</v>
      </c>
      <c r="N7428" s="8">
        <v>15064000</v>
      </c>
      <c r="O7428" s="8">
        <v>15063999</v>
      </c>
      <c r="P7428" s="8">
        <v>0</v>
      </c>
      <c r="Q7428" s="8" t="str">
        <f t="shared" si="2694"/>
        <v>公安委員会</v>
      </c>
      <c r="R7428" s="8" t="str">
        <f t="shared" si="2698"/>
        <v>鶴見警察署</v>
      </c>
    </row>
    <row r="7429" spans="1:18" x14ac:dyDescent="0.45">
      <c r="A7429" s="8" t="str">
        <f>"11535000000"</f>
        <v>11535000000</v>
      </c>
      <c r="B7429" s="8" t="str">
        <f>"鶴見警察署"</f>
        <v>鶴見警察署</v>
      </c>
      <c r="C7429" s="8" t="str">
        <f t="shared" si="2696"/>
        <v>行政財産</v>
      </c>
      <c r="D7429" s="8" t="str">
        <f t="shared" si="2697"/>
        <v>警察（消防）施設</v>
      </c>
      <c r="E7429" s="8" t="str">
        <f>"大阪府大阪市　鶴見区諸口６丁目"</f>
        <v>大阪府大阪市　鶴見区諸口６丁目</v>
      </c>
      <c r="F7429" s="8"/>
      <c r="G7429" s="8" t="str">
        <f t="shared" si="2688"/>
        <v>事業用資産</v>
      </c>
      <c r="H7429" s="8" t="str">
        <f t="shared" si="2699"/>
        <v>棚卸以外</v>
      </c>
      <c r="I7429" s="8">
        <v>5</v>
      </c>
      <c r="J7429" s="8" t="str">
        <f>"署長公舎"</f>
        <v>署長公舎</v>
      </c>
      <c r="K7429" s="8" t="str">
        <f>"鉄筋コンクリート造"</f>
        <v>鉄筋コンクリート造</v>
      </c>
      <c r="L7429" s="8" t="str">
        <f>"S56.03.09"</f>
        <v>S56.03.09</v>
      </c>
      <c r="M7429" s="8">
        <v>84.15</v>
      </c>
      <c r="N7429" s="8">
        <v>17946760</v>
      </c>
      <c r="O7429" s="8">
        <v>16018465</v>
      </c>
      <c r="P7429" s="8">
        <v>0</v>
      </c>
      <c r="Q7429" s="8" t="str">
        <f t="shared" si="2694"/>
        <v>公安委員会</v>
      </c>
      <c r="R7429" s="8" t="str">
        <f t="shared" si="2698"/>
        <v>鶴見警察署</v>
      </c>
    </row>
    <row r="7430" spans="1:18" x14ac:dyDescent="0.45">
      <c r="A7430" s="8" t="str">
        <f>"11535000110"</f>
        <v>11535000110</v>
      </c>
      <c r="B7430" s="8" t="str">
        <f>"茨田南交番"</f>
        <v>茨田南交番</v>
      </c>
      <c r="C7430" s="8" t="str">
        <f t="shared" si="2696"/>
        <v>行政財産</v>
      </c>
      <c r="D7430" s="8" t="str">
        <f t="shared" si="2697"/>
        <v>警察（消防）施設</v>
      </c>
      <c r="E7430" s="8" t="str">
        <f>"大阪府大阪市　鶴見区徳庵１丁目"</f>
        <v>大阪府大阪市　鶴見区徳庵１丁目</v>
      </c>
      <c r="F7430" s="8"/>
      <c r="G7430" s="8" t="str">
        <f t="shared" si="2688"/>
        <v>事業用資産</v>
      </c>
      <c r="H7430" s="8" t="str">
        <f t="shared" si="2699"/>
        <v>棚卸以外</v>
      </c>
      <c r="I7430" s="8">
        <v>2</v>
      </c>
      <c r="J7430" s="8" t="str">
        <f>"茨田南交番"</f>
        <v>茨田南交番</v>
      </c>
      <c r="K7430" s="8" t="str">
        <f>"鉄骨造"</f>
        <v>鉄骨造</v>
      </c>
      <c r="L7430" s="8" t="str">
        <f>"H15.11.07"</f>
        <v>H15.11.07</v>
      </c>
      <c r="M7430" s="8">
        <v>54</v>
      </c>
      <c r="N7430" s="8">
        <v>15667356</v>
      </c>
      <c r="O7430" s="8">
        <v>7953739</v>
      </c>
      <c r="P7430" s="8">
        <v>0</v>
      </c>
      <c r="Q7430" s="8" t="str">
        <f t="shared" si="2694"/>
        <v>公安委員会</v>
      </c>
      <c r="R7430" s="8" t="str">
        <f t="shared" si="2698"/>
        <v>鶴見警察署</v>
      </c>
    </row>
    <row r="7431" spans="1:18" x14ac:dyDescent="0.45">
      <c r="A7431" s="8" t="str">
        <f>"11535000120"</f>
        <v>11535000120</v>
      </c>
      <c r="B7431" s="8" t="str">
        <f>"茨田北交番"</f>
        <v>茨田北交番</v>
      </c>
      <c r="C7431" s="8" t="str">
        <f t="shared" si="2696"/>
        <v>行政財産</v>
      </c>
      <c r="D7431" s="8" t="str">
        <f t="shared" si="2697"/>
        <v>警察（消防）施設</v>
      </c>
      <c r="E7431" s="8" t="str">
        <f>"大阪府大阪市　鶴見区浜４丁目"</f>
        <v>大阪府大阪市　鶴見区浜４丁目</v>
      </c>
      <c r="F7431" s="8"/>
      <c r="G7431" s="8" t="str">
        <f t="shared" si="2688"/>
        <v>事業用資産</v>
      </c>
      <c r="H7431" s="8" t="str">
        <f t="shared" si="2699"/>
        <v>棚卸以外</v>
      </c>
      <c r="I7431" s="8">
        <v>1</v>
      </c>
      <c r="J7431" s="8" t="str">
        <f>"茨田北交番"</f>
        <v>茨田北交番</v>
      </c>
      <c r="K7431" s="8" t="str">
        <f>"鉄骨造"</f>
        <v>鉄骨造</v>
      </c>
      <c r="L7431" s="8" t="str">
        <f>"S51.03.31"</f>
        <v>S51.03.31</v>
      </c>
      <c r="M7431" s="8">
        <v>54</v>
      </c>
      <c r="N7431" s="8">
        <v>10760000</v>
      </c>
      <c r="O7431" s="8">
        <v>10759999</v>
      </c>
      <c r="P7431" s="8">
        <v>0</v>
      </c>
      <c r="Q7431" s="8" t="str">
        <f t="shared" si="2694"/>
        <v>公安委員会</v>
      </c>
      <c r="R7431" s="8" t="str">
        <f t="shared" si="2698"/>
        <v>鶴見警察署</v>
      </c>
    </row>
    <row r="7432" spans="1:18" x14ac:dyDescent="0.45">
      <c r="A7432" s="8" t="str">
        <f>"11535000130"</f>
        <v>11535000130</v>
      </c>
      <c r="B7432" s="8" t="str">
        <f>"茨田交番"</f>
        <v>茨田交番</v>
      </c>
      <c r="C7432" s="8" t="str">
        <f t="shared" si="2696"/>
        <v>行政財産</v>
      </c>
      <c r="D7432" s="8" t="str">
        <f t="shared" si="2697"/>
        <v>警察（消防）施設</v>
      </c>
      <c r="E7432" s="8" t="str">
        <f>"大阪府大阪市　鶴見区浜２丁目"</f>
        <v>大阪府大阪市　鶴見区浜２丁目</v>
      </c>
      <c r="F7432" s="8"/>
      <c r="G7432" s="8" t="str">
        <f t="shared" si="2688"/>
        <v>事業用資産</v>
      </c>
      <c r="H7432" s="8" t="str">
        <f t="shared" si="2699"/>
        <v>棚卸以外</v>
      </c>
      <c r="I7432" s="8">
        <v>2</v>
      </c>
      <c r="J7432" s="8" t="str">
        <f>"茨田交番"</f>
        <v>茨田交番</v>
      </c>
      <c r="K7432" s="8" t="str">
        <f>"鉄骨造"</f>
        <v>鉄骨造</v>
      </c>
      <c r="L7432" s="8" t="str">
        <f>"H06.03.31"</f>
        <v>H06.03.31</v>
      </c>
      <c r="M7432" s="8">
        <v>111.02</v>
      </c>
      <c r="N7432" s="8">
        <v>30694000</v>
      </c>
      <c r="O7432" s="8">
        <v>23424576</v>
      </c>
      <c r="P7432" s="8">
        <v>0</v>
      </c>
      <c r="Q7432" s="8" t="str">
        <f t="shared" si="2694"/>
        <v>公安委員会</v>
      </c>
      <c r="R7432" s="8" t="str">
        <f t="shared" si="2698"/>
        <v>鶴見警察署</v>
      </c>
    </row>
    <row r="7433" spans="1:18" x14ac:dyDescent="0.45">
      <c r="A7433" s="8" t="str">
        <f>"11535000140"</f>
        <v>11535000140</v>
      </c>
      <c r="B7433" s="8" t="str">
        <f>"放出大橋交番"</f>
        <v>放出大橋交番</v>
      </c>
      <c r="C7433" s="8" t="str">
        <f t="shared" si="2696"/>
        <v>行政財産</v>
      </c>
      <c r="D7433" s="8" t="str">
        <f t="shared" si="2697"/>
        <v>警察（消防）施設</v>
      </c>
      <c r="E7433" s="8" t="str">
        <f>"大阪府大阪市　鶴見区放出東１丁目"</f>
        <v>大阪府大阪市　鶴見区放出東１丁目</v>
      </c>
      <c r="F7433" s="8"/>
      <c r="G7433" s="8" t="str">
        <f t="shared" si="2688"/>
        <v>事業用資産</v>
      </c>
      <c r="H7433" s="8" t="str">
        <f t="shared" si="2699"/>
        <v>棚卸以外</v>
      </c>
      <c r="I7433" s="8">
        <v>1</v>
      </c>
      <c r="J7433" s="8" t="str">
        <f>"放出大橋交番"</f>
        <v>放出大橋交番</v>
      </c>
      <c r="K7433" s="8" t="str">
        <f>"鉄筋コンクリート造"</f>
        <v>鉄筋コンクリート造</v>
      </c>
      <c r="L7433" s="8" t="str">
        <f>"S45.11.04"</f>
        <v>S45.11.04</v>
      </c>
      <c r="M7433" s="8">
        <v>93.35</v>
      </c>
      <c r="N7433" s="8">
        <v>9301000</v>
      </c>
      <c r="O7433" s="8">
        <v>8741024</v>
      </c>
      <c r="P7433" s="8">
        <v>0</v>
      </c>
      <c r="Q7433" s="8" t="str">
        <f t="shared" si="2694"/>
        <v>公安委員会</v>
      </c>
      <c r="R7433" s="8" t="str">
        <f t="shared" si="2698"/>
        <v>鶴見警察署</v>
      </c>
    </row>
    <row r="7434" spans="1:18" x14ac:dyDescent="0.45">
      <c r="A7434" s="8" t="str">
        <f>"11535000150"</f>
        <v>11535000150</v>
      </c>
      <c r="B7434" s="8" t="str">
        <f>"緑交番"</f>
        <v>緑交番</v>
      </c>
      <c r="C7434" s="8" t="str">
        <f t="shared" si="2696"/>
        <v>行政財産</v>
      </c>
      <c r="D7434" s="8" t="str">
        <f t="shared" si="2697"/>
        <v>警察（消防）施設</v>
      </c>
      <c r="E7434" s="8" t="str">
        <f>"大阪府大阪市　鶴見区緑２丁目"</f>
        <v>大阪府大阪市　鶴見区緑２丁目</v>
      </c>
      <c r="F7434" s="8"/>
      <c r="G7434" s="8" t="str">
        <f t="shared" si="2688"/>
        <v>事業用資産</v>
      </c>
      <c r="H7434" s="8" t="str">
        <f t="shared" si="2699"/>
        <v>棚卸以外</v>
      </c>
      <c r="I7434" s="8">
        <v>1</v>
      </c>
      <c r="J7434" s="8" t="str">
        <f>"緑交番"</f>
        <v>緑交番</v>
      </c>
      <c r="K7434" s="8" t="str">
        <f>"鉄骨造"</f>
        <v>鉄骨造</v>
      </c>
      <c r="L7434" s="8" t="str">
        <f>"S54.03.31"</f>
        <v>S54.03.31</v>
      </c>
      <c r="M7434" s="8">
        <v>54</v>
      </c>
      <c r="N7434" s="8">
        <v>13227455</v>
      </c>
      <c r="O7434" s="8">
        <v>13085865</v>
      </c>
      <c r="P7434" s="8">
        <v>0</v>
      </c>
      <c r="Q7434" s="8" t="str">
        <f t="shared" si="2694"/>
        <v>公安委員会</v>
      </c>
      <c r="R7434" s="8" t="str">
        <f t="shared" si="2698"/>
        <v>鶴見警察署</v>
      </c>
    </row>
    <row r="7435" spans="1:18" x14ac:dyDescent="0.45">
      <c r="A7435" s="8" t="str">
        <f>"11535000160"</f>
        <v>11535000160</v>
      </c>
      <c r="B7435" s="8" t="str">
        <f>"今津交番"</f>
        <v>今津交番</v>
      </c>
      <c r="C7435" s="8" t="str">
        <f t="shared" si="2696"/>
        <v>行政財産</v>
      </c>
      <c r="D7435" s="8" t="str">
        <f t="shared" si="2697"/>
        <v>警察（消防）施設</v>
      </c>
      <c r="E7435" s="8" t="str">
        <f>"大阪府大阪市　鶴見区今津中３丁目"</f>
        <v>大阪府大阪市　鶴見区今津中３丁目</v>
      </c>
      <c r="F7435" s="8"/>
      <c r="G7435" s="8" t="str">
        <f t="shared" si="2688"/>
        <v>事業用資産</v>
      </c>
      <c r="H7435" s="8" t="str">
        <f t="shared" si="2699"/>
        <v>棚卸以外</v>
      </c>
      <c r="I7435" s="8">
        <v>1</v>
      </c>
      <c r="J7435" s="8" t="str">
        <f>"今津交番"</f>
        <v>今津交番</v>
      </c>
      <c r="K7435" s="8" t="str">
        <f>"鉄筋コンクリート造"</f>
        <v>鉄筋コンクリート造</v>
      </c>
      <c r="L7435" s="8" t="str">
        <f>"S59.03.30"</f>
        <v>S59.03.30</v>
      </c>
      <c r="M7435" s="8">
        <v>54</v>
      </c>
      <c r="N7435" s="8">
        <v>16858000</v>
      </c>
      <c r="O7435" s="8">
        <v>13149396</v>
      </c>
      <c r="P7435" s="8">
        <v>0</v>
      </c>
      <c r="Q7435" s="8" t="str">
        <f t="shared" si="2694"/>
        <v>公安委員会</v>
      </c>
      <c r="R7435" s="8" t="str">
        <f t="shared" si="2698"/>
        <v>鶴見警察署</v>
      </c>
    </row>
    <row r="7436" spans="1:18" x14ac:dyDescent="0.45">
      <c r="A7436" s="8" t="str">
        <f>"11535000170"</f>
        <v>11535000170</v>
      </c>
      <c r="B7436" s="8" t="str">
        <f>"放出駅前交番"</f>
        <v>放出駅前交番</v>
      </c>
      <c r="C7436" s="8" t="str">
        <f t="shared" si="2696"/>
        <v>行政財産</v>
      </c>
      <c r="D7436" s="8" t="str">
        <f t="shared" si="2697"/>
        <v>警察（消防）施設</v>
      </c>
      <c r="E7436" s="8" t="str">
        <f>"大阪府大阪市　鶴見区放出東３丁目"</f>
        <v>大阪府大阪市　鶴見区放出東３丁目</v>
      </c>
      <c r="F7436" s="8"/>
      <c r="G7436" s="8" t="str">
        <f t="shared" si="2688"/>
        <v>事業用資産</v>
      </c>
      <c r="H7436" s="8" t="str">
        <f t="shared" si="2699"/>
        <v>棚卸以外</v>
      </c>
      <c r="I7436" s="8">
        <v>2</v>
      </c>
      <c r="J7436" s="8" t="str">
        <f>"放出駅前交番"</f>
        <v>放出駅前交番</v>
      </c>
      <c r="K7436" s="8" t="str">
        <f>"鉄骨造"</f>
        <v>鉄骨造</v>
      </c>
      <c r="L7436" s="8" t="str">
        <f>"H18.03.29"</f>
        <v>H18.03.29</v>
      </c>
      <c r="M7436" s="8">
        <v>54</v>
      </c>
      <c r="N7436" s="8">
        <v>19538479</v>
      </c>
      <c r="O7436" s="8">
        <v>8728196</v>
      </c>
      <c r="P7436" s="8">
        <v>0</v>
      </c>
      <c r="Q7436" s="8" t="str">
        <f t="shared" si="2694"/>
        <v>公安委員会</v>
      </c>
      <c r="R7436" s="8" t="str">
        <f t="shared" si="2698"/>
        <v>鶴見警察署</v>
      </c>
    </row>
    <row r="7437" spans="1:18" x14ac:dyDescent="0.45">
      <c r="A7437" s="8" t="str">
        <f t="shared" ref="A7437:A7443" si="2700">"11536000000"</f>
        <v>11536000000</v>
      </c>
      <c r="B7437" s="8" t="str">
        <f t="shared" ref="B7437:B7443" si="2701">"大阪水上警察署"</f>
        <v>大阪水上警察署</v>
      </c>
      <c r="C7437" s="8" t="str">
        <f t="shared" si="2696"/>
        <v>行政財産</v>
      </c>
      <c r="D7437" s="8" t="str">
        <f t="shared" si="2697"/>
        <v>警察（消防）施設</v>
      </c>
      <c r="E7437" s="8" t="str">
        <f t="shared" ref="E7437:E7443" si="2702">"大阪府大阪市　港区海岸通１丁目"</f>
        <v>大阪府大阪市　港区海岸通１丁目</v>
      </c>
      <c r="F7437" s="8"/>
      <c r="G7437" s="8" t="str">
        <f t="shared" si="2688"/>
        <v>事業用資産</v>
      </c>
      <c r="H7437" s="8" t="str">
        <f t="shared" si="2699"/>
        <v>棚卸以外</v>
      </c>
      <c r="I7437" s="8">
        <v>1</v>
      </c>
      <c r="J7437" s="8" t="str">
        <f>"庁舎"</f>
        <v>庁舎</v>
      </c>
      <c r="K7437" s="8" t="str">
        <f>"鉄筋コンクリート造"</f>
        <v>鉄筋コンクリート造</v>
      </c>
      <c r="L7437" s="8" t="str">
        <f>"S39.11.15"</f>
        <v>S39.11.15</v>
      </c>
      <c r="M7437" s="8">
        <v>1993.21</v>
      </c>
      <c r="N7437" s="8">
        <v>347866619</v>
      </c>
      <c r="O7437" s="8">
        <v>236717072</v>
      </c>
      <c r="P7437" s="8">
        <v>0</v>
      </c>
      <c r="Q7437" s="8" t="str">
        <f t="shared" si="2694"/>
        <v>公安委員会</v>
      </c>
      <c r="R7437" s="8" t="str">
        <f t="shared" ref="R7437:R7456" si="2703">"大阪水上警察署"</f>
        <v>大阪水上警察署</v>
      </c>
    </row>
    <row r="7438" spans="1:18" x14ac:dyDescent="0.45">
      <c r="A7438" s="8" t="str">
        <f t="shared" si="2700"/>
        <v>11536000000</v>
      </c>
      <c r="B7438" s="8" t="str">
        <f t="shared" si="2701"/>
        <v>大阪水上警察署</v>
      </c>
      <c r="C7438" s="8" t="str">
        <f t="shared" si="2696"/>
        <v>行政財産</v>
      </c>
      <c r="D7438" s="8" t="str">
        <f t="shared" si="2697"/>
        <v>警察（消防）施設</v>
      </c>
      <c r="E7438" s="8" t="str">
        <f t="shared" si="2702"/>
        <v>大阪府大阪市　港区海岸通１丁目</v>
      </c>
      <c r="F7438" s="8"/>
      <c r="G7438" s="8" t="str">
        <f t="shared" si="2688"/>
        <v>事業用資産</v>
      </c>
      <c r="H7438" s="8" t="str">
        <f t="shared" si="2699"/>
        <v>棚卸以外</v>
      </c>
      <c r="I7438" s="8">
        <v>10</v>
      </c>
      <c r="J7438" s="8" t="str">
        <f>"燃料庫"</f>
        <v>燃料庫</v>
      </c>
      <c r="K7438" s="8" t="str">
        <f>"コンクリートブロック造"</f>
        <v>コンクリートブロック造</v>
      </c>
      <c r="L7438" s="8" t="str">
        <f>"S42.03.31"</f>
        <v>S42.03.31</v>
      </c>
      <c r="M7438" s="8">
        <v>25.48</v>
      </c>
      <c r="N7438" s="8">
        <v>991360</v>
      </c>
      <c r="O7438" s="8">
        <v>985391</v>
      </c>
      <c r="P7438" s="8">
        <v>0</v>
      </c>
      <c r="Q7438" s="8" t="str">
        <f t="shared" si="2694"/>
        <v>公安委員会</v>
      </c>
      <c r="R7438" s="8" t="str">
        <f t="shared" si="2703"/>
        <v>大阪水上警察署</v>
      </c>
    </row>
    <row r="7439" spans="1:18" x14ac:dyDescent="0.45">
      <c r="A7439" s="8" t="str">
        <f t="shared" si="2700"/>
        <v>11536000000</v>
      </c>
      <c r="B7439" s="8" t="str">
        <f t="shared" si="2701"/>
        <v>大阪水上警察署</v>
      </c>
      <c r="C7439" s="8" t="str">
        <f t="shared" si="2696"/>
        <v>行政財産</v>
      </c>
      <c r="D7439" s="8" t="str">
        <f t="shared" si="2697"/>
        <v>警察（消防）施設</v>
      </c>
      <c r="E7439" s="8" t="str">
        <f t="shared" si="2702"/>
        <v>大阪府大阪市　港区海岸通１丁目</v>
      </c>
      <c r="F7439" s="8"/>
      <c r="G7439" s="8" t="str">
        <f t="shared" si="2688"/>
        <v>事業用資産</v>
      </c>
      <c r="H7439" s="8" t="str">
        <f t="shared" si="2699"/>
        <v>棚卸以外</v>
      </c>
      <c r="I7439" s="8">
        <v>13</v>
      </c>
      <c r="J7439" s="8" t="str">
        <f>"機械室"</f>
        <v>機械室</v>
      </c>
      <c r="K7439" s="8" t="str">
        <f>"鉄筋コンクリート造"</f>
        <v>鉄筋コンクリート造</v>
      </c>
      <c r="L7439" s="8" t="str">
        <f>"S61.11.29"</f>
        <v>S61.11.29</v>
      </c>
      <c r="M7439" s="8">
        <v>31.5</v>
      </c>
      <c r="N7439" s="8">
        <v>20234000</v>
      </c>
      <c r="O7439" s="8">
        <v>19346628</v>
      </c>
      <c r="P7439" s="8">
        <v>0</v>
      </c>
      <c r="Q7439" s="8" t="str">
        <f t="shared" si="2694"/>
        <v>公安委員会</v>
      </c>
      <c r="R7439" s="8" t="str">
        <f t="shared" si="2703"/>
        <v>大阪水上警察署</v>
      </c>
    </row>
    <row r="7440" spans="1:18" x14ac:dyDescent="0.45">
      <c r="A7440" s="8" t="str">
        <f t="shared" si="2700"/>
        <v>11536000000</v>
      </c>
      <c r="B7440" s="8" t="str">
        <f t="shared" si="2701"/>
        <v>大阪水上警察署</v>
      </c>
      <c r="C7440" s="8" t="str">
        <f t="shared" si="2696"/>
        <v>行政財産</v>
      </c>
      <c r="D7440" s="8" t="str">
        <f t="shared" si="2697"/>
        <v>警察（消防）施設</v>
      </c>
      <c r="E7440" s="8" t="str">
        <f t="shared" si="2702"/>
        <v>大阪府大阪市　港区海岸通１丁目</v>
      </c>
      <c r="F7440" s="8"/>
      <c r="G7440" s="8" t="str">
        <f t="shared" si="2688"/>
        <v>事業用資産</v>
      </c>
      <c r="H7440" s="8" t="str">
        <f t="shared" si="2699"/>
        <v>棚卸以外</v>
      </c>
      <c r="I7440" s="8">
        <v>14</v>
      </c>
      <c r="J7440" s="8" t="str">
        <f>"倉庫"</f>
        <v>倉庫</v>
      </c>
      <c r="K7440" s="8" t="str">
        <f>"鉄骨造"</f>
        <v>鉄骨造</v>
      </c>
      <c r="L7440" s="8" t="str">
        <f>"S61.11.29"</f>
        <v>S61.11.29</v>
      </c>
      <c r="M7440" s="8">
        <v>4.84</v>
      </c>
      <c r="N7440" s="8">
        <v>1076000</v>
      </c>
      <c r="O7440" s="8">
        <v>1075999</v>
      </c>
      <c r="P7440" s="8">
        <v>0</v>
      </c>
      <c r="Q7440" s="8" t="str">
        <f t="shared" si="2694"/>
        <v>公安委員会</v>
      </c>
      <c r="R7440" s="8" t="str">
        <f t="shared" si="2703"/>
        <v>大阪水上警察署</v>
      </c>
    </row>
    <row r="7441" spans="1:18" x14ac:dyDescent="0.45">
      <c r="A7441" s="8" t="str">
        <f t="shared" si="2700"/>
        <v>11536000000</v>
      </c>
      <c r="B7441" s="8" t="str">
        <f t="shared" si="2701"/>
        <v>大阪水上警察署</v>
      </c>
      <c r="C7441" s="8" t="str">
        <f t="shared" si="2696"/>
        <v>行政財産</v>
      </c>
      <c r="D7441" s="8" t="str">
        <f t="shared" si="2697"/>
        <v>警察（消防）施設</v>
      </c>
      <c r="E7441" s="8" t="str">
        <f t="shared" si="2702"/>
        <v>大阪府大阪市　港区海岸通１丁目</v>
      </c>
      <c r="F7441" s="8"/>
      <c r="G7441" s="8" t="str">
        <f t="shared" si="2688"/>
        <v>事業用資産</v>
      </c>
      <c r="H7441" s="8" t="str">
        <f t="shared" si="2699"/>
        <v>棚卸以外</v>
      </c>
      <c r="I7441" s="8">
        <v>15</v>
      </c>
      <c r="J7441" s="8" t="str">
        <f>"霊安室"</f>
        <v>霊安室</v>
      </c>
      <c r="K7441" s="8" t="str">
        <f>"木造"</f>
        <v>木造</v>
      </c>
      <c r="L7441" s="8" t="str">
        <f>"H01.06.29"</f>
        <v>H01.06.29</v>
      </c>
      <c r="M7441" s="8">
        <v>9.7200000000000006</v>
      </c>
      <c r="N7441" s="8">
        <v>1392000</v>
      </c>
      <c r="O7441" s="8">
        <v>1391999</v>
      </c>
      <c r="P7441" s="8">
        <v>0</v>
      </c>
      <c r="Q7441" s="8" t="str">
        <f t="shared" si="2694"/>
        <v>公安委員会</v>
      </c>
      <c r="R7441" s="8" t="str">
        <f t="shared" si="2703"/>
        <v>大阪水上警察署</v>
      </c>
    </row>
    <row r="7442" spans="1:18" x14ac:dyDescent="0.45">
      <c r="A7442" s="8" t="str">
        <f t="shared" si="2700"/>
        <v>11536000000</v>
      </c>
      <c r="B7442" s="8" t="str">
        <f t="shared" si="2701"/>
        <v>大阪水上警察署</v>
      </c>
      <c r="C7442" s="8" t="str">
        <f t="shared" si="2696"/>
        <v>行政財産</v>
      </c>
      <c r="D7442" s="8" t="str">
        <f t="shared" si="2697"/>
        <v>警察（消防）施設</v>
      </c>
      <c r="E7442" s="8" t="str">
        <f t="shared" si="2702"/>
        <v>大阪府大阪市　港区海岸通１丁目</v>
      </c>
      <c r="F7442" s="8"/>
      <c r="G7442" s="8" t="str">
        <f t="shared" si="2688"/>
        <v>事業用資産</v>
      </c>
      <c r="H7442" s="8" t="str">
        <f t="shared" si="2699"/>
        <v>棚卸以外</v>
      </c>
      <c r="I7442" s="8">
        <v>17</v>
      </c>
      <c r="J7442" s="8" t="str">
        <f>"大型車庫兼倉庫"</f>
        <v>大型車庫兼倉庫</v>
      </c>
      <c r="K7442" s="8" t="str">
        <f>"鉄骨造"</f>
        <v>鉄骨造</v>
      </c>
      <c r="L7442" s="8" t="str">
        <f>"H07.12.25"</f>
        <v>H07.12.25</v>
      </c>
      <c r="M7442" s="8">
        <v>136.75</v>
      </c>
      <c r="N7442" s="8">
        <v>26054182</v>
      </c>
      <c r="O7442" s="8">
        <v>22812938</v>
      </c>
      <c r="P7442" s="8">
        <v>0</v>
      </c>
      <c r="Q7442" s="8" t="str">
        <f t="shared" si="2694"/>
        <v>公安委員会</v>
      </c>
      <c r="R7442" s="8" t="str">
        <f t="shared" si="2703"/>
        <v>大阪水上警察署</v>
      </c>
    </row>
    <row r="7443" spans="1:18" x14ac:dyDescent="0.45">
      <c r="A7443" s="8" t="str">
        <f t="shared" si="2700"/>
        <v>11536000000</v>
      </c>
      <c r="B7443" s="8" t="str">
        <f t="shared" si="2701"/>
        <v>大阪水上警察署</v>
      </c>
      <c r="C7443" s="8" t="str">
        <f t="shared" si="2696"/>
        <v>行政財産</v>
      </c>
      <c r="D7443" s="8" t="str">
        <f t="shared" si="2697"/>
        <v>警察（消防）施設</v>
      </c>
      <c r="E7443" s="8" t="str">
        <f t="shared" si="2702"/>
        <v>大阪府大阪市　港区海岸通１丁目</v>
      </c>
      <c r="F7443" s="8"/>
      <c r="G7443" s="8" t="str">
        <f t="shared" si="2688"/>
        <v>事業用資産</v>
      </c>
      <c r="H7443" s="8" t="str">
        <f t="shared" si="2699"/>
        <v>棚卸以外</v>
      </c>
      <c r="I7443" s="8">
        <v>18</v>
      </c>
      <c r="J7443" s="8" t="str">
        <f>"監視小屋及び附属棟"</f>
        <v>監視小屋及び附属棟</v>
      </c>
      <c r="K7443" s="8" t="str">
        <f>"プレハブ"</f>
        <v>プレハブ</v>
      </c>
      <c r="L7443" s="8" t="str">
        <f>"H17.07.05"</f>
        <v>H17.07.05</v>
      </c>
      <c r="M7443" s="8">
        <v>8.9</v>
      </c>
      <c r="N7443" s="8">
        <v>5200000</v>
      </c>
      <c r="O7443" s="8">
        <v>3062340</v>
      </c>
      <c r="P7443" s="8">
        <v>0</v>
      </c>
      <c r="Q7443" s="8" t="str">
        <f t="shared" si="2694"/>
        <v>公安委員会</v>
      </c>
      <c r="R7443" s="8" t="str">
        <f t="shared" si="2703"/>
        <v>大阪水上警察署</v>
      </c>
    </row>
    <row r="7444" spans="1:18" x14ac:dyDescent="0.45">
      <c r="A7444" s="8" t="str">
        <f>"11536000100"</f>
        <v>11536000100</v>
      </c>
      <c r="B7444" s="8" t="s">
        <v>26</v>
      </c>
      <c r="C7444" s="8" t="str">
        <f t="shared" si="2696"/>
        <v>行政財産</v>
      </c>
      <c r="D7444" s="8" t="str">
        <f t="shared" si="2697"/>
        <v>警察（消防）施設</v>
      </c>
      <c r="E7444" s="8" t="s">
        <v>53</v>
      </c>
      <c r="F7444" s="8"/>
      <c r="G7444" s="8" t="str">
        <f t="shared" si="2688"/>
        <v>事業用資産</v>
      </c>
      <c r="H7444" s="8" t="str">
        <f t="shared" si="2699"/>
        <v>棚卸以外</v>
      </c>
      <c r="I7444" s="8">
        <v>1</v>
      </c>
      <c r="J7444" s="8" t="s">
        <v>26</v>
      </c>
      <c r="K7444" s="8" t="str">
        <f>"木造"</f>
        <v>木造</v>
      </c>
      <c r="L7444" s="8" t="str">
        <f>"S40.03.27"</f>
        <v>S40.03.27</v>
      </c>
      <c r="M7444" s="8">
        <v>85.25</v>
      </c>
      <c r="N7444" s="8">
        <v>1435000</v>
      </c>
      <c r="O7444" s="8">
        <v>1434999</v>
      </c>
      <c r="P7444" s="8">
        <v>0</v>
      </c>
      <c r="Q7444" s="8" t="str">
        <f t="shared" si="2694"/>
        <v>公安委員会</v>
      </c>
      <c r="R7444" s="8" t="str">
        <f t="shared" si="2703"/>
        <v>大阪水上警察署</v>
      </c>
    </row>
    <row r="7445" spans="1:18" x14ac:dyDescent="0.45">
      <c r="A7445" s="8" t="str">
        <f>"11536000250"</f>
        <v>11536000250</v>
      </c>
      <c r="B7445" s="8" t="str">
        <f>"南港警ら連絡所"</f>
        <v>南港警ら連絡所</v>
      </c>
      <c r="C7445" s="8" t="str">
        <f t="shared" si="2696"/>
        <v>行政財産</v>
      </c>
      <c r="D7445" s="8" t="str">
        <f t="shared" si="2697"/>
        <v>警察（消防）施設</v>
      </c>
      <c r="E7445" s="8" t="str">
        <f>"大阪府大阪市　住之江区南港南２丁目"</f>
        <v>大阪府大阪市　住之江区南港南２丁目</v>
      </c>
      <c r="F7445" s="8"/>
      <c r="G7445" s="8" t="str">
        <f t="shared" si="2688"/>
        <v>事業用資産</v>
      </c>
      <c r="H7445" s="8" t="str">
        <f t="shared" si="2699"/>
        <v>棚卸以外</v>
      </c>
      <c r="I7445" s="8">
        <v>1</v>
      </c>
      <c r="J7445" s="8" t="str">
        <f>"南港警ら連絡所"</f>
        <v>南港警ら連絡所</v>
      </c>
      <c r="K7445" s="8" t="str">
        <f>"鉄筋コンクリート造"</f>
        <v>鉄筋コンクリート造</v>
      </c>
      <c r="L7445" s="8" t="str">
        <f>"S50.12.06"</f>
        <v>S50.12.06</v>
      </c>
      <c r="M7445" s="8">
        <v>54</v>
      </c>
      <c r="N7445" s="8">
        <v>10310000</v>
      </c>
      <c r="O7445" s="8">
        <v>9708888</v>
      </c>
      <c r="P7445" s="8">
        <v>0</v>
      </c>
      <c r="Q7445" s="8" t="str">
        <f t="shared" si="2694"/>
        <v>公安委員会</v>
      </c>
      <c r="R7445" s="8" t="str">
        <f t="shared" si="2703"/>
        <v>大阪水上警察署</v>
      </c>
    </row>
    <row r="7446" spans="1:18" x14ac:dyDescent="0.45">
      <c r="A7446" s="8" t="str">
        <f>"11536000260"</f>
        <v>11536000260</v>
      </c>
      <c r="B7446" s="8" t="str">
        <f>"佐野港警ら連絡所"</f>
        <v>佐野港警ら連絡所</v>
      </c>
      <c r="C7446" s="8" t="str">
        <f t="shared" si="2696"/>
        <v>行政財産</v>
      </c>
      <c r="D7446" s="8" t="str">
        <f t="shared" si="2697"/>
        <v>警察（消防）施設</v>
      </c>
      <c r="E7446" s="8" t="str">
        <f>"大阪府泉佐野市住吉町"</f>
        <v>大阪府泉佐野市住吉町</v>
      </c>
      <c r="F7446" s="8"/>
      <c r="G7446" s="8" t="str">
        <f t="shared" si="2688"/>
        <v>事業用資産</v>
      </c>
      <c r="H7446" s="8" t="str">
        <f t="shared" si="2699"/>
        <v>棚卸以外</v>
      </c>
      <c r="I7446" s="8">
        <v>5</v>
      </c>
      <c r="J7446" s="8" t="str">
        <f>"佐野港警ら連絡所"</f>
        <v>佐野港警ら連絡所</v>
      </c>
      <c r="K7446" s="8" t="str">
        <f>"鉄筋コンクリート造"</f>
        <v>鉄筋コンクリート造</v>
      </c>
      <c r="L7446" s="8" t="str">
        <f>"H14.05.27"</f>
        <v>H14.05.27</v>
      </c>
      <c r="M7446" s="8">
        <v>54</v>
      </c>
      <c r="N7446" s="8">
        <v>20432000</v>
      </c>
      <c r="O7446" s="8">
        <v>8513500</v>
      </c>
      <c r="P7446" s="8">
        <v>0</v>
      </c>
      <c r="Q7446" s="8" t="str">
        <f t="shared" si="2694"/>
        <v>公安委員会</v>
      </c>
      <c r="R7446" s="8" t="str">
        <f t="shared" si="2703"/>
        <v>大阪水上警察署</v>
      </c>
    </row>
    <row r="7447" spans="1:18" x14ac:dyDescent="0.45">
      <c r="A7447" s="8" t="str">
        <f>"11536000260"</f>
        <v>11536000260</v>
      </c>
      <c r="B7447" s="8" t="str">
        <f>"佐野港警ら連絡所"</f>
        <v>佐野港警ら連絡所</v>
      </c>
      <c r="C7447" s="8" t="str">
        <f t="shared" si="2696"/>
        <v>行政財産</v>
      </c>
      <c r="D7447" s="8" t="str">
        <f t="shared" si="2697"/>
        <v>警察（消防）施設</v>
      </c>
      <c r="E7447" s="8" t="str">
        <f>"大阪府泉佐野市住吉町"</f>
        <v>大阪府泉佐野市住吉町</v>
      </c>
      <c r="F7447" s="8"/>
      <c r="G7447" s="8" t="str">
        <f t="shared" ref="G7447:G7510" si="2704">"事業用資産"</f>
        <v>事業用資産</v>
      </c>
      <c r="H7447" s="8" t="str">
        <f t="shared" si="2699"/>
        <v>棚卸以外</v>
      </c>
      <c r="I7447" s="8">
        <v>6</v>
      </c>
      <c r="J7447" s="8" t="str">
        <f>"物置"</f>
        <v>物置</v>
      </c>
      <c r="K7447" s="8" t="str">
        <f>"軽量鉄骨造"</f>
        <v>軽量鉄骨造</v>
      </c>
      <c r="L7447" s="8" t="str">
        <f>"H14.05.27"</f>
        <v>H14.05.27</v>
      </c>
      <c r="M7447" s="8">
        <v>9.69</v>
      </c>
      <c r="N7447" s="8">
        <v>357000</v>
      </c>
      <c r="O7447" s="8">
        <v>310000</v>
      </c>
      <c r="P7447" s="8">
        <v>0</v>
      </c>
      <c r="Q7447" s="8" t="str">
        <f t="shared" si="2694"/>
        <v>公安委員会</v>
      </c>
      <c r="R7447" s="8" t="str">
        <f t="shared" si="2703"/>
        <v>大阪水上警察署</v>
      </c>
    </row>
    <row r="7448" spans="1:18" x14ac:dyDescent="0.45">
      <c r="A7448" s="8" t="str">
        <f>"11536000270"</f>
        <v>11536000270</v>
      </c>
      <c r="B7448" s="8" t="str">
        <f>"阪南港警ら連絡所"</f>
        <v>阪南港警ら連絡所</v>
      </c>
      <c r="C7448" s="8" t="str">
        <f t="shared" si="2696"/>
        <v>行政財産</v>
      </c>
      <c r="D7448" s="8" t="str">
        <f t="shared" si="2697"/>
        <v>警察（消防）施設</v>
      </c>
      <c r="E7448" s="8" t="str">
        <f>"大阪府岸和田市地蔵浜町"</f>
        <v>大阪府岸和田市地蔵浜町</v>
      </c>
      <c r="F7448" s="8"/>
      <c r="G7448" s="8" t="str">
        <f t="shared" si="2704"/>
        <v>事業用資産</v>
      </c>
      <c r="H7448" s="8" t="str">
        <f t="shared" si="2699"/>
        <v>棚卸以外</v>
      </c>
      <c r="I7448" s="8">
        <v>1</v>
      </c>
      <c r="J7448" s="8" t="str">
        <f>"阪南港警ら連絡所"</f>
        <v>阪南港警ら連絡所</v>
      </c>
      <c r="K7448" s="8" t="str">
        <f>"鉄筋コンクリート造"</f>
        <v>鉄筋コンクリート造</v>
      </c>
      <c r="L7448" s="8" t="str">
        <f>"H03.11.01"</f>
        <v>H03.11.01</v>
      </c>
      <c r="M7448" s="8">
        <v>54.89</v>
      </c>
      <c r="N7448" s="8">
        <v>16478000</v>
      </c>
      <c r="O7448" s="8">
        <v>10326464</v>
      </c>
      <c r="P7448" s="8">
        <v>0</v>
      </c>
      <c r="Q7448" s="8" t="str">
        <f t="shared" si="2694"/>
        <v>公安委員会</v>
      </c>
      <c r="R7448" s="8" t="str">
        <f t="shared" si="2703"/>
        <v>大阪水上警察署</v>
      </c>
    </row>
    <row r="7449" spans="1:18" x14ac:dyDescent="0.45">
      <c r="A7449" s="8" t="str">
        <f>"11536000270"</f>
        <v>11536000270</v>
      </c>
      <c r="B7449" s="8" t="str">
        <f>"阪南港警ら連絡所"</f>
        <v>阪南港警ら連絡所</v>
      </c>
      <c r="C7449" s="8" t="str">
        <f t="shared" si="2696"/>
        <v>行政財産</v>
      </c>
      <c r="D7449" s="8" t="str">
        <f t="shared" si="2697"/>
        <v>警察（消防）施設</v>
      </c>
      <c r="E7449" s="8" t="str">
        <f>"大阪府岸和田市地蔵浜町"</f>
        <v>大阪府岸和田市地蔵浜町</v>
      </c>
      <c r="F7449" s="8"/>
      <c r="G7449" s="8" t="str">
        <f t="shared" si="2704"/>
        <v>事業用資産</v>
      </c>
      <c r="H7449" s="8" t="str">
        <f t="shared" si="2699"/>
        <v>棚卸以外</v>
      </c>
      <c r="I7449" s="8">
        <v>2</v>
      </c>
      <c r="J7449" s="8" t="str">
        <f>"物置"</f>
        <v>物置</v>
      </c>
      <c r="K7449" s="8" t="str">
        <f>"軽量鉄骨造"</f>
        <v>軽量鉄骨造</v>
      </c>
      <c r="L7449" s="8" t="str">
        <f>"H03.11.01"</f>
        <v>H03.11.01</v>
      </c>
      <c r="M7449" s="8">
        <v>9.69</v>
      </c>
      <c r="N7449" s="8">
        <v>387000</v>
      </c>
      <c r="O7449" s="8">
        <v>386999</v>
      </c>
      <c r="P7449" s="8">
        <v>0</v>
      </c>
      <c r="Q7449" s="8" t="str">
        <f t="shared" si="2694"/>
        <v>公安委員会</v>
      </c>
      <c r="R7449" s="8" t="str">
        <f t="shared" si="2703"/>
        <v>大阪水上警察署</v>
      </c>
    </row>
    <row r="7450" spans="1:18" x14ac:dyDescent="0.45">
      <c r="A7450" s="8" t="str">
        <f>"11536000280"</f>
        <v>11536000280</v>
      </c>
      <c r="B7450" s="8" t="str">
        <f>"空港島警ら連絡所"</f>
        <v>空港島警ら連絡所</v>
      </c>
      <c r="C7450" s="8" t="str">
        <f t="shared" si="2696"/>
        <v>行政財産</v>
      </c>
      <c r="D7450" s="8" t="str">
        <f t="shared" si="2697"/>
        <v>警察（消防）施設</v>
      </c>
      <c r="E7450" s="8" t="str">
        <f>"大阪府泉佐野市泉州空港北"</f>
        <v>大阪府泉佐野市泉州空港北</v>
      </c>
      <c r="F7450" s="8"/>
      <c r="G7450" s="8" t="str">
        <f t="shared" si="2704"/>
        <v>事業用資産</v>
      </c>
      <c r="H7450" s="8" t="str">
        <f t="shared" si="2699"/>
        <v>棚卸以外</v>
      </c>
      <c r="I7450" s="8">
        <v>1</v>
      </c>
      <c r="J7450" s="8" t="str">
        <f>"空港島警ら連絡所"</f>
        <v>空港島警ら連絡所</v>
      </c>
      <c r="K7450" s="8" t="str">
        <f>"鉄骨造"</f>
        <v>鉄骨造</v>
      </c>
      <c r="L7450" s="8" t="str">
        <f>"H06.03.31"</f>
        <v>H06.03.31</v>
      </c>
      <c r="M7450" s="8">
        <v>113.6</v>
      </c>
      <c r="N7450" s="8">
        <v>98618000</v>
      </c>
      <c r="O7450" s="8">
        <v>75261612</v>
      </c>
      <c r="P7450" s="8">
        <v>0</v>
      </c>
      <c r="Q7450" s="8" t="str">
        <f t="shared" si="2694"/>
        <v>公安委員会</v>
      </c>
      <c r="R7450" s="8" t="str">
        <f t="shared" si="2703"/>
        <v>大阪水上警察署</v>
      </c>
    </row>
    <row r="7451" spans="1:18" x14ac:dyDescent="0.45">
      <c r="A7451" s="8" t="str">
        <f>"11536000280"</f>
        <v>11536000280</v>
      </c>
      <c r="B7451" s="8" t="str">
        <f>"空港島警ら連絡所"</f>
        <v>空港島警ら連絡所</v>
      </c>
      <c r="C7451" s="8" t="str">
        <f t="shared" si="2696"/>
        <v>行政財産</v>
      </c>
      <c r="D7451" s="8" t="str">
        <f t="shared" si="2697"/>
        <v>警察（消防）施設</v>
      </c>
      <c r="E7451" s="8" t="str">
        <f>"大阪府泉佐野市泉州空港北"</f>
        <v>大阪府泉佐野市泉州空港北</v>
      </c>
      <c r="F7451" s="8"/>
      <c r="G7451" s="8" t="str">
        <f t="shared" si="2704"/>
        <v>事業用資産</v>
      </c>
      <c r="H7451" s="8" t="str">
        <f t="shared" si="2699"/>
        <v>棚卸以外</v>
      </c>
      <c r="I7451" s="8">
        <v>2</v>
      </c>
      <c r="J7451" s="8" t="str">
        <f>"ポンプ室"</f>
        <v>ポンプ室</v>
      </c>
      <c r="K7451" s="8" t="str">
        <f>"鉄筋コンクリート造"</f>
        <v>鉄筋コンクリート造</v>
      </c>
      <c r="L7451" s="8" t="str">
        <f>"H06.03.31"</f>
        <v>H06.03.31</v>
      </c>
      <c r="M7451" s="8">
        <v>6</v>
      </c>
      <c r="N7451" s="8">
        <v>2196000</v>
      </c>
      <c r="O7451" s="8">
        <v>1675968</v>
      </c>
      <c r="P7451" s="8">
        <v>0</v>
      </c>
      <c r="Q7451" s="8" t="str">
        <f t="shared" si="2694"/>
        <v>公安委員会</v>
      </c>
      <c r="R7451" s="8" t="str">
        <f t="shared" si="2703"/>
        <v>大阪水上警察署</v>
      </c>
    </row>
    <row r="7452" spans="1:18" x14ac:dyDescent="0.45">
      <c r="A7452" s="8" t="str">
        <f>"11536000290"</f>
        <v>11536000290</v>
      </c>
      <c r="B7452" s="8" t="str">
        <f>"泉州警備派出所"</f>
        <v>泉州警備派出所</v>
      </c>
      <c r="C7452" s="8" t="str">
        <f t="shared" si="2696"/>
        <v>行政財産</v>
      </c>
      <c r="D7452" s="8" t="str">
        <f t="shared" si="2697"/>
        <v>警察（消防）施設</v>
      </c>
      <c r="E7452" s="8" t="str">
        <f>"大阪府泉大津市なぎさ町"</f>
        <v>大阪府泉大津市なぎさ町</v>
      </c>
      <c r="F7452" s="8"/>
      <c r="G7452" s="8" t="str">
        <f t="shared" si="2704"/>
        <v>事業用資産</v>
      </c>
      <c r="H7452" s="8" t="str">
        <f t="shared" si="2699"/>
        <v>棚卸以外</v>
      </c>
      <c r="I7452" s="8">
        <v>1</v>
      </c>
      <c r="J7452" s="8" t="str">
        <f>"泉州警備派出所"</f>
        <v>泉州警備派出所</v>
      </c>
      <c r="K7452" s="8" t="str">
        <f>"鉄骨造"</f>
        <v>鉄骨造</v>
      </c>
      <c r="L7452" s="8" t="str">
        <f>"H09.03.31"</f>
        <v>H09.03.31</v>
      </c>
      <c r="M7452" s="8">
        <v>1144.8699999999999</v>
      </c>
      <c r="N7452" s="8">
        <v>327701445</v>
      </c>
      <c r="O7452" s="8">
        <v>223844593</v>
      </c>
      <c r="P7452" s="8">
        <v>0</v>
      </c>
      <c r="Q7452" s="8" t="str">
        <f t="shared" si="2694"/>
        <v>公安委員会</v>
      </c>
      <c r="R7452" s="8" t="str">
        <f t="shared" si="2703"/>
        <v>大阪水上警察署</v>
      </c>
    </row>
    <row r="7453" spans="1:18" x14ac:dyDescent="0.45">
      <c r="A7453" s="8" t="str">
        <f>"11536000290"</f>
        <v>11536000290</v>
      </c>
      <c r="B7453" s="8" t="str">
        <f>"泉州警備派出所"</f>
        <v>泉州警備派出所</v>
      </c>
      <c r="C7453" s="8" t="str">
        <f t="shared" si="2696"/>
        <v>行政財産</v>
      </c>
      <c r="D7453" s="8" t="str">
        <f t="shared" si="2697"/>
        <v>警察（消防）施設</v>
      </c>
      <c r="E7453" s="8" t="str">
        <f>"大阪府泉大津市なぎさ町"</f>
        <v>大阪府泉大津市なぎさ町</v>
      </c>
      <c r="F7453" s="8"/>
      <c r="G7453" s="8" t="str">
        <f t="shared" si="2704"/>
        <v>事業用資産</v>
      </c>
      <c r="H7453" s="8" t="str">
        <f t="shared" si="2699"/>
        <v>棚卸以外</v>
      </c>
      <c r="I7453" s="8">
        <v>2</v>
      </c>
      <c r="J7453" s="8" t="str">
        <f>"車庫"</f>
        <v>車庫</v>
      </c>
      <c r="K7453" s="8" t="str">
        <f>"鉄骨造"</f>
        <v>鉄骨造</v>
      </c>
      <c r="L7453" s="8" t="str">
        <f>"H09.03.31"</f>
        <v>H09.03.31</v>
      </c>
      <c r="M7453" s="8">
        <v>106.56</v>
      </c>
      <c r="N7453" s="8">
        <v>13507191</v>
      </c>
      <c r="O7453" s="8">
        <v>11103950</v>
      </c>
      <c r="P7453" s="8">
        <v>0</v>
      </c>
      <c r="Q7453" s="8" t="str">
        <f t="shared" si="2694"/>
        <v>公安委員会</v>
      </c>
      <c r="R7453" s="8" t="str">
        <f t="shared" si="2703"/>
        <v>大阪水上警察署</v>
      </c>
    </row>
    <row r="7454" spans="1:18" x14ac:dyDescent="0.45">
      <c r="A7454" s="8" t="str">
        <f>"11536000290"</f>
        <v>11536000290</v>
      </c>
      <c r="B7454" s="8" t="str">
        <f>"泉州警備派出所"</f>
        <v>泉州警備派出所</v>
      </c>
      <c r="C7454" s="8" t="str">
        <f t="shared" si="2696"/>
        <v>行政財産</v>
      </c>
      <c r="D7454" s="8" t="str">
        <f t="shared" si="2697"/>
        <v>警察（消防）施設</v>
      </c>
      <c r="E7454" s="8" t="str">
        <f>"大阪府泉大津市なぎさ町"</f>
        <v>大阪府泉大津市なぎさ町</v>
      </c>
      <c r="F7454" s="8"/>
      <c r="G7454" s="8" t="str">
        <f t="shared" si="2704"/>
        <v>事業用資産</v>
      </c>
      <c r="H7454" s="8" t="str">
        <f t="shared" si="2699"/>
        <v>棚卸以外</v>
      </c>
      <c r="I7454" s="8">
        <v>3</v>
      </c>
      <c r="J7454" s="8" t="str">
        <f>"倉庫棟"</f>
        <v>倉庫棟</v>
      </c>
      <c r="K7454" s="8" t="str">
        <f>"鉄骨造"</f>
        <v>鉄骨造</v>
      </c>
      <c r="L7454" s="8" t="str">
        <f>"H09.03.31"</f>
        <v>H09.03.31</v>
      </c>
      <c r="M7454" s="8">
        <v>59.75</v>
      </c>
      <c r="N7454" s="8">
        <v>11221349</v>
      </c>
      <c r="O7454" s="8">
        <v>9388132</v>
      </c>
      <c r="P7454" s="8">
        <v>0</v>
      </c>
      <c r="Q7454" s="8" t="str">
        <f t="shared" si="2694"/>
        <v>公安委員会</v>
      </c>
      <c r="R7454" s="8" t="str">
        <f t="shared" si="2703"/>
        <v>大阪水上警察署</v>
      </c>
    </row>
    <row r="7455" spans="1:18" x14ac:dyDescent="0.45">
      <c r="A7455" s="8" t="str">
        <f>"11536000290"</f>
        <v>11536000290</v>
      </c>
      <c r="B7455" s="8" t="str">
        <f>"泉州警備派出所"</f>
        <v>泉州警備派出所</v>
      </c>
      <c r="C7455" s="8" t="str">
        <f t="shared" si="2696"/>
        <v>行政財産</v>
      </c>
      <c r="D7455" s="8" t="str">
        <f t="shared" si="2697"/>
        <v>警察（消防）施設</v>
      </c>
      <c r="E7455" s="8" t="str">
        <f>"大阪府泉大津市なぎさ町"</f>
        <v>大阪府泉大津市なぎさ町</v>
      </c>
      <c r="F7455" s="8"/>
      <c r="G7455" s="8" t="str">
        <f t="shared" si="2704"/>
        <v>事業用資産</v>
      </c>
      <c r="H7455" s="8" t="str">
        <f t="shared" si="2699"/>
        <v>棚卸以外</v>
      </c>
      <c r="I7455" s="8">
        <v>4</v>
      </c>
      <c r="J7455" s="8" t="str">
        <f>"ポンプ室"</f>
        <v>ポンプ室</v>
      </c>
      <c r="K7455" s="8" t="str">
        <f>"コンクリートブロック造"</f>
        <v>コンクリートブロック造</v>
      </c>
      <c r="L7455" s="8" t="str">
        <f>"H09.03.31"</f>
        <v>H09.03.31</v>
      </c>
      <c r="M7455" s="8">
        <v>9.14</v>
      </c>
      <c r="N7455" s="8">
        <v>8544000</v>
      </c>
      <c r="O7455" s="8">
        <v>6533904</v>
      </c>
      <c r="P7455" s="8">
        <v>0</v>
      </c>
      <c r="Q7455" s="8" t="str">
        <f t="shared" si="2694"/>
        <v>公安委員会</v>
      </c>
      <c r="R7455" s="8" t="str">
        <f t="shared" si="2703"/>
        <v>大阪水上警察署</v>
      </c>
    </row>
    <row r="7456" spans="1:18" x14ac:dyDescent="0.45">
      <c r="A7456" s="8" t="str">
        <f>"11536000290"</f>
        <v>11536000290</v>
      </c>
      <c r="B7456" s="8" t="str">
        <f>"泉州警備派出所"</f>
        <v>泉州警備派出所</v>
      </c>
      <c r="C7456" s="8" t="str">
        <f t="shared" si="2696"/>
        <v>行政財産</v>
      </c>
      <c r="D7456" s="8" t="str">
        <f t="shared" si="2697"/>
        <v>警察（消防）施設</v>
      </c>
      <c r="E7456" s="8" t="str">
        <f>"大阪府泉大津市なぎさ町"</f>
        <v>大阪府泉大津市なぎさ町</v>
      </c>
      <c r="F7456" s="8"/>
      <c r="G7456" s="8" t="str">
        <f t="shared" si="2704"/>
        <v>事業用資産</v>
      </c>
      <c r="H7456" s="8" t="str">
        <f t="shared" si="2699"/>
        <v>棚卸以外</v>
      </c>
      <c r="I7456" s="8">
        <v>5</v>
      </c>
      <c r="J7456" s="8" t="str">
        <f>"油庫"</f>
        <v>油庫</v>
      </c>
      <c r="K7456" s="8" t="str">
        <f>"コンクリートブロック造"</f>
        <v>コンクリートブロック造</v>
      </c>
      <c r="L7456" s="8" t="str">
        <f>"H09.03.31"</f>
        <v>H09.03.31</v>
      </c>
      <c r="M7456" s="8">
        <v>10.199999999999999</v>
      </c>
      <c r="N7456" s="8">
        <v>1226000</v>
      </c>
      <c r="O7456" s="8">
        <v>937560</v>
      </c>
      <c r="P7456" s="8">
        <v>0</v>
      </c>
      <c r="Q7456" s="8" t="str">
        <f t="shared" si="2694"/>
        <v>公安委員会</v>
      </c>
      <c r="R7456" s="8" t="str">
        <f t="shared" si="2703"/>
        <v>大阪水上警察署</v>
      </c>
    </row>
    <row r="7457" spans="1:18" x14ac:dyDescent="0.45">
      <c r="A7457" s="8" t="str">
        <f>"11537000000"</f>
        <v>11537000000</v>
      </c>
      <c r="B7457" s="8" t="str">
        <f>"大正警察署"</f>
        <v>大正警察署</v>
      </c>
      <c r="C7457" s="8" t="str">
        <f t="shared" si="2696"/>
        <v>行政財産</v>
      </c>
      <c r="D7457" s="8" t="str">
        <f t="shared" si="2697"/>
        <v>警察（消防）施設</v>
      </c>
      <c r="E7457" s="8" t="str">
        <f>"大阪府大阪市　大正区小林東３丁目"</f>
        <v>大阪府大阪市　大正区小林東３丁目</v>
      </c>
      <c r="F7457" s="8"/>
      <c r="G7457" s="8" t="str">
        <f t="shared" si="2704"/>
        <v>事業用資産</v>
      </c>
      <c r="H7457" s="8" t="str">
        <f t="shared" si="2699"/>
        <v>棚卸以外</v>
      </c>
      <c r="I7457" s="8">
        <v>20</v>
      </c>
      <c r="J7457" s="8" t="str">
        <f>"庁舎"</f>
        <v>庁舎</v>
      </c>
      <c r="K7457" s="8" t="str">
        <f>"鉄筋コンクリート造"</f>
        <v>鉄筋コンクリート造</v>
      </c>
      <c r="L7457" s="8" t="str">
        <f>"H03.09.13"</f>
        <v>H03.09.13</v>
      </c>
      <c r="M7457" s="8">
        <v>2830.94</v>
      </c>
      <c r="N7457" s="8">
        <v>962841528</v>
      </c>
      <c r="O7457" s="8">
        <v>570767719</v>
      </c>
      <c r="P7457" s="8">
        <v>0</v>
      </c>
      <c r="Q7457" s="8" t="str">
        <f t="shared" si="2694"/>
        <v>公安委員会</v>
      </c>
      <c r="R7457" s="8" t="str">
        <f t="shared" ref="R7457:R7470" si="2705">"大正警察署"</f>
        <v>大正警察署</v>
      </c>
    </row>
    <row r="7458" spans="1:18" x14ac:dyDescent="0.45">
      <c r="A7458" s="8" t="str">
        <f>"11537000000"</f>
        <v>11537000000</v>
      </c>
      <c r="B7458" s="8" t="str">
        <f>"大正警察署"</f>
        <v>大正警察署</v>
      </c>
      <c r="C7458" s="8" t="str">
        <f t="shared" si="2696"/>
        <v>行政財産</v>
      </c>
      <c r="D7458" s="8" t="str">
        <f t="shared" si="2697"/>
        <v>警察（消防）施設</v>
      </c>
      <c r="E7458" s="8" t="str">
        <f>"大阪府大阪市　大正区小林東３丁目"</f>
        <v>大阪府大阪市　大正区小林東３丁目</v>
      </c>
      <c r="F7458" s="8"/>
      <c r="G7458" s="8" t="str">
        <f t="shared" si="2704"/>
        <v>事業用資産</v>
      </c>
      <c r="H7458" s="8" t="str">
        <f t="shared" si="2699"/>
        <v>棚卸以外</v>
      </c>
      <c r="I7458" s="8">
        <v>21</v>
      </c>
      <c r="J7458" s="8" t="str">
        <f>"附属棟（１）"</f>
        <v>附属棟（１）</v>
      </c>
      <c r="K7458" s="8" t="str">
        <f>"鉄骨造"</f>
        <v>鉄骨造</v>
      </c>
      <c r="L7458" s="8" t="str">
        <f>"H03.09.13"</f>
        <v>H03.09.13</v>
      </c>
      <c r="M7458" s="8">
        <v>267.54000000000002</v>
      </c>
      <c r="N7458" s="8">
        <v>35550000</v>
      </c>
      <c r="O7458" s="8">
        <v>29469258</v>
      </c>
      <c r="P7458" s="8">
        <v>0</v>
      </c>
      <c r="Q7458" s="8" t="str">
        <f t="shared" si="2694"/>
        <v>公安委員会</v>
      </c>
      <c r="R7458" s="8" t="str">
        <f t="shared" si="2705"/>
        <v>大正警察署</v>
      </c>
    </row>
    <row r="7459" spans="1:18" x14ac:dyDescent="0.45">
      <c r="A7459" s="8" t="str">
        <f>"11537000000"</f>
        <v>11537000000</v>
      </c>
      <c r="B7459" s="8" t="str">
        <f>"大正警察署"</f>
        <v>大正警察署</v>
      </c>
      <c r="C7459" s="8" t="str">
        <f t="shared" si="2696"/>
        <v>行政財産</v>
      </c>
      <c r="D7459" s="8" t="str">
        <f t="shared" si="2697"/>
        <v>警察（消防）施設</v>
      </c>
      <c r="E7459" s="8" t="str">
        <f>"大阪府大阪市　大正区小林東３丁目"</f>
        <v>大阪府大阪市　大正区小林東３丁目</v>
      </c>
      <c r="F7459" s="8"/>
      <c r="G7459" s="8" t="str">
        <f t="shared" si="2704"/>
        <v>事業用資産</v>
      </c>
      <c r="H7459" s="8" t="str">
        <f t="shared" si="2699"/>
        <v>棚卸以外</v>
      </c>
      <c r="I7459" s="8">
        <v>22</v>
      </c>
      <c r="J7459" s="8" t="str">
        <f>"附属棟（２）"</f>
        <v>附属棟（２）</v>
      </c>
      <c r="K7459" s="8" t="str">
        <f>"鉄骨造"</f>
        <v>鉄骨造</v>
      </c>
      <c r="L7459" s="8" t="str">
        <f>"H03.09.13"</f>
        <v>H03.09.13</v>
      </c>
      <c r="M7459" s="8">
        <v>168.56</v>
      </c>
      <c r="N7459" s="8">
        <v>25640035</v>
      </c>
      <c r="O7459" s="8">
        <v>20908020</v>
      </c>
      <c r="P7459" s="8">
        <v>0</v>
      </c>
      <c r="Q7459" s="8" t="str">
        <f t="shared" si="2694"/>
        <v>公安委員会</v>
      </c>
      <c r="R7459" s="8" t="str">
        <f t="shared" si="2705"/>
        <v>大正警察署</v>
      </c>
    </row>
    <row r="7460" spans="1:18" x14ac:dyDescent="0.45">
      <c r="A7460" s="8" t="str">
        <f>"11537000000"</f>
        <v>11537000000</v>
      </c>
      <c r="B7460" s="8" t="str">
        <f>"大正警察署"</f>
        <v>大正警察署</v>
      </c>
      <c r="C7460" s="8" t="str">
        <f t="shared" si="2696"/>
        <v>行政財産</v>
      </c>
      <c r="D7460" s="8" t="str">
        <f t="shared" si="2697"/>
        <v>警察（消防）施設</v>
      </c>
      <c r="E7460" s="8" t="str">
        <f>"大阪府大阪市　大正区小林東３丁目"</f>
        <v>大阪府大阪市　大正区小林東３丁目</v>
      </c>
      <c r="F7460" s="8"/>
      <c r="G7460" s="8" t="str">
        <f t="shared" si="2704"/>
        <v>事業用資産</v>
      </c>
      <c r="H7460" s="8" t="str">
        <f t="shared" si="2699"/>
        <v>棚卸以外</v>
      </c>
      <c r="I7460" s="8">
        <v>23</v>
      </c>
      <c r="J7460" s="8" t="str">
        <f>"ポンプ室"</f>
        <v>ポンプ室</v>
      </c>
      <c r="K7460" s="8" t="str">
        <f>"鉄筋コンクリート造"</f>
        <v>鉄筋コンクリート造</v>
      </c>
      <c r="L7460" s="8" t="str">
        <f>"H03.09.13"</f>
        <v>H03.09.13</v>
      </c>
      <c r="M7460" s="8">
        <v>3.23</v>
      </c>
      <c r="N7460" s="8">
        <v>591607</v>
      </c>
      <c r="O7460" s="8">
        <v>475981</v>
      </c>
      <c r="P7460" s="8">
        <v>0</v>
      </c>
      <c r="Q7460" s="8" t="str">
        <f t="shared" si="2694"/>
        <v>公安委員会</v>
      </c>
      <c r="R7460" s="8" t="str">
        <f t="shared" si="2705"/>
        <v>大正警察署</v>
      </c>
    </row>
    <row r="7461" spans="1:18" x14ac:dyDescent="0.45">
      <c r="A7461" s="8" t="str">
        <f>"11537000000"</f>
        <v>11537000000</v>
      </c>
      <c r="B7461" s="8" t="str">
        <f>"大正警察署"</f>
        <v>大正警察署</v>
      </c>
      <c r="C7461" s="8" t="str">
        <f t="shared" si="2696"/>
        <v>行政財産</v>
      </c>
      <c r="D7461" s="8" t="str">
        <f t="shared" si="2697"/>
        <v>警察（消防）施設</v>
      </c>
      <c r="E7461" s="8" t="str">
        <f>"大阪府大阪市　大正区小林東３丁目"</f>
        <v>大阪府大阪市　大正区小林東３丁目</v>
      </c>
      <c r="F7461" s="8"/>
      <c r="G7461" s="8" t="str">
        <f t="shared" si="2704"/>
        <v>事業用資産</v>
      </c>
      <c r="H7461" s="8" t="str">
        <f t="shared" si="2699"/>
        <v>棚卸以外</v>
      </c>
      <c r="I7461" s="8">
        <v>24</v>
      </c>
      <c r="J7461" s="8" t="str">
        <f>"ゴミ置場"</f>
        <v>ゴミ置場</v>
      </c>
      <c r="K7461" s="8" t="str">
        <f>"鉄筋コンクリート造"</f>
        <v>鉄筋コンクリート造</v>
      </c>
      <c r="L7461" s="8" t="str">
        <f>"H03.09.13"</f>
        <v>H03.09.13</v>
      </c>
      <c r="M7461" s="8">
        <v>7</v>
      </c>
      <c r="N7461" s="8">
        <v>1601000</v>
      </c>
      <c r="O7461" s="8">
        <v>1327158</v>
      </c>
      <c r="P7461" s="8">
        <v>0</v>
      </c>
      <c r="Q7461" s="8" t="str">
        <f t="shared" si="2694"/>
        <v>公安委員会</v>
      </c>
      <c r="R7461" s="8" t="str">
        <f t="shared" si="2705"/>
        <v>大正警察署</v>
      </c>
    </row>
    <row r="7462" spans="1:18" x14ac:dyDescent="0.45">
      <c r="A7462" s="8" t="str">
        <f>"11537000100"</f>
        <v>11537000100</v>
      </c>
      <c r="B7462" s="8" t="s">
        <v>26</v>
      </c>
      <c r="C7462" s="8" t="str">
        <f t="shared" si="2696"/>
        <v>行政財産</v>
      </c>
      <c r="D7462" s="8" t="str">
        <f t="shared" si="2697"/>
        <v>警察（消防）施設</v>
      </c>
      <c r="E7462" s="8" t="s">
        <v>54</v>
      </c>
      <c r="F7462" s="8"/>
      <c r="G7462" s="8" t="str">
        <f t="shared" si="2704"/>
        <v>事業用資産</v>
      </c>
      <c r="H7462" s="8" t="str">
        <f t="shared" si="2699"/>
        <v>棚卸以外</v>
      </c>
      <c r="I7462" s="8">
        <v>1</v>
      </c>
      <c r="J7462" s="8" t="s">
        <v>26</v>
      </c>
      <c r="K7462" s="8" t="str">
        <f>"鉄筋コンクリート造"</f>
        <v>鉄筋コンクリート造</v>
      </c>
      <c r="L7462" s="8" t="str">
        <f>"S44.03.28"</f>
        <v>S44.03.28</v>
      </c>
      <c r="M7462" s="8">
        <v>94.5</v>
      </c>
      <c r="N7462" s="8">
        <v>3734631</v>
      </c>
      <c r="O7462" s="8">
        <v>3734630</v>
      </c>
      <c r="P7462" s="8">
        <v>0</v>
      </c>
      <c r="Q7462" s="8" t="str">
        <f t="shared" si="2694"/>
        <v>公安委員会</v>
      </c>
      <c r="R7462" s="8" t="str">
        <f t="shared" si="2705"/>
        <v>大正警察署</v>
      </c>
    </row>
    <row r="7463" spans="1:18" x14ac:dyDescent="0.45">
      <c r="A7463" s="8" t="str">
        <f>"11537000100"</f>
        <v>11537000100</v>
      </c>
      <c r="B7463" s="8" t="s">
        <v>26</v>
      </c>
      <c r="C7463" s="8" t="str">
        <f t="shared" si="2696"/>
        <v>行政財産</v>
      </c>
      <c r="D7463" s="8" t="str">
        <f t="shared" si="2697"/>
        <v>警察（消防）施設</v>
      </c>
      <c r="E7463" s="8" t="s">
        <v>54</v>
      </c>
      <c r="F7463" s="8"/>
      <c r="G7463" s="8" t="str">
        <f t="shared" si="2704"/>
        <v>事業用資産</v>
      </c>
      <c r="H7463" s="8" t="str">
        <f t="shared" si="2699"/>
        <v>棚卸以外</v>
      </c>
      <c r="I7463" s="8">
        <v>2</v>
      </c>
      <c r="J7463" s="8" t="str">
        <f>"倉庫"</f>
        <v>倉庫</v>
      </c>
      <c r="K7463" s="8" t="str">
        <f>"鉄筋コンクリート造"</f>
        <v>鉄筋コンクリート造</v>
      </c>
      <c r="L7463" s="8" t="str">
        <f>"S44.03.28"</f>
        <v>S44.03.28</v>
      </c>
      <c r="M7463" s="8">
        <v>101.8</v>
      </c>
      <c r="N7463" s="8">
        <v>3552369</v>
      </c>
      <c r="O7463" s="8">
        <v>3552368</v>
      </c>
      <c r="P7463" s="8">
        <v>0</v>
      </c>
      <c r="Q7463" s="8" t="str">
        <f t="shared" si="2694"/>
        <v>公安委員会</v>
      </c>
      <c r="R7463" s="8" t="str">
        <f t="shared" si="2705"/>
        <v>大正警察署</v>
      </c>
    </row>
    <row r="7464" spans="1:18" x14ac:dyDescent="0.45">
      <c r="A7464" s="8" t="str">
        <f>"11537000130"</f>
        <v>11537000130</v>
      </c>
      <c r="B7464" s="8" t="str">
        <f>"泉尾交番"</f>
        <v>泉尾交番</v>
      </c>
      <c r="C7464" s="8" t="str">
        <f t="shared" si="2696"/>
        <v>行政財産</v>
      </c>
      <c r="D7464" s="8" t="str">
        <f t="shared" si="2697"/>
        <v>警察（消防）施設</v>
      </c>
      <c r="E7464" s="8" t="str">
        <f>"大阪府大阪市　大正区泉尾３丁目"</f>
        <v>大阪府大阪市　大正区泉尾３丁目</v>
      </c>
      <c r="F7464" s="8"/>
      <c r="G7464" s="8" t="str">
        <f t="shared" si="2704"/>
        <v>事業用資産</v>
      </c>
      <c r="H7464" s="8" t="str">
        <f t="shared" si="2699"/>
        <v>棚卸以外</v>
      </c>
      <c r="I7464" s="8">
        <v>2</v>
      </c>
      <c r="J7464" s="8" t="str">
        <f>"泉尾交番"</f>
        <v>泉尾交番</v>
      </c>
      <c r="K7464" s="8" t="str">
        <f>"鉄筋コンクリート造"</f>
        <v>鉄筋コンクリート造</v>
      </c>
      <c r="L7464" s="8" t="str">
        <f>"S46.12.04"</f>
        <v>S46.12.04</v>
      </c>
      <c r="M7464" s="8">
        <v>34.799999999999997</v>
      </c>
      <c r="N7464" s="8">
        <v>2554000</v>
      </c>
      <c r="O7464" s="8">
        <v>2553999</v>
      </c>
      <c r="P7464" s="8">
        <v>0</v>
      </c>
      <c r="Q7464" s="8" t="str">
        <f t="shared" si="2694"/>
        <v>公安委員会</v>
      </c>
      <c r="R7464" s="8" t="str">
        <f t="shared" si="2705"/>
        <v>大正警察署</v>
      </c>
    </row>
    <row r="7465" spans="1:18" x14ac:dyDescent="0.45">
      <c r="A7465" s="8" t="str">
        <f>"11537000170"</f>
        <v>11537000170</v>
      </c>
      <c r="B7465" s="8" t="str">
        <f>"鶴町交番"</f>
        <v>鶴町交番</v>
      </c>
      <c r="C7465" s="8" t="str">
        <f t="shared" si="2696"/>
        <v>行政財産</v>
      </c>
      <c r="D7465" s="8" t="str">
        <f t="shared" si="2697"/>
        <v>警察（消防）施設</v>
      </c>
      <c r="E7465" s="8" t="str">
        <f>"大阪府大阪市　大正区鶴町３丁目"</f>
        <v>大阪府大阪市　大正区鶴町３丁目</v>
      </c>
      <c r="F7465" s="8"/>
      <c r="G7465" s="8" t="str">
        <f t="shared" si="2704"/>
        <v>事業用資産</v>
      </c>
      <c r="H7465" s="8" t="str">
        <f t="shared" si="2699"/>
        <v>棚卸以外</v>
      </c>
      <c r="I7465" s="8">
        <v>2</v>
      </c>
      <c r="J7465" s="8" t="str">
        <f>"鶴町交番"</f>
        <v>鶴町交番</v>
      </c>
      <c r="K7465" s="8" t="str">
        <f>"鉄骨造"</f>
        <v>鉄骨造</v>
      </c>
      <c r="L7465" s="8" t="str">
        <f>"S49.12.05"</f>
        <v>S49.12.05</v>
      </c>
      <c r="M7465" s="8">
        <v>50.4</v>
      </c>
      <c r="N7465" s="8">
        <v>8764000</v>
      </c>
      <c r="O7465" s="8">
        <v>8763999</v>
      </c>
      <c r="P7465" s="8">
        <v>0</v>
      </c>
      <c r="Q7465" s="8" t="str">
        <f t="shared" si="2694"/>
        <v>公安委員会</v>
      </c>
      <c r="R7465" s="8" t="str">
        <f t="shared" si="2705"/>
        <v>大正警察署</v>
      </c>
    </row>
    <row r="7466" spans="1:18" x14ac:dyDescent="0.45">
      <c r="A7466" s="8" t="str">
        <f>"11537000240"</f>
        <v>11537000240</v>
      </c>
      <c r="B7466" s="8" t="str">
        <f>"大浪橋交番"</f>
        <v>大浪橋交番</v>
      </c>
      <c r="C7466" s="8" t="str">
        <f t="shared" si="2696"/>
        <v>行政財産</v>
      </c>
      <c r="D7466" s="8" t="str">
        <f t="shared" si="2697"/>
        <v>警察（消防）施設</v>
      </c>
      <c r="E7466" s="8" t="str">
        <f>"大阪府大阪市　大正区三軒家東２丁目"</f>
        <v>大阪府大阪市　大正区三軒家東２丁目</v>
      </c>
      <c r="F7466" s="8"/>
      <c r="G7466" s="8" t="str">
        <f t="shared" si="2704"/>
        <v>事業用資産</v>
      </c>
      <c r="H7466" s="8" t="str">
        <f t="shared" si="2699"/>
        <v>棚卸以外</v>
      </c>
      <c r="I7466" s="8">
        <v>1</v>
      </c>
      <c r="J7466" s="8" t="str">
        <f>"大浪橋交番"</f>
        <v>大浪橋交番</v>
      </c>
      <c r="K7466" s="8" t="str">
        <f>"鉄筋コンクリート造"</f>
        <v>鉄筋コンクリート造</v>
      </c>
      <c r="L7466" s="8" t="str">
        <f>"S44.11.20"</f>
        <v>S44.11.20</v>
      </c>
      <c r="M7466" s="8">
        <v>93.79</v>
      </c>
      <c r="N7466" s="8">
        <v>4246000</v>
      </c>
      <c r="O7466" s="8">
        <v>4245999</v>
      </c>
      <c r="P7466" s="8">
        <v>0</v>
      </c>
      <c r="Q7466" s="8" t="str">
        <f t="shared" si="2694"/>
        <v>公安委員会</v>
      </c>
      <c r="R7466" s="8" t="str">
        <f t="shared" si="2705"/>
        <v>大正警察署</v>
      </c>
    </row>
    <row r="7467" spans="1:18" x14ac:dyDescent="0.45">
      <c r="A7467" s="8" t="str">
        <f>"11537000250"</f>
        <v>11537000250</v>
      </c>
      <c r="B7467" s="8" t="str">
        <f>"南恩加島交番"</f>
        <v>南恩加島交番</v>
      </c>
      <c r="C7467" s="8" t="str">
        <f t="shared" si="2696"/>
        <v>行政財産</v>
      </c>
      <c r="D7467" s="8" t="str">
        <f t="shared" si="2697"/>
        <v>警察（消防）施設</v>
      </c>
      <c r="E7467" s="8" t="str">
        <f>"大阪府大阪市　大正区南恩加島４丁目"</f>
        <v>大阪府大阪市　大正区南恩加島４丁目</v>
      </c>
      <c r="F7467" s="8"/>
      <c r="G7467" s="8" t="str">
        <f t="shared" si="2704"/>
        <v>事業用資産</v>
      </c>
      <c r="H7467" s="8" t="str">
        <f t="shared" si="2699"/>
        <v>棚卸以外</v>
      </c>
      <c r="I7467" s="8">
        <v>1</v>
      </c>
      <c r="J7467" s="8" t="str">
        <f>"南恩加島交番"</f>
        <v>南恩加島交番</v>
      </c>
      <c r="K7467" s="8" t="str">
        <f>"鉄筋コンクリート造"</f>
        <v>鉄筋コンクリート造</v>
      </c>
      <c r="L7467" s="8" t="str">
        <f>"S46.03.27"</f>
        <v>S46.03.27</v>
      </c>
      <c r="M7467" s="8">
        <v>66.08</v>
      </c>
      <c r="N7467" s="8">
        <v>3960235</v>
      </c>
      <c r="O7467" s="8">
        <v>3960234</v>
      </c>
      <c r="P7467" s="8">
        <v>0</v>
      </c>
      <c r="Q7467" s="8" t="str">
        <f t="shared" si="2694"/>
        <v>公安委員会</v>
      </c>
      <c r="R7467" s="8" t="str">
        <f t="shared" si="2705"/>
        <v>大正警察署</v>
      </c>
    </row>
    <row r="7468" spans="1:18" x14ac:dyDescent="0.45">
      <c r="A7468" s="8" t="str">
        <f>"11537000260"</f>
        <v>11537000260</v>
      </c>
      <c r="B7468" s="8" t="str">
        <f>"大正駅前交通詰所"</f>
        <v>大正駅前交通詰所</v>
      </c>
      <c r="C7468" s="8" t="str">
        <f t="shared" si="2696"/>
        <v>行政財産</v>
      </c>
      <c r="D7468" s="8" t="str">
        <f t="shared" si="2697"/>
        <v>警察（消防）施設</v>
      </c>
      <c r="E7468" s="8" t="str">
        <f>"大阪府大阪市　大正区三軒家西１丁目"</f>
        <v>大阪府大阪市　大正区三軒家西１丁目</v>
      </c>
      <c r="F7468" s="8"/>
      <c r="G7468" s="8" t="str">
        <f t="shared" si="2704"/>
        <v>事業用資産</v>
      </c>
      <c r="H7468" s="8" t="str">
        <f t="shared" si="2699"/>
        <v>棚卸以外</v>
      </c>
      <c r="I7468" s="8">
        <v>1</v>
      </c>
      <c r="J7468" s="8" t="str">
        <f>"大正駅前交通警察官詰所"</f>
        <v>大正駅前交通警察官詰所</v>
      </c>
      <c r="K7468" s="8" t="str">
        <f>"鉄骨造"</f>
        <v>鉄骨造</v>
      </c>
      <c r="L7468" s="8" t="str">
        <f>"S50.12.09"</f>
        <v>S50.12.09</v>
      </c>
      <c r="M7468" s="8">
        <v>22.12</v>
      </c>
      <c r="N7468" s="8">
        <v>5575000</v>
      </c>
      <c r="O7468" s="8">
        <v>5128749</v>
      </c>
      <c r="P7468" s="8">
        <v>0</v>
      </c>
      <c r="Q7468" s="8" t="str">
        <f t="shared" si="2694"/>
        <v>公安委員会</v>
      </c>
      <c r="R7468" s="8" t="str">
        <f t="shared" si="2705"/>
        <v>大正警察署</v>
      </c>
    </row>
    <row r="7469" spans="1:18" x14ac:dyDescent="0.45">
      <c r="A7469" s="8" t="str">
        <f>"11537000270"</f>
        <v>11537000270</v>
      </c>
      <c r="B7469" s="8" t="str">
        <f>"千島交番"</f>
        <v>千島交番</v>
      </c>
      <c r="C7469" s="8" t="str">
        <f t="shared" si="2696"/>
        <v>行政財産</v>
      </c>
      <c r="D7469" s="8" t="str">
        <f t="shared" si="2697"/>
        <v>警察（消防）施設</v>
      </c>
      <c r="E7469" s="8" t="str">
        <f>"大阪府大阪市　大正区千島３丁目"</f>
        <v>大阪府大阪市　大正区千島３丁目</v>
      </c>
      <c r="F7469" s="8"/>
      <c r="G7469" s="8" t="str">
        <f t="shared" si="2704"/>
        <v>事業用資産</v>
      </c>
      <c r="H7469" s="8" t="str">
        <f t="shared" si="2699"/>
        <v>棚卸以外</v>
      </c>
      <c r="I7469" s="8">
        <v>1</v>
      </c>
      <c r="J7469" s="8" t="str">
        <f>"千島交番"</f>
        <v>千島交番</v>
      </c>
      <c r="K7469" s="8" t="str">
        <f>"鉄筋コンクリート造"</f>
        <v>鉄筋コンクリート造</v>
      </c>
      <c r="L7469" s="8" t="str">
        <f>"H03.10.25"</f>
        <v>H03.10.25</v>
      </c>
      <c r="M7469" s="8">
        <v>78.33</v>
      </c>
      <c r="N7469" s="8">
        <v>24199760</v>
      </c>
      <c r="O7469" s="8">
        <v>15193280</v>
      </c>
      <c r="P7469" s="8">
        <v>0</v>
      </c>
      <c r="Q7469" s="8" t="str">
        <f t="shared" si="2694"/>
        <v>公安委員会</v>
      </c>
      <c r="R7469" s="8" t="str">
        <f t="shared" si="2705"/>
        <v>大正警察署</v>
      </c>
    </row>
    <row r="7470" spans="1:18" x14ac:dyDescent="0.45">
      <c r="A7470" s="8" t="str">
        <f>"11537000280"</f>
        <v>11537000280</v>
      </c>
      <c r="B7470" s="8" t="str">
        <f>"平尾交番"</f>
        <v>平尾交番</v>
      </c>
      <c r="C7470" s="8" t="str">
        <f t="shared" si="2696"/>
        <v>行政財産</v>
      </c>
      <c r="D7470" s="8" t="str">
        <f t="shared" si="2697"/>
        <v>警察（消防）施設</v>
      </c>
      <c r="E7470" s="8" t="str">
        <f>"大阪府大阪市　大正区平尾２丁目"</f>
        <v>大阪府大阪市　大正区平尾２丁目</v>
      </c>
      <c r="F7470" s="8"/>
      <c r="G7470" s="8" t="str">
        <f t="shared" si="2704"/>
        <v>事業用資産</v>
      </c>
      <c r="H7470" s="8" t="str">
        <f t="shared" si="2699"/>
        <v>棚卸以外</v>
      </c>
      <c r="I7470" s="8">
        <v>1</v>
      </c>
      <c r="J7470" s="8" t="str">
        <f>"平尾交番"</f>
        <v>平尾交番</v>
      </c>
      <c r="K7470" s="8" t="str">
        <f>"鉄筋コンクリート造"</f>
        <v>鉄筋コンクリート造</v>
      </c>
      <c r="L7470" s="8" t="str">
        <f>"H04.03.31"</f>
        <v>H04.03.31</v>
      </c>
      <c r="M7470" s="8">
        <v>53.9</v>
      </c>
      <c r="N7470" s="8">
        <v>21536393</v>
      </c>
      <c r="O7470" s="8">
        <v>12619512</v>
      </c>
      <c r="P7470" s="8">
        <v>0</v>
      </c>
      <c r="Q7470" s="8" t="str">
        <f t="shared" si="2694"/>
        <v>公安委員会</v>
      </c>
      <c r="R7470" s="8" t="str">
        <f t="shared" si="2705"/>
        <v>大正警察署</v>
      </c>
    </row>
    <row r="7471" spans="1:18" ht="26.4" x14ac:dyDescent="0.45">
      <c r="A7471" s="8" t="str">
        <f t="shared" ref="A7471:A7476" si="2706">"11538000000"</f>
        <v>11538000000</v>
      </c>
      <c r="B7471" s="8" t="str">
        <f t="shared" ref="B7471:B7476" si="2707">"天王寺警察署"</f>
        <v>天王寺警察署</v>
      </c>
      <c r="C7471" s="8" t="str">
        <f t="shared" si="2696"/>
        <v>行政財産</v>
      </c>
      <c r="D7471" s="8" t="str">
        <f t="shared" si="2697"/>
        <v>警察（消防）施設</v>
      </c>
      <c r="E7471" s="8" t="str">
        <f t="shared" ref="E7471:E7476" si="2708">"大阪府大阪市　天王寺区六万体町"</f>
        <v>大阪府大阪市　天王寺区六万体町</v>
      </c>
      <c r="F7471" s="8"/>
      <c r="G7471" s="8" t="str">
        <f t="shared" si="2704"/>
        <v>事業用資産</v>
      </c>
      <c r="H7471" s="8" t="str">
        <f t="shared" si="2699"/>
        <v>棚卸以外</v>
      </c>
      <c r="I7471" s="8">
        <v>51</v>
      </c>
      <c r="J7471" s="8" t="str">
        <f>"庁舎"</f>
        <v>庁舎</v>
      </c>
      <c r="K7471" s="8" t="str">
        <f>"鉄骨鉄筋コンクリート造"</f>
        <v>鉄骨鉄筋コンクリート造</v>
      </c>
      <c r="L7471" s="8" t="str">
        <f t="shared" ref="L7471:L7476" si="2709">"H07.11.28"</f>
        <v>H07.11.28</v>
      </c>
      <c r="M7471" s="8">
        <v>3729.82</v>
      </c>
      <c r="N7471" s="8">
        <v>1486312677</v>
      </c>
      <c r="O7471" s="8">
        <v>793156133</v>
      </c>
      <c r="P7471" s="8">
        <v>0</v>
      </c>
      <c r="Q7471" s="8" t="str">
        <f t="shared" si="2694"/>
        <v>公安委員会</v>
      </c>
      <c r="R7471" s="8" t="str">
        <f t="shared" ref="R7471:R7483" si="2710">"天王寺警察署"</f>
        <v>天王寺警察署</v>
      </c>
    </row>
    <row r="7472" spans="1:18" x14ac:dyDescent="0.45">
      <c r="A7472" s="8" t="str">
        <f t="shared" si="2706"/>
        <v>11538000000</v>
      </c>
      <c r="B7472" s="8" t="str">
        <f t="shared" si="2707"/>
        <v>天王寺警察署</v>
      </c>
      <c r="C7472" s="8" t="str">
        <f t="shared" si="2696"/>
        <v>行政財産</v>
      </c>
      <c r="D7472" s="8" t="str">
        <f t="shared" si="2697"/>
        <v>警察（消防）施設</v>
      </c>
      <c r="E7472" s="8" t="str">
        <f t="shared" si="2708"/>
        <v>大阪府大阪市　天王寺区六万体町</v>
      </c>
      <c r="F7472" s="8"/>
      <c r="G7472" s="8" t="str">
        <f t="shared" si="2704"/>
        <v>事業用資産</v>
      </c>
      <c r="H7472" s="8" t="str">
        <f t="shared" si="2699"/>
        <v>棚卸以外</v>
      </c>
      <c r="I7472" s="8">
        <v>52</v>
      </c>
      <c r="J7472" s="8" t="str">
        <f>"大型車庫棟"</f>
        <v>大型車庫棟</v>
      </c>
      <c r="K7472" s="8" t="str">
        <f>"鉄骨造"</f>
        <v>鉄骨造</v>
      </c>
      <c r="L7472" s="8" t="str">
        <f t="shared" si="2709"/>
        <v>H07.11.28</v>
      </c>
      <c r="M7472" s="8">
        <v>281.60000000000002</v>
      </c>
      <c r="N7472" s="8">
        <v>36775501</v>
      </c>
      <c r="O7472" s="8">
        <v>32425752</v>
      </c>
      <c r="P7472" s="8">
        <v>0</v>
      </c>
      <c r="Q7472" s="8" t="str">
        <f t="shared" si="2694"/>
        <v>公安委員会</v>
      </c>
      <c r="R7472" s="8" t="str">
        <f t="shared" si="2710"/>
        <v>天王寺警察署</v>
      </c>
    </row>
    <row r="7473" spans="1:18" x14ac:dyDescent="0.45">
      <c r="A7473" s="8" t="str">
        <f t="shared" si="2706"/>
        <v>11538000000</v>
      </c>
      <c r="B7473" s="8" t="str">
        <f t="shared" si="2707"/>
        <v>天王寺警察署</v>
      </c>
      <c r="C7473" s="8" t="str">
        <f t="shared" si="2696"/>
        <v>行政財産</v>
      </c>
      <c r="D7473" s="8" t="str">
        <f t="shared" si="2697"/>
        <v>警察（消防）施設</v>
      </c>
      <c r="E7473" s="8" t="str">
        <f t="shared" si="2708"/>
        <v>大阪府大阪市　天王寺区六万体町</v>
      </c>
      <c r="F7473" s="8"/>
      <c r="G7473" s="8" t="str">
        <f t="shared" si="2704"/>
        <v>事業用資産</v>
      </c>
      <c r="H7473" s="8" t="str">
        <f t="shared" si="2699"/>
        <v>棚卸以外</v>
      </c>
      <c r="I7473" s="8">
        <v>53</v>
      </c>
      <c r="J7473" s="8" t="str">
        <f>"車庫及び倉庫棟"</f>
        <v>車庫及び倉庫棟</v>
      </c>
      <c r="K7473" s="8" t="str">
        <f>"鉄骨造"</f>
        <v>鉄骨造</v>
      </c>
      <c r="L7473" s="8" t="str">
        <f t="shared" si="2709"/>
        <v>H07.11.28</v>
      </c>
      <c r="M7473" s="8">
        <v>152.38999999999999</v>
      </c>
      <c r="N7473" s="8">
        <v>19503000</v>
      </c>
      <c r="O7473" s="8">
        <v>16601621</v>
      </c>
      <c r="P7473" s="8">
        <v>0</v>
      </c>
      <c r="Q7473" s="8" t="str">
        <f t="shared" si="2694"/>
        <v>公安委員会</v>
      </c>
      <c r="R7473" s="8" t="str">
        <f t="shared" si="2710"/>
        <v>天王寺警察署</v>
      </c>
    </row>
    <row r="7474" spans="1:18" x14ac:dyDescent="0.45">
      <c r="A7474" s="8" t="str">
        <f t="shared" si="2706"/>
        <v>11538000000</v>
      </c>
      <c r="B7474" s="8" t="str">
        <f t="shared" si="2707"/>
        <v>天王寺警察署</v>
      </c>
      <c r="C7474" s="8" t="str">
        <f t="shared" si="2696"/>
        <v>行政財産</v>
      </c>
      <c r="D7474" s="8" t="str">
        <f t="shared" si="2697"/>
        <v>警察（消防）施設</v>
      </c>
      <c r="E7474" s="8" t="str">
        <f t="shared" si="2708"/>
        <v>大阪府大阪市　天王寺区六万体町</v>
      </c>
      <c r="F7474" s="8"/>
      <c r="G7474" s="8" t="str">
        <f t="shared" si="2704"/>
        <v>事業用資産</v>
      </c>
      <c r="H7474" s="8" t="str">
        <f t="shared" si="2699"/>
        <v>棚卸以外</v>
      </c>
      <c r="I7474" s="8">
        <v>54</v>
      </c>
      <c r="J7474" s="8" t="str">
        <f>"立体駐車場棟"</f>
        <v>立体駐車場棟</v>
      </c>
      <c r="K7474" s="8" t="str">
        <f>"鉄骨造"</f>
        <v>鉄骨造</v>
      </c>
      <c r="L7474" s="8" t="str">
        <f t="shared" si="2709"/>
        <v>H07.11.28</v>
      </c>
      <c r="M7474" s="8">
        <v>114.25</v>
      </c>
      <c r="N7474" s="8">
        <v>12641000</v>
      </c>
      <c r="O7474" s="8">
        <v>11146096</v>
      </c>
      <c r="P7474" s="8">
        <v>0</v>
      </c>
      <c r="Q7474" s="8" t="str">
        <f t="shared" si="2694"/>
        <v>公安委員会</v>
      </c>
      <c r="R7474" s="8" t="str">
        <f t="shared" si="2710"/>
        <v>天王寺警察署</v>
      </c>
    </row>
    <row r="7475" spans="1:18" x14ac:dyDescent="0.45">
      <c r="A7475" s="8" t="str">
        <f t="shared" si="2706"/>
        <v>11538000000</v>
      </c>
      <c r="B7475" s="8" t="str">
        <f t="shared" si="2707"/>
        <v>天王寺警察署</v>
      </c>
      <c r="C7475" s="8" t="str">
        <f t="shared" si="2696"/>
        <v>行政財産</v>
      </c>
      <c r="D7475" s="8" t="str">
        <f t="shared" si="2697"/>
        <v>警察（消防）施設</v>
      </c>
      <c r="E7475" s="8" t="str">
        <f t="shared" si="2708"/>
        <v>大阪府大阪市　天王寺区六万体町</v>
      </c>
      <c r="F7475" s="8"/>
      <c r="G7475" s="8" t="str">
        <f t="shared" si="2704"/>
        <v>事業用資産</v>
      </c>
      <c r="H7475" s="8" t="str">
        <f t="shared" si="2699"/>
        <v>棚卸以外</v>
      </c>
      <c r="I7475" s="8">
        <v>55</v>
      </c>
      <c r="J7475" s="8" t="str">
        <f>"倉庫"</f>
        <v>倉庫</v>
      </c>
      <c r="K7475" s="8" t="str">
        <f>"鉄骨造"</f>
        <v>鉄骨造</v>
      </c>
      <c r="L7475" s="8" t="str">
        <f t="shared" si="2709"/>
        <v>H07.11.28</v>
      </c>
      <c r="M7475" s="8">
        <v>90.2</v>
      </c>
      <c r="N7475" s="8">
        <v>15498000</v>
      </c>
      <c r="O7475" s="8">
        <v>13665136</v>
      </c>
      <c r="P7475" s="8">
        <v>0</v>
      </c>
      <c r="Q7475" s="8" t="str">
        <f t="shared" ref="Q7475:Q7538" si="2711">"公安委員会"</f>
        <v>公安委員会</v>
      </c>
      <c r="R7475" s="8" t="str">
        <f t="shared" si="2710"/>
        <v>天王寺警察署</v>
      </c>
    </row>
    <row r="7476" spans="1:18" x14ac:dyDescent="0.45">
      <c r="A7476" s="8" t="str">
        <f t="shared" si="2706"/>
        <v>11538000000</v>
      </c>
      <c r="B7476" s="8" t="str">
        <f t="shared" si="2707"/>
        <v>天王寺警察署</v>
      </c>
      <c r="C7476" s="8" t="str">
        <f t="shared" si="2696"/>
        <v>行政財産</v>
      </c>
      <c r="D7476" s="8" t="str">
        <f t="shared" si="2697"/>
        <v>警察（消防）施設</v>
      </c>
      <c r="E7476" s="8" t="str">
        <f t="shared" si="2708"/>
        <v>大阪府大阪市　天王寺区六万体町</v>
      </c>
      <c r="F7476" s="8"/>
      <c r="G7476" s="8" t="str">
        <f t="shared" si="2704"/>
        <v>事業用資産</v>
      </c>
      <c r="H7476" s="8" t="str">
        <f t="shared" si="2699"/>
        <v>棚卸以外</v>
      </c>
      <c r="I7476" s="8">
        <v>56</v>
      </c>
      <c r="J7476" s="8" t="str">
        <f>"ゴミ置場"</f>
        <v>ゴミ置場</v>
      </c>
      <c r="K7476" s="8" t="str">
        <f>"鉄筋コンクリート造"</f>
        <v>鉄筋コンクリート造</v>
      </c>
      <c r="L7476" s="8" t="str">
        <f t="shared" si="2709"/>
        <v>H07.11.28</v>
      </c>
      <c r="M7476" s="8">
        <v>6.25</v>
      </c>
      <c r="N7476" s="8">
        <v>2735000</v>
      </c>
      <c r="O7476" s="8">
        <v>1967344</v>
      </c>
      <c r="P7476" s="8">
        <v>0</v>
      </c>
      <c r="Q7476" s="8" t="str">
        <f t="shared" si="2711"/>
        <v>公安委員会</v>
      </c>
      <c r="R7476" s="8" t="str">
        <f t="shared" si="2710"/>
        <v>天王寺警察署</v>
      </c>
    </row>
    <row r="7477" spans="1:18" x14ac:dyDescent="0.45">
      <c r="A7477" s="8" t="str">
        <f>"11538000100"</f>
        <v>11538000100</v>
      </c>
      <c r="B7477" s="8" t="str">
        <f>"天王寺駅前交番"</f>
        <v>天王寺駅前交番</v>
      </c>
      <c r="C7477" s="8" t="str">
        <f t="shared" si="2696"/>
        <v>行政財産</v>
      </c>
      <c r="D7477" s="8" t="str">
        <f t="shared" si="2697"/>
        <v>警察（消防）施設</v>
      </c>
      <c r="E7477" s="8" t="str">
        <f>"大阪府大阪市　天王寺区茶臼山町"</f>
        <v>大阪府大阪市　天王寺区茶臼山町</v>
      </c>
      <c r="F7477" s="8"/>
      <c r="G7477" s="8" t="str">
        <f t="shared" si="2704"/>
        <v>事業用資産</v>
      </c>
      <c r="H7477" s="8" t="str">
        <f t="shared" si="2699"/>
        <v>棚卸以外</v>
      </c>
      <c r="I7477" s="8">
        <v>2</v>
      </c>
      <c r="J7477" s="8" t="str">
        <f>"天王寺駅前交番"</f>
        <v>天王寺駅前交番</v>
      </c>
      <c r="K7477" s="8" t="str">
        <f>"鉄骨造"</f>
        <v>鉄骨造</v>
      </c>
      <c r="L7477" s="8" t="str">
        <f>"H07.11.24"</f>
        <v>H07.11.24</v>
      </c>
      <c r="M7477" s="8">
        <v>103.4</v>
      </c>
      <c r="N7477" s="8">
        <v>35900602</v>
      </c>
      <c r="O7477" s="8">
        <v>25712207</v>
      </c>
      <c r="P7477" s="8">
        <v>0</v>
      </c>
      <c r="Q7477" s="8" t="str">
        <f t="shared" si="2711"/>
        <v>公安委員会</v>
      </c>
      <c r="R7477" s="8" t="str">
        <f t="shared" si="2710"/>
        <v>天王寺警察署</v>
      </c>
    </row>
    <row r="7478" spans="1:18" x14ac:dyDescent="0.45">
      <c r="A7478" s="8" t="str">
        <f>"11538000150"</f>
        <v>11538000150</v>
      </c>
      <c r="B7478" s="8" t="str">
        <f>"玉造交番"</f>
        <v>玉造交番</v>
      </c>
      <c r="C7478" s="8" t="str">
        <f t="shared" ref="C7478:C7541" si="2712">"行政財産"</f>
        <v>行政財産</v>
      </c>
      <c r="D7478" s="8" t="str">
        <f t="shared" si="2697"/>
        <v>警察（消防）施設</v>
      </c>
      <c r="E7478" s="8" t="str">
        <f>"大阪府大阪市　天王寺区玉造本町"</f>
        <v>大阪府大阪市　天王寺区玉造本町</v>
      </c>
      <c r="F7478" s="8"/>
      <c r="G7478" s="8" t="str">
        <f t="shared" si="2704"/>
        <v>事業用資産</v>
      </c>
      <c r="H7478" s="8" t="str">
        <f t="shared" si="2699"/>
        <v>棚卸以外</v>
      </c>
      <c r="I7478" s="8">
        <v>2</v>
      </c>
      <c r="J7478" s="8" t="str">
        <f>"玉造交番"</f>
        <v>玉造交番</v>
      </c>
      <c r="K7478" s="8" t="str">
        <f>"鉄骨造"</f>
        <v>鉄骨造</v>
      </c>
      <c r="L7478" s="8" t="str">
        <f>"S46.03.12"</f>
        <v>S46.03.12</v>
      </c>
      <c r="M7478" s="8">
        <v>40.14</v>
      </c>
      <c r="N7478" s="8">
        <v>7986430</v>
      </c>
      <c r="O7478" s="8">
        <v>3924204</v>
      </c>
      <c r="P7478" s="8">
        <v>0</v>
      </c>
      <c r="Q7478" s="8" t="str">
        <f t="shared" si="2711"/>
        <v>公安委員会</v>
      </c>
      <c r="R7478" s="8" t="str">
        <f t="shared" si="2710"/>
        <v>天王寺警察署</v>
      </c>
    </row>
    <row r="7479" spans="1:18" x14ac:dyDescent="0.45">
      <c r="A7479" s="8" t="str">
        <f>"11538000230"</f>
        <v>11538000230</v>
      </c>
      <c r="B7479" s="8" t="str">
        <f>"舟橋町交番"</f>
        <v>舟橋町交番</v>
      </c>
      <c r="C7479" s="8" t="str">
        <f t="shared" si="2712"/>
        <v>行政財産</v>
      </c>
      <c r="D7479" s="8" t="str">
        <f t="shared" si="2697"/>
        <v>警察（消防）施設</v>
      </c>
      <c r="E7479" s="8" t="str">
        <f>"大阪府大阪市　天王寺区舟橋町"</f>
        <v>大阪府大阪市　天王寺区舟橋町</v>
      </c>
      <c r="F7479" s="8"/>
      <c r="G7479" s="8" t="str">
        <f t="shared" si="2704"/>
        <v>事業用資産</v>
      </c>
      <c r="H7479" s="8" t="str">
        <f t="shared" si="2699"/>
        <v>棚卸以外</v>
      </c>
      <c r="I7479" s="8">
        <v>2</v>
      </c>
      <c r="J7479" s="8" t="str">
        <f>"舟橋町交番"</f>
        <v>舟橋町交番</v>
      </c>
      <c r="K7479" s="8" t="str">
        <f>"鉄骨造"</f>
        <v>鉄骨造</v>
      </c>
      <c r="L7479" s="8" t="str">
        <f>"H06.03.30"</f>
        <v>H06.03.30</v>
      </c>
      <c r="M7479" s="8">
        <v>54.02</v>
      </c>
      <c r="N7479" s="8">
        <v>20295395</v>
      </c>
      <c r="O7479" s="8">
        <v>15416618</v>
      </c>
      <c r="P7479" s="8">
        <v>0</v>
      </c>
      <c r="Q7479" s="8" t="str">
        <f t="shared" si="2711"/>
        <v>公安委員会</v>
      </c>
      <c r="R7479" s="8" t="str">
        <f t="shared" si="2710"/>
        <v>天王寺警察署</v>
      </c>
    </row>
    <row r="7480" spans="1:18" x14ac:dyDescent="0.45">
      <c r="A7480" s="8" t="str">
        <f>"11538000240"</f>
        <v>11538000240</v>
      </c>
      <c r="B7480" s="8" t="str">
        <f>"勝山交番"</f>
        <v>勝山交番</v>
      </c>
      <c r="C7480" s="8" t="str">
        <f t="shared" si="2712"/>
        <v>行政財産</v>
      </c>
      <c r="D7480" s="8" t="str">
        <f t="shared" si="2697"/>
        <v>警察（消防）施設</v>
      </c>
      <c r="E7480" s="8" t="str">
        <f>"大阪府大阪市　天王寺区烏ケ辻２丁目"</f>
        <v>大阪府大阪市　天王寺区烏ケ辻２丁目</v>
      </c>
      <c r="F7480" s="8"/>
      <c r="G7480" s="8" t="str">
        <f t="shared" si="2704"/>
        <v>事業用資産</v>
      </c>
      <c r="H7480" s="8" t="str">
        <f t="shared" si="2699"/>
        <v>棚卸以外</v>
      </c>
      <c r="I7480" s="8">
        <v>2</v>
      </c>
      <c r="J7480" s="8" t="str">
        <f>"勝山交番"</f>
        <v>勝山交番</v>
      </c>
      <c r="K7480" s="8" t="str">
        <f>"鉄骨造"</f>
        <v>鉄骨造</v>
      </c>
      <c r="L7480" s="8" t="str">
        <f>"H16.11.02"</f>
        <v>H16.11.02</v>
      </c>
      <c r="M7480" s="8">
        <v>52</v>
      </c>
      <c r="N7480" s="8">
        <v>17563702</v>
      </c>
      <c r="O7480" s="8">
        <v>8439325</v>
      </c>
      <c r="P7480" s="8">
        <v>0</v>
      </c>
      <c r="Q7480" s="8" t="str">
        <f t="shared" si="2711"/>
        <v>公安委員会</v>
      </c>
      <c r="R7480" s="8" t="str">
        <f t="shared" si="2710"/>
        <v>天王寺警察署</v>
      </c>
    </row>
    <row r="7481" spans="1:18" x14ac:dyDescent="0.45">
      <c r="A7481" s="8" t="str">
        <f>"11538000300"</f>
        <v>11538000300</v>
      </c>
      <c r="B7481" s="8" t="str">
        <f>"上本町交番"</f>
        <v>上本町交番</v>
      </c>
      <c r="C7481" s="8" t="str">
        <f t="shared" si="2712"/>
        <v>行政財産</v>
      </c>
      <c r="D7481" s="8" t="str">
        <f t="shared" si="2697"/>
        <v>警察（消防）施設</v>
      </c>
      <c r="E7481" s="8" t="str">
        <f>"大阪府大阪市　天王寺区石ケ辻町"</f>
        <v>大阪府大阪市　天王寺区石ケ辻町</v>
      </c>
      <c r="F7481" s="8"/>
      <c r="G7481" s="8" t="str">
        <f t="shared" si="2704"/>
        <v>事業用資産</v>
      </c>
      <c r="H7481" s="8" t="str">
        <f t="shared" si="2699"/>
        <v>棚卸以外</v>
      </c>
      <c r="I7481" s="8">
        <v>1</v>
      </c>
      <c r="J7481" s="8" t="str">
        <f>"上本町交番"</f>
        <v>上本町交番</v>
      </c>
      <c r="K7481" s="8" t="str">
        <f>"鉄筋コンクリート造"</f>
        <v>鉄筋コンクリート造</v>
      </c>
      <c r="L7481" s="8" t="str">
        <f>"S45.03.31"</f>
        <v>S45.03.31</v>
      </c>
      <c r="M7481" s="8">
        <v>93.5</v>
      </c>
      <c r="N7481" s="8">
        <v>7002180</v>
      </c>
      <c r="O7481" s="8">
        <v>6122030</v>
      </c>
      <c r="P7481" s="8">
        <v>0</v>
      </c>
      <c r="Q7481" s="8" t="str">
        <f t="shared" si="2711"/>
        <v>公安委員会</v>
      </c>
      <c r="R7481" s="8" t="str">
        <f t="shared" si="2710"/>
        <v>天王寺警察署</v>
      </c>
    </row>
    <row r="7482" spans="1:18" x14ac:dyDescent="0.45">
      <c r="A7482" s="8" t="str">
        <f>"11538000310"</f>
        <v>11538000310</v>
      </c>
      <c r="B7482" s="8" t="str">
        <f>"生玉交番"</f>
        <v>生玉交番</v>
      </c>
      <c r="C7482" s="8" t="str">
        <f t="shared" si="2712"/>
        <v>行政財産</v>
      </c>
      <c r="D7482" s="8" t="str">
        <f t="shared" si="2697"/>
        <v>警察（消防）施設</v>
      </c>
      <c r="E7482" s="8" t="str">
        <f>"大阪府大阪市　天王寺区生玉町"</f>
        <v>大阪府大阪市　天王寺区生玉町</v>
      </c>
      <c r="F7482" s="8"/>
      <c r="G7482" s="8" t="str">
        <f t="shared" si="2704"/>
        <v>事業用資産</v>
      </c>
      <c r="H7482" s="8" t="str">
        <f t="shared" si="2699"/>
        <v>棚卸以外</v>
      </c>
      <c r="I7482" s="8">
        <v>1</v>
      </c>
      <c r="J7482" s="8" t="str">
        <f>"生玉交番"</f>
        <v>生玉交番</v>
      </c>
      <c r="K7482" s="8" t="str">
        <f>"鉄筋コンクリート造"</f>
        <v>鉄筋コンクリート造</v>
      </c>
      <c r="L7482" s="8" t="str">
        <f>"S62.03.10"</f>
        <v>S62.03.10</v>
      </c>
      <c r="M7482" s="8">
        <v>58.35</v>
      </c>
      <c r="N7482" s="8">
        <v>16460185</v>
      </c>
      <c r="O7482" s="8">
        <v>11765648</v>
      </c>
      <c r="P7482" s="8">
        <v>0</v>
      </c>
      <c r="Q7482" s="8" t="str">
        <f t="shared" si="2711"/>
        <v>公安委員会</v>
      </c>
      <c r="R7482" s="8" t="str">
        <f t="shared" si="2710"/>
        <v>天王寺警察署</v>
      </c>
    </row>
    <row r="7483" spans="1:18" x14ac:dyDescent="0.45">
      <c r="A7483" s="8" t="str">
        <f>"11538003003"</f>
        <v>11538003003</v>
      </c>
      <c r="B7483" s="8" t="str">
        <f>"四天王寺東交番"</f>
        <v>四天王寺東交番</v>
      </c>
      <c r="C7483" s="8" t="str">
        <f t="shared" si="2712"/>
        <v>行政財産</v>
      </c>
      <c r="D7483" s="8" t="str">
        <f t="shared" si="2697"/>
        <v>警察（消防）施設</v>
      </c>
      <c r="E7483" s="8" t="str">
        <f>"大阪府大阪市　天王寺区大道２丁目"</f>
        <v>大阪府大阪市　天王寺区大道２丁目</v>
      </c>
      <c r="F7483" s="8"/>
      <c r="G7483" s="8" t="str">
        <f t="shared" si="2704"/>
        <v>事業用資産</v>
      </c>
      <c r="H7483" s="8" t="str">
        <f t="shared" si="2699"/>
        <v>棚卸以外</v>
      </c>
      <c r="I7483" s="8">
        <v>1</v>
      </c>
      <c r="J7483" s="8" t="str">
        <f>"四天王寺東交番"</f>
        <v>四天王寺東交番</v>
      </c>
      <c r="K7483" s="8" t="str">
        <f>"軽量鉄骨造"</f>
        <v>軽量鉄骨造</v>
      </c>
      <c r="L7483" s="8" t="str">
        <f>"R03.03.10"</f>
        <v>R03.03.10</v>
      </c>
      <c r="M7483" s="8">
        <v>44.2</v>
      </c>
      <c r="N7483" s="8">
        <v>30025570</v>
      </c>
      <c r="O7483" s="8">
        <v>2348322</v>
      </c>
      <c r="P7483" s="8">
        <v>0</v>
      </c>
      <c r="Q7483" s="8" t="str">
        <f t="shared" si="2711"/>
        <v>公安委員会</v>
      </c>
      <c r="R7483" s="8" t="str">
        <f t="shared" si="2710"/>
        <v>天王寺警察署</v>
      </c>
    </row>
    <row r="7484" spans="1:18" ht="26.4" x14ac:dyDescent="0.45">
      <c r="A7484" s="8" t="str">
        <f>"11539000000"</f>
        <v>11539000000</v>
      </c>
      <c r="B7484" s="8" t="str">
        <f>"浪速警察署"</f>
        <v>浪速警察署</v>
      </c>
      <c r="C7484" s="8" t="str">
        <f t="shared" si="2712"/>
        <v>行政財産</v>
      </c>
      <c r="D7484" s="8" t="str">
        <f t="shared" ref="D7484:D7547" si="2713">"警察（消防）施設"</f>
        <v>警察（消防）施設</v>
      </c>
      <c r="E7484" s="8" t="str">
        <f>"大阪府大阪市　浪速区日本橋５丁目"</f>
        <v>大阪府大阪市　浪速区日本橋５丁目</v>
      </c>
      <c r="F7484" s="8"/>
      <c r="G7484" s="8" t="str">
        <f t="shared" si="2704"/>
        <v>事業用資産</v>
      </c>
      <c r="H7484" s="8" t="str">
        <f t="shared" si="2699"/>
        <v>棚卸以外</v>
      </c>
      <c r="I7484" s="8">
        <v>51</v>
      </c>
      <c r="J7484" s="8" t="str">
        <f>"庁舎"</f>
        <v>庁舎</v>
      </c>
      <c r="K7484" s="8" t="str">
        <f>"鉄骨鉄筋コンクリート造"</f>
        <v>鉄骨鉄筋コンクリート造</v>
      </c>
      <c r="L7484" s="8" t="str">
        <f>"H11.05.31"</f>
        <v>H11.05.31</v>
      </c>
      <c r="M7484" s="8">
        <v>6150.97</v>
      </c>
      <c r="N7484" s="8">
        <v>2509593011</v>
      </c>
      <c r="O7484" s="8">
        <v>1195430909</v>
      </c>
      <c r="P7484" s="8">
        <v>0</v>
      </c>
      <c r="Q7484" s="8" t="str">
        <f t="shared" si="2711"/>
        <v>公安委員会</v>
      </c>
      <c r="R7484" s="8" t="str">
        <f t="shared" ref="R7484:R7498" si="2714">"浪速警察署"</f>
        <v>浪速警察署</v>
      </c>
    </row>
    <row r="7485" spans="1:18" x14ac:dyDescent="0.45">
      <c r="A7485" s="8" t="str">
        <f>"11539000000"</f>
        <v>11539000000</v>
      </c>
      <c r="B7485" s="8" t="str">
        <f>"浪速警察署"</f>
        <v>浪速警察署</v>
      </c>
      <c r="C7485" s="8" t="str">
        <f t="shared" si="2712"/>
        <v>行政財産</v>
      </c>
      <c r="D7485" s="8" t="str">
        <f t="shared" si="2713"/>
        <v>警察（消防）施設</v>
      </c>
      <c r="E7485" s="8" t="str">
        <f>"大阪府大阪市　浪速区日本橋５丁目"</f>
        <v>大阪府大阪市　浪速区日本橋５丁目</v>
      </c>
      <c r="F7485" s="8"/>
      <c r="G7485" s="8" t="str">
        <f t="shared" si="2704"/>
        <v>事業用資産</v>
      </c>
      <c r="H7485" s="8" t="str">
        <f t="shared" si="2699"/>
        <v>棚卸以外</v>
      </c>
      <c r="I7485" s="8">
        <v>52</v>
      </c>
      <c r="J7485" s="8" t="str">
        <f>"ゴミ置場・油庫棟"</f>
        <v>ゴミ置場・油庫棟</v>
      </c>
      <c r="K7485" s="8" t="str">
        <f>"鉄筋コンクリート造"</f>
        <v>鉄筋コンクリート造</v>
      </c>
      <c r="L7485" s="8" t="str">
        <f>"H11.05.31"</f>
        <v>H11.05.31</v>
      </c>
      <c r="M7485" s="8">
        <v>21.6</v>
      </c>
      <c r="N7485" s="8">
        <v>7677000</v>
      </c>
      <c r="O7485" s="8">
        <v>4815096</v>
      </c>
      <c r="P7485" s="8">
        <v>0</v>
      </c>
      <c r="Q7485" s="8" t="str">
        <f t="shared" si="2711"/>
        <v>公安委員会</v>
      </c>
      <c r="R7485" s="8" t="str">
        <f t="shared" si="2714"/>
        <v>浪速警察署</v>
      </c>
    </row>
    <row r="7486" spans="1:18" x14ac:dyDescent="0.45">
      <c r="A7486" s="8" t="str">
        <f>"11539000100"</f>
        <v>11539000100</v>
      </c>
      <c r="B7486" s="8" t="str">
        <f>"日本橋４丁目交通警察官詰所"</f>
        <v>日本橋４丁目交通警察官詰所</v>
      </c>
      <c r="C7486" s="8" t="str">
        <f t="shared" si="2712"/>
        <v>行政財産</v>
      </c>
      <c r="D7486" s="8" t="str">
        <f t="shared" si="2713"/>
        <v>警察（消防）施設</v>
      </c>
      <c r="E7486" s="8" t="str">
        <f>"大阪府大阪市　浪速区日本橋４丁目"</f>
        <v>大阪府大阪市　浪速区日本橋４丁目</v>
      </c>
      <c r="F7486" s="8"/>
      <c r="G7486" s="8" t="str">
        <f t="shared" si="2704"/>
        <v>事業用資産</v>
      </c>
      <c r="H7486" s="8" t="str">
        <f t="shared" si="2699"/>
        <v>棚卸以外</v>
      </c>
      <c r="I7486" s="8">
        <v>1</v>
      </c>
      <c r="J7486" s="8" t="str">
        <f>"日本橋４丁目交通警察官詰所"</f>
        <v>日本橋４丁目交通警察官詰所</v>
      </c>
      <c r="K7486" s="8" t="str">
        <f>"鉄筋コンクリート造"</f>
        <v>鉄筋コンクリート造</v>
      </c>
      <c r="L7486" s="8" t="str">
        <f>"S40.01.20"</f>
        <v>S40.01.20</v>
      </c>
      <c r="M7486" s="8">
        <v>29.81</v>
      </c>
      <c r="N7486" s="8">
        <v>1200000</v>
      </c>
      <c r="O7486" s="8">
        <v>1199999</v>
      </c>
      <c r="P7486" s="8">
        <v>0</v>
      </c>
      <c r="Q7486" s="8" t="str">
        <f t="shared" si="2711"/>
        <v>公安委員会</v>
      </c>
      <c r="R7486" s="8" t="str">
        <f t="shared" si="2714"/>
        <v>浪速警察署</v>
      </c>
    </row>
    <row r="7487" spans="1:18" x14ac:dyDescent="0.45">
      <c r="A7487" s="8" t="str">
        <f>"11539000120"</f>
        <v>11539000120</v>
      </c>
      <c r="B7487" s="8" t="str">
        <f>"通天閣下警ら連絡所"</f>
        <v>通天閣下警ら連絡所</v>
      </c>
      <c r="C7487" s="8" t="str">
        <f t="shared" si="2712"/>
        <v>行政財産</v>
      </c>
      <c r="D7487" s="8" t="str">
        <f t="shared" si="2713"/>
        <v>警察（消防）施設</v>
      </c>
      <c r="E7487" s="8" t="str">
        <f>"大阪府大阪市　浪速区恵美須東１丁目"</f>
        <v>大阪府大阪市　浪速区恵美須東１丁目</v>
      </c>
      <c r="F7487" s="8"/>
      <c r="G7487" s="8" t="str">
        <f t="shared" si="2704"/>
        <v>事業用資産</v>
      </c>
      <c r="H7487" s="8" t="str">
        <f t="shared" si="2699"/>
        <v>棚卸以外</v>
      </c>
      <c r="I7487" s="8">
        <v>1</v>
      </c>
      <c r="J7487" s="8" t="str">
        <f>"通天閣下警ら連絡所"</f>
        <v>通天閣下警ら連絡所</v>
      </c>
      <c r="K7487" s="8" t="str">
        <f>"鉄筋コンクリート造"</f>
        <v>鉄筋コンクリート造</v>
      </c>
      <c r="L7487" s="8" t="str">
        <f>"S36.05.01"</f>
        <v>S36.05.01</v>
      </c>
      <c r="M7487" s="8">
        <v>37.35</v>
      </c>
      <c r="N7487" s="8">
        <v>1221960</v>
      </c>
      <c r="O7487" s="8">
        <v>928259</v>
      </c>
      <c r="P7487" s="8">
        <v>0</v>
      </c>
      <c r="Q7487" s="8" t="str">
        <f t="shared" si="2711"/>
        <v>公安委員会</v>
      </c>
      <c r="R7487" s="8" t="str">
        <f t="shared" si="2714"/>
        <v>浪速警察署</v>
      </c>
    </row>
    <row r="7488" spans="1:18" x14ac:dyDescent="0.45">
      <c r="A7488" s="8" t="str">
        <f>"11539000140"</f>
        <v>11539000140</v>
      </c>
      <c r="B7488" s="8" t="str">
        <f>"日本橋東交番"</f>
        <v>日本橋東交番</v>
      </c>
      <c r="C7488" s="8" t="str">
        <f t="shared" si="2712"/>
        <v>行政財産</v>
      </c>
      <c r="D7488" s="8" t="str">
        <f t="shared" si="2713"/>
        <v>警察（消防）施設</v>
      </c>
      <c r="E7488" s="8" t="str">
        <f>"大阪府大阪市　浪速区日本橋東３丁目"</f>
        <v>大阪府大阪市　浪速区日本橋東３丁目</v>
      </c>
      <c r="F7488" s="8"/>
      <c r="G7488" s="8" t="str">
        <f t="shared" si="2704"/>
        <v>事業用資産</v>
      </c>
      <c r="H7488" s="8" t="str">
        <f t="shared" si="2699"/>
        <v>棚卸以外</v>
      </c>
      <c r="I7488" s="8">
        <v>2</v>
      </c>
      <c r="J7488" s="8" t="str">
        <f>"日本橋東交番"</f>
        <v>日本橋東交番</v>
      </c>
      <c r="K7488" s="8" t="str">
        <f>"鉄骨造"</f>
        <v>鉄骨造</v>
      </c>
      <c r="L7488" s="8" t="str">
        <f>"S50.03.31"</f>
        <v>S50.03.31</v>
      </c>
      <c r="M7488" s="8">
        <v>48</v>
      </c>
      <c r="N7488" s="8">
        <v>7412849</v>
      </c>
      <c r="O7488" s="8">
        <v>7336107</v>
      </c>
      <c r="P7488" s="8">
        <v>0</v>
      </c>
      <c r="Q7488" s="8" t="str">
        <f t="shared" si="2711"/>
        <v>公安委員会</v>
      </c>
      <c r="R7488" s="8" t="str">
        <f t="shared" si="2714"/>
        <v>浪速警察署</v>
      </c>
    </row>
    <row r="7489" spans="1:18" x14ac:dyDescent="0.45">
      <c r="A7489" s="8" t="str">
        <f>"11539000150"</f>
        <v>11539000150</v>
      </c>
      <c r="B7489" s="8" t="str">
        <f>"浪速町交番"</f>
        <v>浪速町交番</v>
      </c>
      <c r="C7489" s="8" t="str">
        <f t="shared" si="2712"/>
        <v>行政財産</v>
      </c>
      <c r="D7489" s="8" t="str">
        <f t="shared" si="2713"/>
        <v>警察（消防）施設</v>
      </c>
      <c r="E7489" s="8" t="str">
        <f>"大阪府大阪市　浪速区浪速東３丁目"</f>
        <v>大阪府大阪市　浪速区浪速東３丁目</v>
      </c>
      <c r="F7489" s="8"/>
      <c r="G7489" s="8" t="str">
        <f t="shared" si="2704"/>
        <v>事業用資産</v>
      </c>
      <c r="H7489" s="8" t="str">
        <f t="shared" si="2699"/>
        <v>棚卸以外</v>
      </c>
      <c r="I7489" s="8">
        <v>2</v>
      </c>
      <c r="J7489" s="8" t="str">
        <f>"浪速町交番"</f>
        <v>浪速町交番</v>
      </c>
      <c r="K7489" s="8" t="str">
        <f>"鉄筋コンクリート造"</f>
        <v>鉄筋コンクリート造</v>
      </c>
      <c r="L7489" s="8" t="str">
        <f>"S48.03.31"</f>
        <v>S48.03.31</v>
      </c>
      <c r="M7489" s="8">
        <v>37.19</v>
      </c>
      <c r="N7489" s="8">
        <v>3280114</v>
      </c>
      <c r="O7489" s="8">
        <v>3202156</v>
      </c>
      <c r="P7489" s="8">
        <v>0</v>
      </c>
      <c r="Q7489" s="8" t="str">
        <f t="shared" si="2711"/>
        <v>公安委員会</v>
      </c>
      <c r="R7489" s="8" t="str">
        <f t="shared" si="2714"/>
        <v>浪速警察署</v>
      </c>
    </row>
    <row r="7490" spans="1:18" x14ac:dyDescent="0.45">
      <c r="A7490" s="8" t="str">
        <f>"11539000200"</f>
        <v>11539000200</v>
      </c>
      <c r="B7490" s="8" t="str">
        <f>"芦原橋交通警察官詰所"</f>
        <v>芦原橋交通警察官詰所</v>
      </c>
      <c r="C7490" s="8" t="str">
        <f t="shared" si="2712"/>
        <v>行政財産</v>
      </c>
      <c r="D7490" s="8" t="str">
        <f t="shared" si="2713"/>
        <v>警察（消防）施設</v>
      </c>
      <c r="E7490" s="8" t="str">
        <f>"大阪府大阪市　浪速区芦原１丁目"</f>
        <v>大阪府大阪市　浪速区芦原１丁目</v>
      </c>
      <c r="F7490" s="8"/>
      <c r="G7490" s="8" t="str">
        <f t="shared" si="2704"/>
        <v>事業用資産</v>
      </c>
      <c r="H7490" s="8" t="str">
        <f t="shared" si="2699"/>
        <v>棚卸以外</v>
      </c>
      <c r="I7490" s="8">
        <v>1</v>
      </c>
      <c r="J7490" s="8" t="str">
        <f>"芦原橋交通警察官詰所"</f>
        <v>芦原橋交通警察官詰所</v>
      </c>
      <c r="K7490" s="8" t="str">
        <f>"鉄筋コンクリート造"</f>
        <v>鉄筋コンクリート造</v>
      </c>
      <c r="L7490" s="8" t="str">
        <f>"S37.02.27"</f>
        <v>S37.02.27</v>
      </c>
      <c r="M7490" s="8">
        <v>32.39</v>
      </c>
      <c r="N7490" s="8">
        <v>1328000</v>
      </c>
      <c r="O7490" s="8">
        <v>1327999</v>
      </c>
      <c r="P7490" s="8">
        <v>0</v>
      </c>
      <c r="Q7490" s="8" t="str">
        <f t="shared" si="2711"/>
        <v>公安委員会</v>
      </c>
      <c r="R7490" s="8" t="str">
        <f t="shared" si="2714"/>
        <v>浪速警察署</v>
      </c>
    </row>
    <row r="7491" spans="1:18" x14ac:dyDescent="0.45">
      <c r="A7491" s="8" t="str">
        <f>"11539000210"</f>
        <v>11539000210</v>
      </c>
      <c r="B7491" s="8" t="str">
        <f>"恵美須交番"</f>
        <v>恵美須交番</v>
      </c>
      <c r="C7491" s="8" t="str">
        <f t="shared" si="2712"/>
        <v>行政財産</v>
      </c>
      <c r="D7491" s="8" t="str">
        <f t="shared" si="2713"/>
        <v>警察（消防）施設</v>
      </c>
      <c r="E7491" s="8" t="str">
        <f>"大阪府大阪市　浪速区恵美須西３丁目"</f>
        <v>大阪府大阪市　浪速区恵美須西３丁目</v>
      </c>
      <c r="F7491" s="8"/>
      <c r="G7491" s="8" t="str">
        <f t="shared" si="2704"/>
        <v>事業用資産</v>
      </c>
      <c r="H7491" s="8" t="str">
        <f t="shared" si="2699"/>
        <v>棚卸以外</v>
      </c>
      <c r="I7491" s="8">
        <v>2</v>
      </c>
      <c r="J7491" s="8" t="str">
        <f>"恵美須交番"</f>
        <v>恵美須交番</v>
      </c>
      <c r="K7491" s="8" t="str">
        <f>"軽量鉄骨造"</f>
        <v>軽量鉄骨造</v>
      </c>
      <c r="L7491" s="8" t="str">
        <f>"H26.03.12"</f>
        <v>H26.03.12</v>
      </c>
      <c r="M7491" s="8">
        <v>48.42</v>
      </c>
      <c r="N7491" s="8">
        <v>16942198</v>
      </c>
      <c r="O7491" s="8">
        <v>5821698</v>
      </c>
      <c r="P7491" s="8">
        <v>0</v>
      </c>
      <c r="Q7491" s="8" t="str">
        <f t="shared" si="2711"/>
        <v>公安委員会</v>
      </c>
      <c r="R7491" s="8" t="str">
        <f t="shared" si="2714"/>
        <v>浪速警察署</v>
      </c>
    </row>
    <row r="7492" spans="1:18" x14ac:dyDescent="0.45">
      <c r="A7492" s="8" t="str">
        <f>"11539000210"</f>
        <v>11539000210</v>
      </c>
      <c r="B7492" s="8" t="str">
        <f>"恵美須交番"</f>
        <v>恵美須交番</v>
      </c>
      <c r="C7492" s="8" t="str">
        <f t="shared" si="2712"/>
        <v>行政財産</v>
      </c>
      <c r="D7492" s="8" t="str">
        <f t="shared" si="2713"/>
        <v>警察（消防）施設</v>
      </c>
      <c r="E7492" s="8" t="str">
        <f>"大阪府大阪市　浪速区恵美須西３丁目"</f>
        <v>大阪府大阪市　浪速区恵美須西３丁目</v>
      </c>
      <c r="F7492" s="8"/>
      <c r="G7492" s="8" t="str">
        <f t="shared" si="2704"/>
        <v>事業用資産</v>
      </c>
      <c r="H7492" s="8" t="str">
        <f t="shared" ref="H7492:H7555" si="2715">"棚卸以外"</f>
        <v>棚卸以外</v>
      </c>
      <c r="I7492" s="8">
        <v>3</v>
      </c>
      <c r="J7492" s="8" t="str">
        <f>"倉庫"</f>
        <v>倉庫</v>
      </c>
      <c r="K7492" s="8" t="str">
        <f>"軽量鉄骨造"</f>
        <v>軽量鉄骨造</v>
      </c>
      <c r="L7492" s="8" t="str">
        <f>"H26.03.12"</f>
        <v>H26.03.12</v>
      </c>
      <c r="M7492" s="8">
        <v>1.36</v>
      </c>
      <c r="N7492" s="8">
        <v>721015</v>
      </c>
      <c r="O7492" s="8">
        <v>270432</v>
      </c>
      <c r="P7492" s="8">
        <v>0</v>
      </c>
      <c r="Q7492" s="8" t="str">
        <f t="shared" si="2711"/>
        <v>公安委員会</v>
      </c>
      <c r="R7492" s="8" t="str">
        <f t="shared" si="2714"/>
        <v>浪速警察署</v>
      </c>
    </row>
    <row r="7493" spans="1:18" x14ac:dyDescent="0.45">
      <c r="A7493" s="8" t="str">
        <f>"11539000220"</f>
        <v>11539000220</v>
      </c>
      <c r="B7493" s="8" t="str">
        <f>"新世界交番"</f>
        <v>新世界交番</v>
      </c>
      <c r="C7493" s="8" t="str">
        <f t="shared" si="2712"/>
        <v>行政財産</v>
      </c>
      <c r="D7493" s="8" t="str">
        <f t="shared" si="2713"/>
        <v>警察（消防）施設</v>
      </c>
      <c r="E7493" s="8" t="str">
        <f>"大阪府大阪市　浪速区恵美須東３丁目"</f>
        <v>大阪府大阪市　浪速区恵美須東３丁目</v>
      </c>
      <c r="F7493" s="8"/>
      <c r="G7493" s="8" t="str">
        <f t="shared" si="2704"/>
        <v>事業用資産</v>
      </c>
      <c r="H7493" s="8" t="str">
        <f t="shared" si="2715"/>
        <v>棚卸以外</v>
      </c>
      <c r="I7493" s="8">
        <v>2</v>
      </c>
      <c r="J7493" s="8" t="str">
        <f>"新世界交番"</f>
        <v>新世界交番</v>
      </c>
      <c r="K7493" s="8" t="str">
        <f>"鉄筋コンクリート造"</f>
        <v>鉄筋コンクリート造</v>
      </c>
      <c r="L7493" s="8" t="str">
        <f>"H09.03.31"</f>
        <v>H09.03.31</v>
      </c>
      <c r="M7493" s="8">
        <v>129.93</v>
      </c>
      <c r="N7493" s="8">
        <v>33183611</v>
      </c>
      <c r="O7493" s="8">
        <v>17244238</v>
      </c>
      <c r="P7493" s="8">
        <v>0</v>
      </c>
      <c r="Q7493" s="8" t="str">
        <f t="shared" si="2711"/>
        <v>公安委員会</v>
      </c>
      <c r="R7493" s="8" t="str">
        <f t="shared" si="2714"/>
        <v>浪速警察署</v>
      </c>
    </row>
    <row r="7494" spans="1:18" x14ac:dyDescent="0.45">
      <c r="A7494" s="8" t="str">
        <f>"11539000220"</f>
        <v>11539000220</v>
      </c>
      <c r="B7494" s="8" t="str">
        <f>"新世界交番"</f>
        <v>新世界交番</v>
      </c>
      <c r="C7494" s="8" t="str">
        <f t="shared" si="2712"/>
        <v>行政財産</v>
      </c>
      <c r="D7494" s="8" t="str">
        <f t="shared" si="2713"/>
        <v>警察（消防）施設</v>
      </c>
      <c r="E7494" s="8" t="str">
        <f>"大阪府大阪市　浪速区恵美須東３丁目"</f>
        <v>大阪府大阪市　浪速区恵美須東３丁目</v>
      </c>
      <c r="F7494" s="8"/>
      <c r="G7494" s="8" t="str">
        <f t="shared" si="2704"/>
        <v>事業用資産</v>
      </c>
      <c r="H7494" s="8" t="str">
        <f t="shared" si="2715"/>
        <v>棚卸以外</v>
      </c>
      <c r="I7494" s="8">
        <v>3</v>
      </c>
      <c r="J7494" s="8" t="str">
        <f>"自転車置場"</f>
        <v>自転車置場</v>
      </c>
      <c r="K7494" s="8" t="str">
        <f>"鉄骨造"</f>
        <v>鉄骨造</v>
      </c>
      <c r="L7494" s="8" t="str">
        <f>"H09.03.31"</f>
        <v>H09.03.31</v>
      </c>
      <c r="M7494" s="8">
        <v>9.84</v>
      </c>
      <c r="N7494" s="8">
        <v>1867000</v>
      </c>
      <c r="O7494" s="8">
        <v>1565928</v>
      </c>
      <c r="P7494" s="8">
        <v>0</v>
      </c>
      <c r="Q7494" s="8" t="str">
        <f t="shared" si="2711"/>
        <v>公安委員会</v>
      </c>
      <c r="R7494" s="8" t="str">
        <f t="shared" si="2714"/>
        <v>浪速警察署</v>
      </c>
    </row>
    <row r="7495" spans="1:18" x14ac:dyDescent="0.45">
      <c r="A7495" s="8" t="str">
        <f>"11539000240"</f>
        <v>11539000240</v>
      </c>
      <c r="B7495" s="8" t="str">
        <f>"桜川交番"</f>
        <v>桜川交番</v>
      </c>
      <c r="C7495" s="8" t="str">
        <f t="shared" si="2712"/>
        <v>行政財産</v>
      </c>
      <c r="D7495" s="8" t="str">
        <f t="shared" si="2713"/>
        <v>警察（消防）施設</v>
      </c>
      <c r="E7495" s="8" t="str">
        <f>"大阪府大阪市　浪速区桜川３丁目"</f>
        <v>大阪府大阪市　浪速区桜川３丁目</v>
      </c>
      <c r="F7495" s="8"/>
      <c r="G7495" s="8" t="str">
        <f t="shared" si="2704"/>
        <v>事業用資産</v>
      </c>
      <c r="H7495" s="8" t="str">
        <f t="shared" si="2715"/>
        <v>棚卸以外</v>
      </c>
      <c r="I7495" s="8">
        <v>1</v>
      </c>
      <c r="J7495" s="8" t="str">
        <f>"桜川交番"</f>
        <v>桜川交番</v>
      </c>
      <c r="K7495" s="8" t="str">
        <f>"鉄筋コンクリート造"</f>
        <v>鉄筋コンクリート造</v>
      </c>
      <c r="L7495" s="8" t="str">
        <f>"S45.12.01"</f>
        <v>S45.12.01</v>
      </c>
      <c r="M7495" s="8">
        <v>72.760000000000005</v>
      </c>
      <c r="N7495" s="8">
        <v>4649055</v>
      </c>
      <c r="O7495" s="8">
        <v>4577089</v>
      </c>
      <c r="P7495" s="8">
        <v>0</v>
      </c>
      <c r="Q7495" s="8" t="str">
        <f t="shared" si="2711"/>
        <v>公安委員会</v>
      </c>
      <c r="R7495" s="8" t="str">
        <f t="shared" si="2714"/>
        <v>浪速警察署</v>
      </c>
    </row>
    <row r="7496" spans="1:18" ht="26.4" x14ac:dyDescent="0.45">
      <c r="A7496" s="8" t="str">
        <f>"11539000250"</f>
        <v>11539000250</v>
      </c>
      <c r="B7496" s="8" t="str">
        <f>"体育会館前交番"</f>
        <v>体育会館前交番</v>
      </c>
      <c r="C7496" s="8" t="str">
        <f t="shared" si="2712"/>
        <v>行政財産</v>
      </c>
      <c r="D7496" s="8" t="str">
        <f t="shared" si="2713"/>
        <v>警察（消防）施設</v>
      </c>
      <c r="E7496" s="8" t="str">
        <f>"大阪府大阪市　浪速区難波中３丁目"</f>
        <v>大阪府大阪市　浪速区難波中３丁目</v>
      </c>
      <c r="F7496" s="8"/>
      <c r="G7496" s="8" t="str">
        <f t="shared" si="2704"/>
        <v>事業用資産</v>
      </c>
      <c r="H7496" s="8" t="str">
        <f t="shared" si="2715"/>
        <v>棚卸以外</v>
      </c>
      <c r="I7496" s="8">
        <v>1</v>
      </c>
      <c r="J7496" s="8" t="str">
        <f>"体育会館前交番"</f>
        <v>体育会館前交番</v>
      </c>
      <c r="K7496" s="8" t="str">
        <f>"鉄骨鉄筋コンクリート造"</f>
        <v>鉄骨鉄筋コンクリート造</v>
      </c>
      <c r="L7496" s="8" t="str">
        <f>"S62.01.31"</f>
        <v>S62.01.31</v>
      </c>
      <c r="M7496" s="8">
        <v>112.1</v>
      </c>
      <c r="N7496" s="8">
        <v>46683772</v>
      </c>
      <c r="O7496" s="8">
        <v>33758666</v>
      </c>
      <c r="P7496" s="8">
        <v>0</v>
      </c>
      <c r="Q7496" s="8" t="str">
        <f t="shared" si="2711"/>
        <v>公安委員会</v>
      </c>
      <c r="R7496" s="8" t="str">
        <f t="shared" si="2714"/>
        <v>浪速警察署</v>
      </c>
    </row>
    <row r="7497" spans="1:18" x14ac:dyDescent="0.45">
      <c r="A7497" s="8" t="str">
        <f>"11539000260"</f>
        <v>11539000260</v>
      </c>
      <c r="B7497" s="8" t="str">
        <f>"大国町交通警察官詰所"</f>
        <v>大国町交通警察官詰所</v>
      </c>
      <c r="C7497" s="8" t="str">
        <f t="shared" si="2712"/>
        <v>行政財産</v>
      </c>
      <c r="D7497" s="8" t="str">
        <f t="shared" si="2713"/>
        <v>警察（消防）施設</v>
      </c>
      <c r="E7497" s="8" t="str">
        <f>"大阪府大阪市　浪速区敷津東３丁目"</f>
        <v>大阪府大阪市　浪速区敷津東３丁目</v>
      </c>
      <c r="F7497" s="8"/>
      <c r="G7497" s="8" t="str">
        <f t="shared" si="2704"/>
        <v>事業用資産</v>
      </c>
      <c r="H7497" s="8" t="str">
        <f t="shared" si="2715"/>
        <v>棚卸以外</v>
      </c>
      <c r="I7497" s="8">
        <v>1</v>
      </c>
      <c r="J7497" s="8" t="str">
        <f>"大国町交通警察官詰所"</f>
        <v>大国町交通警察官詰所</v>
      </c>
      <c r="K7497" s="8" t="str">
        <f>"鉄筋コンクリート造"</f>
        <v>鉄筋コンクリート造</v>
      </c>
      <c r="L7497" s="8" t="str">
        <f>"S63.08.19"</f>
        <v>S63.08.19</v>
      </c>
      <c r="M7497" s="8">
        <v>46.8</v>
      </c>
      <c r="N7497" s="8">
        <v>11442000</v>
      </c>
      <c r="O7497" s="8">
        <v>7914050</v>
      </c>
      <c r="P7497" s="8">
        <v>0</v>
      </c>
      <c r="Q7497" s="8" t="str">
        <f t="shared" si="2711"/>
        <v>公安委員会</v>
      </c>
      <c r="R7497" s="8" t="str">
        <f t="shared" si="2714"/>
        <v>浪速警察署</v>
      </c>
    </row>
    <row r="7498" spans="1:18" x14ac:dyDescent="0.45">
      <c r="A7498" s="8" t="str">
        <f>"11539000270"</f>
        <v>11539000270</v>
      </c>
      <c r="B7498" s="8" t="str">
        <f>"大国交番"</f>
        <v>大国交番</v>
      </c>
      <c r="C7498" s="8" t="str">
        <f t="shared" si="2712"/>
        <v>行政財産</v>
      </c>
      <c r="D7498" s="8" t="str">
        <f t="shared" si="2713"/>
        <v>警察（消防）施設</v>
      </c>
      <c r="E7498" s="8" t="str">
        <f>"大阪府大阪市　浪速区大国３丁目"</f>
        <v>大阪府大阪市　浪速区大国３丁目</v>
      </c>
      <c r="F7498" s="8"/>
      <c r="G7498" s="8" t="str">
        <f t="shared" si="2704"/>
        <v>事業用資産</v>
      </c>
      <c r="H7498" s="8" t="str">
        <f t="shared" si="2715"/>
        <v>棚卸以外</v>
      </c>
      <c r="I7498" s="8">
        <v>1</v>
      </c>
      <c r="J7498" s="8" t="str">
        <f>"大国交番"</f>
        <v>大国交番</v>
      </c>
      <c r="K7498" s="8" t="str">
        <f>"鉄筋コンクリート造"</f>
        <v>鉄筋コンクリート造</v>
      </c>
      <c r="L7498" s="8" t="str">
        <f>"H04.02.28"</f>
        <v>H04.02.28</v>
      </c>
      <c r="M7498" s="8">
        <v>55.73</v>
      </c>
      <c r="N7498" s="8">
        <v>22159824</v>
      </c>
      <c r="O7498" s="8">
        <v>13731254</v>
      </c>
      <c r="P7498" s="8">
        <v>0</v>
      </c>
      <c r="Q7498" s="8" t="str">
        <f t="shared" si="2711"/>
        <v>公安委員会</v>
      </c>
      <c r="R7498" s="8" t="str">
        <f t="shared" si="2714"/>
        <v>浪速警察署</v>
      </c>
    </row>
    <row r="7499" spans="1:18" x14ac:dyDescent="0.45">
      <c r="A7499" s="8" t="str">
        <f>"11540000000"</f>
        <v>11540000000</v>
      </c>
      <c r="B7499" s="8" t="str">
        <f>"東成警察署"</f>
        <v>東成警察署</v>
      </c>
      <c r="C7499" s="8" t="str">
        <f t="shared" si="2712"/>
        <v>行政財産</v>
      </c>
      <c r="D7499" s="8" t="str">
        <f t="shared" si="2713"/>
        <v>警察（消防）施設</v>
      </c>
      <c r="E7499" s="8" t="str">
        <f>"大阪府大阪市　東成区大今里西１丁目"</f>
        <v>大阪府大阪市　東成区大今里西１丁目</v>
      </c>
      <c r="F7499" s="8"/>
      <c r="G7499" s="8" t="str">
        <f t="shared" si="2704"/>
        <v>事業用資産</v>
      </c>
      <c r="H7499" s="8" t="str">
        <f t="shared" si="2715"/>
        <v>棚卸以外</v>
      </c>
      <c r="I7499" s="8">
        <v>24</v>
      </c>
      <c r="J7499" s="8" t="str">
        <f>"庁舎"</f>
        <v>庁舎</v>
      </c>
      <c r="K7499" s="8" t="str">
        <f>"鉄筋コンクリート造"</f>
        <v>鉄筋コンクリート造</v>
      </c>
      <c r="L7499" s="8" t="str">
        <f>"H04.03.30"</f>
        <v>H04.03.30</v>
      </c>
      <c r="M7499" s="8">
        <v>3033.33</v>
      </c>
      <c r="N7499" s="8">
        <v>1073140591</v>
      </c>
      <c r="O7499" s="8">
        <v>653820956</v>
      </c>
      <c r="P7499" s="8">
        <v>0</v>
      </c>
      <c r="Q7499" s="8" t="str">
        <f t="shared" si="2711"/>
        <v>公安委員会</v>
      </c>
      <c r="R7499" s="8" t="str">
        <f t="shared" ref="R7499:R7509" si="2716">"東成警察署"</f>
        <v>東成警察署</v>
      </c>
    </row>
    <row r="7500" spans="1:18" x14ac:dyDescent="0.45">
      <c r="A7500" s="8" t="str">
        <f>"11540000000"</f>
        <v>11540000000</v>
      </c>
      <c r="B7500" s="8" t="str">
        <f>"東成警察署"</f>
        <v>東成警察署</v>
      </c>
      <c r="C7500" s="8" t="str">
        <f t="shared" si="2712"/>
        <v>行政財産</v>
      </c>
      <c r="D7500" s="8" t="str">
        <f t="shared" si="2713"/>
        <v>警察（消防）施設</v>
      </c>
      <c r="E7500" s="8" t="str">
        <f>"大阪府大阪市　東成区大今里西１丁目"</f>
        <v>大阪府大阪市　東成区大今里西１丁目</v>
      </c>
      <c r="F7500" s="8"/>
      <c r="G7500" s="8" t="str">
        <f t="shared" si="2704"/>
        <v>事業用資産</v>
      </c>
      <c r="H7500" s="8" t="str">
        <f t="shared" si="2715"/>
        <v>棚卸以外</v>
      </c>
      <c r="I7500" s="8">
        <v>25</v>
      </c>
      <c r="J7500" s="8" t="str">
        <f>"附属棟"</f>
        <v>附属棟</v>
      </c>
      <c r="K7500" s="8" t="str">
        <f>"鉄骨造"</f>
        <v>鉄骨造</v>
      </c>
      <c r="L7500" s="8" t="str">
        <f>"H04.03.30"</f>
        <v>H04.03.30</v>
      </c>
      <c r="M7500" s="8">
        <v>498.75</v>
      </c>
      <c r="N7500" s="8">
        <v>65020290</v>
      </c>
      <c r="O7500" s="8">
        <v>52600242</v>
      </c>
      <c r="P7500" s="8">
        <v>0</v>
      </c>
      <c r="Q7500" s="8" t="str">
        <f t="shared" si="2711"/>
        <v>公安委員会</v>
      </c>
      <c r="R7500" s="8" t="str">
        <f t="shared" si="2716"/>
        <v>東成警察署</v>
      </c>
    </row>
    <row r="7501" spans="1:18" x14ac:dyDescent="0.45">
      <c r="A7501" s="8" t="str">
        <f>"11540000000"</f>
        <v>11540000000</v>
      </c>
      <c r="B7501" s="8" t="str">
        <f>"東成警察署"</f>
        <v>東成警察署</v>
      </c>
      <c r="C7501" s="8" t="str">
        <f t="shared" si="2712"/>
        <v>行政財産</v>
      </c>
      <c r="D7501" s="8" t="str">
        <f t="shared" si="2713"/>
        <v>警察（消防）施設</v>
      </c>
      <c r="E7501" s="8" t="str">
        <f>"大阪府大阪市　東成区大今里西１丁目"</f>
        <v>大阪府大阪市　東成区大今里西１丁目</v>
      </c>
      <c r="F7501" s="8"/>
      <c r="G7501" s="8" t="str">
        <f t="shared" si="2704"/>
        <v>事業用資産</v>
      </c>
      <c r="H7501" s="8" t="str">
        <f t="shared" si="2715"/>
        <v>棚卸以外</v>
      </c>
      <c r="I7501" s="8">
        <v>26</v>
      </c>
      <c r="J7501" s="8" t="str">
        <f>"ゴミ集積場"</f>
        <v>ゴミ集積場</v>
      </c>
      <c r="K7501" s="8" t="str">
        <f>"鉄筋コンクリート造"</f>
        <v>鉄筋コンクリート造</v>
      </c>
      <c r="L7501" s="8" t="str">
        <f>"H04.03.30"</f>
        <v>H04.03.30</v>
      </c>
      <c r="M7501" s="8">
        <v>6</v>
      </c>
      <c r="N7501" s="8">
        <v>1225000</v>
      </c>
      <c r="O7501" s="8">
        <v>999564</v>
      </c>
      <c r="P7501" s="8">
        <v>0</v>
      </c>
      <c r="Q7501" s="8" t="str">
        <f t="shared" si="2711"/>
        <v>公安委員会</v>
      </c>
      <c r="R7501" s="8" t="str">
        <f t="shared" si="2716"/>
        <v>東成警察署</v>
      </c>
    </row>
    <row r="7502" spans="1:18" x14ac:dyDescent="0.45">
      <c r="A7502" s="8" t="str">
        <f>"11540000110"</f>
        <v>11540000110</v>
      </c>
      <c r="B7502" s="8" t="str">
        <f>"新道橋交番"</f>
        <v>新道橋交番</v>
      </c>
      <c r="C7502" s="8" t="str">
        <f t="shared" si="2712"/>
        <v>行政財産</v>
      </c>
      <c r="D7502" s="8" t="str">
        <f t="shared" si="2713"/>
        <v>警察（消防）施設</v>
      </c>
      <c r="E7502" s="8" t="str">
        <f>"大阪府大阪市　東成区神路３丁目"</f>
        <v>大阪府大阪市　東成区神路３丁目</v>
      </c>
      <c r="F7502" s="8"/>
      <c r="G7502" s="8" t="str">
        <f t="shared" si="2704"/>
        <v>事業用資産</v>
      </c>
      <c r="H7502" s="8" t="str">
        <f t="shared" si="2715"/>
        <v>棚卸以外</v>
      </c>
      <c r="I7502" s="8">
        <v>3</v>
      </c>
      <c r="J7502" s="8" t="str">
        <f>"新道橋交番"</f>
        <v>新道橋交番</v>
      </c>
      <c r="K7502" s="8" t="str">
        <f>"木造"</f>
        <v>木造</v>
      </c>
      <c r="L7502" s="8" t="str">
        <f>"S18.12.21"</f>
        <v>S18.12.21</v>
      </c>
      <c r="M7502" s="8">
        <v>36.090000000000003</v>
      </c>
      <c r="N7502" s="8">
        <v>4465179</v>
      </c>
      <c r="O7502" s="8">
        <v>4456323</v>
      </c>
      <c r="P7502" s="8">
        <v>0</v>
      </c>
      <c r="Q7502" s="8" t="str">
        <f t="shared" si="2711"/>
        <v>公安委員会</v>
      </c>
      <c r="R7502" s="8" t="str">
        <f t="shared" si="2716"/>
        <v>東成警察署</v>
      </c>
    </row>
    <row r="7503" spans="1:18" x14ac:dyDescent="0.45">
      <c r="A7503" s="8" t="str">
        <f>"11540000150"</f>
        <v>11540000150</v>
      </c>
      <c r="B7503" s="8" t="str">
        <f>"東小橋交番"</f>
        <v>東小橋交番</v>
      </c>
      <c r="C7503" s="8" t="str">
        <f t="shared" si="2712"/>
        <v>行政財産</v>
      </c>
      <c r="D7503" s="8" t="str">
        <f t="shared" si="2713"/>
        <v>警察（消防）施設</v>
      </c>
      <c r="E7503" s="8" t="str">
        <f>"大阪府大阪市　東成区東小橋３丁目"</f>
        <v>大阪府大阪市　東成区東小橋３丁目</v>
      </c>
      <c r="F7503" s="8"/>
      <c r="G7503" s="8" t="str">
        <f t="shared" si="2704"/>
        <v>事業用資産</v>
      </c>
      <c r="H7503" s="8" t="str">
        <f t="shared" si="2715"/>
        <v>棚卸以外</v>
      </c>
      <c r="I7503" s="8">
        <v>2</v>
      </c>
      <c r="J7503" s="8" t="str">
        <f>"東小橋交番"</f>
        <v>東小橋交番</v>
      </c>
      <c r="K7503" s="8" t="str">
        <f>"鉄骨造"</f>
        <v>鉄骨造</v>
      </c>
      <c r="L7503" s="8" t="str">
        <f>"S51.03.30"</f>
        <v>S51.03.30</v>
      </c>
      <c r="M7503" s="8">
        <v>48.6</v>
      </c>
      <c r="N7503" s="8">
        <v>9190000</v>
      </c>
      <c r="O7503" s="8">
        <v>9189999</v>
      </c>
      <c r="P7503" s="8">
        <v>0</v>
      </c>
      <c r="Q7503" s="8" t="str">
        <f t="shared" si="2711"/>
        <v>公安委員会</v>
      </c>
      <c r="R7503" s="8" t="str">
        <f t="shared" si="2716"/>
        <v>東成警察署</v>
      </c>
    </row>
    <row r="7504" spans="1:18" x14ac:dyDescent="0.45">
      <c r="A7504" s="8" t="str">
        <f>"11540000200"</f>
        <v>11540000200</v>
      </c>
      <c r="B7504" s="8" t="str">
        <f>"大今里警ら連絡所"</f>
        <v>大今里警ら連絡所</v>
      </c>
      <c r="C7504" s="8" t="str">
        <f t="shared" si="2712"/>
        <v>行政財産</v>
      </c>
      <c r="D7504" s="8" t="str">
        <f t="shared" si="2713"/>
        <v>警察（消防）施設</v>
      </c>
      <c r="E7504" s="8" t="str">
        <f>"大阪府大阪市　東成区大今里南２丁目"</f>
        <v>大阪府大阪市　東成区大今里南２丁目</v>
      </c>
      <c r="F7504" s="8"/>
      <c r="G7504" s="8" t="str">
        <f t="shared" si="2704"/>
        <v>事業用資産</v>
      </c>
      <c r="H7504" s="8" t="str">
        <f t="shared" si="2715"/>
        <v>棚卸以外</v>
      </c>
      <c r="I7504" s="8">
        <v>1</v>
      </c>
      <c r="J7504" s="8" t="str">
        <f>"大今里警ら連絡所"</f>
        <v>大今里警ら連絡所</v>
      </c>
      <c r="K7504" s="8" t="str">
        <f>"コンクリートブロック造"</f>
        <v>コンクリートブロック造</v>
      </c>
      <c r="L7504" s="8" t="str">
        <f>"S40.03.30"</f>
        <v>S40.03.30</v>
      </c>
      <c r="M7504" s="8">
        <v>26.44</v>
      </c>
      <c r="N7504" s="8">
        <v>1084000</v>
      </c>
      <c r="O7504" s="8">
        <v>1083999</v>
      </c>
      <c r="P7504" s="8">
        <v>0</v>
      </c>
      <c r="Q7504" s="8" t="str">
        <f t="shared" si="2711"/>
        <v>公安委員会</v>
      </c>
      <c r="R7504" s="8" t="str">
        <f t="shared" si="2716"/>
        <v>東成警察署</v>
      </c>
    </row>
    <row r="7505" spans="1:18" x14ac:dyDescent="0.45">
      <c r="A7505" s="8" t="str">
        <f>"11540000210"</f>
        <v>11540000210</v>
      </c>
      <c r="B7505" s="8" t="str">
        <f>"中本交番"</f>
        <v>中本交番</v>
      </c>
      <c r="C7505" s="8" t="str">
        <f t="shared" si="2712"/>
        <v>行政財産</v>
      </c>
      <c r="D7505" s="8" t="str">
        <f t="shared" si="2713"/>
        <v>警察（消防）施設</v>
      </c>
      <c r="E7505" s="8" t="str">
        <f>"大阪府大阪市　東成区中本４丁目"</f>
        <v>大阪府大阪市　東成区中本４丁目</v>
      </c>
      <c r="F7505" s="8"/>
      <c r="G7505" s="8" t="str">
        <f t="shared" si="2704"/>
        <v>事業用資産</v>
      </c>
      <c r="H7505" s="8" t="str">
        <f t="shared" si="2715"/>
        <v>棚卸以外</v>
      </c>
      <c r="I7505" s="8">
        <v>2</v>
      </c>
      <c r="J7505" s="8" t="str">
        <f>"中本交番"</f>
        <v>中本交番</v>
      </c>
      <c r="K7505" s="8" t="str">
        <f>"鉄筋コンクリート造"</f>
        <v>鉄筋コンクリート造</v>
      </c>
      <c r="L7505" s="8" t="str">
        <f>"S60.03.12"</f>
        <v>S60.03.12</v>
      </c>
      <c r="M7505" s="8">
        <v>54</v>
      </c>
      <c r="N7505" s="8">
        <v>15034130</v>
      </c>
      <c r="O7505" s="8">
        <v>11410902</v>
      </c>
      <c r="P7505" s="8">
        <v>0</v>
      </c>
      <c r="Q7505" s="8" t="str">
        <f t="shared" si="2711"/>
        <v>公安委員会</v>
      </c>
      <c r="R7505" s="8" t="str">
        <f t="shared" si="2716"/>
        <v>東成警察署</v>
      </c>
    </row>
    <row r="7506" spans="1:18" x14ac:dyDescent="0.45">
      <c r="A7506" s="8" t="str">
        <f>"11540000220"</f>
        <v>11540000220</v>
      </c>
      <c r="B7506" s="8" t="str">
        <f>"中道交番"</f>
        <v>中道交番</v>
      </c>
      <c r="C7506" s="8" t="str">
        <f t="shared" si="2712"/>
        <v>行政財産</v>
      </c>
      <c r="D7506" s="8" t="str">
        <f t="shared" si="2713"/>
        <v>警察（消防）施設</v>
      </c>
      <c r="E7506" s="8" t="str">
        <f>"大阪府大阪市　東成区中道４丁目"</f>
        <v>大阪府大阪市　東成区中道４丁目</v>
      </c>
      <c r="F7506" s="8"/>
      <c r="G7506" s="8" t="str">
        <f t="shared" si="2704"/>
        <v>事業用資産</v>
      </c>
      <c r="H7506" s="8" t="str">
        <f t="shared" si="2715"/>
        <v>棚卸以外</v>
      </c>
      <c r="I7506" s="8">
        <v>2</v>
      </c>
      <c r="J7506" s="8" t="str">
        <f>"中道交番"</f>
        <v>中道交番</v>
      </c>
      <c r="K7506" s="8" t="str">
        <f>"鉄筋コンクリート造"</f>
        <v>鉄筋コンクリート造</v>
      </c>
      <c r="L7506" s="8" t="str">
        <f>"S47.02.25"</f>
        <v>S47.02.25</v>
      </c>
      <c r="M7506" s="8">
        <v>34.799999999999997</v>
      </c>
      <c r="N7506" s="8">
        <v>2573000</v>
      </c>
      <c r="O7506" s="8">
        <v>2572999</v>
      </c>
      <c r="P7506" s="8">
        <v>0</v>
      </c>
      <c r="Q7506" s="8" t="str">
        <f t="shared" si="2711"/>
        <v>公安委員会</v>
      </c>
      <c r="R7506" s="8" t="str">
        <f t="shared" si="2716"/>
        <v>東成警察署</v>
      </c>
    </row>
    <row r="7507" spans="1:18" x14ac:dyDescent="0.45">
      <c r="A7507" s="8" t="str">
        <f>"11540000280"</f>
        <v>11540000280</v>
      </c>
      <c r="B7507" s="8" t="str">
        <f>"中道本通警ら連絡所"</f>
        <v>中道本通警ら連絡所</v>
      </c>
      <c r="C7507" s="8" t="str">
        <f t="shared" si="2712"/>
        <v>行政財産</v>
      </c>
      <c r="D7507" s="8" t="str">
        <f t="shared" si="2713"/>
        <v>警察（消防）施設</v>
      </c>
      <c r="E7507" s="8" t="str">
        <f>"大阪府大阪市　東成区東小橋１丁目"</f>
        <v>大阪府大阪市　東成区東小橋１丁目</v>
      </c>
      <c r="F7507" s="8"/>
      <c r="G7507" s="8" t="str">
        <f t="shared" si="2704"/>
        <v>事業用資産</v>
      </c>
      <c r="H7507" s="8" t="str">
        <f t="shared" si="2715"/>
        <v>棚卸以外</v>
      </c>
      <c r="I7507" s="8">
        <v>1</v>
      </c>
      <c r="J7507" s="8" t="str">
        <f>"中道本通警ら連絡所"</f>
        <v>中道本通警ら連絡所</v>
      </c>
      <c r="K7507" s="8" t="str">
        <f>"鉄筋コンクリート造"</f>
        <v>鉄筋コンクリート造</v>
      </c>
      <c r="L7507" s="8" t="str">
        <f>"S36.04.13"</f>
        <v>S36.04.13</v>
      </c>
      <c r="M7507" s="8">
        <v>13.22</v>
      </c>
      <c r="N7507" s="8">
        <v>170164</v>
      </c>
      <c r="O7507" s="8">
        <v>170163</v>
      </c>
      <c r="P7507" s="8">
        <v>0</v>
      </c>
      <c r="Q7507" s="8" t="str">
        <f t="shared" si="2711"/>
        <v>公安委員会</v>
      </c>
      <c r="R7507" s="8" t="str">
        <f t="shared" si="2716"/>
        <v>東成警察署</v>
      </c>
    </row>
    <row r="7508" spans="1:18" x14ac:dyDescent="0.45">
      <c r="A7508" s="8" t="str">
        <f>"11540000300"</f>
        <v>11540000300</v>
      </c>
      <c r="B7508" s="8" t="str">
        <f>"新橋通交番"</f>
        <v>新橋通交番</v>
      </c>
      <c r="C7508" s="8" t="str">
        <f t="shared" si="2712"/>
        <v>行政財産</v>
      </c>
      <c r="D7508" s="8" t="str">
        <f t="shared" si="2713"/>
        <v>警察（消防）施設</v>
      </c>
      <c r="E7508" s="8" t="str">
        <f>"大阪府大阪市　東成区大今里西３丁目"</f>
        <v>大阪府大阪市　東成区大今里西３丁目</v>
      </c>
      <c r="F7508" s="8"/>
      <c r="G7508" s="8" t="str">
        <f t="shared" si="2704"/>
        <v>事業用資産</v>
      </c>
      <c r="H7508" s="8" t="str">
        <f t="shared" si="2715"/>
        <v>棚卸以外</v>
      </c>
      <c r="I7508" s="8">
        <v>1</v>
      </c>
      <c r="J7508" s="8" t="str">
        <f>"新橋通交番"</f>
        <v>新橋通交番</v>
      </c>
      <c r="K7508" s="8" t="str">
        <f>"鉄筋コンクリート造"</f>
        <v>鉄筋コンクリート造</v>
      </c>
      <c r="L7508" s="8" t="str">
        <f>"S45.03.31"</f>
        <v>S45.03.31</v>
      </c>
      <c r="M7508" s="8">
        <v>85</v>
      </c>
      <c r="N7508" s="8">
        <v>4796177</v>
      </c>
      <c r="O7508" s="8">
        <v>4796176</v>
      </c>
      <c r="P7508" s="8">
        <v>0</v>
      </c>
      <c r="Q7508" s="8" t="str">
        <f t="shared" si="2711"/>
        <v>公安委員会</v>
      </c>
      <c r="R7508" s="8" t="str">
        <f t="shared" si="2716"/>
        <v>東成警察署</v>
      </c>
    </row>
    <row r="7509" spans="1:18" x14ac:dyDescent="0.45">
      <c r="A7509" s="8" t="str">
        <f>"11540000310"</f>
        <v>11540000310</v>
      </c>
      <c r="B7509" s="8" t="str">
        <f>"神路交番"</f>
        <v>神路交番</v>
      </c>
      <c r="C7509" s="8" t="str">
        <f t="shared" si="2712"/>
        <v>行政財産</v>
      </c>
      <c r="D7509" s="8" t="str">
        <f t="shared" si="2713"/>
        <v>警察（消防）施設</v>
      </c>
      <c r="E7509" s="8" t="str">
        <f>"大阪府大阪市　東成区神路２丁目"</f>
        <v>大阪府大阪市　東成区神路２丁目</v>
      </c>
      <c r="F7509" s="8"/>
      <c r="G7509" s="8" t="str">
        <f t="shared" si="2704"/>
        <v>事業用資産</v>
      </c>
      <c r="H7509" s="8" t="str">
        <f t="shared" si="2715"/>
        <v>棚卸以外</v>
      </c>
      <c r="I7509" s="8">
        <v>1</v>
      </c>
      <c r="J7509" s="8" t="str">
        <f>"神路交番"</f>
        <v>神路交番</v>
      </c>
      <c r="K7509" s="8" t="str">
        <f>"鉄骨コンクリート造"</f>
        <v>鉄骨コンクリート造</v>
      </c>
      <c r="L7509" s="8" t="str">
        <f>"S50.03.31"</f>
        <v>S50.03.31</v>
      </c>
      <c r="M7509" s="8">
        <v>97.76</v>
      </c>
      <c r="N7509" s="8">
        <v>13099000</v>
      </c>
      <c r="O7509" s="8">
        <v>13098999</v>
      </c>
      <c r="P7509" s="8">
        <v>0</v>
      </c>
      <c r="Q7509" s="8" t="str">
        <f t="shared" si="2711"/>
        <v>公安委員会</v>
      </c>
      <c r="R7509" s="8" t="str">
        <f t="shared" si="2716"/>
        <v>東成警察署</v>
      </c>
    </row>
    <row r="7510" spans="1:18" x14ac:dyDescent="0.45">
      <c r="A7510" s="8" t="str">
        <f>"11541000000"</f>
        <v>11541000000</v>
      </c>
      <c r="B7510" s="8" t="str">
        <f>"生野警察署"</f>
        <v>生野警察署</v>
      </c>
      <c r="C7510" s="8" t="str">
        <f t="shared" si="2712"/>
        <v>行政財産</v>
      </c>
      <c r="D7510" s="8" t="str">
        <f t="shared" si="2713"/>
        <v>警察（消防）施設</v>
      </c>
      <c r="E7510" s="8" t="str">
        <f>"大阪府大阪市　生野区勝山北３丁目"</f>
        <v>大阪府大阪市　生野区勝山北３丁目</v>
      </c>
      <c r="F7510" s="8"/>
      <c r="G7510" s="8" t="str">
        <f t="shared" si="2704"/>
        <v>事業用資産</v>
      </c>
      <c r="H7510" s="8" t="str">
        <f t="shared" si="2715"/>
        <v>棚卸以外</v>
      </c>
      <c r="I7510" s="8">
        <v>16</v>
      </c>
      <c r="J7510" s="8" t="str">
        <f>"庁舎"</f>
        <v>庁舎</v>
      </c>
      <c r="K7510" s="8" t="str">
        <f>"鉄筋コンクリート造"</f>
        <v>鉄筋コンクリート造</v>
      </c>
      <c r="L7510" s="8" t="str">
        <f>"S48.01.15"</f>
        <v>S48.01.15</v>
      </c>
      <c r="M7510" s="8">
        <v>3332.61</v>
      </c>
      <c r="N7510" s="8">
        <v>486092948</v>
      </c>
      <c r="O7510" s="8">
        <v>395071115</v>
      </c>
      <c r="P7510" s="8">
        <v>0</v>
      </c>
      <c r="Q7510" s="8" t="str">
        <f t="shared" si="2711"/>
        <v>公安委員会</v>
      </c>
      <c r="R7510" s="8" t="str">
        <f t="shared" ref="R7510:R7523" si="2717">"生野警察署"</f>
        <v>生野警察署</v>
      </c>
    </row>
    <row r="7511" spans="1:18" x14ac:dyDescent="0.45">
      <c r="A7511" s="8" t="str">
        <f>"11541000000"</f>
        <v>11541000000</v>
      </c>
      <c r="B7511" s="8" t="str">
        <f>"生野警察署"</f>
        <v>生野警察署</v>
      </c>
      <c r="C7511" s="8" t="str">
        <f t="shared" si="2712"/>
        <v>行政財産</v>
      </c>
      <c r="D7511" s="8" t="str">
        <f t="shared" si="2713"/>
        <v>警察（消防）施設</v>
      </c>
      <c r="E7511" s="8" t="str">
        <f>"大阪府大阪市　生野区勝山北３丁目"</f>
        <v>大阪府大阪市　生野区勝山北３丁目</v>
      </c>
      <c r="F7511" s="8"/>
      <c r="G7511" s="8" t="str">
        <f t="shared" ref="G7511:G7574" si="2718">"事業用資産"</f>
        <v>事業用資産</v>
      </c>
      <c r="H7511" s="8" t="str">
        <f t="shared" si="2715"/>
        <v>棚卸以外</v>
      </c>
      <c r="I7511" s="8">
        <v>18</v>
      </c>
      <c r="J7511" s="8" t="str">
        <f>"危険物倉庫"</f>
        <v>危険物倉庫</v>
      </c>
      <c r="K7511" s="8" t="str">
        <f>"鉄筋コンクリート造"</f>
        <v>鉄筋コンクリート造</v>
      </c>
      <c r="L7511" s="8" t="str">
        <f>"S48.01.25"</f>
        <v>S48.01.25</v>
      </c>
      <c r="M7511" s="8">
        <v>7.29</v>
      </c>
      <c r="N7511" s="8">
        <v>586000</v>
      </c>
      <c r="O7511" s="8">
        <v>585999</v>
      </c>
      <c r="P7511" s="8">
        <v>0</v>
      </c>
      <c r="Q7511" s="8" t="str">
        <f t="shared" si="2711"/>
        <v>公安委員会</v>
      </c>
      <c r="R7511" s="8" t="str">
        <f t="shared" si="2717"/>
        <v>生野警察署</v>
      </c>
    </row>
    <row r="7512" spans="1:18" x14ac:dyDescent="0.45">
      <c r="A7512" s="8" t="str">
        <f>"11541000000"</f>
        <v>11541000000</v>
      </c>
      <c r="B7512" s="8" t="str">
        <f>"生野警察署"</f>
        <v>生野警察署</v>
      </c>
      <c r="C7512" s="8" t="str">
        <f t="shared" si="2712"/>
        <v>行政財産</v>
      </c>
      <c r="D7512" s="8" t="str">
        <f t="shared" si="2713"/>
        <v>警察（消防）施設</v>
      </c>
      <c r="E7512" s="8" t="str">
        <f>"大阪府大阪市　生野区勝山北３丁目"</f>
        <v>大阪府大阪市　生野区勝山北３丁目</v>
      </c>
      <c r="F7512" s="8"/>
      <c r="G7512" s="8" t="str">
        <f t="shared" si="2718"/>
        <v>事業用資産</v>
      </c>
      <c r="H7512" s="8" t="str">
        <f t="shared" si="2715"/>
        <v>棚卸以外</v>
      </c>
      <c r="I7512" s="8">
        <v>19</v>
      </c>
      <c r="J7512" s="8" t="str">
        <f>"署長公舎"</f>
        <v>署長公舎</v>
      </c>
      <c r="K7512" s="8" t="str">
        <f>"木造"</f>
        <v>木造</v>
      </c>
      <c r="L7512" s="8" t="str">
        <f>"S47.10.31"</f>
        <v>S47.10.31</v>
      </c>
      <c r="M7512" s="8">
        <v>83.07</v>
      </c>
      <c r="N7512" s="8">
        <v>5524454</v>
      </c>
      <c r="O7512" s="8">
        <v>5384349</v>
      </c>
      <c r="P7512" s="8">
        <v>0</v>
      </c>
      <c r="Q7512" s="8" t="str">
        <f t="shared" si="2711"/>
        <v>公安委員会</v>
      </c>
      <c r="R7512" s="8" t="str">
        <f t="shared" si="2717"/>
        <v>生野警察署</v>
      </c>
    </row>
    <row r="7513" spans="1:18" x14ac:dyDescent="0.45">
      <c r="A7513" s="8" t="str">
        <f>"11541000170"</f>
        <v>11541000170</v>
      </c>
      <c r="B7513" s="8" t="str">
        <f>"桃谷交番"</f>
        <v>桃谷交番</v>
      </c>
      <c r="C7513" s="8" t="str">
        <f t="shared" si="2712"/>
        <v>行政財産</v>
      </c>
      <c r="D7513" s="8" t="str">
        <f t="shared" si="2713"/>
        <v>警察（消防）施設</v>
      </c>
      <c r="E7513" s="8" t="str">
        <f>"大阪府大阪市　生野区桃谷３丁目"</f>
        <v>大阪府大阪市　生野区桃谷３丁目</v>
      </c>
      <c r="F7513" s="8"/>
      <c r="G7513" s="8" t="str">
        <f t="shared" si="2718"/>
        <v>事業用資産</v>
      </c>
      <c r="H7513" s="8" t="str">
        <f t="shared" si="2715"/>
        <v>棚卸以外</v>
      </c>
      <c r="I7513" s="8">
        <v>2</v>
      </c>
      <c r="J7513" s="8" t="str">
        <f>"桃谷交番"</f>
        <v>桃谷交番</v>
      </c>
      <c r="K7513" s="8" t="str">
        <f>"鉄筋コンクリート造"</f>
        <v>鉄筋コンクリート造</v>
      </c>
      <c r="L7513" s="8" t="str">
        <f>"S49.03.29"</f>
        <v>S49.03.29</v>
      </c>
      <c r="M7513" s="8">
        <v>43.5</v>
      </c>
      <c r="N7513" s="8">
        <v>5969251</v>
      </c>
      <c r="O7513" s="8">
        <v>5838920</v>
      </c>
      <c r="P7513" s="8">
        <v>0</v>
      </c>
      <c r="Q7513" s="8" t="str">
        <f t="shared" si="2711"/>
        <v>公安委員会</v>
      </c>
      <c r="R7513" s="8" t="str">
        <f t="shared" si="2717"/>
        <v>生野警察署</v>
      </c>
    </row>
    <row r="7514" spans="1:18" x14ac:dyDescent="0.45">
      <c r="A7514" s="8" t="str">
        <f>"11541000310"</f>
        <v>11541000310</v>
      </c>
      <c r="B7514" s="8" t="str">
        <f>"鶴橋交番"</f>
        <v>鶴橋交番</v>
      </c>
      <c r="C7514" s="8" t="str">
        <f t="shared" si="2712"/>
        <v>行政財産</v>
      </c>
      <c r="D7514" s="8" t="str">
        <f t="shared" si="2713"/>
        <v>警察（消防）施設</v>
      </c>
      <c r="E7514" s="8" t="str">
        <f>"大阪府大阪市　生野区鶴橋３丁目"</f>
        <v>大阪府大阪市　生野区鶴橋３丁目</v>
      </c>
      <c r="F7514" s="8"/>
      <c r="G7514" s="8" t="str">
        <f t="shared" si="2718"/>
        <v>事業用資産</v>
      </c>
      <c r="H7514" s="8" t="str">
        <f t="shared" si="2715"/>
        <v>棚卸以外</v>
      </c>
      <c r="I7514" s="8">
        <v>1</v>
      </c>
      <c r="J7514" s="8" t="str">
        <f>"鶴橋交番"</f>
        <v>鶴橋交番</v>
      </c>
      <c r="K7514" s="8" t="str">
        <f>"コンクリートブロック造"</f>
        <v>コンクリートブロック造</v>
      </c>
      <c r="L7514" s="8" t="str">
        <f>"S37.12.04"</f>
        <v>S37.12.04</v>
      </c>
      <c r="M7514" s="8">
        <v>23.76</v>
      </c>
      <c r="N7514" s="8">
        <v>969059</v>
      </c>
      <c r="O7514" s="8">
        <v>950197</v>
      </c>
      <c r="P7514" s="8">
        <v>0</v>
      </c>
      <c r="Q7514" s="8" t="str">
        <f t="shared" si="2711"/>
        <v>公安委員会</v>
      </c>
      <c r="R7514" s="8" t="str">
        <f t="shared" si="2717"/>
        <v>生野警察署</v>
      </c>
    </row>
    <row r="7515" spans="1:18" x14ac:dyDescent="0.45">
      <c r="A7515" s="8" t="str">
        <f>"11541000350"</f>
        <v>11541000350</v>
      </c>
      <c r="B7515" s="8" t="str">
        <f>"巽西交番"</f>
        <v>巽西交番</v>
      </c>
      <c r="C7515" s="8" t="str">
        <f t="shared" si="2712"/>
        <v>行政財産</v>
      </c>
      <c r="D7515" s="8" t="str">
        <f t="shared" si="2713"/>
        <v>警察（消防）施設</v>
      </c>
      <c r="E7515" s="8" t="str">
        <f>"大阪府大阪市　生野区巽西１丁目"</f>
        <v>大阪府大阪市　生野区巽西１丁目</v>
      </c>
      <c r="F7515" s="8"/>
      <c r="G7515" s="8" t="str">
        <f t="shared" si="2718"/>
        <v>事業用資産</v>
      </c>
      <c r="H7515" s="8" t="str">
        <f t="shared" si="2715"/>
        <v>棚卸以外</v>
      </c>
      <c r="I7515" s="8">
        <v>1</v>
      </c>
      <c r="J7515" s="8" t="str">
        <f>"巽西交番"</f>
        <v>巽西交番</v>
      </c>
      <c r="K7515" s="8" t="str">
        <f>"コンクリートブロック造"</f>
        <v>コンクリートブロック造</v>
      </c>
      <c r="L7515" s="8" t="str">
        <f>"S39.11.02"</f>
        <v>S39.11.02</v>
      </c>
      <c r="M7515" s="8">
        <v>26.14</v>
      </c>
      <c r="N7515" s="8">
        <v>1172000</v>
      </c>
      <c r="O7515" s="8">
        <v>1171999</v>
      </c>
      <c r="P7515" s="8">
        <v>0</v>
      </c>
      <c r="Q7515" s="8" t="str">
        <f t="shared" si="2711"/>
        <v>公安委員会</v>
      </c>
      <c r="R7515" s="8" t="str">
        <f t="shared" si="2717"/>
        <v>生野警察署</v>
      </c>
    </row>
    <row r="7516" spans="1:18" x14ac:dyDescent="0.45">
      <c r="A7516" s="8" t="str">
        <f>"11541000370"</f>
        <v>11541000370</v>
      </c>
      <c r="B7516" s="8" t="str">
        <f>"巽東交番"</f>
        <v>巽東交番</v>
      </c>
      <c r="C7516" s="8" t="str">
        <f t="shared" si="2712"/>
        <v>行政財産</v>
      </c>
      <c r="D7516" s="8" t="str">
        <f t="shared" si="2713"/>
        <v>警察（消防）施設</v>
      </c>
      <c r="E7516" s="8" t="str">
        <f>"大阪府大阪市　生野区巽中３丁目"</f>
        <v>大阪府大阪市　生野区巽中３丁目</v>
      </c>
      <c r="F7516" s="8"/>
      <c r="G7516" s="8" t="str">
        <f t="shared" si="2718"/>
        <v>事業用資産</v>
      </c>
      <c r="H7516" s="8" t="str">
        <f t="shared" si="2715"/>
        <v>棚卸以外</v>
      </c>
      <c r="I7516" s="8">
        <v>2</v>
      </c>
      <c r="J7516" s="8" t="str">
        <f>"巽東交番"</f>
        <v>巽東交番</v>
      </c>
      <c r="K7516" s="8" t="str">
        <f>"軽量鉄骨造"</f>
        <v>軽量鉄骨造</v>
      </c>
      <c r="L7516" s="8" t="str">
        <f>"H23.11.28"</f>
        <v>H23.11.28</v>
      </c>
      <c r="M7516" s="8">
        <v>46.4</v>
      </c>
      <c r="N7516" s="8">
        <v>16378935</v>
      </c>
      <c r="O7516" s="8">
        <v>7661148</v>
      </c>
      <c r="P7516" s="8">
        <v>0</v>
      </c>
      <c r="Q7516" s="8" t="str">
        <f t="shared" si="2711"/>
        <v>公安委員会</v>
      </c>
      <c r="R7516" s="8" t="str">
        <f t="shared" si="2717"/>
        <v>生野警察署</v>
      </c>
    </row>
    <row r="7517" spans="1:18" x14ac:dyDescent="0.45">
      <c r="A7517" s="8" t="str">
        <f>"11541000390"</f>
        <v>11541000390</v>
      </c>
      <c r="B7517" s="8" t="str">
        <f>"林寺交番"</f>
        <v>林寺交番</v>
      </c>
      <c r="C7517" s="8" t="str">
        <f t="shared" si="2712"/>
        <v>行政財産</v>
      </c>
      <c r="D7517" s="8" t="str">
        <f t="shared" si="2713"/>
        <v>警察（消防）施設</v>
      </c>
      <c r="E7517" s="8" t="str">
        <f>"大阪府大阪市　生野区林寺６丁目"</f>
        <v>大阪府大阪市　生野区林寺６丁目</v>
      </c>
      <c r="F7517" s="8"/>
      <c r="G7517" s="8" t="str">
        <f t="shared" si="2718"/>
        <v>事業用資産</v>
      </c>
      <c r="H7517" s="8" t="str">
        <f t="shared" si="2715"/>
        <v>棚卸以外</v>
      </c>
      <c r="I7517" s="8">
        <v>2</v>
      </c>
      <c r="J7517" s="8" t="str">
        <f>"林寺交番"</f>
        <v>林寺交番</v>
      </c>
      <c r="K7517" s="8" t="str">
        <f>"鉄骨造"</f>
        <v>鉄骨造</v>
      </c>
      <c r="L7517" s="8" t="str">
        <f>"H16.11.24"</f>
        <v>H16.11.24</v>
      </c>
      <c r="M7517" s="8">
        <v>55.05</v>
      </c>
      <c r="N7517" s="8">
        <v>13505807</v>
      </c>
      <c r="O7517" s="8">
        <v>6480675</v>
      </c>
      <c r="P7517" s="8">
        <v>0</v>
      </c>
      <c r="Q7517" s="8" t="str">
        <f t="shared" si="2711"/>
        <v>公安委員会</v>
      </c>
      <c r="R7517" s="8" t="str">
        <f t="shared" si="2717"/>
        <v>生野警察署</v>
      </c>
    </row>
    <row r="7518" spans="1:18" x14ac:dyDescent="0.45">
      <c r="A7518" s="8" t="str">
        <f>"11541000410"</f>
        <v>11541000410</v>
      </c>
      <c r="B7518" s="8" t="str">
        <f>"巽南交番"</f>
        <v>巽南交番</v>
      </c>
      <c r="C7518" s="8" t="str">
        <f t="shared" si="2712"/>
        <v>行政財産</v>
      </c>
      <c r="D7518" s="8" t="str">
        <f t="shared" si="2713"/>
        <v>警察（消防）施設</v>
      </c>
      <c r="E7518" s="8" t="str">
        <f>"大阪府大阪市　生野区巽南３丁目"</f>
        <v>大阪府大阪市　生野区巽南３丁目</v>
      </c>
      <c r="F7518" s="8"/>
      <c r="G7518" s="8" t="str">
        <f t="shared" si="2718"/>
        <v>事業用資産</v>
      </c>
      <c r="H7518" s="8" t="str">
        <f t="shared" si="2715"/>
        <v>棚卸以外</v>
      </c>
      <c r="I7518" s="8">
        <v>2</v>
      </c>
      <c r="J7518" s="8" t="str">
        <f>"巽南交番"</f>
        <v>巽南交番</v>
      </c>
      <c r="K7518" s="8" t="str">
        <f>"軽量鉄骨造"</f>
        <v>軽量鉄骨造</v>
      </c>
      <c r="L7518" s="8" t="str">
        <f>"H24.03.16"</f>
        <v>H24.03.16</v>
      </c>
      <c r="M7518" s="8">
        <v>101.78</v>
      </c>
      <c r="N7518" s="8">
        <v>32376221</v>
      </c>
      <c r="O7518" s="8">
        <v>13705434</v>
      </c>
      <c r="P7518" s="8">
        <v>0</v>
      </c>
      <c r="Q7518" s="8" t="str">
        <f t="shared" si="2711"/>
        <v>公安委員会</v>
      </c>
      <c r="R7518" s="8" t="str">
        <f t="shared" si="2717"/>
        <v>生野警察署</v>
      </c>
    </row>
    <row r="7519" spans="1:18" x14ac:dyDescent="0.45">
      <c r="A7519" s="8" t="str">
        <f>"11541000420"</f>
        <v>11541000420</v>
      </c>
      <c r="B7519" s="8" t="str">
        <f>"生野西交番"</f>
        <v>生野西交番</v>
      </c>
      <c r="C7519" s="8" t="str">
        <f t="shared" si="2712"/>
        <v>行政財産</v>
      </c>
      <c r="D7519" s="8" t="str">
        <f t="shared" si="2713"/>
        <v>警察（消防）施設</v>
      </c>
      <c r="E7519" s="8" t="str">
        <f>"大阪府大阪市　生野区生野西４丁目"</f>
        <v>大阪府大阪市　生野区生野西４丁目</v>
      </c>
      <c r="F7519" s="8"/>
      <c r="G7519" s="8" t="str">
        <f t="shared" si="2718"/>
        <v>事業用資産</v>
      </c>
      <c r="H7519" s="8" t="str">
        <f t="shared" si="2715"/>
        <v>棚卸以外</v>
      </c>
      <c r="I7519" s="8">
        <v>1</v>
      </c>
      <c r="J7519" s="8" t="str">
        <f>"生野西交番"</f>
        <v>生野西交番</v>
      </c>
      <c r="K7519" s="8" t="str">
        <f>"鉄骨造"</f>
        <v>鉄骨造</v>
      </c>
      <c r="L7519" s="8" t="str">
        <f>"S44.03.29"</f>
        <v>S44.03.29</v>
      </c>
      <c r="M7519" s="8">
        <v>36.08</v>
      </c>
      <c r="N7519" s="8">
        <v>2398000</v>
      </c>
      <c r="O7519" s="8">
        <v>2397999</v>
      </c>
      <c r="P7519" s="8">
        <v>0</v>
      </c>
      <c r="Q7519" s="8" t="str">
        <f t="shared" si="2711"/>
        <v>公安委員会</v>
      </c>
      <c r="R7519" s="8" t="str">
        <f t="shared" si="2717"/>
        <v>生野警察署</v>
      </c>
    </row>
    <row r="7520" spans="1:18" x14ac:dyDescent="0.45">
      <c r="A7520" s="8" t="str">
        <f>"11541000430"</f>
        <v>11541000430</v>
      </c>
      <c r="B7520" s="8" t="str">
        <f>"腹見交番"</f>
        <v>腹見交番</v>
      </c>
      <c r="C7520" s="8" t="str">
        <f t="shared" si="2712"/>
        <v>行政財産</v>
      </c>
      <c r="D7520" s="8" t="str">
        <f t="shared" si="2713"/>
        <v>警察（消防）施設</v>
      </c>
      <c r="E7520" s="8" t="str">
        <f>"大阪府大阪市　生野区小路東５丁目"</f>
        <v>大阪府大阪市　生野区小路東５丁目</v>
      </c>
      <c r="F7520" s="8"/>
      <c r="G7520" s="8" t="str">
        <f t="shared" si="2718"/>
        <v>事業用資産</v>
      </c>
      <c r="H7520" s="8" t="str">
        <f t="shared" si="2715"/>
        <v>棚卸以外</v>
      </c>
      <c r="I7520" s="8">
        <v>1</v>
      </c>
      <c r="J7520" s="8" t="str">
        <f>"腹見交番"</f>
        <v>腹見交番</v>
      </c>
      <c r="K7520" s="8" t="str">
        <f>"鉄骨造"</f>
        <v>鉄骨造</v>
      </c>
      <c r="L7520" s="8" t="str">
        <f>"S45.03.31"</f>
        <v>S45.03.31</v>
      </c>
      <c r="M7520" s="8">
        <v>32.450000000000003</v>
      </c>
      <c r="N7520" s="8">
        <v>2234016</v>
      </c>
      <c r="O7520" s="8">
        <v>2052947</v>
      </c>
      <c r="P7520" s="8">
        <v>0</v>
      </c>
      <c r="Q7520" s="8" t="str">
        <f t="shared" si="2711"/>
        <v>公安委員会</v>
      </c>
      <c r="R7520" s="8" t="str">
        <f t="shared" si="2717"/>
        <v>生野警察署</v>
      </c>
    </row>
    <row r="7521" spans="1:18" x14ac:dyDescent="0.45">
      <c r="A7521" s="8" t="str">
        <f>"11541000440"</f>
        <v>11541000440</v>
      </c>
      <c r="B7521" s="8" t="str">
        <f>"今里公園前交番"</f>
        <v>今里公園前交番</v>
      </c>
      <c r="C7521" s="8" t="str">
        <f t="shared" si="2712"/>
        <v>行政財産</v>
      </c>
      <c r="D7521" s="8" t="str">
        <f t="shared" si="2713"/>
        <v>警察（消防）施設</v>
      </c>
      <c r="E7521" s="8" t="str">
        <f>"大阪府大阪市　生野区新今里２丁目"</f>
        <v>大阪府大阪市　生野区新今里２丁目</v>
      </c>
      <c r="F7521" s="8"/>
      <c r="G7521" s="8" t="str">
        <f t="shared" si="2718"/>
        <v>事業用資産</v>
      </c>
      <c r="H7521" s="8" t="str">
        <f t="shared" si="2715"/>
        <v>棚卸以外</v>
      </c>
      <c r="I7521" s="8">
        <v>1</v>
      </c>
      <c r="J7521" s="8" t="str">
        <f>"今里公園前交番"</f>
        <v>今里公園前交番</v>
      </c>
      <c r="K7521" s="8" t="str">
        <f>"鉄筋コンクリート造"</f>
        <v>鉄筋コンクリート造</v>
      </c>
      <c r="L7521" s="8" t="str">
        <f>"S45.10.02"</f>
        <v>S45.10.02</v>
      </c>
      <c r="M7521" s="8">
        <v>60</v>
      </c>
      <c r="N7521" s="8">
        <v>4144422</v>
      </c>
      <c r="O7521" s="8">
        <v>3862077</v>
      </c>
      <c r="P7521" s="8">
        <v>0</v>
      </c>
      <c r="Q7521" s="8" t="str">
        <f t="shared" si="2711"/>
        <v>公安委員会</v>
      </c>
      <c r="R7521" s="8" t="str">
        <f t="shared" si="2717"/>
        <v>生野警察署</v>
      </c>
    </row>
    <row r="7522" spans="1:18" x14ac:dyDescent="0.45">
      <c r="A7522" s="8" t="str">
        <f>"11541000450"</f>
        <v>11541000450</v>
      </c>
      <c r="B7522" s="8" t="str">
        <f>"生野東交番"</f>
        <v>生野東交番</v>
      </c>
      <c r="C7522" s="8" t="str">
        <f t="shared" si="2712"/>
        <v>行政財産</v>
      </c>
      <c r="D7522" s="8" t="str">
        <f t="shared" si="2713"/>
        <v>警察（消防）施設</v>
      </c>
      <c r="E7522" s="8" t="str">
        <f>"大阪府大阪市　生野区生野東４丁目"</f>
        <v>大阪府大阪市　生野区生野東４丁目</v>
      </c>
      <c r="F7522" s="8"/>
      <c r="G7522" s="8" t="str">
        <f t="shared" si="2718"/>
        <v>事業用資産</v>
      </c>
      <c r="H7522" s="8" t="str">
        <f t="shared" si="2715"/>
        <v>棚卸以外</v>
      </c>
      <c r="I7522" s="8">
        <v>1</v>
      </c>
      <c r="J7522" s="8" t="str">
        <f>"生野東交番"</f>
        <v>生野東交番</v>
      </c>
      <c r="K7522" s="8" t="str">
        <f>"鉄筋コンクリート造"</f>
        <v>鉄筋コンクリート造</v>
      </c>
      <c r="L7522" s="8" t="str">
        <f>"S47.12.25"</f>
        <v>S47.12.25</v>
      </c>
      <c r="M7522" s="8">
        <v>93.96</v>
      </c>
      <c r="N7522" s="8">
        <v>5792302</v>
      </c>
      <c r="O7522" s="8">
        <v>5714121</v>
      </c>
      <c r="P7522" s="8">
        <v>0</v>
      </c>
      <c r="Q7522" s="8" t="str">
        <f t="shared" si="2711"/>
        <v>公安委員会</v>
      </c>
      <c r="R7522" s="8" t="str">
        <f t="shared" si="2717"/>
        <v>生野警察署</v>
      </c>
    </row>
    <row r="7523" spans="1:18" x14ac:dyDescent="0.45">
      <c r="A7523" s="8" t="str">
        <f>"11541000450"</f>
        <v>11541000450</v>
      </c>
      <c r="B7523" s="8" t="str">
        <f>"生野東交番"</f>
        <v>生野東交番</v>
      </c>
      <c r="C7523" s="8" t="str">
        <f t="shared" si="2712"/>
        <v>行政財産</v>
      </c>
      <c r="D7523" s="8" t="str">
        <f t="shared" si="2713"/>
        <v>警察（消防）施設</v>
      </c>
      <c r="E7523" s="8" t="str">
        <f>"大阪府大阪市　生野区生野東４丁目"</f>
        <v>大阪府大阪市　生野区生野東４丁目</v>
      </c>
      <c r="F7523" s="8"/>
      <c r="G7523" s="8" t="str">
        <f t="shared" si="2718"/>
        <v>事業用資産</v>
      </c>
      <c r="H7523" s="8" t="str">
        <f t="shared" si="2715"/>
        <v>棚卸以外</v>
      </c>
      <c r="I7523" s="8">
        <v>2</v>
      </c>
      <c r="J7523" s="8" t="str">
        <f>"車庫"</f>
        <v>車庫</v>
      </c>
      <c r="K7523" s="8" t="str">
        <f>"鉄骨造"</f>
        <v>鉄骨造</v>
      </c>
      <c r="L7523" s="8" t="str">
        <f>"S47.12.25"</f>
        <v>S47.12.25</v>
      </c>
      <c r="M7523" s="8">
        <v>19.2</v>
      </c>
      <c r="N7523" s="8">
        <v>226000</v>
      </c>
      <c r="O7523" s="8">
        <v>225999</v>
      </c>
      <c r="P7523" s="8">
        <v>0</v>
      </c>
      <c r="Q7523" s="8" t="str">
        <f t="shared" si="2711"/>
        <v>公安委員会</v>
      </c>
      <c r="R7523" s="8" t="str">
        <f t="shared" si="2717"/>
        <v>生野警察署</v>
      </c>
    </row>
    <row r="7524" spans="1:18" ht="26.4" x14ac:dyDescent="0.45">
      <c r="A7524" s="8" t="str">
        <f>"11542000000"</f>
        <v>11542000000</v>
      </c>
      <c r="B7524" s="8" t="str">
        <f>"阿倍野警察署"</f>
        <v>阿倍野警察署</v>
      </c>
      <c r="C7524" s="8" t="str">
        <f t="shared" si="2712"/>
        <v>行政財産</v>
      </c>
      <c r="D7524" s="8" t="str">
        <f t="shared" si="2713"/>
        <v>警察（消防）施設</v>
      </c>
      <c r="E7524" s="8" t="str">
        <f>"大阪府大阪市　阿倍野区阿倍野筋５丁目"</f>
        <v>大阪府大阪市　阿倍野区阿倍野筋５丁目</v>
      </c>
      <c r="F7524" s="8"/>
      <c r="G7524" s="8" t="str">
        <f t="shared" si="2718"/>
        <v>事業用資産</v>
      </c>
      <c r="H7524" s="8" t="str">
        <f t="shared" si="2715"/>
        <v>棚卸以外</v>
      </c>
      <c r="I7524" s="8">
        <v>23</v>
      </c>
      <c r="J7524" s="8" t="str">
        <f>"庁舎"</f>
        <v>庁舎</v>
      </c>
      <c r="K7524" s="8" t="str">
        <f>"鉄骨鉄筋コンクリート造"</f>
        <v>鉄骨鉄筋コンクリート造</v>
      </c>
      <c r="L7524" s="8" t="str">
        <f>"H02.06.29"</f>
        <v>H02.06.29</v>
      </c>
      <c r="M7524" s="8">
        <v>3931.54</v>
      </c>
      <c r="N7524" s="8">
        <v>1160015229</v>
      </c>
      <c r="O7524" s="8">
        <v>738061536</v>
      </c>
      <c r="P7524" s="8">
        <v>0</v>
      </c>
      <c r="Q7524" s="8" t="str">
        <f t="shared" si="2711"/>
        <v>公安委員会</v>
      </c>
      <c r="R7524" s="8" t="str">
        <f t="shared" ref="R7524:R7538" si="2719">"阿倍野警察署"</f>
        <v>阿倍野警察署</v>
      </c>
    </row>
    <row r="7525" spans="1:18" x14ac:dyDescent="0.45">
      <c r="A7525" s="8" t="str">
        <f>"11542000000"</f>
        <v>11542000000</v>
      </c>
      <c r="B7525" s="8" t="str">
        <f>"阿倍野警察署"</f>
        <v>阿倍野警察署</v>
      </c>
      <c r="C7525" s="8" t="str">
        <f t="shared" si="2712"/>
        <v>行政財産</v>
      </c>
      <c r="D7525" s="8" t="str">
        <f t="shared" si="2713"/>
        <v>警察（消防）施設</v>
      </c>
      <c r="E7525" s="8" t="str">
        <f>"大阪府大阪市　阿倍野区阿倍野筋５丁目"</f>
        <v>大阪府大阪市　阿倍野区阿倍野筋５丁目</v>
      </c>
      <c r="F7525" s="8"/>
      <c r="G7525" s="8" t="str">
        <f t="shared" si="2718"/>
        <v>事業用資産</v>
      </c>
      <c r="H7525" s="8" t="str">
        <f t="shared" si="2715"/>
        <v>棚卸以外</v>
      </c>
      <c r="I7525" s="8">
        <v>24</v>
      </c>
      <c r="J7525" s="8" t="str">
        <f>"大型車庫"</f>
        <v>大型車庫</v>
      </c>
      <c r="K7525" s="8" t="str">
        <f>"鉄骨造"</f>
        <v>鉄骨造</v>
      </c>
      <c r="L7525" s="8" t="str">
        <f>"H02.06.29"</f>
        <v>H02.06.29</v>
      </c>
      <c r="M7525" s="8">
        <v>146</v>
      </c>
      <c r="N7525" s="8">
        <v>21665625</v>
      </c>
      <c r="O7525" s="8">
        <v>21647653</v>
      </c>
      <c r="P7525" s="8">
        <v>0</v>
      </c>
      <c r="Q7525" s="8" t="str">
        <f t="shared" si="2711"/>
        <v>公安委員会</v>
      </c>
      <c r="R7525" s="8" t="str">
        <f t="shared" si="2719"/>
        <v>阿倍野警察署</v>
      </c>
    </row>
    <row r="7526" spans="1:18" x14ac:dyDescent="0.45">
      <c r="A7526" s="8" t="str">
        <f>"11542000000"</f>
        <v>11542000000</v>
      </c>
      <c r="B7526" s="8" t="str">
        <f>"阿倍野警察署"</f>
        <v>阿倍野警察署</v>
      </c>
      <c r="C7526" s="8" t="str">
        <f t="shared" si="2712"/>
        <v>行政財産</v>
      </c>
      <c r="D7526" s="8" t="str">
        <f t="shared" si="2713"/>
        <v>警察（消防）施設</v>
      </c>
      <c r="E7526" s="8" t="str">
        <f>"大阪府大阪市　阿倍野区阿倍野筋５丁目"</f>
        <v>大阪府大阪市　阿倍野区阿倍野筋５丁目</v>
      </c>
      <c r="F7526" s="8"/>
      <c r="G7526" s="8" t="str">
        <f t="shared" si="2718"/>
        <v>事業用資産</v>
      </c>
      <c r="H7526" s="8" t="str">
        <f t="shared" si="2715"/>
        <v>棚卸以外</v>
      </c>
      <c r="I7526" s="8">
        <v>25</v>
      </c>
      <c r="J7526" s="8" t="str">
        <f>"ゴミ置場"</f>
        <v>ゴミ置場</v>
      </c>
      <c r="K7526" s="8" t="str">
        <f>"鉄筋コンクリート造"</f>
        <v>鉄筋コンクリート造</v>
      </c>
      <c r="L7526" s="8" t="str">
        <f>"H02.06.29"</f>
        <v>H02.06.29</v>
      </c>
      <c r="M7526" s="8">
        <v>6</v>
      </c>
      <c r="N7526" s="8">
        <v>1376000</v>
      </c>
      <c r="O7526" s="8">
        <v>1186074</v>
      </c>
      <c r="P7526" s="8">
        <v>0</v>
      </c>
      <c r="Q7526" s="8" t="str">
        <f t="shared" si="2711"/>
        <v>公安委員会</v>
      </c>
      <c r="R7526" s="8" t="str">
        <f t="shared" si="2719"/>
        <v>阿倍野警察署</v>
      </c>
    </row>
    <row r="7527" spans="1:18" x14ac:dyDescent="0.45">
      <c r="A7527" s="8" t="str">
        <f>"11542000000"</f>
        <v>11542000000</v>
      </c>
      <c r="B7527" s="8" t="str">
        <f>"阿倍野警察署"</f>
        <v>阿倍野警察署</v>
      </c>
      <c r="C7527" s="8" t="str">
        <f t="shared" si="2712"/>
        <v>行政財産</v>
      </c>
      <c r="D7527" s="8" t="str">
        <f t="shared" si="2713"/>
        <v>警察（消防）施設</v>
      </c>
      <c r="E7527" s="8" t="str">
        <f>"大阪府大阪市　阿倍野区阿倍野筋５丁目"</f>
        <v>大阪府大阪市　阿倍野区阿倍野筋５丁目</v>
      </c>
      <c r="F7527" s="8"/>
      <c r="G7527" s="8" t="str">
        <f t="shared" si="2718"/>
        <v>事業用資産</v>
      </c>
      <c r="H7527" s="8" t="str">
        <f t="shared" si="2715"/>
        <v>棚卸以外</v>
      </c>
      <c r="I7527" s="8">
        <v>26</v>
      </c>
      <c r="J7527" s="8" t="str">
        <f>"倉庫"</f>
        <v>倉庫</v>
      </c>
      <c r="K7527" s="8" t="str">
        <f>"プレハブ"</f>
        <v>プレハブ</v>
      </c>
      <c r="L7527" s="8" t="str">
        <f>"H12.03.15"</f>
        <v>H12.03.15</v>
      </c>
      <c r="M7527" s="8">
        <v>5.42</v>
      </c>
      <c r="N7527" s="8">
        <v>189000</v>
      </c>
      <c r="O7527" s="8">
        <v>181332</v>
      </c>
      <c r="P7527" s="8">
        <v>0</v>
      </c>
      <c r="Q7527" s="8" t="str">
        <f t="shared" si="2711"/>
        <v>公安委員会</v>
      </c>
      <c r="R7527" s="8" t="str">
        <f t="shared" si="2719"/>
        <v>阿倍野警察署</v>
      </c>
    </row>
    <row r="7528" spans="1:18" ht="26.4" x14ac:dyDescent="0.45">
      <c r="A7528" s="8" t="str">
        <f>"11542000120"</f>
        <v>11542000120</v>
      </c>
      <c r="B7528" s="8" t="str">
        <f>"高松交番"</f>
        <v>高松交番</v>
      </c>
      <c r="C7528" s="8" t="str">
        <f t="shared" si="2712"/>
        <v>行政財産</v>
      </c>
      <c r="D7528" s="8" t="str">
        <f t="shared" si="2713"/>
        <v>警察（消防）施設</v>
      </c>
      <c r="E7528" s="8" t="str">
        <f>"大阪府大阪市　阿倍野区天王寺町北３丁目"</f>
        <v>大阪府大阪市　阿倍野区天王寺町北３丁目</v>
      </c>
      <c r="F7528" s="8"/>
      <c r="G7528" s="8" t="str">
        <f t="shared" si="2718"/>
        <v>事業用資産</v>
      </c>
      <c r="H7528" s="8" t="str">
        <f t="shared" si="2715"/>
        <v>棚卸以外</v>
      </c>
      <c r="I7528" s="8">
        <v>2</v>
      </c>
      <c r="J7528" s="8" t="str">
        <f>"高松交番"</f>
        <v>高松交番</v>
      </c>
      <c r="K7528" s="8" t="str">
        <f>"鉄筋コンクリート造"</f>
        <v>鉄筋コンクリート造</v>
      </c>
      <c r="L7528" s="8" t="str">
        <f>"S41.12.23"</f>
        <v>S41.12.23</v>
      </c>
      <c r="M7528" s="8">
        <v>35.06</v>
      </c>
      <c r="N7528" s="8">
        <v>1732763</v>
      </c>
      <c r="O7528" s="8">
        <v>1675663</v>
      </c>
      <c r="P7528" s="8">
        <v>0</v>
      </c>
      <c r="Q7528" s="8" t="str">
        <f t="shared" si="2711"/>
        <v>公安委員会</v>
      </c>
      <c r="R7528" s="8" t="str">
        <f t="shared" si="2719"/>
        <v>阿倍野警察署</v>
      </c>
    </row>
    <row r="7529" spans="1:18" x14ac:dyDescent="0.45">
      <c r="A7529" s="8" t="str">
        <f>"11542000200"</f>
        <v>11542000200</v>
      </c>
      <c r="B7529" s="8" t="str">
        <f>"西田辺交番"</f>
        <v>西田辺交番</v>
      </c>
      <c r="C7529" s="8" t="str">
        <f t="shared" si="2712"/>
        <v>行政財産</v>
      </c>
      <c r="D7529" s="8" t="str">
        <f t="shared" si="2713"/>
        <v>警察（消防）施設</v>
      </c>
      <c r="E7529" s="8" t="str">
        <f>"大阪府大阪市　阿倍野区昭和町５丁目"</f>
        <v>大阪府大阪市　阿倍野区昭和町５丁目</v>
      </c>
      <c r="F7529" s="8"/>
      <c r="G7529" s="8" t="str">
        <f t="shared" si="2718"/>
        <v>事業用資産</v>
      </c>
      <c r="H7529" s="8" t="str">
        <f t="shared" si="2715"/>
        <v>棚卸以外</v>
      </c>
      <c r="I7529" s="8">
        <v>2</v>
      </c>
      <c r="J7529" s="8" t="str">
        <f>"西田辺交番"</f>
        <v>西田辺交番</v>
      </c>
      <c r="K7529" s="8" t="str">
        <f>"軽量鉄骨造"</f>
        <v>軽量鉄骨造</v>
      </c>
      <c r="L7529" s="8" t="str">
        <f>"S45.03.30"</f>
        <v>S45.03.30</v>
      </c>
      <c r="M7529" s="8">
        <v>34.5</v>
      </c>
      <c r="N7529" s="8">
        <v>2323390</v>
      </c>
      <c r="O7529" s="8">
        <v>2238230</v>
      </c>
      <c r="P7529" s="8">
        <v>0</v>
      </c>
      <c r="Q7529" s="8" t="str">
        <f t="shared" si="2711"/>
        <v>公安委員会</v>
      </c>
      <c r="R7529" s="8" t="str">
        <f t="shared" si="2719"/>
        <v>阿倍野警察署</v>
      </c>
    </row>
    <row r="7530" spans="1:18" x14ac:dyDescent="0.45">
      <c r="A7530" s="8" t="str">
        <f>"11542000270"</f>
        <v>11542000270</v>
      </c>
      <c r="B7530" s="8" t="str">
        <f>"相生通警ら連絡所"</f>
        <v>相生通警ら連絡所</v>
      </c>
      <c r="C7530" s="8" t="str">
        <f t="shared" si="2712"/>
        <v>行政財産</v>
      </c>
      <c r="D7530" s="8" t="str">
        <f t="shared" si="2713"/>
        <v>警察（消防）施設</v>
      </c>
      <c r="E7530" s="8" t="str">
        <f>"大阪府大阪市　阿倍野区相生通１丁目"</f>
        <v>大阪府大阪市　阿倍野区相生通１丁目</v>
      </c>
      <c r="F7530" s="8"/>
      <c r="G7530" s="8" t="str">
        <f t="shared" si="2718"/>
        <v>事業用資産</v>
      </c>
      <c r="H7530" s="8" t="str">
        <f t="shared" si="2715"/>
        <v>棚卸以外</v>
      </c>
      <c r="I7530" s="8">
        <v>2</v>
      </c>
      <c r="J7530" s="8" t="str">
        <f>"相生通警ら連絡所"</f>
        <v>相生通警ら連絡所</v>
      </c>
      <c r="K7530" s="8" t="str">
        <f>"鉄筋コンクリート造"</f>
        <v>鉄筋コンクリート造</v>
      </c>
      <c r="L7530" s="8" t="str">
        <f>"H14.09.02"</f>
        <v>H14.09.02</v>
      </c>
      <c r="M7530" s="8">
        <v>26.25</v>
      </c>
      <c r="N7530" s="8">
        <v>6993000</v>
      </c>
      <c r="O7530" s="8">
        <v>2867130</v>
      </c>
      <c r="P7530" s="8">
        <v>0</v>
      </c>
      <c r="Q7530" s="8" t="str">
        <f t="shared" si="2711"/>
        <v>公安委員会</v>
      </c>
      <c r="R7530" s="8" t="str">
        <f t="shared" si="2719"/>
        <v>阿倍野警察署</v>
      </c>
    </row>
    <row r="7531" spans="1:18" x14ac:dyDescent="0.45">
      <c r="A7531" s="8" t="str">
        <f>"11542000320"</f>
        <v>11542000320</v>
      </c>
      <c r="B7531" s="8" t="str">
        <f>"阪南町交番"</f>
        <v>阪南町交番</v>
      </c>
      <c r="C7531" s="8" t="str">
        <f t="shared" si="2712"/>
        <v>行政財産</v>
      </c>
      <c r="D7531" s="8" t="str">
        <f t="shared" si="2713"/>
        <v>警察（消防）施設</v>
      </c>
      <c r="E7531" s="8" t="str">
        <f>"大阪府大阪市　阿倍野区阪南町２丁目"</f>
        <v>大阪府大阪市　阿倍野区阪南町２丁目</v>
      </c>
      <c r="F7531" s="8"/>
      <c r="G7531" s="8" t="str">
        <f t="shared" si="2718"/>
        <v>事業用資産</v>
      </c>
      <c r="H7531" s="8" t="str">
        <f t="shared" si="2715"/>
        <v>棚卸以外</v>
      </c>
      <c r="I7531" s="8">
        <v>3</v>
      </c>
      <c r="J7531" s="8" t="str">
        <f>"阪南町交番"</f>
        <v>阪南町交番</v>
      </c>
      <c r="K7531" s="8" t="str">
        <f>"軽量鉄骨造"</f>
        <v>軽量鉄骨造</v>
      </c>
      <c r="L7531" s="8" t="str">
        <f>"H23.03.30"</f>
        <v>H23.03.30</v>
      </c>
      <c r="M7531" s="8">
        <v>118.58</v>
      </c>
      <c r="N7531" s="8">
        <v>23430589</v>
      </c>
      <c r="O7531" s="8">
        <v>9350360</v>
      </c>
      <c r="P7531" s="8">
        <v>0</v>
      </c>
      <c r="Q7531" s="8" t="str">
        <f t="shared" si="2711"/>
        <v>公安委員会</v>
      </c>
      <c r="R7531" s="8" t="str">
        <f t="shared" si="2719"/>
        <v>阿倍野警察署</v>
      </c>
    </row>
    <row r="7532" spans="1:18" x14ac:dyDescent="0.45">
      <c r="A7532" s="8" t="str">
        <f>"11542000330"</f>
        <v>11542000330</v>
      </c>
      <c r="B7532" s="8" t="str">
        <f>"晴明丘交番"</f>
        <v>晴明丘交番</v>
      </c>
      <c r="C7532" s="8" t="str">
        <f t="shared" si="2712"/>
        <v>行政財産</v>
      </c>
      <c r="D7532" s="8" t="str">
        <f t="shared" si="2713"/>
        <v>警察（消防）施設</v>
      </c>
      <c r="E7532" s="8" t="str">
        <f>"大阪府大阪市　阿倍野区北畠１丁目"</f>
        <v>大阪府大阪市　阿倍野区北畠１丁目</v>
      </c>
      <c r="F7532" s="8"/>
      <c r="G7532" s="8" t="str">
        <f t="shared" si="2718"/>
        <v>事業用資産</v>
      </c>
      <c r="H7532" s="8" t="str">
        <f t="shared" si="2715"/>
        <v>棚卸以外</v>
      </c>
      <c r="I7532" s="8">
        <v>1</v>
      </c>
      <c r="J7532" s="8" t="str">
        <f>"晴明丘交番"</f>
        <v>晴明丘交番</v>
      </c>
      <c r="K7532" s="8" t="str">
        <f>"鉄筋コンクリート造"</f>
        <v>鉄筋コンクリート造</v>
      </c>
      <c r="L7532" s="8" t="str">
        <f>"S53.03.13"</f>
        <v>S53.03.13</v>
      </c>
      <c r="M7532" s="8">
        <v>102.6</v>
      </c>
      <c r="N7532" s="8">
        <v>14216804</v>
      </c>
      <c r="O7532" s="8">
        <v>12675626</v>
      </c>
      <c r="P7532" s="8">
        <v>0</v>
      </c>
      <c r="Q7532" s="8" t="str">
        <f t="shared" si="2711"/>
        <v>公安委員会</v>
      </c>
      <c r="R7532" s="8" t="str">
        <f t="shared" si="2719"/>
        <v>阿倍野警察署</v>
      </c>
    </row>
    <row r="7533" spans="1:18" x14ac:dyDescent="0.45">
      <c r="A7533" s="8" t="str">
        <f>"11542000360"</f>
        <v>11542000360</v>
      </c>
      <c r="B7533" s="8" t="str">
        <f>"西田辺交通警察官詰所"</f>
        <v>西田辺交通警察官詰所</v>
      </c>
      <c r="C7533" s="8" t="str">
        <f t="shared" si="2712"/>
        <v>行政財産</v>
      </c>
      <c r="D7533" s="8" t="str">
        <f t="shared" si="2713"/>
        <v>警察（消防）施設</v>
      </c>
      <c r="E7533" s="8" t="str">
        <f>"大阪府大阪市　阿倍野区阪南町５丁目"</f>
        <v>大阪府大阪市　阿倍野区阪南町５丁目</v>
      </c>
      <c r="F7533" s="8"/>
      <c r="G7533" s="8" t="str">
        <f t="shared" si="2718"/>
        <v>事業用資産</v>
      </c>
      <c r="H7533" s="8" t="str">
        <f t="shared" si="2715"/>
        <v>棚卸以外</v>
      </c>
      <c r="I7533" s="8">
        <v>2</v>
      </c>
      <c r="J7533" s="8" t="str">
        <f>"西田辺交通警察官詰所"</f>
        <v>西田辺交通警察官詰所</v>
      </c>
      <c r="K7533" s="8" t="str">
        <f>"鉄骨造"</f>
        <v>鉄骨造</v>
      </c>
      <c r="L7533" s="8" t="str">
        <f>"H07.09.22"</f>
        <v>H07.09.22</v>
      </c>
      <c r="M7533" s="8">
        <v>9.7200000000000006</v>
      </c>
      <c r="N7533" s="8">
        <v>7267000</v>
      </c>
      <c r="O7533" s="8">
        <v>5259210</v>
      </c>
      <c r="P7533" s="8">
        <v>0</v>
      </c>
      <c r="Q7533" s="8" t="str">
        <f t="shared" si="2711"/>
        <v>公安委員会</v>
      </c>
      <c r="R7533" s="8" t="str">
        <f t="shared" si="2719"/>
        <v>阿倍野警察署</v>
      </c>
    </row>
    <row r="7534" spans="1:18" x14ac:dyDescent="0.45">
      <c r="A7534" s="8" t="str">
        <f>"11542000370"</f>
        <v>11542000370</v>
      </c>
      <c r="B7534" s="8" t="str">
        <f>"聖天山公園交番"</f>
        <v>聖天山公園交番</v>
      </c>
      <c r="C7534" s="8" t="str">
        <f t="shared" si="2712"/>
        <v>行政財産</v>
      </c>
      <c r="D7534" s="8" t="str">
        <f t="shared" si="2713"/>
        <v>警察（消防）施設</v>
      </c>
      <c r="E7534" s="8" t="str">
        <f>"大阪府大阪市　阿倍野区松虫通３丁目"</f>
        <v>大阪府大阪市　阿倍野区松虫通３丁目</v>
      </c>
      <c r="F7534" s="8"/>
      <c r="G7534" s="8" t="str">
        <f t="shared" si="2718"/>
        <v>事業用資産</v>
      </c>
      <c r="H7534" s="8" t="str">
        <f t="shared" si="2715"/>
        <v>棚卸以外</v>
      </c>
      <c r="I7534" s="8">
        <v>1</v>
      </c>
      <c r="J7534" s="8" t="str">
        <f>"聖天山公園交番"</f>
        <v>聖天山公園交番</v>
      </c>
      <c r="K7534" s="8" t="str">
        <f>"鉄筋コンクリート造"</f>
        <v>鉄筋コンクリート造</v>
      </c>
      <c r="L7534" s="8" t="str">
        <f>"H03.02.12"</f>
        <v>H03.02.12</v>
      </c>
      <c r="M7534" s="8">
        <v>53</v>
      </c>
      <c r="N7534" s="8">
        <v>15601984</v>
      </c>
      <c r="O7534" s="8">
        <v>9974982</v>
      </c>
      <c r="P7534" s="8">
        <v>0</v>
      </c>
      <c r="Q7534" s="8" t="str">
        <f t="shared" si="2711"/>
        <v>公安委員会</v>
      </c>
      <c r="R7534" s="8" t="str">
        <f t="shared" si="2719"/>
        <v>阿倍野警察署</v>
      </c>
    </row>
    <row r="7535" spans="1:18" x14ac:dyDescent="0.45">
      <c r="A7535" s="8" t="str">
        <f>"11542000380"</f>
        <v>11542000380</v>
      </c>
      <c r="B7535" s="8" t="str">
        <f>"三明町交番"</f>
        <v>三明町交番</v>
      </c>
      <c r="C7535" s="8" t="str">
        <f t="shared" si="2712"/>
        <v>行政財産</v>
      </c>
      <c r="D7535" s="8" t="str">
        <f t="shared" si="2713"/>
        <v>警察（消防）施設</v>
      </c>
      <c r="E7535" s="8" t="str">
        <f>"大阪府大阪市　阿倍野区三明町１丁目"</f>
        <v>大阪府大阪市　阿倍野区三明町１丁目</v>
      </c>
      <c r="F7535" s="8"/>
      <c r="G7535" s="8" t="str">
        <f t="shared" si="2718"/>
        <v>事業用資産</v>
      </c>
      <c r="H7535" s="8" t="str">
        <f t="shared" si="2715"/>
        <v>棚卸以外</v>
      </c>
      <c r="I7535" s="8">
        <v>1</v>
      </c>
      <c r="J7535" s="8" t="str">
        <f>"三明町交番"</f>
        <v>三明町交番</v>
      </c>
      <c r="K7535" s="8" t="str">
        <f>"鉄筋コンクリート造"</f>
        <v>鉄筋コンクリート造</v>
      </c>
      <c r="L7535" s="8" t="str">
        <f>"H05.03.31"</f>
        <v>H05.03.31</v>
      </c>
      <c r="M7535" s="8">
        <v>112.02</v>
      </c>
      <c r="N7535" s="8">
        <v>30631754</v>
      </c>
      <c r="O7535" s="8">
        <v>18344752</v>
      </c>
      <c r="P7535" s="8">
        <v>0</v>
      </c>
      <c r="Q7535" s="8" t="str">
        <f t="shared" si="2711"/>
        <v>公安委員会</v>
      </c>
      <c r="R7535" s="8" t="str">
        <f t="shared" si="2719"/>
        <v>阿倍野警察署</v>
      </c>
    </row>
    <row r="7536" spans="1:18" x14ac:dyDescent="0.45">
      <c r="A7536" s="8" t="str">
        <f>"11542000380"</f>
        <v>11542000380</v>
      </c>
      <c r="B7536" s="8" t="str">
        <f>"三明町交番"</f>
        <v>三明町交番</v>
      </c>
      <c r="C7536" s="8" t="str">
        <f t="shared" si="2712"/>
        <v>行政財産</v>
      </c>
      <c r="D7536" s="8" t="str">
        <f t="shared" si="2713"/>
        <v>警察（消防）施設</v>
      </c>
      <c r="E7536" s="8" t="str">
        <f>"大阪府大阪市　阿倍野区三明町１丁目"</f>
        <v>大阪府大阪市　阿倍野区三明町１丁目</v>
      </c>
      <c r="F7536" s="8"/>
      <c r="G7536" s="8" t="str">
        <f t="shared" si="2718"/>
        <v>事業用資産</v>
      </c>
      <c r="H7536" s="8" t="str">
        <f t="shared" si="2715"/>
        <v>棚卸以外</v>
      </c>
      <c r="I7536" s="8">
        <v>2</v>
      </c>
      <c r="J7536" s="8" t="str">
        <f>"自転車置場"</f>
        <v>自転車置場</v>
      </c>
      <c r="K7536" s="8" t="str">
        <f>"鉄骨造"</f>
        <v>鉄骨造</v>
      </c>
      <c r="L7536" s="8" t="str">
        <f>"H05.03.31"</f>
        <v>H05.03.31</v>
      </c>
      <c r="M7536" s="8">
        <v>5.6</v>
      </c>
      <c r="N7536" s="8">
        <v>275000</v>
      </c>
      <c r="O7536" s="8">
        <v>266400</v>
      </c>
      <c r="P7536" s="8">
        <v>0</v>
      </c>
      <c r="Q7536" s="8" t="str">
        <f t="shared" si="2711"/>
        <v>公安委員会</v>
      </c>
      <c r="R7536" s="8" t="str">
        <f t="shared" si="2719"/>
        <v>阿倍野警察署</v>
      </c>
    </row>
    <row r="7537" spans="1:18" x14ac:dyDescent="0.45">
      <c r="A7537" s="8" t="str">
        <f>"11542000400"</f>
        <v>11542000400</v>
      </c>
      <c r="B7537" s="8" t="str">
        <f>"金塚交番"</f>
        <v>金塚交番</v>
      </c>
      <c r="C7537" s="8" t="str">
        <f t="shared" si="2712"/>
        <v>行政財産</v>
      </c>
      <c r="D7537" s="8" t="str">
        <f t="shared" si="2713"/>
        <v>警察（消防）施設</v>
      </c>
      <c r="E7537" s="8" t="str">
        <f>"大阪府大阪市　阿倍野区旭町２丁目"</f>
        <v>大阪府大阪市　阿倍野区旭町２丁目</v>
      </c>
      <c r="F7537" s="8"/>
      <c r="G7537" s="8" t="str">
        <f t="shared" si="2718"/>
        <v>事業用資産</v>
      </c>
      <c r="H7537" s="8" t="str">
        <f t="shared" si="2715"/>
        <v>棚卸以外</v>
      </c>
      <c r="I7537" s="8">
        <v>1</v>
      </c>
      <c r="J7537" s="8" t="str">
        <f>"金塚交番"</f>
        <v>金塚交番</v>
      </c>
      <c r="K7537" s="8" t="str">
        <f>"鉄骨造"</f>
        <v>鉄骨造</v>
      </c>
      <c r="L7537" s="8" t="str">
        <f>"H09.11.14"</f>
        <v>H09.11.14</v>
      </c>
      <c r="M7537" s="8">
        <v>53.58</v>
      </c>
      <c r="N7537" s="8">
        <v>17918541</v>
      </c>
      <c r="O7537" s="8">
        <v>11909936</v>
      </c>
      <c r="P7537" s="8">
        <v>0</v>
      </c>
      <c r="Q7537" s="8" t="str">
        <f t="shared" si="2711"/>
        <v>公安委員会</v>
      </c>
      <c r="R7537" s="8" t="str">
        <f t="shared" si="2719"/>
        <v>阿倍野警察署</v>
      </c>
    </row>
    <row r="7538" spans="1:18" x14ac:dyDescent="0.45">
      <c r="A7538" s="8" t="str">
        <f>"11542000400"</f>
        <v>11542000400</v>
      </c>
      <c r="B7538" s="8" t="str">
        <f>"金塚交番"</f>
        <v>金塚交番</v>
      </c>
      <c r="C7538" s="8" t="str">
        <f t="shared" si="2712"/>
        <v>行政財産</v>
      </c>
      <c r="D7538" s="8" t="str">
        <f t="shared" si="2713"/>
        <v>警察（消防）施設</v>
      </c>
      <c r="E7538" s="8" t="str">
        <f>"大阪府大阪市　阿倍野区旭町２丁目"</f>
        <v>大阪府大阪市　阿倍野区旭町２丁目</v>
      </c>
      <c r="F7538" s="8"/>
      <c r="G7538" s="8" t="str">
        <f t="shared" si="2718"/>
        <v>事業用資産</v>
      </c>
      <c r="H7538" s="8" t="str">
        <f t="shared" si="2715"/>
        <v>棚卸以外</v>
      </c>
      <c r="I7538" s="8">
        <v>2</v>
      </c>
      <c r="J7538" s="8" t="str">
        <f>"自転車置場"</f>
        <v>自転車置場</v>
      </c>
      <c r="K7538" s="8" t="str">
        <f>"鉄骨造"</f>
        <v>鉄骨造</v>
      </c>
      <c r="L7538" s="8" t="str">
        <f>"H09.11.14"</f>
        <v>H09.11.14</v>
      </c>
      <c r="M7538" s="8">
        <v>6.75</v>
      </c>
      <c r="N7538" s="8">
        <v>742000</v>
      </c>
      <c r="O7538" s="8">
        <v>606480</v>
      </c>
      <c r="P7538" s="8">
        <v>0</v>
      </c>
      <c r="Q7538" s="8" t="str">
        <f t="shared" si="2711"/>
        <v>公安委員会</v>
      </c>
      <c r="R7538" s="8" t="str">
        <f t="shared" si="2719"/>
        <v>阿倍野警察署</v>
      </c>
    </row>
    <row r="7539" spans="1:18" x14ac:dyDescent="0.45">
      <c r="A7539" s="8" t="str">
        <f t="shared" ref="A7539:A7546" si="2720">"11543000000"</f>
        <v>11543000000</v>
      </c>
      <c r="B7539" s="8" t="str">
        <f t="shared" ref="B7539:B7546" si="2721">"住之江警察署"</f>
        <v>住之江警察署</v>
      </c>
      <c r="C7539" s="8" t="str">
        <f t="shared" si="2712"/>
        <v>行政財産</v>
      </c>
      <c r="D7539" s="8" t="str">
        <f t="shared" si="2713"/>
        <v>警察（消防）施設</v>
      </c>
      <c r="E7539" s="8" t="str">
        <f t="shared" ref="E7539:E7546" si="2722">"大阪府大阪市　住之江区新北島３丁目"</f>
        <v>大阪府大阪市　住之江区新北島３丁目</v>
      </c>
      <c r="F7539" s="8"/>
      <c r="G7539" s="8" t="str">
        <f t="shared" si="2718"/>
        <v>事業用資産</v>
      </c>
      <c r="H7539" s="8" t="str">
        <f t="shared" si="2715"/>
        <v>棚卸以外</v>
      </c>
      <c r="I7539" s="8">
        <v>1</v>
      </c>
      <c r="J7539" s="8" t="str">
        <f>"庁舎"</f>
        <v>庁舎</v>
      </c>
      <c r="K7539" s="8" t="str">
        <f>"鉄筋コンクリート造"</f>
        <v>鉄筋コンクリート造</v>
      </c>
      <c r="L7539" s="8" t="str">
        <f>"S58.02.17"</f>
        <v>S58.02.17</v>
      </c>
      <c r="M7539" s="8">
        <v>3303.75</v>
      </c>
      <c r="N7539" s="8">
        <v>798932532</v>
      </c>
      <c r="O7539" s="8">
        <v>635576978</v>
      </c>
      <c r="P7539" s="8">
        <v>0</v>
      </c>
      <c r="Q7539" s="8" t="str">
        <f t="shared" ref="Q7539:Q7602" si="2723">"公安委員会"</f>
        <v>公安委員会</v>
      </c>
      <c r="R7539" s="8" t="str">
        <f t="shared" ref="R7539:R7558" si="2724">"住之江警察署"</f>
        <v>住之江警察署</v>
      </c>
    </row>
    <row r="7540" spans="1:18" x14ac:dyDescent="0.45">
      <c r="A7540" s="8" t="str">
        <f t="shared" si="2720"/>
        <v>11543000000</v>
      </c>
      <c r="B7540" s="8" t="str">
        <f t="shared" si="2721"/>
        <v>住之江警察署</v>
      </c>
      <c r="C7540" s="8" t="str">
        <f t="shared" si="2712"/>
        <v>行政財産</v>
      </c>
      <c r="D7540" s="8" t="str">
        <f t="shared" si="2713"/>
        <v>警察（消防）施設</v>
      </c>
      <c r="E7540" s="8" t="str">
        <f t="shared" si="2722"/>
        <v>大阪府大阪市　住之江区新北島３丁目</v>
      </c>
      <c r="F7540" s="8"/>
      <c r="G7540" s="8" t="str">
        <f t="shared" si="2718"/>
        <v>事業用資産</v>
      </c>
      <c r="H7540" s="8" t="str">
        <f t="shared" si="2715"/>
        <v>棚卸以外</v>
      </c>
      <c r="I7540" s="8">
        <v>2</v>
      </c>
      <c r="J7540" s="8" t="str">
        <f>"車庫及び倉庫"</f>
        <v>車庫及び倉庫</v>
      </c>
      <c r="K7540" s="8" t="str">
        <f>"鉄骨造"</f>
        <v>鉄骨造</v>
      </c>
      <c r="L7540" s="8" t="str">
        <f>"S58.02.17"</f>
        <v>S58.02.17</v>
      </c>
      <c r="M7540" s="8">
        <v>328.57</v>
      </c>
      <c r="N7540" s="8">
        <v>23469600</v>
      </c>
      <c r="O7540" s="8">
        <v>23397209</v>
      </c>
      <c r="P7540" s="8">
        <v>0</v>
      </c>
      <c r="Q7540" s="8" t="str">
        <f t="shared" si="2723"/>
        <v>公安委員会</v>
      </c>
      <c r="R7540" s="8" t="str">
        <f t="shared" si="2724"/>
        <v>住之江警察署</v>
      </c>
    </row>
    <row r="7541" spans="1:18" x14ac:dyDescent="0.45">
      <c r="A7541" s="8" t="str">
        <f t="shared" si="2720"/>
        <v>11543000000</v>
      </c>
      <c r="B7541" s="8" t="str">
        <f t="shared" si="2721"/>
        <v>住之江警察署</v>
      </c>
      <c r="C7541" s="8" t="str">
        <f t="shared" si="2712"/>
        <v>行政財産</v>
      </c>
      <c r="D7541" s="8" t="str">
        <f t="shared" si="2713"/>
        <v>警察（消防）施設</v>
      </c>
      <c r="E7541" s="8" t="str">
        <f t="shared" si="2722"/>
        <v>大阪府大阪市　住之江区新北島３丁目</v>
      </c>
      <c r="F7541" s="8"/>
      <c r="G7541" s="8" t="str">
        <f t="shared" si="2718"/>
        <v>事業用資産</v>
      </c>
      <c r="H7541" s="8" t="str">
        <f t="shared" si="2715"/>
        <v>棚卸以外</v>
      </c>
      <c r="I7541" s="8">
        <v>3</v>
      </c>
      <c r="J7541" s="8" t="str">
        <f>"大型車庫"</f>
        <v>大型車庫</v>
      </c>
      <c r="K7541" s="8" t="str">
        <f>"鉄骨造"</f>
        <v>鉄骨造</v>
      </c>
      <c r="L7541" s="8" t="str">
        <f>"S58.02.17"</f>
        <v>S58.02.17</v>
      </c>
      <c r="M7541" s="8">
        <v>54.24</v>
      </c>
      <c r="N7541" s="8">
        <v>5467000</v>
      </c>
      <c r="O7541" s="8">
        <v>5466999</v>
      </c>
      <c r="P7541" s="8">
        <v>0</v>
      </c>
      <c r="Q7541" s="8" t="str">
        <f t="shared" si="2723"/>
        <v>公安委員会</v>
      </c>
      <c r="R7541" s="8" t="str">
        <f t="shared" si="2724"/>
        <v>住之江警察署</v>
      </c>
    </row>
    <row r="7542" spans="1:18" x14ac:dyDescent="0.45">
      <c r="A7542" s="8" t="str">
        <f t="shared" si="2720"/>
        <v>11543000000</v>
      </c>
      <c r="B7542" s="8" t="str">
        <f t="shared" si="2721"/>
        <v>住之江警察署</v>
      </c>
      <c r="C7542" s="8" t="str">
        <f t="shared" ref="C7542:C7605" si="2725">"行政財産"</f>
        <v>行政財産</v>
      </c>
      <c r="D7542" s="8" t="str">
        <f t="shared" si="2713"/>
        <v>警察（消防）施設</v>
      </c>
      <c r="E7542" s="8" t="str">
        <f t="shared" si="2722"/>
        <v>大阪府大阪市　住之江区新北島３丁目</v>
      </c>
      <c r="F7542" s="8"/>
      <c r="G7542" s="8" t="str">
        <f t="shared" si="2718"/>
        <v>事業用資産</v>
      </c>
      <c r="H7542" s="8" t="str">
        <f t="shared" si="2715"/>
        <v>棚卸以外</v>
      </c>
      <c r="I7542" s="8">
        <v>6</v>
      </c>
      <c r="J7542" s="8" t="str">
        <f>"署長公舎"</f>
        <v>署長公舎</v>
      </c>
      <c r="K7542" s="8" t="str">
        <f>"鉄筋コンクリート造"</f>
        <v>鉄筋コンクリート造</v>
      </c>
      <c r="L7542" s="8" t="str">
        <f>"S58.02.17"</f>
        <v>S58.02.17</v>
      </c>
      <c r="M7542" s="8">
        <v>87.65</v>
      </c>
      <c r="N7542" s="8">
        <v>18568243</v>
      </c>
      <c r="O7542" s="8">
        <v>15810905</v>
      </c>
      <c r="P7542" s="8">
        <v>0</v>
      </c>
      <c r="Q7542" s="8" t="str">
        <f t="shared" si="2723"/>
        <v>公安委員会</v>
      </c>
      <c r="R7542" s="8" t="str">
        <f t="shared" si="2724"/>
        <v>住之江警察署</v>
      </c>
    </row>
    <row r="7543" spans="1:18" x14ac:dyDescent="0.45">
      <c r="A7543" s="8" t="str">
        <f t="shared" si="2720"/>
        <v>11543000000</v>
      </c>
      <c r="B7543" s="8" t="str">
        <f t="shared" si="2721"/>
        <v>住之江警察署</v>
      </c>
      <c r="C7543" s="8" t="str">
        <f t="shared" si="2725"/>
        <v>行政財産</v>
      </c>
      <c r="D7543" s="8" t="str">
        <f t="shared" si="2713"/>
        <v>警察（消防）施設</v>
      </c>
      <c r="E7543" s="8" t="str">
        <f t="shared" si="2722"/>
        <v>大阪府大阪市　住之江区新北島３丁目</v>
      </c>
      <c r="F7543" s="8"/>
      <c r="G7543" s="8" t="str">
        <f t="shared" si="2718"/>
        <v>事業用資産</v>
      </c>
      <c r="H7543" s="8" t="str">
        <f t="shared" si="2715"/>
        <v>棚卸以外</v>
      </c>
      <c r="I7543" s="8">
        <v>7</v>
      </c>
      <c r="J7543" s="8" t="str">
        <f>"物置"</f>
        <v>物置</v>
      </c>
      <c r="K7543" s="8" t="str">
        <f>"プレハブ"</f>
        <v>プレハブ</v>
      </c>
      <c r="L7543" s="8" t="str">
        <f>"H04.09.29"</f>
        <v>H04.09.29</v>
      </c>
      <c r="M7543" s="8">
        <v>16.98</v>
      </c>
      <c r="N7543" s="8">
        <v>876000</v>
      </c>
      <c r="O7543" s="8">
        <v>875999</v>
      </c>
      <c r="P7543" s="8">
        <v>0</v>
      </c>
      <c r="Q7543" s="8" t="str">
        <f t="shared" si="2723"/>
        <v>公安委員会</v>
      </c>
      <c r="R7543" s="8" t="str">
        <f t="shared" si="2724"/>
        <v>住之江警察署</v>
      </c>
    </row>
    <row r="7544" spans="1:18" x14ac:dyDescent="0.45">
      <c r="A7544" s="8" t="str">
        <f t="shared" si="2720"/>
        <v>11543000000</v>
      </c>
      <c r="B7544" s="8" t="str">
        <f t="shared" si="2721"/>
        <v>住之江警察署</v>
      </c>
      <c r="C7544" s="8" t="str">
        <f t="shared" si="2725"/>
        <v>行政財産</v>
      </c>
      <c r="D7544" s="8" t="str">
        <f t="shared" si="2713"/>
        <v>警察（消防）施設</v>
      </c>
      <c r="E7544" s="8" t="str">
        <f t="shared" si="2722"/>
        <v>大阪府大阪市　住之江区新北島３丁目</v>
      </c>
      <c r="F7544" s="8"/>
      <c r="G7544" s="8" t="str">
        <f t="shared" si="2718"/>
        <v>事業用資産</v>
      </c>
      <c r="H7544" s="8" t="str">
        <f t="shared" si="2715"/>
        <v>棚卸以外</v>
      </c>
      <c r="I7544" s="8">
        <v>8</v>
      </c>
      <c r="J7544" s="8" t="str">
        <f>"自転車置場Ａ"</f>
        <v>自転車置場Ａ</v>
      </c>
      <c r="K7544" s="8" t="str">
        <f>"鉄骨造"</f>
        <v>鉄骨造</v>
      </c>
      <c r="L7544" s="8" t="str">
        <f>"H05.03.26"</f>
        <v>H05.03.26</v>
      </c>
      <c r="M7544" s="8">
        <v>11.4</v>
      </c>
      <c r="N7544" s="8">
        <v>715000</v>
      </c>
      <c r="O7544" s="8">
        <v>692280</v>
      </c>
      <c r="P7544" s="8">
        <v>0</v>
      </c>
      <c r="Q7544" s="8" t="str">
        <f t="shared" si="2723"/>
        <v>公安委員会</v>
      </c>
      <c r="R7544" s="8" t="str">
        <f t="shared" si="2724"/>
        <v>住之江警察署</v>
      </c>
    </row>
    <row r="7545" spans="1:18" x14ac:dyDescent="0.45">
      <c r="A7545" s="8" t="str">
        <f t="shared" si="2720"/>
        <v>11543000000</v>
      </c>
      <c r="B7545" s="8" t="str">
        <f t="shared" si="2721"/>
        <v>住之江警察署</v>
      </c>
      <c r="C7545" s="8" t="str">
        <f t="shared" si="2725"/>
        <v>行政財産</v>
      </c>
      <c r="D7545" s="8" t="str">
        <f t="shared" si="2713"/>
        <v>警察（消防）施設</v>
      </c>
      <c r="E7545" s="8" t="str">
        <f t="shared" si="2722"/>
        <v>大阪府大阪市　住之江区新北島３丁目</v>
      </c>
      <c r="F7545" s="8"/>
      <c r="G7545" s="8" t="str">
        <f t="shared" si="2718"/>
        <v>事業用資産</v>
      </c>
      <c r="H7545" s="8" t="str">
        <f t="shared" si="2715"/>
        <v>棚卸以外</v>
      </c>
      <c r="I7545" s="8">
        <v>9</v>
      </c>
      <c r="J7545" s="8" t="str">
        <f>"倉庫Ａ"</f>
        <v>倉庫Ａ</v>
      </c>
      <c r="K7545" s="8" t="str">
        <f>"プレハブ"</f>
        <v>プレハブ</v>
      </c>
      <c r="L7545" s="8" t="str">
        <f>"H09.11.21"</f>
        <v>H09.11.21</v>
      </c>
      <c r="M7545" s="8">
        <v>12.9</v>
      </c>
      <c r="N7545" s="8">
        <v>819000</v>
      </c>
      <c r="O7545" s="8">
        <v>818999</v>
      </c>
      <c r="P7545" s="8">
        <v>0</v>
      </c>
      <c r="Q7545" s="8" t="str">
        <f t="shared" si="2723"/>
        <v>公安委員会</v>
      </c>
      <c r="R7545" s="8" t="str">
        <f t="shared" si="2724"/>
        <v>住之江警察署</v>
      </c>
    </row>
    <row r="7546" spans="1:18" x14ac:dyDescent="0.45">
      <c r="A7546" s="8" t="str">
        <f t="shared" si="2720"/>
        <v>11543000000</v>
      </c>
      <c r="B7546" s="8" t="str">
        <f t="shared" si="2721"/>
        <v>住之江警察署</v>
      </c>
      <c r="C7546" s="8" t="str">
        <f t="shared" si="2725"/>
        <v>行政財産</v>
      </c>
      <c r="D7546" s="8" t="str">
        <f t="shared" si="2713"/>
        <v>警察（消防）施設</v>
      </c>
      <c r="E7546" s="8" t="str">
        <f t="shared" si="2722"/>
        <v>大阪府大阪市　住之江区新北島３丁目</v>
      </c>
      <c r="F7546" s="8"/>
      <c r="G7546" s="8" t="str">
        <f t="shared" si="2718"/>
        <v>事業用資産</v>
      </c>
      <c r="H7546" s="8" t="str">
        <f t="shared" si="2715"/>
        <v>棚卸以外</v>
      </c>
      <c r="I7546" s="8">
        <v>10</v>
      </c>
      <c r="J7546" s="8" t="str">
        <f>"倉庫Ｂ"</f>
        <v>倉庫Ｂ</v>
      </c>
      <c r="K7546" s="8" t="str">
        <f>"プレハブ"</f>
        <v>プレハブ</v>
      </c>
      <c r="L7546" s="8" t="str">
        <f>"H09.11.21"</f>
        <v>H09.11.21</v>
      </c>
      <c r="M7546" s="8">
        <v>12.9</v>
      </c>
      <c r="N7546" s="8">
        <v>819000</v>
      </c>
      <c r="O7546" s="8">
        <v>818999</v>
      </c>
      <c r="P7546" s="8">
        <v>0</v>
      </c>
      <c r="Q7546" s="8" t="str">
        <f t="shared" si="2723"/>
        <v>公安委員会</v>
      </c>
      <c r="R7546" s="8" t="str">
        <f t="shared" si="2724"/>
        <v>住之江警察署</v>
      </c>
    </row>
    <row r="7547" spans="1:18" x14ac:dyDescent="0.45">
      <c r="A7547" s="8" t="str">
        <f>"11543000100"</f>
        <v>11543000100</v>
      </c>
      <c r="B7547" s="8" t="str">
        <f>"住吉公園前交番"</f>
        <v>住吉公園前交番</v>
      </c>
      <c r="C7547" s="8" t="str">
        <f t="shared" si="2725"/>
        <v>行政財産</v>
      </c>
      <c r="D7547" s="8" t="str">
        <f t="shared" si="2713"/>
        <v>警察（消防）施設</v>
      </c>
      <c r="E7547" s="8" t="str">
        <f>"大阪府大阪市　住之江区浜口東１丁目"</f>
        <v>大阪府大阪市　住之江区浜口東１丁目</v>
      </c>
      <c r="F7547" s="8"/>
      <c r="G7547" s="8" t="str">
        <f t="shared" si="2718"/>
        <v>事業用資産</v>
      </c>
      <c r="H7547" s="8" t="str">
        <f t="shared" si="2715"/>
        <v>棚卸以外</v>
      </c>
      <c r="I7547" s="8">
        <v>1</v>
      </c>
      <c r="J7547" s="8" t="str">
        <f>"住吉公園前交番"</f>
        <v>住吉公園前交番</v>
      </c>
      <c r="K7547" s="8" t="str">
        <f>"鉄筋コンクリート造"</f>
        <v>鉄筋コンクリート造</v>
      </c>
      <c r="L7547" s="8" t="str">
        <f>"S42.03.28"</f>
        <v>S42.03.28</v>
      </c>
      <c r="M7547" s="8">
        <v>52.35</v>
      </c>
      <c r="N7547" s="8">
        <v>4903000</v>
      </c>
      <c r="O7547" s="8">
        <v>4902999</v>
      </c>
      <c r="P7547" s="8">
        <v>0</v>
      </c>
      <c r="Q7547" s="8" t="str">
        <f t="shared" si="2723"/>
        <v>公安委員会</v>
      </c>
      <c r="R7547" s="8" t="str">
        <f t="shared" si="2724"/>
        <v>住之江警察署</v>
      </c>
    </row>
    <row r="7548" spans="1:18" x14ac:dyDescent="0.45">
      <c r="A7548" s="8" t="str">
        <f>"11543000110"</f>
        <v>11543000110</v>
      </c>
      <c r="B7548" s="8" t="str">
        <f>"平林交番"</f>
        <v>平林交番</v>
      </c>
      <c r="C7548" s="8" t="str">
        <f t="shared" si="2725"/>
        <v>行政財産</v>
      </c>
      <c r="D7548" s="8" t="str">
        <f t="shared" ref="D7548:D7611" si="2726">"警察（消防）施設"</f>
        <v>警察（消防）施設</v>
      </c>
      <c r="E7548" s="8" t="str">
        <f>"大阪府大阪市　住之江区平林南２丁目"</f>
        <v>大阪府大阪市　住之江区平林南２丁目</v>
      </c>
      <c r="F7548" s="8"/>
      <c r="G7548" s="8" t="str">
        <f t="shared" si="2718"/>
        <v>事業用資産</v>
      </c>
      <c r="H7548" s="8" t="str">
        <f t="shared" si="2715"/>
        <v>棚卸以外</v>
      </c>
      <c r="I7548" s="8">
        <v>2</v>
      </c>
      <c r="J7548" s="8" t="str">
        <f>"平林交番"</f>
        <v>平林交番</v>
      </c>
      <c r="K7548" s="8" t="str">
        <f>"軽量鉄骨造"</f>
        <v>軽量鉄骨造</v>
      </c>
      <c r="L7548" s="8" t="str">
        <f>"H25.03.29"</f>
        <v>H25.03.29</v>
      </c>
      <c r="M7548" s="8">
        <v>46.3</v>
      </c>
      <c r="N7548" s="8">
        <v>18340178</v>
      </c>
      <c r="O7548" s="8">
        <v>6933840</v>
      </c>
      <c r="P7548" s="8">
        <v>0</v>
      </c>
      <c r="Q7548" s="8" t="str">
        <f t="shared" si="2723"/>
        <v>公安委員会</v>
      </c>
      <c r="R7548" s="8" t="str">
        <f t="shared" si="2724"/>
        <v>住之江警察署</v>
      </c>
    </row>
    <row r="7549" spans="1:18" x14ac:dyDescent="0.45">
      <c r="A7549" s="8" t="str">
        <f>"11543000120"</f>
        <v>11543000120</v>
      </c>
      <c r="B7549" s="8" t="str">
        <f>"北加賀屋交番"</f>
        <v>北加賀屋交番</v>
      </c>
      <c r="C7549" s="8" t="str">
        <f t="shared" si="2725"/>
        <v>行政財産</v>
      </c>
      <c r="D7549" s="8" t="str">
        <f t="shared" si="2726"/>
        <v>警察（消防）施設</v>
      </c>
      <c r="E7549" s="8" t="str">
        <f>"大阪府大阪市　住之江区北加賀屋５丁目"</f>
        <v>大阪府大阪市　住之江区北加賀屋５丁目</v>
      </c>
      <c r="F7549" s="8"/>
      <c r="G7549" s="8" t="str">
        <f t="shared" si="2718"/>
        <v>事業用資産</v>
      </c>
      <c r="H7549" s="8" t="str">
        <f t="shared" si="2715"/>
        <v>棚卸以外</v>
      </c>
      <c r="I7549" s="8">
        <v>2</v>
      </c>
      <c r="J7549" s="8" t="str">
        <f>"北加賀屋交番"</f>
        <v>北加賀屋交番</v>
      </c>
      <c r="K7549" s="8" t="str">
        <f>"鉄骨造"</f>
        <v>鉄骨造</v>
      </c>
      <c r="L7549" s="8" t="str">
        <f>"H12.03.24"</f>
        <v>H12.03.24</v>
      </c>
      <c r="M7549" s="8">
        <v>54.7</v>
      </c>
      <c r="N7549" s="8">
        <v>16735000</v>
      </c>
      <c r="O7549" s="8">
        <v>10129200</v>
      </c>
      <c r="P7549" s="8">
        <v>0</v>
      </c>
      <c r="Q7549" s="8" t="str">
        <f t="shared" si="2723"/>
        <v>公安委員会</v>
      </c>
      <c r="R7549" s="8" t="str">
        <f t="shared" si="2724"/>
        <v>住之江警察署</v>
      </c>
    </row>
    <row r="7550" spans="1:18" x14ac:dyDescent="0.45">
      <c r="A7550" s="8" t="str">
        <f>"11543000130"</f>
        <v>11543000130</v>
      </c>
      <c r="B7550" s="8" t="str">
        <f>"粉浜交番"</f>
        <v>粉浜交番</v>
      </c>
      <c r="C7550" s="8" t="str">
        <f t="shared" si="2725"/>
        <v>行政財産</v>
      </c>
      <c r="D7550" s="8" t="str">
        <f t="shared" si="2726"/>
        <v>警察（消防）施設</v>
      </c>
      <c r="E7550" s="8" t="str">
        <f>"大阪府大阪市　住之江区粉浜１丁目"</f>
        <v>大阪府大阪市　住之江区粉浜１丁目</v>
      </c>
      <c r="F7550" s="8"/>
      <c r="G7550" s="8" t="str">
        <f t="shared" si="2718"/>
        <v>事業用資産</v>
      </c>
      <c r="H7550" s="8" t="str">
        <f t="shared" si="2715"/>
        <v>棚卸以外</v>
      </c>
      <c r="I7550" s="8">
        <v>1</v>
      </c>
      <c r="J7550" s="8" t="str">
        <f>"粉浜交番"</f>
        <v>粉浜交番</v>
      </c>
      <c r="K7550" s="8" t="str">
        <f>"鉄筋コンクリート造"</f>
        <v>鉄筋コンクリート造</v>
      </c>
      <c r="L7550" s="8" t="str">
        <f>"S41.03.23"</f>
        <v>S41.03.23</v>
      </c>
      <c r="M7550" s="8">
        <v>28.46</v>
      </c>
      <c r="N7550" s="8">
        <v>4137396</v>
      </c>
      <c r="O7550" s="8">
        <v>3718799</v>
      </c>
      <c r="P7550" s="8">
        <v>0</v>
      </c>
      <c r="Q7550" s="8" t="str">
        <f t="shared" si="2723"/>
        <v>公安委員会</v>
      </c>
      <c r="R7550" s="8" t="str">
        <f t="shared" si="2724"/>
        <v>住之江警察署</v>
      </c>
    </row>
    <row r="7551" spans="1:18" x14ac:dyDescent="0.45">
      <c r="A7551" s="8" t="str">
        <f>"11543000140"</f>
        <v>11543000140</v>
      </c>
      <c r="B7551" s="8" t="str">
        <f>"中加賀屋交番"</f>
        <v>中加賀屋交番</v>
      </c>
      <c r="C7551" s="8" t="str">
        <f t="shared" si="2725"/>
        <v>行政財産</v>
      </c>
      <c r="D7551" s="8" t="str">
        <f t="shared" si="2726"/>
        <v>警察（消防）施設</v>
      </c>
      <c r="E7551" s="8" t="str">
        <f>"大阪府大阪市　住之江区中加賀屋１丁目"</f>
        <v>大阪府大阪市　住之江区中加賀屋１丁目</v>
      </c>
      <c r="F7551" s="8"/>
      <c r="G7551" s="8" t="str">
        <f t="shared" si="2718"/>
        <v>事業用資産</v>
      </c>
      <c r="H7551" s="8" t="str">
        <f t="shared" si="2715"/>
        <v>棚卸以外</v>
      </c>
      <c r="I7551" s="8">
        <v>3</v>
      </c>
      <c r="J7551" s="8" t="str">
        <f>"中加賀屋交番"</f>
        <v>中加賀屋交番</v>
      </c>
      <c r="K7551" s="8" t="str">
        <f>"軽量鉄骨造"</f>
        <v>軽量鉄骨造</v>
      </c>
      <c r="L7551" s="8" t="str">
        <f>"R01.12.13"</f>
        <v>R01.12.13</v>
      </c>
      <c r="M7551" s="8">
        <v>61.81</v>
      </c>
      <c r="N7551" s="8">
        <v>32230677</v>
      </c>
      <c r="O7551" s="8">
        <v>4002154</v>
      </c>
      <c r="P7551" s="8">
        <v>0</v>
      </c>
      <c r="Q7551" s="8" t="str">
        <f t="shared" si="2723"/>
        <v>公安委員会</v>
      </c>
      <c r="R7551" s="8" t="str">
        <f t="shared" si="2724"/>
        <v>住之江警察署</v>
      </c>
    </row>
    <row r="7552" spans="1:18" x14ac:dyDescent="0.45">
      <c r="A7552" s="8" t="str">
        <f>"11543000140"</f>
        <v>11543000140</v>
      </c>
      <c r="B7552" s="8" t="str">
        <f>"中加賀屋交番"</f>
        <v>中加賀屋交番</v>
      </c>
      <c r="C7552" s="8" t="str">
        <f t="shared" si="2725"/>
        <v>行政財産</v>
      </c>
      <c r="D7552" s="8" t="str">
        <f t="shared" si="2726"/>
        <v>警察（消防）施設</v>
      </c>
      <c r="E7552" s="8" t="str">
        <f>"大阪府大阪市　住之江区中加賀屋１丁目"</f>
        <v>大阪府大阪市　住之江区中加賀屋１丁目</v>
      </c>
      <c r="F7552" s="8"/>
      <c r="G7552" s="8" t="str">
        <f t="shared" si="2718"/>
        <v>事業用資産</v>
      </c>
      <c r="H7552" s="8" t="str">
        <f t="shared" si="2715"/>
        <v>棚卸以外</v>
      </c>
      <c r="I7552" s="8">
        <v>4</v>
      </c>
      <c r="J7552" s="8" t="str">
        <f>"防災倉庫"</f>
        <v>防災倉庫</v>
      </c>
      <c r="K7552" s="8" t="str">
        <f>"軽量鉄骨造"</f>
        <v>軽量鉄骨造</v>
      </c>
      <c r="L7552" s="8" t="str">
        <f>"R01.12.13"</f>
        <v>R01.12.13</v>
      </c>
      <c r="M7552" s="8">
        <v>1.98</v>
      </c>
      <c r="N7552" s="8">
        <v>144178</v>
      </c>
      <c r="O7552" s="8">
        <v>15639</v>
      </c>
      <c r="P7552" s="8">
        <v>0</v>
      </c>
      <c r="Q7552" s="8" t="str">
        <f t="shared" si="2723"/>
        <v>公安委員会</v>
      </c>
      <c r="R7552" s="8" t="str">
        <f t="shared" si="2724"/>
        <v>住之江警察署</v>
      </c>
    </row>
    <row r="7553" spans="1:18" x14ac:dyDescent="0.45">
      <c r="A7553" s="8" t="str">
        <f>"11543000150"</f>
        <v>11543000150</v>
      </c>
      <c r="B7553" s="8" t="str">
        <f>"南加賀屋交番"</f>
        <v>南加賀屋交番</v>
      </c>
      <c r="C7553" s="8" t="str">
        <f t="shared" si="2725"/>
        <v>行政財産</v>
      </c>
      <c r="D7553" s="8" t="str">
        <f t="shared" si="2726"/>
        <v>警察（消防）施設</v>
      </c>
      <c r="E7553" s="8" t="str">
        <f>"大阪府大阪市　住之江区南加賀屋３丁目"</f>
        <v>大阪府大阪市　住之江区南加賀屋３丁目</v>
      </c>
      <c r="F7553" s="8"/>
      <c r="G7553" s="8" t="str">
        <f t="shared" si="2718"/>
        <v>事業用資産</v>
      </c>
      <c r="H7553" s="8" t="str">
        <f t="shared" si="2715"/>
        <v>棚卸以外</v>
      </c>
      <c r="I7553" s="8">
        <v>1</v>
      </c>
      <c r="J7553" s="8" t="str">
        <f>"南加賀屋交番"</f>
        <v>南加賀屋交番</v>
      </c>
      <c r="K7553" s="8" t="str">
        <f>"鉄筋コンクリート造"</f>
        <v>鉄筋コンクリート造</v>
      </c>
      <c r="L7553" s="8" t="str">
        <f>"S47.12.04"</f>
        <v>S47.12.04</v>
      </c>
      <c r="M7553" s="8">
        <v>104.88</v>
      </c>
      <c r="N7553" s="8">
        <v>11040000</v>
      </c>
      <c r="O7553" s="8">
        <v>11039999</v>
      </c>
      <c r="P7553" s="8">
        <v>0</v>
      </c>
      <c r="Q7553" s="8" t="str">
        <f t="shared" si="2723"/>
        <v>公安委員会</v>
      </c>
      <c r="R7553" s="8" t="str">
        <f t="shared" si="2724"/>
        <v>住之江警察署</v>
      </c>
    </row>
    <row r="7554" spans="1:18" x14ac:dyDescent="0.45">
      <c r="A7554" s="8" t="str">
        <f>"11543000160"</f>
        <v>11543000160</v>
      </c>
      <c r="B7554" s="8" t="str">
        <f>"南港中央交番"</f>
        <v>南港中央交番</v>
      </c>
      <c r="C7554" s="8" t="str">
        <f t="shared" si="2725"/>
        <v>行政財産</v>
      </c>
      <c r="D7554" s="8" t="str">
        <f t="shared" si="2726"/>
        <v>警察（消防）施設</v>
      </c>
      <c r="E7554" s="8" t="str">
        <f>"大阪府大阪市　住之江区南港中２丁目"</f>
        <v>大阪府大阪市　住之江区南港中２丁目</v>
      </c>
      <c r="F7554" s="8"/>
      <c r="G7554" s="8" t="str">
        <f t="shared" si="2718"/>
        <v>事業用資産</v>
      </c>
      <c r="H7554" s="8" t="str">
        <f t="shared" si="2715"/>
        <v>棚卸以外</v>
      </c>
      <c r="I7554" s="8">
        <v>1</v>
      </c>
      <c r="J7554" s="8" t="str">
        <f>"南港中央交番"</f>
        <v>南港中央交番</v>
      </c>
      <c r="K7554" s="8" t="str">
        <f>"鉄筋コンクリート造"</f>
        <v>鉄筋コンクリート造</v>
      </c>
      <c r="L7554" s="8" t="str">
        <f>"S53.03.31"</f>
        <v>S53.03.31</v>
      </c>
      <c r="M7554" s="8">
        <v>132.06</v>
      </c>
      <c r="N7554" s="8">
        <v>27646000</v>
      </c>
      <c r="O7554" s="8">
        <v>24881580</v>
      </c>
      <c r="P7554" s="8">
        <v>0</v>
      </c>
      <c r="Q7554" s="8" t="str">
        <f t="shared" si="2723"/>
        <v>公安委員会</v>
      </c>
      <c r="R7554" s="8" t="str">
        <f t="shared" si="2724"/>
        <v>住之江警察署</v>
      </c>
    </row>
    <row r="7555" spans="1:18" x14ac:dyDescent="0.45">
      <c r="A7555" s="8" t="str">
        <f>"11543000170"</f>
        <v>11543000170</v>
      </c>
      <c r="B7555" s="8" t="str">
        <f>"御崎警邏連絡所"</f>
        <v>御崎警邏連絡所</v>
      </c>
      <c r="C7555" s="8" t="str">
        <f t="shared" si="2725"/>
        <v>行政財産</v>
      </c>
      <c r="D7555" s="8" t="str">
        <f t="shared" si="2726"/>
        <v>警察（消防）施設</v>
      </c>
      <c r="E7555" s="8" t="str">
        <f>"大阪府大阪市　住之江区御崎２丁目"</f>
        <v>大阪府大阪市　住之江区御崎２丁目</v>
      </c>
      <c r="F7555" s="8"/>
      <c r="G7555" s="8" t="str">
        <f t="shared" si="2718"/>
        <v>事業用資産</v>
      </c>
      <c r="H7555" s="8" t="str">
        <f t="shared" si="2715"/>
        <v>棚卸以外</v>
      </c>
      <c r="I7555" s="8">
        <v>1</v>
      </c>
      <c r="J7555" s="8" t="str">
        <f>"御崎警ら連絡所"</f>
        <v>御崎警ら連絡所</v>
      </c>
      <c r="K7555" s="8" t="str">
        <f>"木造"</f>
        <v>木造</v>
      </c>
      <c r="L7555" s="8" t="str">
        <f>"S30.04.20"</f>
        <v>S30.04.20</v>
      </c>
      <c r="M7555" s="8">
        <v>17.350000000000001</v>
      </c>
      <c r="N7555" s="8">
        <v>78000</v>
      </c>
      <c r="O7555" s="8">
        <v>77999</v>
      </c>
      <c r="P7555" s="8">
        <v>0</v>
      </c>
      <c r="Q7555" s="8" t="str">
        <f t="shared" si="2723"/>
        <v>公安委員会</v>
      </c>
      <c r="R7555" s="8" t="str">
        <f t="shared" si="2724"/>
        <v>住之江警察署</v>
      </c>
    </row>
    <row r="7556" spans="1:18" x14ac:dyDescent="0.45">
      <c r="A7556" s="8" t="str">
        <f>"11543000190"</f>
        <v>11543000190</v>
      </c>
      <c r="B7556" s="8" t="str">
        <f>"玉出交通警察官詰所"</f>
        <v>玉出交通警察官詰所</v>
      </c>
      <c r="C7556" s="8" t="str">
        <f t="shared" si="2725"/>
        <v>行政財産</v>
      </c>
      <c r="D7556" s="8" t="str">
        <f t="shared" si="2726"/>
        <v>警察（消防）施設</v>
      </c>
      <c r="E7556" s="8" t="str">
        <f>"大阪府大阪市　住之江区粉浜１丁目"</f>
        <v>大阪府大阪市　住之江区粉浜１丁目</v>
      </c>
      <c r="F7556" s="8"/>
      <c r="G7556" s="8" t="str">
        <f t="shared" si="2718"/>
        <v>事業用資産</v>
      </c>
      <c r="H7556" s="8" t="str">
        <f t="shared" ref="H7556:H7619" si="2727">"棚卸以外"</f>
        <v>棚卸以外</v>
      </c>
      <c r="I7556" s="8">
        <v>1</v>
      </c>
      <c r="J7556" s="8" t="str">
        <f>"玉出交通警察官詰所"</f>
        <v>玉出交通警察官詰所</v>
      </c>
      <c r="K7556" s="8" t="str">
        <f>"軽量鉄骨造"</f>
        <v>軽量鉄骨造</v>
      </c>
      <c r="L7556" s="8" t="str">
        <f>"S45.03.30"</f>
        <v>S45.03.30</v>
      </c>
      <c r="M7556" s="8">
        <v>19.440000000000001</v>
      </c>
      <c r="N7556" s="8">
        <v>1830000</v>
      </c>
      <c r="O7556" s="8">
        <v>1829999</v>
      </c>
      <c r="P7556" s="8">
        <v>0</v>
      </c>
      <c r="Q7556" s="8" t="str">
        <f t="shared" si="2723"/>
        <v>公安委員会</v>
      </c>
      <c r="R7556" s="8" t="str">
        <f t="shared" si="2724"/>
        <v>住之江警察署</v>
      </c>
    </row>
    <row r="7557" spans="1:18" x14ac:dyDescent="0.45">
      <c r="A7557" s="8" t="str">
        <f>"11543000200"</f>
        <v>11543000200</v>
      </c>
      <c r="B7557" s="8" t="str">
        <f>"住之江駅前交番"</f>
        <v>住之江駅前交番</v>
      </c>
      <c r="C7557" s="8" t="str">
        <f t="shared" si="2725"/>
        <v>行政財産</v>
      </c>
      <c r="D7557" s="8" t="str">
        <f t="shared" si="2726"/>
        <v>警察（消防）施設</v>
      </c>
      <c r="E7557" s="8" t="str">
        <f>"大阪府大阪市　住之江区西住之江１丁目"</f>
        <v>大阪府大阪市　住之江区西住之江１丁目</v>
      </c>
      <c r="F7557" s="8"/>
      <c r="G7557" s="8" t="str">
        <f t="shared" si="2718"/>
        <v>事業用資産</v>
      </c>
      <c r="H7557" s="8" t="str">
        <f t="shared" si="2727"/>
        <v>棚卸以外</v>
      </c>
      <c r="I7557" s="8">
        <v>1</v>
      </c>
      <c r="J7557" s="8" t="str">
        <f>"住之江駅前交番"</f>
        <v>住之江駅前交番</v>
      </c>
      <c r="K7557" s="8" t="str">
        <f>"鉄骨造"</f>
        <v>鉄骨造</v>
      </c>
      <c r="L7557" s="8" t="str">
        <f>"S58.03.30"</f>
        <v>S58.03.30</v>
      </c>
      <c r="M7557" s="8">
        <v>54</v>
      </c>
      <c r="N7557" s="8">
        <v>14532000</v>
      </c>
      <c r="O7557" s="8">
        <v>14531999</v>
      </c>
      <c r="P7557" s="8">
        <v>0</v>
      </c>
      <c r="Q7557" s="8" t="str">
        <f t="shared" si="2723"/>
        <v>公安委員会</v>
      </c>
      <c r="R7557" s="8" t="str">
        <f t="shared" si="2724"/>
        <v>住之江警察署</v>
      </c>
    </row>
    <row r="7558" spans="1:18" x14ac:dyDescent="0.45">
      <c r="A7558" s="8" t="str">
        <f>"11543000210"</f>
        <v>11543000210</v>
      </c>
      <c r="B7558" s="8" t="str">
        <f>"南港コスモ交番"</f>
        <v>南港コスモ交番</v>
      </c>
      <c r="C7558" s="8" t="str">
        <f t="shared" si="2725"/>
        <v>行政財産</v>
      </c>
      <c r="D7558" s="8" t="str">
        <f t="shared" si="2726"/>
        <v>警察（消防）施設</v>
      </c>
      <c r="E7558" s="8" t="str">
        <f>"大阪府大阪市　住之江区南港北１丁目"</f>
        <v>大阪府大阪市　住之江区南港北１丁目</v>
      </c>
      <c r="F7558" s="8"/>
      <c r="G7558" s="8" t="str">
        <f t="shared" si="2718"/>
        <v>事業用資産</v>
      </c>
      <c r="H7558" s="8" t="str">
        <f t="shared" si="2727"/>
        <v>棚卸以外</v>
      </c>
      <c r="I7558" s="8">
        <v>1</v>
      </c>
      <c r="J7558" s="8" t="str">
        <f>"南港コスモ交番"</f>
        <v>南港コスモ交番</v>
      </c>
      <c r="K7558" s="8" t="str">
        <f>"鉄骨造"</f>
        <v>鉄骨造</v>
      </c>
      <c r="L7558" s="8" t="str">
        <f>"H10.01.30"</f>
        <v>H10.01.30</v>
      </c>
      <c r="M7558" s="8">
        <v>138.16</v>
      </c>
      <c r="N7558" s="8">
        <v>40348156</v>
      </c>
      <c r="O7558" s="8">
        <v>26686318</v>
      </c>
      <c r="P7558" s="8">
        <v>0</v>
      </c>
      <c r="Q7558" s="8" t="str">
        <f t="shared" si="2723"/>
        <v>公安委員会</v>
      </c>
      <c r="R7558" s="8" t="str">
        <f t="shared" si="2724"/>
        <v>住之江警察署</v>
      </c>
    </row>
    <row r="7559" spans="1:18" ht="26.4" x14ac:dyDescent="0.45">
      <c r="A7559" s="8" t="str">
        <f>"11544000000"</f>
        <v>11544000000</v>
      </c>
      <c r="B7559" s="8" t="str">
        <f>"住吉警察署"</f>
        <v>住吉警察署</v>
      </c>
      <c r="C7559" s="8" t="str">
        <f t="shared" si="2725"/>
        <v>行政財産</v>
      </c>
      <c r="D7559" s="8" t="str">
        <f t="shared" si="2726"/>
        <v>警察（消防）施設</v>
      </c>
      <c r="E7559" s="8" t="str">
        <f>"大阪府大阪市　住吉区東粉浜３丁目"</f>
        <v>大阪府大阪市　住吉区東粉浜３丁目</v>
      </c>
      <c r="F7559" s="8"/>
      <c r="G7559" s="8" t="str">
        <f t="shared" si="2718"/>
        <v>事業用資産</v>
      </c>
      <c r="H7559" s="8" t="str">
        <f t="shared" si="2727"/>
        <v>棚卸以外</v>
      </c>
      <c r="I7559" s="8">
        <v>30</v>
      </c>
      <c r="J7559" s="8" t="str">
        <f>"庁舎"</f>
        <v>庁舎</v>
      </c>
      <c r="K7559" s="8" t="str">
        <f>"鉄骨鉄筋コンクリート造"</f>
        <v>鉄骨鉄筋コンクリート造</v>
      </c>
      <c r="L7559" s="8" t="str">
        <f>"H10.09.30"</f>
        <v>H10.09.30</v>
      </c>
      <c r="M7559" s="8">
        <v>4618.04</v>
      </c>
      <c r="N7559" s="8">
        <v>1737502771</v>
      </c>
      <c r="O7559" s="8">
        <v>851018750</v>
      </c>
      <c r="P7559" s="8">
        <v>0</v>
      </c>
      <c r="Q7559" s="8" t="str">
        <f t="shared" si="2723"/>
        <v>公安委員会</v>
      </c>
      <c r="R7559" s="8" t="str">
        <f t="shared" ref="R7559:R7569" si="2728">"住吉警察署"</f>
        <v>住吉警察署</v>
      </c>
    </row>
    <row r="7560" spans="1:18" x14ac:dyDescent="0.45">
      <c r="A7560" s="8" t="str">
        <f>"11544000180"</f>
        <v>11544000180</v>
      </c>
      <c r="B7560" s="8" t="str">
        <f>"帝塚山東警ら連絡所"</f>
        <v>帝塚山東警ら連絡所</v>
      </c>
      <c r="C7560" s="8" t="str">
        <f t="shared" si="2725"/>
        <v>行政財産</v>
      </c>
      <c r="D7560" s="8" t="str">
        <f t="shared" si="2726"/>
        <v>警察（消防）施設</v>
      </c>
      <c r="E7560" s="8" t="str">
        <f>"大阪府大阪市　住吉区帝塚山東３丁目"</f>
        <v>大阪府大阪市　住吉区帝塚山東３丁目</v>
      </c>
      <c r="F7560" s="8"/>
      <c r="G7560" s="8" t="str">
        <f t="shared" si="2718"/>
        <v>事業用資産</v>
      </c>
      <c r="H7560" s="8" t="str">
        <f t="shared" si="2727"/>
        <v>棚卸以外</v>
      </c>
      <c r="I7560" s="8">
        <v>1</v>
      </c>
      <c r="J7560" s="8" t="str">
        <f>"帝塚山東警ら連絡所"</f>
        <v>帝塚山東警ら連絡所</v>
      </c>
      <c r="K7560" s="8" t="str">
        <f>"コンクリートブロック造"</f>
        <v>コンクリートブロック造</v>
      </c>
      <c r="L7560" s="8" t="str">
        <f>"S34.03.31"</f>
        <v>S34.03.31</v>
      </c>
      <c r="M7560" s="8">
        <v>16.850000000000001</v>
      </c>
      <c r="N7560" s="8">
        <v>360400</v>
      </c>
      <c r="O7560" s="8">
        <v>360399</v>
      </c>
      <c r="P7560" s="8">
        <v>0</v>
      </c>
      <c r="Q7560" s="8" t="str">
        <f t="shared" si="2723"/>
        <v>公安委員会</v>
      </c>
      <c r="R7560" s="8" t="str">
        <f t="shared" si="2728"/>
        <v>住吉警察署</v>
      </c>
    </row>
    <row r="7561" spans="1:18" x14ac:dyDescent="0.45">
      <c r="A7561" s="8" t="str">
        <f>"11544000240"</f>
        <v>11544000240</v>
      </c>
      <c r="B7561" s="8" t="str">
        <f>"杉本町駅前交番"</f>
        <v>杉本町駅前交番</v>
      </c>
      <c r="C7561" s="8" t="str">
        <f t="shared" si="2725"/>
        <v>行政財産</v>
      </c>
      <c r="D7561" s="8" t="str">
        <f t="shared" si="2726"/>
        <v>警察（消防）施設</v>
      </c>
      <c r="E7561" s="8" t="str">
        <f>"大阪府大阪市　住吉区杉本３丁目"</f>
        <v>大阪府大阪市　住吉区杉本３丁目</v>
      </c>
      <c r="F7561" s="8"/>
      <c r="G7561" s="8" t="str">
        <f t="shared" si="2718"/>
        <v>事業用資産</v>
      </c>
      <c r="H7561" s="8" t="str">
        <f t="shared" si="2727"/>
        <v>棚卸以外</v>
      </c>
      <c r="I7561" s="8">
        <v>3</v>
      </c>
      <c r="J7561" s="8" t="str">
        <f>"杉本町駅前交番"</f>
        <v>杉本町駅前交番</v>
      </c>
      <c r="K7561" s="8" t="str">
        <f>"鉄骨造"</f>
        <v>鉄骨造</v>
      </c>
      <c r="L7561" s="8" t="str">
        <f>"S57.03.31"</f>
        <v>S57.03.31</v>
      </c>
      <c r="M7561" s="8">
        <v>54</v>
      </c>
      <c r="N7561" s="8">
        <v>14383537</v>
      </c>
      <c r="O7561" s="8">
        <v>14310039</v>
      </c>
      <c r="P7561" s="8">
        <v>0</v>
      </c>
      <c r="Q7561" s="8" t="str">
        <f t="shared" si="2723"/>
        <v>公安委員会</v>
      </c>
      <c r="R7561" s="8" t="str">
        <f t="shared" si="2728"/>
        <v>住吉警察署</v>
      </c>
    </row>
    <row r="7562" spans="1:18" x14ac:dyDescent="0.45">
      <c r="A7562" s="8" t="str">
        <f>"11544000300"</f>
        <v>11544000300</v>
      </c>
      <c r="B7562" s="8" t="str">
        <f>"長居交番"</f>
        <v>長居交番</v>
      </c>
      <c r="C7562" s="8" t="str">
        <f t="shared" si="2725"/>
        <v>行政財産</v>
      </c>
      <c r="D7562" s="8" t="str">
        <f t="shared" si="2726"/>
        <v>警察（消防）施設</v>
      </c>
      <c r="E7562" s="8" t="str">
        <f>"大阪府大阪市　住吉区長居３丁目"</f>
        <v>大阪府大阪市　住吉区長居３丁目</v>
      </c>
      <c r="F7562" s="8"/>
      <c r="G7562" s="8" t="str">
        <f t="shared" si="2718"/>
        <v>事業用資産</v>
      </c>
      <c r="H7562" s="8" t="str">
        <f t="shared" si="2727"/>
        <v>棚卸以外</v>
      </c>
      <c r="I7562" s="8">
        <v>3</v>
      </c>
      <c r="J7562" s="8" t="str">
        <f>"長居交番"</f>
        <v>長居交番</v>
      </c>
      <c r="K7562" s="8" t="str">
        <f>"鉄骨造"</f>
        <v>鉄骨造</v>
      </c>
      <c r="L7562" s="8" t="str">
        <f>"H19.06.27"</f>
        <v>H19.06.27</v>
      </c>
      <c r="M7562" s="8">
        <v>129.35</v>
      </c>
      <c r="N7562" s="8">
        <v>24457923</v>
      </c>
      <c r="O7562" s="8">
        <v>10137889</v>
      </c>
      <c r="P7562" s="8">
        <v>0</v>
      </c>
      <c r="Q7562" s="8" t="str">
        <f t="shared" si="2723"/>
        <v>公安委員会</v>
      </c>
      <c r="R7562" s="8" t="str">
        <f t="shared" si="2728"/>
        <v>住吉警察署</v>
      </c>
    </row>
    <row r="7563" spans="1:18" x14ac:dyDescent="0.45">
      <c r="A7563" s="8" t="str">
        <f>"11544000310"</f>
        <v>11544000310</v>
      </c>
      <c r="B7563" s="8" t="str">
        <f>"苅田警ら連絡所"</f>
        <v>苅田警ら連絡所</v>
      </c>
      <c r="C7563" s="8" t="str">
        <f t="shared" si="2725"/>
        <v>行政財産</v>
      </c>
      <c r="D7563" s="8" t="str">
        <f t="shared" si="2726"/>
        <v>警察（消防）施設</v>
      </c>
      <c r="E7563" s="8" t="str">
        <f>"大阪府大阪市　住吉区苅田９丁目"</f>
        <v>大阪府大阪市　住吉区苅田９丁目</v>
      </c>
      <c r="F7563" s="8"/>
      <c r="G7563" s="8" t="str">
        <f t="shared" si="2718"/>
        <v>事業用資産</v>
      </c>
      <c r="H7563" s="8" t="str">
        <f t="shared" si="2727"/>
        <v>棚卸以外</v>
      </c>
      <c r="I7563" s="8">
        <v>1</v>
      </c>
      <c r="J7563" s="8" t="str">
        <f>"苅田警ら連絡所"</f>
        <v>苅田警ら連絡所</v>
      </c>
      <c r="K7563" s="8" t="str">
        <f>"鉄筋コンクリート造"</f>
        <v>鉄筋コンクリート造</v>
      </c>
      <c r="L7563" s="8" t="str">
        <f>"S35.05.18"</f>
        <v>S35.05.18</v>
      </c>
      <c r="M7563" s="8">
        <v>25.64</v>
      </c>
      <c r="N7563" s="8">
        <v>569400</v>
      </c>
      <c r="O7563" s="8">
        <v>569399</v>
      </c>
      <c r="P7563" s="8">
        <v>0</v>
      </c>
      <c r="Q7563" s="8" t="str">
        <f t="shared" si="2723"/>
        <v>公安委員会</v>
      </c>
      <c r="R7563" s="8" t="str">
        <f t="shared" si="2728"/>
        <v>住吉警察署</v>
      </c>
    </row>
    <row r="7564" spans="1:18" x14ac:dyDescent="0.45">
      <c r="A7564" s="8" t="str">
        <f>"11544000360"</f>
        <v>11544000360</v>
      </c>
      <c r="B7564" s="8" t="str">
        <f>"墨江交番"</f>
        <v>墨江交番</v>
      </c>
      <c r="C7564" s="8" t="str">
        <f t="shared" si="2725"/>
        <v>行政財産</v>
      </c>
      <c r="D7564" s="8" t="str">
        <f t="shared" si="2726"/>
        <v>警察（消防）施設</v>
      </c>
      <c r="E7564" s="8" t="str">
        <f>"大阪府大阪市　住吉区墨江１丁目"</f>
        <v>大阪府大阪市　住吉区墨江１丁目</v>
      </c>
      <c r="F7564" s="8"/>
      <c r="G7564" s="8" t="str">
        <f t="shared" si="2718"/>
        <v>事業用資産</v>
      </c>
      <c r="H7564" s="8" t="str">
        <f t="shared" si="2727"/>
        <v>棚卸以外</v>
      </c>
      <c r="I7564" s="8">
        <v>1</v>
      </c>
      <c r="J7564" s="8" t="str">
        <f>"墨江交番"</f>
        <v>墨江交番</v>
      </c>
      <c r="K7564" s="8" t="str">
        <f>"鉄筋コンクリート造"</f>
        <v>鉄筋コンクリート造</v>
      </c>
      <c r="L7564" s="8" t="str">
        <f>"S44.03.31"</f>
        <v>S44.03.31</v>
      </c>
      <c r="M7564" s="8">
        <v>63</v>
      </c>
      <c r="N7564" s="8">
        <v>3708775</v>
      </c>
      <c r="O7564" s="8">
        <v>3632823</v>
      </c>
      <c r="P7564" s="8">
        <v>0</v>
      </c>
      <c r="Q7564" s="8" t="str">
        <f t="shared" si="2723"/>
        <v>公安委員会</v>
      </c>
      <c r="R7564" s="8" t="str">
        <f t="shared" si="2728"/>
        <v>住吉警察署</v>
      </c>
    </row>
    <row r="7565" spans="1:18" x14ac:dyDescent="0.45">
      <c r="A7565" s="8" t="str">
        <f>"11544000370"</f>
        <v>11544000370</v>
      </c>
      <c r="B7565" s="8" t="str">
        <f>"我孫子交番"</f>
        <v>我孫子交番</v>
      </c>
      <c r="C7565" s="8" t="str">
        <f t="shared" si="2725"/>
        <v>行政財産</v>
      </c>
      <c r="D7565" s="8" t="str">
        <f t="shared" si="2726"/>
        <v>警察（消防）施設</v>
      </c>
      <c r="E7565" s="8" t="str">
        <f>"大阪府大阪市　住吉区我孫子東３丁目"</f>
        <v>大阪府大阪市　住吉区我孫子東３丁目</v>
      </c>
      <c r="F7565" s="8"/>
      <c r="G7565" s="8" t="str">
        <f t="shared" si="2718"/>
        <v>事業用資産</v>
      </c>
      <c r="H7565" s="8" t="str">
        <f t="shared" si="2727"/>
        <v>棚卸以外</v>
      </c>
      <c r="I7565" s="8">
        <v>1</v>
      </c>
      <c r="J7565" s="8" t="str">
        <f>"我孫子交番"</f>
        <v>我孫子交番</v>
      </c>
      <c r="K7565" s="8" t="str">
        <f>"鉄筋コンクリート造"</f>
        <v>鉄筋コンクリート造</v>
      </c>
      <c r="L7565" s="8" t="str">
        <f>"S44.10.07"</f>
        <v>S44.10.07</v>
      </c>
      <c r="M7565" s="8">
        <v>95.85</v>
      </c>
      <c r="N7565" s="8">
        <v>12939043</v>
      </c>
      <c r="O7565" s="8">
        <v>8243899</v>
      </c>
      <c r="P7565" s="8">
        <v>0</v>
      </c>
      <c r="Q7565" s="8" t="str">
        <f t="shared" si="2723"/>
        <v>公安委員会</v>
      </c>
      <c r="R7565" s="8" t="str">
        <f t="shared" si="2728"/>
        <v>住吉警察署</v>
      </c>
    </row>
    <row r="7566" spans="1:18" x14ac:dyDescent="0.45">
      <c r="A7566" s="8" t="str">
        <f>"11544000370"</f>
        <v>11544000370</v>
      </c>
      <c r="B7566" s="8" t="str">
        <f>"我孫子交番"</f>
        <v>我孫子交番</v>
      </c>
      <c r="C7566" s="8" t="str">
        <f t="shared" si="2725"/>
        <v>行政財産</v>
      </c>
      <c r="D7566" s="8" t="str">
        <f t="shared" si="2726"/>
        <v>警察（消防）施設</v>
      </c>
      <c r="E7566" s="8" t="str">
        <f>"大阪府大阪市　住吉区我孫子東３丁目"</f>
        <v>大阪府大阪市　住吉区我孫子東３丁目</v>
      </c>
      <c r="F7566" s="8"/>
      <c r="G7566" s="8" t="str">
        <f t="shared" si="2718"/>
        <v>事業用資産</v>
      </c>
      <c r="H7566" s="8" t="str">
        <f t="shared" si="2727"/>
        <v>棚卸以外</v>
      </c>
      <c r="I7566" s="8">
        <v>3</v>
      </c>
      <c r="J7566" s="8" t="str">
        <f>"自転車置場"</f>
        <v>自転車置場</v>
      </c>
      <c r="K7566" s="8" t="str">
        <f>"軽量鉄骨造"</f>
        <v>軽量鉄骨造</v>
      </c>
      <c r="L7566" s="8" t="str">
        <f>"H13.03.30"</f>
        <v>H13.03.30</v>
      </c>
      <c r="M7566" s="8">
        <v>9.5</v>
      </c>
      <c r="N7566" s="8">
        <v>231000</v>
      </c>
      <c r="O7566" s="8">
        <v>211992</v>
      </c>
      <c r="P7566" s="8">
        <v>0</v>
      </c>
      <c r="Q7566" s="8" t="str">
        <f t="shared" si="2723"/>
        <v>公安委員会</v>
      </c>
      <c r="R7566" s="8" t="str">
        <f t="shared" si="2728"/>
        <v>住吉警察署</v>
      </c>
    </row>
    <row r="7567" spans="1:18" x14ac:dyDescent="0.45">
      <c r="A7567" s="8" t="str">
        <f>"11544000410"</f>
        <v>11544000410</v>
      </c>
      <c r="B7567" s="8" t="str">
        <f>"万代交番"</f>
        <v>万代交番</v>
      </c>
      <c r="C7567" s="8" t="str">
        <f t="shared" si="2725"/>
        <v>行政財産</v>
      </c>
      <c r="D7567" s="8" t="str">
        <f t="shared" si="2726"/>
        <v>警察（消防）施設</v>
      </c>
      <c r="E7567" s="8" t="str">
        <f>"大阪府大阪市　住吉区万代東３丁目"</f>
        <v>大阪府大阪市　住吉区万代東３丁目</v>
      </c>
      <c r="F7567" s="8"/>
      <c r="G7567" s="8" t="str">
        <f t="shared" si="2718"/>
        <v>事業用資産</v>
      </c>
      <c r="H7567" s="8" t="str">
        <f t="shared" si="2727"/>
        <v>棚卸以外</v>
      </c>
      <c r="I7567" s="8">
        <v>1</v>
      </c>
      <c r="J7567" s="8" t="str">
        <f>"万代交番"</f>
        <v>万代交番</v>
      </c>
      <c r="K7567" s="8" t="str">
        <f>"コンクリートブロック造"</f>
        <v>コンクリートブロック造</v>
      </c>
      <c r="L7567" s="8" t="str">
        <f>"S60.03.30"</f>
        <v>S60.03.30</v>
      </c>
      <c r="M7567" s="8">
        <v>54.78</v>
      </c>
      <c r="N7567" s="8">
        <v>14171279</v>
      </c>
      <c r="O7567" s="8">
        <v>13043712</v>
      </c>
      <c r="P7567" s="8">
        <v>0</v>
      </c>
      <c r="Q7567" s="8" t="str">
        <f t="shared" si="2723"/>
        <v>公安委員会</v>
      </c>
      <c r="R7567" s="8" t="str">
        <f t="shared" si="2728"/>
        <v>住吉警察署</v>
      </c>
    </row>
    <row r="7568" spans="1:18" x14ac:dyDescent="0.45">
      <c r="A7568" s="8" t="str">
        <f>"11544000420"</f>
        <v>11544000420</v>
      </c>
      <c r="B7568" s="8" t="str">
        <f>"南住吉交番"</f>
        <v>南住吉交番</v>
      </c>
      <c r="C7568" s="8" t="str">
        <f t="shared" si="2725"/>
        <v>行政財産</v>
      </c>
      <c r="D7568" s="8" t="str">
        <f t="shared" si="2726"/>
        <v>警察（消防）施設</v>
      </c>
      <c r="E7568" s="8" t="str">
        <f>"大阪府大阪市　住吉区南住吉４丁目"</f>
        <v>大阪府大阪市　住吉区南住吉４丁目</v>
      </c>
      <c r="F7568" s="8"/>
      <c r="G7568" s="8" t="str">
        <f t="shared" si="2718"/>
        <v>事業用資産</v>
      </c>
      <c r="H7568" s="8" t="str">
        <f t="shared" si="2727"/>
        <v>棚卸以外</v>
      </c>
      <c r="I7568" s="8">
        <v>1</v>
      </c>
      <c r="J7568" s="8" t="str">
        <f>"南住吉交番"</f>
        <v>南住吉交番</v>
      </c>
      <c r="K7568" s="8" t="str">
        <f>"鉄筋コンクリート造"</f>
        <v>鉄筋コンクリート造</v>
      </c>
      <c r="L7568" s="8" t="str">
        <f>"S63.03.29"</f>
        <v>S63.03.29</v>
      </c>
      <c r="M7568" s="8">
        <v>54</v>
      </c>
      <c r="N7568" s="8">
        <v>14232537</v>
      </c>
      <c r="O7568" s="8">
        <v>9917920</v>
      </c>
      <c r="P7568" s="8">
        <v>0</v>
      </c>
      <c r="Q7568" s="8" t="str">
        <f t="shared" si="2723"/>
        <v>公安委員会</v>
      </c>
      <c r="R7568" s="8" t="str">
        <f t="shared" si="2728"/>
        <v>住吉警察署</v>
      </c>
    </row>
    <row r="7569" spans="1:18" x14ac:dyDescent="0.45">
      <c r="A7569" s="8" t="str">
        <f>"11544000430"</f>
        <v>11544000430</v>
      </c>
      <c r="B7569" s="8" t="str">
        <f>"清水丘交番"</f>
        <v>清水丘交番</v>
      </c>
      <c r="C7569" s="8" t="str">
        <f t="shared" si="2725"/>
        <v>行政財産</v>
      </c>
      <c r="D7569" s="8" t="str">
        <f t="shared" si="2726"/>
        <v>警察（消防）施設</v>
      </c>
      <c r="E7569" s="8" t="str">
        <f>"大阪府大阪市　住吉区清水丘２丁目"</f>
        <v>大阪府大阪市　住吉区清水丘２丁目</v>
      </c>
      <c r="F7569" s="8"/>
      <c r="G7569" s="8" t="str">
        <f t="shared" si="2718"/>
        <v>事業用資産</v>
      </c>
      <c r="H7569" s="8" t="str">
        <f t="shared" si="2727"/>
        <v>棚卸以外</v>
      </c>
      <c r="I7569" s="8">
        <v>1</v>
      </c>
      <c r="J7569" s="8" t="str">
        <f>"清水丘交番"</f>
        <v>清水丘交番</v>
      </c>
      <c r="K7569" s="8" t="str">
        <f>"鉄筋コンクリート造"</f>
        <v>鉄筋コンクリート造</v>
      </c>
      <c r="L7569" s="8" t="str">
        <f>"H02.03.12"</f>
        <v>H02.03.12</v>
      </c>
      <c r="M7569" s="8">
        <v>31.86</v>
      </c>
      <c r="N7569" s="8">
        <v>12117613</v>
      </c>
      <c r="O7569" s="8">
        <v>7937784</v>
      </c>
      <c r="P7569" s="8">
        <v>0</v>
      </c>
      <c r="Q7569" s="8" t="str">
        <f t="shared" si="2723"/>
        <v>公安委員会</v>
      </c>
      <c r="R7569" s="8" t="str">
        <f t="shared" si="2728"/>
        <v>住吉警察署</v>
      </c>
    </row>
    <row r="7570" spans="1:18" ht="26.4" x14ac:dyDescent="0.45">
      <c r="A7570" s="8" t="str">
        <f>"11545000000"</f>
        <v>11545000000</v>
      </c>
      <c r="B7570" s="8" t="str">
        <f>"東住吉警察署"</f>
        <v>東住吉警察署</v>
      </c>
      <c r="C7570" s="8" t="str">
        <f t="shared" si="2725"/>
        <v>行政財産</v>
      </c>
      <c r="D7570" s="8" t="str">
        <f t="shared" si="2726"/>
        <v>警察（消防）施設</v>
      </c>
      <c r="E7570" s="8" t="str">
        <f>"大阪府大阪市　東住吉区東田辺２丁目"</f>
        <v>大阪府大阪市　東住吉区東田辺２丁目</v>
      </c>
      <c r="F7570" s="8"/>
      <c r="G7570" s="8" t="str">
        <f t="shared" si="2718"/>
        <v>事業用資産</v>
      </c>
      <c r="H7570" s="8" t="str">
        <f t="shared" si="2727"/>
        <v>棚卸以外</v>
      </c>
      <c r="I7570" s="8">
        <v>24</v>
      </c>
      <c r="J7570" s="8" t="str">
        <f>"庁舎棟"</f>
        <v>庁舎棟</v>
      </c>
      <c r="K7570" s="8" t="str">
        <f>"鉄骨鉄筋コンクリート造"</f>
        <v>鉄骨鉄筋コンクリート造</v>
      </c>
      <c r="L7570" s="8" t="str">
        <f>"R03.10.29"</f>
        <v>R03.10.29</v>
      </c>
      <c r="M7570" s="8">
        <v>5860.64</v>
      </c>
      <c r="N7570" s="8">
        <v>2455712393</v>
      </c>
      <c r="O7570" s="8">
        <v>129042602</v>
      </c>
      <c r="P7570" s="8">
        <v>0</v>
      </c>
      <c r="Q7570" s="8" t="str">
        <f t="shared" si="2723"/>
        <v>公安委員会</v>
      </c>
      <c r="R7570" s="8" t="str">
        <f t="shared" ref="R7570:R7583" si="2729">"東住吉警察署"</f>
        <v>東住吉警察署</v>
      </c>
    </row>
    <row r="7571" spans="1:18" x14ac:dyDescent="0.45">
      <c r="A7571" s="8" t="str">
        <f>"11545000000"</f>
        <v>11545000000</v>
      </c>
      <c r="B7571" s="8" t="str">
        <f>"東住吉警察署"</f>
        <v>東住吉警察署</v>
      </c>
      <c r="C7571" s="8" t="str">
        <f t="shared" si="2725"/>
        <v>行政財産</v>
      </c>
      <c r="D7571" s="8" t="str">
        <f t="shared" si="2726"/>
        <v>警察（消防）施設</v>
      </c>
      <c r="E7571" s="8" t="str">
        <f>"大阪府大阪市　東住吉区東田辺２丁目"</f>
        <v>大阪府大阪市　東住吉区東田辺２丁目</v>
      </c>
      <c r="F7571" s="8"/>
      <c r="G7571" s="8" t="str">
        <f t="shared" si="2718"/>
        <v>事業用資産</v>
      </c>
      <c r="H7571" s="8" t="str">
        <f t="shared" si="2727"/>
        <v>棚卸以外</v>
      </c>
      <c r="I7571" s="8">
        <v>25</v>
      </c>
      <c r="J7571" s="8" t="str">
        <f>"署長公舎"</f>
        <v>署長公舎</v>
      </c>
      <c r="K7571" s="8" t="str">
        <f>"鉄骨造"</f>
        <v>鉄骨造</v>
      </c>
      <c r="L7571" s="8" t="str">
        <f>"R03.10.29"</f>
        <v>R03.10.29</v>
      </c>
      <c r="M7571" s="8">
        <v>76.400000000000006</v>
      </c>
      <c r="N7571" s="8">
        <v>35129014</v>
      </c>
      <c r="O7571" s="8">
        <v>1790916</v>
      </c>
      <c r="P7571" s="8">
        <v>0</v>
      </c>
      <c r="Q7571" s="8" t="str">
        <f t="shared" si="2723"/>
        <v>公安委員会</v>
      </c>
      <c r="R7571" s="8" t="str">
        <f t="shared" si="2729"/>
        <v>東住吉警察署</v>
      </c>
    </row>
    <row r="7572" spans="1:18" x14ac:dyDescent="0.45">
      <c r="A7572" s="8" t="str">
        <f>"11545000000"</f>
        <v>11545000000</v>
      </c>
      <c r="B7572" s="8" t="str">
        <f>"東住吉警察署"</f>
        <v>東住吉警察署</v>
      </c>
      <c r="C7572" s="8" t="str">
        <f t="shared" si="2725"/>
        <v>行政財産</v>
      </c>
      <c r="D7572" s="8" t="str">
        <f t="shared" si="2726"/>
        <v>警察（消防）施設</v>
      </c>
      <c r="E7572" s="8" t="str">
        <f>"大阪府大阪市　東住吉区東田辺２丁目"</f>
        <v>大阪府大阪市　東住吉区東田辺２丁目</v>
      </c>
      <c r="F7572" s="8"/>
      <c r="G7572" s="8" t="str">
        <f t="shared" si="2718"/>
        <v>事業用資産</v>
      </c>
      <c r="H7572" s="8" t="str">
        <f t="shared" si="2727"/>
        <v>棚卸以外</v>
      </c>
      <c r="I7572" s="8">
        <v>26</v>
      </c>
      <c r="J7572" s="8" t="str">
        <f>"車庫棟"</f>
        <v>車庫棟</v>
      </c>
      <c r="K7572" s="8" t="str">
        <f>"鉄骨造"</f>
        <v>鉄骨造</v>
      </c>
      <c r="L7572" s="8" t="str">
        <f>"R03.10.29"</f>
        <v>R03.10.29</v>
      </c>
      <c r="M7572" s="8">
        <v>332.1</v>
      </c>
      <c r="N7572" s="8">
        <v>114279384</v>
      </c>
      <c r="O7572" s="8">
        <v>5931045</v>
      </c>
      <c r="P7572" s="8">
        <v>0</v>
      </c>
      <c r="Q7572" s="8" t="str">
        <f t="shared" si="2723"/>
        <v>公安委員会</v>
      </c>
      <c r="R7572" s="8" t="str">
        <f t="shared" si="2729"/>
        <v>東住吉警察署</v>
      </c>
    </row>
    <row r="7573" spans="1:18" x14ac:dyDescent="0.45">
      <c r="A7573" s="8" t="str">
        <f>"11545000000"</f>
        <v>11545000000</v>
      </c>
      <c r="B7573" s="8" t="str">
        <f>"東住吉警察署"</f>
        <v>東住吉警察署</v>
      </c>
      <c r="C7573" s="8" t="str">
        <f t="shared" si="2725"/>
        <v>行政財産</v>
      </c>
      <c r="D7573" s="8" t="str">
        <f t="shared" si="2726"/>
        <v>警察（消防）施設</v>
      </c>
      <c r="E7573" s="8" t="str">
        <f>"大阪府大阪市　東住吉区東田辺２丁目"</f>
        <v>大阪府大阪市　東住吉区東田辺２丁目</v>
      </c>
      <c r="F7573" s="8"/>
      <c r="G7573" s="8" t="str">
        <f t="shared" si="2718"/>
        <v>事業用資産</v>
      </c>
      <c r="H7573" s="8" t="str">
        <f t="shared" si="2727"/>
        <v>棚卸以外</v>
      </c>
      <c r="I7573" s="8">
        <v>27</v>
      </c>
      <c r="J7573" s="8" t="str">
        <f>"倉庫棟"</f>
        <v>倉庫棟</v>
      </c>
      <c r="K7573" s="8" t="str">
        <f>"鉄骨造"</f>
        <v>鉄骨造</v>
      </c>
      <c r="L7573" s="8" t="str">
        <f>"R03.10.29"</f>
        <v>R03.10.29</v>
      </c>
      <c r="M7573" s="8">
        <v>15</v>
      </c>
      <c r="N7573" s="8">
        <v>4797470</v>
      </c>
      <c r="O7573" s="8">
        <v>248336</v>
      </c>
      <c r="P7573" s="8">
        <v>0</v>
      </c>
      <c r="Q7573" s="8" t="str">
        <f t="shared" si="2723"/>
        <v>公安委員会</v>
      </c>
      <c r="R7573" s="8" t="str">
        <f t="shared" si="2729"/>
        <v>東住吉警察署</v>
      </c>
    </row>
    <row r="7574" spans="1:18" x14ac:dyDescent="0.45">
      <c r="A7574" s="8" t="str">
        <f>"11545000170"</f>
        <v>11545000170</v>
      </c>
      <c r="B7574" s="8" t="str">
        <f>"中野警ら連絡所"</f>
        <v>中野警ら連絡所</v>
      </c>
      <c r="C7574" s="8" t="str">
        <f t="shared" si="2725"/>
        <v>行政財産</v>
      </c>
      <c r="D7574" s="8" t="str">
        <f t="shared" si="2726"/>
        <v>警察（消防）施設</v>
      </c>
      <c r="E7574" s="8" t="str">
        <f>"大阪府大阪市　東住吉区中野１丁目"</f>
        <v>大阪府大阪市　東住吉区中野１丁目</v>
      </c>
      <c r="F7574" s="8"/>
      <c r="G7574" s="8" t="str">
        <f t="shared" si="2718"/>
        <v>事業用資産</v>
      </c>
      <c r="H7574" s="8" t="str">
        <f t="shared" si="2727"/>
        <v>棚卸以外</v>
      </c>
      <c r="I7574" s="8">
        <v>1</v>
      </c>
      <c r="J7574" s="8" t="str">
        <f>"中野警ら連絡所"</f>
        <v>中野警ら連絡所</v>
      </c>
      <c r="K7574" s="8" t="str">
        <f>"コンクリートブロック造"</f>
        <v>コンクリートブロック造</v>
      </c>
      <c r="L7574" s="8" t="str">
        <f>"S39.10.27"</f>
        <v>S39.10.27</v>
      </c>
      <c r="M7574" s="8">
        <v>26.14</v>
      </c>
      <c r="N7574" s="8">
        <v>1218000</v>
      </c>
      <c r="O7574" s="8">
        <v>1217999</v>
      </c>
      <c r="P7574" s="8">
        <v>0</v>
      </c>
      <c r="Q7574" s="8" t="str">
        <f t="shared" si="2723"/>
        <v>公安委員会</v>
      </c>
      <c r="R7574" s="8" t="str">
        <f t="shared" si="2729"/>
        <v>東住吉警察署</v>
      </c>
    </row>
    <row r="7575" spans="1:18" x14ac:dyDescent="0.45">
      <c r="A7575" s="8" t="str">
        <f>"11545000170"</f>
        <v>11545000170</v>
      </c>
      <c r="B7575" s="8" t="str">
        <f>"中野警ら連絡所"</f>
        <v>中野警ら連絡所</v>
      </c>
      <c r="C7575" s="8" t="str">
        <f t="shared" si="2725"/>
        <v>行政財産</v>
      </c>
      <c r="D7575" s="8" t="str">
        <f t="shared" si="2726"/>
        <v>警察（消防）施設</v>
      </c>
      <c r="E7575" s="8" t="str">
        <f>"大阪府大阪市　東住吉区中野１丁目"</f>
        <v>大阪府大阪市　東住吉区中野１丁目</v>
      </c>
      <c r="F7575" s="8"/>
      <c r="G7575" s="8" t="str">
        <f t="shared" ref="G7575:G7638" si="2730">"事業用資産"</f>
        <v>事業用資産</v>
      </c>
      <c r="H7575" s="8" t="str">
        <f t="shared" si="2727"/>
        <v>棚卸以外</v>
      </c>
      <c r="I7575" s="8">
        <v>2</v>
      </c>
      <c r="J7575" s="8" t="str">
        <f>"自転車置場"</f>
        <v>自転車置場</v>
      </c>
      <c r="K7575" s="8" t="str">
        <f>"木造"</f>
        <v>木造</v>
      </c>
      <c r="L7575" s="8" t="str">
        <f>"S41.03.12"</f>
        <v>S41.03.12</v>
      </c>
      <c r="M7575" s="8">
        <v>3.3</v>
      </c>
      <c r="N7575" s="8">
        <v>35220</v>
      </c>
      <c r="O7575" s="8">
        <v>35219</v>
      </c>
      <c r="P7575" s="8">
        <v>0</v>
      </c>
      <c r="Q7575" s="8" t="str">
        <f t="shared" si="2723"/>
        <v>公安委員会</v>
      </c>
      <c r="R7575" s="8" t="str">
        <f t="shared" si="2729"/>
        <v>東住吉警察署</v>
      </c>
    </row>
    <row r="7576" spans="1:18" x14ac:dyDescent="0.45">
      <c r="A7576" s="8" t="str">
        <f>"11545000190"</f>
        <v>11545000190</v>
      </c>
      <c r="B7576" s="8" t="str">
        <f>"矢田駅前交番"</f>
        <v>矢田駅前交番</v>
      </c>
      <c r="C7576" s="8" t="str">
        <f t="shared" si="2725"/>
        <v>行政財産</v>
      </c>
      <c r="D7576" s="8" t="str">
        <f t="shared" si="2726"/>
        <v>警察（消防）施設</v>
      </c>
      <c r="E7576" s="8" t="str">
        <f>"大阪府大阪市　東住吉区矢田４丁目"</f>
        <v>大阪府大阪市　東住吉区矢田４丁目</v>
      </c>
      <c r="F7576" s="8"/>
      <c r="G7576" s="8" t="str">
        <f t="shared" si="2730"/>
        <v>事業用資産</v>
      </c>
      <c r="H7576" s="8" t="str">
        <f t="shared" si="2727"/>
        <v>棚卸以外</v>
      </c>
      <c r="I7576" s="8">
        <v>4</v>
      </c>
      <c r="J7576" s="8" t="str">
        <f>"矢田駅前交番"</f>
        <v>矢田駅前交番</v>
      </c>
      <c r="K7576" s="8" t="str">
        <f>"鉄骨造"</f>
        <v>鉄骨造</v>
      </c>
      <c r="L7576" s="8" t="str">
        <f>"H17.02.09"</f>
        <v>H17.02.09</v>
      </c>
      <c r="M7576" s="8">
        <v>132.72</v>
      </c>
      <c r="N7576" s="8">
        <v>26029500</v>
      </c>
      <c r="O7576" s="8">
        <v>12351688</v>
      </c>
      <c r="P7576" s="8">
        <v>0</v>
      </c>
      <c r="Q7576" s="8" t="str">
        <f t="shared" si="2723"/>
        <v>公安委員会</v>
      </c>
      <c r="R7576" s="8" t="str">
        <f t="shared" si="2729"/>
        <v>東住吉警察署</v>
      </c>
    </row>
    <row r="7577" spans="1:18" x14ac:dyDescent="0.45">
      <c r="A7577" s="8" t="str">
        <f>"11545000230"</f>
        <v>11545000230</v>
      </c>
      <c r="B7577" s="8" t="str">
        <f>"湯里交番"</f>
        <v>湯里交番</v>
      </c>
      <c r="C7577" s="8" t="str">
        <f t="shared" si="2725"/>
        <v>行政財産</v>
      </c>
      <c r="D7577" s="8" t="str">
        <f t="shared" si="2726"/>
        <v>警察（消防）施設</v>
      </c>
      <c r="E7577" s="8" t="str">
        <f>"大阪府大阪市　東住吉区湯里２丁目"</f>
        <v>大阪府大阪市　東住吉区湯里２丁目</v>
      </c>
      <c r="F7577" s="8"/>
      <c r="G7577" s="8" t="str">
        <f t="shared" si="2730"/>
        <v>事業用資産</v>
      </c>
      <c r="H7577" s="8" t="str">
        <f t="shared" si="2727"/>
        <v>棚卸以外</v>
      </c>
      <c r="I7577" s="8">
        <v>2</v>
      </c>
      <c r="J7577" s="8" t="str">
        <f>"湯里交番"</f>
        <v>湯里交番</v>
      </c>
      <c r="K7577" s="8" t="str">
        <f>"軽量鉄骨造"</f>
        <v>軽量鉄骨造</v>
      </c>
      <c r="L7577" s="8" t="str">
        <f>"R02.02.19"</f>
        <v>R02.02.19</v>
      </c>
      <c r="M7577" s="8">
        <v>38.08</v>
      </c>
      <c r="N7577" s="8">
        <v>23613239</v>
      </c>
      <c r="O7577" s="8">
        <v>2860424</v>
      </c>
      <c r="P7577" s="8">
        <v>0</v>
      </c>
      <c r="Q7577" s="8" t="str">
        <f t="shared" si="2723"/>
        <v>公安委員会</v>
      </c>
      <c r="R7577" s="8" t="str">
        <f t="shared" si="2729"/>
        <v>東住吉警察署</v>
      </c>
    </row>
    <row r="7578" spans="1:18" x14ac:dyDescent="0.45">
      <c r="A7578" s="8" t="str">
        <f>"11545000260"</f>
        <v>11545000260</v>
      </c>
      <c r="B7578" s="8" t="str">
        <f>"住道矢田交番"</f>
        <v>住道矢田交番</v>
      </c>
      <c r="C7578" s="8" t="str">
        <f t="shared" si="2725"/>
        <v>行政財産</v>
      </c>
      <c r="D7578" s="8" t="str">
        <f t="shared" si="2726"/>
        <v>警察（消防）施設</v>
      </c>
      <c r="E7578" s="8" t="str">
        <f>"大阪府大阪市　東住吉区住道矢田２丁目"</f>
        <v>大阪府大阪市　東住吉区住道矢田２丁目</v>
      </c>
      <c r="F7578" s="8"/>
      <c r="G7578" s="8" t="str">
        <f t="shared" si="2730"/>
        <v>事業用資産</v>
      </c>
      <c r="H7578" s="8" t="str">
        <f t="shared" si="2727"/>
        <v>棚卸以外</v>
      </c>
      <c r="I7578" s="8">
        <v>2</v>
      </c>
      <c r="J7578" s="8" t="str">
        <f>"住道矢田交番"</f>
        <v>住道矢田交番</v>
      </c>
      <c r="K7578" s="8" t="str">
        <f>"軽量鉄骨造"</f>
        <v>軽量鉄骨造</v>
      </c>
      <c r="L7578" s="8" t="str">
        <f>"H23.03.16"</f>
        <v>H23.03.16</v>
      </c>
      <c r="M7578" s="8">
        <v>51.84</v>
      </c>
      <c r="N7578" s="8">
        <v>13323640</v>
      </c>
      <c r="O7578" s="8">
        <v>5312022</v>
      </c>
      <c r="P7578" s="8">
        <v>0</v>
      </c>
      <c r="Q7578" s="8" t="str">
        <f t="shared" si="2723"/>
        <v>公安委員会</v>
      </c>
      <c r="R7578" s="8" t="str">
        <f t="shared" si="2729"/>
        <v>東住吉警察署</v>
      </c>
    </row>
    <row r="7579" spans="1:18" x14ac:dyDescent="0.45">
      <c r="A7579" s="8" t="str">
        <f>"11545000280"</f>
        <v>11545000280</v>
      </c>
      <c r="B7579" s="8" t="str">
        <f>"北田辺交番"</f>
        <v>北田辺交番</v>
      </c>
      <c r="C7579" s="8" t="str">
        <f t="shared" si="2725"/>
        <v>行政財産</v>
      </c>
      <c r="D7579" s="8" t="str">
        <f t="shared" si="2726"/>
        <v>警察（消防）施設</v>
      </c>
      <c r="E7579" s="8" t="str">
        <f>"大阪府大阪市　東住吉区北田辺４丁目"</f>
        <v>大阪府大阪市　東住吉区北田辺４丁目</v>
      </c>
      <c r="F7579" s="8"/>
      <c r="G7579" s="8" t="str">
        <f t="shared" si="2730"/>
        <v>事業用資産</v>
      </c>
      <c r="H7579" s="8" t="str">
        <f t="shared" si="2727"/>
        <v>棚卸以外</v>
      </c>
      <c r="I7579" s="8">
        <v>1</v>
      </c>
      <c r="J7579" s="8" t="str">
        <f>"北田辺交番"</f>
        <v>北田辺交番</v>
      </c>
      <c r="K7579" s="8" t="str">
        <f>"鉄筋コンクリート造"</f>
        <v>鉄筋コンクリート造</v>
      </c>
      <c r="L7579" s="8" t="str">
        <f>"S45.03.05"</f>
        <v>S45.03.05</v>
      </c>
      <c r="M7579" s="8">
        <v>80</v>
      </c>
      <c r="N7579" s="8">
        <v>4699612</v>
      </c>
      <c r="O7579" s="8">
        <v>4556865</v>
      </c>
      <c r="P7579" s="8">
        <v>0</v>
      </c>
      <c r="Q7579" s="8" t="str">
        <f t="shared" si="2723"/>
        <v>公安委員会</v>
      </c>
      <c r="R7579" s="8" t="str">
        <f t="shared" si="2729"/>
        <v>東住吉警察署</v>
      </c>
    </row>
    <row r="7580" spans="1:18" x14ac:dyDescent="0.45">
      <c r="A7580" s="8" t="str">
        <f>"11545000300"</f>
        <v>11545000300</v>
      </c>
      <c r="B7580" s="8" t="str">
        <f>"鷹合交番"</f>
        <v>鷹合交番</v>
      </c>
      <c r="C7580" s="8" t="str">
        <f t="shared" si="2725"/>
        <v>行政財産</v>
      </c>
      <c r="D7580" s="8" t="str">
        <f t="shared" si="2726"/>
        <v>警察（消防）施設</v>
      </c>
      <c r="E7580" s="8" t="str">
        <f>"大阪府大阪市　東住吉区鷹合２丁目"</f>
        <v>大阪府大阪市　東住吉区鷹合２丁目</v>
      </c>
      <c r="F7580" s="8"/>
      <c r="G7580" s="8" t="str">
        <f t="shared" si="2730"/>
        <v>事業用資産</v>
      </c>
      <c r="H7580" s="8" t="str">
        <f t="shared" si="2727"/>
        <v>棚卸以外</v>
      </c>
      <c r="I7580" s="8">
        <v>1</v>
      </c>
      <c r="J7580" s="8" t="str">
        <f>"鷹合交番"</f>
        <v>鷹合交番</v>
      </c>
      <c r="K7580" s="8" t="str">
        <f>"鉄筋コンクリート造"</f>
        <v>鉄筋コンクリート造</v>
      </c>
      <c r="L7580" s="8" t="str">
        <f>"S45.12.15"</f>
        <v>S45.12.15</v>
      </c>
      <c r="M7580" s="8">
        <v>55.04</v>
      </c>
      <c r="N7580" s="8">
        <v>4076257</v>
      </c>
      <c r="O7580" s="8">
        <v>4004477</v>
      </c>
      <c r="P7580" s="8">
        <v>0</v>
      </c>
      <c r="Q7580" s="8" t="str">
        <f t="shared" si="2723"/>
        <v>公安委員会</v>
      </c>
      <c r="R7580" s="8" t="str">
        <f t="shared" si="2729"/>
        <v>東住吉警察署</v>
      </c>
    </row>
    <row r="7581" spans="1:18" x14ac:dyDescent="0.45">
      <c r="A7581" s="8" t="str">
        <f>"11545000310"</f>
        <v>11545000310</v>
      </c>
      <c r="B7581" s="8" t="str">
        <f>"白鷺警ら連絡所"</f>
        <v>白鷺警ら連絡所</v>
      </c>
      <c r="C7581" s="8" t="str">
        <f t="shared" si="2725"/>
        <v>行政財産</v>
      </c>
      <c r="D7581" s="8" t="str">
        <f t="shared" si="2726"/>
        <v>警察（消防）施設</v>
      </c>
      <c r="E7581" s="8" t="str">
        <f>"大阪府大阪市　東住吉区今川３丁目"</f>
        <v>大阪府大阪市　東住吉区今川３丁目</v>
      </c>
      <c r="F7581" s="8"/>
      <c r="G7581" s="8" t="str">
        <f t="shared" si="2730"/>
        <v>事業用資産</v>
      </c>
      <c r="H7581" s="8" t="str">
        <f t="shared" si="2727"/>
        <v>棚卸以外</v>
      </c>
      <c r="I7581" s="8">
        <v>1</v>
      </c>
      <c r="J7581" s="8" t="str">
        <f>"白鷺警ら連絡所"</f>
        <v>白鷺警ら連絡所</v>
      </c>
      <c r="K7581" s="8" t="str">
        <f>"コンクリートブロック造"</f>
        <v>コンクリートブロック造</v>
      </c>
      <c r="L7581" s="8" t="str">
        <f>"S37.03.31"</f>
        <v>S37.03.31</v>
      </c>
      <c r="M7581" s="8">
        <v>23.14</v>
      </c>
      <c r="N7581" s="8">
        <v>1004000</v>
      </c>
      <c r="O7581" s="8">
        <v>1003999</v>
      </c>
      <c r="P7581" s="8">
        <v>0</v>
      </c>
      <c r="Q7581" s="8" t="str">
        <f t="shared" si="2723"/>
        <v>公安委員会</v>
      </c>
      <c r="R7581" s="8" t="str">
        <f t="shared" si="2729"/>
        <v>東住吉警察署</v>
      </c>
    </row>
    <row r="7582" spans="1:18" x14ac:dyDescent="0.45">
      <c r="A7582" s="8" t="str">
        <f>"11545000320"</f>
        <v>11545000320</v>
      </c>
      <c r="B7582" s="8" t="str">
        <f>"杭全交番"</f>
        <v>杭全交番</v>
      </c>
      <c r="C7582" s="8" t="str">
        <f t="shared" si="2725"/>
        <v>行政財産</v>
      </c>
      <c r="D7582" s="8" t="str">
        <f t="shared" si="2726"/>
        <v>警察（消防）施設</v>
      </c>
      <c r="E7582" s="8" t="str">
        <f>"大阪府大阪市　東住吉区杭全６丁目"</f>
        <v>大阪府大阪市　東住吉区杭全６丁目</v>
      </c>
      <c r="F7582" s="8"/>
      <c r="G7582" s="8" t="str">
        <f t="shared" si="2730"/>
        <v>事業用資産</v>
      </c>
      <c r="H7582" s="8" t="str">
        <f t="shared" si="2727"/>
        <v>棚卸以外</v>
      </c>
      <c r="I7582" s="8">
        <v>2</v>
      </c>
      <c r="J7582" s="8" t="str">
        <f>"杭全交番"</f>
        <v>杭全交番</v>
      </c>
      <c r="K7582" s="8" t="str">
        <f>"軽量鉄骨造"</f>
        <v>軽量鉄骨造</v>
      </c>
      <c r="L7582" s="8" t="str">
        <f>"H26.03.31"</f>
        <v>H26.03.31</v>
      </c>
      <c r="M7582" s="8">
        <v>46.03</v>
      </c>
      <c r="N7582" s="8">
        <v>22053687</v>
      </c>
      <c r="O7582" s="8">
        <v>7590912</v>
      </c>
      <c r="P7582" s="8">
        <v>0</v>
      </c>
      <c r="Q7582" s="8" t="str">
        <f t="shared" si="2723"/>
        <v>公安委員会</v>
      </c>
      <c r="R7582" s="8" t="str">
        <f t="shared" si="2729"/>
        <v>東住吉警察署</v>
      </c>
    </row>
    <row r="7583" spans="1:18" x14ac:dyDescent="0.45">
      <c r="A7583" s="8" t="str">
        <f>"11545000330"</f>
        <v>11545000330</v>
      </c>
      <c r="B7583" s="8" t="str">
        <f>"駒川中野駅前交番"</f>
        <v>駒川中野駅前交番</v>
      </c>
      <c r="C7583" s="8" t="str">
        <f t="shared" si="2725"/>
        <v>行政財産</v>
      </c>
      <c r="D7583" s="8" t="str">
        <f t="shared" si="2726"/>
        <v>警察（消防）施設</v>
      </c>
      <c r="E7583" s="8" t="str">
        <f>"大阪府大阪市　東住吉区駒川３丁目"</f>
        <v>大阪府大阪市　東住吉区駒川３丁目</v>
      </c>
      <c r="F7583" s="8"/>
      <c r="G7583" s="8" t="str">
        <f t="shared" si="2730"/>
        <v>事業用資産</v>
      </c>
      <c r="H7583" s="8" t="str">
        <f t="shared" si="2727"/>
        <v>棚卸以外</v>
      </c>
      <c r="I7583" s="8">
        <v>1</v>
      </c>
      <c r="J7583" s="8" t="str">
        <f>"駒川中野駅前交番"</f>
        <v>駒川中野駅前交番</v>
      </c>
      <c r="K7583" s="8" t="str">
        <f>"鉄筋コンクリート造"</f>
        <v>鉄筋コンクリート造</v>
      </c>
      <c r="L7583" s="8" t="str">
        <f>"S62.12.10"</f>
        <v>S62.12.10</v>
      </c>
      <c r="M7583" s="8">
        <v>54</v>
      </c>
      <c r="N7583" s="8">
        <v>17338917</v>
      </c>
      <c r="O7583" s="8">
        <v>12191223</v>
      </c>
      <c r="P7583" s="8">
        <v>0</v>
      </c>
      <c r="Q7583" s="8" t="str">
        <f t="shared" si="2723"/>
        <v>公安委員会</v>
      </c>
      <c r="R7583" s="8" t="str">
        <f t="shared" si="2729"/>
        <v>東住吉警察署</v>
      </c>
    </row>
    <row r="7584" spans="1:18" x14ac:dyDescent="0.45">
      <c r="A7584" s="8" t="str">
        <f>"11546000120"</f>
        <v>11546000120</v>
      </c>
      <c r="B7584" s="8" t="str">
        <f>"平野宮町交通警察官詰所"</f>
        <v>平野宮町交通警察官詰所</v>
      </c>
      <c r="C7584" s="8" t="str">
        <f t="shared" si="2725"/>
        <v>行政財産</v>
      </c>
      <c r="D7584" s="8" t="str">
        <f t="shared" si="2726"/>
        <v>警察（消防）施設</v>
      </c>
      <c r="E7584" s="8" t="str">
        <f>"大阪府大阪市　平野区平野宮町１丁目"</f>
        <v>大阪府大阪市　平野区平野宮町１丁目</v>
      </c>
      <c r="F7584" s="8"/>
      <c r="G7584" s="8" t="str">
        <f t="shared" si="2730"/>
        <v>事業用資産</v>
      </c>
      <c r="H7584" s="8" t="str">
        <f t="shared" si="2727"/>
        <v>棚卸以外</v>
      </c>
      <c r="I7584" s="8">
        <v>1</v>
      </c>
      <c r="J7584" s="8" t="str">
        <f>"平野宮町交通警察官詰所"</f>
        <v>平野宮町交通警察官詰所</v>
      </c>
      <c r="K7584" s="8" t="str">
        <f>"鉄筋コンクリート造"</f>
        <v>鉄筋コンクリート造</v>
      </c>
      <c r="L7584" s="8" t="str">
        <f>"S10.05.27"</f>
        <v>S10.05.27</v>
      </c>
      <c r="M7584" s="8">
        <v>17.55</v>
      </c>
      <c r="N7584" s="8">
        <v>1311709</v>
      </c>
      <c r="O7584" s="8">
        <v>934310</v>
      </c>
      <c r="P7584" s="8">
        <v>0</v>
      </c>
      <c r="Q7584" s="8" t="str">
        <f t="shared" si="2723"/>
        <v>公安委員会</v>
      </c>
      <c r="R7584" s="8" t="str">
        <f t="shared" ref="R7584:R7604" si="2731">"平野警察署"</f>
        <v>平野警察署</v>
      </c>
    </row>
    <row r="7585" spans="1:18" x14ac:dyDescent="0.45">
      <c r="A7585" s="8" t="str">
        <f>"11546000140"</f>
        <v>11546000140</v>
      </c>
      <c r="B7585" s="8" t="str">
        <f>"喜連交番"</f>
        <v>喜連交番</v>
      </c>
      <c r="C7585" s="8" t="str">
        <f t="shared" si="2725"/>
        <v>行政財産</v>
      </c>
      <c r="D7585" s="8" t="str">
        <f t="shared" si="2726"/>
        <v>警察（消防）施設</v>
      </c>
      <c r="E7585" s="8" t="str">
        <f>"大阪府大阪市　平野区喜連７丁目"</f>
        <v>大阪府大阪市　平野区喜連７丁目</v>
      </c>
      <c r="F7585" s="8"/>
      <c r="G7585" s="8" t="str">
        <f t="shared" si="2730"/>
        <v>事業用資産</v>
      </c>
      <c r="H7585" s="8" t="str">
        <f t="shared" si="2727"/>
        <v>棚卸以外</v>
      </c>
      <c r="I7585" s="8">
        <v>2</v>
      </c>
      <c r="J7585" s="8" t="str">
        <f>"喜連交番"</f>
        <v>喜連交番</v>
      </c>
      <c r="K7585" s="8" t="str">
        <f>"鉄筋コンクリート造"</f>
        <v>鉄筋コンクリート造</v>
      </c>
      <c r="L7585" s="8" t="str">
        <f>"S45.01.19"</f>
        <v>S45.01.19</v>
      </c>
      <c r="M7585" s="8">
        <v>29.75</v>
      </c>
      <c r="N7585" s="8">
        <v>2316668</v>
      </c>
      <c r="O7585" s="8">
        <v>2243659</v>
      </c>
      <c r="P7585" s="8">
        <v>0</v>
      </c>
      <c r="Q7585" s="8" t="str">
        <f t="shared" si="2723"/>
        <v>公安委員会</v>
      </c>
      <c r="R7585" s="8" t="str">
        <f t="shared" si="2731"/>
        <v>平野警察署</v>
      </c>
    </row>
    <row r="7586" spans="1:18" x14ac:dyDescent="0.45">
      <c r="A7586" s="8" t="str">
        <f>"11546000170"</f>
        <v>11546000170</v>
      </c>
      <c r="B7586" s="8" t="str">
        <f>"加美交番"</f>
        <v>加美交番</v>
      </c>
      <c r="C7586" s="8" t="str">
        <f t="shared" si="2725"/>
        <v>行政財産</v>
      </c>
      <c r="D7586" s="8" t="str">
        <f t="shared" si="2726"/>
        <v>警察（消防）施設</v>
      </c>
      <c r="E7586" s="8" t="str">
        <f>"大阪府大阪市　平野区加美鞍作１丁目"</f>
        <v>大阪府大阪市　平野区加美鞍作１丁目</v>
      </c>
      <c r="F7586" s="8"/>
      <c r="G7586" s="8" t="str">
        <f t="shared" si="2730"/>
        <v>事業用資産</v>
      </c>
      <c r="H7586" s="8" t="str">
        <f t="shared" si="2727"/>
        <v>棚卸以外</v>
      </c>
      <c r="I7586" s="8">
        <v>2</v>
      </c>
      <c r="J7586" s="8" t="str">
        <f>"加美交番"</f>
        <v>加美交番</v>
      </c>
      <c r="K7586" s="8" t="str">
        <f>"鉄骨造"</f>
        <v>鉄骨造</v>
      </c>
      <c r="L7586" s="8" t="str">
        <f>"H06.03.31"</f>
        <v>H06.03.31</v>
      </c>
      <c r="M7586" s="8">
        <v>53.9</v>
      </c>
      <c r="N7586" s="8">
        <v>19446008</v>
      </c>
      <c r="O7586" s="8">
        <v>14785732</v>
      </c>
      <c r="P7586" s="8">
        <v>0</v>
      </c>
      <c r="Q7586" s="8" t="str">
        <f t="shared" si="2723"/>
        <v>公安委員会</v>
      </c>
      <c r="R7586" s="8" t="str">
        <f t="shared" si="2731"/>
        <v>平野警察署</v>
      </c>
    </row>
    <row r="7587" spans="1:18" x14ac:dyDescent="0.45">
      <c r="A7587" s="8" t="str">
        <f>"11546000190"</f>
        <v>11546000190</v>
      </c>
      <c r="B7587" s="8" t="str">
        <f>"瓜破西交番"</f>
        <v>瓜破西交番</v>
      </c>
      <c r="C7587" s="8" t="str">
        <f t="shared" si="2725"/>
        <v>行政財産</v>
      </c>
      <c r="D7587" s="8" t="str">
        <f t="shared" si="2726"/>
        <v>警察（消防）施設</v>
      </c>
      <c r="E7587" s="8" t="str">
        <f>"大阪府大阪市　平野区瓜破西１丁目"</f>
        <v>大阪府大阪市　平野区瓜破西１丁目</v>
      </c>
      <c r="F7587" s="8"/>
      <c r="G7587" s="8" t="str">
        <f t="shared" si="2730"/>
        <v>事業用資産</v>
      </c>
      <c r="H7587" s="8" t="str">
        <f t="shared" si="2727"/>
        <v>棚卸以外</v>
      </c>
      <c r="I7587" s="8">
        <v>2</v>
      </c>
      <c r="J7587" s="8" t="str">
        <f>"瓜破西交番"</f>
        <v>瓜破西交番</v>
      </c>
      <c r="K7587" s="8" t="str">
        <f>"鉄骨造"</f>
        <v>鉄骨造</v>
      </c>
      <c r="L7587" s="8" t="str">
        <f>"H06.03.23"</f>
        <v>H06.03.23</v>
      </c>
      <c r="M7587" s="8">
        <v>54</v>
      </c>
      <c r="N7587" s="8">
        <v>17198668</v>
      </c>
      <c r="O7587" s="8">
        <v>13070104</v>
      </c>
      <c r="P7587" s="8">
        <v>0</v>
      </c>
      <c r="Q7587" s="8" t="str">
        <f t="shared" si="2723"/>
        <v>公安委員会</v>
      </c>
      <c r="R7587" s="8" t="str">
        <f t="shared" si="2731"/>
        <v>平野警察署</v>
      </c>
    </row>
    <row r="7588" spans="1:18" x14ac:dyDescent="0.45">
      <c r="A7588" s="8" t="str">
        <f>"11546000210"</f>
        <v>11546000210</v>
      </c>
      <c r="B7588" s="8" t="str">
        <f>"西喜連交番"</f>
        <v>西喜連交番</v>
      </c>
      <c r="C7588" s="8" t="str">
        <f t="shared" si="2725"/>
        <v>行政財産</v>
      </c>
      <c r="D7588" s="8" t="str">
        <f t="shared" si="2726"/>
        <v>警察（消防）施設</v>
      </c>
      <c r="E7588" s="8" t="str">
        <f>"大阪府大阪市　平野区喜連西３丁目"</f>
        <v>大阪府大阪市　平野区喜連西３丁目</v>
      </c>
      <c r="F7588" s="8"/>
      <c r="G7588" s="8" t="str">
        <f t="shared" si="2730"/>
        <v>事業用資産</v>
      </c>
      <c r="H7588" s="8" t="str">
        <f t="shared" si="2727"/>
        <v>棚卸以外</v>
      </c>
      <c r="I7588" s="8">
        <v>2</v>
      </c>
      <c r="J7588" s="8" t="str">
        <f>"西喜連交番"</f>
        <v>西喜連交番</v>
      </c>
      <c r="K7588" s="8" t="str">
        <f>"鉄骨造"</f>
        <v>鉄骨造</v>
      </c>
      <c r="L7588" s="8" t="str">
        <f>"H18.01.20"</f>
        <v>H18.01.20</v>
      </c>
      <c r="M7588" s="8">
        <v>54.28</v>
      </c>
      <c r="N7588" s="8">
        <v>17930072</v>
      </c>
      <c r="O7588" s="8">
        <v>7776098</v>
      </c>
      <c r="P7588" s="8">
        <v>0</v>
      </c>
      <c r="Q7588" s="8" t="str">
        <f t="shared" si="2723"/>
        <v>公安委員会</v>
      </c>
      <c r="R7588" s="8" t="str">
        <f t="shared" si="2731"/>
        <v>平野警察署</v>
      </c>
    </row>
    <row r="7589" spans="1:18" x14ac:dyDescent="0.45">
      <c r="A7589" s="8" t="str">
        <f>"11546000250"</f>
        <v>11546000250</v>
      </c>
      <c r="B7589" s="8" t="str">
        <f>"加美南交番"</f>
        <v>加美南交番</v>
      </c>
      <c r="C7589" s="8" t="str">
        <f t="shared" si="2725"/>
        <v>行政財産</v>
      </c>
      <c r="D7589" s="8" t="str">
        <f t="shared" si="2726"/>
        <v>警察（消防）施設</v>
      </c>
      <c r="E7589" s="8" t="str">
        <f>"大阪府大阪市　平野区加美南４丁目"</f>
        <v>大阪府大阪市　平野区加美南４丁目</v>
      </c>
      <c r="F7589" s="8"/>
      <c r="G7589" s="8" t="str">
        <f t="shared" si="2730"/>
        <v>事業用資産</v>
      </c>
      <c r="H7589" s="8" t="str">
        <f t="shared" si="2727"/>
        <v>棚卸以外</v>
      </c>
      <c r="I7589" s="8">
        <v>2</v>
      </c>
      <c r="J7589" s="8" t="str">
        <f>"加美南交番"</f>
        <v>加美南交番</v>
      </c>
      <c r="K7589" s="8" t="str">
        <f>"鉄骨造"</f>
        <v>鉄骨造</v>
      </c>
      <c r="L7589" s="8" t="str">
        <f>"H18.12.22"</f>
        <v>H18.12.22</v>
      </c>
      <c r="M7589" s="8">
        <v>53.08</v>
      </c>
      <c r="N7589" s="8">
        <v>15341668</v>
      </c>
      <c r="O7589" s="8">
        <v>6530455</v>
      </c>
      <c r="P7589" s="8">
        <v>0</v>
      </c>
      <c r="Q7589" s="8" t="str">
        <f t="shared" si="2723"/>
        <v>公安委員会</v>
      </c>
      <c r="R7589" s="8" t="str">
        <f t="shared" si="2731"/>
        <v>平野警察署</v>
      </c>
    </row>
    <row r="7590" spans="1:18" x14ac:dyDescent="0.45">
      <c r="A7590" s="8" t="str">
        <f>"11546000260"</f>
        <v>11546000260</v>
      </c>
      <c r="B7590" s="8" t="str">
        <f>"瓜破警ら連絡所"</f>
        <v>瓜破警ら連絡所</v>
      </c>
      <c r="C7590" s="8" t="str">
        <f t="shared" si="2725"/>
        <v>行政財産</v>
      </c>
      <c r="D7590" s="8" t="str">
        <f t="shared" si="2726"/>
        <v>警察（消防）施設</v>
      </c>
      <c r="E7590" s="8" t="str">
        <f>"大阪府大阪市　平野区瓜破５丁目"</f>
        <v>大阪府大阪市　平野区瓜破５丁目</v>
      </c>
      <c r="F7590" s="8"/>
      <c r="G7590" s="8" t="str">
        <f t="shared" si="2730"/>
        <v>事業用資産</v>
      </c>
      <c r="H7590" s="8" t="str">
        <f t="shared" si="2727"/>
        <v>棚卸以外</v>
      </c>
      <c r="I7590" s="8">
        <v>1</v>
      </c>
      <c r="J7590" s="8" t="str">
        <f>"瓜破警ら連絡所"</f>
        <v>瓜破警ら連絡所</v>
      </c>
      <c r="K7590" s="8" t="str">
        <f>"コンクリートブロック造"</f>
        <v>コンクリートブロック造</v>
      </c>
      <c r="L7590" s="8" t="str">
        <f>"S40.01.25"</f>
        <v>S40.01.25</v>
      </c>
      <c r="M7590" s="8">
        <v>26.14</v>
      </c>
      <c r="N7590" s="8">
        <v>1130000</v>
      </c>
      <c r="O7590" s="8">
        <v>1129999</v>
      </c>
      <c r="P7590" s="8">
        <v>0</v>
      </c>
      <c r="Q7590" s="8" t="str">
        <f t="shared" si="2723"/>
        <v>公安委員会</v>
      </c>
      <c r="R7590" s="8" t="str">
        <f t="shared" si="2731"/>
        <v>平野警察署</v>
      </c>
    </row>
    <row r="7591" spans="1:18" x14ac:dyDescent="0.45">
      <c r="A7591" s="8" t="str">
        <f>"11546000280"</f>
        <v>11546000280</v>
      </c>
      <c r="B7591" s="8" t="str">
        <f>"長原警ら連絡所"</f>
        <v>長原警ら連絡所</v>
      </c>
      <c r="C7591" s="8" t="str">
        <f t="shared" si="2725"/>
        <v>行政財産</v>
      </c>
      <c r="D7591" s="8" t="str">
        <f t="shared" si="2726"/>
        <v>警察（消防）施設</v>
      </c>
      <c r="E7591" s="8" t="str">
        <f>"大阪府大阪市　平野区長吉長原東１丁目"</f>
        <v>大阪府大阪市　平野区長吉長原東１丁目</v>
      </c>
      <c r="F7591" s="8"/>
      <c r="G7591" s="8" t="str">
        <f t="shared" si="2730"/>
        <v>事業用資産</v>
      </c>
      <c r="H7591" s="8" t="str">
        <f t="shared" si="2727"/>
        <v>棚卸以外</v>
      </c>
      <c r="I7591" s="8">
        <v>1</v>
      </c>
      <c r="J7591" s="8" t="str">
        <f>"長原警ら連絡所"</f>
        <v>長原警ら連絡所</v>
      </c>
      <c r="K7591" s="8" t="str">
        <f>"コンクリートブロック造"</f>
        <v>コンクリートブロック造</v>
      </c>
      <c r="L7591" s="8" t="str">
        <f>"S41.02.14"</f>
        <v>S41.02.14</v>
      </c>
      <c r="M7591" s="8">
        <v>26.24</v>
      </c>
      <c r="N7591" s="8">
        <v>1128000</v>
      </c>
      <c r="O7591" s="8">
        <v>1127999</v>
      </c>
      <c r="P7591" s="8">
        <v>0</v>
      </c>
      <c r="Q7591" s="8" t="str">
        <f t="shared" si="2723"/>
        <v>公安委員会</v>
      </c>
      <c r="R7591" s="8" t="str">
        <f t="shared" si="2731"/>
        <v>平野警察署</v>
      </c>
    </row>
    <row r="7592" spans="1:18" x14ac:dyDescent="0.45">
      <c r="A7592" s="8" t="str">
        <f>"11546000300"</f>
        <v>11546000300</v>
      </c>
      <c r="B7592" s="8" t="str">
        <f>"平野西交番"</f>
        <v>平野西交番</v>
      </c>
      <c r="C7592" s="8" t="str">
        <f t="shared" si="2725"/>
        <v>行政財産</v>
      </c>
      <c r="D7592" s="8" t="str">
        <f t="shared" si="2726"/>
        <v>警察（消防）施設</v>
      </c>
      <c r="E7592" s="8" t="str">
        <f>"大阪府大阪市　平野区平野西３丁目"</f>
        <v>大阪府大阪市　平野区平野西３丁目</v>
      </c>
      <c r="F7592" s="8"/>
      <c r="G7592" s="8" t="str">
        <f t="shared" si="2730"/>
        <v>事業用資産</v>
      </c>
      <c r="H7592" s="8" t="str">
        <f t="shared" si="2727"/>
        <v>棚卸以外</v>
      </c>
      <c r="I7592" s="8">
        <v>2</v>
      </c>
      <c r="J7592" s="8" t="str">
        <f>"平野西交番"</f>
        <v>平野西交番</v>
      </c>
      <c r="K7592" s="8" t="str">
        <f>"鉄骨造"</f>
        <v>鉄骨造</v>
      </c>
      <c r="L7592" s="8" t="str">
        <f>"H22.03.29"</f>
        <v>H22.03.29</v>
      </c>
      <c r="M7592" s="8">
        <v>54.44</v>
      </c>
      <c r="N7592" s="8">
        <v>17734988</v>
      </c>
      <c r="O7592" s="8">
        <v>6042948</v>
      </c>
      <c r="P7592" s="8">
        <v>0</v>
      </c>
      <c r="Q7592" s="8" t="str">
        <f t="shared" si="2723"/>
        <v>公安委員会</v>
      </c>
      <c r="R7592" s="8" t="str">
        <f t="shared" si="2731"/>
        <v>平野警察署</v>
      </c>
    </row>
    <row r="7593" spans="1:18" x14ac:dyDescent="0.45">
      <c r="A7593" s="8" t="str">
        <f>"11546000300"</f>
        <v>11546000300</v>
      </c>
      <c r="B7593" s="8" t="str">
        <f>"平野西交番"</f>
        <v>平野西交番</v>
      </c>
      <c r="C7593" s="8" t="str">
        <f t="shared" si="2725"/>
        <v>行政財産</v>
      </c>
      <c r="D7593" s="8" t="str">
        <f t="shared" si="2726"/>
        <v>警察（消防）施設</v>
      </c>
      <c r="E7593" s="8" t="str">
        <f>"大阪府大阪市　平野区平野西３丁目"</f>
        <v>大阪府大阪市　平野区平野西３丁目</v>
      </c>
      <c r="F7593" s="8"/>
      <c r="G7593" s="8" t="str">
        <f t="shared" si="2730"/>
        <v>事業用資産</v>
      </c>
      <c r="H7593" s="8" t="str">
        <f t="shared" si="2727"/>
        <v>棚卸以外</v>
      </c>
      <c r="I7593" s="8">
        <v>3</v>
      </c>
      <c r="J7593" s="8" t="str">
        <f>"物置"</f>
        <v>物置</v>
      </c>
      <c r="K7593" s="8" t="str">
        <f>"土蔵造(簡易建物)"</f>
        <v>土蔵造(簡易建物)</v>
      </c>
      <c r="L7593" s="8" t="str">
        <f>"H22.03.29"</f>
        <v>H22.03.29</v>
      </c>
      <c r="M7593" s="8">
        <v>1.95</v>
      </c>
      <c r="N7593" s="8">
        <v>144000</v>
      </c>
      <c r="O7593" s="8">
        <v>78000</v>
      </c>
      <c r="P7593" s="8">
        <v>0</v>
      </c>
      <c r="Q7593" s="8" t="str">
        <f t="shared" si="2723"/>
        <v>公安委員会</v>
      </c>
      <c r="R7593" s="8" t="str">
        <f t="shared" si="2731"/>
        <v>平野警察署</v>
      </c>
    </row>
    <row r="7594" spans="1:18" x14ac:dyDescent="0.45">
      <c r="A7594" s="8" t="str">
        <f>"11546000310"</f>
        <v>11546000310</v>
      </c>
      <c r="B7594" s="8" t="str">
        <f>"平野公園交番"</f>
        <v>平野公園交番</v>
      </c>
      <c r="C7594" s="8" t="str">
        <f t="shared" si="2725"/>
        <v>行政財産</v>
      </c>
      <c r="D7594" s="8" t="str">
        <f t="shared" si="2726"/>
        <v>警察（消防）施設</v>
      </c>
      <c r="E7594" s="8" t="str">
        <f>"大阪府大阪市　平野区平野東２丁目"</f>
        <v>大阪府大阪市　平野区平野東２丁目</v>
      </c>
      <c r="F7594" s="8"/>
      <c r="G7594" s="8" t="str">
        <f t="shared" si="2730"/>
        <v>事業用資産</v>
      </c>
      <c r="H7594" s="8" t="str">
        <f t="shared" si="2727"/>
        <v>棚卸以外</v>
      </c>
      <c r="I7594" s="8">
        <v>1</v>
      </c>
      <c r="J7594" s="8" t="str">
        <f>"平野公園交番"</f>
        <v>平野公園交番</v>
      </c>
      <c r="K7594" s="8" t="str">
        <f>"鉄骨コンクリート造"</f>
        <v>鉄骨コンクリート造</v>
      </c>
      <c r="L7594" s="8" t="str">
        <f>"S50.03.30"</f>
        <v>S50.03.30</v>
      </c>
      <c r="M7594" s="8">
        <v>50.4</v>
      </c>
      <c r="N7594" s="8">
        <v>8134026</v>
      </c>
      <c r="O7594" s="8">
        <v>8008094</v>
      </c>
      <c r="P7594" s="8">
        <v>0</v>
      </c>
      <c r="Q7594" s="8" t="str">
        <f t="shared" si="2723"/>
        <v>公安委員会</v>
      </c>
      <c r="R7594" s="8" t="str">
        <f t="shared" si="2731"/>
        <v>平野警察署</v>
      </c>
    </row>
    <row r="7595" spans="1:18" x14ac:dyDescent="0.45">
      <c r="A7595" s="8" t="str">
        <f>"11546000320"</f>
        <v>11546000320</v>
      </c>
      <c r="B7595" s="8" t="str">
        <f>"長吉六反交番"</f>
        <v>長吉六反交番</v>
      </c>
      <c r="C7595" s="8" t="str">
        <f t="shared" si="2725"/>
        <v>行政財産</v>
      </c>
      <c r="D7595" s="8" t="str">
        <f t="shared" si="2726"/>
        <v>警察（消防）施設</v>
      </c>
      <c r="E7595" s="8" t="str">
        <f>"大阪府大阪市　平野区長吉六反４丁目"</f>
        <v>大阪府大阪市　平野区長吉六反４丁目</v>
      </c>
      <c r="F7595" s="8"/>
      <c r="G7595" s="8" t="str">
        <f t="shared" si="2730"/>
        <v>事業用資産</v>
      </c>
      <c r="H7595" s="8" t="str">
        <f t="shared" si="2727"/>
        <v>棚卸以外</v>
      </c>
      <c r="I7595" s="8">
        <v>1</v>
      </c>
      <c r="J7595" s="8" t="str">
        <f>"長吉六反交番"</f>
        <v>長吉六反交番</v>
      </c>
      <c r="K7595" s="8" t="str">
        <f>"鉄筋コンクリート造"</f>
        <v>鉄筋コンクリート造</v>
      </c>
      <c r="L7595" s="8" t="str">
        <f>"S63.03.25"</f>
        <v>S63.03.25</v>
      </c>
      <c r="M7595" s="8">
        <v>54</v>
      </c>
      <c r="N7595" s="8">
        <v>17062229</v>
      </c>
      <c r="O7595" s="8">
        <v>11867838</v>
      </c>
      <c r="P7595" s="8">
        <v>0</v>
      </c>
      <c r="Q7595" s="8" t="str">
        <f t="shared" si="2723"/>
        <v>公安委員会</v>
      </c>
      <c r="R7595" s="8" t="str">
        <f t="shared" si="2731"/>
        <v>平野警察署</v>
      </c>
    </row>
    <row r="7596" spans="1:18" x14ac:dyDescent="0.45">
      <c r="A7596" s="8" t="str">
        <f>"11546000320"</f>
        <v>11546000320</v>
      </c>
      <c r="B7596" s="8" t="str">
        <f>"長吉六反交番"</f>
        <v>長吉六反交番</v>
      </c>
      <c r="C7596" s="8" t="str">
        <f t="shared" si="2725"/>
        <v>行政財産</v>
      </c>
      <c r="D7596" s="8" t="str">
        <f t="shared" si="2726"/>
        <v>警察（消防）施設</v>
      </c>
      <c r="E7596" s="8" t="str">
        <f>"大阪府大阪市　平野区長吉六反４丁目"</f>
        <v>大阪府大阪市　平野区長吉六反４丁目</v>
      </c>
      <c r="F7596" s="8"/>
      <c r="G7596" s="8" t="str">
        <f t="shared" si="2730"/>
        <v>事業用資産</v>
      </c>
      <c r="H7596" s="8" t="str">
        <f t="shared" si="2727"/>
        <v>棚卸以外</v>
      </c>
      <c r="I7596" s="8">
        <v>2</v>
      </c>
      <c r="J7596" s="8" t="str">
        <f>"自転車置場"</f>
        <v>自転車置場</v>
      </c>
      <c r="K7596" s="8" t="str">
        <f>"軽量鉄骨造"</f>
        <v>軽量鉄骨造</v>
      </c>
      <c r="L7596" s="8" t="str">
        <f>"S63.03.25"</f>
        <v>S63.03.25</v>
      </c>
      <c r="M7596" s="8">
        <v>4.51</v>
      </c>
      <c r="N7596" s="8">
        <v>366000</v>
      </c>
      <c r="O7596" s="8">
        <v>365999</v>
      </c>
      <c r="P7596" s="8">
        <v>0</v>
      </c>
      <c r="Q7596" s="8" t="str">
        <f t="shared" si="2723"/>
        <v>公安委員会</v>
      </c>
      <c r="R7596" s="8" t="str">
        <f t="shared" si="2731"/>
        <v>平野警察署</v>
      </c>
    </row>
    <row r="7597" spans="1:18" x14ac:dyDescent="0.45">
      <c r="A7597" s="8" t="str">
        <f>"11546000330"</f>
        <v>11546000330</v>
      </c>
      <c r="B7597" s="8" t="str">
        <f>"加美北交番"</f>
        <v>加美北交番</v>
      </c>
      <c r="C7597" s="8" t="str">
        <f t="shared" si="2725"/>
        <v>行政財産</v>
      </c>
      <c r="D7597" s="8" t="str">
        <f t="shared" si="2726"/>
        <v>警察（消防）施設</v>
      </c>
      <c r="E7597" s="8" t="str">
        <f>"大阪府大阪市　平野区加美北８丁目"</f>
        <v>大阪府大阪市　平野区加美北８丁目</v>
      </c>
      <c r="F7597" s="8"/>
      <c r="G7597" s="8" t="str">
        <f t="shared" si="2730"/>
        <v>事業用資産</v>
      </c>
      <c r="H7597" s="8" t="str">
        <f t="shared" si="2727"/>
        <v>棚卸以外</v>
      </c>
      <c r="I7597" s="8">
        <v>1</v>
      </c>
      <c r="J7597" s="8" t="str">
        <f>"加美北交番"</f>
        <v>加美北交番</v>
      </c>
      <c r="K7597" s="8" t="str">
        <f>"鉄筋コンクリート造"</f>
        <v>鉄筋コンクリート造</v>
      </c>
      <c r="L7597" s="8" t="str">
        <f>"H02.12.26"</f>
        <v>H02.12.26</v>
      </c>
      <c r="M7597" s="8">
        <v>112.02</v>
      </c>
      <c r="N7597" s="8">
        <v>24590668</v>
      </c>
      <c r="O7597" s="8">
        <v>15814480</v>
      </c>
      <c r="P7597" s="8">
        <v>0</v>
      </c>
      <c r="Q7597" s="8" t="str">
        <f t="shared" si="2723"/>
        <v>公安委員会</v>
      </c>
      <c r="R7597" s="8" t="str">
        <f t="shared" si="2731"/>
        <v>平野警察署</v>
      </c>
    </row>
    <row r="7598" spans="1:18" x14ac:dyDescent="0.45">
      <c r="A7598" s="8" t="str">
        <f>"11546000340"</f>
        <v>11546000340</v>
      </c>
      <c r="B7598" s="8" t="str">
        <f>"平野駅前交番"</f>
        <v>平野駅前交番</v>
      </c>
      <c r="C7598" s="8" t="str">
        <f t="shared" si="2725"/>
        <v>行政財産</v>
      </c>
      <c r="D7598" s="8" t="str">
        <f t="shared" si="2726"/>
        <v>警察（消防）施設</v>
      </c>
      <c r="E7598" s="8" t="str">
        <f>"大阪府大阪市　平野区平野元町"</f>
        <v>大阪府大阪市　平野区平野元町</v>
      </c>
      <c r="F7598" s="8"/>
      <c r="G7598" s="8" t="str">
        <f t="shared" si="2730"/>
        <v>事業用資産</v>
      </c>
      <c r="H7598" s="8" t="str">
        <f t="shared" si="2727"/>
        <v>棚卸以外</v>
      </c>
      <c r="I7598" s="8">
        <v>1</v>
      </c>
      <c r="J7598" s="8" t="str">
        <f>"平野駅前交番"</f>
        <v>平野駅前交番</v>
      </c>
      <c r="K7598" s="8" t="str">
        <f>"鉄骨造"</f>
        <v>鉄骨造</v>
      </c>
      <c r="L7598" s="8" t="str">
        <f>"H09.12.10"</f>
        <v>H09.12.10</v>
      </c>
      <c r="M7598" s="8">
        <v>131.88</v>
      </c>
      <c r="N7598" s="8">
        <v>32175668</v>
      </c>
      <c r="O7598" s="8">
        <v>21331951</v>
      </c>
      <c r="P7598" s="8">
        <v>0</v>
      </c>
      <c r="Q7598" s="8" t="str">
        <f t="shared" si="2723"/>
        <v>公安委員会</v>
      </c>
      <c r="R7598" s="8" t="str">
        <f t="shared" si="2731"/>
        <v>平野警察署</v>
      </c>
    </row>
    <row r="7599" spans="1:18" ht="26.4" x14ac:dyDescent="0.45">
      <c r="A7599" s="8" t="str">
        <f t="shared" ref="A7599:A7604" si="2732">"11546003002"</f>
        <v>11546003002</v>
      </c>
      <c r="B7599" s="8" t="str">
        <f t="shared" ref="B7599:B7604" si="2733">"平野警察署"</f>
        <v>平野警察署</v>
      </c>
      <c r="C7599" s="8" t="str">
        <f t="shared" si="2725"/>
        <v>行政財産</v>
      </c>
      <c r="D7599" s="8" t="str">
        <f t="shared" si="2726"/>
        <v>警察（消防）施設</v>
      </c>
      <c r="E7599" s="8" t="str">
        <f t="shared" ref="E7599:E7604" si="2734">"大阪府大阪市　平野区喜連西６丁目"</f>
        <v>大阪府大阪市　平野区喜連西６丁目</v>
      </c>
      <c r="F7599" s="8"/>
      <c r="G7599" s="8" t="str">
        <f t="shared" si="2730"/>
        <v>事業用資産</v>
      </c>
      <c r="H7599" s="8" t="str">
        <f t="shared" si="2727"/>
        <v>棚卸以外</v>
      </c>
      <c r="I7599" s="8">
        <v>1</v>
      </c>
      <c r="J7599" s="8" t="str">
        <f>"庁舎"</f>
        <v>庁舎</v>
      </c>
      <c r="K7599" s="8" t="str">
        <f>"鉄骨鉄筋コンクリート造"</f>
        <v>鉄骨鉄筋コンクリート造</v>
      </c>
      <c r="L7599" s="8" t="str">
        <f t="shared" ref="L7599:L7604" si="2735">"H30.09.28"</f>
        <v>H30.09.28</v>
      </c>
      <c r="M7599" s="8">
        <v>7126.02</v>
      </c>
      <c r="N7599" s="8">
        <v>3191130576</v>
      </c>
      <c r="O7599" s="8">
        <v>460262010</v>
      </c>
      <c r="P7599" s="8">
        <v>0</v>
      </c>
      <c r="Q7599" s="8" t="str">
        <f t="shared" si="2723"/>
        <v>公安委員会</v>
      </c>
      <c r="R7599" s="8" t="str">
        <f t="shared" si="2731"/>
        <v>平野警察署</v>
      </c>
    </row>
    <row r="7600" spans="1:18" x14ac:dyDescent="0.45">
      <c r="A7600" s="8" t="str">
        <f t="shared" si="2732"/>
        <v>11546003002</v>
      </c>
      <c r="B7600" s="8" t="str">
        <f t="shared" si="2733"/>
        <v>平野警察署</v>
      </c>
      <c r="C7600" s="8" t="str">
        <f t="shared" si="2725"/>
        <v>行政財産</v>
      </c>
      <c r="D7600" s="8" t="str">
        <f t="shared" si="2726"/>
        <v>警察（消防）施設</v>
      </c>
      <c r="E7600" s="8" t="str">
        <f t="shared" si="2734"/>
        <v>大阪府大阪市　平野区喜連西６丁目</v>
      </c>
      <c r="F7600" s="8"/>
      <c r="G7600" s="8" t="str">
        <f t="shared" si="2730"/>
        <v>事業用資産</v>
      </c>
      <c r="H7600" s="8" t="str">
        <f t="shared" si="2727"/>
        <v>棚卸以外</v>
      </c>
      <c r="I7600" s="8">
        <v>2</v>
      </c>
      <c r="J7600" s="8" t="str">
        <f>"公舎"</f>
        <v>公舎</v>
      </c>
      <c r="K7600" s="8" t="str">
        <f>"鉄筋コンクリート造"</f>
        <v>鉄筋コンクリート造</v>
      </c>
      <c r="L7600" s="8" t="str">
        <f t="shared" si="2735"/>
        <v>H30.09.28</v>
      </c>
      <c r="M7600" s="8">
        <v>92.29</v>
      </c>
      <c r="N7600" s="8">
        <v>23347541</v>
      </c>
      <c r="O7600" s="8">
        <v>3073032</v>
      </c>
      <c r="P7600" s="8">
        <v>0</v>
      </c>
      <c r="Q7600" s="8" t="str">
        <f t="shared" si="2723"/>
        <v>公安委員会</v>
      </c>
      <c r="R7600" s="8" t="str">
        <f t="shared" si="2731"/>
        <v>平野警察署</v>
      </c>
    </row>
    <row r="7601" spans="1:18" x14ac:dyDescent="0.45">
      <c r="A7601" s="8" t="str">
        <f t="shared" si="2732"/>
        <v>11546003002</v>
      </c>
      <c r="B7601" s="8" t="str">
        <f t="shared" si="2733"/>
        <v>平野警察署</v>
      </c>
      <c r="C7601" s="8" t="str">
        <f t="shared" si="2725"/>
        <v>行政財産</v>
      </c>
      <c r="D7601" s="8" t="str">
        <f t="shared" si="2726"/>
        <v>警察（消防）施設</v>
      </c>
      <c r="E7601" s="8" t="str">
        <f t="shared" si="2734"/>
        <v>大阪府大阪市　平野区喜連西６丁目</v>
      </c>
      <c r="F7601" s="8"/>
      <c r="G7601" s="8" t="str">
        <f t="shared" si="2730"/>
        <v>事業用資産</v>
      </c>
      <c r="H7601" s="8" t="str">
        <f t="shared" si="2727"/>
        <v>棚卸以外</v>
      </c>
      <c r="I7601" s="8">
        <v>3</v>
      </c>
      <c r="J7601" s="8" t="str">
        <f>"附属棟"</f>
        <v>附属棟</v>
      </c>
      <c r="K7601" s="8" t="str">
        <f>"鉄筋コンクリート造"</f>
        <v>鉄筋コンクリート造</v>
      </c>
      <c r="L7601" s="8" t="str">
        <f t="shared" si="2735"/>
        <v>H30.09.28</v>
      </c>
      <c r="M7601" s="8">
        <v>29</v>
      </c>
      <c r="N7601" s="8">
        <v>8530995</v>
      </c>
      <c r="O7601" s="8">
        <v>1259280</v>
      </c>
      <c r="P7601" s="8">
        <v>0</v>
      </c>
      <c r="Q7601" s="8" t="str">
        <f t="shared" si="2723"/>
        <v>公安委員会</v>
      </c>
      <c r="R7601" s="8" t="str">
        <f t="shared" si="2731"/>
        <v>平野警察署</v>
      </c>
    </row>
    <row r="7602" spans="1:18" x14ac:dyDescent="0.45">
      <c r="A7602" s="8" t="str">
        <f t="shared" si="2732"/>
        <v>11546003002</v>
      </c>
      <c r="B7602" s="8" t="str">
        <f t="shared" si="2733"/>
        <v>平野警察署</v>
      </c>
      <c r="C7602" s="8" t="str">
        <f t="shared" si="2725"/>
        <v>行政財産</v>
      </c>
      <c r="D7602" s="8" t="str">
        <f t="shared" si="2726"/>
        <v>警察（消防）施設</v>
      </c>
      <c r="E7602" s="8" t="str">
        <f t="shared" si="2734"/>
        <v>大阪府大阪市　平野区喜連西６丁目</v>
      </c>
      <c r="F7602" s="8"/>
      <c r="G7602" s="8" t="str">
        <f t="shared" si="2730"/>
        <v>事業用資産</v>
      </c>
      <c r="H7602" s="8" t="str">
        <f t="shared" si="2727"/>
        <v>棚卸以外</v>
      </c>
      <c r="I7602" s="8">
        <v>4</v>
      </c>
      <c r="J7602" s="8" t="str">
        <f>"車庫Ａ"</f>
        <v>車庫Ａ</v>
      </c>
      <c r="K7602" s="8" t="str">
        <f>"鉄骨造"</f>
        <v>鉄骨造</v>
      </c>
      <c r="L7602" s="8" t="str">
        <f t="shared" si="2735"/>
        <v>H30.09.28</v>
      </c>
      <c r="M7602" s="8">
        <v>190.44</v>
      </c>
      <c r="N7602" s="8">
        <v>26714166</v>
      </c>
      <c r="O7602" s="8">
        <v>4027590</v>
      </c>
      <c r="P7602" s="8">
        <v>0</v>
      </c>
      <c r="Q7602" s="8" t="str">
        <f t="shared" si="2723"/>
        <v>公安委員会</v>
      </c>
      <c r="R7602" s="8" t="str">
        <f t="shared" si="2731"/>
        <v>平野警察署</v>
      </c>
    </row>
    <row r="7603" spans="1:18" x14ac:dyDescent="0.45">
      <c r="A7603" s="8" t="str">
        <f t="shared" si="2732"/>
        <v>11546003002</v>
      </c>
      <c r="B7603" s="8" t="str">
        <f t="shared" si="2733"/>
        <v>平野警察署</v>
      </c>
      <c r="C7603" s="8" t="str">
        <f t="shared" si="2725"/>
        <v>行政財産</v>
      </c>
      <c r="D7603" s="8" t="str">
        <f t="shared" si="2726"/>
        <v>警察（消防）施設</v>
      </c>
      <c r="E7603" s="8" t="str">
        <f t="shared" si="2734"/>
        <v>大阪府大阪市　平野区喜連西６丁目</v>
      </c>
      <c r="F7603" s="8"/>
      <c r="G7603" s="8" t="str">
        <f t="shared" si="2730"/>
        <v>事業用資産</v>
      </c>
      <c r="H7603" s="8" t="str">
        <f t="shared" si="2727"/>
        <v>棚卸以外</v>
      </c>
      <c r="I7603" s="8">
        <v>5</v>
      </c>
      <c r="J7603" s="8" t="str">
        <f>"車庫Ｂ"</f>
        <v>車庫Ｂ</v>
      </c>
      <c r="K7603" s="8" t="str">
        <f>"鉄骨造"</f>
        <v>鉄骨造</v>
      </c>
      <c r="L7603" s="8" t="str">
        <f t="shared" si="2735"/>
        <v>H30.09.28</v>
      </c>
      <c r="M7603" s="8">
        <v>144.63999999999999</v>
      </c>
      <c r="N7603" s="8">
        <v>53485054</v>
      </c>
      <c r="O7603" s="8">
        <v>8035956</v>
      </c>
      <c r="P7603" s="8">
        <v>0</v>
      </c>
      <c r="Q7603" s="8" t="str">
        <f t="shared" ref="Q7603:Q7666" si="2736">"公安委員会"</f>
        <v>公安委員会</v>
      </c>
      <c r="R7603" s="8" t="str">
        <f t="shared" si="2731"/>
        <v>平野警察署</v>
      </c>
    </row>
    <row r="7604" spans="1:18" x14ac:dyDescent="0.45">
      <c r="A7604" s="8" t="str">
        <f t="shared" si="2732"/>
        <v>11546003002</v>
      </c>
      <c r="B7604" s="8" t="str">
        <f t="shared" si="2733"/>
        <v>平野警察署</v>
      </c>
      <c r="C7604" s="8" t="str">
        <f t="shared" si="2725"/>
        <v>行政財産</v>
      </c>
      <c r="D7604" s="8" t="str">
        <f t="shared" si="2726"/>
        <v>警察（消防）施設</v>
      </c>
      <c r="E7604" s="8" t="str">
        <f t="shared" si="2734"/>
        <v>大阪府大阪市　平野区喜連西６丁目</v>
      </c>
      <c r="F7604" s="8"/>
      <c r="G7604" s="8" t="str">
        <f t="shared" si="2730"/>
        <v>事業用資産</v>
      </c>
      <c r="H7604" s="8" t="str">
        <f t="shared" si="2727"/>
        <v>棚卸以外</v>
      </c>
      <c r="I7604" s="8">
        <v>6</v>
      </c>
      <c r="J7604" s="8" t="str">
        <f>"車庫Ｃ"</f>
        <v>車庫Ｃ</v>
      </c>
      <c r="K7604" s="8" t="str">
        <f>"鉄骨造"</f>
        <v>鉄骨造</v>
      </c>
      <c r="L7604" s="8" t="str">
        <f t="shared" si="2735"/>
        <v>H30.09.28</v>
      </c>
      <c r="M7604" s="8">
        <v>122.64</v>
      </c>
      <c r="N7604" s="8">
        <v>35802000</v>
      </c>
      <c r="O7604" s="8">
        <v>5240916</v>
      </c>
      <c r="P7604" s="8">
        <v>0</v>
      </c>
      <c r="Q7604" s="8" t="str">
        <f t="shared" si="2736"/>
        <v>公安委員会</v>
      </c>
      <c r="R7604" s="8" t="str">
        <f t="shared" si="2731"/>
        <v>平野警察署</v>
      </c>
    </row>
    <row r="7605" spans="1:18" ht="26.4" x14ac:dyDescent="0.45">
      <c r="A7605" s="8" t="str">
        <f>"11547000000"</f>
        <v>11547000000</v>
      </c>
      <c r="B7605" s="8" t="str">
        <f>"西成警察署"</f>
        <v>西成警察署</v>
      </c>
      <c r="C7605" s="8" t="str">
        <f t="shared" si="2725"/>
        <v>行政財産</v>
      </c>
      <c r="D7605" s="8" t="str">
        <f t="shared" si="2726"/>
        <v>警察（消防）施設</v>
      </c>
      <c r="E7605" s="8" t="str">
        <f>"大阪府大阪市　西成区萩之茶屋２丁目"</f>
        <v>大阪府大阪市　西成区萩之茶屋２丁目</v>
      </c>
      <c r="F7605" s="8"/>
      <c r="G7605" s="8" t="str">
        <f t="shared" si="2730"/>
        <v>事業用資産</v>
      </c>
      <c r="H7605" s="8" t="str">
        <f t="shared" si="2727"/>
        <v>棚卸以外</v>
      </c>
      <c r="I7605" s="8">
        <v>51</v>
      </c>
      <c r="J7605" s="8" t="str">
        <f>"庁舎"</f>
        <v>庁舎</v>
      </c>
      <c r="K7605" s="8" t="str">
        <f>"鉄骨鉄筋コンクリート造"</f>
        <v>鉄骨鉄筋コンクリート造</v>
      </c>
      <c r="L7605" s="8" t="str">
        <f>"H07.07.31"</f>
        <v>H07.07.31</v>
      </c>
      <c r="M7605" s="8">
        <v>6651.59</v>
      </c>
      <c r="N7605" s="8">
        <v>2449210055</v>
      </c>
      <c r="O7605" s="8">
        <v>1347412856</v>
      </c>
      <c r="P7605" s="8">
        <v>0</v>
      </c>
      <c r="Q7605" s="8" t="str">
        <f t="shared" si="2736"/>
        <v>公安委員会</v>
      </c>
      <c r="R7605" s="8" t="str">
        <f t="shared" ref="R7605:R7617" si="2737">"西成警察署"</f>
        <v>西成警察署</v>
      </c>
    </row>
    <row r="7606" spans="1:18" x14ac:dyDescent="0.45">
      <c r="A7606" s="8" t="str">
        <f>"11547000000"</f>
        <v>11547000000</v>
      </c>
      <c r="B7606" s="8" t="str">
        <f>"西成警察署"</f>
        <v>西成警察署</v>
      </c>
      <c r="C7606" s="8" t="str">
        <f t="shared" ref="C7606:C7669" si="2738">"行政財産"</f>
        <v>行政財産</v>
      </c>
      <c r="D7606" s="8" t="str">
        <f t="shared" si="2726"/>
        <v>警察（消防）施設</v>
      </c>
      <c r="E7606" s="8" t="str">
        <f>"大阪府大阪市　西成区萩之茶屋２丁目"</f>
        <v>大阪府大阪市　西成区萩之茶屋２丁目</v>
      </c>
      <c r="F7606" s="8"/>
      <c r="G7606" s="8" t="str">
        <f t="shared" si="2730"/>
        <v>事業用資産</v>
      </c>
      <c r="H7606" s="8" t="str">
        <f t="shared" si="2727"/>
        <v>棚卸以外</v>
      </c>
      <c r="I7606" s="8">
        <v>52</v>
      </c>
      <c r="J7606" s="8" t="str">
        <f>"附属棟"</f>
        <v>附属棟</v>
      </c>
      <c r="K7606" s="8" t="str">
        <f>"鉄骨造"</f>
        <v>鉄骨造</v>
      </c>
      <c r="L7606" s="8" t="str">
        <f>"H07.07.31"</f>
        <v>H07.07.31</v>
      </c>
      <c r="M7606" s="8">
        <v>461.7</v>
      </c>
      <c r="N7606" s="8">
        <v>79457072</v>
      </c>
      <c r="O7606" s="8">
        <v>56756285</v>
      </c>
      <c r="P7606" s="8">
        <v>0</v>
      </c>
      <c r="Q7606" s="8" t="str">
        <f t="shared" si="2736"/>
        <v>公安委員会</v>
      </c>
      <c r="R7606" s="8" t="str">
        <f t="shared" si="2737"/>
        <v>西成警察署</v>
      </c>
    </row>
    <row r="7607" spans="1:18" x14ac:dyDescent="0.45">
      <c r="A7607" s="8" t="str">
        <f>"11547000100"</f>
        <v>11547000100</v>
      </c>
      <c r="B7607" s="8" t="s">
        <v>26</v>
      </c>
      <c r="C7607" s="8" t="str">
        <f t="shared" si="2738"/>
        <v>行政財産</v>
      </c>
      <c r="D7607" s="8" t="str">
        <f t="shared" si="2726"/>
        <v>警察（消防）施設</v>
      </c>
      <c r="E7607" s="8" t="s">
        <v>55</v>
      </c>
      <c r="F7607" s="8"/>
      <c r="G7607" s="8" t="str">
        <f t="shared" si="2730"/>
        <v>事業用資産</v>
      </c>
      <c r="H7607" s="8" t="str">
        <f t="shared" si="2727"/>
        <v>棚卸以外</v>
      </c>
      <c r="I7607" s="8">
        <v>1</v>
      </c>
      <c r="J7607" s="8" t="s">
        <v>26</v>
      </c>
      <c r="K7607" s="8" t="str">
        <f>"鉄筋コンクリート造"</f>
        <v>鉄筋コンクリート造</v>
      </c>
      <c r="L7607" s="8" t="str">
        <f>"H08.03.29"</f>
        <v>H08.03.29</v>
      </c>
      <c r="M7607" s="8">
        <v>83.43</v>
      </c>
      <c r="N7607" s="8">
        <v>28669944</v>
      </c>
      <c r="O7607" s="8">
        <v>16348212</v>
      </c>
      <c r="P7607" s="8">
        <v>0</v>
      </c>
      <c r="Q7607" s="8" t="str">
        <f t="shared" si="2736"/>
        <v>公安委員会</v>
      </c>
      <c r="R7607" s="8" t="str">
        <f t="shared" si="2737"/>
        <v>西成警察署</v>
      </c>
    </row>
    <row r="7608" spans="1:18" x14ac:dyDescent="0.45">
      <c r="A7608" s="8" t="str">
        <f>"11547000170"</f>
        <v>11547000170</v>
      </c>
      <c r="B7608" s="8" t="str">
        <f>"岸里南交番"</f>
        <v>岸里南交番</v>
      </c>
      <c r="C7608" s="8" t="str">
        <f t="shared" si="2738"/>
        <v>行政財産</v>
      </c>
      <c r="D7608" s="8" t="str">
        <f t="shared" si="2726"/>
        <v>警察（消防）施設</v>
      </c>
      <c r="E7608" s="8" t="str">
        <f>"大阪府大阪市　西成区岸里３丁目"</f>
        <v>大阪府大阪市　西成区岸里３丁目</v>
      </c>
      <c r="F7608" s="8"/>
      <c r="G7608" s="8" t="str">
        <f t="shared" si="2730"/>
        <v>事業用資産</v>
      </c>
      <c r="H7608" s="8" t="str">
        <f t="shared" si="2727"/>
        <v>棚卸以外</v>
      </c>
      <c r="I7608" s="8">
        <v>2</v>
      </c>
      <c r="J7608" s="8" t="str">
        <f>"岸里南交番"</f>
        <v>岸里南交番</v>
      </c>
      <c r="K7608" s="8" t="str">
        <f>"鉄筋コンクリート造"</f>
        <v>鉄筋コンクリート造</v>
      </c>
      <c r="L7608" s="8" t="str">
        <f>"S50.12.02"</f>
        <v>S50.12.02</v>
      </c>
      <c r="M7608" s="8">
        <v>49</v>
      </c>
      <c r="N7608" s="8">
        <v>8349575</v>
      </c>
      <c r="O7608" s="8">
        <v>7822998</v>
      </c>
      <c r="P7608" s="8">
        <v>0</v>
      </c>
      <c r="Q7608" s="8" t="str">
        <f t="shared" si="2736"/>
        <v>公安委員会</v>
      </c>
      <c r="R7608" s="8" t="str">
        <f t="shared" si="2737"/>
        <v>西成警察署</v>
      </c>
    </row>
    <row r="7609" spans="1:18" x14ac:dyDescent="0.45">
      <c r="A7609" s="8" t="str">
        <f>"11547000290"</f>
        <v>11547000290</v>
      </c>
      <c r="B7609" s="8" t="str">
        <f>"北門交番"</f>
        <v>北門交番</v>
      </c>
      <c r="C7609" s="8" t="str">
        <f t="shared" si="2738"/>
        <v>行政財産</v>
      </c>
      <c r="D7609" s="8" t="str">
        <f t="shared" si="2726"/>
        <v>警察（消防）施設</v>
      </c>
      <c r="E7609" s="8" t="str">
        <f>"大阪府大阪市　西成区山王１丁目"</f>
        <v>大阪府大阪市　西成区山王１丁目</v>
      </c>
      <c r="F7609" s="8"/>
      <c r="G7609" s="8" t="str">
        <f t="shared" si="2730"/>
        <v>事業用資産</v>
      </c>
      <c r="H7609" s="8" t="str">
        <f t="shared" si="2727"/>
        <v>棚卸以外</v>
      </c>
      <c r="I7609" s="8">
        <v>1</v>
      </c>
      <c r="J7609" s="8" t="str">
        <f>"北門交番"</f>
        <v>北門交番</v>
      </c>
      <c r="K7609" s="8" t="str">
        <f>"コンクリートブロック造"</f>
        <v>コンクリートブロック造</v>
      </c>
      <c r="L7609" s="8" t="str">
        <f>"S37.03.31"</f>
        <v>S37.03.31</v>
      </c>
      <c r="M7609" s="8">
        <v>30.64</v>
      </c>
      <c r="N7609" s="8">
        <v>1263620</v>
      </c>
      <c r="O7609" s="8">
        <v>1204060</v>
      </c>
      <c r="P7609" s="8">
        <v>0</v>
      </c>
      <c r="Q7609" s="8" t="str">
        <f t="shared" si="2736"/>
        <v>公安委員会</v>
      </c>
      <c r="R7609" s="8" t="str">
        <f t="shared" si="2737"/>
        <v>西成警察署</v>
      </c>
    </row>
    <row r="7610" spans="1:18" x14ac:dyDescent="0.45">
      <c r="A7610" s="8" t="str">
        <f>"11547000300"</f>
        <v>11547000300</v>
      </c>
      <c r="B7610" s="8" t="str">
        <f>"天下茶屋北交番"</f>
        <v>天下茶屋北交番</v>
      </c>
      <c r="C7610" s="8" t="str">
        <f t="shared" si="2738"/>
        <v>行政財産</v>
      </c>
      <c r="D7610" s="8" t="str">
        <f t="shared" si="2726"/>
        <v>警察（消防）施設</v>
      </c>
      <c r="E7610" s="8" t="str">
        <f>"大阪府大阪市　西成区天下茶屋１丁目"</f>
        <v>大阪府大阪市　西成区天下茶屋１丁目</v>
      </c>
      <c r="F7610" s="8"/>
      <c r="G7610" s="8" t="str">
        <f t="shared" si="2730"/>
        <v>事業用資産</v>
      </c>
      <c r="H7610" s="8" t="str">
        <f t="shared" si="2727"/>
        <v>棚卸以外</v>
      </c>
      <c r="I7610" s="8">
        <v>2</v>
      </c>
      <c r="J7610" s="8" t="str">
        <f>"天下茶屋北交番"</f>
        <v>天下茶屋北交番</v>
      </c>
      <c r="K7610" s="8" t="str">
        <f>"鉄骨造"</f>
        <v>鉄骨造</v>
      </c>
      <c r="L7610" s="8" t="str">
        <f>"H06.12.19"</f>
        <v>H06.12.19</v>
      </c>
      <c r="M7610" s="8">
        <v>54.02</v>
      </c>
      <c r="N7610" s="8">
        <v>16765700</v>
      </c>
      <c r="O7610" s="8">
        <v>12420711</v>
      </c>
      <c r="P7610" s="8">
        <v>0</v>
      </c>
      <c r="Q7610" s="8" t="str">
        <f t="shared" si="2736"/>
        <v>公安委員会</v>
      </c>
      <c r="R7610" s="8" t="str">
        <f t="shared" si="2737"/>
        <v>西成警察署</v>
      </c>
    </row>
    <row r="7611" spans="1:18" x14ac:dyDescent="0.45">
      <c r="A7611" s="8" t="str">
        <f>"11547000330"</f>
        <v>11547000330</v>
      </c>
      <c r="B7611" s="8" t="str">
        <f>"中津守交番"</f>
        <v>中津守交番</v>
      </c>
      <c r="C7611" s="8" t="str">
        <f t="shared" si="2738"/>
        <v>行政財産</v>
      </c>
      <c r="D7611" s="8" t="str">
        <f t="shared" si="2726"/>
        <v>警察（消防）施設</v>
      </c>
      <c r="E7611" s="8" t="str">
        <f>"大阪府大阪市　西成区津守３丁目"</f>
        <v>大阪府大阪市　西成区津守３丁目</v>
      </c>
      <c r="F7611" s="8"/>
      <c r="G7611" s="8" t="str">
        <f t="shared" si="2730"/>
        <v>事業用資産</v>
      </c>
      <c r="H7611" s="8" t="str">
        <f t="shared" si="2727"/>
        <v>棚卸以外</v>
      </c>
      <c r="I7611" s="8">
        <v>2</v>
      </c>
      <c r="J7611" s="8" t="str">
        <f>"中津守交番"</f>
        <v>中津守交番</v>
      </c>
      <c r="K7611" s="8" t="str">
        <f>"鉄骨造"</f>
        <v>鉄骨造</v>
      </c>
      <c r="L7611" s="8" t="str">
        <f>"H20.03.07"</f>
        <v>H20.03.07</v>
      </c>
      <c r="M7611" s="8">
        <v>57.9</v>
      </c>
      <c r="N7611" s="8">
        <v>17252700</v>
      </c>
      <c r="O7611" s="8">
        <v>6788781</v>
      </c>
      <c r="P7611" s="8">
        <v>0</v>
      </c>
      <c r="Q7611" s="8" t="str">
        <f t="shared" si="2736"/>
        <v>公安委員会</v>
      </c>
      <c r="R7611" s="8" t="str">
        <f t="shared" si="2737"/>
        <v>西成警察署</v>
      </c>
    </row>
    <row r="7612" spans="1:18" x14ac:dyDescent="0.45">
      <c r="A7612" s="8" t="str">
        <f>"11547000390"</f>
        <v>11547000390</v>
      </c>
      <c r="B7612" s="8" t="str">
        <f>"南開交番"</f>
        <v>南開交番</v>
      </c>
      <c r="C7612" s="8" t="str">
        <f t="shared" si="2738"/>
        <v>行政財産</v>
      </c>
      <c r="D7612" s="8" t="str">
        <f t="shared" ref="D7612:D7675" si="2739">"警察（消防）施設"</f>
        <v>警察（消防）施設</v>
      </c>
      <c r="E7612" s="8" t="str">
        <f>"大阪府大阪市　西成区南開１丁目"</f>
        <v>大阪府大阪市　西成区南開１丁目</v>
      </c>
      <c r="F7612" s="8"/>
      <c r="G7612" s="8" t="str">
        <f t="shared" si="2730"/>
        <v>事業用資産</v>
      </c>
      <c r="H7612" s="8" t="str">
        <f t="shared" si="2727"/>
        <v>棚卸以外</v>
      </c>
      <c r="I7612" s="8">
        <v>2</v>
      </c>
      <c r="J7612" s="8" t="str">
        <f>"南開交番"</f>
        <v>南開交番</v>
      </c>
      <c r="K7612" s="8" t="str">
        <f>"軽量鉄骨造"</f>
        <v>軽量鉄骨造</v>
      </c>
      <c r="L7612" s="8" t="str">
        <f>"H23.03.16"</f>
        <v>H23.03.16</v>
      </c>
      <c r="M7612" s="8">
        <v>51.48</v>
      </c>
      <c r="N7612" s="8">
        <v>13417700</v>
      </c>
      <c r="O7612" s="8">
        <v>5345253</v>
      </c>
      <c r="P7612" s="8">
        <v>0</v>
      </c>
      <c r="Q7612" s="8" t="str">
        <f t="shared" si="2736"/>
        <v>公安委員会</v>
      </c>
      <c r="R7612" s="8" t="str">
        <f t="shared" si="2737"/>
        <v>西成警察署</v>
      </c>
    </row>
    <row r="7613" spans="1:18" x14ac:dyDescent="0.45">
      <c r="A7613" s="8" t="str">
        <f>"11547000400"</f>
        <v>11547000400</v>
      </c>
      <c r="B7613" s="8" t="str">
        <f>"鶴見橋交番"</f>
        <v>鶴見橋交番</v>
      </c>
      <c r="C7613" s="8" t="str">
        <f t="shared" si="2738"/>
        <v>行政財産</v>
      </c>
      <c r="D7613" s="8" t="str">
        <f t="shared" si="2739"/>
        <v>警察（消防）施設</v>
      </c>
      <c r="E7613" s="8" t="str">
        <f>"大阪府大阪市　西成区鶴見橋３丁目"</f>
        <v>大阪府大阪市　西成区鶴見橋３丁目</v>
      </c>
      <c r="F7613" s="8"/>
      <c r="G7613" s="8" t="str">
        <f t="shared" si="2730"/>
        <v>事業用資産</v>
      </c>
      <c r="H7613" s="8" t="str">
        <f t="shared" si="2727"/>
        <v>棚卸以外</v>
      </c>
      <c r="I7613" s="8">
        <v>1</v>
      </c>
      <c r="J7613" s="8" t="str">
        <f>"鶴見橋交番"</f>
        <v>鶴見橋交番</v>
      </c>
      <c r="K7613" s="8" t="str">
        <f>"コンクリートブロック造"</f>
        <v>コンクリートブロック造</v>
      </c>
      <c r="L7613" s="8" t="str">
        <f>"S45.03.31"</f>
        <v>S45.03.31</v>
      </c>
      <c r="M7613" s="8">
        <v>98.88</v>
      </c>
      <c r="N7613" s="8">
        <v>4631700</v>
      </c>
      <c r="O7613" s="8">
        <v>4572140</v>
      </c>
      <c r="P7613" s="8">
        <v>0</v>
      </c>
      <c r="Q7613" s="8" t="str">
        <f t="shared" si="2736"/>
        <v>公安委員会</v>
      </c>
      <c r="R7613" s="8" t="str">
        <f t="shared" si="2737"/>
        <v>西成警察署</v>
      </c>
    </row>
    <row r="7614" spans="1:18" x14ac:dyDescent="0.45">
      <c r="A7614" s="8" t="str">
        <f>"11547000410"</f>
        <v>11547000410</v>
      </c>
      <c r="B7614" s="8" t="str">
        <f>"千本交番"</f>
        <v>千本交番</v>
      </c>
      <c r="C7614" s="8" t="str">
        <f t="shared" si="2738"/>
        <v>行政財産</v>
      </c>
      <c r="D7614" s="8" t="str">
        <f t="shared" si="2739"/>
        <v>警察（消防）施設</v>
      </c>
      <c r="E7614" s="8" t="str">
        <f>"大阪府大阪市　西成区千本南２丁目"</f>
        <v>大阪府大阪市　西成区千本南２丁目</v>
      </c>
      <c r="F7614" s="8"/>
      <c r="G7614" s="8" t="str">
        <f t="shared" si="2730"/>
        <v>事業用資産</v>
      </c>
      <c r="H7614" s="8" t="str">
        <f t="shared" si="2727"/>
        <v>棚卸以外</v>
      </c>
      <c r="I7614" s="8">
        <v>1</v>
      </c>
      <c r="J7614" s="8" t="str">
        <f>"千本交番"</f>
        <v>千本交番</v>
      </c>
      <c r="K7614" s="8" t="str">
        <f>"鉄筋コンクリート造"</f>
        <v>鉄筋コンクリート造</v>
      </c>
      <c r="L7614" s="8" t="str">
        <f>"S45.03.31"</f>
        <v>S45.03.31</v>
      </c>
      <c r="M7614" s="8">
        <v>82.4</v>
      </c>
      <c r="N7614" s="8">
        <v>4235700</v>
      </c>
      <c r="O7614" s="8">
        <v>4176140</v>
      </c>
      <c r="P7614" s="8">
        <v>0</v>
      </c>
      <c r="Q7614" s="8" t="str">
        <f t="shared" si="2736"/>
        <v>公安委員会</v>
      </c>
      <c r="R7614" s="8" t="str">
        <f t="shared" si="2737"/>
        <v>西成警察署</v>
      </c>
    </row>
    <row r="7615" spans="1:18" x14ac:dyDescent="0.45">
      <c r="A7615" s="8" t="str">
        <f>"11547000450"</f>
        <v>11547000450</v>
      </c>
      <c r="B7615" s="8" t="str">
        <f>"天下茶屋交番"</f>
        <v>天下茶屋交番</v>
      </c>
      <c r="C7615" s="8" t="str">
        <f t="shared" si="2738"/>
        <v>行政財産</v>
      </c>
      <c r="D7615" s="8" t="str">
        <f t="shared" si="2739"/>
        <v>警察（消防）施設</v>
      </c>
      <c r="E7615" s="8" t="str">
        <f>"大阪府大阪市　西成区岸里１丁目"</f>
        <v>大阪府大阪市　西成区岸里１丁目</v>
      </c>
      <c r="F7615" s="8"/>
      <c r="G7615" s="8" t="str">
        <f t="shared" si="2730"/>
        <v>事業用資産</v>
      </c>
      <c r="H7615" s="8" t="str">
        <f t="shared" si="2727"/>
        <v>棚卸以外</v>
      </c>
      <c r="I7615" s="8">
        <v>1</v>
      </c>
      <c r="J7615" s="8" t="str">
        <f>"天下茶屋交番"</f>
        <v>天下茶屋交番</v>
      </c>
      <c r="K7615" s="8" t="str">
        <f>"鉄骨造"</f>
        <v>鉄骨造</v>
      </c>
      <c r="L7615" s="8" t="str">
        <f>"H09.03.31"</f>
        <v>H09.03.31</v>
      </c>
      <c r="M7615" s="8">
        <v>125.74</v>
      </c>
      <c r="N7615" s="8">
        <v>31687192</v>
      </c>
      <c r="O7615" s="8">
        <v>21659196</v>
      </c>
      <c r="P7615" s="8">
        <v>0</v>
      </c>
      <c r="Q7615" s="8" t="str">
        <f t="shared" si="2736"/>
        <v>公安委員会</v>
      </c>
      <c r="R7615" s="8" t="str">
        <f t="shared" si="2737"/>
        <v>西成警察署</v>
      </c>
    </row>
    <row r="7616" spans="1:18" x14ac:dyDescent="0.45">
      <c r="A7616" s="8" t="str">
        <f>"11547001001"</f>
        <v>11547001001</v>
      </c>
      <c r="B7616" s="8" t="str">
        <f>"飛田交番"</f>
        <v>飛田交番</v>
      </c>
      <c r="C7616" s="8" t="str">
        <f t="shared" si="2738"/>
        <v>行政財産</v>
      </c>
      <c r="D7616" s="8" t="str">
        <f t="shared" si="2739"/>
        <v>警察（消防）施設</v>
      </c>
      <c r="E7616" s="8" t="str">
        <f>"大阪府大阪市　西成区山王３丁目"</f>
        <v>大阪府大阪市　西成区山王３丁目</v>
      </c>
      <c r="F7616" s="8"/>
      <c r="G7616" s="8" t="str">
        <f t="shared" si="2730"/>
        <v>事業用資産</v>
      </c>
      <c r="H7616" s="8" t="str">
        <f t="shared" si="2727"/>
        <v>棚卸以外</v>
      </c>
      <c r="I7616" s="8">
        <v>2</v>
      </c>
      <c r="J7616" s="8" t="str">
        <f>"飛田交番"</f>
        <v>飛田交番</v>
      </c>
      <c r="K7616" s="8" t="str">
        <f>"鉄骨コンクリート造"</f>
        <v>鉄骨コンクリート造</v>
      </c>
      <c r="L7616" s="8" t="str">
        <f>"S50.02.12"</f>
        <v>S50.02.12</v>
      </c>
      <c r="M7616" s="8">
        <v>52.8</v>
      </c>
      <c r="N7616" s="8">
        <v>7288700</v>
      </c>
      <c r="O7616" s="8">
        <v>7229140</v>
      </c>
      <c r="P7616" s="8">
        <v>0</v>
      </c>
      <c r="Q7616" s="8" t="str">
        <f t="shared" si="2736"/>
        <v>公安委員会</v>
      </c>
      <c r="R7616" s="8" t="str">
        <f t="shared" si="2737"/>
        <v>西成警察署</v>
      </c>
    </row>
    <row r="7617" spans="1:18" x14ac:dyDescent="0.45">
      <c r="A7617" s="8" t="str">
        <f>"11547003004"</f>
        <v>11547003004</v>
      </c>
      <c r="B7617" s="8" t="str">
        <f>"萩之茶屋交番"</f>
        <v>萩之茶屋交番</v>
      </c>
      <c r="C7617" s="8" t="str">
        <f t="shared" si="2738"/>
        <v>行政財産</v>
      </c>
      <c r="D7617" s="8" t="str">
        <f t="shared" si="2739"/>
        <v>警察（消防）施設</v>
      </c>
      <c r="E7617" s="8" t="str">
        <f>"大阪府大阪市　西成区花園北１丁目"</f>
        <v>大阪府大阪市　西成区花園北１丁目</v>
      </c>
      <c r="F7617" s="8"/>
      <c r="G7617" s="8" t="str">
        <f t="shared" si="2730"/>
        <v>事業用資産</v>
      </c>
      <c r="H7617" s="8" t="str">
        <f t="shared" si="2727"/>
        <v>棚卸以外</v>
      </c>
      <c r="I7617" s="8">
        <v>1</v>
      </c>
      <c r="J7617" s="8" t="str">
        <f>"萩之茶屋交番"</f>
        <v>萩之茶屋交番</v>
      </c>
      <c r="K7617" s="8" t="str">
        <f>"鉄骨造"</f>
        <v>鉄骨造</v>
      </c>
      <c r="L7617" s="8" t="str">
        <f>"H28.09.30"</f>
        <v>H28.09.30</v>
      </c>
      <c r="M7617" s="8">
        <v>75.8</v>
      </c>
      <c r="N7617" s="8">
        <v>33376651</v>
      </c>
      <c r="O7617" s="8">
        <v>6673557</v>
      </c>
      <c r="P7617" s="8">
        <v>0</v>
      </c>
      <c r="Q7617" s="8" t="str">
        <f t="shared" si="2736"/>
        <v>公安委員会</v>
      </c>
      <c r="R7617" s="8" t="str">
        <f t="shared" si="2737"/>
        <v>西成警察署</v>
      </c>
    </row>
    <row r="7618" spans="1:18" x14ac:dyDescent="0.45">
      <c r="A7618" s="8" t="str">
        <f t="shared" ref="A7618:A7623" si="2740">"11548000000"</f>
        <v>11548000000</v>
      </c>
      <c r="B7618" s="8" t="str">
        <f t="shared" ref="B7618:B7623" si="2741">"西淀川警察署"</f>
        <v>西淀川警察署</v>
      </c>
      <c r="C7618" s="8" t="str">
        <f t="shared" si="2738"/>
        <v>行政財産</v>
      </c>
      <c r="D7618" s="8" t="str">
        <f t="shared" si="2739"/>
        <v>警察（消防）施設</v>
      </c>
      <c r="E7618" s="8" t="str">
        <f t="shared" ref="E7618:E7623" si="2742">"大阪府大阪市　西淀川区千舟２丁目"</f>
        <v>大阪府大阪市　西淀川区千舟２丁目</v>
      </c>
      <c r="F7618" s="8"/>
      <c r="G7618" s="8" t="str">
        <f t="shared" si="2730"/>
        <v>事業用資産</v>
      </c>
      <c r="H7618" s="8" t="str">
        <f t="shared" si="2727"/>
        <v>棚卸以外</v>
      </c>
      <c r="I7618" s="8">
        <v>15</v>
      </c>
      <c r="J7618" s="8" t="str">
        <f>"車庫及び署長公舎"</f>
        <v>車庫及び署長公舎</v>
      </c>
      <c r="K7618" s="8" t="str">
        <f>"鉄筋コンクリート造"</f>
        <v>鉄筋コンクリート造</v>
      </c>
      <c r="L7618" s="8" t="str">
        <f>"S46.03.28"</f>
        <v>S46.03.28</v>
      </c>
      <c r="M7618" s="8">
        <v>205.32</v>
      </c>
      <c r="N7618" s="8">
        <v>10032031</v>
      </c>
      <c r="O7618" s="8">
        <v>10032029</v>
      </c>
      <c r="P7618" s="8">
        <v>0</v>
      </c>
      <c r="Q7618" s="8" t="str">
        <f t="shared" si="2736"/>
        <v>公安委員会</v>
      </c>
      <c r="R7618" s="8" t="str">
        <f t="shared" ref="R7618:R7632" si="2743">"西淀川警察署"</f>
        <v>西淀川警察署</v>
      </c>
    </row>
    <row r="7619" spans="1:18" x14ac:dyDescent="0.45">
      <c r="A7619" s="8" t="str">
        <f t="shared" si="2740"/>
        <v>11548000000</v>
      </c>
      <c r="B7619" s="8" t="str">
        <f t="shared" si="2741"/>
        <v>西淀川警察署</v>
      </c>
      <c r="C7619" s="8" t="str">
        <f t="shared" si="2738"/>
        <v>行政財産</v>
      </c>
      <c r="D7619" s="8" t="str">
        <f t="shared" si="2739"/>
        <v>警察（消防）施設</v>
      </c>
      <c r="E7619" s="8" t="str">
        <f t="shared" si="2742"/>
        <v>大阪府大阪市　西淀川区千舟２丁目</v>
      </c>
      <c r="F7619" s="8"/>
      <c r="G7619" s="8" t="str">
        <f t="shared" si="2730"/>
        <v>事業用資産</v>
      </c>
      <c r="H7619" s="8" t="str">
        <f t="shared" si="2727"/>
        <v>棚卸以外</v>
      </c>
      <c r="I7619" s="8">
        <v>17</v>
      </c>
      <c r="J7619" s="8" t="str">
        <f>"別館"</f>
        <v>別館</v>
      </c>
      <c r="K7619" s="8" t="str">
        <f>"鉄筋コンクリート造"</f>
        <v>鉄筋コンクリート造</v>
      </c>
      <c r="L7619" s="8" t="str">
        <f>"S50.04.15"</f>
        <v>S50.04.15</v>
      </c>
      <c r="M7619" s="8">
        <v>600.12</v>
      </c>
      <c r="N7619" s="8">
        <v>113712066</v>
      </c>
      <c r="O7619" s="8">
        <v>102870753</v>
      </c>
      <c r="P7619" s="8">
        <v>0</v>
      </c>
      <c r="Q7619" s="8" t="str">
        <f t="shared" si="2736"/>
        <v>公安委員会</v>
      </c>
      <c r="R7619" s="8" t="str">
        <f t="shared" si="2743"/>
        <v>西淀川警察署</v>
      </c>
    </row>
    <row r="7620" spans="1:18" x14ac:dyDescent="0.45">
      <c r="A7620" s="8" t="str">
        <f t="shared" si="2740"/>
        <v>11548000000</v>
      </c>
      <c r="B7620" s="8" t="str">
        <f t="shared" si="2741"/>
        <v>西淀川警察署</v>
      </c>
      <c r="C7620" s="8" t="str">
        <f t="shared" si="2738"/>
        <v>行政財産</v>
      </c>
      <c r="D7620" s="8" t="str">
        <f t="shared" si="2739"/>
        <v>警察（消防）施設</v>
      </c>
      <c r="E7620" s="8" t="str">
        <f t="shared" si="2742"/>
        <v>大阪府大阪市　西淀川区千舟２丁目</v>
      </c>
      <c r="F7620" s="8"/>
      <c r="G7620" s="8" t="str">
        <f t="shared" si="2730"/>
        <v>事業用資産</v>
      </c>
      <c r="H7620" s="8" t="str">
        <f t="shared" ref="H7620:H7683" si="2744">"棚卸以外"</f>
        <v>棚卸以外</v>
      </c>
      <c r="I7620" s="8">
        <v>18</v>
      </c>
      <c r="J7620" s="8" t="str">
        <f>"庁舎"</f>
        <v>庁舎</v>
      </c>
      <c r="K7620" s="8" t="str">
        <f>"鉄筋コンクリート造"</f>
        <v>鉄筋コンクリート造</v>
      </c>
      <c r="L7620" s="8" t="str">
        <f>"S51.08.31"</f>
        <v>S51.08.31</v>
      </c>
      <c r="M7620" s="8">
        <v>2495.1999999999998</v>
      </c>
      <c r="N7620" s="8">
        <v>696611802</v>
      </c>
      <c r="O7620" s="8">
        <v>501505101</v>
      </c>
      <c r="P7620" s="8">
        <v>0</v>
      </c>
      <c r="Q7620" s="8" t="str">
        <f t="shared" si="2736"/>
        <v>公安委員会</v>
      </c>
      <c r="R7620" s="8" t="str">
        <f t="shared" si="2743"/>
        <v>西淀川警察署</v>
      </c>
    </row>
    <row r="7621" spans="1:18" x14ac:dyDescent="0.45">
      <c r="A7621" s="8" t="str">
        <f t="shared" si="2740"/>
        <v>11548000000</v>
      </c>
      <c r="B7621" s="8" t="str">
        <f t="shared" si="2741"/>
        <v>西淀川警察署</v>
      </c>
      <c r="C7621" s="8" t="str">
        <f t="shared" si="2738"/>
        <v>行政財産</v>
      </c>
      <c r="D7621" s="8" t="str">
        <f t="shared" si="2739"/>
        <v>警察（消防）施設</v>
      </c>
      <c r="E7621" s="8" t="str">
        <f t="shared" si="2742"/>
        <v>大阪府大阪市　西淀川区千舟２丁目</v>
      </c>
      <c r="F7621" s="8"/>
      <c r="G7621" s="8" t="str">
        <f t="shared" si="2730"/>
        <v>事業用資産</v>
      </c>
      <c r="H7621" s="8" t="str">
        <f t="shared" si="2744"/>
        <v>棚卸以外</v>
      </c>
      <c r="I7621" s="8">
        <v>19</v>
      </c>
      <c r="J7621" s="8" t="str">
        <f>"渡り廊下"</f>
        <v>渡り廊下</v>
      </c>
      <c r="K7621" s="8" t="str">
        <f>"鉄骨造"</f>
        <v>鉄骨造</v>
      </c>
      <c r="L7621" s="8" t="str">
        <f>"S51.08.31"</f>
        <v>S51.08.31</v>
      </c>
      <c r="M7621" s="8">
        <v>10.42</v>
      </c>
      <c r="N7621" s="8">
        <v>3090000</v>
      </c>
      <c r="O7621" s="8">
        <v>3089999</v>
      </c>
      <c r="P7621" s="8">
        <v>0</v>
      </c>
      <c r="Q7621" s="8" t="str">
        <f t="shared" si="2736"/>
        <v>公安委員会</v>
      </c>
      <c r="R7621" s="8" t="str">
        <f t="shared" si="2743"/>
        <v>西淀川警察署</v>
      </c>
    </row>
    <row r="7622" spans="1:18" x14ac:dyDescent="0.45">
      <c r="A7622" s="8" t="str">
        <f t="shared" si="2740"/>
        <v>11548000000</v>
      </c>
      <c r="B7622" s="8" t="str">
        <f t="shared" si="2741"/>
        <v>西淀川警察署</v>
      </c>
      <c r="C7622" s="8" t="str">
        <f t="shared" si="2738"/>
        <v>行政財産</v>
      </c>
      <c r="D7622" s="8" t="str">
        <f t="shared" si="2739"/>
        <v>警察（消防）施設</v>
      </c>
      <c r="E7622" s="8" t="str">
        <f t="shared" si="2742"/>
        <v>大阪府大阪市　西淀川区千舟２丁目</v>
      </c>
      <c r="F7622" s="8"/>
      <c r="G7622" s="8" t="str">
        <f t="shared" si="2730"/>
        <v>事業用資産</v>
      </c>
      <c r="H7622" s="8" t="str">
        <f t="shared" si="2744"/>
        <v>棚卸以外</v>
      </c>
      <c r="I7622" s="8">
        <v>20</v>
      </c>
      <c r="J7622" s="8" t="str">
        <f>"倉庫"</f>
        <v>倉庫</v>
      </c>
      <c r="K7622" s="8" t="str">
        <f>"鉄骨造"</f>
        <v>鉄骨造</v>
      </c>
      <c r="L7622" s="8" t="str">
        <f>"S51.08.31"</f>
        <v>S51.08.31</v>
      </c>
      <c r="M7622" s="8">
        <v>162</v>
      </c>
      <c r="N7622" s="8">
        <v>8997000</v>
      </c>
      <c r="O7622" s="8">
        <v>8996999</v>
      </c>
      <c r="P7622" s="8">
        <v>0</v>
      </c>
      <c r="Q7622" s="8" t="str">
        <f t="shared" si="2736"/>
        <v>公安委員会</v>
      </c>
      <c r="R7622" s="8" t="str">
        <f t="shared" si="2743"/>
        <v>西淀川警察署</v>
      </c>
    </row>
    <row r="7623" spans="1:18" x14ac:dyDescent="0.45">
      <c r="A7623" s="8" t="str">
        <f t="shared" si="2740"/>
        <v>11548000000</v>
      </c>
      <c r="B7623" s="8" t="str">
        <f t="shared" si="2741"/>
        <v>西淀川警察署</v>
      </c>
      <c r="C7623" s="8" t="str">
        <f t="shared" si="2738"/>
        <v>行政財産</v>
      </c>
      <c r="D7623" s="8" t="str">
        <f t="shared" si="2739"/>
        <v>警察（消防）施設</v>
      </c>
      <c r="E7623" s="8" t="str">
        <f t="shared" si="2742"/>
        <v>大阪府大阪市　西淀川区千舟２丁目</v>
      </c>
      <c r="F7623" s="8"/>
      <c r="G7623" s="8" t="str">
        <f t="shared" si="2730"/>
        <v>事業用資産</v>
      </c>
      <c r="H7623" s="8" t="str">
        <f t="shared" si="2744"/>
        <v>棚卸以外</v>
      </c>
      <c r="I7623" s="8">
        <v>21</v>
      </c>
      <c r="J7623" s="8" t="str">
        <f>"油庫"</f>
        <v>油庫</v>
      </c>
      <c r="K7623" s="8" t="str">
        <f>"コンクリートブロック造"</f>
        <v>コンクリートブロック造</v>
      </c>
      <c r="L7623" s="8" t="str">
        <f>"S51.08.31"</f>
        <v>S51.08.31</v>
      </c>
      <c r="M7623" s="8">
        <v>9.75</v>
      </c>
      <c r="N7623" s="8">
        <v>722000</v>
      </c>
      <c r="O7623" s="8">
        <v>721999</v>
      </c>
      <c r="P7623" s="8">
        <v>0</v>
      </c>
      <c r="Q7623" s="8" t="str">
        <f t="shared" si="2736"/>
        <v>公安委員会</v>
      </c>
      <c r="R7623" s="8" t="str">
        <f t="shared" si="2743"/>
        <v>西淀川警察署</v>
      </c>
    </row>
    <row r="7624" spans="1:18" x14ac:dyDescent="0.45">
      <c r="A7624" s="8" t="str">
        <f>"11548000170"</f>
        <v>11548000170</v>
      </c>
      <c r="B7624" s="8" t="str">
        <f>"御幣島警ら連絡所"</f>
        <v>御幣島警ら連絡所</v>
      </c>
      <c r="C7624" s="8" t="str">
        <f t="shared" si="2738"/>
        <v>行政財産</v>
      </c>
      <c r="D7624" s="8" t="str">
        <f t="shared" si="2739"/>
        <v>警察（消防）施設</v>
      </c>
      <c r="E7624" s="8" t="str">
        <f>"大阪府大阪市　西淀川区御幣島４丁目"</f>
        <v>大阪府大阪市　西淀川区御幣島４丁目</v>
      </c>
      <c r="F7624" s="8"/>
      <c r="G7624" s="8" t="str">
        <f t="shared" si="2730"/>
        <v>事業用資産</v>
      </c>
      <c r="H7624" s="8" t="str">
        <f t="shared" si="2744"/>
        <v>棚卸以外</v>
      </c>
      <c r="I7624" s="8">
        <v>1</v>
      </c>
      <c r="J7624" s="8" t="str">
        <f>"御幣島警ら連絡所"</f>
        <v>御幣島警ら連絡所</v>
      </c>
      <c r="K7624" s="8" t="str">
        <f>"鉄筋コンクリート造"</f>
        <v>鉄筋コンクリート造</v>
      </c>
      <c r="L7624" s="8" t="str">
        <f>"S10.05.10"</f>
        <v>S10.05.10</v>
      </c>
      <c r="M7624" s="8">
        <v>22.14</v>
      </c>
      <c r="N7624" s="8">
        <v>969026</v>
      </c>
      <c r="O7624" s="8">
        <v>627025</v>
      </c>
      <c r="P7624" s="8">
        <v>0</v>
      </c>
      <c r="Q7624" s="8" t="str">
        <f t="shared" si="2736"/>
        <v>公安委員会</v>
      </c>
      <c r="R7624" s="8" t="str">
        <f t="shared" si="2743"/>
        <v>西淀川警察署</v>
      </c>
    </row>
    <row r="7625" spans="1:18" x14ac:dyDescent="0.45">
      <c r="A7625" s="8" t="str">
        <f>"11548000210"</f>
        <v>11548000210</v>
      </c>
      <c r="B7625" s="8" t="str">
        <f>"野里交番"</f>
        <v>野里交番</v>
      </c>
      <c r="C7625" s="8" t="str">
        <f t="shared" si="2738"/>
        <v>行政財産</v>
      </c>
      <c r="D7625" s="8" t="str">
        <f t="shared" si="2739"/>
        <v>警察（消防）施設</v>
      </c>
      <c r="E7625" s="8" t="str">
        <f>"大阪府大阪市　西淀川区野里２丁目"</f>
        <v>大阪府大阪市　西淀川区野里２丁目</v>
      </c>
      <c r="F7625" s="8"/>
      <c r="G7625" s="8" t="str">
        <f t="shared" si="2730"/>
        <v>事業用資産</v>
      </c>
      <c r="H7625" s="8" t="str">
        <f t="shared" si="2744"/>
        <v>棚卸以外</v>
      </c>
      <c r="I7625" s="8">
        <v>2</v>
      </c>
      <c r="J7625" s="8" t="str">
        <f>"野里交番"</f>
        <v>野里交番</v>
      </c>
      <c r="K7625" s="8" t="str">
        <f>"鉄筋コンクリート造"</f>
        <v>鉄筋コンクリート造</v>
      </c>
      <c r="L7625" s="8" t="str">
        <f>"S46.11.08"</f>
        <v>S46.11.08</v>
      </c>
      <c r="M7625" s="8">
        <v>92.1</v>
      </c>
      <c r="N7625" s="8">
        <v>5192000</v>
      </c>
      <c r="O7625" s="8">
        <v>5191999</v>
      </c>
      <c r="P7625" s="8">
        <v>0</v>
      </c>
      <c r="Q7625" s="8" t="str">
        <f t="shared" si="2736"/>
        <v>公安委員会</v>
      </c>
      <c r="R7625" s="8" t="str">
        <f t="shared" si="2743"/>
        <v>西淀川警察署</v>
      </c>
    </row>
    <row r="7626" spans="1:18" x14ac:dyDescent="0.45">
      <c r="A7626" s="8" t="str">
        <f>"11548000220"</f>
        <v>11548000220</v>
      </c>
      <c r="B7626" s="8" t="str">
        <f>"大和田交番"</f>
        <v>大和田交番</v>
      </c>
      <c r="C7626" s="8" t="str">
        <f t="shared" si="2738"/>
        <v>行政財産</v>
      </c>
      <c r="D7626" s="8" t="str">
        <f t="shared" si="2739"/>
        <v>警察（消防）施設</v>
      </c>
      <c r="E7626" s="8" t="str">
        <f>"大阪府大阪市　西淀川区大和田４丁目"</f>
        <v>大阪府大阪市　西淀川区大和田４丁目</v>
      </c>
      <c r="F7626" s="8"/>
      <c r="G7626" s="8" t="str">
        <f t="shared" si="2730"/>
        <v>事業用資産</v>
      </c>
      <c r="H7626" s="8" t="str">
        <f t="shared" si="2744"/>
        <v>棚卸以外</v>
      </c>
      <c r="I7626" s="8">
        <v>2</v>
      </c>
      <c r="J7626" s="8" t="str">
        <f>"大和田交番"</f>
        <v>大和田交番</v>
      </c>
      <c r="K7626" s="8" t="str">
        <f>"鉄骨造"</f>
        <v>鉄骨造</v>
      </c>
      <c r="L7626" s="8" t="str">
        <f>"S51.03.31"</f>
        <v>S51.03.31</v>
      </c>
      <c r="M7626" s="8">
        <v>34.68</v>
      </c>
      <c r="N7626" s="8">
        <v>5909000</v>
      </c>
      <c r="O7626" s="8">
        <v>5908999</v>
      </c>
      <c r="P7626" s="8">
        <v>0</v>
      </c>
      <c r="Q7626" s="8" t="str">
        <f t="shared" si="2736"/>
        <v>公安委員会</v>
      </c>
      <c r="R7626" s="8" t="str">
        <f t="shared" si="2743"/>
        <v>西淀川警察署</v>
      </c>
    </row>
    <row r="7627" spans="1:18" x14ac:dyDescent="0.45">
      <c r="A7627" s="8" t="str">
        <f>"11548000260"</f>
        <v>11548000260</v>
      </c>
      <c r="B7627" s="8" t="str">
        <f>"中島交番"</f>
        <v>中島交番</v>
      </c>
      <c r="C7627" s="8" t="str">
        <f t="shared" si="2738"/>
        <v>行政財産</v>
      </c>
      <c r="D7627" s="8" t="str">
        <f t="shared" si="2739"/>
        <v>警察（消防）施設</v>
      </c>
      <c r="E7627" s="8" t="str">
        <f>"大阪府大阪市　西淀川区中島１丁目"</f>
        <v>大阪府大阪市　西淀川区中島１丁目</v>
      </c>
      <c r="F7627" s="8"/>
      <c r="G7627" s="8" t="str">
        <f t="shared" si="2730"/>
        <v>事業用資産</v>
      </c>
      <c r="H7627" s="8" t="str">
        <f t="shared" si="2744"/>
        <v>棚卸以外</v>
      </c>
      <c r="I7627" s="8">
        <v>1</v>
      </c>
      <c r="J7627" s="8" t="str">
        <f>"中島交番"</f>
        <v>中島交番</v>
      </c>
      <c r="K7627" s="8" t="str">
        <f>"鉄筋コンクリート造"</f>
        <v>鉄筋コンクリート造</v>
      </c>
      <c r="L7627" s="8" t="str">
        <f>"S44.03.28"</f>
        <v>S44.03.28</v>
      </c>
      <c r="M7627" s="8">
        <v>48.03</v>
      </c>
      <c r="N7627" s="8">
        <v>2306000</v>
      </c>
      <c r="O7627" s="8">
        <v>2305999</v>
      </c>
      <c r="P7627" s="8">
        <v>0</v>
      </c>
      <c r="Q7627" s="8" t="str">
        <f t="shared" si="2736"/>
        <v>公安委員会</v>
      </c>
      <c r="R7627" s="8" t="str">
        <f t="shared" si="2743"/>
        <v>西淀川警察署</v>
      </c>
    </row>
    <row r="7628" spans="1:18" x14ac:dyDescent="0.45">
      <c r="A7628" s="8" t="str">
        <f>"11548000270"</f>
        <v>11548000270</v>
      </c>
      <c r="B7628" s="8" t="str">
        <f>"佃交番"</f>
        <v>佃交番</v>
      </c>
      <c r="C7628" s="8" t="str">
        <f t="shared" si="2738"/>
        <v>行政財産</v>
      </c>
      <c r="D7628" s="8" t="str">
        <f t="shared" si="2739"/>
        <v>警察（消防）施設</v>
      </c>
      <c r="E7628" s="8" t="str">
        <f>"大阪府大阪市　西淀川区佃２丁目"</f>
        <v>大阪府大阪市　西淀川区佃２丁目</v>
      </c>
      <c r="F7628" s="8"/>
      <c r="G7628" s="8" t="str">
        <f t="shared" si="2730"/>
        <v>事業用資産</v>
      </c>
      <c r="H7628" s="8" t="str">
        <f t="shared" si="2744"/>
        <v>棚卸以外</v>
      </c>
      <c r="I7628" s="8">
        <v>1</v>
      </c>
      <c r="J7628" s="8" t="str">
        <f>"佃交番"</f>
        <v>佃交番</v>
      </c>
      <c r="K7628" s="8" t="str">
        <f>"鉄筋コンクリート造"</f>
        <v>鉄筋コンクリート造</v>
      </c>
      <c r="L7628" s="8" t="str">
        <f>"S47.03.29"</f>
        <v>S47.03.29</v>
      </c>
      <c r="M7628" s="8">
        <v>82.36</v>
      </c>
      <c r="N7628" s="8">
        <v>5492801</v>
      </c>
      <c r="O7628" s="8">
        <v>5478635</v>
      </c>
      <c r="P7628" s="8">
        <v>0</v>
      </c>
      <c r="Q7628" s="8" t="str">
        <f t="shared" si="2736"/>
        <v>公安委員会</v>
      </c>
      <c r="R7628" s="8" t="str">
        <f t="shared" si="2743"/>
        <v>西淀川警察署</v>
      </c>
    </row>
    <row r="7629" spans="1:18" x14ac:dyDescent="0.45">
      <c r="A7629" s="8" t="str">
        <f>"11548000280"</f>
        <v>11548000280</v>
      </c>
      <c r="B7629" s="8" t="str">
        <f>"福大野交番"</f>
        <v>福大野交番</v>
      </c>
      <c r="C7629" s="8" t="str">
        <f t="shared" si="2738"/>
        <v>行政財産</v>
      </c>
      <c r="D7629" s="8" t="str">
        <f t="shared" si="2739"/>
        <v>警察（消防）施設</v>
      </c>
      <c r="E7629" s="8" t="str">
        <f>"大阪府大阪市　西淀川区福町２丁目"</f>
        <v>大阪府大阪市　西淀川区福町２丁目</v>
      </c>
      <c r="F7629" s="8"/>
      <c r="G7629" s="8" t="str">
        <f t="shared" si="2730"/>
        <v>事業用資産</v>
      </c>
      <c r="H7629" s="8" t="str">
        <f t="shared" si="2744"/>
        <v>棚卸以外</v>
      </c>
      <c r="I7629" s="8">
        <v>1</v>
      </c>
      <c r="J7629" s="8" t="str">
        <f>"福大野交番"</f>
        <v>福大野交番</v>
      </c>
      <c r="K7629" s="8" t="str">
        <f>"鉄筋コンクリート造"</f>
        <v>鉄筋コンクリート造</v>
      </c>
      <c r="L7629" s="8" t="str">
        <f>"S48.03.30"</f>
        <v>S48.03.30</v>
      </c>
      <c r="M7629" s="8">
        <v>93.96</v>
      </c>
      <c r="N7629" s="8">
        <v>5866394</v>
      </c>
      <c r="O7629" s="8">
        <v>5866393</v>
      </c>
      <c r="P7629" s="8">
        <v>0</v>
      </c>
      <c r="Q7629" s="8" t="str">
        <f t="shared" si="2736"/>
        <v>公安委員会</v>
      </c>
      <c r="R7629" s="8" t="str">
        <f t="shared" si="2743"/>
        <v>西淀川警察署</v>
      </c>
    </row>
    <row r="7630" spans="1:18" x14ac:dyDescent="0.45">
      <c r="A7630" s="8" t="str">
        <f>"11548000300"</f>
        <v>11548000300</v>
      </c>
      <c r="B7630" s="8" t="str">
        <f>"歌島交番"</f>
        <v>歌島交番</v>
      </c>
      <c r="C7630" s="8" t="str">
        <f t="shared" si="2738"/>
        <v>行政財産</v>
      </c>
      <c r="D7630" s="8" t="str">
        <f t="shared" si="2739"/>
        <v>警察（消防）施設</v>
      </c>
      <c r="E7630" s="8" t="str">
        <f>"大阪府大阪市　西淀川区歌島１丁目"</f>
        <v>大阪府大阪市　西淀川区歌島１丁目</v>
      </c>
      <c r="F7630" s="8"/>
      <c r="G7630" s="8" t="str">
        <f t="shared" si="2730"/>
        <v>事業用資産</v>
      </c>
      <c r="H7630" s="8" t="str">
        <f t="shared" si="2744"/>
        <v>棚卸以外</v>
      </c>
      <c r="I7630" s="8">
        <v>1</v>
      </c>
      <c r="J7630" s="8" t="str">
        <f>"歌島交番"</f>
        <v>歌島交番</v>
      </c>
      <c r="K7630" s="8" t="str">
        <f>"鉄筋コンクリート造"</f>
        <v>鉄筋コンクリート造</v>
      </c>
      <c r="L7630" s="8" t="str">
        <f>"S56.03.31"</f>
        <v>S56.03.31</v>
      </c>
      <c r="M7630" s="8">
        <v>54</v>
      </c>
      <c r="N7630" s="8">
        <v>15117000</v>
      </c>
      <c r="O7630" s="8">
        <v>12698280</v>
      </c>
      <c r="P7630" s="8">
        <v>0</v>
      </c>
      <c r="Q7630" s="8" t="str">
        <f t="shared" si="2736"/>
        <v>公安委員会</v>
      </c>
      <c r="R7630" s="8" t="str">
        <f t="shared" si="2743"/>
        <v>西淀川警察署</v>
      </c>
    </row>
    <row r="7631" spans="1:18" x14ac:dyDescent="0.45">
      <c r="A7631" s="8" t="str">
        <f>"11548000310"</f>
        <v>11548000310</v>
      </c>
      <c r="B7631" s="8" t="str">
        <f>"姫島駅前交番"</f>
        <v>姫島駅前交番</v>
      </c>
      <c r="C7631" s="8" t="str">
        <f t="shared" si="2738"/>
        <v>行政財産</v>
      </c>
      <c r="D7631" s="8" t="str">
        <f t="shared" si="2739"/>
        <v>警察（消防）施設</v>
      </c>
      <c r="E7631" s="8" t="str">
        <f>"大阪府大阪市　西淀川区姫島４丁目"</f>
        <v>大阪府大阪市　西淀川区姫島４丁目</v>
      </c>
      <c r="F7631" s="8"/>
      <c r="G7631" s="8" t="str">
        <f t="shared" si="2730"/>
        <v>事業用資産</v>
      </c>
      <c r="H7631" s="8" t="str">
        <f t="shared" si="2744"/>
        <v>棚卸以外</v>
      </c>
      <c r="I7631" s="8">
        <v>1</v>
      </c>
      <c r="J7631" s="8" t="str">
        <f>"姫島駅前交番"</f>
        <v>姫島駅前交番</v>
      </c>
      <c r="K7631" s="8" t="str">
        <f>"軽量鉄骨造"</f>
        <v>軽量鉄骨造</v>
      </c>
      <c r="L7631" s="8" t="str">
        <f>"S60.03.28"</f>
        <v>S60.03.28</v>
      </c>
      <c r="M7631" s="8">
        <v>54</v>
      </c>
      <c r="N7631" s="8">
        <v>14485000</v>
      </c>
      <c r="O7631" s="8">
        <v>14484999</v>
      </c>
      <c r="P7631" s="8">
        <v>0</v>
      </c>
      <c r="Q7631" s="8" t="str">
        <f t="shared" si="2736"/>
        <v>公安委員会</v>
      </c>
      <c r="R7631" s="8" t="str">
        <f t="shared" si="2743"/>
        <v>西淀川警察署</v>
      </c>
    </row>
    <row r="7632" spans="1:18" x14ac:dyDescent="0.45">
      <c r="A7632" s="8" t="str">
        <f>"11548000320"</f>
        <v>11548000320</v>
      </c>
      <c r="B7632" s="8" t="str">
        <f>"竹島交番"</f>
        <v>竹島交番</v>
      </c>
      <c r="C7632" s="8" t="str">
        <f t="shared" si="2738"/>
        <v>行政財産</v>
      </c>
      <c r="D7632" s="8" t="str">
        <f t="shared" si="2739"/>
        <v>警察（消防）施設</v>
      </c>
      <c r="E7632" s="8" t="str">
        <f>"大阪府大阪市　西淀川区竹島４丁目"</f>
        <v>大阪府大阪市　西淀川区竹島４丁目</v>
      </c>
      <c r="F7632" s="8"/>
      <c r="G7632" s="8" t="str">
        <f t="shared" si="2730"/>
        <v>事業用資産</v>
      </c>
      <c r="H7632" s="8" t="str">
        <f t="shared" si="2744"/>
        <v>棚卸以外</v>
      </c>
      <c r="I7632" s="8">
        <v>1</v>
      </c>
      <c r="J7632" s="8" t="str">
        <f>"竹島交番"</f>
        <v>竹島交番</v>
      </c>
      <c r="K7632" s="8" t="str">
        <f>"鉄筋コンクリート造"</f>
        <v>鉄筋コンクリート造</v>
      </c>
      <c r="L7632" s="8" t="str">
        <f>"S63.11.10"</f>
        <v>S63.11.10</v>
      </c>
      <c r="M7632" s="8">
        <v>53.9</v>
      </c>
      <c r="N7632" s="8">
        <v>17232000</v>
      </c>
      <c r="O7632" s="8">
        <v>11832640</v>
      </c>
      <c r="P7632" s="8">
        <v>0</v>
      </c>
      <c r="Q7632" s="8" t="str">
        <f t="shared" si="2736"/>
        <v>公安委員会</v>
      </c>
      <c r="R7632" s="8" t="str">
        <f t="shared" si="2743"/>
        <v>西淀川警察署</v>
      </c>
    </row>
    <row r="7633" spans="1:18" x14ac:dyDescent="0.45">
      <c r="A7633" s="8" t="str">
        <f t="shared" ref="A7633:A7638" si="2745">"11549000000"</f>
        <v>11549000000</v>
      </c>
      <c r="B7633" s="8" t="str">
        <f t="shared" ref="B7633:B7638" si="2746">"淀川警察署"</f>
        <v>淀川警察署</v>
      </c>
      <c r="C7633" s="8" t="str">
        <f t="shared" si="2738"/>
        <v>行政財産</v>
      </c>
      <c r="D7633" s="8" t="str">
        <f t="shared" si="2739"/>
        <v>警察（消防）施設</v>
      </c>
      <c r="E7633" s="8" t="str">
        <f t="shared" ref="E7633:E7638" si="2747">"大阪府大阪市　淀川区十三本町３丁目"</f>
        <v>大阪府大阪市　淀川区十三本町３丁目</v>
      </c>
      <c r="F7633" s="8"/>
      <c r="G7633" s="8" t="str">
        <f t="shared" si="2730"/>
        <v>事業用資産</v>
      </c>
      <c r="H7633" s="8" t="str">
        <f t="shared" si="2744"/>
        <v>棚卸以外</v>
      </c>
      <c r="I7633" s="8">
        <v>14</v>
      </c>
      <c r="J7633" s="8" t="str">
        <f>"庁舎"</f>
        <v>庁舎</v>
      </c>
      <c r="K7633" s="8" t="str">
        <f>"鉄筋コンクリート造"</f>
        <v>鉄筋コンクリート造</v>
      </c>
      <c r="L7633" s="8" t="str">
        <f>"S44.07.31"</f>
        <v>S44.07.31</v>
      </c>
      <c r="M7633" s="8">
        <v>3614.86</v>
      </c>
      <c r="N7633" s="8">
        <v>746777297</v>
      </c>
      <c r="O7633" s="8">
        <v>508626352</v>
      </c>
      <c r="P7633" s="8">
        <v>0</v>
      </c>
      <c r="Q7633" s="8" t="str">
        <f t="shared" si="2736"/>
        <v>公安委員会</v>
      </c>
      <c r="R7633" s="8" t="str">
        <f t="shared" ref="R7633:R7651" si="2748">"淀川警察署"</f>
        <v>淀川警察署</v>
      </c>
    </row>
    <row r="7634" spans="1:18" x14ac:dyDescent="0.45">
      <c r="A7634" s="8" t="str">
        <f t="shared" si="2745"/>
        <v>11549000000</v>
      </c>
      <c r="B7634" s="8" t="str">
        <f t="shared" si="2746"/>
        <v>淀川警察署</v>
      </c>
      <c r="C7634" s="8" t="str">
        <f t="shared" si="2738"/>
        <v>行政財産</v>
      </c>
      <c r="D7634" s="8" t="str">
        <f t="shared" si="2739"/>
        <v>警察（消防）施設</v>
      </c>
      <c r="E7634" s="8" t="str">
        <f t="shared" si="2747"/>
        <v>大阪府大阪市　淀川区十三本町３丁目</v>
      </c>
      <c r="F7634" s="8"/>
      <c r="G7634" s="8" t="str">
        <f t="shared" si="2730"/>
        <v>事業用資産</v>
      </c>
      <c r="H7634" s="8" t="str">
        <f t="shared" si="2744"/>
        <v>棚卸以外</v>
      </c>
      <c r="I7634" s="8">
        <v>15</v>
      </c>
      <c r="J7634" s="8" t="str">
        <f>"署長公舎"</f>
        <v>署長公舎</v>
      </c>
      <c r="K7634" s="8" t="str">
        <f>"木造"</f>
        <v>木造</v>
      </c>
      <c r="L7634" s="8" t="str">
        <f>"S44.07.31"</f>
        <v>S44.07.31</v>
      </c>
      <c r="M7634" s="8">
        <v>81.150000000000006</v>
      </c>
      <c r="N7634" s="8">
        <v>5206000</v>
      </c>
      <c r="O7634" s="8">
        <v>5205999</v>
      </c>
      <c r="P7634" s="8">
        <v>0</v>
      </c>
      <c r="Q7634" s="8" t="str">
        <f t="shared" si="2736"/>
        <v>公安委員会</v>
      </c>
      <c r="R7634" s="8" t="str">
        <f t="shared" si="2748"/>
        <v>淀川警察署</v>
      </c>
    </row>
    <row r="7635" spans="1:18" x14ac:dyDescent="0.45">
      <c r="A7635" s="8" t="str">
        <f t="shared" si="2745"/>
        <v>11549000000</v>
      </c>
      <c r="B7635" s="8" t="str">
        <f t="shared" si="2746"/>
        <v>淀川警察署</v>
      </c>
      <c r="C7635" s="8" t="str">
        <f t="shared" si="2738"/>
        <v>行政財産</v>
      </c>
      <c r="D7635" s="8" t="str">
        <f t="shared" si="2739"/>
        <v>警察（消防）施設</v>
      </c>
      <c r="E7635" s="8" t="str">
        <f t="shared" si="2747"/>
        <v>大阪府大阪市　淀川区十三本町３丁目</v>
      </c>
      <c r="F7635" s="8"/>
      <c r="G7635" s="8" t="str">
        <f t="shared" si="2730"/>
        <v>事業用資産</v>
      </c>
      <c r="H7635" s="8" t="str">
        <f t="shared" si="2744"/>
        <v>棚卸以外</v>
      </c>
      <c r="I7635" s="8">
        <v>17</v>
      </c>
      <c r="J7635" s="8" t="str">
        <f>"倉庫"</f>
        <v>倉庫</v>
      </c>
      <c r="K7635" s="8" t="str">
        <f>"鉄骨造"</f>
        <v>鉄骨造</v>
      </c>
      <c r="L7635" s="8" t="str">
        <f>"S45.03.31"</f>
        <v>S45.03.31</v>
      </c>
      <c r="M7635" s="8">
        <v>90.75</v>
      </c>
      <c r="N7635" s="8">
        <v>3213725</v>
      </c>
      <c r="O7635" s="8">
        <v>1428721</v>
      </c>
      <c r="P7635" s="8">
        <v>0</v>
      </c>
      <c r="Q7635" s="8" t="str">
        <f t="shared" si="2736"/>
        <v>公安委員会</v>
      </c>
      <c r="R7635" s="8" t="str">
        <f t="shared" si="2748"/>
        <v>淀川警察署</v>
      </c>
    </row>
    <row r="7636" spans="1:18" x14ac:dyDescent="0.45">
      <c r="A7636" s="8" t="str">
        <f t="shared" si="2745"/>
        <v>11549000000</v>
      </c>
      <c r="B7636" s="8" t="str">
        <f t="shared" si="2746"/>
        <v>淀川警察署</v>
      </c>
      <c r="C7636" s="8" t="str">
        <f t="shared" si="2738"/>
        <v>行政財産</v>
      </c>
      <c r="D7636" s="8" t="str">
        <f t="shared" si="2739"/>
        <v>警察（消防）施設</v>
      </c>
      <c r="E7636" s="8" t="str">
        <f t="shared" si="2747"/>
        <v>大阪府大阪市　淀川区十三本町３丁目</v>
      </c>
      <c r="F7636" s="8"/>
      <c r="G7636" s="8" t="str">
        <f t="shared" si="2730"/>
        <v>事業用資産</v>
      </c>
      <c r="H7636" s="8" t="str">
        <f t="shared" si="2744"/>
        <v>棚卸以外</v>
      </c>
      <c r="I7636" s="8">
        <v>18</v>
      </c>
      <c r="J7636" s="8" t="str">
        <f>"倉庫"</f>
        <v>倉庫</v>
      </c>
      <c r="K7636" s="8" t="str">
        <f>"軽量鉄骨造"</f>
        <v>軽量鉄骨造</v>
      </c>
      <c r="L7636" s="8" t="str">
        <f>"S45.03.31"</f>
        <v>S45.03.31</v>
      </c>
      <c r="M7636" s="8">
        <v>116.64</v>
      </c>
      <c r="N7636" s="8">
        <v>3201400</v>
      </c>
      <c r="O7636" s="8">
        <v>3201399</v>
      </c>
      <c r="P7636" s="8">
        <v>0</v>
      </c>
      <c r="Q7636" s="8" t="str">
        <f t="shared" si="2736"/>
        <v>公安委員会</v>
      </c>
      <c r="R7636" s="8" t="str">
        <f t="shared" si="2748"/>
        <v>淀川警察署</v>
      </c>
    </row>
    <row r="7637" spans="1:18" x14ac:dyDescent="0.45">
      <c r="A7637" s="8" t="str">
        <f t="shared" si="2745"/>
        <v>11549000000</v>
      </c>
      <c r="B7637" s="8" t="str">
        <f t="shared" si="2746"/>
        <v>淀川警察署</v>
      </c>
      <c r="C7637" s="8" t="str">
        <f t="shared" si="2738"/>
        <v>行政財産</v>
      </c>
      <c r="D7637" s="8" t="str">
        <f t="shared" si="2739"/>
        <v>警察（消防）施設</v>
      </c>
      <c r="E7637" s="8" t="str">
        <f t="shared" si="2747"/>
        <v>大阪府大阪市　淀川区十三本町３丁目</v>
      </c>
      <c r="F7637" s="8"/>
      <c r="G7637" s="8" t="str">
        <f t="shared" si="2730"/>
        <v>事業用資産</v>
      </c>
      <c r="H7637" s="8" t="str">
        <f t="shared" si="2744"/>
        <v>棚卸以外</v>
      </c>
      <c r="I7637" s="8">
        <v>19</v>
      </c>
      <c r="J7637" s="8" t="str">
        <f>"油倉庫"</f>
        <v>油倉庫</v>
      </c>
      <c r="K7637" s="8" t="str">
        <f>"コンクリートブロック造"</f>
        <v>コンクリートブロック造</v>
      </c>
      <c r="L7637" s="8" t="str">
        <f>"S47.11.20"</f>
        <v>S47.11.20</v>
      </c>
      <c r="M7637" s="8">
        <v>6.2</v>
      </c>
      <c r="N7637" s="8">
        <v>476000</v>
      </c>
      <c r="O7637" s="8">
        <v>475999</v>
      </c>
      <c r="P7637" s="8">
        <v>0</v>
      </c>
      <c r="Q7637" s="8" t="str">
        <f t="shared" si="2736"/>
        <v>公安委員会</v>
      </c>
      <c r="R7637" s="8" t="str">
        <f t="shared" si="2748"/>
        <v>淀川警察署</v>
      </c>
    </row>
    <row r="7638" spans="1:18" x14ac:dyDescent="0.45">
      <c r="A7638" s="8" t="str">
        <f t="shared" si="2745"/>
        <v>11549000000</v>
      </c>
      <c r="B7638" s="8" t="str">
        <f t="shared" si="2746"/>
        <v>淀川警察署</v>
      </c>
      <c r="C7638" s="8" t="str">
        <f t="shared" si="2738"/>
        <v>行政財産</v>
      </c>
      <c r="D7638" s="8" t="str">
        <f t="shared" si="2739"/>
        <v>警察（消防）施設</v>
      </c>
      <c r="E7638" s="8" t="str">
        <f t="shared" si="2747"/>
        <v>大阪府大阪市　淀川区十三本町３丁目</v>
      </c>
      <c r="F7638" s="8"/>
      <c r="G7638" s="8" t="str">
        <f t="shared" si="2730"/>
        <v>事業用資産</v>
      </c>
      <c r="H7638" s="8" t="str">
        <f t="shared" si="2744"/>
        <v>棚卸以外</v>
      </c>
      <c r="I7638" s="8">
        <v>24</v>
      </c>
      <c r="J7638" s="8" t="str">
        <f>"ゴミ集積場"</f>
        <v>ゴミ集積場</v>
      </c>
      <c r="K7638" s="8" t="str">
        <f>"鉄骨造"</f>
        <v>鉄骨造</v>
      </c>
      <c r="L7638" s="8" t="str">
        <f>"H30.12.12"</f>
        <v>H30.12.12</v>
      </c>
      <c r="M7638" s="8">
        <v>17.03</v>
      </c>
      <c r="N7638" s="8">
        <v>4948273</v>
      </c>
      <c r="O7638" s="8">
        <v>686307</v>
      </c>
      <c r="P7638" s="8">
        <v>0</v>
      </c>
      <c r="Q7638" s="8" t="str">
        <f t="shared" si="2736"/>
        <v>公安委員会</v>
      </c>
      <c r="R7638" s="8" t="str">
        <f t="shared" si="2748"/>
        <v>淀川警察署</v>
      </c>
    </row>
    <row r="7639" spans="1:18" x14ac:dyDescent="0.45">
      <c r="A7639" s="8" t="str">
        <f>"11549000003"</f>
        <v>11549000003</v>
      </c>
      <c r="B7639" s="8" t="str">
        <f>"三国駅前交番"</f>
        <v>三国駅前交番</v>
      </c>
      <c r="C7639" s="8" t="str">
        <f t="shared" si="2738"/>
        <v>行政財産</v>
      </c>
      <c r="D7639" s="8" t="str">
        <f t="shared" si="2739"/>
        <v>警察（消防）施設</v>
      </c>
      <c r="E7639" s="8" t="str">
        <f>"大阪府大阪市　淀川区三国本町３丁目"</f>
        <v>大阪府大阪市　淀川区三国本町３丁目</v>
      </c>
      <c r="F7639" s="8"/>
      <c r="G7639" s="8" t="str">
        <f t="shared" ref="G7639:G7702" si="2749">"事業用資産"</f>
        <v>事業用資産</v>
      </c>
      <c r="H7639" s="8" t="str">
        <f t="shared" si="2744"/>
        <v>棚卸以外</v>
      </c>
      <c r="I7639" s="8">
        <v>1</v>
      </c>
      <c r="J7639" s="8" t="str">
        <f>"三国駅前交番"</f>
        <v>三国駅前交番</v>
      </c>
      <c r="K7639" s="8" t="str">
        <f>"鉄骨造"</f>
        <v>鉄骨造</v>
      </c>
      <c r="L7639" s="8" t="str">
        <f>"H17.03.30"</f>
        <v>H17.03.30</v>
      </c>
      <c r="M7639" s="8">
        <v>54</v>
      </c>
      <c r="N7639" s="8">
        <v>16331759</v>
      </c>
      <c r="O7639" s="8">
        <v>7717240</v>
      </c>
      <c r="P7639" s="8">
        <v>0</v>
      </c>
      <c r="Q7639" s="8" t="str">
        <f t="shared" si="2736"/>
        <v>公安委員会</v>
      </c>
      <c r="R7639" s="8" t="str">
        <f t="shared" si="2748"/>
        <v>淀川警察署</v>
      </c>
    </row>
    <row r="7640" spans="1:18" x14ac:dyDescent="0.45">
      <c r="A7640" s="8" t="str">
        <f>"11549000100"</f>
        <v>11549000100</v>
      </c>
      <c r="B7640" s="8" t="str">
        <f>"十三本町警ら連絡所"</f>
        <v>十三本町警ら連絡所</v>
      </c>
      <c r="C7640" s="8" t="str">
        <f t="shared" si="2738"/>
        <v>行政財産</v>
      </c>
      <c r="D7640" s="8" t="str">
        <f t="shared" si="2739"/>
        <v>警察（消防）施設</v>
      </c>
      <c r="E7640" s="8" t="str">
        <f>"大阪府大阪市　淀川区十三本町１丁目"</f>
        <v>大阪府大阪市　淀川区十三本町１丁目</v>
      </c>
      <c r="F7640" s="8"/>
      <c r="G7640" s="8" t="str">
        <f t="shared" si="2749"/>
        <v>事業用資産</v>
      </c>
      <c r="H7640" s="8" t="str">
        <f t="shared" si="2744"/>
        <v>棚卸以外</v>
      </c>
      <c r="I7640" s="8">
        <v>1</v>
      </c>
      <c r="J7640" s="8" t="str">
        <f>"十三本町警ら連絡所"</f>
        <v>十三本町警ら連絡所</v>
      </c>
      <c r="K7640" s="8" t="str">
        <f>"鉄筋コンクリート造"</f>
        <v>鉄筋コンクリート造</v>
      </c>
      <c r="L7640" s="8" t="str">
        <f>"S12.04.03"</f>
        <v>S12.04.03</v>
      </c>
      <c r="M7640" s="8">
        <v>24.79</v>
      </c>
      <c r="N7640" s="8">
        <v>1129059</v>
      </c>
      <c r="O7640" s="8">
        <v>766290</v>
      </c>
      <c r="P7640" s="8">
        <v>0</v>
      </c>
      <c r="Q7640" s="8" t="str">
        <f t="shared" si="2736"/>
        <v>公安委員会</v>
      </c>
      <c r="R7640" s="8" t="str">
        <f t="shared" si="2748"/>
        <v>淀川警察署</v>
      </c>
    </row>
    <row r="7641" spans="1:18" x14ac:dyDescent="0.45">
      <c r="A7641" s="8" t="str">
        <f>"11549000120"</f>
        <v>11549000120</v>
      </c>
      <c r="B7641" s="8" t="str">
        <f>"西中島交番"</f>
        <v>西中島交番</v>
      </c>
      <c r="C7641" s="8" t="str">
        <f t="shared" si="2738"/>
        <v>行政財産</v>
      </c>
      <c r="D7641" s="8" t="str">
        <f t="shared" si="2739"/>
        <v>警察（消防）施設</v>
      </c>
      <c r="E7641" s="8" t="str">
        <f>"大阪府大阪市　淀川区西中島３丁目"</f>
        <v>大阪府大阪市　淀川区西中島３丁目</v>
      </c>
      <c r="F7641" s="8"/>
      <c r="G7641" s="8" t="str">
        <f t="shared" si="2749"/>
        <v>事業用資産</v>
      </c>
      <c r="H7641" s="8" t="str">
        <f t="shared" si="2744"/>
        <v>棚卸以外</v>
      </c>
      <c r="I7641" s="8">
        <v>2</v>
      </c>
      <c r="J7641" s="8" t="str">
        <f>"西中島交番"</f>
        <v>西中島交番</v>
      </c>
      <c r="K7641" s="8" t="str">
        <f>"鉄骨造"</f>
        <v>鉄骨造</v>
      </c>
      <c r="L7641" s="8" t="str">
        <f>"S52.03.30"</f>
        <v>S52.03.30</v>
      </c>
      <c r="M7641" s="8">
        <v>47.72</v>
      </c>
      <c r="N7641" s="8">
        <v>8528381</v>
      </c>
      <c r="O7641" s="8">
        <v>8452679</v>
      </c>
      <c r="P7641" s="8">
        <v>0</v>
      </c>
      <c r="Q7641" s="8" t="str">
        <f t="shared" si="2736"/>
        <v>公安委員会</v>
      </c>
      <c r="R7641" s="8" t="str">
        <f t="shared" si="2748"/>
        <v>淀川警察署</v>
      </c>
    </row>
    <row r="7642" spans="1:18" x14ac:dyDescent="0.45">
      <c r="A7642" s="8" t="str">
        <f>"11549000180"</f>
        <v>11549000180</v>
      </c>
      <c r="B7642" s="8" t="str">
        <f>"神崎川交番"</f>
        <v>神崎川交番</v>
      </c>
      <c r="C7642" s="8" t="str">
        <f t="shared" si="2738"/>
        <v>行政財産</v>
      </c>
      <c r="D7642" s="8" t="str">
        <f t="shared" si="2739"/>
        <v>警察（消防）施設</v>
      </c>
      <c r="E7642" s="8" t="str">
        <f>"大阪府大阪市　淀川区三津屋北１丁目"</f>
        <v>大阪府大阪市　淀川区三津屋北１丁目</v>
      </c>
      <c r="F7642" s="8"/>
      <c r="G7642" s="8" t="str">
        <f t="shared" si="2749"/>
        <v>事業用資産</v>
      </c>
      <c r="H7642" s="8" t="str">
        <f t="shared" si="2744"/>
        <v>棚卸以外</v>
      </c>
      <c r="I7642" s="8">
        <v>2</v>
      </c>
      <c r="J7642" s="8" t="str">
        <f>"神崎川交番"</f>
        <v>神崎川交番</v>
      </c>
      <c r="K7642" s="8" t="str">
        <f>"鉄筋コンクリート造"</f>
        <v>鉄筋コンクリート造</v>
      </c>
      <c r="L7642" s="8" t="str">
        <f>"S44.03.31"</f>
        <v>S44.03.31</v>
      </c>
      <c r="M7642" s="8">
        <v>24.14</v>
      </c>
      <c r="N7642" s="8">
        <v>1484381</v>
      </c>
      <c r="O7642" s="8">
        <v>1408679</v>
      </c>
      <c r="P7642" s="8">
        <v>0</v>
      </c>
      <c r="Q7642" s="8" t="str">
        <f t="shared" si="2736"/>
        <v>公安委員会</v>
      </c>
      <c r="R7642" s="8" t="str">
        <f t="shared" si="2748"/>
        <v>淀川警察署</v>
      </c>
    </row>
    <row r="7643" spans="1:18" x14ac:dyDescent="0.45">
      <c r="A7643" s="8" t="str">
        <f>"11549000250"</f>
        <v>11549000250</v>
      </c>
      <c r="B7643" s="8" t="str">
        <f>"新北野交番"</f>
        <v>新北野交番</v>
      </c>
      <c r="C7643" s="8" t="str">
        <f t="shared" si="2738"/>
        <v>行政財産</v>
      </c>
      <c r="D7643" s="8" t="str">
        <f t="shared" si="2739"/>
        <v>警察（消防）施設</v>
      </c>
      <c r="E7643" s="8" t="str">
        <f>"大阪府大阪市　淀川区新北野２丁目"</f>
        <v>大阪府大阪市　淀川区新北野２丁目</v>
      </c>
      <c r="F7643" s="8"/>
      <c r="G7643" s="8" t="str">
        <f t="shared" si="2749"/>
        <v>事業用資産</v>
      </c>
      <c r="H7643" s="8" t="str">
        <f t="shared" si="2744"/>
        <v>棚卸以外</v>
      </c>
      <c r="I7643" s="8">
        <v>2</v>
      </c>
      <c r="J7643" s="8" t="str">
        <f>"新北野交番"</f>
        <v>新北野交番</v>
      </c>
      <c r="K7643" s="8" t="str">
        <f>"鉄筋コンクリート造"</f>
        <v>鉄筋コンクリート造</v>
      </c>
      <c r="L7643" s="8" t="str">
        <f>"H01.03.31"</f>
        <v>H01.03.31</v>
      </c>
      <c r="M7643" s="8">
        <v>57.29</v>
      </c>
      <c r="N7643" s="8">
        <v>15035989</v>
      </c>
      <c r="O7643" s="8">
        <v>10179032</v>
      </c>
      <c r="P7643" s="8">
        <v>0</v>
      </c>
      <c r="Q7643" s="8" t="str">
        <f t="shared" si="2736"/>
        <v>公安委員会</v>
      </c>
      <c r="R7643" s="8" t="str">
        <f t="shared" si="2748"/>
        <v>淀川警察署</v>
      </c>
    </row>
    <row r="7644" spans="1:18" x14ac:dyDescent="0.45">
      <c r="A7644" s="8" t="str">
        <f>"11549000280"</f>
        <v>11549000280</v>
      </c>
      <c r="B7644" s="8" t="str">
        <f>"十三東交番"</f>
        <v>十三東交番</v>
      </c>
      <c r="C7644" s="8" t="str">
        <f t="shared" si="2738"/>
        <v>行政財産</v>
      </c>
      <c r="D7644" s="8" t="str">
        <f t="shared" si="2739"/>
        <v>警察（消防）施設</v>
      </c>
      <c r="E7644" s="8" t="str">
        <f>"大阪府大阪市　淀川区十三東１丁目"</f>
        <v>大阪府大阪市　淀川区十三東１丁目</v>
      </c>
      <c r="F7644" s="8"/>
      <c r="G7644" s="8" t="str">
        <f t="shared" si="2749"/>
        <v>事業用資産</v>
      </c>
      <c r="H7644" s="8" t="str">
        <f t="shared" si="2744"/>
        <v>棚卸以外</v>
      </c>
      <c r="I7644" s="8">
        <v>2</v>
      </c>
      <c r="J7644" s="8" t="str">
        <f>"十三東交番"</f>
        <v>十三東交番</v>
      </c>
      <c r="K7644" s="8" t="str">
        <f>"鉄筋コンクリート造"</f>
        <v>鉄筋コンクリート造</v>
      </c>
      <c r="L7644" s="8" t="str">
        <f>"S38.03.31"</f>
        <v>S38.03.31</v>
      </c>
      <c r="M7644" s="8">
        <v>72.89</v>
      </c>
      <c r="N7644" s="8">
        <v>3221370</v>
      </c>
      <c r="O7644" s="8">
        <v>3173112</v>
      </c>
      <c r="P7644" s="8">
        <v>0</v>
      </c>
      <c r="Q7644" s="8" t="str">
        <f t="shared" si="2736"/>
        <v>公安委員会</v>
      </c>
      <c r="R7644" s="8" t="str">
        <f t="shared" si="2748"/>
        <v>淀川警察署</v>
      </c>
    </row>
    <row r="7645" spans="1:18" x14ac:dyDescent="0.45">
      <c r="A7645" s="8" t="str">
        <f>"11549000350"</f>
        <v>11549000350</v>
      </c>
      <c r="B7645" s="8" t="str">
        <f>"加島交番"</f>
        <v>加島交番</v>
      </c>
      <c r="C7645" s="8" t="str">
        <f t="shared" si="2738"/>
        <v>行政財産</v>
      </c>
      <c r="D7645" s="8" t="str">
        <f t="shared" si="2739"/>
        <v>警察（消防）施設</v>
      </c>
      <c r="E7645" s="8" t="str">
        <f>"大阪府大阪市　淀川区加島１丁目"</f>
        <v>大阪府大阪市　淀川区加島１丁目</v>
      </c>
      <c r="F7645" s="8"/>
      <c r="G7645" s="8" t="str">
        <f t="shared" si="2749"/>
        <v>事業用資産</v>
      </c>
      <c r="H7645" s="8" t="str">
        <f t="shared" si="2744"/>
        <v>棚卸以外</v>
      </c>
      <c r="I7645" s="8">
        <v>1</v>
      </c>
      <c r="J7645" s="8" t="str">
        <f>"加島交番"</f>
        <v>加島交番</v>
      </c>
      <c r="K7645" s="8" t="str">
        <f>"鉄筋コンクリート造"</f>
        <v>鉄筋コンクリート造</v>
      </c>
      <c r="L7645" s="8" t="str">
        <f>"S46.03.29"</f>
        <v>S46.03.29</v>
      </c>
      <c r="M7645" s="8">
        <v>66.08</v>
      </c>
      <c r="N7645" s="8">
        <v>4653881</v>
      </c>
      <c r="O7645" s="8">
        <v>4515291</v>
      </c>
      <c r="P7645" s="8">
        <v>0</v>
      </c>
      <c r="Q7645" s="8" t="str">
        <f t="shared" si="2736"/>
        <v>公安委員会</v>
      </c>
      <c r="R7645" s="8" t="str">
        <f t="shared" si="2748"/>
        <v>淀川警察署</v>
      </c>
    </row>
    <row r="7646" spans="1:18" x14ac:dyDescent="0.45">
      <c r="A7646" s="8" t="str">
        <f>"11549000360"</f>
        <v>11549000360</v>
      </c>
      <c r="B7646" s="8" t="str">
        <f>"塚本交番"</f>
        <v>塚本交番</v>
      </c>
      <c r="C7646" s="8" t="str">
        <f t="shared" si="2738"/>
        <v>行政財産</v>
      </c>
      <c r="D7646" s="8" t="str">
        <f t="shared" si="2739"/>
        <v>警察（消防）施設</v>
      </c>
      <c r="E7646" s="8" t="str">
        <f>"大阪府大阪市　淀川区塚本２丁目"</f>
        <v>大阪府大阪市　淀川区塚本２丁目</v>
      </c>
      <c r="F7646" s="8"/>
      <c r="G7646" s="8" t="str">
        <f t="shared" si="2749"/>
        <v>事業用資産</v>
      </c>
      <c r="H7646" s="8" t="str">
        <f t="shared" si="2744"/>
        <v>棚卸以外</v>
      </c>
      <c r="I7646" s="8">
        <v>1</v>
      </c>
      <c r="J7646" s="8" t="str">
        <f>"塚本交番"</f>
        <v>塚本交番</v>
      </c>
      <c r="K7646" s="8" t="str">
        <f>"鉄筋コンクリート造"</f>
        <v>鉄筋コンクリート造</v>
      </c>
      <c r="L7646" s="8" t="str">
        <f>"S47.01.14"</f>
        <v>S47.01.14</v>
      </c>
      <c r="M7646" s="8">
        <v>82.49</v>
      </c>
      <c r="N7646" s="8">
        <v>5674508</v>
      </c>
      <c r="O7646" s="8">
        <v>5568594</v>
      </c>
      <c r="P7646" s="8">
        <v>0</v>
      </c>
      <c r="Q7646" s="8" t="str">
        <f t="shared" si="2736"/>
        <v>公安委員会</v>
      </c>
      <c r="R7646" s="8" t="str">
        <f t="shared" si="2748"/>
        <v>淀川警察署</v>
      </c>
    </row>
    <row r="7647" spans="1:18" x14ac:dyDescent="0.45">
      <c r="A7647" s="8" t="str">
        <f>"11549000380"</f>
        <v>11549000380</v>
      </c>
      <c r="B7647" s="8" t="str">
        <f>"十三南交通警察官詰所"</f>
        <v>十三南交通警察官詰所</v>
      </c>
      <c r="C7647" s="8" t="str">
        <f t="shared" si="2738"/>
        <v>行政財産</v>
      </c>
      <c r="D7647" s="8" t="str">
        <f t="shared" si="2739"/>
        <v>警察（消防）施設</v>
      </c>
      <c r="E7647" s="8" t="str">
        <f>"大阪府大阪市　淀川区新北野１丁目"</f>
        <v>大阪府大阪市　淀川区新北野１丁目</v>
      </c>
      <c r="F7647" s="8"/>
      <c r="G7647" s="8" t="str">
        <f t="shared" si="2749"/>
        <v>事業用資産</v>
      </c>
      <c r="H7647" s="8" t="str">
        <f t="shared" si="2744"/>
        <v>棚卸以外</v>
      </c>
      <c r="I7647" s="8">
        <v>1</v>
      </c>
      <c r="J7647" s="8" t="str">
        <f>"十三南交通警察官詰所"</f>
        <v>十三南交通警察官詰所</v>
      </c>
      <c r="K7647" s="8" t="str">
        <f>"鉄骨造"</f>
        <v>鉄骨造</v>
      </c>
      <c r="L7647" s="8" t="str">
        <f>"S50.03.28"</f>
        <v>S50.03.28</v>
      </c>
      <c r="M7647" s="8">
        <v>19.98</v>
      </c>
      <c r="N7647" s="8">
        <v>3400000</v>
      </c>
      <c r="O7647" s="8">
        <v>3399999</v>
      </c>
      <c r="P7647" s="8">
        <v>0</v>
      </c>
      <c r="Q7647" s="8" t="str">
        <f t="shared" si="2736"/>
        <v>公安委員会</v>
      </c>
      <c r="R7647" s="8" t="str">
        <f t="shared" si="2748"/>
        <v>淀川警察署</v>
      </c>
    </row>
    <row r="7648" spans="1:18" x14ac:dyDescent="0.45">
      <c r="A7648" s="8" t="str">
        <f>"11549000390"</f>
        <v>11549000390</v>
      </c>
      <c r="B7648" s="8" t="str">
        <f>"野中交番"</f>
        <v>野中交番</v>
      </c>
      <c r="C7648" s="8" t="str">
        <f t="shared" si="2738"/>
        <v>行政財産</v>
      </c>
      <c r="D7648" s="8" t="str">
        <f t="shared" si="2739"/>
        <v>警察（消防）施設</v>
      </c>
      <c r="E7648" s="8" t="str">
        <f>"大阪府大阪市　淀川区野中南２丁目"</f>
        <v>大阪府大阪市　淀川区野中南２丁目</v>
      </c>
      <c r="F7648" s="8"/>
      <c r="G7648" s="8" t="str">
        <f t="shared" si="2749"/>
        <v>事業用資産</v>
      </c>
      <c r="H7648" s="8" t="str">
        <f t="shared" si="2744"/>
        <v>棚卸以外</v>
      </c>
      <c r="I7648" s="8">
        <v>1</v>
      </c>
      <c r="J7648" s="8" t="str">
        <f>"野中交番"</f>
        <v>野中交番</v>
      </c>
      <c r="K7648" s="8" t="str">
        <f>"鉄骨造"</f>
        <v>鉄骨造</v>
      </c>
      <c r="L7648" s="8" t="str">
        <f>"S56.09.01"</f>
        <v>S56.09.01</v>
      </c>
      <c r="M7648" s="8">
        <v>50.4</v>
      </c>
      <c r="N7648" s="8">
        <v>13219381</v>
      </c>
      <c r="O7648" s="8">
        <v>13143679</v>
      </c>
      <c r="P7648" s="8">
        <v>0</v>
      </c>
      <c r="Q7648" s="8" t="str">
        <f t="shared" si="2736"/>
        <v>公安委員会</v>
      </c>
      <c r="R7648" s="8" t="str">
        <f t="shared" si="2748"/>
        <v>淀川警察署</v>
      </c>
    </row>
    <row r="7649" spans="1:18" x14ac:dyDescent="0.45">
      <c r="A7649" s="8" t="str">
        <f>"11549000410"</f>
        <v>11549000410</v>
      </c>
      <c r="B7649" s="8" t="str">
        <f>"東三国交番"</f>
        <v>東三国交番</v>
      </c>
      <c r="C7649" s="8" t="str">
        <f t="shared" si="2738"/>
        <v>行政財産</v>
      </c>
      <c r="D7649" s="8" t="str">
        <f t="shared" si="2739"/>
        <v>警察（消防）施設</v>
      </c>
      <c r="E7649" s="8" t="str">
        <f>"大阪府大阪市　淀川区十八条１丁目"</f>
        <v>大阪府大阪市　淀川区十八条１丁目</v>
      </c>
      <c r="F7649" s="8"/>
      <c r="G7649" s="8" t="str">
        <f t="shared" si="2749"/>
        <v>事業用資産</v>
      </c>
      <c r="H7649" s="8" t="str">
        <f t="shared" si="2744"/>
        <v>棚卸以外</v>
      </c>
      <c r="I7649" s="8">
        <v>1</v>
      </c>
      <c r="J7649" s="8" t="str">
        <f>"東三国交番"</f>
        <v>東三国交番</v>
      </c>
      <c r="K7649" s="8" t="str">
        <f>"鉄骨造"</f>
        <v>鉄骨造</v>
      </c>
      <c r="L7649" s="8" t="str">
        <f>"H11.03.15"</f>
        <v>H11.03.15</v>
      </c>
      <c r="M7649" s="8">
        <v>108.73</v>
      </c>
      <c r="N7649" s="8">
        <v>42284334</v>
      </c>
      <c r="O7649" s="8">
        <v>26650200</v>
      </c>
      <c r="P7649" s="8">
        <v>0</v>
      </c>
      <c r="Q7649" s="8" t="str">
        <f t="shared" si="2736"/>
        <v>公安委員会</v>
      </c>
      <c r="R7649" s="8" t="str">
        <f t="shared" si="2748"/>
        <v>淀川警察署</v>
      </c>
    </row>
    <row r="7650" spans="1:18" x14ac:dyDescent="0.45">
      <c r="A7650" s="8" t="str">
        <f>"11549003001"</f>
        <v>11549003001</v>
      </c>
      <c r="B7650" s="8" t="str">
        <f>"三国本町　交番"</f>
        <v>三国本町　交番</v>
      </c>
      <c r="C7650" s="8" t="str">
        <f t="shared" si="2738"/>
        <v>行政財産</v>
      </c>
      <c r="D7650" s="8" t="str">
        <f t="shared" si="2739"/>
        <v>警察（消防）施設</v>
      </c>
      <c r="E7650" s="8" t="str">
        <f>"大阪府大阪市　淀川区三国本町３丁目"</f>
        <v>大阪府大阪市　淀川区三国本町３丁目</v>
      </c>
      <c r="F7650" s="8"/>
      <c r="G7650" s="8" t="str">
        <f t="shared" si="2749"/>
        <v>事業用資産</v>
      </c>
      <c r="H7650" s="8" t="str">
        <f t="shared" si="2744"/>
        <v>棚卸以外</v>
      </c>
      <c r="I7650" s="8">
        <v>1</v>
      </c>
      <c r="J7650" s="8" t="str">
        <f>"三国本町交番"</f>
        <v>三国本町交番</v>
      </c>
      <c r="K7650" s="8" t="str">
        <f>"軽量鉄骨造"</f>
        <v>軽量鉄骨造</v>
      </c>
      <c r="L7650" s="8" t="str">
        <f>"H25.03.04"</f>
        <v>H25.03.04</v>
      </c>
      <c r="M7650" s="8">
        <v>65.81</v>
      </c>
      <c r="N7650" s="8">
        <v>23111571</v>
      </c>
      <c r="O7650" s="8">
        <v>9605920</v>
      </c>
      <c r="P7650" s="8">
        <v>0</v>
      </c>
      <c r="Q7650" s="8" t="str">
        <f t="shared" si="2736"/>
        <v>公安委員会</v>
      </c>
      <c r="R7650" s="8" t="str">
        <f t="shared" si="2748"/>
        <v>淀川警察署</v>
      </c>
    </row>
    <row r="7651" spans="1:18" x14ac:dyDescent="0.45">
      <c r="A7651" s="8" t="str">
        <f>"11549003003"</f>
        <v>11549003003</v>
      </c>
      <c r="B7651" s="8" t="str">
        <f>"田川交番"</f>
        <v>田川交番</v>
      </c>
      <c r="C7651" s="8" t="str">
        <f t="shared" si="2738"/>
        <v>行政財産</v>
      </c>
      <c r="D7651" s="8" t="str">
        <f t="shared" si="2739"/>
        <v>警察（消防）施設</v>
      </c>
      <c r="E7651" s="8" t="str">
        <f>"大阪府大阪市　淀川区田川２丁目"</f>
        <v>大阪府大阪市　淀川区田川２丁目</v>
      </c>
      <c r="F7651" s="8"/>
      <c r="G7651" s="8" t="str">
        <f t="shared" si="2749"/>
        <v>事業用資産</v>
      </c>
      <c r="H7651" s="8" t="str">
        <f t="shared" si="2744"/>
        <v>棚卸以外</v>
      </c>
      <c r="I7651" s="8">
        <v>1</v>
      </c>
      <c r="J7651" s="8" t="str">
        <f>"田川交番"</f>
        <v>田川交番</v>
      </c>
      <c r="K7651" s="8" t="str">
        <f>"軽量鉄骨造"</f>
        <v>軽量鉄骨造</v>
      </c>
      <c r="L7651" s="8" t="str">
        <f>"H29.01.30"</f>
        <v>H29.01.30</v>
      </c>
      <c r="M7651" s="8">
        <v>44.2</v>
      </c>
      <c r="N7651" s="8">
        <v>22967315</v>
      </c>
      <c r="O7651" s="8">
        <v>5791929</v>
      </c>
      <c r="P7651" s="8">
        <v>0</v>
      </c>
      <c r="Q7651" s="8" t="str">
        <f t="shared" si="2736"/>
        <v>公安委員会</v>
      </c>
      <c r="R7651" s="8" t="str">
        <f t="shared" si="2748"/>
        <v>淀川警察署</v>
      </c>
    </row>
    <row r="7652" spans="1:18" x14ac:dyDescent="0.45">
      <c r="A7652" s="8" t="str">
        <f>"11550000000"</f>
        <v>11550000000</v>
      </c>
      <c r="B7652" s="8" t="str">
        <f>"東淀川警察署"</f>
        <v>東淀川警察署</v>
      </c>
      <c r="C7652" s="8" t="str">
        <f t="shared" si="2738"/>
        <v>行政財産</v>
      </c>
      <c r="D7652" s="8" t="str">
        <f t="shared" si="2739"/>
        <v>警察（消防）施設</v>
      </c>
      <c r="E7652" s="8" t="str">
        <f>"大阪府大阪市　東淀川区豊新１丁目"</f>
        <v>大阪府大阪市　東淀川区豊新１丁目</v>
      </c>
      <c r="F7652" s="8"/>
      <c r="G7652" s="8" t="str">
        <f t="shared" si="2749"/>
        <v>事業用資産</v>
      </c>
      <c r="H7652" s="8" t="str">
        <f t="shared" si="2744"/>
        <v>棚卸以外</v>
      </c>
      <c r="I7652" s="8">
        <v>22</v>
      </c>
      <c r="J7652" s="8" t="str">
        <f>"庁舎"</f>
        <v>庁舎</v>
      </c>
      <c r="K7652" s="8" t="str">
        <f>"鉄筋コンクリート造"</f>
        <v>鉄筋コンクリート造</v>
      </c>
      <c r="L7652" s="8" t="str">
        <f>"S57.02.05"</f>
        <v>S57.02.05</v>
      </c>
      <c r="M7652" s="8">
        <v>3230.16</v>
      </c>
      <c r="N7652" s="8">
        <v>873427279</v>
      </c>
      <c r="O7652" s="8">
        <v>643232069</v>
      </c>
      <c r="P7652" s="8">
        <v>0</v>
      </c>
      <c r="Q7652" s="8" t="str">
        <f t="shared" si="2736"/>
        <v>公安委員会</v>
      </c>
      <c r="R7652" s="8" t="str">
        <f t="shared" ref="R7652:R7665" si="2750">"東淀川警察署"</f>
        <v>東淀川警察署</v>
      </c>
    </row>
    <row r="7653" spans="1:18" x14ac:dyDescent="0.45">
      <c r="A7653" s="8" t="str">
        <f>"11550000000"</f>
        <v>11550000000</v>
      </c>
      <c r="B7653" s="8" t="str">
        <f>"東淀川警察署"</f>
        <v>東淀川警察署</v>
      </c>
      <c r="C7653" s="8" t="str">
        <f t="shared" si="2738"/>
        <v>行政財産</v>
      </c>
      <c r="D7653" s="8" t="str">
        <f t="shared" si="2739"/>
        <v>警察（消防）施設</v>
      </c>
      <c r="E7653" s="8" t="str">
        <f>"大阪府大阪市　東淀川区豊新１丁目"</f>
        <v>大阪府大阪市　東淀川区豊新１丁目</v>
      </c>
      <c r="F7653" s="8"/>
      <c r="G7653" s="8" t="str">
        <f t="shared" si="2749"/>
        <v>事業用資産</v>
      </c>
      <c r="H7653" s="8" t="str">
        <f t="shared" si="2744"/>
        <v>棚卸以外</v>
      </c>
      <c r="I7653" s="8">
        <v>23</v>
      </c>
      <c r="J7653" s="8" t="str">
        <f>"大型車庫"</f>
        <v>大型車庫</v>
      </c>
      <c r="K7653" s="8" t="str">
        <f>"鉄骨造"</f>
        <v>鉄骨造</v>
      </c>
      <c r="L7653" s="8" t="str">
        <f>"S57.02.05"</f>
        <v>S57.02.05</v>
      </c>
      <c r="M7653" s="8">
        <v>179.89</v>
      </c>
      <c r="N7653" s="8">
        <v>20647448</v>
      </c>
      <c r="O7653" s="8">
        <v>20615967</v>
      </c>
      <c r="P7653" s="8">
        <v>0</v>
      </c>
      <c r="Q7653" s="8" t="str">
        <f t="shared" si="2736"/>
        <v>公安委員会</v>
      </c>
      <c r="R7653" s="8" t="str">
        <f t="shared" si="2750"/>
        <v>東淀川警察署</v>
      </c>
    </row>
    <row r="7654" spans="1:18" x14ac:dyDescent="0.45">
      <c r="A7654" s="8" t="str">
        <f>"11550000000"</f>
        <v>11550000000</v>
      </c>
      <c r="B7654" s="8" t="str">
        <f>"東淀川警察署"</f>
        <v>東淀川警察署</v>
      </c>
      <c r="C7654" s="8" t="str">
        <f t="shared" si="2738"/>
        <v>行政財産</v>
      </c>
      <c r="D7654" s="8" t="str">
        <f t="shared" si="2739"/>
        <v>警察（消防）施設</v>
      </c>
      <c r="E7654" s="8" t="str">
        <f>"大阪府大阪市　東淀川区豊新１丁目"</f>
        <v>大阪府大阪市　東淀川区豊新１丁目</v>
      </c>
      <c r="F7654" s="8"/>
      <c r="G7654" s="8" t="str">
        <f t="shared" si="2749"/>
        <v>事業用資産</v>
      </c>
      <c r="H7654" s="8" t="str">
        <f t="shared" si="2744"/>
        <v>棚卸以外</v>
      </c>
      <c r="I7654" s="8">
        <v>24</v>
      </c>
      <c r="J7654" s="8" t="str">
        <f>"霊安室及び工具庫"</f>
        <v>霊安室及び工具庫</v>
      </c>
      <c r="K7654" s="8" t="str">
        <f>"鉄骨造"</f>
        <v>鉄骨造</v>
      </c>
      <c r="L7654" s="8" t="str">
        <f>"S57.02.05"</f>
        <v>S57.02.05</v>
      </c>
      <c r="M7654" s="8">
        <v>12.5</v>
      </c>
      <c r="N7654" s="8">
        <v>1041100</v>
      </c>
      <c r="O7654" s="8">
        <v>997755</v>
      </c>
      <c r="P7654" s="8">
        <v>0</v>
      </c>
      <c r="Q7654" s="8" t="str">
        <f t="shared" si="2736"/>
        <v>公安委員会</v>
      </c>
      <c r="R7654" s="8" t="str">
        <f t="shared" si="2750"/>
        <v>東淀川警察署</v>
      </c>
    </row>
    <row r="7655" spans="1:18" x14ac:dyDescent="0.45">
      <c r="A7655" s="8" t="str">
        <f>"11550000000"</f>
        <v>11550000000</v>
      </c>
      <c r="B7655" s="8" t="str">
        <f>"東淀川警察署"</f>
        <v>東淀川警察署</v>
      </c>
      <c r="C7655" s="8" t="str">
        <f t="shared" si="2738"/>
        <v>行政財産</v>
      </c>
      <c r="D7655" s="8" t="str">
        <f t="shared" si="2739"/>
        <v>警察（消防）施設</v>
      </c>
      <c r="E7655" s="8" t="str">
        <f>"大阪府大阪市　東淀川区豊新１丁目"</f>
        <v>大阪府大阪市　東淀川区豊新１丁目</v>
      </c>
      <c r="F7655" s="8"/>
      <c r="G7655" s="8" t="str">
        <f t="shared" si="2749"/>
        <v>事業用資産</v>
      </c>
      <c r="H7655" s="8" t="str">
        <f t="shared" si="2744"/>
        <v>棚卸以外</v>
      </c>
      <c r="I7655" s="8">
        <v>26</v>
      </c>
      <c r="J7655" s="8" t="str">
        <f>"油庫及びゴミ置場"</f>
        <v>油庫及びゴミ置場</v>
      </c>
      <c r="K7655" s="8" t="str">
        <f>"鉄筋コンクリート造"</f>
        <v>鉄筋コンクリート造</v>
      </c>
      <c r="L7655" s="8" t="str">
        <f>"S57.02.05"</f>
        <v>S57.02.05</v>
      </c>
      <c r="M7655" s="8">
        <v>14.52</v>
      </c>
      <c r="N7655" s="8">
        <v>2013000</v>
      </c>
      <c r="O7655" s="8">
        <v>2012999</v>
      </c>
      <c r="P7655" s="8">
        <v>0</v>
      </c>
      <c r="Q7655" s="8" t="str">
        <f t="shared" si="2736"/>
        <v>公安委員会</v>
      </c>
      <c r="R7655" s="8" t="str">
        <f t="shared" si="2750"/>
        <v>東淀川警察署</v>
      </c>
    </row>
    <row r="7656" spans="1:18" x14ac:dyDescent="0.45">
      <c r="A7656" s="8" t="str">
        <f>"11550000000"</f>
        <v>11550000000</v>
      </c>
      <c r="B7656" s="8" t="str">
        <f>"東淀川警察署"</f>
        <v>東淀川警察署</v>
      </c>
      <c r="C7656" s="8" t="str">
        <f t="shared" si="2738"/>
        <v>行政財産</v>
      </c>
      <c r="D7656" s="8" t="str">
        <f t="shared" si="2739"/>
        <v>警察（消防）施設</v>
      </c>
      <c r="E7656" s="8" t="str">
        <f>"大阪府大阪市　東淀川区豊新１丁目"</f>
        <v>大阪府大阪市　東淀川区豊新１丁目</v>
      </c>
      <c r="F7656" s="8"/>
      <c r="G7656" s="8" t="str">
        <f t="shared" si="2749"/>
        <v>事業用資産</v>
      </c>
      <c r="H7656" s="8" t="str">
        <f t="shared" si="2744"/>
        <v>棚卸以外</v>
      </c>
      <c r="I7656" s="8">
        <v>27</v>
      </c>
      <c r="J7656" s="8" t="str">
        <f>"署長公舎"</f>
        <v>署長公舎</v>
      </c>
      <c r="K7656" s="8" t="str">
        <f>"鉄筋コンクリート造"</f>
        <v>鉄筋コンクリート造</v>
      </c>
      <c r="L7656" s="8" t="str">
        <f>"S57.02.05"</f>
        <v>S57.02.05</v>
      </c>
      <c r="M7656" s="8">
        <v>86.06</v>
      </c>
      <c r="N7656" s="8">
        <v>20509088</v>
      </c>
      <c r="O7656" s="8">
        <v>17914657</v>
      </c>
      <c r="P7656" s="8">
        <v>0</v>
      </c>
      <c r="Q7656" s="8" t="str">
        <f t="shared" si="2736"/>
        <v>公安委員会</v>
      </c>
      <c r="R7656" s="8" t="str">
        <f t="shared" si="2750"/>
        <v>東淀川警察署</v>
      </c>
    </row>
    <row r="7657" spans="1:18" x14ac:dyDescent="0.45">
      <c r="A7657" s="8" t="str">
        <f>"11550000170"</f>
        <v>11550000170</v>
      </c>
      <c r="B7657" s="8" t="str">
        <f>"豊里交番"</f>
        <v>豊里交番</v>
      </c>
      <c r="C7657" s="8" t="str">
        <f t="shared" si="2738"/>
        <v>行政財産</v>
      </c>
      <c r="D7657" s="8" t="str">
        <f t="shared" si="2739"/>
        <v>警察（消防）施設</v>
      </c>
      <c r="E7657" s="8" t="str">
        <f>"大阪府大阪市　東淀川区豊里５丁目"</f>
        <v>大阪府大阪市　東淀川区豊里５丁目</v>
      </c>
      <c r="F7657" s="8"/>
      <c r="G7657" s="8" t="str">
        <f t="shared" si="2749"/>
        <v>事業用資産</v>
      </c>
      <c r="H7657" s="8" t="str">
        <f t="shared" si="2744"/>
        <v>棚卸以外</v>
      </c>
      <c r="I7657" s="8">
        <v>3</v>
      </c>
      <c r="J7657" s="8" t="str">
        <f>"豊里交番"</f>
        <v>豊里交番</v>
      </c>
      <c r="K7657" s="8" t="str">
        <f>"鉄骨造"</f>
        <v>鉄骨造</v>
      </c>
      <c r="L7657" s="8" t="str">
        <f>"H20.02.22"</f>
        <v>H20.02.22</v>
      </c>
      <c r="M7657" s="8">
        <v>54</v>
      </c>
      <c r="N7657" s="8">
        <v>16049655</v>
      </c>
      <c r="O7657" s="8">
        <v>6351392</v>
      </c>
      <c r="P7657" s="8">
        <v>0</v>
      </c>
      <c r="Q7657" s="8" t="str">
        <f t="shared" si="2736"/>
        <v>公安委員会</v>
      </c>
      <c r="R7657" s="8" t="str">
        <f t="shared" si="2750"/>
        <v>東淀川警察署</v>
      </c>
    </row>
    <row r="7658" spans="1:18" x14ac:dyDescent="0.45">
      <c r="A7658" s="8" t="str">
        <f>"11550000240"</f>
        <v>11550000240</v>
      </c>
      <c r="B7658" s="8" t="str">
        <f>"井高野交番"</f>
        <v>井高野交番</v>
      </c>
      <c r="C7658" s="8" t="str">
        <f t="shared" si="2738"/>
        <v>行政財産</v>
      </c>
      <c r="D7658" s="8" t="str">
        <f t="shared" si="2739"/>
        <v>警察（消防）施設</v>
      </c>
      <c r="E7658" s="8" t="str">
        <f>"大阪府大阪市　東淀川区井高野１丁目"</f>
        <v>大阪府大阪市　東淀川区井高野１丁目</v>
      </c>
      <c r="F7658" s="8"/>
      <c r="G7658" s="8" t="str">
        <f t="shared" si="2749"/>
        <v>事業用資産</v>
      </c>
      <c r="H7658" s="8" t="str">
        <f t="shared" si="2744"/>
        <v>棚卸以外</v>
      </c>
      <c r="I7658" s="8">
        <v>2</v>
      </c>
      <c r="J7658" s="8" t="str">
        <f>"井高野交番"</f>
        <v>井高野交番</v>
      </c>
      <c r="K7658" s="8" t="str">
        <f>"鉄筋コンクリート造"</f>
        <v>鉄筋コンクリート造</v>
      </c>
      <c r="L7658" s="8" t="str">
        <f>"H02.03.01"</f>
        <v>H02.03.01</v>
      </c>
      <c r="M7658" s="8">
        <v>53.36</v>
      </c>
      <c r="N7658" s="8">
        <v>18207656</v>
      </c>
      <c r="O7658" s="8">
        <v>11983865</v>
      </c>
      <c r="P7658" s="8">
        <v>0</v>
      </c>
      <c r="Q7658" s="8" t="str">
        <f t="shared" si="2736"/>
        <v>公安委員会</v>
      </c>
      <c r="R7658" s="8" t="str">
        <f t="shared" si="2750"/>
        <v>東淀川警察署</v>
      </c>
    </row>
    <row r="7659" spans="1:18" x14ac:dyDescent="0.45">
      <c r="A7659" s="8" t="str">
        <f>"11550000250"</f>
        <v>11550000250</v>
      </c>
      <c r="B7659" s="8" t="str">
        <f>"淡路交番"</f>
        <v>淡路交番</v>
      </c>
      <c r="C7659" s="8" t="str">
        <f t="shared" si="2738"/>
        <v>行政財産</v>
      </c>
      <c r="D7659" s="8" t="str">
        <f t="shared" si="2739"/>
        <v>警察（消防）施設</v>
      </c>
      <c r="E7659" s="8" t="str">
        <f>"大阪府大阪市　東淀川区淡路３丁目"</f>
        <v>大阪府大阪市　東淀川区淡路３丁目</v>
      </c>
      <c r="F7659" s="8"/>
      <c r="G7659" s="8" t="str">
        <f t="shared" si="2749"/>
        <v>事業用資産</v>
      </c>
      <c r="H7659" s="8" t="str">
        <f t="shared" si="2744"/>
        <v>棚卸以外</v>
      </c>
      <c r="I7659" s="8">
        <v>2</v>
      </c>
      <c r="J7659" s="8" t="str">
        <f>"淡路交番"</f>
        <v>淡路交番</v>
      </c>
      <c r="K7659" s="8" t="str">
        <f>"軽量鉄骨造"</f>
        <v>軽量鉄骨造</v>
      </c>
      <c r="L7659" s="8" t="str">
        <f>"H25.03.29"</f>
        <v>H25.03.29</v>
      </c>
      <c r="M7659" s="8">
        <v>60.6</v>
      </c>
      <c r="N7659" s="8">
        <v>18029368</v>
      </c>
      <c r="O7659" s="8">
        <v>6972529</v>
      </c>
      <c r="P7659" s="8">
        <v>0</v>
      </c>
      <c r="Q7659" s="8" t="str">
        <f t="shared" si="2736"/>
        <v>公安委員会</v>
      </c>
      <c r="R7659" s="8" t="str">
        <f t="shared" si="2750"/>
        <v>東淀川警察署</v>
      </c>
    </row>
    <row r="7660" spans="1:18" x14ac:dyDescent="0.45">
      <c r="A7660" s="8" t="str">
        <f>"11550000250"</f>
        <v>11550000250</v>
      </c>
      <c r="B7660" s="8" t="str">
        <f>"淡路交番"</f>
        <v>淡路交番</v>
      </c>
      <c r="C7660" s="8" t="str">
        <f t="shared" si="2738"/>
        <v>行政財産</v>
      </c>
      <c r="D7660" s="8" t="str">
        <f t="shared" si="2739"/>
        <v>警察（消防）施設</v>
      </c>
      <c r="E7660" s="8" t="str">
        <f>"大阪府大阪市　東淀川区淡路３丁目"</f>
        <v>大阪府大阪市　東淀川区淡路３丁目</v>
      </c>
      <c r="F7660" s="8"/>
      <c r="G7660" s="8" t="str">
        <f t="shared" si="2749"/>
        <v>事業用資産</v>
      </c>
      <c r="H7660" s="8" t="str">
        <f t="shared" si="2744"/>
        <v>棚卸以外</v>
      </c>
      <c r="I7660" s="8">
        <v>3</v>
      </c>
      <c r="J7660" s="8" t="str">
        <f>"防災倉庫"</f>
        <v>防災倉庫</v>
      </c>
      <c r="K7660" s="8" t="str">
        <f>"土蔵造(簡易建物)"</f>
        <v>土蔵造(簡易建物)</v>
      </c>
      <c r="L7660" s="8" t="str">
        <f>"H25.03.29"</f>
        <v>H25.03.29</v>
      </c>
      <c r="M7660" s="8">
        <v>1.96</v>
      </c>
      <c r="N7660" s="8">
        <v>199294</v>
      </c>
      <c r="O7660" s="8">
        <v>83040</v>
      </c>
      <c r="P7660" s="8">
        <v>0</v>
      </c>
      <c r="Q7660" s="8" t="str">
        <f t="shared" si="2736"/>
        <v>公安委員会</v>
      </c>
      <c r="R7660" s="8" t="str">
        <f t="shared" si="2750"/>
        <v>東淀川警察署</v>
      </c>
    </row>
    <row r="7661" spans="1:18" x14ac:dyDescent="0.45">
      <c r="A7661" s="8" t="str">
        <f>"11550000290"</f>
        <v>11550000290</v>
      </c>
      <c r="B7661" s="8" t="str">
        <f>"大隅交番"</f>
        <v>大隅交番</v>
      </c>
      <c r="C7661" s="8" t="str">
        <f t="shared" si="2738"/>
        <v>行政財産</v>
      </c>
      <c r="D7661" s="8" t="str">
        <f t="shared" si="2739"/>
        <v>警察（消防）施設</v>
      </c>
      <c r="E7661" s="8" t="str">
        <f>"大阪府大阪市　東淀川区大隅２丁目"</f>
        <v>大阪府大阪市　東淀川区大隅２丁目</v>
      </c>
      <c r="F7661" s="8"/>
      <c r="G7661" s="8" t="str">
        <f t="shared" si="2749"/>
        <v>事業用資産</v>
      </c>
      <c r="H7661" s="8" t="str">
        <f t="shared" si="2744"/>
        <v>棚卸以外</v>
      </c>
      <c r="I7661" s="8">
        <v>1</v>
      </c>
      <c r="J7661" s="8" t="str">
        <f>"大隅交番"</f>
        <v>大隅交番</v>
      </c>
      <c r="K7661" s="8" t="str">
        <f>"鉄筋コンクリート造"</f>
        <v>鉄筋コンクリート造</v>
      </c>
      <c r="L7661" s="8" t="str">
        <f>"S46.03.30"</f>
        <v>S46.03.30</v>
      </c>
      <c r="M7661" s="8">
        <v>77.47</v>
      </c>
      <c r="N7661" s="8">
        <v>4631305</v>
      </c>
      <c r="O7661" s="8">
        <v>4588728</v>
      </c>
      <c r="P7661" s="8">
        <v>0</v>
      </c>
      <c r="Q7661" s="8" t="str">
        <f t="shared" si="2736"/>
        <v>公安委員会</v>
      </c>
      <c r="R7661" s="8" t="str">
        <f t="shared" si="2750"/>
        <v>東淀川警察署</v>
      </c>
    </row>
    <row r="7662" spans="1:18" x14ac:dyDescent="0.45">
      <c r="A7662" s="8" t="str">
        <f>"11550000310"</f>
        <v>11550000310</v>
      </c>
      <c r="B7662" s="8" t="str">
        <f>"新大阪駅東交番"</f>
        <v>新大阪駅東交番</v>
      </c>
      <c r="C7662" s="8" t="str">
        <f t="shared" si="2738"/>
        <v>行政財産</v>
      </c>
      <c r="D7662" s="8" t="str">
        <f t="shared" si="2739"/>
        <v>警察（消防）施設</v>
      </c>
      <c r="E7662" s="8" t="str">
        <f>"大阪府大阪市　東淀川区東中島１丁目"</f>
        <v>大阪府大阪市　東淀川区東中島１丁目</v>
      </c>
      <c r="F7662" s="8"/>
      <c r="G7662" s="8" t="str">
        <f t="shared" si="2749"/>
        <v>事業用資産</v>
      </c>
      <c r="H7662" s="8" t="str">
        <f t="shared" si="2744"/>
        <v>棚卸以外</v>
      </c>
      <c r="I7662" s="8">
        <v>1</v>
      </c>
      <c r="J7662" s="8" t="str">
        <f>"新大阪駅東交番"</f>
        <v>新大阪駅東交番</v>
      </c>
      <c r="K7662" s="8" t="str">
        <f>"鉄筋コンクリート造"</f>
        <v>鉄筋コンクリート造</v>
      </c>
      <c r="L7662" s="8" t="str">
        <f>"S49.11.08"</f>
        <v>S49.11.08</v>
      </c>
      <c r="M7662" s="8">
        <v>50.4</v>
      </c>
      <c r="N7662" s="8">
        <v>7195886</v>
      </c>
      <c r="O7662" s="8">
        <v>6907914</v>
      </c>
      <c r="P7662" s="8">
        <v>0</v>
      </c>
      <c r="Q7662" s="8" t="str">
        <f t="shared" si="2736"/>
        <v>公安委員会</v>
      </c>
      <c r="R7662" s="8" t="str">
        <f t="shared" si="2750"/>
        <v>東淀川警察署</v>
      </c>
    </row>
    <row r="7663" spans="1:18" x14ac:dyDescent="0.45">
      <c r="A7663" s="8" t="str">
        <f>"11550000320"</f>
        <v>11550000320</v>
      </c>
      <c r="B7663" s="8" t="str">
        <f>"菅原交番"</f>
        <v>菅原交番</v>
      </c>
      <c r="C7663" s="8" t="str">
        <f t="shared" si="2738"/>
        <v>行政財産</v>
      </c>
      <c r="D7663" s="8" t="str">
        <f t="shared" si="2739"/>
        <v>警察（消防）施設</v>
      </c>
      <c r="E7663" s="8" t="str">
        <f>"大阪府大阪市　東淀川区菅原２丁目"</f>
        <v>大阪府大阪市　東淀川区菅原２丁目</v>
      </c>
      <c r="F7663" s="8"/>
      <c r="G7663" s="8" t="str">
        <f t="shared" si="2749"/>
        <v>事業用資産</v>
      </c>
      <c r="H7663" s="8" t="str">
        <f t="shared" si="2744"/>
        <v>棚卸以外</v>
      </c>
      <c r="I7663" s="8">
        <v>1</v>
      </c>
      <c r="J7663" s="8" t="str">
        <f>"菅原交番"</f>
        <v>菅原交番</v>
      </c>
      <c r="K7663" s="8" t="str">
        <f>"鉄筋コンクリート造"</f>
        <v>鉄筋コンクリート造</v>
      </c>
      <c r="L7663" s="8" t="str">
        <f>"S53.03.31"</f>
        <v>S53.03.31</v>
      </c>
      <c r="M7663" s="8">
        <v>72.680000000000007</v>
      </c>
      <c r="N7663" s="8">
        <v>14442856</v>
      </c>
      <c r="O7663" s="8">
        <v>12960130</v>
      </c>
      <c r="P7663" s="8">
        <v>0</v>
      </c>
      <c r="Q7663" s="8" t="str">
        <f t="shared" si="2736"/>
        <v>公安委員会</v>
      </c>
      <c r="R7663" s="8" t="str">
        <f t="shared" si="2750"/>
        <v>東淀川警察署</v>
      </c>
    </row>
    <row r="7664" spans="1:18" x14ac:dyDescent="0.45">
      <c r="A7664" s="8" t="str">
        <f>"11550000340"</f>
        <v>11550000340</v>
      </c>
      <c r="B7664" s="8" t="str">
        <f>"崇禅寺駅前交番"</f>
        <v>崇禅寺駅前交番</v>
      </c>
      <c r="C7664" s="8" t="str">
        <f t="shared" si="2738"/>
        <v>行政財産</v>
      </c>
      <c r="D7664" s="8" t="str">
        <f t="shared" si="2739"/>
        <v>警察（消防）施設</v>
      </c>
      <c r="E7664" s="8" t="str">
        <f>"大阪府大阪市　東淀川区東中島３丁目"</f>
        <v>大阪府大阪市　東淀川区東中島３丁目</v>
      </c>
      <c r="F7664" s="8"/>
      <c r="G7664" s="8" t="str">
        <f t="shared" si="2749"/>
        <v>事業用資産</v>
      </c>
      <c r="H7664" s="8" t="str">
        <f t="shared" si="2744"/>
        <v>棚卸以外</v>
      </c>
      <c r="I7664" s="8">
        <v>1</v>
      </c>
      <c r="J7664" s="8" t="str">
        <f>"崇禅寺駅前交番"</f>
        <v>崇禅寺駅前交番</v>
      </c>
      <c r="K7664" s="8" t="str">
        <f>"鉄骨造"</f>
        <v>鉄骨造</v>
      </c>
      <c r="L7664" s="8" t="str">
        <f>"H05.10.22"</f>
        <v>H05.10.22</v>
      </c>
      <c r="M7664" s="8">
        <v>53.9</v>
      </c>
      <c r="N7664" s="8">
        <v>20948956</v>
      </c>
      <c r="O7664" s="8">
        <v>16183312</v>
      </c>
      <c r="P7664" s="8">
        <v>0</v>
      </c>
      <c r="Q7664" s="8" t="str">
        <f t="shared" si="2736"/>
        <v>公安委員会</v>
      </c>
      <c r="R7664" s="8" t="str">
        <f t="shared" si="2750"/>
        <v>東淀川警察署</v>
      </c>
    </row>
    <row r="7665" spans="1:18" x14ac:dyDescent="0.45">
      <c r="A7665" s="8" t="str">
        <f>"11550000340"</f>
        <v>11550000340</v>
      </c>
      <c r="B7665" s="8" t="str">
        <f>"崇禅寺駅前交番"</f>
        <v>崇禅寺駅前交番</v>
      </c>
      <c r="C7665" s="8" t="str">
        <f t="shared" si="2738"/>
        <v>行政財産</v>
      </c>
      <c r="D7665" s="8" t="str">
        <f t="shared" si="2739"/>
        <v>警察（消防）施設</v>
      </c>
      <c r="E7665" s="8" t="str">
        <f>"大阪府大阪市　東淀川区東中島３丁目"</f>
        <v>大阪府大阪市　東淀川区東中島３丁目</v>
      </c>
      <c r="F7665" s="8"/>
      <c r="G7665" s="8" t="str">
        <f t="shared" si="2749"/>
        <v>事業用資産</v>
      </c>
      <c r="H7665" s="8" t="str">
        <f t="shared" si="2744"/>
        <v>棚卸以外</v>
      </c>
      <c r="I7665" s="8">
        <v>2</v>
      </c>
      <c r="J7665" s="8" t="str">
        <f>"自転車置場"</f>
        <v>自転車置場</v>
      </c>
      <c r="K7665" s="8" t="str">
        <f>"鉄骨造"</f>
        <v>鉄骨造</v>
      </c>
      <c r="L7665" s="8" t="str">
        <f>"H05.10.22"</f>
        <v>H05.10.22</v>
      </c>
      <c r="M7665" s="8">
        <v>6</v>
      </c>
      <c r="N7665" s="8">
        <v>274000</v>
      </c>
      <c r="O7665" s="8">
        <v>260161</v>
      </c>
      <c r="P7665" s="8">
        <v>0</v>
      </c>
      <c r="Q7665" s="8" t="str">
        <f t="shared" si="2736"/>
        <v>公安委員会</v>
      </c>
      <c r="R7665" s="8" t="str">
        <f t="shared" si="2750"/>
        <v>東淀川警察署</v>
      </c>
    </row>
    <row r="7666" spans="1:18" x14ac:dyDescent="0.45">
      <c r="A7666" s="8" t="str">
        <f t="shared" ref="A7666:A7674" si="2751">"11551000000"</f>
        <v>11551000000</v>
      </c>
      <c r="B7666" s="8" t="str">
        <f t="shared" ref="B7666:B7674" si="2752">"高槻警察署"</f>
        <v>高槻警察署</v>
      </c>
      <c r="C7666" s="8" t="str">
        <f t="shared" si="2738"/>
        <v>行政財産</v>
      </c>
      <c r="D7666" s="8" t="str">
        <f t="shared" si="2739"/>
        <v>警察（消防）施設</v>
      </c>
      <c r="E7666" s="8" t="str">
        <f t="shared" ref="E7666:E7674" si="2753">"大阪府高槻市野見町"</f>
        <v>大阪府高槻市野見町</v>
      </c>
      <c r="F7666" s="8"/>
      <c r="G7666" s="8" t="str">
        <f t="shared" si="2749"/>
        <v>事業用資産</v>
      </c>
      <c r="H7666" s="8" t="str">
        <f t="shared" si="2744"/>
        <v>棚卸以外</v>
      </c>
      <c r="I7666" s="8">
        <v>17</v>
      </c>
      <c r="J7666" s="8" t="str">
        <f>"庁舎"</f>
        <v>庁舎</v>
      </c>
      <c r="K7666" s="8" t="str">
        <f>"鉄筋コンクリート造"</f>
        <v>鉄筋コンクリート造</v>
      </c>
      <c r="L7666" s="8" t="str">
        <f>"S47.09.16"</f>
        <v>S47.09.16</v>
      </c>
      <c r="M7666" s="8">
        <v>2497.61</v>
      </c>
      <c r="N7666" s="8">
        <v>505899105</v>
      </c>
      <c r="O7666" s="8">
        <v>294003548</v>
      </c>
      <c r="P7666" s="8">
        <v>0</v>
      </c>
      <c r="Q7666" s="8" t="str">
        <f t="shared" si="2736"/>
        <v>公安委員会</v>
      </c>
      <c r="R7666" s="8" t="str">
        <f t="shared" ref="R7666:R7699" si="2754">"高槻警察署"</f>
        <v>高槻警察署</v>
      </c>
    </row>
    <row r="7667" spans="1:18" x14ac:dyDescent="0.45">
      <c r="A7667" s="8" t="str">
        <f t="shared" si="2751"/>
        <v>11551000000</v>
      </c>
      <c r="B7667" s="8" t="str">
        <f t="shared" si="2752"/>
        <v>高槻警察署</v>
      </c>
      <c r="C7667" s="8" t="str">
        <f t="shared" si="2738"/>
        <v>行政財産</v>
      </c>
      <c r="D7667" s="8" t="str">
        <f t="shared" si="2739"/>
        <v>警察（消防）施設</v>
      </c>
      <c r="E7667" s="8" t="str">
        <f t="shared" si="2753"/>
        <v>大阪府高槻市野見町</v>
      </c>
      <c r="F7667" s="8"/>
      <c r="G7667" s="8" t="str">
        <f t="shared" si="2749"/>
        <v>事業用資産</v>
      </c>
      <c r="H7667" s="8" t="str">
        <f t="shared" si="2744"/>
        <v>棚卸以外</v>
      </c>
      <c r="I7667" s="8">
        <v>18</v>
      </c>
      <c r="J7667" s="8" t="str">
        <f>"車庫及び食堂"</f>
        <v>車庫及び食堂</v>
      </c>
      <c r="K7667" s="8" t="str">
        <f>"鉄骨造"</f>
        <v>鉄骨造</v>
      </c>
      <c r="L7667" s="8" t="str">
        <f>"S47.09.16"</f>
        <v>S47.09.16</v>
      </c>
      <c r="M7667" s="8">
        <v>144.41999999999999</v>
      </c>
      <c r="N7667" s="8">
        <v>8811705</v>
      </c>
      <c r="O7667" s="8">
        <v>8811704</v>
      </c>
      <c r="P7667" s="8">
        <v>0</v>
      </c>
      <c r="Q7667" s="8" t="str">
        <f t="shared" ref="Q7667:Q7730" si="2755">"公安委員会"</f>
        <v>公安委員会</v>
      </c>
      <c r="R7667" s="8" t="str">
        <f t="shared" si="2754"/>
        <v>高槻警察署</v>
      </c>
    </row>
    <row r="7668" spans="1:18" x14ac:dyDescent="0.45">
      <c r="A7668" s="8" t="str">
        <f t="shared" si="2751"/>
        <v>11551000000</v>
      </c>
      <c r="B7668" s="8" t="str">
        <f t="shared" si="2752"/>
        <v>高槻警察署</v>
      </c>
      <c r="C7668" s="8" t="str">
        <f t="shared" si="2738"/>
        <v>行政財産</v>
      </c>
      <c r="D7668" s="8" t="str">
        <f t="shared" si="2739"/>
        <v>警察（消防）施設</v>
      </c>
      <c r="E7668" s="8" t="str">
        <f t="shared" si="2753"/>
        <v>大阪府高槻市野見町</v>
      </c>
      <c r="F7668" s="8"/>
      <c r="G7668" s="8" t="str">
        <f t="shared" si="2749"/>
        <v>事業用資産</v>
      </c>
      <c r="H7668" s="8" t="str">
        <f t="shared" si="2744"/>
        <v>棚卸以外</v>
      </c>
      <c r="I7668" s="8">
        <v>19</v>
      </c>
      <c r="J7668" s="8" t="str">
        <f>"倉庫（Ａ）"</f>
        <v>倉庫（Ａ）</v>
      </c>
      <c r="K7668" s="8" t="str">
        <f>"鉄骨造"</f>
        <v>鉄骨造</v>
      </c>
      <c r="L7668" s="8" t="str">
        <f>"S47.09.16"</f>
        <v>S47.09.16</v>
      </c>
      <c r="M7668" s="8">
        <v>51</v>
      </c>
      <c r="N7668" s="8">
        <v>2979295</v>
      </c>
      <c r="O7668" s="8">
        <v>2240794</v>
      </c>
      <c r="P7668" s="8">
        <v>0</v>
      </c>
      <c r="Q7668" s="8" t="str">
        <f t="shared" si="2755"/>
        <v>公安委員会</v>
      </c>
      <c r="R7668" s="8" t="str">
        <f t="shared" si="2754"/>
        <v>高槻警察署</v>
      </c>
    </row>
    <row r="7669" spans="1:18" x14ac:dyDescent="0.45">
      <c r="A7669" s="8" t="str">
        <f t="shared" si="2751"/>
        <v>11551000000</v>
      </c>
      <c r="B7669" s="8" t="str">
        <f t="shared" si="2752"/>
        <v>高槻警察署</v>
      </c>
      <c r="C7669" s="8" t="str">
        <f t="shared" si="2738"/>
        <v>行政財産</v>
      </c>
      <c r="D7669" s="8" t="str">
        <f t="shared" si="2739"/>
        <v>警察（消防）施設</v>
      </c>
      <c r="E7669" s="8" t="str">
        <f t="shared" si="2753"/>
        <v>大阪府高槻市野見町</v>
      </c>
      <c r="F7669" s="8"/>
      <c r="G7669" s="8" t="str">
        <f t="shared" si="2749"/>
        <v>事業用資産</v>
      </c>
      <c r="H7669" s="8" t="str">
        <f t="shared" si="2744"/>
        <v>棚卸以外</v>
      </c>
      <c r="I7669" s="8">
        <v>20</v>
      </c>
      <c r="J7669" s="8" t="str">
        <f>"署長公舎"</f>
        <v>署長公舎</v>
      </c>
      <c r="K7669" s="8" t="str">
        <f>"木造"</f>
        <v>木造</v>
      </c>
      <c r="L7669" s="8" t="str">
        <f>"S47.09.16"</f>
        <v>S47.09.16</v>
      </c>
      <c r="M7669" s="8">
        <v>82.24</v>
      </c>
      <c r="N7669" s="8">
        <v>5311000</v>
      </c>
      <c r="O7669" s="8">
        <v>5310999</v>
      </c>
      <c r="P7669" s="8">
        <v>0</v>
      </c>
      <c r="Q7669" s="8" t="str">
        <f t="shared" si="2755"/>
        <v>公安委員会</v>
      </c>
      <c r="R7669" s="8" t="str">
        <f t="shared" si="2754"/>
        <v>高槻警察署</v>
      </c>
    </row>
    <row r="7670" spans="1:18" x14ac:dyDescent="0.45">
      <c r="A7670" s="8" t="str">
        <f t="shared" si="2751"/>
        <v>11551000000</v>
      </c>
      <c r="B7670" s="8" t="str">
        <f t="shared" si="2752"/>
        <v>高槻警察署</v>
      </c>
      <c r="C7670" s="8" t="str">
        <f t="shared" ref="C7670:C7733" si="2756">"行政財産"</f>
        <v>行政財産</v>
      </c>
      <c r="D7670" s="8" t="str">
        <f t="shared" si="2739"/>
        <v>警察（消防）施設</v>
      </c>
      <c r="E7670" s="8" t="str">
        <f t="shared" si="2753"/>
        <v>大阪府高槻市野見町</v>
      </c>
      <c r="F7670" s="8"/>
      <c r="G7670" s="8" t="str">
        <f t="shared" si="2749"/>
        <v>事業用資産</v>
      </c>
      <c r="H7670" s="8" t="str">
        <f t="shared" si="2744"/>
        <v>棚卸以外</v>
      </c>
      <c r="I7670" s="8">
        <v>23</v>
      </c>
      <c r="J7670" s="8" t="str">
        <f>"ゴミ収納庫"</f>
        <v>ゴミ収納庫</v>
      </c>
      <c r="K7670" s="8" t="str">
        <f>"木造"</f>
        <v>木造</v>
      </c>
      <c r="L7670" s="8" t="str">
        <f>"H05.10.06"</f>
        <v>H05.10.06</v>
      </c>
      <c r="M7670" s="8">
        <v>6.57</v>
      </c>
      <c r="N7670" s="8">
        <v>268000</v>
      </c>
      <c r="O7670" s="8">
        <v>267999</v>
      </c>
      <c r="P7670" s="8">
        <v>0</v>
      </c>
      <c r="Q7670" s="8" t="str">
        <f t="shared" si="2755"/>
        <v>公安委員会</v>
      </c>
      <c r="R7670" s="8" t="str">
        <f t="shared" si="2754"/>
        <v>高槻警察署</v>
      </c>
    </row>
    <row r="7671" spans="1:18" x14ac:dyDescent="0.45">
      <c r="A7671" s="8" t="str">
        <f t="shared" si="2751"/>
        <v>11551000000</v>
      </c>
      <c r="B7671" s="8" t="str">
        <f t="shared" si="2752"/>
        <v>高槻警察署</v>
      </c>
      <c r="C7671" s="8" t="str">
        <f t="shared" si="2756"/>
        <v>行政財産</v>
      </c>
      <c r="D7671" s="8" t="str">
        <f t="shared" si="2739"/>
        <v>警察（消防）施設</v>
      </c>
      <c r="E7671" s="8" t="str">
        <f t="shared" si="2753"/>
        <v>大阪府高槻市野見町</v>
      </c>
      <c r="F7671" s="8"/>
      <c r="G7671" s="8" t="str">
        <f t="shared" si="2749"/>
        <v>事業用資産</v>
      </c>
      <c r="H7671" s="8" t="str">
        <f t="shared" si="2744"/>
        <v>棚卸以外</v>
      </c>
      <c r="I7671" s="8">
        <v>24</v>
      </c>
      <c r="J7671" s="8" t="str">
        <f>"倉庫"</f>
        <v>倉庫</v>
      </c>
      <c r="K7671" s="8" t="str">
        <f>"軽量鉄骨造"</f>
        <v>軽量鉄骨造</v>
      </c>
      <c r="L7671" s="8" t="str">
        <f>"H08.09.30"</f>
        <v>H08.09.30</v>
      </c>
      <c r="M7671" s="8">
        <v>141.86000000000001</v>
      </c>
      <c r="N7671" s="8">
        <v>14347000</v>
      </c>
      <c r="O7671" s="8">
        <v>13005125</v>
      </c>
      <c r="P7671" s="8">
        <v>0</v>
      </c>
      <c r="Q7671" s="8" t="str">
        <f t="shared" si="2755"/>
        <v>公安委員会</v>
      </c>
      <c r="R7671" s="8" t="str">
        <f t="shared" si="2754"/>
        <v>高槻警察署</v>
      </c>
    </row>
    <row r="7672" spans="1:18" x14ac:dyDescent="0.45">
      <c r="A7672" s="8" t="str">
        <f t="shared" si="2751"/>
        <v>11551000000</v>
      </c>
      <c r="B7672" s="8" t="str">
        <f t="shared" si="2752"/>
        <v>高槻警察署</v>
      </c>
      <c r="C7672" s="8" t="str">
        <f t="shared" si="2756"/>
        <v>行政財産</v>
      </c>
      <c r="D7672" s="8" t="str">
        <f t="shared" si="2739"/>
        <v>警察（消防）施設</v>
      </c>
      <c r="E7672" s="8" t="str">
        <f t="shared" si="2753"/>
        <v>大阪府高槻市野見町</v>
      </c>
      <c r="F7672" s="8"/>
      <c r="G7672" s="8" t="str">
        <f t="shared" si="2749"/>
        <v>事業用資産</v>
      </c>
      <c r="H7672" s="8" t="str">
        <f t="shared" si="2744"/>
        <v>棚卸以外</v>
      </c>
      <c r="I7672" s="8">
        <v>25</v>
      </c>
      <c r="J7672" s="8" t="str">
        <f>"霊安室"</f>
        <v>霊安室</v>
      </c>
      <c r="K7672" s="8" t="str">
        <f>"軽量鉄骨造"</f>
        <v>軽量鉄骨造</v>
      </c>
      <c r="L7672" s="8" t="str">
        <f>"H08.09.30"</f>
        <v>H08.09.30</v>
      </c>
      <c r="M7672" s="8">
        <v>18.63</v>
      </c>
      <c r="N7672" s="8">
        <v>2836000</v>
      </c>
      <c r="O7672" s="8">
        <v>2464058</v>
      </c>
      <c r="P7672" s="8">
        <v>0</v>
      </c>
      <c r="Q7672" s="8" t="str">
        <f t="shared" si="2755"/>
        <v>公安委員会</v>
      </c>
      <c r="R7672" s="8" t="str">
        <f t="shared" si="2754"/>
        <v>高槻警察署</v>
      </c>
    </row>
    <row r="7673" spans="1:18" x14ac:dyDescent="0.45">
      <c r="A7673" s="8" t="str">
        <f t="shared" si="2751"/>
        <v>11551000000</v>
      </c>
      <c r="B7673" s="8" t="str">
        <f t="shared" si="2752"/>
        <v>高槻警察署</v>
      </c>
      <c r="C7673" s="8" t="str">
        <f t="shared" si="2756"/>
        <v>行政財産</v>
      </c>
      <c r="D7673" s="8" t="str">
        <f t="shared" si="2739"/>
        <v>警察（消防）施設</v>
      </c>
      <c r="E7673" s="8" t="str">
        <f t="shared" si="2753"/>
        <v>大阪府高槻市野見町</v>
      </c>
      <c r="F7673" s="8"/>
      <c r="G7673" s="8" t="str">
        <f t="shared" si="2749"/>
        <v>事業用資産</v>
      </c>
      <c r="H7673" s="8" t="str">
        <f t="shared" si="2744"/>
        <v>棚卸以外</v>
      </c>
      <c r="I7673" s="8">
        <v>26</v>
      </c>
      <c r="J7673" s="8" t="str">
        <f>"灯油庫"</f>
        <v>灯油庫</v>
      </c>
      <c r="K7673" s="8" t="str">
        <f>"コンクリートブロック造"</f>
        <v>コンクリートブロック造</v>
      </c>
      <c r="L7673" s="8" t="str">
        <f>"H08.09.30"</f>
        <v>H08.09.30</v>
      </c>
      <c r="M7673" s="8">
        <v>7.53</v>
      </c>
      <c r="N7673" s="8">
        <v>1263000</v>
      </c>
      <c r="O7673" s="8">
        <v>984528</v>
      </c>
      <c r="P7673" s="8">
        <v>0</v>
      </c>
      <c r="Q7673" s="8" t="str">
        <f t="shared" si="2755"/>
        <v>公安委員会</v>
      </c>
      <c r="R7673" s="8" t="str">
        <f t="shared" si="2754"/>
        <v>高槻警察署</v>
      </c>
    </row>
    <row r="7674" spans="1:18" x14ac:dyDescent="0.45">
      <c r="A7674" s="8" t="str">
        <f t="shared" si="2751"/>
        <v>11551000000</v>
      </c>
      <c r="B7674" s="8" t="str">
        <f t="shared" si="2752"/>
        <v>高槻警察署</v>
      </c>
      <c r="C7674" s="8" t="str">
        <f t="shared" si="2756"/>
        <v>行政財産</v>
      </c>
      <c r="D7674" s="8" t="str">
        <f t="shared" si="2739"/>
        <v>警察（消防）施設</v>
      </c>
      <c r="E7674" s="8" t="str">
        <f t="shared" si="2753"/>
        <v>大阪府高槻市野見町</v>
      </c>
      <c r="F7674" s="8"/>
      <c r="G7674" s="8" t="str">
        <f t="shared" si="2749"/>
        <v>事業用資産</v>
      </c>
      <c r="H7674" s="8" t="str">
        <f t="shared" si="2744"/>
        <v>棚卸以外</v>
      </c>
      <c r="I7674" s="8">
        <v>27</v>
      </c>
      <c r="J7674" s="8" t="str">
        <f>"別館"</f>
        <v>別館</v>
      </c>
      <c r="K7674" s="8" t="str">
        <f>"鉄骨造"</f>
        <v>鉄骨造</v>
      </c>
      <c r="L7674" s="8" t="str">
        <f>"H09.11.25"</f>
        <v>H09.11.25</v>
      </c>
      <c r="M7674" s="8">
        <v>602.16</v>
      </c>
      <c r="N7674" s="8">
        <v>131314629</v>
      </c>
      <c r="O7674" s="8">
        <v>87471509</v>
      </c>
      <c r="P7674" s="8">
        <v>0</v>
      </c>
      <c r="Q7674" s="8" t="str">
        <f t="shared" si="2755"/>
        <v>公安委員会</v>
      </c>
      <c r="R7674" s="8" t="str">
        <f t="shared" si="2754"/>
        <v>高槻警察署</v>
      </c>
    </row>
    <row r="7675" spans="1:18" x14ac:dyDescent="0.45">
      <c r="A7675" s="8" t="str">
        <f>"11551000026"</f>
        <v>11551000026</v>
      </c>
      <c r="B7675" s="8" t="str">
        <f>"奈佐原交番"</f>
        <v>奈佐原交番</v>
      </c>
      <c r="C7675" s="8" t="str">
        <f t="shared" si="2756"/>
        <v>行政財産</v>
      </c>
      <c r="D7675" s="8" t="str">
        <f t="shared" si="2739"/>
        <v>警察（消防）施設</v>
      </c>
      <c r="E7675" s="8" t="str">
        <f>"大阪府高槻市奈佐原２丁目"</f>
        <v>大阪府高槻市奈佐原２丁目</v>
      </c>
      <c r="F7675" s="8"/>
      <c r="G7675" s="8" t="str">
        <f t="shared" si="2749"/>
        <v>事業用資産</v>
      </c>
      <c r="H7675" s="8" t="str">
        <f t="shared" si="2744"/>
        <v>棚卸以外</v>
      </c>
      <c r="I7675" s="8">
        <v>1</v>
      </c>
      <c r="J7675" s="8" t="str">
        <f>"奈佐原交番"</f>
        <v>奈佐原交番</v>
      </c>
      <c r="K7675" s="8" t="str">
        <f>"鉄骨造"</f>
        <v>鉄骨造</v>
      </c>
      <c r="L7675" s="8" t="str">
        <f>"H21.07.21"</f>
        <v>H21.07.21</v>
      </c>
      <c r="M7675" s="8">
        <v>53.82</v>
      </c>
      <c r="N7675" s="8">
        <v>17652866</v>
      </c>
      <c r="O7675" s="8">
        <v>6335128</v>
      </c>
      <c r="P7675" s="8">
        <v>0</v>
      </c>
      <c r="Q7675" s="8" t="str">
        <f t="shared" si="2755"/>
        <v>公安委員会</v>
      </c>
      <c r="R7675" s="8" t="str">
        <f t="shared" si="2754"/>
        <v>高槻警察署</v>
      </c>
    </row>
    <row r="7676" spans="1:18" x14ac:dyDescent="0.45">
      <c r="A7676" s="8" t="str">
        <f>"11551000100"</f>
        <v>11551000100</v>
      </c>
      <c r="B7676" s="8" t="str">
        <f>"北大手交番"</f>
        <v>北大手交番</v>
      </c>
      <c r="C7676" s="8" t="str">
        <f t="shared" si="2756"/>
        <v>行政財産</v>
      </c>
      <c r="D7676" s="8" t="str">
        <f t="shared" ref="D7676:D7739" si="2757">"警察（消防）施設"</f>
        <v>警察（消防）施設</v>
      </c>
      <c r="E7676" s="8" t="str">
        <f>"大阪府高槻市野見町"</f>
        <v>大阪府高槻市野見町</v>
      </c>
      <c r="F7676" s="8"/>
      <c r="G7676" s="8" t="str">
        <f t="shared" si="2749"/>
        <v>事業用資産</v>
      </c>
      <c r="H7676" s="8" t="str">
        <f t="shared" si="2744"/>
        <v>棚卸以外</v>
      </c>
      <c r="I7676" s="8">
        <v>4</v>
      </c>
      <c r="J7676" s="8" t="str">
        <f>"北大手交番"</f>
        <v>北大手交番</v>
      </c>
      <c r="K7676" s="8" t="str">
        <f>"軽量鉄骨造"</f>
        <v>軽量鉄骨造</v>
      </c>
      <c r="L7676" s="8" t="str">
        <f>"H23.12.26"</f>
        <v>H23.12.26</v>
      </c>
      <c r="M7676" s="8">
        <v>132.93</v>
      </c>
      <c r="N7676" s="8">
        <v>25735770</v>
      </c>
      <c r="O7676" s="8">
        <v>11412270</v>
      </c>
      <c r="P7676" s="8">
        <v>0</v>
      </c>
      <c r="Q7676" s="8" t="str">
        <f t="shared" si="2755"/>
        <v>公安委員会</v>
      </c>
      <c r="R7676" s="8" t="str">
        <f t="shared" si="2754"/>
        <v>高槻警察署</v>
      </c>
    </row>
    <row r="7677" spans="1:18" x14ac:dyDescent="0.45">
      <c r="A7677" s="8" t="str">
        <f>"11551000130"</f>
        <v>11551000130</v>
      </c>
      <c r="B7677" s="8" t="str">
        <f>"富田駅前交番"</f>
        <v>富田駅前交番</v>
      </c>
      <c r="C7677" s="8" t="str">
        <f t="shared" si="2756"/>
        <v>行政財産</v>
      </c>
      <c r="D7677" s="8" t="str">
        <f t="shared" si="2757"/>
        <v>警察（消防）施設</v>
      </c>
      <c r="E7677" s="8" t="str">
        <f>"大阪府高槻市富田町１丁目"</f>
        <v>大阪府高槻市富田町１丁目</v>
      </c>
      <c r="F7677" s="8"/>
      <c r="G7677" s="8" t="str">
        <f t="shared" si="2749"/>
        <v>事業用資産</v>
      </c>
      <c r="H7677" s="8" t="str">
        <f t="shared" si="2744"/>
        <v>棚卸以外</v>
      </c>
      <c r="I7677" s="8">
        <v>2</v>
      </c>
      <c r="J7677" s="8" t="str">
        <f>"富田駅前交番"</f>
        <v>富田駅前交番</v>
      </c>
      <c r="K7677" s="8" t="str">
        <f>"鉄骨造"</f>
        <v>鉄骨造</v>
      </c>
      <c r="L7677" s="8" t="str">
        <f>"S58.03.30"</f>
        <v>S58.03.30</v>
      </c>
      <c r="M7677" s="8">
        <v>46.2</v>
      </c>
      <c r="N7677" s="8">
        <v>13041866</v>
      </c>
      <c r="O7677" s="8">
        <v>12963439</v>
      </c>
      <c r="P7677" s="8">
        <v>0</v>
      </c>
      <c r="Q7677" s="8" t="str">
        <f t="shared" si="2755"/>
        <v>公安委員会</v>
      </c>
      <c r="R7677" s="8" t="str">
        <f t="shared" si="2754"/>
        <v>高槻警察署</v>
      </c>
    </row>
    <row r="7678" spans="1:18" x14ac:dyDescent="0.45">
      <c r="A7678" s="8" t="str">
        <f>"11551000160"</f>
        <v>11551000160</v>
      </c>
      <c r="B7678" s="8" t="str">
        <f>"清水北駐在所"</f>
        <v>清水北駐在所</v>
      </c>
      <c r="C7678" s="8" t="str">
        <f t="shared" si="2756"/>
        <v>行政財産</v>
      </c>
      <c r="D7678" s="8" t="str">
        <f t="shared" si="2757"/>
        <v>警察（消防）施設</v>
      </c>
      <c r="E7678" s="8" t="str">
        <f>"大阪府高槻市大字原"</f>
        <v>大阪府高槻市大字原</v>
      </c>
      <c r="F7678" s="8"/>
      <c r="G7678" s="8" t="str">
        <f t="shared" si="2749"/>
        <v>事業用資産</v>
      </c>
      <c r="H7678" s="8" t="str">
        <f t="shared" si="2744"/>
        <v>棚卸以外</v>
      </c>
      <c r="I7678" s="8">
        <v>5</v>
      </c>
      <c r="J7678" s="8" t="str">
        <f>"清水北駐在所"</f>
        <v>清水北駐在所</v>
      </c>
      <c r="K7678" s="8" t="str">
        <f>"鉄骨造"</f>
        <v>鉄骨造</v>
      </c>
      <c r="L7678" s="8" t="str">
        <f>"H19.02.19"</f>
        <v>H19.02.19</v>
      </c>
      <c r="M7678" s="8">
        <v>91.93</v>
      </c>
      <c r="N7678" s="8">
        <v>18648000</v>
      </c>
      <c r="O7678" s="8">
        <v>7892735</v>
      </c>
      <c r="P7678" s="8">
        <v>0</v>
      </c>
      <c r="Q7678" s="8" t="str">
        <f t="shared" si="2755"/>
        <v>公安委員会</v>
      </c>
      <c r="R7678" s="8" t="str">
        <f t="shared" si="2754"/>
        <v>高槻警察署</v>
      </c>
    </row>
    <row r="7679" spans="1:18" x14ac:dyDescent="0.45">
      <c r="A7679" s="8" t="str">
        <f>"11551000220"</f>
        <v>11551000220</v>
      </c>
      <c r="B7679" s="8" t="str">
        <f>"如是交番"</f>
        <v>如是交番</v>
      </c>
      <c r="C7679" s="8" t="str">
        <f t="shared" si="2756"/>
        <v>行政財産</v>
      </c>
      <c r="D7679" s="8" t="str">
        <f t="shared" si="2757"/>
        <v>警察（消防）施設</v>
      </c>
      <c r="E7679" s="8" t="str">
        <f>"大阪府高槻市芝生町２丁目"</f>
        <v>大阪府高槻市芝生町２丁目</v>
      </c>
      <c r="F7679" s="8"/>
      <c r="G7679" s="8" t="str">
        <f t="shared" si="2749"/>
        <v>事業用資産</v>
      </c>
      <c r="H7679" s="8" t="str">
        <f t="shared" si="2744"/>
        <v>棚卸以外</v>
      </c>
      <c r="I7679" s="8">
        <v>3</v>
      </c>
      <c r="J7679" s="8" t="str">
        <f>"如是交番"</f>
        <v>如是交番</v>
      </c>
      <c r="K7679" s="8" t="str">
        <f>"鉄骨造"</f>
        <v>鉄骨造</v>
      </c>
      <c r="L7679" s="8" t="str">
        <f>"H08.03.29"</f>
        <v>H08.03.29</v>
      </c>
      <c r="M7679" s="8">
        <v>54.92</v>
      </c>
      <c r="N7679" s="8">
        <v>21613070</v>
      </c>
      <c r="O7679" s="8">
        <v>15320620</v>
      </c>
      <c r="P7679" s="8">
        <v>0</v>
      </c>
      <c r="Q7679" s="8" t="str">
        <f t="shared" si="2755"/>
        <v>公安委員会</v>
      </c>
      <c r="R7679" s="8" t="str">
        <f t="shared" si="2754"/>
        <v>高槻警察署</v>
      </c>
    </row>
    <row r="7680" spans="1:18" x14ac:dyDescent="0.45">
      <c r="A7680" s="8" t="str">
        <f>"11551000250"</f>
        <v>11551000250</v>
      </c>
      <c r="B7680" s="8" t="str">
        <f>"山崎交番"</f>
        <v>山崎交番</v>
      </c>
      <c r="C7680" s="8" t="str">
        <f t="shared" si="2756"/>
        <v>行政財産</v>
      </c>
      <c r="D7680" s="8" t="str">
        <f t="shared" si="2757"/>
        <v>警察（消防）施設</v>
      </c>
      <c r="E7680" s="8" t="str">
        <f>"大阪府三島郡　島本町大字山崎"</f>
        <v>大阪府三島郡　島本町大字山崎</v>
      </c>
      <c r="F7680" s="8"/>
      <c r="G7680" s="8" t="str">
        <f t="shared" si="2749"/>
        <v>事業用資産</v>
      </c>
      <c r="H7680" s="8" t="str">
        <f t="shared" si="2744"/>
        <v>棚卸以外</v>
      </c>
      <c r="I7680" s="8">
        <v>4</v>
      </c>
      <c r="J7680" s="8" t="str">
        <f>"山崎交番"</f>
        <v>山崎交番</v>
      </c>
      <c r="K7680" s="8" t="str">
        <f>"鉄骨造"</f>
        <v>鉄骨造</v>
      </c>
      <c r="L7680" s="8" t="str">
        <f>"H22.03.24"</f>
        <v>H22.03.24</v>
      </c>
      <c r="M7680" s="8">
        <v>54.36</v>
      </c>
      <c r="N7680" s="8">
        <v>18866772</v>
      </c>
      <c r="O7680" s="8">
        <v>6446152</v>
      </c>
      <c r="P7680" s="8">
        <v>0</v>
      </c>
      <c r="Q7680" s="8" t="str">
        <f t="shared" si="2755"/>
        <v>公安委員会</v>
      </c>
      <c r="R7680" s="8" t="str">
        <f t="shared" si="2754"/>
        <v>高槻警察署</v>
      </c>
    </row>
    <row r="7681" spans="1:18" x14ac:dyDescent="0.45">
      <c r="A7681" s="8" t="str">
        <f>"11551000290"</f>
        <v>11551000290</v>
      </c>
      <c r="B7681" s="8" t="str">
        <f>"樫田駐在所"</f>
        <v>樫田駐在所</v>
      </c>
      <c r="C7681" s="8" t="str">
        <f t="shared" si="2756"/>
        <v>行政財産</v>
      </c>
      <c r="D7681" s="8" t="str">
        <f t="shared" si="2757"/>
        <v>警察（消防）施設</v>
      </c>
      <c r="E7681" s="8" t="str">
        <f>"大阪府高槻市大字田能"</f>
        <v>大阪府高槻市大字田能</v>
      </c>
      <c r="F7681" s="8"/>
      <c r="G7681" s="8" t="str">
        <f t="shared" si="2749"/>
        <v>事業用資産</v>
      </c>
      <c r="H7681" s="8" t="str">
        <f t="shared" si="2744"/>
        <v>棚卸以外</v>
      </c>
      <c r="I7681" s="8">
        <v>4</v>
      </c>
      <c r="J7681" s="8" t="str">
        <f>"樫田駐在所"</f>
        <v>樫田駐在所</v>
      </c>
      <c r="K7681" s="8" t="str">
        <f>"鉄骨造"</f>
        <v>鉄骨造</v>
      </c>
      <c r="L7681" s="8" t="str">
        <f>"H21.08.20"</f>
        <v>H21.08.20</v>
      </c>
      <c r="M7681" s="8">
        <v>91.96</v>
      </c>
      <c r="N7681" s="8">
        <v>22195000</v>
      </c>
      <c r="O7681" s="8">
        <v>7933862</v>
      </c>
      <c r="P7681" s="8">
        <v>0</v>
      </c>
      <c r="Q7681" s="8" t="str">
        <f t="shared" si="2755"/>
        <v>公安委員会</v>
      </c>
      <c r="R7681" s="8" t="str">
        <f t="shared" si="2754"/>
        <v>高槻警察署</v>
      </c>
    </row>
    <row r="7682" spans="1:18" x14ac:dyDescent="0.45">
      <c r="A7682" s="8" t="str">
        <f>"11551000290"</f>
        <v>11551000290</v>
      </c>
      <c r="B7682" s="8" t="str">
        <f>"樫田駐在所"</f>
        <v>樫田駐在所</v>
      </c>
      <c r="C7682" s="8" t="str">
        <f t="shared" si="2756"/>
        <v>行政財産</v>
      </c>
      <c r="D7682" s="8" t="str">
        <f t="shared" si="2757"/>
        <v>警察（消防）施設</v>
      </c>
      <c r="E7682" s="8" t="str">
        <f>"大阪府高槻市大字田能"</f>
        <v>大阪府高槻市大字田能</v>
      </c>
      <c r="F7682" s="8"/>
      <c r="G7682" s="8" t="str">
        <f t="shared" si="2749"/>
        <v>事業用資産</v>
      </c>
      <c r="H7682" s="8" t="str">
        <f t="shared" si="2744"/>
        <v>棚卸以外</v>
      </c>
      <c r="I7682" s="8">
        <v>5</v>
      </c>
      <c r="J7682" s="8" t="str">
        <f>"駐車場"</f>
        <v>駐車場</v>
      </c>
      <c r="K7682" s="8" t="str">
        <f>"無筋コンクリート造"</f>
        <v>無筋コンクリート造</v>
      </c>
      <c r="L7682" s="8" t="str">
        <f>"S49.12.02"</f>
        <v>S49.12.02</v>
      </c>
      <c r="M7682" s="8">
        <v>35.909999999999997</v>
      </c>
      <c r="N7682" s="8">
        <v>1079000</v>
      </c>
      <c r="O7682" s="8">
        <v>1078998</v>
      </c>
      <c r="P7682" s="8">
        <v>0</v>
      </c>
      <c r="Q7682" s="8" t="str">
        <f t="shared" si="2755"/>
        <v>公安委員会</v>
      </c>
      <c r="R7682" s="8" t="str">
        <f t="shared" si="2754"/>
        <v>高槻警察署</v>
      </c>
    </row>
    <row r="7683" spans="1:18" x14ac:dyDescent="0.45">
      <c r="A7683" s="8" t="str">
        <f>"11551000300"</f>
        <v>11551000300</v>
      </c>
      <c r="B7683" s="8" t="str">
        <f>"五領交番"</f>
        <v>五領交番</v>
      </c>
      <c r="C7683" s="8" t="str">
        <f t="shared" si="2756"/>
        <v>行政財産</v>
      </c>
      <c r="D7683" s="8" t="str">
        <f t="shared" si="2757"/>
        <v>警察（消防）施設</v>
      </c>
      <c r="E7683" s="8" t="str">
        <f>"大阪府高槻市五領町"</f>
        <v>大阪府高槻市五領町</v>
      </c>
      <c r="F7683" s="8"/>
      <c r="G7683" s="8" t="str">
        <f t="shared" si="2749"/>
        <v>事業用資産</v>
      </c>
      <c r="H7683" s="8" t="str">
        <f t="shared" si="2744"/>
        <v>棚卸以外</v>
      </c>
      <c r="I7683" s="8">
        <v>4</v>
      </c>
      <c r="J7683" s="8" t="str">
        <f>"五領交番"</f>
        <v>五領交番</v>
      </c>
      <c r="K7683" s="8" t="str">
        <f>"鉄筋コンクリート造"</f>
        <v>鉄筋コンクリート造</v>
      </c>
      <c r="L7683" s="8" t="str">
        <f>"S63.03.31"</f>
        <v>S63.03.31</v>
      </c>
      <c r="M7683" s="8">
        <v>54</v>
      </c>
      <c r="N7683" s="8">
        <v>15639164</v>
      </c>
      <c r="O7683" s="8">
        <v>10897200</v>
      </c>
      <c r="P7683" s="8">
        <v>0</v>
      </c>
      <c r="Q7683" s="8" t="str">
        <f t="shared" si="2755"/>
        <v>公安委員会</v>
      </c>
      <c r="R7683" s="8" t="str">
        <f t="shared" si="2754"/>
        <v>高槻警察署</v>
      </c>
    </row>
    <row r="7684" spans="1:18" x14ac:dyDescent="0.45">
      <c r="A7684" s="8" t="str">
        <f>"11551000320"</f>
        <v>11551000320</v>
      </c>
      <c r="B7684" s="8" t="str">
        <f>"川西交番"</f>
        <v>川西交番</v>
      </c>
      <c r="C7684" s="8" t="str">
        <f t="shared" si="2756"/>
        <v>行政財産</v>
      </c>
      <c r="D7684" s="8" t="str">
        <f t="shared" si="2757"/>
        <v>警察（消防）施設</v>
      </c>
      <c r="E7684" s="8" t="str">
        <f>"大阪府高槻市郡家新町"</f>
        <v>大阪府高槻市郡家新町</v>
      </c>
      <c r="F7684" s="8"/>
      <c r="G7684" s="8" t="str">
        <f t="shared" si="2749"/>
        <v>事業用資産</v>
      </c>
      <c r="H7684" s="8" t="str">
        <f t="shared" ref="H7684:H7747" si="2758">"棚卸以外"</f>
        <v>棚卸以外</v>
      </c>
      <c r="I7684" s="8">
        <v>1</v>
      </c>
      <c r="J7684" s="8" t="str">
        <f>"川西交番"</f>
        <v>川西交番</v>
      </c>
      <c r="K7684" s="8" t="str">
        <f>"鉄筋コンクリート造"</f>
        <v>鉄筋コンクリート造</v>
      </c>
      <c r="L7684" s="8" t="str">
        <f>"S43.03.30"</f>
        <v>S43.03.30</v>
      </c>
      <c r="M7684" s="8">
        <v>35.06</v>
      </c>
      <c r="N7684" s="8">
        <v>1959766</v>
      </c>
      <c r="O7684" s="8">
        <v>1865859</v>
      </c>
      <c r="P7684" s="8">
        <v>0</v>
      </c>
      <c r="Q7684" s="8" t="str">
        <f t="shared" si="2755"/>
        <v>公安委員会</v>
      </c>
      <c r="R7684" s="8" t="str">
        <f t="shared" si="2754"/>
        <v>高槻警察署</v>
      </c>
    </row>
    <row r="7685" spans="1:18" x14ac:dyDescent="0.45">
      <c r="A7685" s="8" t="str">
        <f>"11551000330"</f>
        <v>11551000330</v>
      </c>
      <c r="B7685" s="8" t="str">
        <f>"富田町交番"</f>
        <v>富田町交番</v>
      </c>
      <c r="C7685" s="8" t="str">
        <f t="shared" si="2756"/>
        <v>行政財産</v>
      </c>
      <c r="D7685" s="8" t="str">
        <f t="shared" si="2757"/>
        <v>警察（消防）施設</v>
      </c>
      <c r="E7685" s="8" t="str">
        <f>"大阪府高槻市富田町６丁目"</f>
        <v>大阪府高槻市富田町６丁目</v>
      </c>
      <c r="F7685" s="8"/>
      <c r="G7685" s="8" t="str">
        <f t="shared" si="2749"/>
        <v>事業用資産</v>
      </c>
      <c r="H7685" s="8" t="str">
        <f t="shared" si="2758"/>
        <v>棚卸以外</v>
      </c>
      <c r="I7685" s="8">
        <v>3</v>
      </c>
      <c r="J7685" s="8" t="str">
        <f>"富田町交番"</f>
        <v>富田町交番</v>
      </c>
      <c r="K7685" s="8" t="str">
        <f>"鉄骨造"</f>
        <v>鉄骨造</v>
      </c>
      <c r="L7685" s="8" t="str">
        <f>"H06.03.31"</f>
        <v>H06.03.31</v>
      </c>
      <c r="M7685" s="8">
        <v>111.02</v>
      </c>
      <c r="N7685" s="8">
        <v>29199069</v>
      </c>
      <c r="O7685" s="8">
        <v>22216408</v>
      </c>
      <c r="P7685" s="8">
        <v>0</v>
      </c>
      <c r="Q7685" s="8" t="str">
        <f t="shared" si="2755"/>
        <v>公安委員会</v>
      </c>
      <c r="R7685" s="8" t="str">
        <f t="shared" si="2754"/>
        <v>高槻警察署</v>
      </c>
    </row>
    <row r="7686" spans="1:18" x14ac:dyDescent="0.45">
      <c r="A7686" s="8" t="str">
        <f>"11551000340"</f>
        <v>11551000340</v>
      </c>
      <c r="B7686" s="8" t="str">
        <f>"磐手交番"</f>
        <v>磐手交番</v>
      </c>
      <c r="C7686" s="8" t="str">
        <f t="shared" si="2756"/>
        <v>行政財産</v>
      </c>
      <c r="D7686" s="8" t="str">
        <f t="shared" si="2757"/>
        <v>警察（消防）施設</v>
      </c>
      <c r="E7686" s="8" t="str">
        <f>"大阪府高槻市別所新町"</f>
        <v>大阪府高槻市別所新町</v>
      </c>
      <c r="F7686" s="8"/>
      <c r="G7686" s="8" t="str">
        <f t="shared" si="2749"/>
        <v>事業用資産</v>
      </c>
      <c r="H7686" s="8" t="str">
        <f t="shared" si="2758"/>
        <v>棚卸以外</v>
      </c>
      <c r="I7686" s="8">
        <v>1</v>
      </c>
      <c r="J7686" s="8" t="str">
        <f>"磐手交番"</f>
        <v>磐手交番</v>
      </c>
      <c r="K7686" s="8" t="str">
        <f>"コンクリートブロック造"</f>
        <v>コンクリートブロック造</v>
      </c>
      <c r="L7686" s="8" t="str">
        <f>"S44.03.31"</f>
        <v>S44.03.31</v>
      </c>
      <c r="M7686" s="8">
        <v>26.16</v>
      </c>
      <c r="N7686" s="8">
        <v>1576023</v>
      </c>
      <c r="O7686" s="8">
        <v>1486599</v>
      </c>
      <c r="P7686" s="8">
        <v>0</v>
      </c>
      <c r="Q7686" s="8" t="str">
        <f t="shared" si="2755"/>
        <v>公安委員会</v>
      </c>
      <c r="R7686" s="8" t="str">
        <f t="shared" si="2754"/>
        <v>高槻警察署</v>
      </c>
    </row>
    <row r="7687" spans="1:18" x14ac:dyDescent="0.45">
      <c r="A7687" s="8" t="str">
        <f>"11551000360"</f>
        <v>11551000360</v>
      </c>
      <c r="B7687" s="8" t="str">
        <f>"登町交番"</f>
        <v>登町交番</v>
      </c>
      <c r="C7687" s="8" t="str">
        <f t="shared" si="2756"/>
        <v>行政財産</v>
      </c>
      <c r="D7687" s="8" t="str">
        <f t="shared" si="2757"/>
        <v>警察（消防）施設</v>
      </c>
      <c r="E7687" s="8" t="str">
        <f>"大阪府高槻市登町"</f>
        <v>大阪府高槻市登町</v>
      </c>
      <c r="F7687" s="8"/>
      <c r="G7687" s="8" t="str">
        <f t="shared" si="2749"/>
        <v>事業用資産</v>
      </c>
      <c r="H7687" s="8" t="str">
        <f t="shared" si="2758"/>
        <v>棚卸以外</v>
      </c>
      <c r="I7687" s="8">
        <v>3</v>
      </c>
      <c r="J7687" s="8" t="str">
        <f>"登町交番"</f>
        <v>登町交番</v>
      </c>
      <c r="K7687" s="8" t="str">
        <f>"軽量鉄骨造"</f>
        <v>軽量鉄骨造</v>
      </c>
      <c r="L7687" s="8" t="str">
        <f>"H25.03.29"</f>
        <v>H25.03.29</v>
      </c>
      <c r="M7687" s="8">
        <v>46.3</v>
      </c>
      <c r="N7687" s="8">
        <v>16622967</v>
      </c>
      <c r="O7687" s="8">
        <v>6373120</v>
      </c>
      <c r="P7687" s="8">
        <v>0</v>
      </c>
      <c r="Q7687" s="8" t="str">
        <f t="shared" si="2755"/>
        <v>公安委員会</v>
      </c>
      <c r="R7687" s="8" t="str">
        <f t="shared" si="2754"/>
        <v>高槻警察署</v>
      </c>
    </row>
    <row r="7688" spans="1:18" x14ac:dyDescent="0.45">
      <c r="A7688" s="8" t="str">
        <f>"11551000370"</f>
        <v>11551000370</v>
      </c>
      <c r="B7688" s="8" t="str">
        <f>"日吉台交番"</f>
        <v>日吉台交番</v>
      </c>
      <c r="C7688" s="8" t="str">
        <f t="shared" si="2756"/>
        <v>行政財産</v>
      </c>
      <c r="D7688" s="8" t="str">
        <f t="shared" si="2757"/>
        <v>警察（消防）施設</v>
      </c>
      <c r="E7688" s="8" t="str">
        <f>"大阪府高槻市日吉台四番町"</f>
        <v>大阪府高槻市日吉台四番町</v>
      </c>
      <c r="F7688" s="8"/>
      <c r="G7688" s="8" t="str">
        <f t="shared" si="2749"/>
        <v>事業用資産</v>
      </c>
      <c r="H7688" s="8" t="str">
        <f t="shared" si="2758"/>
        <v>棚卸以外</v>
      </c>
      <c r="I7688" s="8">
        <v>1</v>
      </c>
      <c r="J7688" s="8" t="str">
        <f>"日吉台交番"</f>
        <v>日吉台交番</v>
      </c>
      <c r="K7688" s="8" t="str">
        <f>"鉄筋コンクリート造"</f>
        <v>鉄筋コンクリート造</v>
      </c>
      <c r="L7688" s="8" t="str">
        <f>"S49.03.30"</f>
        <v>S49.03.30</v>
      </c>
      <c r="M7688" s="8">
        <v>50.4</v>
      </c>
      <c r="N7688" s="8">
        <v>6386350</v>
      </c>
      <c r="O7688" s="8">
        <v>6183772</v>
      </c>
      <c r="P7688" s="8">
        <v>0</v>
      </c>
      <c r="Q7688" s="8" t="str">
        <f t="shared" si="2755"/>
        <v>公安委員会</v>
      </c>
      <c r="R7688" s="8" t="str">
        <f t="shared" si="2754"/>
        <v>高槻警察署</v>
      </c>
    </row>
    <row r="7689" spans="1:18" x14ac:dyDescent="0.45">
      <c r="A7689" s="8" t="str">
        <f>"11551000380"</f>
        <v>11551000380</v>
      </c>
      <c r="B7689" s="8" t="str">
        <f>"大冠北交番"</f>
        <v>大冠北交番</v>
      </c>
      <c r="C7689" s="8" t="str">
        <f t="shared" si="2756"/>
        <v>行政財産</v>
      </c>
      <c r="D7689" s="8" t="str">
        <f t="shared" si="2757"/>
        <v>警察（消防）施設</v>
      </c>
      <c r="E7689" s="8" t="str">
        <f>"大阪府高槻市春日町"</f>
        <v>大阪府高槻市春日町</v>
      </c>
      <c r="F7689" s="8"/>
      <c r="G7689" s="8" t="str">
        <f t="shared" si="2749"/>
        <v>事業用資産</v>
      </c>
      <c r="H7689" s="8" t="str">
        <f t="shared" si="2758"/>
        <v>棚卸以外</v>
      </c>
      <c r="I7689" s="8">
        <v>1</v>
      </c>
      <c r="J7689" s="8" t="str">
        <f>"大冠北交番"</f>
        <v>大冠北交番</v>
      </c>
      <c r="K7689" s="8" t="str">
        <f>"鉄筋コンクリート造"</f>
        <v>鉄筋コンクリート造</v>
      </c>
      <c r="L7689" s="8" t="str">
        <f>"S49.03.30"</f>
        <v>S49.03.30</v>
      </c>
      <c r="M7689" s="8">
        <v>50.4</v>
      </c>
      <c r="N7689" s="8">
        <v>7003350</v>
      </c>
      <c r="O7689" s="8">
        <v>6788236</v>
      </c>
      <c r="P7689" s="8">
        <v>0</v>
      </c>
      <c r="Q7689" s="8" t="str">
        <f t="shared" si="2755"/>
        <v>公安委員会</v>
      </c>
      <c r="R7689" s="8" t="str">
        <f t="shared" si="2754"/>
        <v>高槻警察署</v>
      </c>
    </row>
    <row r="7690" spans="1:18" x14ac:dyDescent="0.45">
      <c r="A7690" s="8" t="str">
        <f>"11551000390"</f>
        <v>11551000390</v>
      </c>
      <c r="B7690" s="8" t="str">
        <f>"安岡寺交番"</f>
        <v>安岡寺交番</v>
      </c>
      <c r="C7690" s="8" t="str">
        <f t="shared" si="2756"/>
        <v>行政財産</v>
      </c>
      <c r="D7690" s="8" t="str">
        <f t="shared" si="2757"/>
        <v>警察（消防）施設</v>
      </c>
      <c r="E7690" s="8" t="str">
        <f>"大阪府高槻市安岡寺町２丁目"</f>
        <v>大阪府高槻市安岡寺町２丁目</v>
      </c>
      <c r="F7690" s="8"/>
      <c r="G7690" s="8" t="str">
        <f t="shared" si="2749"/>
        <v>事業用資産</v>
      </c>
      <c r="H7690" s="8" t="str">
        <f t="shared" si="2758"/>
        <v>棚卸以外</v>
      </c>
      <c r="I7690" s="8">
        <v>1</v>
      </c>
      <c r="J7690" s="8" t="str">
        <f>"安岡寺交番"</f>
        <v>安岡寺交番</v>
      </c>
      <c r="K7690" s="8" t="str">
        <f>"鉄骨造"</f>
        <v>鉄骨造</v>
      </c>
      <c r="L7690" s="8" t="str">
        <f>"S50.03.31"</f>
        <v>S50.03.31</v>
      </c>
      <c r="M7690" s="8">
        <v>50.4</v>
      </c>
      <c r="N7690" s="8">
        <v>7504350</v>
      </c>
      <c r="O7690" s="8">
        <v>7427119</v>
      </c>
      <c r="P7690" s="8">
        <v>0</v>
      </c>
      <c r="Q7690" s="8" t="str">
        <f t="shared" si="2755"/>
        <v>公安委員会</v>
      </c>
      <c r="R7690" s="8" t="str">
        <f t="shared" si="2754"/>
        <v>高槻警察署</v>
      </c>
    </row>
    <row r="7691" spans="1:18" x14ac:dyDescent="0.45">
      <c r="A7691" s="8" t="str">
        <f>"11551000400"</f>
        <v>11551000400</v>
      </c>
      <c r="B7691" s="8" t="str">
        <f>"水無瀬交番"</f>
        <v>水無瀬交番</v>
      </c>
      <c r="C7691" s="8" t="str">
        <f t="shared" si="2756"/>
        <v>行政財産</v>
      </c>
      <c r="D7691" s="8" t="str">
        <f t="shared" si="2757"/>
        <v>警察（消防）施設</v>
      </c>
      <c r="E7691" s="8" t="str">
        <f>"大阪府三島郡　島本町江川１丁目"</f>
        <v>大阪府三島郡　島本町江川１丁目</v>
      </c>
      <c r="F7691" s="8"/>
      <c r="G7691" s="8" t="str">
        <f t="shared" si="2749"/>
        <v>事業用資産</v>
      </c>
      <c r="H7691" s="8" t="str">
        <f t="shared" si="2758"/>
        <v>棚卸以外</v>
      </c>
      <c r="I7691" s="8">
        <v>2</v>
      </c>
      <c r="J7691" s="8" t="str">
        <f>"水無瀬交番"</f>
        <v>水無瀬交番</v>
      </c>
      <c r="K7691" s="8" t="str">
        <f>"鉄骨造"</f>
        <v>鉄骨造</v>
      </c>
      <c r="L7691" s="8" t="str">
        <f>"H08.03.13"</f>
        <v>H08.03.13</v>
      </c>
      <c r="M7691" s="8">
        <v>128.68</v>
      </c>
      <c r="N7691" s="8">
        <v>35182070</v>
      </c>
      <c r="O7691" s="8">
        <v>24961888</v>
      </c>
      <c r="P7691" s="8">
        <v>0</v>
      </c>
      <c r="Q7691" s="8" t="str">
        <f t="shared" si="2755"/>
        <v>公安委員会</v>
      </c>
      <c r="R7691" s="8" t="str">
        <f t="shared" si="2754"/>
        <v>高槻警察署</v>
      </c>
    </row>
    <row r="7692" spans="1:18" x14ac:dyDescent="0.45">
      <c r="A7692" s="8" t="str">
        <f>"11551000410"</f>
        <v>11551000410</v>
      </c>
      <c r="B7692" s="8" t="str">
        <f>"大冠南交番"</f>
        <v>大冠南交番</v>
      </c>
      <c r="C7692" s="8" t="str">
        <f t="shared" si="2756"/>
        <v>行政財産</v>
      </c>
      <c r="D7692" s="8" t="str">
        <f t="shared" si="2757"/>
        <v>警察（消防）施設</v>
      </c>
      <c r="E7692" s="8" t="str">
        <f>"大阪府高槻市大塚町１丁目"</f>
        <v>大阪府高槻市大塚町１丁目</v>
      </c>
      <c r="F7692" s="8"/>
      <c r="G7692" s="8" t="str">
        <f t="shared" si="2749"/>
        <v>事業用資産</v>
      </c>
      <c r="H7692" s="8" t="str">
        <f t="shared" si="2758"/>
        <v>棚卸以外</v>
      </c>
      <c r="I7692" s="8">
        <v>1</v>
      </c>
      <c r="J7692" s="8" t="str">
        <f>"大冠南交番"</f>
        <v>大冠南交番</v>
      </c>
      <c r="K7692" s="8" t="str">
        <f>"鉄骨造"</f>
        <v>鉄骨造</v>
      </c>
      <c r="L7692" s="8" t="str">
        <f>"S50.03.31"</f>
        <v>S50.03.31</v>
      </c>
      <c r="M7692" s="8">
        <v>50.4</v>
      </c>
      <c r="N7692" s="8">
        <v>10957822</v>
      </c>
      <c r="O7692" s="8">
        <v>10326503</v>
      </c>
      <c r="P7692" s="8">
        <v>0</v>
      </c>
      <c r="Q7692" s="8" t="str">
        <f t="shared" si="2755"/>
        <v>公安委員会</v>
      </c>
      <c r="R7692" s="8" t="str">
        <f t="shared" si="2754"/>
        <v>高槻警察署</v>
      </c>
    </row>
    <row r="7693" spans="1:18" x14ac:dyDescent="0.45">
      <c r="A7693" s="8" t="str">
        <f>"11551000420"</f>
        <v>11551000420</v>
      </c>
      <c r="B7693" s="8" t="str">
        <f>"阿武野交番"</f>
        <v>阿武野交番</v>
      </c>
      <c r="C7693" s="8" t="str">
        <f t="shared" si="2756"/>
        <v>行政財産</v>
      </c>
      <c r="D7693" s="8" t="str">
        <f t="shared" si="2757"/>
        <v>警察（消防）施設</v>
      </c>
      <c r="E7693" s="8" t="str">
        <f>"大阪府高槻市氷室町４丁目"</f>
        <v>大阪府高槻市氷室町４丁目</v>
      </c>
      <c r="F7693" s="8"/>
      <c r="G7693" s="8" t="str">
        <f t="shared" si="2749"/>
        <v>事業用資産</v>
      </c>
      <c r="H7693" s="8" t="str">
        <f t="shared" si="2758"/>
        <v>棚卸以外</v>
      </c>
      <c r="I7693" s="8">
        <v>1</v>
      </c>
      <c r="J7693" s="8" t="str">
        <f>"阿武野交番"</f>
        <v>阿武野交番</v>
      </c>
      <c r="K7693" s="8" t="str">
        <f>"鉄筋コンクリート造"</f>
        <v>鉄筋コンクリート造</v>
      </c>
      <c r="L7693" s="8" t="str">
        <f>"S52.03.16"</f>
        <v>S52.03.16</v>
      </c>
      <c r="M7693" s="8">
        <v>54</v>
      </c>
      <c r="N7693" s="8">
        <v>10750164</v>
      </c>
      <c r="O7693" s="8">
        <v>9816984</v>
      </c>
      <c r="P7693" s="8">
        <v>0</v>
      </c>
      <c r="Q7693" s="8" t="str">
        <f t="shared" si="2755"/>
        <v>公安委員会</v>
      </c>
      <c r="R7693" s="8" t="str">
        <f t="shared" si="2754"/>
        <v>高槻警察署</v>
      </c>
    </row>
    <row r="7694" spans="1:18" x14ac:dyDescent="0.45">
      <c r="A7694" s="8" t="str">
        <f>"11551000430"</f>
        <v>11551000430</v>
      </c>
      <c r="B7694" s="8" t="str">
        <f>"牧田町交番"</f>
        <v>牧田町交番</v>
      </c>
      <c r="C7694" s="8" t="str">
        <f t="shared" si="2756"/>
        <v>行政財産</v>
      </c>
      <c r="D7694" s="8" t="str">
        <f t="shared" si="2757"/>
        <v>警察（消防）施設</v>
      </c>
      <c r="E7694" s="8" t="str">
        <f>"大阪府高槻市牧田町"</f>
        <v>大阪府高槻市牧田町</v>
      </c>
      <c r="F7694" s="8"/>
      <c r="G7694" s="8" t="str">
        <f t="shared" si="2749"/>
        <v>事業用資産</v>
      </c>
      <c r="H7694" s="8" t="str">
        <f t="shared" si="2758"/>
        <v>棚卸以外</v>
      </c>
      <c r="I7694" s="8">
        <v>1</v>
      </c>
      <c r="J7694" s="8" t="str">
        <f>"牧田町交番"</f>
        <v>牧田町交番</v>
      </c>
      <c r="K7694" s="8" t="str">
        <f>"鉄筋コンクリート造"</f>
        <v>鉄筋コンクリート造</v>
      </c>
      <c r="L7694" s="8" t="str">
        <f>"S53.03.03"</f>
        <v>S53.03.03</v>
      </c>
      <c r="M7694" s="8">
        <v>54</v>
      </c>
      <c r="N7694" s="8">
        <v>11682361</v>
      </c>
      <c r="O7694" s="8">
        <v>10381635</v>
      </c>
      <c r="P7694" s="8">
        <v>0</v>
      </c>
      <c r="Q7694" s="8" t="str">
        <f t="shared" si="2755"/>
        <v>公安委員会</v>
      </c>
      <c r="R7694" s="8" t="str">
        <f t="shared" si="2754"/>
        <v>高槻警察署</v>
      </c>
    </row>
    <row r="7695" spans="1:18" x14ac:dyDescent="0.45">
      <c r="A7695" s="8" t="str">
        <f>"11551000440"</f>
        <v>11551000440</v>
      </c>
      <c r="B7695" s="8" t="str">
        <f>"高槻駅前交番"</f>
        <v>高槻駅前交番</v>
      </c>
      <c r="C7695" s="8" t="str">
        <f t="shared" si="2756"/>
        <v>行政財産</v>
      </c>
      <c r="D7695" s="8" t="str">
        <f t="shared" si="2757"/>
        <v>警察（消防）施設</v>
      </c>
      <c r="E7695" s="8" t="str">
        <f>"大阪府高槻市白梅町"</f>
        <v>大阪府高槻市白梅町</v>
      </c>
      <c r="F7695" s="8"/>
      <c r="G7695" s="8" t="str">
        <f t="shared" si="2749"/>
        <v>事業用資産</v>
      </c>
      <c r="H7695" s="8" t="str">
        <f t="shared" si="2758"/>
        <v>棚卸以外</v>
      </c>
      <c r="I7695" s="8">
        <v>1</v>
      </c>
      <c r="J7695" s="8" t="str">
        <f>"高槻駅前交番"</f>
        <v>高槻駅前交番</v>
      </c>
      <c r="K7695" s="8" t="str">
        <f>"鉄筋コンクリート造"</f>
        <v>鉄筋コンクリート造</v>
      </c>
      <c r="L7695" s="8" t="str">
        <f>"S54.06.28"</f>
        <v>S54.06.28</v>
      </c>
      <c r="M7695" s="8">
        <v>54</v>
      </c>
      <c r="N7695" s="8">
        <v>5663295</v>
      </c>
      <c r="O7695" s="8">
        <v>4872317</v>
      </c>
      <c r="P7695" s="8">
        <v>0</v>
      </c>
      <c r="Q7695" s="8" t="str">
        <f t="shared" si="2755"/>
        <v>公安委員会</v>
      </c>
      <c r="R7695" s="8" t="str">
        <f t="shared" si="2754"/>
        <v>高槻警察署</v>
      </c>
    </row>
    <row r="7696" spans="1:18" x14ac:dyDescent="0.45">
      <c r="A7696" s="8" t="str">
        <f>"11551000450"</f>
        <v>11551000450</v>
      </c>
      <c r="B7696" s="8" t="str">
        <f>"三ヶ牧交番"</f>
        <v>三ヶ牧交番</v>
      </c>
      <c r="C7696" s="8" t="str">
        <f t="shared" si="2756"/>
        <v>行政財産</v>
      </c>
      <c r="D7696" s="8" t="str">
        <f t="shared" si="2757"/>
        <v>警察（消防）施設</v>
      </c>
      <c r="E7696" s="8" t="str">
        <f>"大阪府高槻市三島江１丁目"</f>
        <v>大阪府高槻市三島江１丁目</v>
      </c>
      <c r="F7696" s="8"/>
      <c r="G7696" s="8" t="str">
        <f t="shared" si="2749"/>
        <v>事業用資産</v>
      </c>
      <c r="H7696" s="8" t="str">
        <f t="shared" si="2758"/>
        <v>棚卸以外</v>
      </c>
      <c r="I7696" s="8">
        <v>1</v>
      </c>
      <c r="J7696" s="8" t="str">
        <f>"三ヶ牧交番"</f>
        <v>三ヶ牧交番</v>
      </c>
      <c r="K7696" s="8" t="str">
        <f>"鉄筋コンクリート造"</f>
        <v>鉄筋コンクリート造</v>
      </c>
      <c r="L7696" s="8" t="str">
        <f>"H02.02.08"</f>
        <v>H02.02.08</v>
      </c>
      <c r="M7696" s="8">
        <v>54.87</v>
      </c>
      <c r="N7696" s="8">
        <v>17325681</v>
      </c>
      <c r="O7696" s="8">
        <v>11417223</v>
      </c>
      <c r="P7696" s="8">
        <v>0</v>
      </c>
      <c r="Q7696" s="8" t="str">
        <f t="shared" si="2755"/>
        <v>公安委員会</v>
      </c>
      <c r="R7696" s="8" t="str">
        <f t="shared" si="2754"/>
        <v>高槻警察署</v>
      </c>
    </row>
    <row r="7697" spans="1:18" x14ac:dyDescent="0.45">
      <c r="A7697" s="8" t="str">
        <f>"11551000450"</f>
        <v>11551000450</v>
      </c>
      <c r="B7697" s="8" t="str">
        <f>"三ヶ牧交番"</f>
        <v>三ヶ牧交番</v>
      </c>
      <c r="C7697" s="8" t="str">
        <f t="shared" si="2756"/>
        <v>行政財産</v>
      </c>
      <c r="D7697" s="8" t="str">
        <f t="shared" si="2757"/>
        <v>警察（消防）施設</v>
      </c>
      <c r="E7697" s="8" t="str">
        <f>"大阪府高槻市三島江１丁目"</f>
        <v>大阪府高槻市三島江１丁目</v>
      </c>
      <c r="F7697" s="8"/>
      <c r="G7697" s="8" t="str">
        <f t="shared" si="2749"/>
        <v>事業用資産</v>
      </c>
      <c r="H7697" s="8" t="str">
        <f t="shared" si="2758"/>
        <v>棚卸以外</v>
      </c>
      <c r="I7697" s="8">
        <v>3</v>
      </c>
      <c r="J7697" s="8" t="str">
        <f>"自転車置場"</f>
        <v>自転車置場</v>
      </c>
      <c r="K7697" s="8" t="str">
        <f>"軽量鉄骨造"</f>
        <v>軽量鉄骨造</v>
      </c>
      <c r="L7697" s="8" t="str">
        <f>"H02.02.08"</f>
        <v>H02.02.08</v>
      </c>
      <c r="M7697" s="8">
        <v>6</v>
      </c>
      <c r="N7697" s="8">
        <v>291000</v>
      </c>
      <c r="O7697" s="8">
        <v>290999</v>
      </c>
      <c r="P7697" s="8">
        <v>0</v>
      </c>
      <c r="Q7697" s="8" t="str">
        <f t="shared" si="2755"/>
        <v>公安委員会</v>
      </c>
      <c r="R7697" s="8" t="str">
        <f t="shared" si="2754"/>
        <v>高槻警察署</v>
      </c>
    </row>
    <row r="7698" spans="1:18" x14ac:dyDescent="0.45">
      <c r="A7698" s="8" t="str">
        <f>"11551000460"</f>
        <v>11551000460</v>
      </c>
      <c r="B7698" s="8" t="str">
        <f>"八丁畷交番"</f>
        <v>八丁畷交番</v>
      </c>
      <c r="C7698" s="8" t="str">
        <f t="shared" si="2756"/>
        <v>行政財産</v>
      </c>
      <c r="D7698" s="8" t="str">
        <f t="shared" si="2757"/>
        <v>警察（消防）施設</v>
      </c>
      <c r="E7698" s="8" t="str">
        <f>"大阪府高槻市大学町"</f>
        <v>大阪府高槻市大学町</v>
      </c>
      <c r="F7698" s="8"/>
      <c r="G7698" s="8" t="str">
        <f t="shared" si="2749"/>
        <v>事業用資産</v>
      </c>
      <c r="H7698" s="8" t="str">
        <f t="shared" si="2758"/>
        <v>棚卸以外</v>
      </c>
      <c r="I7698" s="8">
        <v>1</v>
      </c>
      <c r="J7698" s="8" t="str">
        <f>"八丁畷交番"</f>
        <v>八丁畷交番</v>
      </c>
      <c r="K7698" s="8" t="str">
        <f>"鉄骨造"</f>
        <v>鉄骨造</v>
      </c>
      <c r="L7698" s="8" t="str">
        <f>"H05.03.29"</f>
        <v>H05.03.29</v>
      </c>
      <c r="M7698" s="8">
        <v>50.76</v>
      </c>
      <c r="N7698" s="8">
        <v>16478587</v>
      </c>
      <c r="O7698" s="8">
        <v>13002670</v>
      </c>
      <c r="P7698" s="8">
        <v>0</v>
      </c>
      <c r="Q7698" s="8" t="str">
        <f t="shared" si="2755"/>
        <v>公安委員会</v>
      </c>
      <c r="R7698" s="8" t="str">
        <f t="shared" si="2754"/>
        <v>高槻警察署</v>
      </c>
    </row>
    <row r="7699" spans="1:18" x14ac:dyDescent="0.45">
      <c r="A7699" s="8" t="str">
        <f>"11551000470"</f>
        <v>11551000470</v>
      </c>
      <c r="B7699" s="8" t="str">
        <f>"清水南芝谷交番"</f>
        <v>清水南芝谷交番</v>
      </c>
      <c r="C7699" s="8" t="str">
        <f t="shared" si="2756"/>
        <v>行政財産</v>
      </c>
      <c r="D7699" s="8" t="str">
        <f t="shared" si="2757"/>
        <v>警察（消防）施設</v>
      </c>
      <c r="E7699" s="8" t="str">
        <f>"大阪府高槻市芝谷町"</f>
        <v>大阪府高槻市芝谷町</v>
      </c>
      <c r="F7699" s="8"/>
      <c r="G7699" s="8" t="str">
        <f t="shared" si="2749"/>
        <v>事業用資産</v>
      </c>
      <c r="H7699" s="8" t="str">
        <f t="shared" si="2758"/>
        <v>棚卸以外</v>
      </c>
      <c r="I7699" s="8">
        <v>1</v>
      </c>
      <c r="J7699" s="8" t="str">
        <f>"清水南芝谷交番"</f>
        <v>清水南芝谷交番</v>
      </c>
      <c r="K7699" s="8" t="str">
        <f>"鉄骨造"</f>
        <v>鉄骨造</v>
      </c>
      <c r="L7699" s="8" t="str">
        <f>"H09.03.28"</f>
        <v>H09.03.28</v>
      </c>
      <c r="M7699" s="8">
        <v>65.23</v>
      </c>
      <c r="N7699" s="8">
        <v>20790115</v>
      </c>
      <c r="O7699" s="8">
        <v>14189024</v>
      </c>
      <c r="P7699" s="8">
        <v>0</v>
      </c>
      <c r="Q7699" s="8" t="str">
        <f t="shared" si="2755"/>
        <v>公安委員会</v>
      </c>
      <c r="R7699" s="8" t="str">
        <f t="shared" si="2754"/>
        <v>高槻警察署</v>
      </c>
    </row>
    <row r="7700" spans="1:18" x14ac:dyDescent="0.45">
      <c r="A7700" s="8" t="str">
        <f t="shared" ref="A7700:A7705" si="2759">"11552000000"</f>
        <v>11552000000</v>
      </c>
      <c r="B7700" s="8" t="str">
        <f t="shared" ref="B7700:B7705" si="2760">"茨木警察署"</f>
        <v>茨木警察署</v>
      </c>
      <c r="C7700" s="8" t="str">
        <f t="shared" si="2756"/>
        <v>行政財産</v>
      </c>
      <c r="D7700" s="8" t="str">
        <f t="shared" si="2757"/>
        <v>警察（消防）施設</v>
      </c>
      <c r="E7700" s="8" t="str">
        <f t="shared" ref="E7700:E7705" si="2761">"大阪府茨木市中穂積１丁目"</f>
        <v>大阪府茨木市中穂積１丁目</v>
      </c>
      <c r="F7700" s="8"/>
      <c r="G7700" s="8" t="str">
        <f t="shared" si="2749"/>
        <v>事業用資産</v>
      </c>
      <c r="H7700" s="8" t="str">
        <f t="shared" si="2758"/>
        <v>棚卸以外</v>
      </c>
      <c r="I7700" s="8">
        <v>26</v>
      </c>
      <c r="J7700" s="8" t="str">
        <f>"庁舎"</f>
        <v>庁舎</v>
      </c>
      <c r="K7700" s="8" t="str">
        <f>"鉄筋コンクリート造"</f>
        <v>鉄筋コンクリート造</v>
      </c>
      <c r="L7700" s="8" t="str">
        <f>"S50.03.31"</f>
        <v>S50.03.31</v>
      </c>
      <c r="M7700" s="8">
        <v>3253.57</v>
      </c>
      <c r="N7700" s="8">
        <v>563469709</v>
      </c>
      <c r="O7700" s="8">
        <v>467355929</v>
      </c>
      <c r="P7700" s="8">
        <v>0</v>
      </c>
      <c r="Q7700" s="8" t="str">
        <f t="shared" si="2755"/>
        <v>公安委員会</v>
      </c>
      <c r="R7700" s="8" t="str">
        <f t="shared" ref="R7700:R7729" si="2762">"茨木警察署"</f>
        <v>茨木警察署</v>
      </c>
    </row>
    <row r="7701" spans="1:18" x14ac:dyDescent="0.45">
      <c r="A7701" s="8" t="str">
        <f t="shared" si="2759"/>
        <v>11552000000</v>
      </c>
      <c r="B7701" s="8" t="str">
        <f t="shared" si="2760"/>
        <v>茨木警察署</v>
      </c>
      <c r="C7701" s="8" t="str">
        <f t="shared" si="2756"/>
        <v>行政財産</v>
      </c>
      <c r="D7701" s="8" t="str">
        <f t="shared" si="2757"/>
        <v>警察（消防）施設</v>
      </c>
      <c r="E7701" s="8" t="str">
        <f t="shared" si="2761"/>
        <v>大阪府茨木市中穂積１丁目</v>
      </c>
      <c r="F7701" s="8"/>
      <c r="G7701" s="8" t="str">
        <f t="shared" si="2749"/>
        <v>事業用資産</v>
      </c>
      <c r="H7701" s="8" t="str">
        <f t="shared" si="2758"/>
        <v>棚卸以外</v>
      </c>
      <c r="I7701" s="8">
        <v>27</v>
      </c>
      <c r="J7701" s="8" t="str">
        <f>"車庫"</f>
        <v>車庫</v>
      </c>
      <c r="K7701" s="8" t="str">
        <f>"鉄骨造"</f>
        <v>鉄骨造</v>
      </c>
      <c r="L7701" s="8" t="str">
        <f>"S50.03.31"</f>
        <v>S50.03.31</v>
      </c>
      <c r="M7701" s="8">
        <v>115.5</v>
      </c>
      <c r="N7701" s="8">
        <v>3517000</v>
      </c>
      <c r="O7701" s="8">
        <v>3516999</v>
      </c>
      <c r="P7701" s="8">
        <v>0</v>
      </c>
      <c r="Q7701" s="8" t="str">
        <f t="shared" si="2755"/>
        <v>公安委員会</v>
      </c>
      <c r="R7701" s="8" t="str">
        <f t="shared" si="2762"/>
        <v>茨木警察署</v>
      </c>
    </row>
    <row r="7702" spans="1:18" x14ac:dyDescent="0.45">
      <c r="A7702" s="8" t="str">
        <f t="shared" si="2759"/>
        <v>11552000000</v>
      </c>
      <c r="B7702" s="8" t="str">
        <f t="shared" si="2760"/>
        <v>茨木警察署</v>
      </c>
      <c r="C7702" s="8" t="str">
        <f t="shared" si="2756"/>
        <v>行政財産</v>
      </c>
      <c r="D7702" s="8" t="str">
        <f t="shared" si="2757"/>
        <v>警察（消防）施設</v>
      </c>
      <c r="E7702" s="8" t="str">
        <f t="shared" si="2761"/>
        <v>大阪府茨木市中穂積１丁目</v>
      </c>
      <c r="F7702" s="8"/>
      <c r="G7702" s="8" t="str">
        <f t="shared" si="2749"/>
        <v>事業用資産</v>
      </c>
      <c r="H7702" s="8" t="str">
        <f t="shared" si="2758"/>
        <v>棚卸以外</v>
      </c>
      <c r="I7702" s="8">
        <v>28</v>
      </c>
      <c r="J7702" s="8" t="str">
        <f>"車庫及び自転車置場"</f>
        <v>車庫及び自転車置場</v>
      </c>
      <c r="K7702" s="8" t="str">
        <f>"鉄骨造"</f>
        <v>鉄骨造</v>
      </c>
      <c r="L7702" s="8" t="str">
        <f>"S50.03.31"</f>
        <v>S50.03.31</v>
      </c>
      <c r="M7702" s="8">
        <v>192.5</v>
      </c>
      <c r="N7702" s="8">
        <v>6752993</v>
      </c>
      <c r="O7702" s="8">
        <v>5922049</v>
      </c>
      <c r="P7702" s="8">
        <v>0</v>
      </c>
      <c r="Q7702" s="8" t="str">
        <f t="shared" si="2755"/>
        <v>公安委員会</v>
      </c>
      <c r="R7702" s="8" t="str">
        <f t="shared" si="2762"/>
        <v>茨木警察署</v>
      </c>
    </row>
    <row r="7703" spans="1:18" x14ac:dyDescent="0.45">
      <c r="A7703" s="8" t="str">
        <f t="shared" si="2759"/>
        <v>11552000000</v>
      </c>
      <c r="B7703" s="8" t="str">
        <f t="shared" si="2760"/>
        <v>茨木警察署</v>
      </c>
      <c r="C7703" s="8" t="str">
        <f t="shared" si="2756"/>
        <v>行政財産</v>
      </c>
      <c r="D7703" s="8" t="str">
        <f t="shared" si="2757"/>
        <v>警察（消防）施設</v>
      </c>
      <c r="E7703" s="8" t="str">
        <f t="shared" si="2761"/>
        <v>大阪府茨木市中穂積１丁目</v>
      </c>
      <c r="F7703" s="8"/>
      <c r="G7703" s="8" t="str">
        <f t="shared" ref="G7703:G7766" si="2763">"事業用資産"</f>
        <v>事業用資産</v>
      </c>
      <c r="H7703" s="8" t="str">
        <f t="shared" si="2758"/>
        <v>棚卸以外</v>
      </c>
      <c r="I7703" s="8">
        <v>29</v>
      </c>
      <c r="J7703" s="8" t="str">
        <f>"拾得物倉庫"</f>
        <v>拾得物倉庫</v>
      </c>
      <c r="K7703" s="8" t="str">
        <f>"鉄骨造"</f>
        <v>鉄骨造</v>
      </c>
      <c r="L7703" s="8" t="str">
        <f>"S50.03.31"</f>
        <v>S50.03.31</v>
      </c>
      <c r="M7703" s="8">
        <v>42</v>
      </c>
      <c r="N7703" s="8">
        <v>3482000</v>
      </c>
      <c r="O7703" s="8">
        <v>3481999</v>
      </c>
      <c r="P7703" s="8">
        <v>0</v>
      </c>
      <c r="Q7703" s="8" t="str">
        <f t="shared" si="2755"/>
        <v>公安委員会</v>
      </c>
      <c r="R7703" s="8" t="str">
        <f t="shared" si="2762"/>
        <v>茨木警察署</v>
      </c>
    </row>
    <row r="7704" spans="1:18" x14ac:dyDescent="0.45">
      <c r="A7704" s="8" t="str">
        <f t="shared" si="2759"/>
        <v>11552000000</v>
      </c>
      <c r="B7704" s="8" t="str">
        <f t="shared" si="2760"/>
        <v>茨木警察署</v>
      </c>
      <c r="C7704" s="8" t="str">
        <f t="shared" si="2756"/>
        <v>行政財産</v>
      </c>
      <c r="D7704" s="8" t="str">
        <f t="shared" si="2757"/>
        <v>警察（消防）施設</v>
      </c>
      <c r="E7704" s="8" t="str">
        <f t="shared" si="2761"/>
        <v>大阪府茨木市中穂積１丁目</v>
      </c>
      <c r="F7704" s="8"/>
      <c r="G7704" s="8" t="str">
        <f t="shared" si="2763"/>
        <v>事業用資産</v>
      </c>
      <c r="H7704" s="8" t="str">
        <f t="shared" si="2758"/>
        <v>棚卸以外</v>
      </c>
      <c r="I7704" s="8">
        <v>30</v>
      </c>
      <c r="J7704" s="8" t="str">
        <f>"署長公舎"</f>
        <v>署長公舎</v>
      </c>
      <c r="K7704" s="8" t="str">
        <f>"木造"</f>
        <v>木造</v>
      </c>
      <c r="L7704" s="8" t="str">
        <f>"S50.03.31"</f>
        <v>S50.03.31</v>
      </c>
      <c r="M7704" s="8">
        <v>82.81</v>
      </c>
      <c r="N7704" s="8">
        <v>9232774</v>
      </c>
      <c r="O7704" s="8">
        <v>9211389</v>
      </c>
      <c r="P7704" s="8">
        <v>0</v>
      </c>
      <c r="Q7704" s="8" t="str">
        <f t="shared" si="2755"/>
        <v>公安委員会</v>
      </c>
      <c r="R7704" s="8" t="str">
        <f t="shared" si="2762"/>
        <v>茨木警察署</v>
      </c>
    </row>
    <row r="7705" spans="1:18" x14ac:dyDescent="0.45">
      <c r="A7705" s="8" t="str">
        <f t="shared" si="2759"/>
        <v>11552000000</v>
      </c>
      <c r="B7705" s="8" t="str">
        <f t="shared" si="2760"/>
        <v>茨木警察署</v>
      </c>
      <c r="C7705" s="8" t="str">
        <f t="shared" si="2756"/>
        <v>行政財産</v>
      </c>
      <c r="D7705" s="8" t="str">
        <f t="shared" si="2757"/>
        <v>警察（消防）施設</v>
      </c>
      <c r="E7705" s="8" t="str">
        <f t="shared" si="2761"/>
        <v>大阪府茨木市中穂積１丁目</v>
      </c>
      <c r="F7705" s="8"/>
      <c r="G7705" s="8" t="str">
        <f t="shared" si="2763"/>
        <v>事業用資産</v>
      </c>
      <c r="H7705" s="8" t="str">
        <f t="shared" si="2758"/>
        <v>棚卸以外</v>
      </c>
      <c r="I7705" s="8">
        <v>33</v>
      </c>
      <c r="J7705" s="8" t="str">
        <f>"資材倉庫"</f>
        <v>資材倉庫</v>
      </c>
      <c r="K7705" s="8" t="str">
        <f>"プレハブ"</f>
        <v>プレハブ</v>
      </c>
      <c r="L7705" s="8" t="str">
        <f>"S62.03.31"</f>
        <v>S62.03.31</v>
      </c>
      <c r="M7705" s="8">
        <v>5.76</v>
      </c>
      <c r="N7705" s="8">
        <v>406000</v>
      </c>
      <c r="O7705" s="8">
        <v>405999</v>
      </c>
      <c r="P7705" s="8">
        <v>0</v>
      </c>
      <c r="Q7705" s="8" t="str">
        <f t="shared" si="2755"/>
        <v>公安委員会</v>
      </c>
      <c r="R7705" s="8" t="str">
        <f t="shared" si="2762"/>
        <v>茨木警察署</v>
      </c>
    </row>
    <row r="7706" spans="1:18" x14ac:dyDescent="0.45">
      <c r="A7706" s="8" t="str">
        <f>"11552000120"</f>
        <v>11552000120</v>
      </c>
      <c r="B7706" s="8" t="str">
        <f>"茨木駅前交番"</f>
        <v>茨木駅前交番</v>
      </c>
      <c r="C7706" s="8" t="str">
        <f t="shared" si="2756"/>
        <v>行政財産</v>
      </c>
      <c r="D7706" s="8" t="str">
        <f t="shared" si="2757"/>
        <v>警察（消防）施設</v>
      </c>
      <c r="E7706" s="8" t="str">
        <f>"大阪府茨木市駅前１丁目"</f>
        <v>大阪府茨木市駅前１丁目</v>
      </c>
      <c r="F7706" s="8"/>
      <c r="G7706" s="8" t="str">
        <f t="shared" si="2763"/>
        <v>事業用資産</v>
      </c>
      <c r="H7706" s="8" t="str">
        <f t="shared" si="2758"/>
        <v>棚卸以外</v>
      </c>
      <c r="I7706" s="8">
        <v>2</v>
      </c>
      <c r="J7706" s="8" t="str">
        <f>"茨木駅前交番"</f>
        <v>茨木駅前交番</v>
      </c>
      <c r="K7706" s="8" t="str">
        <f>"鉄骨造"</f>
        <v>鉄骨造</v>
      </c>
      <c r="L7706" s="8" t="str">
        <f>"S54.03.31"</f>
        <v>S54.03.31</v>
      </c>
      <c r="M7706" s="8">
        <v>54</v>
      </c>
      <c r="N7706" s="8">
        <v>11059962</v>
      </c>
      <c r="O7706" s="8">
        <v>11002050</v>
      </c>
      <c r="P7706" s="8">
        <v>0</v>
      </c>
      <c r="Q7706" s="8" t="str">
        <f t="shared" si="2755"/>
        <v>公安委員会</v>
      </c>
      <c r="R7706" s="8" t="str">
        <f t="shared" si="2762"/>
        <v>茨木警察署</v>
      </c>
    </row>
    <row r="7707" spans="1:18" x14ac:dyDescent="0.45">
      <c r="A7707" s="8" t="str">
        <f>"11552000180"</f>
        <v>11552000180</v>
      </c>
      <c r="B7707" s="8" t="str">
        <f>"玉櫛交番"</f>
        <v>玉櫛交番</v>
      </c>
      <c r="C7707" s="8" t="str">
        <f t="shared" si="2756"/>
        <v>行政財産</v>
      </c>
      <c r="D7707" s="8" t="str">
        <f t="shared" si="2757"/>
        <v>警察（消防）施設</v>
      </c>
      <c r="E7707" s="8" t="str">
        <f>"大阪府茨木市水尾３丁目"</f>
        <v>大阪府茨木市水尾３丁目</v>
      </c>
      <c r="F7707" s="8"/>
      <c r="G7707" s="8" t="str">
        <f t="shared" si="2763"/>
        <v>事業用資産</v>
      </c>
      <c r="H7707" s="8" t="str">
        <f t="shared" si="2758"/>
        <v>棚卸以外</v>
      </c>
      <c r="I7707" s="8">
        <v>2</v>
      </c>
      <c r="J7707" s="8" t="str">
        <f>"玉櫛交番"</f>
        <v>玉櫛交番</v>
      </c>
      <c r="K7707" s="8" t="str">
        <f>"鉄筋コンクリート造"</f>
        <v>鉄筋コンクリート造</v>
      </c>
      <c r="L7707" s="8" t="str">
        <f>"S59.03.31"</f>
        <v>S59.03.31</v>
      </c>
      <c r="M7707" s="8">
        <v>54</v>
      </c>
      <c r="N7707" s="8">
        <v>14950306</v>
      </c>
      <c r="O7707" s="8">
        <v>11528523</v>
      </c>
      <c r="P7707" s="8">
        <v>0</v>
      </c>
      <c r="Q7707" s="8" t="str">
        <f t="shared" si="2755"/>
        <v>公安委員会</v>
      </c>
      <c r="R7707" s="8" t="str">
        <f t="shared" si="2762"/>
        <v>茨木警察署</v>
      </c>
    </row>
    <row r="7708" spans="1:18" x14ac:dyDescent="0.45">
      <c r="A7708" s="8" t="str">
        <f>"11552000180"</f>
        <v>11552000180</v>
      </c>
      <c r="B7708" s="8" t="str">
        <f>"玉櫛交番"</f>
        <v>玉櫛交番</v>
      </c>
      <c r="C7708" s="8" t="str">
        <f t="shared" si="2756"/>
        <v>行政財産</v>
      </c>
      <c r="D7708" s="8" t="str">
        <f t="shared" si="2757"/>
        <v>警察（消防）施設</v>
      </c>
      <c r="E7708" s="8" t="str">
        <f>"大阪府茨木市水尾３丁目"</f>
        <v>大阪府茨木市水尾３丁目</v>
      </c>
      <c r="F7708" s="8"/>
      <c r="G7708" s="8" t="str">
        <f t="shared" si="2763"/>
        <v>事業用資産</v>
      </c>
      <c r="H7708" s="8" t="str">
        <f t="shared" si="2758"/>
        <v>棚卸以外</v>
      </c>
      <c r="I7708" s="8">
        <v>3</v>
      </c>
      <c r="J7708" s="8" t="str">
        <f>"自転車置場"</f>
        <v>自転車置場</v>
      </c>
      <c r="K7708" s="8" t="str">
        <f>"軽量鉄骨造"</f>
        <v>軽量鉄骨造</v>
      </c>
      <c r="L7708" s="8" t="str">
        <f>"S59.03.31"</f>
        <v>S59.03.31</v>
      </c>
      <c r="M7708" s="8">
        <v>5.43</v>
      </c>
      <c r="N7708" s="8">
        <v>190000</v>
      </c>
      <c r="O7708" s="8">
        <v>189999</v>
      </c>
      <c r="P7708" s="8">
        <v>0</v>
      </c>
      <c r="Q7708" s="8" t="str">
        <f t="shared" si="2755"/>
        <v>公安委員会</v>
      </c>
      <c r="R7708" s="8" t="str">
        <f t="shared" si="2762"/>
        <v>茨木警察署</v>
      </c>
    </row>
    <row r="7709" spans="1:18" x14ac:dyDescent="0.45">
      <c r="A7709" s="8" t="str">
        <f>"11552000190"</f>
        <v>11552000190</v>
      </c>
      <c r="B7709" s="8" t="str">
        <f>"玉島交番"</f>
        <v>玉島交番</v>
      </c>
      <c r="C7709" s="8" t="str">
        <f t="shared" si="2756"/>
        <v>行政財産</v>
      </c>
      <c r="D7709" s="8" t="str">
        <f t="shared" si="2757"/>
        <v>警察（消防）施設</v>
      </c>
      <c r="E7709" s="8" t="str">
        <f>"大阪府茨木市玉島２丁目"</f>
        <v>大阪府茨木市玉島２丁目</v>
      </c>
      <c r="F7709" s="8"/>
      <c r="G7709" s="8" t="str">
        <f t="shared" si="2763"/>
        <v>事業用資産</v>
      </c>
      <c r="H7709" s="8" t="str">
        <f t="shared" si="2758"/>
        <v>棚卸以外</v>
      </c>
      <c r="I7709" s="8">
        <v>2</v>
      </c>
      <c r="J7709" s="8" t="str">
        <f>"玉島交番"</f>
        <v>玉島交番</v>
      </c>
      <c r="K7709" s="8" t="str">
        <f>"鉄筋コンクリート造"</f>
        <v>鉄筋コンクリート造</v>
      </c>
      <c r="L7709" s="8" t="str">
        <f>"S48.03.31"</f>
        <v>S48.03.31</v>
      </c>
      <c r="M7709" s="8">
        <v>49.41</v>
      </c>
      <c r="N7709" s="8">
        <v>3526182</v>
      </c>
      <c r="O7709" s="8">
        <v>3444914</v>
      </c>
      <c r="P7709" s="8">
        <v>0</v>
      </c>
      <c r="Q7709" s="8" t="str">
        <f t="shared" si="2755"/>
        <v>公安委員会</v>
      </c>
      <c r="R7709" s="8" t="str">
        <f t="shared" si="2762"/>
        <v>茨木警察署</v>
      </c>
    </row>
    <row r="7710" spans="1:18" x14ac:dyDescent="0.45">
      <c r="A7710" s="8" t="str">
        <f>"11552000250"</f>
        <v>11552000250</v>
      </c>
      <c r="B7710" s="8" t="str">
        <f>"鮎川交番"</f>
        <v>鮎川交番</v>
      </c>
      <c r="C7710" s="8" t="str">
        <f t="shared" si="2756"/>
        <v>行政財産</v>
      </c>
      <c r="D7710" s="8" t="str">
        <f t="shared" si="2757"/>
        <v>警察（消防）施設</v>
      </c>
      <c r="E7710" s="8" t="str">
        <f>"大阪府茨木市鮎川５丁目"</f>
        <v>大阪府茨木市鮎川５丁目</v>
      </c>
      <c r="F7710" s="8"/>
      <c r="G7710" s="8" t="str">
        <f t="shared" si="2763"/>
        <v>事業用資産</v>
      </c>
      <c r="H7710" s="8" t="str">
        <f t="shared" si="2758"/>
        <v>棚卸以外</v>
      </c>
      <c r="I7710" s="8">
        <v>4</v>
      </c>
      <c r="J7710" s="8" t="str">
        <f>"鮎川交番"</f>
        <v>鮎川交番</v>
      </c>
      <c r="K7710" s="8" t="str">
        <f>"鉄筋コンクリート造"</f>
        <v>鉄筋コンクリート造</v>
      </c>
      <c r="L7710" s="8" t="str">
        <f>"S62.03.30"</f>
        <v>S62.03.30</v>
      </c>
      <c r="M7710" s="8">
        <v>54</v>
      </c>
      <c r="N7710" s="8">
        <v>15891217</v>
      </c>
      <c r="O7710" s="8">
        <v>11381034</v>
      </c>
      <c r="P7710" s="8">
        <v>0</v>
      </c>
      <c r="Q7710" s="8" t="str">
        <f t="shared" si="2755"/>
        <v>公安委員会</v>
      </c>
      <c r="R7710" s="8" t="str">
        <f t="shared" si="2762"/>
        <v>茨木警察署</v>
      </c>
    </row>
    <row r="7711" spans="1:18" x14ac:dyDescent="0.45">
      <c r="A7711" s="8" t="str">
        <f>"11552000250"</f>
        <v>11552000250</v>
      </c>
      <c r="B7711" s="8" t="str">
        <f>"鮎川交番"</f>
        <v>鮎川交番</v>
      </c>
      <c r="C7711" s="8" t="str">
        <f t="shared" si="2756"/>
        <v>行政財産</v>
      </c>
      <c r="D7711" s="8" t="str">
        <f t="shared" si="2757"/>
        <v>警察（消防）施設</v>
      </c>
      <c r="E7711" s="8" t="str">
        <f>"大阪府茨木市鮎川５丁目"</f>
        <v>大阪府茨木市鮎川５丁目</v>
      </c>
      <c r="F7711" s="8"/>
      <c r="G7711" s="8" t="str">
        <f t="shared" si="2763"/>
        <v>事業用資産</v>
      </c>
      <c r="H7711" s="8" t="str">
        <f t="shared" si="2758"/>
        <v>棚卸以外</v>
      </c>
      <c r="I7711" s="8">
        <v>5</v>
      </c>
      <c r="J7711" s="8" t="str">
        <f>"自転車置場"</f>
        <v>自転車置場</v>
      </c>
      <c r="K7711" s="8" t="str">
        <f>"鉄骨造"</f>
        <v>鉄骨造</v>
      </c>
      <c r="L7711" s="8" t="str">
        <f>"S62.03.30"</f>
        <v>S62.03.30</v>
      </c>
      <c r="M7711" s="8">
        <v>6</v>
      </c>
      <c r="N7711" s="8">
        <v>190000</v>
      </c>
      <c r="O7711" s="8">
        <v>189999</v>
      </c>
      <c r="P7711" s="8">
        <v>0</v>
      </c>
      <c r="Q7711" s="8" t="str">
        <f t="shared" si="2755"/>
        <v>公安委員会</v>
      </c>
      <c r="R7711" s="8" t="str">
        <f t="shared" si="2762"/>
        <v>茨木警察署</v>
      </c>
    </row>
    <row r="7712" spans="1:18" x14ac:dyDescent="0.45">
      <c r="A7712" s="8" t="str">
        <f>"11552000260"</f>
        <v>11552000260</v>
      </c>
      <c r="B7712" s="8" t="str">
        <f>"清渓駐在所"</f>
        <v>清渓駐在所</v>
      </c>
      <c r="C7712" s="8" t="str">
        <f t="shared" si="2756"/>
        <v>行政財産</v>
      </c>
      <c r="D7712" s="8" t="str">
        <f t="shared" si="2757"/>
        <v>警察（消防）施設</v>
      </c>
      <c r="E7712" s="8" t="str">
        <f>"大阪府茨木市大字泉原"</f>
        <v>大阪府茨木市大字泉原</v>
      </c>
      <c r="F7712" s="8"/>
      <c r="G7712" s="8" t="str">
        <f t="shared" si="2763"/>
        <v>事業用資産</v>
      </c>
      <c r="H7712" s="8" t="str">
        <f t="shared" si="2758"/>
        <v>棚卸以外</v>
      </c>
      <c r="I7712" s="8">
        <v>2</v>
      </c>
      <c r="J7712" s="8" t="str">
        <f>"清渓駐在所"</f>
        <v>清渓駐在所</v>
      </c>
      <c r="K7712" s="8" t="str">
        <f>"鉄骨造"</f>
        <v>鉄骨造</v>
      </c>
      <c r="L7712" s="8" t="str">
        <f>"H10.11.25"</f>
        <v>H10.11.25</v>
      </c>
      <c r="M7712" s="8">
        <v>91.32</v>
      </c>
      <c r="N7712" s="8">
        <v>22477000</v>
      </c>
      <c r="O7712" s="8">
        <v>14393264</v>
      </c>
      <c r="P7712" s="8">
        <v>0</v>
      </c>
      <c r="Q7712" s="8" t="str">
        <f t="shared" si="2755"/>
        <v>公安委員会</v>
      </c>
      <c r="R7712" s="8" t="str">
        <f t="shared" si="2762"/>
        <v>茨木警察署</v>
      </c>
    </row>
    <row r="7713" spans="1:18" x14ac:dyDescent="0.45">
      <c r="A7713" s="8" t="str">
        <f>"11552000270"</f>
        <v>11552000270</v>
      </c>
      <c r="B7713" s="8" t="str">
        <f>"郡交番"</f>
        <v>郡交番</v>
      </c>
      <c r="C7713" s="8" t="str">
        <f t="shared" si="2756"/>
        <v>行政財産</v>
      </c>
      <c r="D7713" s="8" t="str">
        <f t="shared" si="2757"/>
        <v>警察（消防）施設</v>
      </c>
      <c r="E7713" s="8" t="str">
        <f>"大阪府茨木市上郡１丁目"</f>
        <v>大阪府茨木市上郡１丁目</v>
      </c>
      <c r="F7713" s="8"/>
      <c r="G7713" s="8" t="str">
        <f t="shared" si="2763"/>
        <v>事業用資産</v>
      </c>
      <c r="H7713" s="8" t="str">
        <f t="shared" si="2758"/>
        <v>棚卸以外</v>
      </c>
      <c r="I7713" s="8">
        <v>1</v>
      </c>
      <c r="J7713" s="8" t="str">
        <f>"郡交番"</f>
        <v>郡交番</v>
      </c>
      <c r="K7713" s="8" t="str">
        <f>"鉄筋コンクリート造"</f>
        <v>鉄筋コンクリート造</v>
      </c>
      <c r="L7713" s="8" t="str">
        <f>"S44.02.07"</f>
        <v>S44.02.07</v>
      </c>
      <c r="M7713" s="8">
        <v>50.71</v>
      </c>
      <c r="N7713" s="8">
        <v>3415456</v>
      </c>
      <c r="O7713" s="8">
        <v>3132413</v>
      </c>
      <c r="P7713" s="8">
        <v>0</v>
      </c>
      <c r="Q7713" s="8" t="str">
        <f t="shared" si="2755"/>
        <v>公安委員会</v>
      </c>
      <c r="R7713" s="8" t="str">
        <f t="shared" si="2762"/>
        <v>茨木警察署</v>
      </c>
    </row>
    <row r="7714" spans="1:18" x14ac:dyDescent="0.45">
      <c r="A7714" s="8" t="str">
        <f>"11552000270"</f>
        <v>11552000270</v>
      </c>
      <c r="B7714" s="8" t="str">
        <f>"郡交番"</f>
        <v>郡交番</v>
      </c>
      <c r="C7714" s="8" t="str">
        <f t="shared" si="2756"/>
        <v>行政財産</v>
      </c>
      <c r="D7714" s="8" t="str">
        <f t="shared" si="2757"/>
        <v>警察（消防）施設</v>
      </c>
      <c r="E7714" s="8" t="str">
        <f>"大阪府茨木市上郡１丁目"</f>
        <v>大阪府茨木市上郡１丁目</v>
      </c>
      <c r="F7714" s="8"/>
      <c r="G7714" s="8" t="str">
        <f t="shared" si="2763"/>
        <v>事業用資産</v>
      </c>
      <c r="H7714" s="8" t="str">
        <f t="shared" si="2758"/>
        <v>棚卸以外</v>
      </c>
      <c r="I7714" s="8">
        <v>2</v>
      </c>
      <c r="J7714" s="8" t="str">
        <f>"車庫"</f>
        <v>車庫</v>
      </c>
      <c r="K7714" s="8" t="str">
        <f>"軽量鉄骨造"</f>
        <v>軽量鉄骨造</v>
      </c>
      <c r="L7714" s="8" t="str">
        <f>"S61.03.31"</f>
        <v>S61.03.31</v>
      </c>
      <c r="M7714" s="8">
        <v>21.05</v>
      </c>
      <c r="N7714" s="8">
        <v>433000</v>
      </c>
      <c r="O7714" s="8">
        <v>432999</v>
      </c>
      <c r="P7714" s="8">
        <v>0</v>
      </c>
      <c r="Q7714" s="8" t="str">
        <f t="shared" si="2755"/>
        <v>公安委員会</v>
      </c>
      <c r="R7714" s="8" t="str">
        <f t="shared" si="2762"/>
        <v>茨木警察署</v>
      </c>
    </row>
    <row r="7715" spans="1:18" x14ac:dyDescent="0.45">
      <c r="A7715" s="8" t="str">
        <f>"11552000290"</f>
        <v>11552000290</v>
      </c>
      <c r="B7715" s="8" t="str">
        <f>"豊川交番"</f>
        <v>豊川交番</v>
      </c>
      <c r="C7715" s="8" t="str">
        <f t="shared" si="2756"/>
        <v>行政財産</v>
      </c>
      <c r="D7715" s="8" t="str">
        <f t="shared" si="2757"/>
        <v>警察（消防）施設</v>
      </c>
      <c r="E7715" s="8" t="str">
        <f>"大阪府茨木市南清水町"</f>
        <v>大阪府茨木市南清水町</v>
      </c>
      <c r="F7715" s="8"/>
      <c r="G7715" s="8" t="str">
        <f t="shared" si="2763"/>
        <v>事業用資産</v>
      </c>
      <c r="H7715" s="8" t="str">
        <f t="shared" si="2758"/>
        <v>棚卸以外</v>
      </c>
      <c r="I7715" s="8">
        <v>2</v>
      </c>
      <c r="J7715" s="8" t="str">
        <f>"豊川交番"</f>
        <v>豊川交番</v>
      </c>
      <c r="K7715" s="8" t="str">
        <f>"軽量鉄骨造"</f>
        <v>軽量鉄骨造</v>
      </c>
      <c r="L7715" s="8" t="str">
        <f>"H23.12.19"</f>
        <v>H23.12.19</v>
      </c>
      <c r="M7715" s="8">
        <v>49.76</v>
      </c>
      <c r="N7715" s="8">
        <v>16919106</v>
      </c>
      <c r="O7715" s="8">
        <v>7957008</v>
      </c>
      <c r="P7715" s="8">
        <v>0</v>
      </c>
      <c r="Q7715" s="8" t="str">
        <f t="shared" si="2755"/>
        <v>公安委員会</v>
      </c>
      <c r="R7715" s="8" t="str">
        <f t="shared" si="2762"/>
        <v>茨木警察署</v>
      </c>
    </row>
    <row r="7716" spans="1:18" x14ac:dyDescent="0.45">
      <c r="A7716" s="8" t="str">
        <f>"11552000310"</f>
        <v>11552000310</v>
      </c>
      <c r="B7716" s="8" t="str">
        <f>"春日丘交番"</f>
        <v>春日丘交番</v>
      </c>
      <c r="C7716" s="8" t="str">
        <f t="shared" si="2756"/>
        <v>行政財産</v>
      </c>
      <c r="D7716" s="8" t="str">
        <f t="shared" si="2757"/>
        <v>警察（消防）施設</v>
      </c>
      <c r="E7716" s="8" t="str">
        <f>"大阪府茨木市南春日丘１丁目"</f>
        <v>大阪府茨木市南春日丘１丁目</v>
      </c>
      <c r="F7716" s="8"/>
      <c r="G7716" s="8" t="str">
        <f t="shared" si="2763"/>
        <v>事業用資産</v>
      </c>
      <c r="H7716" s="8" t="str">
        <f t="shared" si="2758"/>
        <v>棚卸以外</v>
      </c>
      <c r="I7716" s="8">
        <v>1</v>
      </c>
      <c r="J7716" s="8" t="str">
        <f>"春日丘交番"</f>
        <v>春日丘交番</v>
      </c>
      <c r="K7716" s="8" t="str">
        <f>"鉄筋コンクリート造"</f>
        <v>鉄筋コンクリート造</v>
      </c>
      <c r="L7716" s="8" t="str">
        <f>"S44.06.26"</f>
        <v>S44.06.26</v>
      </c>
      <c r="M7716" s="8">
        <v>32.4</v>
      </c>
      <c r="N7716" s="8">
        <v>2410724</v>
      </c>
      <c r="O7716" s="8">
        <v>2349239</v>
      </c>
      <c r="P7716" s="8">
        <v>0</v>
      </c>
      <c r="Q7716" s="8" t="str">
        <f t="shared" si="2755"/>
        <v>公安委員会</v>
      </c>
      <c r="R7716" s="8" t="str">
        <f t="shared" si="2762"/>
        <v>茨木警察署</v>
      </c>
    </row>
    <row r="7717" spans="1:18" x14ac:dyDescent="0.45">
      <c r="A7717" s="8" t="str">
        <f>"11552000380"</f>
        <v>11552000380</v>
      </c>
      <c r="B7717" s="8" t="str">
        <f>"耳原交番"</f>
        <v>耳原交番</v>
      </c>
      <c r="C7717" s="8" t="str">
        <f t="shared" si="2756"/>
        <v>行政財産</v>
      </c>
      <c r="D7717" s="8" t="str">
        <f t="shared" si="2757"/>
        <v>警察（消防）施設</v>
      </c>
      <c r="E7717" s="8" t="str">
        <f>"大阪府茨木市南耳原２丁目"</f>
        <v>大阪府茨木市南耳原２丁目</v>
      </c>
      <c r="F7717" s="8"/>
      <c r="G7717" s="8" t="str">
        <f t="shared" si="2763"/>
        <v>事業用資産</v>
      </c>
      <c r="H7717" s="8" t="str">
        <f t="shared" si="2758"/>
        <v>棚卸以外</v>
      </c>
      <c r="I7717" s="8">
        <v>2</v>
      </c>
      <c r="J7717" s="8" t="str">
        <f>"耳原交番"</f>
        <v>耳原交番</v>
      </c>
      <c r="K7717" s="8" t="str">
        <f>"鉄骨造"</f>
        <v>鉄骨造</v>
      </c>
      <c r="L7717" s="8" t="str">
        <f>"H06.12.26"</f>
        <v>H06.12.26</v>
      </c>
      <c r="M7717" s="8">
        <v>53.99</v>
      </c>
      <c r="N7717" s="8">
        <v>17134173</v>
      </c>
      <c r="O7717" s="8">
        <v>12694302</v>
      </c>
      <c r="P7717" s="8">
        <v>0</v>
      </c>
      <c r="Q7717" s="8" t="str">
        <f t="shared" si="2755"/>
        <v>公安委員会</v>
      </c>
      <c r="R7717" s="8" t="str">
        <f t="shared" si="2762"/>
        <v>茨木警察署</v>
      </c>
    </row>
    <row r="7718" spans="1:18" x14ac:dyDescent="0.45">
      <c r="A7718" s="8" t="str">
        <f>"11552000400"</f>
        <v>11552000400</v>
      </c>
      <c r="B7718" s="8" t="str">
        <f>"見山駐在所"</f>
        <v>見山駐在所</v>
      </c>
      <c r="C7718" s="8" t="str">
        <f t="shared" si="2756"/>
        <v>行政財産</v>
      </c>
      <c r="D7718" s="8" t="str">
        <f t="shared" si="2757"/>
        <v>警察（消防）施設</v>
      </c>
      <c r="E7718" s="8" t="str">
        <f>"大阪府茨木市大字下音羽"</f>
        <v>大阪府茨木市大字下音羽</v>
      </c>
      <c r="F7718" s="8"/>
      <c r="G7718" s="8" t="str">
        <f t="shared" si="2763"/>
        <v>事業用資産</v>
      </c>
      <c r="H7718" s="8" t="str">
        <f t="shared" si="2758"/>
        <v>棚卸以外</v>
      </c>
      <c r="I7718" s="8">
        <v>2</v>
      </c>
      <c r="J7718" s="8" t="str">
        <f>"見山駐在所"</f>
        <v>見山駐在所</v>
      </c>
      <c r="K7718" s="8" t="str">
        <f>"鉄骨造"</f>
        <v>鉄骨造</v>
      </c>
      <c r="L7718" s="8" t="str">
        <f>"H18.03.15"</f>
        <v>H18.03.15</v>
      </c>
      <c r="M7718" s="8">
        <v>91.61</v>
      </c>
      <c r="N7718" s="8">
        <v>18690000</v>
      </c>
      <c r="O7718" s="8">
        <v>8361348</v>
      </c>
      <c r="P7718" s="8">
        <v>0</v>
      </c>
      <c r="Q7718" s="8" t="str">
        <f t="shared" si="2755"/>
        <v>公安委員会</v>
      </c>
      <c r="R7718" s="8" t="str">
        <f t="shared" si="2762"/>
        <v>茨木警察署</v>
      </c>
    </row>
    <row r="7719" spans="1:18" x14ac:dyDescent="0.45">
      <c r="A7719" s="8" t="str">
        <f>"11552000410"</f>
        <v>11552000410</v>
      </c>
      <c r="B7719" s="8" t="str">
        <f>"石河駐在所"</f>
        <v>石河駐在所</v>
      </c>
      <c r="C7719" s="8" t="str">
        <f t="shared" si="2756"/>
        <v>行政財産</v>
      </c>
      <c r="D7719" s="8" t="str">
        <f t="shared" si="2757"/>
        <v>警察（消防）施設</v>
      </c>
      <c r="E7719" s="8" t="str">
        <f>"大阪府茨木市大字大岩"</f>
        <v>大阪府茨木市大字大岩</v>
      </c>
      <c r="F7719" s="8"/>
      <c r="G7719" s="8" t="str">
        <f t="shared" si="2763"/>
        <v>事業用資産</v>
      </c>
      <c r="H7719" s="8" t="str">
        <f t="shared" si="2758"/>
        <v>棚卸以外</v>
      </c>
      <c r="I7719" s="8">
        <v>1</v>
      </c>
      <c r="J7719" s="8" t="str">
        <f>"石河駐在所"</f>
        <v>石河駐在所</v>
      </c>
      <c r="K7719" s="8" t="str">
        <f>"鉄骨造"</f>
        <v>鉄骨造</v>
      </c>
      <c r="L7719" s="8" t="str">
        <f>"S59.12.12"</f>
        <v>S59.12.12</v>
      </c>
      <c r="M7719" s="8">
        <v>85.99</v>
      </c>
      <c r="N7719" s="8">
        <v>15303012</v>
      </c>
      <c r="O7719" s="8">
        <v>15129635</v>
      </c>
      <c r="P7719" s="8">
        <v>0</v>
      </c>
      <c r="Q7719" s="8" t="str">
        <f t="shared" si="2755"/>
        <v>公安委員会</v>
      </c>
      <c r="R7719" s="8" t="str">
        <f t="shared" si="2762"/>
        <v>茨木警察署</v>
      </c>
    </row>
    <row r="7720" spans="1:18" x14ac:dyDescent="0.45">
      <c r="A7720" s="8" t="str">
        <f>"11552000430"</f>
        <v>11552000430</v>
      </c>
      <c r="B7720" s="8" t="str">
        <f>"永代町交番"</f>
        <v>永代町交番</v>
      </c>
      <c r="C7720" s="8" t="str">
        <f t="shared" si="2756"/>
        <v>行政財産</v>
      </c>
      <c r="D7720" s="8" t="str">
        <f t="shared" si="2757"/>
        <v>警察（消防）施設</v>
      </c>
      <c r="E7720" s="8" t="str">
        <f>"大阪府茨木市永代町"</f>
        <v>大阪府茨木市永代町</v>
      </c>
      <c r="F7720" s="8"/>
      <c r="G7720" s="8" t="str">
        <f t="shared" si="2763"/>
        <v>事業用資産</v>
      </c>
      <c r="H7720" s="8" t="str">
        <f t="shared" si="2758"/>
        <v>棚卸以外</v>
      </c>
      <c r="I7720" s="8">
        <v>1</v>
      </c>
      <c r="J7720" s="8" t="str">
        <f>"永代町交番"</f>
        <v>永代町交番</v>
      </c>
      <c r="K7720" s="8" t="str">
        <f>"鉄骨造"</f>
        <v>鉄骨造</v>
      </c>
      <c r="L7720" s="8" t="str">
        <f>"S48.03.30"</f>
        <v>S48.03.30</v>
      </c>
      <c r="M7720" s="8">
        <v>105.12</v>
      </c>
      <c r="N7720" s="8">
        <v>14747168</v>
      </c>
      <c r="O7720" s="8">
        <v>9603646</v>
      </c>
      <c r="P7720" s="8">
        <v>0</v>
      </c>
      <c r="Q7720" s="8" t="str">
        <f t="shared" si="2755"/>
        <v>公安委員会</v>
      </c>
      <c r="R7720" s="8" t="str">
        <f t="shared" si="2762"/>
        <v>茨木警察署</v>
      </c>
    </row>
    <row r="7721" spans="1:18" x14ac:dyDescent="0.45">
      <c r="A7721" s="8" t="str">
        <f>"11552000460"</f>
        <v>11552000460</v>
      </c>
      <c r="B7721" s="8" t="str">
        <f>"北大阪流通センター前交番"</f>
        <v>北大阪流通センター前交番</v>
      </c>
      <c r="C7721" s="8" t="str">
        <f t="shared" si="2756"/>
        <v>行政財産</v>
      </c>
      <c r="D7721" s="8" t="str">
        <f t="shared" si="2757"/>
        <v>警察（消防）施設</v>
      </c>
      <c r="E7721" s="8" t="str">
        <f>"大阪府茨木市宮島２丁目"</f>
        <v>大阪府茨木市宮島２丁目</v>
      </c>
      <c r="F7721" s="8"/>
      <c r="G7721" s="8" t="str">
        <f t="shared" si="2763"/>
        <v>事業用資産</v>
      </c>
      <c r="H7721" s="8" t="str">
        <f t="shared" si="2758"/>
        <v>棚卸以外</v>
      </c>
      <c r="I7721" s="8">
        <v>1</v>
      </c>
      <c r="J7721" s="8" t="str">
        <f>"北大阪流通センター前交番"</f>
        <v>北大阪流通センター前交番</v>
      </c>
      <c r="K7721" s="8" t="str">
        <f>"鉄筋コンクリート造"</f>
        <v>鉄筋コンクリート造</v>
      </c>
      <c r="L7721" s="8" t="str">
        <f>"S55.03.31"</f>
        <v>S55.03.31</v>
      </c>
      <c r="M7721" s="8">
        <v>54</v>
      </c>
      <c r="N7721" s="8">
        <v>14551878</v>
      </c>
      <c r="O7721" s="8">
        <v>12459421</v>
      </c>
      <c r="P7721" s="8">
        <v>0</v>
      </c>
      <c r="Q7721" s="8" t="str">
        <f t="shared" si="2755"/>
        <v>公安委員会</v>
      </c>
      <c r="R7721" s="8" t="str">
        <f t="shared" si="2762"/>
        <v>茨木警察署</v>
      </c>
    </row>
    <row r="7722" spans="1:18" x14ac:dyDescent="0.45">
      <c r="A7722" s="8" t="str">
        <f>"11552000480"</f>
        <v>11552000480</v>
      </c>
      <c r="B7722" s="8" t="str">
        <f>"下穂積交番"</f>
        <v>下穂積交番</v>
      </c>
      <c r="C7722" s="8" t="str">
        <f t="shared" si="2756"/>
        <v>行政財産</v>
      </c>
      <c r="D7722" s="8" t="str">
        <f t="shared" si="2757"/>
        <v>警察（消防）施設</v>
      </c>
      <c r="E7722" s="8" t="str">
        <f>"大阪府茨木市下穂積１丁目"</f>
        <v>大阪府茨木市下穂積１丁目</v>
      </c>
      <c r="F7722" s="8"/>
      <c r="G7722" s="8" t="str">
        <f t="shared" si="2763"/>
        <v>事業用資産</v>
      </c>
      <c r="H7722" s="8" t="str">
        <f t="shared" si="2758"/>
        <v>棚卸以外</v>
      </c>
      <c r="I7722" s="8">
        <v>1</v>
      </c>
      <c r="J7722" s="8" t="str">
        <f>"下穂積交番"</f>
        <v>下穂積交番</v>
      </c>
      <c r="K7722" s="8" t="str">
        <f>"鉄筋コンクリート造"</f>
        <v>鉄筋コンクリート造</v>
      </c>
      <c r="L7722" s="8" t="str">
        <f>"S56.12.12"</f>
        <v>S56.12.12</v>
      </c>
      <c r="M7722" s="8">
        <v>54</v>
      </c>
      <c r="N7722" s="8">
        <v>14944642</v>
      </c>
      <c r="O7722" s="8">
        <v>12283443</v>
      </c>
      <c r="P7722" s="8">
        <v>0</v>
      </c>
      <c r="Q7722" s="8" t="str">
        <f t="shared" si="2755"/>
        <v>公安委員会</v>
      </c>
      <c r="R7722" s="8" t="str">
        <f t="shared" si="2762"/>
        <v>茨木警察署</v>
      </c>
    </row>
    <row r="7723" spans="1:18" x14ac:dyDescent="0.45">
      <c r="A7723" s="8" t="str">
        <f>"11552000500"</f>
        <v>11552000500</v>
      </c>
      <c r="B7723" s="8" t="str">
        <f>"南茨木交番"</f>
        <v>南茨木交番</v>
      </c>
      <c r="C7723" s="8" t="str">
        <f t="shared" si="2756"/>
        <v>行政財産</v>
      </c>
      <c r="D7723" s="8" t="str">
        <f t="shared" si="2757"/>
        <v>警察（消防）施設</v>
      </c>
      <c r="E7723" s="8" t="str">
        <f>"大阪府茨木市天王２丁目"</f>
        <v>大阪府茨木市天王２丁目</v>
      </c>
      <c r="F7723" s="8"/>
      <c r="G7723" s="8" t="str">
        <f t="shared" si="2763"/>
        <v>事業用資産</v>
      </c>
      <c r="H7723" s="8" t="str">
        <f t="shared" si="2758"/>
        <v>棚卸以外</v>
      </c>
      <c r="I7723" s="8">
        <v>1</v>
      </c>
      <c r="J7723" s="8" t="str">
        <f>"南茨木交番"</f>
        <v>南茨木交番</v>
      </c>
      <c r="K7723" s="8" t="str">
        <f>"鉄筋コンクリート造"</f>
        <v>鉄筋コンクリート造</v>
      </c>
      <c r="L7723" s="8" t="str">
        <f>"S60.10.02"</f>
        <v>S60.10.02</v>
      </c>
      <c r="M7723" s="8">
        <v>54</v>
      </c>
      <c r="N7723" s="8">
        <v>15875521</v>
      </c>
      <c r="O7723" s="8">
        <v>11810706</v>
      </c>
      <c r="P7723" s="8">
        <v>0</v>
      </c>
      <c r="Q7723" s="8" t="str">
        <f t="shared" si="2755"/>
        <v>公安委員会</v>
      </c>
      <c r="R7723" s="8" t="str">
        <f t="shared" si="2762"/>
        <v>茨木警察署</v>
      </c>
    </row>
    <row r="7724" spans="1:18" x14ac:dyDescent="0.45">
      <c r="A7724" s="8" t="str">
        <f>"11552000500"</f>
        <v>11552000500</v>
      </c>
      <c r="B7724" s="8" t="str">
        <f>"南茨木交番"</f>
        <v>南茨木交番</v>
      </c>
      <c r="C7724" s="8" t="str">
        <f t="shared" si="2756"/>
        <v>行政財産</v>
      </c>
      <c r="D7724" s="8" t="str">
        <f t="shared" si="2757"/>
        <v>警察（消防）施設</v>
      </c>
      <c r="E7724" s="8" t="str">
        <f>"大阪府茨木市天王２丁目"</f>
        <v>大阪府茨木市天王２丁目</v>
      </c>
      <c r="F7724" s="8"/>
      <c r="G7724" s="8" t="str">
        <f t="shared" si="2763"/>
        <v>事業用資産</v>
      </c>
      <c r="H7724" s="8" t="str">
        <f t="shared" si="2758"/>
        <v>棚卸以外</v>
      </c>
      <c r="I7724" s="8">
        <v>2</v>
      </c>
      <c r="J7724" s="8" t="str">
        <f>"自転車置場"</f>
        <v>自転車置場</v>
      </c>
      <c r="K7724" s="8" t="str">
        <f>"軽量鉄骨造"</f>
        <v>軽量鉄骨造</v>
      </c>
      <c r="L7724" s="8" t="str">
        <f>"S60.10.02"</f>
        <v>S60.10.02</v>
      </c>
      <c r="M7724" s="8">
        <v>10.86</v>
      </c>
      <c r="N7724" s="8">
        <v>260000</v>
      </c>
      <c r="O7724" s="8">
        <v>259999</v>
      </c>
      <c r="P7724" s="8">
        <v>0</v>
      </c>
      <c r="Q7724" s="8" t="str">
        <f t="shared" si="2755"/>
        <v>公安委員会</v>
      </c>
      <c r="R7724" s="8" t="str">
        <f t="shared" si="2762"/>
        <v>茨木警察署</v>
      </c>
    </row>
    <row r="7725" spans="1:18" x14ac:dyDescent="0.45">
      <c r="A7725" s="8" t="str">
        <f>"11552000510"</f>
        <v>11552000510</v>
      </c>
      <c r="B7725" s="8" t="str">
        <f>"山手台交番"</f>
        <v>山手台交番</v>
      </c>
      <c r="C7725" s="8" t="str">
        <f t="shared" si="2756"/>
        <v>行政財産</v>
      </c>
      <c r="D7725" s="8" t="str">
        <f t="shared" si="2757"/>
        <v>警察（消防）施設</v>
      </c>
      <c r="E7725" s="8" t="str">
        <f>"大阪府茨木市山手台３丁目"</f>
        <v>大阪府茨木市山手台３丁目</v>
      </c>
      <c r="F7725" s="8"/>
      <c r="G7725" s="8" t="str">
        <f t="shared" si="2763"/>
        <v>事業用資産</v>
      </c>
      <c r="H7725" s="8" t="str">
        <f t="shared" si="2758"/>
        <v>棚卸以外</v>
      </c>
      <c r="I7725" s="8">
        <v>1</v>
      </c>
      <c r="J7725" s="8" t="str">
        <f>"山手台交番"</f>
        <v>山手台交番</v>
      </c>
      <c r="K7725" s="8" t="str">
        <f>"鉄筋コンクリート造"</f>
        <v>鉄筋コンクリート造</v>
      </c>
      <c r="L7725" s="8" t="str">
        <f>"S61.03.31"</f>
        <v>S61.03.31</v>
      </c>
      <c r="M7725" s="8">
        <v>54.4</v>
      </c>
      <c r="N7725" s="8">
        <v>14166555</v>
      </c>
      <c r="O7725" s="8">
        <v>10441473</v>
      </c>
      <c r="P7725" s="8">
        <v>0</v>
      </c>
      <c r="Q7725" s="8" t="str">
        <f t="shared" si="2755"/>
        <v>公安委員会</v>
      </c>
      <c r="R7725" s="8" t="str">
        <f t="shared" si="2762"/>
        <v>茨木警察署</v>
      </c>
    </row>
    <row r="7726" spans="1:18" x14ac:dyDescent="0.45">
      <c r="A7726" s="8" t="str">
        <f>"11552000530"</f>
        <v>11552000530</v>
      </c>
      <c r="B7726" s="8" t="str">
        <f>"双葉町交番"</f>
        <v>双葉町交番</v>
      </c>
      <c r="C7726" s="8" t="str">
        <f t="shared" si="2756"/>
        <v>行政財産</v>
      </c>
      <c r="D7726" s="8" t="str">
        <f t="shared" si="2757"/>
        <v>警察（消防）施設</v>
      </c>
      <c r="E7726" s="8" t="str">
        <f>"大阪府茨木市双葉町"</f>
        <v>大阪府茨木市双葉町</v>
      </c>
      <c r="F7726" s="8"/>
      <c r="G7726" s="8" t="str">
        <f t="shared" si="2763"/>
        <v>事業用資産</v>
      </c>
      <c r="H7726" s="8" t="str">
        <f t="shared" si="2758"/>
        <v>棚卸以外</v>
      </c>
      <c r="I7726" s="8">
        <v>1</v>
      </c>
      <c r="J7726" s="8" t="str">
        <f>"双葉町交番"</f>
        <v>双葉町交番</v>
      </c>
      <c r="K7726" s="8" t="str">
        <f>"鉄筋コンクリート造"</f>
        <v>鉄筋コンクリート造</v>
      </c>
      <c r="L7726" s="8" t="str">
        <f>"H02.03.27"</f>
        <v>H02.03.27</v>
      </c>
      <c r="M7726" s="8">
        <v>53.36</v>
      </c>
      <c r="N7726" s="8">
        <v>14874241</v>
      </c>
      <c r="O7726" s="8">
        <v>9766638</v>
      </c>
      <c r="P7726" s="8">
        <v>0</v>
      </c>
      <c r="Q7726" s="8" t="str">
        <f t="shared" si="2755"/>
        <v>公安委員会</v>
      </c>
      <c r="R7726" s="8" t="str">
        <f t="shared" si="2762"/>
        <v>茨木警察署</v>
      </c>
    </row>
    <row r="7727" spans="1:18" x14ac:dyDescent="0.45">
      <c r="A7727" s="8" t="str">
        <f>"11552000530"</f>
        <v>11552000530</v>
      </c>
      <c r="B7727" s="8" t="str">
        <f>"双葉町交番"</f>
        <v>双葉町交番</v>
      </c>
      <c r="C7727" s="8" t="str">
        <f t="shared" si="2756"/>
        <v>行政財産</v>
      </c>
      <c r="D7727" s="8" t="str">
        <f t="shared" si="2757"/>
        <v>警察（消防）施設</v>
      </c>
      <c r="E7727" s="8" t="str">
        <f>"大阪府茨木市双葉町"</f>
        <v>大阪府茨木市双葉町</v>
      </c>
      <c r="F7727" s="8"/>
      <c r="G7727" s="8" t="str">
        <f t="shared" si="2763"/>
        <v>事業用資産</v>
      </c>
      <c r="H7727" s="8" t="str">
        <f t="shared" si="2758"/>
        <v>棚卸以外</v>
      </c>
      <c r="I7727" s="8">
        <v>2</v>
      </c>
      <c r="J7727" s="8" t="str">
        <f>"自転車置場"</f>
        <v>自転車置場</v>
      </c>
      <c r="K7727" s="8" t="str">
        <f>"鉄骨造"</f>
        <v>鉄骨造</v>
      </c>
      <c r="L7727" s="8" t="str">
        <f>"H02.03.27"</f>
        <v>H02.03.27</v>
      </c>
      <c r="M7727" s="8">
        <v>6</v>
      </c>
      <c r="N7727" s="8">
        <v>234000</v>
      </c>
      <c r="O7727" s="8">
        <v>233999</v>
      </c>
      <c r="P7727" s="8">
        <v>0</v>
      </c>
      <c r="Q7727" s="8" t="str">
        <f t="shared" si="2755"/>
        <v>公安委員会</v>
      </c>
      <c r="R7727" s="8" t="str">
        <f t="shared" si="2762"/>
        <v>茨木警察署</v>
      </c>
    </row>
    <row r="7728" spans="1:18" x14ac:dyDescent="0.45">
      <c r="A7728" s="8" t="str">
        <f>"11552003001"</f>
        <v>11552003001</v>
      </c>
      <c r="B7728" s="8" t="str">
        <f>"福井交番"</f>
        <v>福井交番</v>
      </c>
      <c r="C7728" s="8" t="str">
        <f t="shared" si="2756"/>
        <v>行政財産</v>
      </c>
      <c r="D7728" s="8" t="str">
        <f t="shared" si="2757"/>
        <v>警察（消防）施設</v>
      </c>
      <c r="E7728" s="8" t="str">
        <f>"大阪府茨木市東福井２丁目"</f>
        <v>大阪府茨木市東福井２丁目</v>
      </c>
      <c r="F7728" s="8"/>
      <c r="G7728" s="8" t="str">
        <f t="shared" si="2763"/>
        <v>事業用資産</v>
      </c>
      <c r="H7728" s="8" t="str">
        <f t="shared" si="2758"/>
        <v>棚卸以外</v>
      </c>
      <c r="I7728" s="8">
        <v>1</v>
      </c>
      <c r="J7728" s="8" t="str">
        <f>"福井交番"</f>
        <v>福井交番</v>
      </c>
      <c r="K7728" s="8" t="str">
        <f>"軽量鉄骨造"</f>
        <v>軽量鉄骨造</v>
      </c>
      <c r="L7728" s="8" t="str">
        <f>"H29.07.07"</f>
        <v>H29.07.07</v>
      </c>
      <c r="M7728" s="8">
        <v>72.239999999999995</v>
      </c>
      <c r="N7728" s="8">
        <v>30449234</v>
      </c>
      <c r="O7728" s="8">
        <v>6874075</v>
      </c>
      <c r="P7728" s="8">
        <v>0</v>
      </c>
      <c r="Q7728" s="8" t="str">
        <f t="shared" si="2755"/>
        <v>公安委員会</v>
      </c>
      <c r="R7728" s="8" t="str">
        <f t="shared" si="2762"/>
        <v>茨木警察署</v>
      </c>
    </row>
    <row r="7729" spans="1:18" x14ac:dyDescent="0.45">
      <c r="A7729" s="8" t="str">
        <f>"11552003002"</f>
        <v>11552003002</v>
      </c>
      <c r="B7729" s="8" t="str">
        <f>"総持寺交番"</f>
        <v>総持寺交番</v>
      </c>
      <c r="C7729" s="8" t="str">
        <f t="shared" si="2756"/>
        <v>行政財産</v>
      </c>
      <c r="D7729" s="8" t="str">
        <f t="shared" si="2757"/>
        <v>警察（消防）施設</v>
      </c>
      <c r="E7729" s="8" t="str">
        <f>"大阪府茨木市総持寺１丁目"</f>
        <v>大阪府茨木市総持寺１丁目</v>
      </c>
      <c r="F7729" s="8"/>
      <c r="G7729" s="8" t="str">
        <f t="shared" si="2763"/>
        <v>事業用資産</v>
      </c>
      <c r="H7729" s="8" t="str">
        <f t="shared" si="2758"/>
        <v>棚卸以外</v>
      </c>
      <c r="I7729" s="8">
        <v>1</v>
      </c>
      <c r="J7729" s="8" t="str">
        <f>"総持寺交番"</f>
        <v>総持寺交番</v>
      </c>
      <c r="K7729" s="8" t="str">
        <f>"軽量鉄骨造"</f>
        <v>軽量鉄骨造</v>
      </c>
      <c r="L7729" s="8" t="str">
        <f>"H30.10.25"</f>
        <v>H30.10.25</v>
      </c>
      <c r="M7729" s="8">
        <v>72</v>
      </c>
      <c r="N7729" s="8">
        <v>29051541</v>
      </c>
      <c r="O7729" s="8">
        <v>5140509</v>
      </c>
      <c r="P7729" s="8">
        <v>0</v>
      </c>
      <c r="Q7729" s="8" t="str">
        <f t="shared" si="2755"/>
        <v>公安委員会</v>
      </c>
      <c r="R7729" s="8" t="str">
        <f t="shared" si="2762"/>
        <v>茨木警察署</v>
      </c>
    </row>
    <row r="7730" spans="1:18" x14ac:dyDescent="0.45">
      <c r="A7730" s="8" t="str">
        <f>"11553000000"</f>
        <v>11553000000</v>
      </c>
      <c r="B7730" s="8" t="str">
        <f>"吹田警察署"</f>
        <v>吹田警察署</v>
      </c>
      <c r="C7730" s="8" t="str">
        <f t="shared" si="2756"/>
        <v>行政財産</v>
      </c>
      <c r="D7730" s="8" t="str">
        <f t="shared" si="2757"/>
        <v>警察（消防）施設</v>
      </c>
      <c r="E7730" s="8" t="str">
        <f>"大阪府吹田市穂波町"</f>
        <v>大阪府吹田市穂波町</v>
      </c>
      <c r="F7730" s="8"/>
      <c r="G7730" s="8" t="str">
        <f t="shared" si="2763"/>
        <v>事業用資産</v>
      </c>
      <c r="H7730" s="8" t="str">
        <f t="shared" si="2758"/>
        <v>棚卸以外</v>
      </c>
      <c r="I7730" s="8">
        <v>17</v>
      </c>
      <c r="J7730" s="8" t="str">
        <f>"庁舎"</f>
        <v>庁舎</v>
      </c>
      <c r="K7730" s="8" t="str">
        <f>"鉄筋コンクリート造"</f>
        <v>鉄筋コンクリート造</v>
      </c>
      <c r="L7730" s="8" t="str">
        <f>"S45.01.31"</f>
        <v>S45.01.31</v>
      </c>
      <c r="M7730" s="8">
        <v>4200.7700000000004</v>
      </c>
      <c r="N7730" s="8">
        <v>1260155794</v>
      </c>
      <c r="O7730" s="8">
        <v>1148751228</v>
      </c>
      <c r="P7730" s="8">
        <v>0</v>
      </c>
      <c r="Q7730" s="8" t="str">
        <f t="shared" si="2755"/>
        <v>公安委員会</v>
      </c>
      <c r="R7730" s="8" t="str">
        <f t="shared" ref="R7730:R7751" si="2764">"吹田警察署"</f>
        <v>吹田警察署</v>
      </c>
    </row>
    <row r="7731" spans="1:18" x14ac:dyDescent="0.45">
      <c r="A7731" s="8" t="str">
        <f>"11553000000"</f>
        <v>11553000000</v>
      </c>
      <c r="B7731" s="8" t="str">
        <f>"吹田警察署"</f>
        <v>吹田警察署</v>
      </c>
      <c r="C7731" s="8" t="str">
        <f t="shared" si="2756"/>
        <v>行政財産</v>
      </c>
      <c r="D7731" s="8" t="str">
        <f t="shared" si="2757"/>
        <v>警察（消防）施設</v>
      </c>
      <c r="E7731" s="8" t="str">
        <f>"大阪府吹田市穂波町"</f>
        <v>大阪府吹田市穂波町</v>
      </c>
      <c r="F7731" s="8"/>
      <c r="G7731" s="8" t="str">
        <f t="shared" si="2763"/>
        <v>事業用資産</v>
      </c>
      <c r="H7731" s="8" t="str">
        <f t="shared" si="2758"/>
        <v>棚卸以外</v>
      </c>
      <c r="I7731" s="8">
        <v>28</v>
      </c>
      <c r="J7731" s="8" t="str">
        <f>"署長公舎"</f>
        <v>署長公舎</v>
      </c>
      <c r="K7731" s="8" t="str">
        <f>"鉄筋コンクリート造"</f>
        <v>鉄筋コンクリート造</v>
      </c>
      <c r="L7731" s="8" t="str">
        <f>"H03.12.20"</f>
        <v>H03.12.20</v>
      </c>
      <c r="M7731" s="8">
        <v>84.13</v>
      </c>
      <c r="N7731" s="8">
        <v>19752310</v>
      </c>
      <c r="O7731" s="8">
        <v>13127568</v>
      </c>
      <c r="P7731" s="8">
        <v>0</v>
      </c>
      <c r="Q7731" s="8" t="str">
        <f t="shared" ref="Q7731:Q7794" si="2765">"公安委員会"</f>
        <v>公安委員会</v>
      </c>
      <c r="R7731" s="8" t="str">
        <f t="shared" si="2764"/>
        <v>吹田警察署</v>
      </c>
    </row>
    <row r="7732" spans="1:18" x14ac:dyDescent="0.45">
      <c r="A7732" s="8" t="str">
        <f>"11553000000"</f>
        <v>11553000000</v>
      </c>
      <c r="B7732" s="8" t="str">
        <f>"吹田警察署"</f>
        <v>吹田警察署</v>
      </c>
      <c r="C7732" s="8" t="str">
        <f t="shared" si="2756"/>
        <v>行政財産</v>
      </c>
      <c r="D7732" s="8" t="str">
        <f t="shared" si="2757"/>
        <v>警察（消防）施設</v>
      </c>
      <c r="E7732" s="8" t="str">
        <f>"大阪府吹田市穂波町"</f>
        <v>大阪府吹田市穂波町</v>
      </c>
      <c r="F7732" s="8"/>
      <c r="G7732" s="8" t="str">
        <f t="shared" si="2763"/>
        <v>事業用資産</v>
      </c>
      <c r="H7732" s="8" t="str">
        <f t="shared" si="2758"/>
        <v>棚卸以外</v>
      </c>
      <c r="I7732" s="8">
        <v>29</v>
      </c>
      <c r="J7732" s="8" t="str">
        <f>"大型車庫棟"</f>
        <v>大型車庫棟</v>
      </c>
      <c r="K7732" s="8" t="str">
        <f>"鉄骨造"</f>
        <v>鉄骨造</v>
      </c>
      <c r="L7732" s="8" t="str">
        <f>"H04.03.31"</f>
        <v>H04.03.31</v>
      </c>
      <c r="M7732" s="8">
        <v>300</v>
      </c>
      <c r="N7732" s="8">
        <v>27540000</v>
      </c>
      <c r="O7732" s="8">
        <v>27539999</v>
      </c>
      <c r="P7732" s="8">
        <v>0</v>
      </c>
      <c r="Q7732" s="8" t="str">
        <f t="shared" si="2765"/>
        <v>公安委員会</v>
      </c>
      <c r="R7732" s="8" t="str">
        <f t="shared" si="2764"/>
        <v>吹田警察署</v>
      </c>
    </row>
    <row r="7733" spans="1:18" x14ac:dyDescent="0.45">
      <c r="A7733" s="8" t="str">
        <f>"11553000000"</f>
        <v>11553000000</v>
      </c>
      <c r="B7733" s="8" t="str">
        <f>"吹田警察署"</f>
        <v>吹田警察署</v>
      </c>
      <c r="C7733" s="8" t="str">
        <f t="shared" si="2756"/>
        <v>行政財産</v>
      </c>
      <c r="D7733" s="8" t="str">
        <f t="shared" si="2757"/>
        <v>警察（消防）施設</v>
      </c>
      <c r="E7733" s="8" t="str">
        <f>"大阪府吹田市穂波町"</f>
        <v>大阪府吹田市穂波町</v>
      </c>
      <c r="F7733" s="8"/>
      <c r="G7733" s="8" t="str">
        <f t="shared" si="2763"/>
        <v>事業用資産</v>
      </c>
      <c r="H7733" s="8" t="str">
        <f t="shared" si="2758"/>
        <v>棚卸以外</v>
      </c>
      <c r="I7733" s="8">
        <v>30</v>
      </c>
      <c r="J7733" s="8" t="str">
        <f>"霊安室及び倉庫"</f>
        <v>霊安室及び倉庫</v>
      </c>
      <c r="K7733" s="8" t="str">
        <f>"鉄骨造"</f>
        <v>鉄骨造</v>
      </c>
      <c r="L7733" s="8" t="str">
        <f>"H04.03.31"</f>
        <v>H04.03.31</v>
      </c>
      <c r="M7733" s="8">
        <v>109.22</v>
      </c>
      <c r="N7733" s="8">
        <v>17425877</v>
      </c>
      <c r="O7733" s="8">
        <v>14142189</v>
      </c>
      <c r="P7733" s="8">
        <v>0</v>
      </c>
      <c r="Q7733" s="8" t="str">
        <f t="shared" si="2765"/>
        <v>公安委員会</v>
      </c>
      <c r="R7733" s="8" t="str">
        <f t="shared" si="2764"/>
        <v>吹田警察署</v>
      </c>
    </row>
    <row r="7734" spans="1:18" x14ac:dyDescent="0.45">
      <c r="A7734" s="8" t="str">
        <f>"11553000190"</f>
        <v>11553000190</v>
      </c>
      <c r="B7734" s="8" t="str">
        <f>"豊津交番"</f>
        <v>豊津交番</v>
      </c>
      <c r="C7734" s="8" t="str">
        <f t="shared" ref="C7734:C7797" si="2766">"行政財産"</f>
        <v>行政財産</v>
      </c>
      <c r="D7734" s="8" t="str">
        <f t="shared" si="2757"/>
        <v>警察（消防）施設</v>
      </c>
      <c r="E7734" s="8" t="str">
        <f>"大阪府吹田市垂水町２丁目"</f>
        <v>大阪府吹田市垂水町２丁目</v>
      </c>
      <c r="F7734" s="8"/>
      <c r="G7734" s="8" t="str">
        <f t="shared" si="2763"/>
        <v>事業用資産</v>
      </c>
      <c r="H7734" s="8" t="str">
        <f t="shared" si="2758"/>
        <v>棚卸以外</v>
      </c>
      <c r="I7734" s="8">
        <v>2</v>
      </c>
      <c r="J7734" s="8" t="str">
        <f>"豊津交番"</f>
        <v>豊津交番</v>
      </c>
      <c r="K7734" s="8" t="str">
        <f>"コンクリートブロック造"</f>
        <v>コンクリートブロック造</v>
      </c>
      <c r="L7734" s="8" t="str">
        <f>"S47.03.21"</f>
        <v>S47.03.21</v>
      </c>
      <c r="M7734" s="8">
        <v>33.6</v>
      </c>
      <c r="N7734" s="8">
        <v>2197272</v>
      </c>
      <c r="O7734" s="8">
        <v>2122399</v>
      </c>
      <c r="P7734" s="8">
        <v>0</v>
      </c>
      <c r="Q7734" s="8" t="str">
        <f t="shared" si="2765"/>
        <v>公安委員会</v>
      </c>
      <c r="R7734" s="8" t="str">
        <f t="shared" si="2764"/>
        <v>吹田警察署</v>
      </c>
    </row>
    <row r="7735" spans="1:18" x14ac:dyDescent="0.45">
      <c r="A7735" s="8" t="str">
        <f>"11553000220"</f>
        <v>11553000220</v>
      </c>
      <c r="B7735" s="8" t="str">
        <f>"岸部交番"</f>
        <v>岸部交番</v>
      </c>
      <c r="C7735" s="8" t="str">
        <f t="shared" si="2766"/>
        <v>行政財産</v>
      </c>
      <c r="D7735" s="8" t="str">
        <f t="shared" si="2757"/>
        <v>警察（消防）施設</v>
      </c>
      <c r="E7735" s="8" t="str">
        <f>"大阪府吹田市岸部中３丁目"</f>
        <v>大阪府吹田市岸部中３丁目</v>
      </c>
      <c r="F7735" s="8"/>
      <c r="G7735" s="8" t="str">
        <f t="shared" si="2763"/>
        <v>事業用資産</v>
      </c>
      <c r="H7735" s="8" t="str">
        <f t="shared" si="2758"/>
        <v>棚卸以外</v>
      </c>
      <c r="I7735" s="8">
        <v>2</v>
      </c>
      <c r="J7735" s="8" t="str">
        <f>"岸部交番"</f>
        <v>岸部交番</v>
      </c>
      <c r="K7735" s="8" t="str">
        <f>"鉄骨造"</f>
        <v>鉄骨造</v>
      </c>
      <c r="L7735" s="8" t="str">
        <f>"H15.11.05"</f>
        <v>H15.11.05</v>
      </c>
      <c r="M7735" s="8">
        <v>54.94</v>
      </c>
      <c r="N7735" s="8">
        <v>18187789</v>
      </c>
      <c r="O7735" s="8">
        <v>9224944</v>
      </c>
      <c r="P7735" s="8">
        <v>0</v>
      </c>
      <c r="Q7735" s="8" t="str">
        <f t="shared" si="2765"/>
        <v>公安委員会</v>
      </c>
      <c r="R7735" s="8" t="str">
        <f t="shared" si="2764"/>
        <v>吹田警察署</v>
      </c>
    </row>
    <row r="7736" spans="1:18" x14ac:dyDescent="0.45">
      <c r="A7736" s="8" t="str">
        <f>"11553000240"</f>
        <v>11553000240</v>
      </c>
      <c r="B7736" s="8" t="str">
        <f>"佐井寺交番"</f>
        <v>佐井寺交番</v>
      </c>
      <c r="C7736" s="8" t="str">
        <f t="shared" si="2766"/>
        <v>行政財産</v>
      </c>
      <c r="D7736" s="8" t="str">
        <f t="shared" si="2757"/>
        <v>警察（消防）施設</v>
      </c>
      <c r="E7736" s="8" t="str">
        <f>"大阪府吹田市佐井寺１丁目"</f>
        <v>大阪府吹田市佐井寺１丁目</v>
      </c>
      <c r="F7736" s="8"/>
      <c r="G7736" s="8" t="str">
        <f t="shared" si="2763"/>
        <v>事業用資産</v>
      </c>
      <c r="H7736" s="8" t="str">
        <f t="shared" si="2758"/>
        <v>棚卸以外</v>
      </c>
      <c r="I7736" s="8">
        <v>2</v>
      </c>
      <c r="J7736" s="8" t="str">
        <f>"佐井寺交番"</f>
        <v>佐井寺交番</v>
      </c>
      <c r="K7736" s="8" t="str">
        <f>"鉄筋コンクリート造"</f>
        <v>鉄筋コンクリート造</v>
      </c>
      <c r="L7736" s="8" t="str">
        <f>"H05.03.31"</f>
        <v>H05.03.31</v>
      </c>
      <c r="M7736" s="8">
        <v>54</v>
      </c>
      <c r="N7736" s="8">
        <v>19817601</v>
      </c>
      <c r="O7736" s="8">
        <v>11850720</v>
      </c>
      <c r="P7736" s="8">
        <v>0</v>
      </c>
      <c r="Q7736" s="8" t="str">
        <f t="shared" si="2765"/>
        <v>公安委員会</v>
      </c>
      <c r="R7736" s="8" t="str">
        <f t="shared" si="2764"/>
        <v>吹田警察署</v>
      </c>
    </row>
    <row r="7737" spans="1:18" x14ac:dyDescent="0.45">
      <c r="A7737" s="8" t="str">
        <f>"11553000240"</f>
        <v>11553000240</v>
      </c>
      <c r="B7737" s="8" t="str">
        <f>"佐井寺交番"</f>
        <v>佐井寺交番</v>
      </c>
      <c r="C7737" s="8" t="str">
        <f t="shared" si="2766"/>
        <v>行政財産</v>
      </c>
      <c r="D7737" s="8" t="str">
        <f t="shared" si="2757"/>
        <v>警察（消防）施設</v>
      </c>
      <c r="E7737" s="8" t="str">
        <f>"大阪府吹田市佐井寺１丁目"</f>
        <v>大阪府吹田市佐井寺１丁目</v>
      </c>
      <c r="F7737" s="8"/>
      <c r="G7737" s="8" t="str">
        <f t="shared" si="2763"/>
        <v>事業用資産</v>
      </c>
      <c r="H7737" s="8" t="str">
        <f t="shared" si="2758"/>
        <v>棚卸以外</v>
      </c>
      <c r="I7737" s="8">
        <v>3</v>
      </c>
      <c r="J7737" s="8" t="str">
        <f>"自転車置場"</f>
        <v>自転車置場</v>
      </c>
      <c r="K7737" s="8" t="str">
        <f>"鉄骨造"</f>
        <v>鉄骨造</v>
      </c>
      <c r="L7737" s="8" t="str">
        <f>"H05.03.31"</f>
        <v>H05.03.31</v>
      </c>
      <c r="M7737" s="8">
        <v>5.6</v>
      </c>
      <c r="N7737" s="8">
        <v>281000</v>
      </c>
      <c r="O7737" s="8">
        <v>272160</v>
      </c>
      <c r="P7737" s="8">
        <v>0</v>
      </c>
      <c r="Q7737" s="8" t="str">
        <f t="shared" si="2765"/>
        <v>公安委員会</v>
      </c>
      <c r="R7737" s="8" t="str">
        <f t="shared" si="2764"/>
        <v>吹田警察署</v>
      </c>
    </row>
    <row r="7738" spans="1:18" x14ac:dyDescent="0.45">
      <c r="A7738" s="8" t="str">
        <f>"11553000320"</f>
        <v>11553000320</v>
      </c>
      <c r="B7738" s="8" t="str">
        <f>"山田交番"</f>
        <v>山田交番</v>
      </c>
      <c r="C7738" s="8" t="str">
        <f t="shared" si="2766"/>
        <v>行政財産</v>
      </c>
      <c r="D7738" s="8" t="str">
        <f t="shared" si="2757"/>
        <v>警察（消防）施設</v>
      </c>
      <c r="E7738" s="8" t="str">
        <f>"大阪府吹田市山田　東２丁目"</f>
        <v>大阪府吹田市山田　東２丁目</v>
      </c>
      <c r="F7738" s="8"/>
      <c r="G7738" s="8" t="str">
        <f t="shared" si="2763"/>
        <v>事業用資産</v>
      </c>
      <c r="H7738" s="8" t="str">
        <f t="shared" si="2758"/>
        <v>棚卸以外</v>
      </c>
      <c r="I7738" s="8">
        <v>2</v>
      </c>
      <c r="J7738" s="8" t="str">
        <f>"山田交番"</f>
        <v>山田交番</v>
      </c>
      <c r="K7738" s="8" t="str">
        <f>"軽量鉄骨造"</f>
        <v>軽量鉄骨造</v>
      </c>
      <c r="L7738" s="8" t="str">
        <f>"H24.03.26"</f>
        <v>H24.03.26</v>
      </c>
      <c r="M7738" s="8">
        <v>105</v>
      </c>
      <c r="N7738" s="8">
        <v>30832162</v>
      </c>
      <c r="O7738" s="8">
        <v>13324956</v>
      </c>
      <c r="P7738" s="8">
        <v>0</v>
      </c>
      <c r="Q7738" s="8" t="str">
        <f t="shared" si="2765"/>
        <v>公安委員会</v>
      </c>
      <c r="R7738" s="8" t="str">
        <f t="shared" si="2764"/>
        <v>吹田警察署</v>
      </c>
    </row>
    <row r="7739" spans="1:18" x14ac:dyDescent="0.45">
      <c r="A7739" s="8" t="str">
        <f>"11553000330"</f>
        <v>11553000330</v>
      </c>
      <c r="B7739" s="8" t="str">
        <f>"天道町交番"</f>
        <v>天道町交番</v>
      </c>
      <c r="C7739" s="8" t="str">
        <f t="shared" si="2766"/>
        <v>行政財産</v>
      </c>
      <c r="D7739" s="8" t="str">
        <f t="shared" si="2757"/>
        <v>警察（消防）施設</v>
      </c>
      <c r="E7739" s="8" t="str">
        <f>"大阪府吹田市天道町"</f>
        <v>大阪府吹田市天道町</v>
      </c>
      <c r="F7739" s="8"/>
      <c r="G7739" s="8" t="str">
        <f t="shared" si="2763"/>
        <v>事業用資産</v>
      </c>
      <c r="H7739" s="8" t="str">
        <f t="shared" si="2758"/>
        <v>棚卸以外</v>
      </c>
      <c r="I7739" s="8">
        <v>3</v>
      </c>
      <c r="J7739" s="8" t="str">
        <f>"天道町交番"</f>
        <v>天道町交番</v>
      </c>
      <c r="K7739" s="8" t="str">
        <f>"鉄骨造"</f>
        <v>鉄骨造</v>
      </c>
      <c r="L7739" s="8" t="str">
        <f>"H22.03.29"</f>
        <v>H22.03.29</v>
      </c>
      <c r="M7739" s="8">
        <v>54.28</v>
      </c>
      <c r="N7739" s="8">
        <v>16511844</v>
      </c>
      <c r="O7739" s="8">
        <v>5636356</v>
      </c>
      <c r="P7739" s="8">
        <v>0</v>
      </c>
      <c r="Q7739" s="8" t="str">
        <f t="shared" si="2765"/>
        <v>公安委員会</v>
      </c>
      <c r="R7739" s="8" t="str">
        <f t="shared" si="2764"/>
        <v>吹田警察署</v>
      </c>
    </row>
    <row r="7740" spans="1:18" x14ac:dyDescent="0.45">
      <c r="A7740" s="8" t="str">
        <f>"11553000390"</f>
        <v>11553000390</v>
      </c>
      <c r="B7740" s="8" t="str">
        <f>"吹田千里丘交番"</f>
        <v>吹田千里丘交番</v>
      </c>
      <c r="C7740" s="8" t="str">
        <f t="shared" si="2766"/>
        <v>行政財産</v>
      </c>
      <c r="D7740" s="8" t="str">
        <f t="shared" ref="D7740:D7803" si="2767">"警察（消防）施設"</f>
        <v>警察（消防）施設</v>
      </c>
      <c r="E7740" s="8" t="str">
        <f>"大阪府吹田市千里丘上"</f>
        <v>大阪府吹田市千里丘上</v>
      </c>
      <c r="F7740" s="8"/>
      <c r="G7740" s="8" t="str">
        <f t="shared" si="2763"/>
        <v>事業用資産</v>
      </c>
      <c r="H7740" s="8" t="str">
        <f t="shared" si="2758"/>
        <v>棚卸以外</v>
      </c>
      <c r="I7740" s="8">
        <v>2</v>
      </c>
      <c r="J7740" s="8" t="str">
        <f>"吹田千里丘交番"</f>
        <v>吹田千里丘交番</v>
      </c>
      <c r="K7740" s="8" t="str">
        <f>"軽量鉄骨造"</f>
        <v>軽量鉄骨造</v>
      </c>
      <c r="L7740" s="8" t="str">
        <f>"H23.03.25"</f>
        <v>H23.03.25</v>
      </c>
      <c r="M7740" s="8">
        <v>54</v>
      </c>
      <c r="N7740" s="8">
        <v>14640327</v>
      </c>
      <c r="O7740" s="8">
        <v>5838288</v>
      </c>
      <c r="P7740" s="8">
        <v>0</v>
      </c>
      <c r="Q7740" s="8" t="str">
        <f t="shared" si="2765"/>
        <v>公安委員会</v>
      </c>
      <c r="R7740" s="8" t="str">
        <f t="shared" si="2764"/>
        <v>吹田警察署</v>
      </c>
    </row>
    <row r="7741" spans="1:18" x14ac:dyDescent="0.45">
      <c r="A7741" s="8" t="str">
        <f>"11553000410"</f>
        <v>11553000410</v>
      </c>
      <c r="B7741" s="8" t="str">
        <f>"江坂交番"</f>
        <v>江坂交番</v>
      </c>
      <c r="C7741" s="8" t="str">
        <f t="shared" si="2766"/>
        <v>行政財産</v>
      </c>
      <c r="D7741" s="8" t="str">
        <f t="shared" si="2767"/>
        <v>警察（消防）施設</v>
      </c>
      <c r="E7741" s="8" t="str">
        <f>"大阪府吹田市江坂町１丁目"</f>
        <v>大阪府吹田市江坂町１丁目</v>
      </c>
      <c r="F7741" s="8"/>
      <c r="G7741" s="8" t="str">
        <f t="shared" si="2763"/>
        <v>事業用資産</v>
      </c>
      <c r="H7741" s="8" t="str">
        <f t="shared" si="2758"/>
        <v>棚卸以外</v>
      </c>
      <c r="I7741" s="8">
        <v>2</v>
      </c>
      <c r="J7741" s="8" t="str">
        <f>"江坂交番"</f>
        <v>江坂交番</v>
      </c>
      <c r="K7741" s="8" t="str">
        <f>"鉄筋コンクリート造"</f>
        <v>鉄筋コンクリート造</v>
      </c>
      <c r="L7741" s="8" t="str">
        <f>"H06.12.16"</f>
        <v>H06.12.16</v>
      </c>
      <c r="M7741" s="8">
        <v>83.89</v>
      </c>
      <c r="N7741" s="8">
        <v>38190147</v>
      </c>
      <c r="O7741" s="8">
        <v>21555152</v>
      </c>
      <c r="P7741" s="8">
        <v>0</v>
      </c>
      <c r="Q7741" s="8" t="str">
        <f t="shared" si="2765"/>
        <v>公安委員会</v>
      </c>
      <c r="R7741" s="8" t="str">
        <f t="shared" si="2764"/>
        <v>吹田警察署</v>
      </c>
    </row>
    <row r="7742" spans="1:18" x14ac:dyDescent="0.45">
      <c r="A7742" s="8" t="str">
        <f>"11553000420"</f>
        <v>11553000420</v>
      </c>
      <c r="B7742" s="8" t="str">
        <f>"御旅町交番"</f>
        <v>御旅町交番</v>
      </c>
      <c r="C7742" s="8" t="str">
        <f t="shared" si="2766"/>
        <v>行政財産</v>
      </c>
      <c r="D7742" s="8" t="str">
        <f t="shared" si="2767"/>
        <v>警察（消防）施設</v>
      </c>
      <c r="E7742" s="8" t="str">
        <f>"大阪府吹田市東御旅町"</f>
        <v>大阪府吹田市東御旅町</v>
      </c>
      <c r="F7742" s="8"/>
      <c r="G7742" s="8" t="str">
        <f t="shared" si="2763"/>
        <v>事業用資産</v>
      </c>
      <c r="H7742" s="8" t="str">
        <f t="shared" si="2758"/>
        <v>棚卸以外</v>
      </c>
      <c r="I7742" s="8">
        <v>1</v>
      </c>
      <c r="J7742" s="8" t="str">
        <f>"御旅町交番"</f>
        <v>御旅町交番</v>
      </c>
      <c r="K7742" s="8" t="str">
        <f>"鉄筋コンクリート造"</f>
        <v>鉄筋コンクリート造</v>
      </c>
      <c r="L7742" s="8" t="str">
        <f>"S52.03.31"</f>
        <v>S52.03.31</v>
      </c>
      <c r="M7742" s="8">
        <v>54</v>
      </c>
      <c r="N7742" s="8">
        <v>11566206</v>
      </c>
      <c r="O7742" s="8">
        <v>10569784</v>
      </c>
      <c r="P7742" s="8">
        <v>0</v>
      </c>
      <c r="Q7742" s="8" t="str">
        <f t="shared" si="2765"/>
        <v>公安委員会</v>
      </c>
      <c r="R7742" s="8" t="str">
        <f t="shared" si="2764"/>
        <v>吹田警察署</v>
      </c>
    </row>
    <row r="7743" spans="1:18" x14ac:dyDescent="0.45">
      <c r="A7743" s="8" t="str">
        <f>"11553000430"</f>
        <v>11553000430</v>
      </c>
      <c r="B7743" s="8" t="str">
        <f>"吹田駅前交番"</f>
        <v>吹田駅前交番</v>
      </c>
      <c r="C7743" s="8" t="str">
        <f t="shared" si="2766"/>
        <v>行政財産</v>
      </c>
      <c r="D7743" s="8" t="str">
        <f t="shared" si="2767"/>
        <v>警察（消防）施設</v>
      </c>
      <c r="E7743" s="8" t="str">
        <f>"大阪府吹田市朝日町"</f>
        <v>大阪府吹田市朝日町</v>
      </c>
      <c r="F7743" s="8"/>
      <c r="G7743" s="8" t="str">
        <f t="shared" si="2763"/>
        <v>事業用資産</v>
      </c>
      <c r="H7743" s="8" t="str">
        <f t="shared" si="2758"/>
        <v>棚卸以外</v>
      </c>
      <c r="I7743" s="8">
        <v>2</v>
      </c>
      <c r="J7743" s="8" t="str">
        <f>"吹田駅前交番"</f>
        <v>吹田駅前交番</v>
      </c>
      <c r="K7743" s="8" t="str">
        <f>"鉄骨造"</f>
        <v>鉄骨造</v>
      </c>
      <c r="L7743" s="8" t="str">
        <f>"H22.10.07"</f>
        <v>H22.10.07</v>
      </c>
      <c r="M7743" s="8">
        <v>142.31</v>
      </c>
      <c r="N7743" s="8">
        <v>35698438</v>
      </c>
      <c r="O7743" s="8">
        <v>8862288</v>
      </c>
      <c r="P7743" s="8">
        <v>0</v>
      </c>
      <c r="Q7743" s="8" t="str">
        <f t="shared" si="2765"/>
        <v>公安委員会</v>
      </c>
      <c r="R7743" s="8" t="str">
        <f t="shared" si="2764"/>
        <v>吹田警察署</v>
      </c>
    </row>
    <row r="7744" spans="1:18" x14ac:dyDescent="0.45">
      <c r="A7744" s="8" t="str">
        <f>"11553000440"</f>
        <v>11553000440</v>
      </c>
      <c r="B7744" s="8" t="str">
        <f>"片山町交番"</f>
        <v>片山町交番</v>
      </c>
      <c r="C7744" s="8" t="str">
        <f t="shared" si="2766"/>
        <v>行政財産</v>
      </c>
      <c r="D7744" s="8" t="str">
        <f t="shared" si="2767"/>
        <v>警察（消防）施設</v>
      </c>
      <c r="E7744" s="8" t="str">
        <f>"大阪府吹田市片山町２丁目"</f>
        <v>大阪府吹田市片山町２丁目</v>
      </c>
      <c r="F7744" s="8"/>
      <c r="G7744" s="8" t="str">
        <f t="shared" si="2763"/>
        <v>事業用資産</v>
      </c>
      <c r="H7744" s="8" t="str">
        <f t="shared" si="2758"/>
        <v>棚卸以外</v>
      </c>
      <c r="I7744" s="8">
        <v>1</v>
      </c>
      <c r="J7744" s="8" t="str">
        <f>"片山町交番"</f>
        <v>片山町交番</v>
      </c>
      <c r="K7744" s="8" t="str">
        <f>"鉄筋コンクリート造"</f>
        <v>鉄筋コンクリート造</v>
      </c>
      <c r="L7744" s="8" t="str">
        <f>"S58.03.30"</f>
        <v>S58.03.30</v>
      </c>
      <c r="M7744" s="8">
        <v>54.6</v>
      </c>
      <c r="N7744" s="8">
        <v>13759734</v>
      </c>
      <c r="O7744" s="8">
        <v>10958894</v>
      </c>
      <c r="P7744" s="8">
        <v>0</v>
      </c>
      <c r="Q7744" s="8" t="str">
        <f t="shared" si="2765"/>
        <v>公安委員会</v>
      </c>
      <c r="R7744" s="8" t="str">
        <f t="shared" si="2764"/>
        <v>吹田警察署</v>
      </c>
    </row>
    <row r="7745" spans="1:18" x14ac:dyDescent="0.45">
      <c r="A7745" s="8" t="str">
        <f>"11553000450"</f>
        <v>11553000450</v>
      </c>
      <c r="B7745" s="8" t="str">
        <f>"山田西交番"</f>
        <v>山田西交番</v>
      </c>
      <c r="C7745" s="8" t="str">
        <f t="shared" si="2766"/>
        <v>行政財産</v>
      </c>
      <c r="D7745" s="8" t="str">
        <f t="shared" si="2767"/>
        <v>警察（消防）施設</v>
      </c>
      <c r="E7745" s="8" t="str">
        <f>"大阪府吹田市山田　西２丁目"</f>
        <v>大阪府吹田市山田　西２丁目</v>
      </c>
      <c r="F7745" s="8"/>
      <c r="G7745" s="8" t="str">
        <f t="shared" si="2763"/>
        <v>事業用資産</v>
      </c>
      <c r="H7745" s="8" t="str">
        <f t="shared" si="2758"/>
        <v>棚卸以外</v>
      </c>
      <c r="I7745" s="8">
        <v>1</v>
      </c>
      <c r="J7745" s="8" t="str">
        <f>"山田西交番"</f>
        <v>山田西交番</v>
      </c>
      <c r="K7745" s="8" t="str">
        <f>"鉄筋コンクリート造"</f>
        <v>鉄筋コンクリート造</v>
      </c>
      <c r="L7745" s="8" t="str">
        <f>"S61.03.29"</f>
        <v>S61.03.29</v>
      </c>
      <c r="M7745" s="8">
        <v>54</v>
      </c>
      <c r="N7745" s="8">
        <v>16124030</v>
      </c>
      <c r="O7745" s="8">
        <v>11881040</v>
      </c>
      <c r="P7745" s="8">
        <v>0</v>
      </c>
      <c r="Q7745" s="8" t="str">
        <f t="shared" si="2765"/>
        <v>公安委員会</v>
      </c>
      <c r="R7745" s="8" t="str">
        <f t="shared" si="2764"/>
        <v>吹田警察署</v>
      </c>
    </row>
    <row r="7746" spans="1:18" x14ac:dyDescent="0.45">
      <c r="A7746" s="8" t="str">
        <f>"11553000450"</f>
        <v>11553000450</v>
      </c>
      <c r="B7746" s="8" t="str">
        <f>"山田西交番"</f>
        <v>山田西交番</v>
      </c>
      <c r="C7746" s="8" t="str">
        <f t="shared" si="2766"/>
        <v>行政財産</v>
      </c>
      <c r="D7746" s="8" t="str">
        <f t="shared" si="2767"/>
        <v>警察（消防）施設</v>
      </c>
      <c r="E7746" s="8" t="str">
        <f>"大阪府吹田市山田　西２丁目"</f>
        <v>大阪府吹田市山田　西２丁目</v>
      </c>
      <c r="F7746" s="8"/>
      <c r="G7746" s="8" t="str">
        <f t="shared" si="2763"/>
        <v>事業用資産</v>
      </c>
      <c r="H7746" s="8" t="str">
        <f t="shared" si="2758"/>
        <v>棚卸以外</v>
      </c>
      <c r="I7746" s="8">
        <v>3</v>
      </c>
      <c r="J7746" s="8" t="str">
        <f>"プロパン置場"</f>
        <v>プロパン置場</v>
      </c>
      <c r="K7746" s="8" t="str">
        <f>"鉄筋コンクリート造"</f>
        <v>鉄筋コンクリート造</v>
      </c>
      <c r="L7746" s="8" t="str">
        <f>"S61.03.29"</f>
        <v>S61.03.29</v>
      </c>
      <c r="M7746" s="8">
        <v>0.68</v>
      </c>
      <c r="N7746" s="8">
        <v>69000</v>
      </c>
      <c r="O7746" s="8">
        <v>67488</v>
      </c>
      <c r="P7746" s="8">
        <v>0</v>
      </c>
      <c r="Q7746" s="8" t="str">
        <f t="shared" si="2765"/>
        <v>公安委員会</v>
      </c>
      <c r="R7746" s="8" t="str">
        <f t="shared" si="2764"/>
        <v>吹田警察署</v>
      </c>
    </row>
    <row r="7747" spans="1:18" x14ac:dyDescent="0.45">
      <c r="A7747" s="8" t="str">
        <f>"11553000470"</f>
        <v>11553000470</v>
      </c>
      <c r="B7747" s="8" t="str">
        <f>"寿町交番"</f>
        <v>寿町交番</v>
      </c>
      <c r="C7747" s="8" t="str">
        <f t="shared" si="2766"/>
        <v>行政財産</v>
      </c>
      <c r="D7747" s="8" t="str">
        <f t="shared" si="2767"/>
        <v>警察（消防）施設</v>
      </c>
      <c r="E7747" s="8" t="str">
        <f>"大阪府吹田市寿町２丁目"</f>
        <v>大阪府吹田市寿町２丁目</v>
      </c>
      <c r="F7747" s="8"/>
      <c r="G7747" s="8" t="str">
        <f t="shared" si="2763"/>
        <v>事業用資産</v>
      </c>
      <c r="H7747" s="8" t="str">
        <f t="shared" si="2758"/>
        <v>棚卸以外</v>
      </c>
      <c r="I7747" s="8">
        <v>1</v>
      </c>
      <c r="J7747" s="8" t="str">
        <f>"寿町交番"</f>
        <v>寿町交番</v>
      </c>
      <c r="K7747" s="8" t="str">
        <f>"鉄筋コンクリート造"</f>
        <v>鉄筋コンクリート造</v>
      </c>
      <c r="L7747" s="8" t="str">
        <f>"H05.01.22"</f>
        <v>H05.01.22</v>
      </c>
      <c r="M7747" s="8">
        <v>54</v>
      </c>
      <c r="N7747" s="8">
        <v>20038621</v>
      </c>
      <c r="O7747" s="8">
        <v>12065340</v>
      </c>
      <c r="P7747" s="8">
        <v>0</v>
      </c>
      <c r="Q7747" s="8" t="str">
        <f t="shared" si="2765"/>
        <v>公安委員会</v>
      </c>
      <c r="R7747" s="8" t="str">
        <f t="shared" si="2764"/>
        <v>吹田警察署</v>
      </c>
    </row>
    <row r="7748" spans="1:18" x14ac:dyDescent="0.45">
      <c r="A7748" s="8" t="str">
        <f>"11553000470"</f>
        <v>11553000470</v>
      </c>
      <c r="B7748" s="8" t="str">
        <f>"寿町交番"</f>
        <v>寿町交番</v>
      </c>
      <c r="C7748" s="8" t="str">
        <f t="shared" si="2766"/>
        <v>行政財産</v>
      </c>
      <c r="D7748" s="8" t="str">
        <f t="shared" si="2767"/>
        <v>警察（消防）施設</v>
      </c>
      <c r="E7748" s="8" t="str">
        <f>"大阪府吹田市寿町２丁目"</f>
        <v>大阪府吹田市寿町２丁目</v>
      </c>
      <c r="F7748" s="8"/>
      <c r="G7748" s="8" t="str">
        <f t="shared" si="2763"/>
        <v>事業用資産</v>
      </c>
      <c r="H7748" s="8" t="str">
        <f t="shared" ref="H7748:H7811" si="2768">"棚卸以外"</f>
        <v>棚卸以外</v>
      </c>
      <c r="I7748" s="8">
        <v>2</v>
      </c>
      <c r="J7748" s="8" t="str">
        <f>"自転車置場"</f>
        <v>自転車置場</v>
      </c>
      <c r="K7748" s="8" t="str">
        <f>"軽量鉄骨造"</f>
        <v>軽量鉄骨造</v>
      </c>
      <c r="L7748" s="8" t="str">
        <f>"H05.01.22"</f>
        <v>H05.01.22</v>
      </c>
      <c r="M7748" s="8">
        <v>6</v>
      </c>
      <c r="N7748" s="8">
        <v>363000</v>
      </c>
      <c r="O7748" s="8">
        <v>362999</v>
      </c>
      <c r="P7748" s="8">
        <v>0</v>
      </c>
      <c r="Q7748" s="8" t="str">
        <f t="shared" si="2765"/>
        <v>公安委員会</v>
      </c>
      <c r="R7748" s="8" t="str">
        <f t="shared" si="2764"/>
        <v>吹田警察署</v>
      </c>
    </row>
    <row r="7749" spans="1:18" x14ac:dyDescent="0.45">
      <c r="A7749" s="8" t="str">
        <f>"11553000480"</f>
        <v>11553000480</v>
      </c>
      <c r="B7749" s="8" t="str">
        <f>"南吹田公園交番"</f>
        <v>南吹田公園交番</v>
      </c>
      <c r="C7749" s="8" t="str">
        <f t="shared" si="2766"/>
        <v>行政財産</v>
      </c>
      <c r="D7749" s="8" t="str">
        <f t="shared" si="2767"/>
        <v>警察（消防）施設</v>
      </c>
      <c r="E7749" s="8" t="str">
        <f>"大阪府吹田市南金田１丁目"</f>
        <v>大阪府吹田市南金田１丁目</v>
      </c>
      <c r="F7749" s="8"/>
      <c r="G7749" s="8" t="str">
        <f t="shared" si="2763"/>
        <v>事業用資産</v>
      </c>
      <c r="H7749" s="8" t="str">
        <f t="shared" si="2768"/>
        <v>棚卸以外</v>
      </c>
      <c r="I7749" s="8">
        <v>1</v>
      </c>
      <c r="J7749" s="8" t="str">
        <f>"南吹田公園交番"</f>
        <v>南吹田公園交番</v>
      </c>
      <c r="K7749" s="8" t="str">
        <f>"鉄骨造"</f>
        <v>鉄骨造</v>
      </c>
      <c r="L7749" s="8" t="str">
        <f>"H10.09.25"</f>
        <v>H10.09.25</v>
      </c>
      <c r="M7749" s="8">
        <v>54.02</v>
      </c>
      <c r="N7749" s="8">
        <v>17413676</v>
      </c>
      <c r="O7749" s="8">
        <v>11198104</v>
      </c>
      <c r="P7749" s="8">
        <v>0</v>
      </c>
      <c r="Q7749" s="8" t="str">
        <f t="shared" si="2765"/>
        <v>公安委員会</v>
      </c>
      <c r="R7749" s="8" t="str">
        <f t="shared" si="2764"/>
        <v>吹田警察署</v>
      </c>
    </row>
    <row r="7750" spans="1:18" x14ac:dyDescent="0.45">
      <c r="A7750" s="8" t="str">
        <f>"11553003008"</f>
        <v>11553003008</v>
      </c>
      <c r="B7750" s="8" t="str">
        <f>"岸辺駅前交番"</f>
        <v>岸辺駅前交番</v>
      </c>
      <c r="C7750" s="8" t="str">
        <f t="shared" si="2766"/>
        <v>行政財産</v>
      </c>
      <c r="D7750" s="8" t="str">
        <f t="shared" si="2767"/>
        <v>警察（消防）施設</v>
      </c>
      <c r="E7750" s="8" t="str">
        <f>"大阪府吹田市岸部南１丁目"</f>
        <v>大阪府吹田市岸部南１丁目</v>
      </c>
      <c r="F7750" s="8"/>
      <c r="G7750" s="8" t="str">
        <f t="shared" si="2763"/>
        <v>事業用資産</v>
      </c>
      <c r="H7750" s="8" t="str">
        <f t="shared" si="2768"/>
        <v>棚卸以外</v>
      </c>
      <c r="I7750" s="8">
        <v>1</v>
      </c>
      <c r="J7750" s="8" t="str">
        <f>"岸辺駅前交番"</f>
        <v>岸辺駅前交番</v>
      </c>
      <c r="K7750" s="8" t="str">
        <f>"軽量鉄骨造"</f>
        <v>軽量鉄骨造</v>
      </c>
      <c r="L7750" s="8" t="str">
        <f>"H28.02.23"</f>
        <v>H28.02.23</v>
      </c>
      <c r="M7750" s="8">
        <v>46.3</v>
      </c>
      <c r="N7750" s="8">
        <v>21978283</v>
      </c>
      <c r="O7750" s="8">
        <v>5910107</v>
      </c>
      <c r="P7750" s="8">
        <v>0</v>
      </c>
      <c r="Q7750" s="8" t="str">
        <f t="shared" si="2765"/>
        <v>公安委員会</v>
      </c>
      <c r="R7750" s="8" t="str">
        <f t="shared" si="2764"/>
        <v>吹田警察署</v>
      </c>
    </row>
    <row r="7751" spans="1:18" x14ac:dyDescent="0.45">
      <c r="A7751" s="8" t="str">
        <f>"11553003009"</f>
        <v>11553003009</v>
      </c>
      <c r="B7751" s="8" t="str">
        <f>"千里山交番"</f>
        <v>千里山交番</v>
      </c>
      <c r="C7751" s="8" t="str">
        <f t="shared" si="2766"/>
        <v>行政財産</v>
      </c>
      <c r="D7751" s="8" t="str">
        <f t="shared" si="2767"/>
        <v>警察（消防）施設</v>
      </c>
      <c r="E7751" s="8" t="str">
        <f>"大阪府吹田市千里山霧が丘"</f>
        <v>大阪府吹田市千里山霧が丘</v>
      </c>
      <c r="F7751" s="8"/>
      <c r="G7751" s="8" t="str">
        <f t="shared" si="2763"/>
        <v>事業用資産</v>
      </c>
      <c r="H7751" s="8" t="str">
        <f t="shared" si="2768"/>
        <v>棚卸以外</v>
      </c>
      <c r="I7751" s="8">
        <v>1</v>
      </c>
      <c r="J7751" s="8" t="str">
        <f>"千里山交番"</f>
        <v>千里山交番</v>
      </c>
      <c r="K7751" s="8" t="str">
        <f>"鉄骨造"</f>
        <v>鉄骨造</v>
      </c>
      <c r="L7751" s="8" t="str">
        <f>"H28.08.29"</f>
        <v>H28.08.29</v>
      </c>
      <c r="M7751" s="8">
        <v>71.78</v>
      </c>
      <c r="N7751" s="8">
        <v>25906634</v>
      </c>
      <c r="O7751" s="8">
        <v>6609822</v>
      </c>
      <c r="P7751" s="8">
        <v>0</v>
      </c>
      <c r="Q7751" s="8" t="str">
        <f t="shared" si="2765"/>
        <v>公安委員会</v>
      </c>
      <c r="R7751" s="8" t="str">
        <f t="shared" si="2764"/>
        <v>吹田警察署</v>
      </c>
    </row>
    <row r="7752" spans="1:18" x14ac:dyDescent="0.45">
      <c r="A7752" s="8" t="str">
        <f t="shared" ref="A7752:A7760" si="2769">"11554000000"</f>
        <v>11554000000</v>
      </c>
      <c r="B7752" s="8" t="str">
        <f t="shared" ref="B7752:B7760" si="2770">"豊能警察署"</f>
        <v>豊能警察署</v>
      </c>
      <c r="C7752" s="8" t="str">
        <f t="shared" si="2766"/>
        <v>行政財産</v>
      </c>
      <c r="D7752" s="8" t="str">
        <f t="shared" si="2767"/>
        <v>警察（消防）施設</v>
      </c>
      <c r="E7752" s="8" t="str">
        <f t="shared" ref="E7752:E7760" si="2771">"大阪府豊能郡　能勢町地黄"</f>
        <v>大阪府豊能郡　能勢町地黄</v>
      </c>
      <c r="F7752" s="8"/>
      <c r="G7752" s="8" t="str">
        <f t="shared" si="2763"/>
        <v>事業用資産</v>
      </c>
      <c r="H7752" s="8" t="str">
        <f t="shared" si="2768"/>
        <v>棚卸以外</v>
      </c>
      <c r="I7752" s="8">
        <v>17</v>
      </c>
      <c r="J7752" s="8" t="str">
        <f>"庁舎"</f>
        <v>庁舎</v>
      </c>
      <c r="K7752" s="8" t="str">
        <f>"鉄筋コンクリート造"</f>
        <v>鉄筋コンクリート造</v>
      </c>
      <c r="L7752" s="8" t="str">
        <f>"S60.09.30"</f>
        <v>S60.09.30</v>
      </c>
      <c r="M7752" s="8">
        <v>1732.28</v>
      </c>
      <c r="N7752" s="8">
        <v>494809427</v>
      </c>
      <c r="O7752" s="8">
        <v>364424254</v>
      </c>
      <c r="P7752" s="8">
        <v>0</v>
      </c>
      <c r="Q7752" s="8" t="str">
        <f t="shared" si="2765"/>
        <v>公安委員会</v>
      </c>
      <c r="R7752" s="8" t="str">
        <f t="shared" ref="R7752:R7771" si="2772">"豊能警察署"</f>
        <v>豊能警察署</v>
      </c>
    </row>
    <row r="7753" spans="1:18" x14ac:dyDescent="0.45">
      <c r="A7753" s="8" t="str">
        <f t="shared" si="2769"/>
        <v>11554000000</v>
      </c>
      <c r="B7753" s="8" t="str">
        <f t="shared" si="2770"/>
        <v>豊能警察署</v>
      </c>
      <c r="C7753" s="8" t="str">
        <f t="shared" si="2766"/>
        <v>行政財産</v>
      </c>
      <c r="D7753" s="8" t="str">
        <f t="shared" si="2767"/>
        <v>警察（消防）施設</v>
      </c>
      <c r="E7753" s="8" t="str">
        <f t="shared" si="2771"/>
        <v>大阪府豊能郡　能勢町地黄</v>
      </c>
      <c r="F7753" s="8"/>
      <c r="G7753" s="8" t="str">
        <f t="shared" si="2763"/>
        <v>事業用資産</v>
      </c>
      <c r="H7753" s="8" t="str">
        <f t="shared" si="2768"/>
        <v>棚卸以外</v>
      </c>
      <c r="I7753" s="8">
        <v>18</v>
      </c>
      <c r="J7753" s="8" t="str">
        <f>"車庫（３）"</f>
        <v>車庫（３）</v>
      </c>
      <c r="K7753" s="8" t="str">
        <f>"鉄骨造"</f>
        <v>鉄骨造</v>
      </c>
      <c r="L7753" s="8" t="str">
        <f>"S60.09.30"</f>
        <v>S60.09.30</v>
      </c>
      <c r="M7753" s="8">
        <v>50.46</v>
      </c>
      <c r="N7753" s="8">
        <v>5257928</v>
      </c>
      <c r="O7753" s="8">
        <v>5257927</v>
      </c>
      <c r="P7753" s="8">
        <v>0</v>
      </c>
      <c r="Q7753" s="8" t="str">
        <f t="shared" si="2765"/>
        <v>公安委員会</v>
      </c>
      <c r="R7753" s="8" t="str">
        <f t="shared" si="2772"/>
        <v>豊能警察署</v>
      </c>
    </row>
    <row r="7754" spans="1:18" x14ac:dyDescent="0.45">
      <c r="A7754" s="8" t="str">
        <f t="shared" si="2769"/>
        <v>11554000000</v>
      </c>
      <c r="B7754" s="8" t="str">
        <f t="shared" si="2770"/>
        <v>豊能警察署</v>
      </c>
      <c r="C7754" s="8" t="str">
        <f t="shared" si="2766"/>
        <v>行政財産</v>
      </c>
      <c r="D7754" s="8" t="str">
        <f t="shared" si="2767"/>
        <v>警察（消防）施設</v>
      </c>
      <c r="E7754" s="8" t="str">
        <f t="shared" si="2771"/>
        <v>大阪府豊能郡　能勢町地黄</v>
      </c>
      <c r="F7754" s="8"/>
      <c r="G7754" s="8" t="str">
        <f t="shared" si="2763"/>
        <v>事業用資産</v>
      </c>
      <c r="H7754" s="8" t="str">
        <f t="shared" si="2768"/>
        <v>棚卸以外</v>
      </c>
      <c r="I7754" s="8">
        <v>19</v>
      </c>
      <c r="J7754" s="8" t="str">
        <f>"浄化槽"</f>
        <v>浄化槽</v>
      </c>
      <c r="K7754" s="8" t="str">
        <f>"鉄筋コンクリート造"</f>
        <v>鉄筋コンクリート造</v>
      </c>
      <c r="L7754" s="8" t="str">
        <f>"S60.09.30"</f>
        <v>S60.09.30</v>
      </c>
      <c r="M7754" s="8">
        <v>12.32</v>
      </c>
      <c r="N7754" s="8">
        <v>62800000</v>
      </c>
      <c r="O7754" s="8">
        <v>61974000</v>
      </c>
      <c r="P7754" s="8">
        <v>0</v>
      </c>
      <c r="Q7754" s="8" t="str">
        <f t="shared" si="2765"/>
        <v>公安委員会</v>
      </c>
      <c r="R7754" s="8" t="str">
        <f t="shared" si="2772"/>
        <v>豊能警察署</v>
      </c>
    </row>
    <row r="7755" spans="1:18" x14ac:dyDescent="0.45">
      <c r="A7755" s="8" t="str">
        <f t="shared" si="2769"/>
        <v>11554000000</v>
      </c>
      <c r="B7755" s="8" t="str">
        <f t="shared" si="2770"/>
        <v>豊能警察署</v>
      </c>
      <c r="C7755" s="8" t="str">
        <f t="shared" si="2766"/>
        <v>行政財産</v>
      </c>
      <c r="D7755" s="8" t="str">
        <f t="shared" si="2767"/>
        <v>警察（消防）施設</v>
      </c>
      <c r="E7755" s="8" t="str">
        <f t="shared" si="2771"/>
        <v>大阪府豊能郡　能勢町地黄</v>
      </c>
      <c r="F7755" s="8"/>
      <c r="G7755" s="8" t="str">
        <f t="shared" si="2763"/>
        <v>事業用資産</v>
      </c>
      <c r="H7755" s="8" t="str">
        <f t="shared" si="2768"/>
        <v>棚卸以外</v>
      </c>
      <c r="I7755" s="8">
        <v>20</v>
      </c>
      <c r="J7755" s="8" t="str">
        <f>"署長公舎"</f>
        <v>署長公舎</v>
      </c>
      <c r="K7755" s="8" t="str">
        <f>"鉄筋コンクリート造"</f>
        <v>鉄筋コンクリート造</v>
      </c>
      <c r="L7755" s="8" t="str">
        <f t="shared" ref="L7755:L7760" si="2773">"S61.03.31"</f>
        <v>S61.03.31</v>
      </c>
      <c r="M7755" s="8">
        <v>90.57</v>
      </c>
      <c r="N7755" s="8">
        <v>23278404</v>
      </c>
      <c r="O7755" s="8">
        <v>18215871</v>
      </c>
      <c r="P7755" s="8">
        <v>0</v>
      </c>
      <c r="Q7755" s="8" t="str">
        <f t="shared" si="2765"/>
        <v>公安委員会</v>
      </c>
      <c r="R7755" s="8" t="str">
        <f t="shared" si="2772"/>
        <v>豊能警察署</v>
      </c>
    </row>
    <row r="7756" spans="1:18" x14ac:dyDescent="0.45">
      <c r="A7756" s="8" t="str">
        <f t="shared" si="2769"/>
        <v>11554000000</v>
      </c>
      <c r="B7756" s="8" t="str">
        <f t="shared" si="2770"/>
        <v>豊能警察署</v>
      </c>
      <c r="C7756" s="8" t="str">
        <f t="shared" si="2766"/>
        <v>行政財産</v>
      </c>
      <c r="D7756" s="8" t="str">
        <f t="shared" si="2767"/>
        <v>警察（消防）施設</v>
      </c>
      <c r="E7756" s="8" t="str">
        <f t="shared" si="2771"/>
        <v>大阪府豊能郡　能勢町地黄</v>
      </c>
      <c r="F7756" s="8"/>
      <c r="G7756" s="8" t="str">
        <f t="shared" si="2763"/>
        <v>事業用資産</v>
      </c>
      <c r="H7756" s="8" t="str">
        <f t="shared" si="2768"/>
        <v>棚卸以外</v>
      </c>
      <c r="I7756" s="8">
        <v>21</v>
      </c>
      <c r="J7756" s="8" t="str">
        <f>"大型車庫"</f>
        <v>大型車庫</v>
      </c>
      <c r="K7756" s="8" t="str">
        <f>"鉄骨造"</f>
        <v>鉄骨造</v>
      </c>
      <c r="L7756" s="8" t="str">
        <f t="shared" si="2773"/>
        <v>S61.03.31</v>
      </c>
      <c r="M7756" s="8">
        <v>169.5</v>
      </c>
      <c r="N7756" s="8">
        <v>19139053</v>
      </c>
      <c r="O7756" s="8">
        <v>19139052</v>
      </c>
      <c r="P7756" s="8">
        <v>0</v>
      </c>
      <c r="Q7756" s="8" t="str">
        <f t="shared" si="2765"/>
        <v>公安委員会</v>
      </c>
      <c r="R7756" s="8" t="str">
        <f t="shared" si="2772"/>
        <v>豊能警察署</v>
      </c>
    </row>
    <row r="7757" spans="1:18" x14ac:dyDescent="0.45">
      <c r="A7757" s="8" t="str">
        <f t="shared" si="2769"/>
        <v>11554000000</v>
      </c>
      <c r="B7757" s="8" t="str">
        <f t="shared" si="2770"/>
        <v>豊能警察署</v>
      </c>
      <c r="C7757" s="8" t="str">
        <f t="shared" si="2766"/>
        <v>行政財産</v>
      </c>
      <c r="D7757" s="8" t="str">
        <f t="shared" si="2767"/>
        <v>警察（消防）施設</v>
      </c>
      <c r="E7757" s="8" t="str">
        <f t="shared" si="2771"/>
        <v>大阪府豊能郡　能勢町地黄</v>
      </c>
      <c r="F7757" s="8"/>
      <c r="G7757" s="8" t="str">
        <f t="shared" si="2763"/>
        <v>事業用資産</v>
      </c>
      <c r="H7757" s="8" t="str">
        <f t="shared" si="2768"/>
        <v>棚卸以外</v>
      </c>
      <c r="I7757" s="8">
        <v>22</v>
      </c>
      <c r="J7757" s="8" t="str">
        <f>"車庫（１）"</f>
        <v>車庫（１）</v>
      </c>
      <c r="K7757" s="8" t="str">
        <f>"鉄骨造"</f>
        <v>鉄骨造</v>
      </c>
      <c r="L7757" s="8" t="str">
        <f t="shared" si="2773"/>
        <v>S61.03.31</v>
      </c>
      <c r="M7757" s="8">
        <v>98.87</v>
      </c>
      <c r="N7757" s="8">
        <v>11629734</v>
      </c>
      <c r="O7757" s="8">
        <v>11629733</v>
      </c>
      <c r="P7757" s="8">
        <v>0</v>
      </c>
      <c r="Q7757" s="8" t="str">
        <f t="shared" si="2765"/>
        <v>公安委員会</v>
      </c>
      <c r="R7757" s="8" t="str">
        <f t="shared" si="2772"/>
        <v>豊能警察署</v>
      </c>
    </row>
    <row r="7758" spans="1:18" x14ac:dyDescent="0.45">
      <c r="A7758" s="8" t="str">
        <f t="shared" si="2769"/>
        <v>11554000000</v>
      </c>
      <c r="B7758" s="8" t="str">
        <f t="shared" si="2770"/>
        <v>豊能警察署</v>
      </c>
      <c r="C7758" s="8" t="str">
        <f t="shared" si="2766"/>
        <v>行政財産</v>
      </c>
      <c r="D7758" s="8" t="str">
        <f t="shared" si="2767"/>
        <v>警察（消防）施設</v>
      </c>
      <c r="E7758" s="8" t="str">
        <f t="shared" si="2771"/>
        <v>大阪府豊能郡　能勢町地黄</v>
      </c>
      <c r="F7758" s="8"/>
      <c r="G7758" s="8" t="str">
        <f t="shared" si="2763"/>
        <v>事業用資産</v>
      </c>
      <c r="H7758" s="8" t="str">
        <f t="shared" si="2768"/>
        <v>棚卸以外</v>
      </c>
      <c r="I7758" s="8">
        <v>23</v>
      </c>
      <c r="J7758" s="8" t="str">
        <f>"車庫（２）"</f>
        <v>車庫（２）</v>
      </c>
      <c r="K7758" s="8" t="str">
        <f>"鉄骨造"</f>
        <v>鉄骨造</v>
      </c>
      <c r="L7758" s="8" t="str">
        <f t="shared" si="2773"/>
        <v>S61.03.31</v>
      </c>
      <c r="M7758" s="8">
        <v>65.61</v>
      </c>
      <c r="N7758" s="8">
        <v>6109783</v>
      </c>
      <c r="O7758" s="8">
        <v>6109782</v>
      </c>
      <c r="P7758" s="8">
        <v>0</v>
      </c>
      <c r="Q7758" s="8" t="str">
        <f t="shared" si="2765"/>
        <v>公安委員会</v>
      </c>
      <c r="R7758" s="8" t="str">
        <f t="shared" si="2772"/>
        <v>豊能警察署</v>
      </c>
    </row>
    <row r="7759" spans="1:18" x14ac:dyDescent="0.45">
      <c r="A7759" s="8" t="str">
        <f t="shared" si="2769"/>
        <v>11554000000</v>
      </c>
      <c r="B7759" s="8" t="str">
        <f t="shared" si="2770"/>
        <v>豊能警察署</v>
      </c>
      <c r="C7759" s="8" t="str">
        <f t="shared" si="2766"/>
        <v>行政財産</v>
      </c>
      <c r="D7759" s="8" t="str">
        <f t="shared" si="2767"/>
        <v>警察（消防）施設</v>
      </c>
      <c r="E7759" s="8" t="str">
        <f t="shared" si="2771"/>
        <v>大阪府豊能郡　能勢町地黄</v>
      </c>
      <c r="F7759" s="8"/>
      <c r="G7759" s="8" t="str">
        <f t="shared" si="2763"/>
        <v>事業用資産</v>
      </c>
      <c r="H7759" s="8" t="str">
        <f t="shared" si="2768"/>
        <v>棚卸以外</v>
      </c>
      <c r="I7759" s="8">
        <v>24</v>
      </c>
      <c r="J7759" s="8" t="str">
        <f>"プロパン庫"</f>
        <v>プロパン庫</v>
      </c>
      <c r="K7759" s="8" t="str">
        <f>"コンクリートブロック造"</f>
        <v>コンクリートブロック造</v>
      </c>
      <c r="L7759" s="8" t="str">
        <f t="shared" si="2773"/>
        <v>S61.03.31</v>
      </c>
      <c r="M7759" s="8">
        <v>7.52</v>
      </c>
      <c r="N7759" s="8">
        <v>610000</v>
      </c>
      <c r="O7759" s="8">
        <v>609999</v>
      </c>
      <c r="P7759" s="8">
        <v>0</v>
      </c>
      <c r="Q7759" s="8" t="str">
        <f t="shared" si="2765"/>
        <v>公安委員会</v>
      </c>
      <c r="R7759" s="8" t="str">
        <f t="shared" si="2772"/>
        <v>豊能警察署</v>
      </c>
    </row>
    <row r="7760" spans="1:18" x14ac:dyDescent="0.45">
      <c r="A7760" s="8" t="str">
        <f t="shared" si="2769"/>
        <v>11554000000</v>
      </c>
      <c r="B7760" s="8" t="str">
        <f t="shared" si="2770"/>
        <v>豊能警察署</v>
      </c>
      <c r="C7760" s="8" t="str">
        <f t="shared" si="2766"/>
        <v>行政財産</v>
      </c>
      <c r="D7760" s="8" t="str">
        <f t="shared" si="2767"/>
        <v>警察（消防）施設</v>
      </c>
      <c r="E7760" s="8" t="str">
        <f t="shared" si="2771"/>
        <v>大阪府豊能郡　能勢町地黄</v>
      </c>
      <c r="F7760" s="8"/>
      <c r="G7760" s="8" t="str">
        <f t="shared" si="2763"/>
        <v>事業用資産</v>
      </c>
      <c r="H7760" s="8" t="str">
        <f t="shared" si="2768"/>
        <v>棚卸以外</v>
      </c>
      <c r="I7760" s="8">
        <v>25</v>
      </c>
      <c r="J7760" s="8" t="str">
        <f>"ゴミ置場"</f>
        <v>ゴミ置場</v>
      </c>
      <c r="K7760" s="8" t="str">
        <f>"無筋コンクリート造"</f>
        <v>無筋コンクリート造</v>
      </c>
      <c r="L7760" s="8" t="str">
        <f t="shared" si="2773"/>
        <v>S61.03.31</v>
      </c>
      <c r="M7760" s="8">
        <v>16.5</v>
      </c>
      <c r="N7760" s="8">
        <v>1269000</v>
      </c>
      <c r="O7760" s="8">
        <v>1268999</v>
      </c>
      <c r="P7760" s="8">
        <v>0</v>
      </c>
      <c r="Q7760" s="8" t="str">
        <f t="shared" si="2765"/>
        <v>公安委員会</v>
      </c>
      <c r="R7760" s="8" t="str">
        <f t="shared" si="2772"/>
        <v>豊能警察署</v>
      </c>
    </row>
    <row r="7761" spans="1:18" x14ac:dyDescent="0.45">
      <c r="A7761" s="8" t="str">
        <f>"11554000130"</f>
        <v>11554000130</v>
      </c>
      <c r="B7761" s="8" t="str">
        <f>"野間中駐在所"</f>
        <v>野間中駐在所</v>
      </c>
      <c r="C7761" s="8" t="str">
        <f t="shared" si="2766"/>
        <v>行政財産</v>
      </c>
      <c r="D7761" s="8" t="str">
        <f t="shared" si="2767"/>
        <v>警察（消防）施設</v>
      </c>
      <c r="E7761" s="8" t="str">
        <f>"大阪府豊能郡　能勢町野間中"</f>
        <v>大阪府豊能郡　能勢町野間中</v>
      </c>
      <c r="F7761" s="8"/>
      <c r="G7761" s="8" t="str">
        <f t="shared" si="2763"/>
        <v>事業用資産</v>
      </c>
      <c r="H7761" s="8" t="str">
        <f t="shared" si="2768"/>
        <v>棚卸以外</v>
      </c>
      <c r="I7761" s="8">
        <v>2</v>
      </c>
      <c r="J7761" s="8" t="str">
        <f>"野間中駐在所"</f>
        <v>野間中駐在所</v>
      </c>
      <c r="K7761" s="8" t="str">
        <f>"鉄骨造"</f>
        <v>鉄骨造</v>
      </c>
      <c r="L7761" s="8" t="str">
        <f>"H04.03.31"</f>
        <v>H04.03.31</v>
      </c>
      <c r="M7761" s="8">
        <v>89.75</v>
      </c>
      <c r="N7761" s="8">
        <v>20676800</v>
      </c>
      <c r="O7761" s="8">
        <v>16862125</v>
      </c>
      <c r="P7761" s="8">
        <v>0</v>
      </c>
      <c r="Q7761" s="8" t="str">
        <f t="shared" si="2765"/>
        <v>公安委員会</v>
      </c>
      <c r="R7761" s="8" t="str">
        <f t="shared" si="2772"/>
        <v>豊能警察署</v>
      </c>
    </row>
    <row r="7762" spans="1:18" x14ac:dyDescent="0.45">
      <c r="A7762" s="8" t="str">
        <f>"11554000140"</f>
        <v>11554000140</v>
      </c>
      <c r="B7762" s="8" t="str">
        <f>"宿野駐在所"</f>
        <v>宿野駐在所</v>
      </c>
      <c r="C7762" s="8" t="str">
        <f t="shared" si="2766"/>
        <v>行政財産</v>
      </c>
      <c r="D7762" s="8" t="str">
        <f t="shared" si="2767"/>
        <v>警察（消防）施設</v>
      </c>
      <c r="E7762" s="8" t="str">
        <f>"大阪府豊能郡　能勢町宿野"</f>
        <v>大阪府豊能郡　能勢町宿野</v>
      </c>
      <c r="F7762" s="8"/>
      <c r="G7762" s="8" t="str">
        <f t="shared" si="2763"/>
        <v>事業用資産</v>
      </c>
      <c r="H7762" s="8" t="str">
        <f t="shared" si="2768"/>
        <v>棚卸以外</v>
      </c>
      <c r="I7762" s="8">
        <v>3</v>
      </c>
      <c r="J7762" s="8" t="str">
        <f>"宿野駐在所"</f>
        <v>宿野駐在所</v>
      </c>
      <c r="K7762" s="8" t="str">
        <f>"鉄骨造"</f>
        <v>鉄骨造</v>
      </c>
      <c r="L7762" s="8" t="str">
        <f>"H08.03.26"</f>
        <v>H08.03.26</v>
      </c>
      <c r="M7762" s="8">
        <v>91.08</v>
      </c>
      <c r="N7762" s="8">
        <v>22671000</v>
      </c>
      <c r="O7762" s="8">
        <v>16108632</v>
      </c>
      <c r="P7762" s="8">
        <v>0</v>
      </c>
      <c r="Q7762" s="8" t="str">
        <f t="shared" si="2765"/>
        <v>公安委員会</v>
      </c>
      <c r="R7762" s="8" t="str">
        <f t="shared" si="2772"/>
        <v>豊能警察署</v>
      </c>
    </row>
    <row r="7763" spans="1:18" x14ac:dyDescent="0.45">
      <c r="A7763" s="8" t="str">
        <f>"11554000150"</f>
        <v>11554000150</v>
      </c>
      <c r="B7763" s="8" t="str">
        <f>"今西駐在所"</f>
        <v>今西駐在所</v>
      </c>
      <c r="C7763" s="8" t="str">
        <f t="shared" si="2766"/>
        <v>行政財産</v>
      </c>
      <c r="D7763" s="8" t="str">
        <f t="shared" si="2767"/>
        <v>警察（消防）施設</v>
      </c>
      <c r="E7763" s="8" t="str">
        <f>"大阪府豊能郡　能勢町今西"</f>
        <v>大阪府豊能郡　能勢町今西</v>
      </c>
      <c r="F7763" s="8"/>
      <c r="G7763" s="8" t="str">
        <f t="shared" si="2763"/>
        <v>事業用資産</v>
      </c>
      <c r="H7763" s="8" t="str">
        <f t="shared" si="2768"/>
        <v>棚卸以外</v>
      </c>
      <c r="I7763" s="8">
        <v>4</v>
      </c>
      <c r="J7763" s="8" t="str">
        <f>"今西駐在所"</f>
        <v>今西駐在所</v>
      </c>
      <c r="K7763" s="8" t="str">
        <f>"鉄骨造"</f>
        <v>鉄骨造</v>
      </c>
      <c r="L7763" s="8" t="str">
        <f>"H15.12.05"</f>
        <v>H15.12.05</v>
      </c>
      <c r="M7763" s="8">
        <v>91.66</v>
      </c>
      <c r="N7763" s="8">
        <v>23377800</v>
      </c>
      <c r="O7763" s="8">
        <v>11839513</v>
      </c>
      <c r="P7763" s="8">
        <v>0</v>
      </c>
      <c r="Q7763" s="8" t="str">
        <f t="shared" si="2765"/>
        <v>公安委員会</v>
      </c>
      <c r="R7763" s="8" t="str">
        <f t="shared" si="2772"/>
        <v>豊能警察署</v>
      </c>
    </row>
    <row r="7764" spans="1:18" x14ac:dyDescent="0.45">
      <c r="A7764" s="8" t="str">
        <f>"11554000160"</f>
        <v>11554000160</v>
      </c>
      <c r="B7764" s="8" t="str">
        <f>"森上駐在所"</f>
        <v>森上駐在所</v>
      </c>
      <c r="C7764" s="8" t="str">
        <f t="shared" si="2766"/>
        <v>行政財産</v>
      </c>
      <c r="D7764" s="8" t="str">
        <f t="shared" si="2767"/>
        <v>警察（消防）施設</v>
      </c>
      <c r="E7764" s="8" t="str">
        <f>"大阪府豊能郡　能勢町森上"</f>
        <v>大阪府豊能郡　能勢町森上</v>
      </c>
      <c r="F7764" s="8"/>
      <c r="G7764" s="8" t="str">
        <f t="shared" si="2763"/>
        <v>事業用資産</v>
      </c>
      <c r="H7764" s="8" t="str">
        <f t="shared" si="2768"/>
        <v>棚卸以外</v>
      </c>
      <c r="I7764" s="8">
        <v>5</v>
      </c>
      <c r="J7764" s="8" t="str">
        <f>"森上駐在所"</f>
        <v>森上駐在所</v>
      </c>
      <c r="K7764" s="8" t="str">
        <f>"鉄骨造"</f>
        <v>鉄骨造</v>
      </c>
      <c r="L7764" s="8" t="str">
        <f>"H16.12.17"</f>
        <v>H16.12.17</v>
      </c>
      <c r="M7764" s="8">
        <v>90.54</v>
      </c>
      <c r="N7764" s="8">
        <v>20461800</v>
      </c>
      <c r="O7764" s="8">
        <v>9824251</v>
      </c>
      <c r="P7764" s="8">
        <v>0</v>
      </c>
      <c r="Q7764" s="8" t="str">
        <f t="shared" si="2765"/>
        <v>公安委員会</v>
      </c>
      <c r="R7764" s="8" t="str">
        <f t="shared" si="2772"/>
        <v>豊能警察署</v>
      </c>
    </row>
    <row r="7765" spans="1:18" x14ac:dyDescent="0.45">
      <c r="A7765" s="8" t="str">
        <f>"11554000190"</f>
        <v>11554000190</v>
      </c>
      <c r="B7765" s="8" t="str">
        <f>"余野交番"</f>
        <v>余野交番</v>
      </c>
      <c r="C7765" s="8" t="str">
        <f t="shared" si="2766"/>
        <v>行政財産</v>
      </c>
      <c r="D7765" s="8" t="str">
        <f t="shared" si="2767"/>
        <v>警察（消防）施設</v>
      </c>
      <c r="E7765" s="8" t="str">
        <f>"大阪府豊能郡　豊能町余野"</f>
        <v>大阪府豊能郡　豊能町余野</v>
      </c>
      <c r="F7765" s="8"/>
      <c r="G7765" s="8" t="str">
        <f t="shared" si="2763"/>
        <v>事業用資産</v>
      </c>
      <c r="H7765" s="8" t="str">
        <f t="shared" si="2768"/>
        <v>棚卸以外</v>
      </c>
      <c r="I7765" s="8">
        <v>1</v>
      </c>
      <c r="J7765" s="8" t="str">
        <f>"余野交番"</f>
        <v>余野交番</v>
      </c>
      <c r="K7765" s="8" t="str">
        <f>"鉄筋コンクリート造"</f>
        <v>鉄筋コンクリート造</v>
      </c>
      <c r="L7765" s="8" t="str">
        <f>"S60.03.28"</f>
        <v>S60.03.28</v>
      </c>
      <c r="M7765" s="8">
        <v>54</v>
      </c>
      <c r="N7765" s="8">
        <v>13865000</v>
      </c>
      <c r="O7765" s="8">
        <v>10537704</v>
      </c>
      <c r="P7765" s="8">
        <v>0</v>
      </c>
      <c r="Q7765" s="8" t="str">
        <f t="shared" si="2765"/>
        <v>公安委員会</v>
      </c>
      <c r="R7765" s="8" t="str">
        <f t="shared" si="2772"/>
        <v>豊能警察署</v>
      </c>
    </row>
    <row r="7766" spans="1:18" x14ac:dyDescent="0.45">
      <c r="A7766" s="8" t="str">
        <f>"11554000200"</f>
        <v>11554000200</v>
      </c>
      <c r="B7766" s="8" t="str">
        <f>"歌垣駐在所"</f>
        <v>歌垣駐在所</v>
      </c>
      <c r="C7766" s="8" t="str">
        <f t="shared" si="2766"/>
        <v>行政財産</v>
      </c>
      <c r="D7766" s="8" t="str">
        <f t="shared" si="2767"/>
        <v>警察（消防）施設</v>
      </c>
      <c r="E7766" s="8" t="str">
        <f>"大阪府豊能郡　能勢町倉垣"</f>
        <v>大阪府豊能郡　能勢町倉垣</v>
      </c>
      <c r="F7766" s="8"/>
      <c r="G7766" s="8" t="str">
        <f t="shared" si="2763"/>
        <v>事業用資産</v>
      </c>
      <c r="H7766" s="8" t="str">
        <f t="shared" si="2768"/>
        <v>棚卸以外</v>
      </c>
      <c r="I7766" s="8">
        <v>1</v>
      </c>
      <c r="J7766" s="8" t="str">
        <f>"歌垣駐在所"</f>
        <v>歌垣駐在所</v>
      </c>
      <c r="K7766" s="8" t="str">
        <f>"鉄骨造"</f>
        <v>鉄骨造</v>
      </c>
      <c r="L7766" s="8" t="str">
        <f>"S61.12.12"</f>
        <v>S61.12.12</v>
      </c>
      <c r="M7766" s="8">
        <v>88.91</v>
      </c>
      <c r="N7766" s="8">
        <v>17250658</v>
      </c>
      <c r="O7766" s="8">
        <v>16427940</v>
      </c>
      <c r="P7766" s="8">
        <v>0</v>
      </c>
      <c r="Q7766" s="8" t="str">
        <f t="shared" si="2765"/>
        <v>公安委員会</v>
      </c>
      <c r="R7766" s="8" t="str">
        <f t="shared" si="2772"/>
        <v>豊能警察署</v>
      </c>
    </row>
    <row r="7767" spans="1:18" x14ac:dyDescent="0.45">
      <c r="A7767" s="8" t="str">
        <f>"11554000210"</f>
        <v>11554000210</v>
      </c>
      <c r="B7767" s="8" t="str">
        <f>"田尻駐在所"</f>
        <v>田尻駐在所</v>
      </c>
      <c r="C7767" s="8" t="str">
        <f t="shared" si="2766"/>
        <v>行政財産</v>
      </c>
      <c r="D7767" s="8" t="str">
        <f t="shared" si="2767"/>
        <v>警察（消防）施設</v>
      </c>
      <c r="E7767" s="8" t="str">
        <f>"大阪府豊能郡　能勢町下田尻"</f>
        <v>大阪府豊能郡　能勢町下田尻</v>
      </c>
      <c r="F7767" s="8"/>
      <c r="G7767" s="8" t="str">
        <f t="shared" ref="G7767:G7830" si="2774">"事業用資産"</f>
        <v>事業用資産</v>
      </c>
      <c r="H7767" s="8" t="str">
        <f t="shared" si="2768"/>
        <v>棚卸以外</v>
      </c>
      <c r="I7767" s="8">
        <v>1</v>
      </c>
      <c r="J7767" s="8" t="str">
        <f>"田尻駐在所"</f>
        <v>田尻駐在所</v>
      </c>
      <c r="K7767" s="8" t="str">
        <f>"鉄骨造"</f>
        <v>鉄骨造</v>
      </c>
      <c r="L7767" s="8" t="str">
        <f>"S63.12.26"</f>
        <v>S63.12.26</v>
      </c>
      <c r="M7767" s="8">
        <v>91.46</v>
      </c>
      <c r="N7767" s="8">
        <v>18231800</v>
      </c>
      <c r="O7767" s="8">
        <v>16426018</v>
      </c>
      <c r="P7767" s="8">
        <v>0</v>
      </c>
      <c r="Q7767" s="8" t="str">
        <f t="shared" si="2765"/>
        <v>公安委員会</v>
      </c>
      <c r="R7767" s="8" t="str">
        <f t="shared" si="2772"/>
        <v>豊能警察署</v>
      </c>
    </row>
    <row r="7768" spans="1:18" x14ac:dyDescent="0.45">
      <c r="A7768" s="8" t="str">
        <f>"11554000210"</f>
        <v>11554000210</v>
      </c>
      <c r="B7768" s="8" t="str">
        <f>"田尻駐在所"</f>
        <v>田尻駐在所</v>
      </c>
      <c r="C7768" s="8" t="str">
        <f t="shared" si="2766"/>
        <v>行政財産</v>
      </c>
      <c r="D7768" s="8" t="str">
        <f t="shared" si="2767"/>
        <v>警察（消防）施設</v>
      </c>
      <c r="E7768" s="8" t="str">
        <f>"大阪府豊能郡　能勢町下田尻"</f>
        <v>大阪府豊能郡　能勢町下田尻</v>
      </c>
      <c r="F7768" s="8"/>
      <c r="G7768" s="8" t="str">
        <f t="shared" si="2774"/>
        <v>事業用資産</v>
      </c>
      <c r="H7768" s="8" t="str">
        <f t="shared" si="2768"/>
        <v>棚卸以外</v>
      </c>
      <c r="I7768" s="8">
        <v>2</v>
      </c>
      <c r="J7768" s="8" t="str">
        <f>"物置"</f>
        <v>物置</v>
      </c>
      <c r="K7768" s="8" t="str">
        <f>"軽量鉄骨造"</f>
        <v>軽量鉄骨造</v>
      </c>
      <c r="L7768" s="8" t="str">
        <f>"S63.12.26"</f>
        <v>S63.12.26</v>
      </c>
      <c r="M7768" s="8">
        <v>1.58</v>
      </c>
      <c r="N7768" s="8">
        <v>108000</v>
      </c>
      <c r="O7768" s="8">
        <v>107999</v>
      </c>
      <c r="P7768" s="8">
        <v>0</v>
      </c>
      <c r="Q7768" s="8" t="str">
        <f t="shared" si="2765"/>
        <v>公安委員会</v>
      </c>
      <c r="R7768" s="8" t="str">
        <f t="shared" si="2772"/>
        <v>豊能警察署</v>
      </c>
    </row>
    <row r="7769" spans="1:18" x14ac:dyDescent="0.45">
      <c r="A7769" s="8" t="str">
        <f>"11554000210"</f>
        <v>11554000210</v>
      </c>
      <c r="B7769" s="8" t="str">
        <f>"田尻駐在所"</f>
        <v>田尻駐在所</v>
      </c>
      <c r="C7769" s="8" t="str">
        <f t="shared" si="2766"/>
        <v>行政財産</v>
      </c>
      <c r="D7769" s="8" t="str">
        <f t="shared" si="2767"/>
        <v>警察（消防）施設</v>
      </c>
      <c r="E7769" s="8" t="str">
        <f>"大阪府豊能郡　能勢町下田尻"</f>
        <v>大阪府豊能郡　能勢町下田尻</v>
      </c>
      <c r="F7769" s="8"/>
      <c r="G7769" s="8" t="str">
        <f t="shared" si="2774"/>
        <v>事業用資産</v>
      </c>
      <c r="H7769" s="8" t="str">
        <f t="shared" si="2768"/>
        <v>棚卸以外</v>
      </c>
      <c r="I7769" s="8">
        <v>3</v>
      </c>
      <c r="J7769" s="8" t="str">
        <f>"プロパン置場"</f>
        <v>プロパン置場</v>
      </c>
      <c r="K7769" s="8" t="str">
        <f>"コンクリートブロック造"</f>
        <v>コンクリートブロック造</v>
      </c>
      <c r="L7769" s="8" t="str">
        <f>"S63.12.26"</f>
        <v>S63.12.26</v>
      </c>
      <c r="M7769" s="8">
        <v>1.57</v>
      </c>
      <c r="N7769" s="8">
        <v>304000</v>
      </c>
      <c r="O7769" s="8">
        <v>303999</v>
      </c>
      <c r="P7769" s="8">
        <v>0</v>
      </c>
      <c r="Q7769" s="8" t="str">
        <f t="shared" si="2765"/>
        <v>公安委員会</v>
      </c>
      <c r="R7769" s="8" t="str">
        <f t="shared" si="2772"/>
        <v>豊能警察署</v>
      </c>
    </row>
    <row r="7770" spans="1:18" x14ac:dyDescent="0.45">
      <c r="A7770" s="8" t="str">
        <f>"11554003001"</f>
        <v>11554003001</v>
      </c>
      <c r="B7770" s="8" t="str">
        <f>"吉川交番"</f>
        <v>吉川交番</v>
      </c>
      <c r="C7770" s="8" t="str">
        <f t="shared" si="2766"/>
        <v>行政財産</v>
      </c>
      <c r="D7770" s="8" t="str">
        <f t="shared" si="2767"/>
        <v>警察（消防）施設</v>
      </c>
      <c r="E7770" s="8" t="str">
        <f>"大阪府豊能郡　豊能町東ときわ台１丁目"</f>
        <v>大阪府豊能郡　豊能町東ときわ台１丁目</v>
      </c>
      <c r="F7770" s="8"/>
      <c r="G7770" s="8" t="str">
        <f t="shared" si="2774"/>
        <v>事業用資産</v>
      </c>
      <c r="H7770" s="8" t="str">
        <f t="shared" si="2768"/>
        <v>棚卸以外</v>
      </c>
      <c r="I7770" s="8">
        <v>1</v>
      </c>
      <c r="J7770" s="8" t="str">
        <f>"吉川交番"</f>
        <v>吉川交番</v>
      </c>
      <c r="K7770" s="8" t="str">
        <f>"軽量鉄骨造"</f>
        <v>軽量鉄骨造</v>
      </c>
      <c r="L7770" s="8" t="str">
        <f>"H29.02.28"</f>
        <v>H29.02.28</v>
      </c>
      <c r="M7770" s="8">
        <v>46.3</v>
      </c>
      <c r="N7770" s="8">
        <v>27895739</v>
      </c>
      <c r="O7770" s="8">
        <v>6768379</v>
      </c>
      <c r="P7770" s="8">
        <v>0</v>
      </c>
      <c r="Q7770" s="8" t="str">
        <f t="shared" si="2765"/>
        <v>公安委員会</v>
      </c>
      <c r="R7770" s="8" t="str">
        <f t="shared" si="2772"/>
        <v>豊能警察署</v>
      </c>
    </row>
    <row r="7771" spans="1:18" x14ac:dyDescent="0.45">
      <c r="A7771" s="8" t="str">
        <f>"11554003001"</f>
        <v>11554003001</v>
      </c>
      <c r="B7771" s="8" t="str">
        <f>"吉川交番"</f>
        <v>吉川交番</v>
      </c>
      <c r="C7771" s="8" t="str">
        <f t="shared" si="2766"/>
        <v>行政財産</v>
      </c>
      <c r="D7771" s="8" t="str">
        <f t="shared" si="2767"/>
        <v>警察（消防）施設</v>
      </c>
      <c r="E7771" s="8" t="str">
        <f>"大阪府豊能郡　豊能町東ときわ台１丁目"</f>
        <v>大阪府豊能郡　豊能町東ときわ台１丁目</v>
      </c>
      <c r="F7771" s="8"/>
      <c r="G7771" s="8" t="str">
        <f t="shared" si="2774"/>
        <v>事業用資産</v>
      </c>
      <c r="H7771" s="8" t="str">
        <f t="shared" si="2768"/>
        <v>棚卸以外</v>
      </c>
      <c r="I7771" s="8">
        <v>2</v>
      </c>
      <c r="J7771" s="8" t="str">
        <f>"物置"</f>
        <v>物置</v>
      </c>
      <c r="K7771" s="8" t="str">
        <f>"軽量鉄骨造"</f>
        <v>軽量鉄骨造</v>
      </c>
      <c r="L7771" s="8" t="str">
        <f>"H29.02.28"</f>
        <v>H29.02.28</v>
      </c>
      <c r="M7771" s="8">
        <v>1.23</v>
      </c>
      <c r="N7771" s="8">
        <v>172952</v>
      </c>
      <c r="O7771" s="8">
        <v>43873</v>
      </c>
      <c r="P7771" s="8">
        <v>0</v>
      </c>
      <c r="Q7771" s="8" t="str">
        <f t="shared" si="2765"/>
        <v>公安委員会</v>
      </c>
      <c r="R7771" s="8" t="str">
        <f t="shared" si="2772"/>
        <v>豊能警察署</v>
      </c>
    </row>
    <row r="7772" spans="1:18" x14ac:dyDescent="0.45">
      <c r="A7772" s="8" t="str">
        <f t="shared" ref="A7772:A7778" si="2775">"11555000000"</f>
        <v>11555000000</v>
      </c>
      <c r="B7772" s="8" t="str">
        <f t="shared" ref="B7772:B7778" si="2776">"箕面警察署"</f>
        <v>箕面警察署</v>
      </c>
      <c r="C7772" s="8" t="str">
        <f t="shared" si="2766"/>
        <v>行政財産</v>
      </c>
      <c r="D7772" s="8" t="str">
        <f t="shared" si="2767"/>
        <v>警察（消防）施設</v>
      </c>
      <c r="E7772" s="8" t="str">
        <f t="shared" ref="E7772:E7778" si="2777">"大阪府箕面市箕面５丁目"</f>
        <v>大阪府箕面市箕面５丁目</v>
      </c>
      <c r="F7772" s="8"/>
      <c r="G7772" s="8" t="str">
        <f t="shared" si="2774"/>
        <v>事業用資産</v>
      </c>
      <c r="H7772" s="8" t="str">
        <f t="shared" si="2768"/>
        <v>棚卸以外</v>
      </c>
      <c r="I7772" s="8">
        <v>1</v>
      </c>
      <c r="J7772" s="8" t="str">
        <f>"庁舎"</f>
        <v>庁舎</v>
      </c>
      <c r="K7772" s="8" t="str">
        <f>"鉄筋コンクリート造"</f>
        <v>鉄筋コンクリート造</v>
      </c>
      <c r="L7772" s="8" t="str">
        <f t="shared" ref="L7772:L7777" si="2778">"S60.01.31"</f>
        <v>S60.01.31</v>
      </c>
      <c r="M7772" s="8">
        <v>2866.62</v>
      </c>
      <c r="N7772" s="8">
        <v>697599949</v>
      </c>
      <c r="O7772" s="8">
        <v>528364418</v>
      </c>
      <c r="P7772" s="8">
        <v>0</v>
      </c>
      <c r="Q7772" s="8" t="str">
        <f t="shared" si="2765"/>
        <v>公安委員会</v>
      </c>
      <c r="R7772" s="8" t="str">
        <f t="shared" ref="R7772:R7789" si="2779">"箕面警察署"</f>
        <v>箕面警察署</v>
      </c>
    </row>
    <row r="7773" spans="1:18" x14ac:dyDescent="0.45">
      <c r="A7773" s="8" t="str">
        <f t="shared" si="2775"/>
        <v>11555000000</v>
      </c>
      <c r="B7773" s="8" t="str">
        <f t="shared" si="2776"/>
        <v>箕面警察署</v>
      </c>
      <c r="C7773" s="8" t="str">
        <f t="shared" si="2766"/>
        <v>行政財産</v>
      </c>
      <c r="D7773" s="8" t="str">
        <f t="shared" si="2767"/>
        <v>警察（消防）施設</v>
      </c>
      <c r="E7773" s="8" t="str">
        <f t="shared" si="2777"/>
        <v>大阪府箕面市箕面５丁目</v>
      </c>
      <c r="F7773" s="8"/>
      <c r="G7773" s="8" t="str">
        <f t="shared" si="2774"/>
        <v>事業用資産</v>
      </c>
      <c r="H7773" s="8" t="str">
        <f t="shared" si="2768"/>
        <v>棚卸以外</v>
      </c>
      <c r="I7773" s="8">
        <v>2</v>
      </c>
      <c r="J7773" s="8" t="str">
        <f>"署長公舎"</f>
        <v>署長公舎</v>
      </c>
      <c r="K7773" s="8" t="str">
        <f>"鉄筋コンクリート造"</f>
        <v>鉄筋コンクリート造</v>
      </c>
      <c r="L7773" s="8" t="str">
        <f t="shared" si="2778"/>
        <v>S60.01.31</v>
      </c>
      <c r="M7773" s="8">
        <v>90.57</v>
      </c>
      <c r="N7773" s="8">
        <v>26040000</v>
      </c>
      <c r="O7773" s="8">
        <v>21146318</v>
      </c>
      <c r="P7773" s="8">
        <v>0</v>
      </c>
      <c r="Q7773" s="8" t="str">
        <f t="shared" si="2765"/>
        <v>公安委員会</v>
      </c>
      <c r="R7773" s="8" t="str">
        <f t="shared" si="2779"/>
        <v>箕面警察署</v>
      </c>
    </row>
    <row r="7774" spans="1:18" x14ac:dyDescent="0.45">
      <c r="A7774" s="8" t="str">
        <f t="shared" si="2775"/>
        <v>11555000000</v>
      </c>
      <c r="B7774" s="8" t="str">
        <f t="shared" si="2776"/>
        <v>箕面警察署</v>
      </c>
      <c r="C7774" s="8" t="str">
        <f t="shared" si="2766"/>
        <v>行政財産</v>
      </c>
      <c r="D7774" s="8" t="str">
        <f t="shared" si="2767"/>
        <v>警察（消防）施設</v>
      </c>
      <c r="E7774" s="8" t="str">
        <f t="shared" si="2777"/>
        <v>大阪府箕面市箕面５丁目</v>
      </c>
      <c r="F7774" s="8"/>
      <c r="G7774" s="8" t="str">
        <f t="shared" si="2774"/>
        <v>事業用資産</v>
      </c>
      <c r="H7774" s="8" t="str">
        <f t="shared" si="2768"/>
        <v>棚卸以外</v>
      </c>
      <c r="I7774" s="8">
        <v>3</v>
      </c>
      <c r="J7774" s="8" t="str">
        <f>"油庫及び霊安室"</f>
        <v>油庫及び霊安室</v>
      </c>
      <c r="K7774" s="8" t="str">
        <f>"鉄骨造"</f>
        <v>鉄骨造</v>
      </c>
      <c r="L7774" s="8" t="str">
        <f t="shared" si="2778"/>
        <v>S60.01.31</v>
      </c>
      <c r="M7774" s="8">
        <v>10.35</v>
      </c>
      <c r="N7774" s="8">
        <v>1189422</v>
      </c>
      <c r="O7774" s="8">
        <v>1186489</v>
      </c>
      <c r="P7774" s="8">
        <v>0</v>
      </c>
      <c r="Q7774" s="8" t="str">
        <f t="shared" si="2765"/>
        <v>公安委員会</v>
      </c>
      <c r="R7774" s="8" t="str">
        <f t="shared" si="2779"/>
        <v>箕面警察署</v>
      </c>
    </row>
    <row r="7775" spans="1:18" x14ac:dyDescent="0.45">
      <c r="A7775" s="8" t="str">
        <f t="shared" si="2775"/>
        <v>11555000000</v>
      </c>
      <c r="B7775" s="8" t="str">
        <f t="shared" si="2776"/>
        <v>箕面警察署</v>
      </c>
      <c r="C7775" s="8" t="str">
        <f t="shared" si="2766"/>
        <v>行政財産</v>
      </c>
      <c r="D7775" s="8" t="str">
        <f t="shared" si="2767"/>
        <v>警察（消防）施設</v>
      </c>
      <c r="E7775" s="8" t="str">
        <f t="shared" si="2777"/>
        <v>大阪府箕面市箕面５丁目</v>
      </c>
      <c r="F7775" s="8"/>
      <c r="G7775" s="8" t="str">
        <f t="shared" si="2774"/>
        <v>事業用資産</v>
      </c>
      <c r="H7775" s="8" t="str">
        <f t="shared" si="2768"/>
        <v>棚卸以外</v>
      </c>
      <c r="I7775" s="8">
        <v>4</v>
      </c>
      <c r="J7775" s="8" t="str">
        <f>"大型車庫"</f>
        <v>大型車庫</v>
      </c>
      <c r="K7775" s="8" t="str">
        <f>"鉄骨造"</f>
        <v>鉄骨造</v>
      </c>
      <c r="L7775" s="8" t="str">
        <f t="shared" si="2778"/>
        <v>S60.01.31</v>
      </c>
      <c r="M7775" s="8">
        <v>179.89</v>
      </c>
      <c r="N7775" s="8">
        <v>20041000</v>
      </c>
      <c r="O7775" s="8">
        <v>20040999</v>
      </c>
      <c r="P7775" s="8">
        <v>0</v>
      </c>
      <c r="Q7775" s="8" t="str">
        <f t="shared" si="2765"/>
        <v>公安委員会</v>
      </c>
      <c r="R7775" s="8" t="str">
        <f t="shared" si="2779"/>
        <v>箕面警察署</v>
      </c>
    </row>
    <row r="7776" spans="1:18" x14ac:dyDescent="0.45">
      <c r="A7776" s="8" t="str">
        <f t="shared" si="2775"/>
        <v>11555000000</v>
      </c>
      <c r="B7776" s="8" t="str">
        <f t="shared" si="2776"/>
        <v>箕面警察署</v>
      </c>
      <c r="C7776" s="8" t="str">
        <f t="shared" si="2766"/>
        <v>行政財産</v>
      </c>
      <c r="D7776" s="8" t="str">
        <f t="shared" si="2767"/>
        <v>警察（消防）施設</v>
      </c>
      <c r="E7776" s="8" t="str">
        <f t="shared" si="2777"/>
        <v>大阪府箕面市箕面５丁目</v>
      </c>
      <c r="F7776" s="8"/>
      <c r="G7776" s="8" t="str">
        <f t="shared" si="2774"/>
        <v>事業用資産</v>
      </c>
      <c r="H7776" s="8" t="str">
        <f t="shared" si="2768"/>
        <v>棚卸以外</v>
      </c>
      <c r="I7776" s="8">
        <v>6</v>
      </c>
      <c r="J7776" s="8" t="str">
        <f>"ゴミ集積場"</f>
        <v>ゴミ集積場</v>
      </c>
      <c r="K7776" s="8" t="str">
        <f>"鉄筋コンクリート造"</f>
        <v>鉄筋コンクリート造</v>
      </c>
      <c r="L7776" s="8" t="str">
        <f t="shared" si="2778"/>
        <v>S60.01.31</v>
      </c>
      <c r="M7776" s="8">
        <v>6</v>
      </c>
      <c r="N7776" s="8">
        <v>950000</v>
      </c>
      <c r="O7776" s="8">
        <v>949999</v>
      </c>
      <c r="P7776" s="8">
        <v>0</v>
      </c>
      <c r="Q7776" s="8" t="str">
        <f t="shared" si="2765"/>
        <v>公安委員会</v>
      </c>
      <c r="R7776" s="8" t="str">
        <f t="shared" si="2779"/>
        <v>箕面警察署</v>
      </c>
    </row>
    <row r="7777" spans="1:18" x14ac:dyDescent="0.45">
      <c r="A7777" s="8" t="str">
        <f t="shared" si="2775"/>
        <v>11555000000</v>
      </c>
      <c r="B7777" s="8" t="str">
        <f t="shared" si="2776"/>
        <v>箕面警察署</v>
      </c>
      <c r="C7777" s="8" t="str">
        <f t="shared" si="2766"/>
        <v>行政財産</v>
      </c>
      <c r="D7777" s="8" t="str">
        <f t="shared" si="2767"/>
        <v>警察（消防）施設</v>
      </c>
      <c r="E7777" s="8" t="str">
        <f t="shared" si="2777"/>
        <v>大阪府箕面市箕面５丁目</v>
      </c>
      <c r="F7777" s="8"/>
      <c r="G7777" s="8" t="str">
        <f t="shared" si="2774"/>
        <v>事業用資産</v>
      </c>
      <c r="H7777" s="8" t="str">
        <f t="shared" si="2768"/>
        <v>棚卸以外</v>
      </c>
      <c r="I7777" s="8">
        <v>7</v>
      </c>
      <c r="J7777" s="8" t="str">
        <f>"ポンプ室"</f>
        <v>ポンプ室</v>
      </c>
      <c r="K7777" s="8" t="str">
        <f>"鉄筋コンクリート造"</f>
        <v>鉄筋コンクリート造</v>
      </c>
      <c r="L7777" s="8" t="str">
        <f t="shared" si="2778"/>
        <v>S60.01.31</v>
      </c>
      <c r="M7777" s="8">
        <v>1.8</v>
      </c>
      <c r="N7777" s="8">
        <v>360000</v>
      </c>
      <c r="O7777" s="8">
        <v>359999</v>
      </c>
      <c r="P7777" s="8">
        <v>0</v>
      </c>
      <c r="Q7777" s="8" t="str">
        <f t="shared" si="2765"/>
        <v>公安委員会</v>
      </c>
      <c r="R7777" s="8" t="str">
        <f t="shared" si="2779"/>
        <v>箕面警察署</v>
      </c>
    </row>
    <row r="7778" spans="1:18" x14ac:dyDescent="0.45">
      <c r="A7778" s="8" t="str">
        <f t="shared" si="2775"/>
        <v>11555000000</v>
      </c>
      <c r="B7778" s="8" t="str">
        <f t="shared" si="2776"/>
        <v>箕面警察署</v>
      </c>
      <c r="C7778" s="8" t="str">
        <f t="shared" si="2766"/>
        <v>行政財産</v>
      </c>
      <c r="D7778" s="8" t="str">
        <f t="shared" si="2767"/>
        <v>警察（消防）施設</v>
      </c>
      <c r="E7778" s="8" t="str">
        <f t="shared" si="2777"/>
        <v>大阪府箕面市箕面５丁目</v>
      </c>
      <c r="F7778" s="8"/>
      <c r="G7778" s="8" t="str">
        <f t="shared" si="2774"/>
        <v>事業用資産</v>
      </c>
      <c r="H7778" s="8" t="str">
        <f t="shared" si="2768"/>
        <v>棚卸以外</v>
      </c>
      <c r="I7778" s="8">
        <v>8</v>
      </c>
      <c r="J7778" s="8" t="str">
        <f>"証拠品倉庫"</f>
        <v>証拠品倉庫</v>
      </c>
      <c r="K7778" s="8" t="str">
        <f>"軽量鉄骨造"</f>
        <v>軽量鉄骨造</v>
      </c>
      <c r="L7778" s="8" t="str">
        <f>"H17.03.28"</f>
        <v>H17.03.28</v>
      </c>
      <c r="M7778" s="8">
        <v>10.8</v>
      </c>
      <c r="N7778" s="8">
        <v>550760</v>
      </c>
      <c r="O7778" s="8">
        <v>355057</v>
      </c>
      <c r="P7778" s="8">
        <v>0</v>
      </c>
      <c r="Q7778" s="8" t="str">
        <f t="shared" si="2765"/>
        <v>公安委員会</v>
      </c>
      <c r="R7778" s="8" t="str">
        <f t="shared" si="2779"/>
        <v>箕面警察署</v>
      </c>
    </row>
    <row r="7779" spans="1:18" x14ac:dyDescent="0.45">
      <c r="A7779" s="8" t="str">
        <f>"11555000140"</f>
        <v>11555000140</v>
      </c>
      <c r="B7779" s="8" t="str">
        <f>"小野原交番"</f>
        <v>小野原交番</v>
      </c>
      <c r="C7779" s="8" t="str">
        <f t="shared" si="2766"/>
        <v>行政財産</v>
      </c>
      <c r="D7779" s="8" t="str">
        <f t="shared" si="2767"/>
        <v>警察（消防）施設</v>
      </c>
      <c r="E7779" s="8" t="str">
        <f>"大阪府箕面市小野原西１丁目"</f>
        <v>大阪府箕面市小野原西１丁目</v>
      </c>
      <c r="F7779" s="8"/>
      <c r="G7779" s="8" t="str">
        <f t="shared" si="2774"/>
        <v>事業用資産</v>
      </c>
      <c r="H7779" s="8" t="str">
        <f t="shared" si="2768"/>
        <v>棚卸以外</v>
      </c>
      <c r="I7779" s="8">
        <v>1</v>
      </c>
      <c r="J7779" s="8" t="str">
        <f>"小野原交番"</f>
        <v>小野原交番</v>
      </c>
      <c r="K7779" s="8" t="str">
        <f>"鉄筋コンクリート造"</f>
        <v>鉄筋コンクリート造</v>
      </c>
      <c r="L7779" s="8" t="str">
        <f>"S59.03.31"</f>
        <v>S59.03.31</v>
      </c>
      <c r="M7779" s="8">
        <v>54</v>
      </c>
      <c r="N7779" s="8">
        <v>11402254</v>
      </c>
      <c r="O7779" s="8">
        <v>8876939</v>
      </c>
      <c r="P7779" s="8">
        <v>0</v>
      </c>
      <c r="Q7779" s="8" t="str">
        <f t="shared" si="2765"/>
        <v>公安委員会</v>
      </c>
      <c r="R7779" s="8" t="str">
        <f t="shared" si="2779"/>
        <v>箕面警察署</v>
      </c>
    </row>
    <row r="7780" spans="1:18" x14ac:dyDescent="0.45">
      <c r="A7780" s="8" t="str">
        <f>"11555000210"</f>
        <v>11555000210</v>
      </c>
      <c r="B7780" s="8" t="str">
        <f>"瀬川交番"</f>
        <v>瀬川交番</v>
      </c>
      <c r="C7780" s="8" t="str">
        <f t="shared" si="2766"/>
        <v>行政財産</v>
      </c>
      <c r="D7780" s="8" t="str">
        <f t="shared" si="2767"/>
        <v>警察（消防）施設</v>
      </c>
      <c r="E7780" s="8" t="str">
        <f>"大阪府箕面市瀬川４丁目"</f>
        <v>大阪府箕面市瀬川４丁目</v>
      </c>
      <c r="F7780" s="8"/>
      <c r="G7780" s="8" t="str">
        <f t="shared" si="2774"/>
        <v>事業用資産</v>
      </c>
      <c r="H7780" s="8" t="str">
        <f t="shared" si="2768"/>
        <v>棚卸以外</v>
      </c>
      <c r="I7780" s="8">
        <v>1</v>
      </c>
      <c r="J7780" s="8" t="str">
        <f>"瀬川交番"</f>
        <v>瀬川交番</v>
      </c>
      <c r="K7780" s="8" t="str">
        <f>"鉄筋コンクリート造"</f>
        <v>鉄筋コンクリート造</v>
      </c>
      <c r="L7780" s="8" t="str">
        <f>"H01.02.03"</f>
        <v>H01.02.03</v>
      </c>
      <c r="M7780" s="8">
        <v>54</v>
      </c>
      <c r="N7780" s="8">
        <v>14407000</v>
      </c>
      <c r="O7780" s="8">
        <v>9820908</v>
      </c>
      <c r="P7780" s="8">
        <v>0</v>
      </c>
      <c r="Q7780" s="8" t="str">
        <f t="shared" si="2765"/>
        <v>公安委員会</v>
      </c>
      <c r="R7780" s="8" t="str">
        <f t="shared" si="2779"/>
        <v>箕面警察署</v>
      </c>
    </row>
    <row r="7781" spans="1:18" x14ac:dyDescent="0.45">
      <c r="A7781" s="8" t="str">
        <f>"11555000210"</f>
        <v>11555000210</v>
      </c>
      <c r="B7781" s="8" t="str">
        <f>"瀬川交番"</f>
        <v>瀬川交番</v>
      </c>
      <c r="C7781" s="8" t="str">
        <f t="shared" si="2766"/>
        <v>行政財産</v>
      </c>
      <c r="D7781" s="8" t="str">
        <f t="shared" si="2767"/>
        <v>警察（消防）施設</v>
      </c>
      <c r="E7781" s="8" t="str">
        <f>"大阪府箕面市瀬川４丁目"</f>
        <v>大阪府箕面市瀬川４丁目</v>
      </c>
      <c r="F7781" s="8"/>
      <c r="G7781" s="8" t="str">
        <f t="shared" si="2774"/>
        <v>事業用資産</v>
      </c>
      <c r="H7781" s="8" t="str">
        <f t="shared" si="2768"/>
        <v>棚卸以外</v>
      </c>
      <c r="I7781" s="8">
        <v>2</v>
      </c>
      <c r="J7781" s="8" t="str">
        <f>"自転車置場"</f>
        <v>自転車置場</v>
      </c>
      <c r="K7781" s="8" t="str">
        <f>"鉄骨造"</f>
        <v>鉄骨造</v>
      </c>
      <c r="L7781" s="8" t="str">
        <f>"H01.02.03"</f>
        <v>H01.02.03</v>
      </c>
      <c r="M7781" s="8">
        <v>5.95</v>
      </c>
      <c r="N7781" s="8">
        <v>167000</v>
      </c>
      <c r="O7781" s="8">
        <v>166999</v>
      </c>
      <c r="P7781" s="8">
        <v>0</v>
      </c>
      <c r="Q7781" s="8" t="str">
        <f t="shared" si="2765"/>
        <v>公安委員会</v>
      </c>
      <c r="R7781" s="8" t="str">
        <f t="shared" si="2779"/>
        <v>箕面警察署</v>
      </c>
    </row>
    <row r="7782" spans="1:18" x14ac:dyDescent="0.45">
      <c r="A7782" s="8" t="str">
        <f>"11555000220"</f>
        <v>11555000220</v>
      </c>
      <c r="B7782" s="8" t="str">
        <f>"如意谷交番"</f>
        <v>如意谷交番</v>
      </c>
      <c r="C7782" s="8" t="str">
        <f t="shared" si="2766"/>
        <v>行政財産</v>
      </c>
      <c r="D7782" s="8" t="str">
        <f t="shared" si="2767"/>
        <v>警察（消防）施設</v>
      </c>
      <c r="E7782" s="8" t="str">
        <f>"大阪府箕面市如意谷３丁目"</f>
        <v>大阪府箕面市如意谷３丁目</v>
      </c>
      <c r="F7782" s="8"/>
      <c r="G7782" s="8" t="str">
        <f t="shared" si="2774"/>
        <v>事業用資産</v>
      </c>
      <c r="H7782" s="8" t="str">
        <f t="shared" si="2768"/>
        <v>棚卸以外</v>
      </c>
      <c r="I7782" s="8">
        <v>1</v>
      </c>
      <c r="J7782" s="8" t="str">
        <f>"如意谷交番"</f>
        <v>如意谷交番</v>
      </c>
      <c r="K7782" s="8" t="str">
        <f>"鉄筋コンクリート造"</f>
        <v>鉄筋コンクリート造</v>
      </c>
      <c r="L7782" s="8" t="str">
        <f>"H01.03.31"</f>
        <v>H01.03.31</v>
      </c>
      <c r="M7782" s="8">
        <v>53.9</v>
      </c>
      <c r="N7782" s="8">
        <v>16661000</v>
      </c>
      <c r="O7782" s="8">
        <v>11329752</v>
      </c>
      <c r="P7782" s="8">
        <v>0</v>
      </c>
      <c r="Q7782" s="8" t="str">
        <f t="shared" si="2765"/>
        <v>公安委員会</v>
      </c>
      <c r="R7782" s="8" t="str">
        <f t="shared" si="2779"/>
        <v>箕面警察署</v>
      </c>
    </row>
    <row r="7783" spans="1:18" x14ac:dyDescent="0.45">
      <c r="A7783" s="8" t="str">
        <f>"11555000230"</f>
        <v>11555000230</v>
      </c>
      <c r="B7783" s="8" t="str">
        <f>"萓野交番"</f>
        <v>萓野交番</v>
      </c>
      <c r="C7783" s="8" t="str">
        <f t="shared" si="2766"/>
        <v>行政財産</v>
      </c>
      <c r="D7783" s="8" t="str">
        <f t="shared" si="2767"/>
        <v>警察（消防）施設</v>
      </c>
      <c r="E7783" s="8" t="str">
        <f>"大阪府箕面市萱野２丁目"</f>
        <v>大阪府箕面市萱野２丁目</v>
      </c>
      <c r="F7783" s="8"/>
      <c r="G7783" s="8" t="str">
        <f t="shared" si="2774"/>
        <v>事業用資産</v>
      </c>
      <c r="H7783" s="8" t="str">
        <f t="shared" si="2768"/>
        <v>棚卸以外</v>
      </c>
      <c r="I7783" s="8">
        <v>1</v>
      </c>
      <c r="J7783" s="8" t="str">
        <f>"萓野交番"</f>
        <v>萓野交番</v>
      </c>
      <c r="K7783" s="8" t="str">
        <f>"鉄筋コンクリート造"</f>
        <v>鉄筋コンクリート造</v>
      </c>
      <c r="L7783" s="8" t="str">
        <f>"H05.01.08"</f>
        <v>H05.01.08</v>
      </c>
      <c r="M7783" s="8">
        <v>118.8</v>
      </c>
      <c r="N7783" s="8">
        <v>42309519</v>
      </c>
      <c r="O7783" s="8">
        <v>24122180</v>
      </c>
      <c r="P7783" s="8">
        <v>0</v>
      </c>
      <c r="Q7783" s="8" t="str">
        <f t="shared" si="2765"/>
        <v>公安委員会</v>
      </c>
      <c r="R7783" s="8" t="str">
        <f t="shared" si="2779"/>
        <v>箕面警察署</v>
      </c>
    </row>
    <row r="7784" spans="1:18" x14ac:dyDescent="0.45">
      <c r="A7784" s="8" t="str">
        <f>"11555001001"</f>
        <v>11555001001</v>
      </c>
      <c r="B7784" s="8" t="str">
        <f>"船場交番"</f>
        <v>船場交番</v>
      </c>
      <c r="C7784" s="8" t="str">
        <f t="shared" si="2766"/>
        <v>行政財産</v>
      </c>
      <c r="D7784" s="8" t="str">
        <f t="shared" si="2767"/>
        <v>警察（消防）施設</v>
      </c>
      <c r="E7784" s="8" t="str">
        <f>"大阪府箕面市船場西２丁目"</f>
        <v>大阪府箕面市船場西２丁目</v>
      </c>
      <c r="F7784" s="8"/>
      <c r="G7784" s="8" t="str">
        <f t="shared" si="2774"/>
        <v>事業用資産</v>
      </c>
      <c r="H7784" s="8" t="str">
        <f t="shared" si="2768"/>
        <v>棚卸以外</v>
      </c>
      <c r="I7784" s="8">
        <v>1</v>
      </c>
      <c r="J7784" s="8" t="str">
        <f>"船場交番"</f>
        <v>船場交番</v>
      </c>
      <c r="K7784" s="8" t="str">
        <f>"鉄筋コンクリート造"</f>
        <v>鉄筋コンクリート造</v>
      </c>
      <c r="L7784" s="8" t="str">
        <f>"S55.03.31"</f>
        <v>S55.03.31</v>
      </c>
      <c r="M7784" s="8">
        <v>54</v>
      </c>
      <c r="N7784" s="8">
        <v>14244000</v>
      </c>
      <c r="O7784" s="8">
        <v>12249840</v>
      </c>
      <c r="P7784" s="8">
        <v>0</v>
      </c>
      <c r="Q7784" s="8" t="str">
        <f t="shared" si="2765"/>
        <v>公安委員会</v>
      </c>
      <c r="R7784" s="8" t="str">
        <f t="shared" si="2779"/>
        <v>箕面警察署</v>
      </c>
    </row>
    <row r="7785" spans="1:18" x14ac:dyDescent="0.45">
      <c r="A7785" s="8" t="str">
        <f>"11555001002"</f>
        <v>11555001002</v>
      </c>
      <c r="B7785" s="8" t="str">
        <f>"箕面駅前交番"</f>
        <v>箕面駅前交番</v>
      </c>
      <c r="C7785" s="8" t="str">
        <f t="shared" si="2766"/>
        <v>行政財産</v>
      </c>
      <c r="D7785" s="8" t="str">
        <f t="shared" si="2767"/>
        <v>警察（消防）施設</v>
      </c>
      <c r="E7785" s="8" t="str">
        <f>"大阪府箕面市箕面１丁目"</f>
        <v>大阪府箕面市箕面１丁目</v>
      </c>
      <c r="F7785" s="8"/>
      <c r="G7785" s="8" t="str">
        <f t="shared" si="2774"/>
        <v>事業用資産</v>
      </c>
      <c r="H7785" s="8" t="str">
        <f t="shared" si="2768"/>
        <v>棚卸以外</v>
      </c>
      <c r="I7785" s="8">
        <v>2</v>
      </c>
      <c r="J7785" s="8" t="str">
        <f>"箕面駅前交番"</f>
        <v>箕面駅前交番</v>
      </c>
      <c r="K7785" s="8" t="str">
        <f>"軽量鉄骨造"</f>
        <v>軽量鉄骨造</v>
      </c>
      <c r="L7785" s="8" t="str">
        <f>"H24.05.22"</f>
        <v>H24.05.22</v>
      </c>
      <c r="M7785" s="8">
        <v>53.76</v>
      </c>
      <c r="N7785" s="8">
        <v>32934300</v>
      </c>
      <c r="O7785" s="8">
        <v>13816530</v>
      </c>
      <c r="P7785" s="8">
        <v>0</v>
      </c>
      <c r="Q7785" s="8" t="str">
        <f t="shared" si="2765"/>
        <v>公安委員会</v>
      </c>
      <c r="R7785" s="8" t="str">
        <f t="shared" si="2779"/>
        <v>箕面警察署</v>
      </c>
    </row>
    <row r="7786" spans="1:18" x14ac:dyDescent="0.45">
      <c r="A7786" s="8" t="str">
        <f>"11555001006"</f>
        <v>11555001006</v>
      </c>
      <c r="B7786" s="8" t="str">
        <f>"桜井交番"</f>
        <v>桜井交番</v>
      </c>
      <c r="C7786" s="8" t="str">
        <f t="shared" si="2766"/>
        <v>行政財産</v>
      </c>
      <c r="D7786" s="8" t="str">
        <f t="shared" si="2767"/>
        <v>警察（消防）施設</v>
      </c>
      <c r="E7786" s="8" t="str">
        <f>"大阪府箕面市桜井１丁目"</f>
        <v>大阪府箕面市桜井１丁目</v>
      </c>
      <c r="F7786" s="8"/>
      <c r="G7786" s="8" t="str">
        <f t="shared" si="2774"/>
        <v>事業用資産</v>
      </c>
      <c r="H7786" s="8" t="str">
        <f t="shared" si="2768"/>
        <v>棚卸以外</v>
      </c>
      <c r="I7786" s="8">
        <v>1</v>
      </c>
      <c r="J7786" s="8" t="str">
        <f>"桜井交番"</f>
        <v>桜井交番</v>
      </c>
      <c r="K7786" s="8" t="str">
        <f>"鉄筋コンクリート造"</f>
        <v>鉄筋コンクリート造</v>
      </c>
      <c r="L7786" s="8" t="str">
        <f>"S48.03.15"</f>
        <v>S48.03.15</v>
      </c>
      <c r="M7786" s="8">
        <v>51.52</v>
      </c>
      <c r="N7786" s="8">
        <v>6750865</v>
      </c>
      <c r="O7786" s="8">
        <v>6707155</v>
      </c>
      <c r="P7786" s="8">
        <v>0</v>
      </c>
      <c r="Q7786" s="8" t="str">
        <f t="shared" si="2765"/>
        <v>公安委員会</v>
      </c>
      <c r="R7786" s="8" t="str">
        <f t="shared" si="2779"/>
        <v>箕面警察署</v>
      </c>
    </row>
    <row r="7787" spans="1:18" x14ac:dyDescent="0.45">
      <c r="A7787" s="8" t="str">
        <f>"11555001007"</f>
        <v>11555001007</v>
      </c>
      <c r="B7787" s="8" t="str">
        <f>"粟生間谷交番"</f>
        <v>粟生間谷交番</v>
      </c>
      <c r="C7787" s="8" t="str">
        <f t="shared" si="2766"/>
        <v>行政財産</v>
      </c>
      <c r="D7787" s="8" t="str">
        <f t="shared" si="2767"/>
        <v>警察（消防）施設</v>
      </c>
      <c r="E7787" s="8" t="str">
        <f>"大阪府箕面市粟生間谷西２丁目"</f>
        <v>大阪府箕面市粟生間谷西２丁目</v>
      </c>
      <c r="F7787" s="8"/>
      <c r="G7787" s="8" t="str">
        <f t="shared" si="2774"/>
        <v>事業用資産</v>
      </c>
      <c r="H7787" s="8" t="str">
        <f t="shared" si="2768"/>
        <v>棚卸以外</v>
      </c>
      <c r="I7787" s="8">
        <v>1</v>
      </c>
      <c r="J7787" s="8" t="str">
        <f>"栗生間谷交番"</f>
        <v>栗生間谷交番</v>
      </c>
      <c r="K7787" s="8" t="str">
        <f>"鉄筋コンクリート造"</f>
        <v>鉄筋コンクリート造</v>
      </c>
      <c r="L7787" s="8" t="str">
        <f>"S50.03.31"</f>
        <v>S50.03.31</v>
      </c>
      <c r="M7787" s="8">
        <v>50.4</v>
      </c>
      <c r="N7787" s="8">
        <v>7926566</v>
      </c>
      <c r="O7787" s="8">
        <v>7606860</v>
      </c>
      <c r="P7787" s="8">
        <v>0</v>
      </c>
      <c r="Q7787" s="8" t="str">
        <f t="shared" si="2765"/>
        <v>公安委員会</v>
      </c>
      <c r="R7787" s="8" t="str">
        <f t="shared" si="2779"/>
        <v>箕面警察署</v>
      </c>
    </row>
    <row r="7788" spans="1:18" x14ac:dyDescent="0.45">
      <c r="A7788" s="8" t="str">
        <f>"11555001008"</f>
        <v>11555001008</v>
      </c>
      <c r="B7788" s="8" t="str">
        <f>"桜ヶ丘交番"</f>
        <v>桜ヶ丘交番</v>
      </c>
      <c r="C7788" s="8" t="str">
        <f t="shared" si="2766"/>
        <v>行政財産</v>
      </c>
      <c r="D7788" s="8" t="str">
        <f t="shared" si="2767"/>
        <v>警察（消防）施設</v>
      </c>
      <c r="E7788" s="8" t="str">
        <f>"大阪府箕面市桜ケ丘１丁目"</f>
        <v>大阪府箕面市桜ケ丘１丁目</v>
      </c>
      <c r="F7788" s="8"/>
      <c r="G7788" s="8" t="str">
        <f t="shared" si="2774"/>
        <v>事業用資産</v>
      </c>
      <c r="H7788" s="8" t="str">
        <f t="shared" si="2768"/>
        <v>棚卸以外</v>
      </c>
      <c r="I7788" s="8">
        <v>1</v>
      </c>
      <c r="J7788" s="8" t="str">
        <f>"桜ヶ丘交番"</f>
        <v>桜ヶ丘交番</v>
      </c>
      <c r="K7788" s="8" t="str">
        <f>"鉄筋コンクリート造"</f>
        <v>鉄筋コンクリート造</v>
      </c>
      <c r="L7788" s="8" t="str">
        <f>"S54.03.28"</f>
        <v>S54.03.28</v>
      </c>
      <c r="M7788" s="8">
        <v>54</v>
      </c>
      <c r="N7788" s="8">
        <v>12073561</v>
      </c>
      <c r="O7788" s="8">
        <v>10622556</v>
      </c>
      <c r="P7788" s="8">
        <v>0</v>
      </c>
      <c r="Q7788" s="8" t="str">
        <f t="shared" si="2765"/>
        <v>公安委員会</v>
      </c>
      <c r="R7788" s="8" t="str">
        <f t="shared" si="2779"/>
        <v>箕面警察署</v>
      </c>
    </row>
    <row r="7789" spans="1:18" x14ac:dyDescent="0.45">
      <c r="A7789" s="8" t="str">
        <f>"11555001009"</f>
        <v>11555001009</v>
      </c>
      <c r="B7789" s="8" t="str">
        <f>"止々呂美駐在所"</f>
        <v>止々呂美駐在所</v>
      </c>
      <c r="C7789" s="8" t="str">
        <f t="shared" si="2766"/>
        <v>行政財産</v>
      </c>
      <c r="D7789" s="8" t="str">
        <f t="shared" si="2767"/>
        <v>警察（消防）施設</v>
      </c>
      <c r="E7789" s="8" t="str">
        <f>"大阪府箕面市上止々呂美"</f>
        <v>大阪府箕面市上止々呂美</v>
      </c>
      <c r="F7789" s="8"/>
      <c r="G7789" s="8" t="str">
        <f t="shared" si="2774"/>
        <v>事業用資産</v>
      </c>
      <c r="H7789" s="8" t="str">
        <f t="shared" si="2768"/>
        <v>棚卸以外</v>
      </c>
      <c r="I7789" s="8">
        <v>3</v>
      </c>
      <c r="J7789" s="8" t="str">
        <f>"止々呂美駐在所"</f>
        <v>止々呂美駐在所</v>
      </c>
      <c r="K7789" s="8" t="str">
        <f>"鉄骨造"</f>
        <v>鉄骨造</v>
      </c>
      <c r="L7789" s="8" t="str">
        <f>"H06.03.31"</f>
        <v>H06.03.31</v>
      </c>
      <c r="M7789" s="8">
        <v>90.86</v>
      </c>
      <c r="N7789" s="8">
        <v>27048451</v>
      </c>
      <c r="O7789" s="8">
        <v>20588028</v>
      </c>
      <c r="P7789" s="8">
        <v>0</v>
      </c>
      <c r="Q7789" s="8" t="str">
        <f t="shared" si="2765"/>
        <v>公安委員会</v>
      </c>
      <c r="R7789" s="8" t="str">
        <f t="shared" si="2779"/>
        <v>箕面警察署</v>
      </c>
    </row>
    <row r="7790" spans="1:18" x14ac:dyDescent="0.45">
      <c r="A7790" s="8" t="str">
        <f t="shared" ref="A7790:A7796" si="2780">"11556000000"</f>
        <v>11556000000</v>
      </c>
      <c r="B7790" s="8" t="str">
        <f t="shared" ref="B7790:B7796" si="2781">"池田警察署"</f>
        <v>池田警察署</v>
      </c>
      <c r="C7790" s="8" t="str">
        <f t="shared" si="2766"/>
        <v>行政財産</v>
      </c>
      <c r="D7790" s="8" t="str">
        <f t="shared" si="2767"/>
        <v>警察（消防）施設</v>
      </c>
      <c r="E7790" s="8" t="str">
        <f t="shared" ref="E7790:E7796" si="2782">"大阪府池田市大和町"</f>
        <v>大阪府池田市大和町</v>
      </c>
      <c r="F7790" s="8"/>
      <c r="G7790" s="8" t="str">
        <f t="shared" si="2774"/>
        <v>事業用資産</v>
      </c>
      <c r="H7790" s="8" t="str">
        <f t="shared" si="2768"/>
        <v>棚卸以外</v>
      </c>
      <c r="I7790" s="8">
        <v>1</v>
      </c>
      <c r="J7790" s="8" t="str">
        <f>"本館"</f>
        <v>本館</v>
      </c>
      <c r="K7790" s="8" t="str">
        <f>"鉄筋コンクリート造"</f>
        <v>鉄筋コンクリート造</v>
      </c>
      <c r="L7790" s="8" t="str">
        <f>"S38.03.31"</f>
        <v>S38.03.31</v>
      </c>
      <c r="M7790" s="8">
        <v>1218.25</v>
      </c>
      <c r="N7790" s="8">
        <v>295732130</v>
      </c>
      <c r="O7790" s="8">
        <v>179263249</v>
      </c>
      <c r="P7790" s="8">
        <v>0</v>
      </c>
      <c r="Q7790" s="8" t="str">
        <f t="shared" si="2765"/>
        <v>公安委員会</v>
      </c>
      <c r="R7790" s="8" t="str">
        <f t="shared" ref="R7790:R7807" si="2783">"池田警察署"</f>
        <v>池田警察署</v>
      </c>
    </row>
    <row r="7791" spans="1:18" x14ac:dyDescent="0.45">
      <c r="A7791" s="8" t="str">
        <f t="shared" si="2780"/>
        <v>11556000000</v>
      </c>
      <c r="B7791" s="8" t="str">
        <f t="shared" si="2781"/>
        <v>池田警察署</v>
      </c>
      <c r="C7791" s="8" t="str">
        <f t="shared" si="2766"/>
        <v>行政財産</v>
      </c>
      <c r="D7791" s="8" t="str">
        <f t="shared" si="2767"/>
        <v>警察（消防）施設</v>
      </c>
      <c r="E7791" s="8" t="str">
        <f t="shared" si="2782"/>
        <v>大阪府池田市大和町</v>
      </c>
      <c r="F7791" s="8"/>
      <c r="G7791" s="8" t="str">
        <f t="shared" si="2774"/>
        <v>事業用資産</v>
      </c>
      <c r="H7791" s="8" t="str">
        <f t="shared" si="2768"/>
        <v>棚卸以外</v>
      </c>
      <c r="I7791" s="8">
        <v>6</v>
      </c>
      <c r="J7791" s="8" t="str">
        <f>"倉庫"</f>
        <v>倉庫</v>
      </c>
      <c r="K7791" s="8" t="str">
        <f>"鉄骨造"</f>
        <v>鉄骨造</v>
      </c>
      <c r="L7791" s="8" t="str">
        <f>"S38.06.11"</f>
        <v>S38.06.11</v>
      </c>
      <c r="M7791" s="8">
        <v>69.55</v>
      </c>
      <c r="N7791" s="8">
        <v>932000</v>
      </c>
      <c r="O7791" s="8">
        <v>931999</v>
      </c>
      <c r="P7791" s="8">
        <v>0</v>
      </c>
      <c r="Q7791" s="8" t="str">
        <f t="shared" si="2765"/>
        <v>公安委員会</v>
      </c>
      <c r="R7791" s="8" t="str">
        <f t="shared" si="2783"/>
        <v>池田警察署</v>
      </c>
    </row>
    <row r="7792" spans="1:18" x14ac:dyDescent="0.45">
      <c r="A7792" s="8" t="str">
        <f t="shared" si="2780"/>
        <v>11556000000</v>
      </c>
      <c r="B7792" s="8" t="str">
        <f t="shared" si="2781"/>
        <v>池田警察署</v>
      </c>
      <c r="C7792" s="8" t="str">
        <f t="shared" si="2766"/>
        <v>行政財産</v>
      </c>
      <c r="D7792" s="8" t="str">
        <f t="shared" si="2767"/>
        <v>警察（消防）施設</v>
      </c>
      <c r="E7792" s="8" t="str">
        <f t="shared" si="2782"/>
        <v>大阪府池田市大和町</v>
      </c>
      <c r="F7792" s="8"/>
      <c r="G7792" s="8" t="str">
        <f t="shared" si="2774"/>
        <v>事業用資産</v>
      </c>
      <c r="H7792" s="8" t="str">
        <f t="shared" si="2768"/>
        <v>棚卸以外</v>
      </c>
      <c r="I7792" s="8">
        <v>10</v>
      </c>
      <c r="J7792" s="8" t="str">
        <f>"倉庫"</f>
        <v>倉庫</v>
      </c>
      <c r="K7792" s="8" t="str">
        <f>"コンクリートブロック造"</f>
        <v>コンクリートブロック造</v>
      </c>
      <c r="L7792" s="8" t="str">
        <f>"S44.08.31"</f>
        <v>S44.08.31</v>
      </c>
      <c r="M7792" s="8">
        <v>64.8</v>
      </c>
      <c r="N7792" s="8">
        <v>1047950</v>
      </c>
      <c r="O7792" s="8">
        <v>1047949</v>
      </c>
      <c r="P7792" s="8">
        <v>0</v>
      </c>
      <c r="Q7792" s="8" t="str">
        <f t="shared" si="2765"/>
        <v>公安委員会</v>
      </c>
      <c r="R7792" s="8" t="str">
        <f t="shared" si="2783"/>
        <v>池田警察署</v>
      </c>
    </row>
    <row r="7793" spans="1:18" x14ac:dyDescent="0.45">
      <c r="A7793" s="8" t="str">
        <f t="shared" si="2780"/>
        <v>11556000000</v>
      </c>
      <c r="B7793" s="8" t="str">
        <f t="shared" si="2781"/>
        <v>池田警察署</v>
      </c>
      <c r="C7793" s="8" t="str">
        <f t="shared" si="2766"/>
        <v>行政財産</v>
      </c>
      <c r="D7793" s="8" t="str">
        <f t="shared" si="2767"/>
        <v>警察（消防）施設</v>
      </c>
      <c r="E7793" s="8" t="str">
        <f t="shared" si="2782"/>
        <v>大阪府池田市大和町</v>
      </c>
      <c r="F7793" s="8"/>
      <c r="G7793" s="8" t="str">
        <f t="shared" si="2774"/>
        <v>事業用資産</v>
      </c>
      <c r="H7793" s="8" t="str">
        <f t="shared" si="2768"/>
        <v>棚卸以外</v>
      </c>
      <c r="I7793" s="8">
        <v>13</v>
      </c>
      <c r="J7793" s="8" t="str">
        <f>"会議室（旧池田サブセンター）"</f>
        <v>会議室（旧池田サブセンター）</v>
      </c>
      <c r="K7793" s="8" t="str">
        <f>"鉄骨造"</f>
        <v>鉄骨造</v>
      </c>
      <c r="L7793" s="8" t="str">
        <f>"S50.03.31"</f>
        <v>S50.03.31</v>
      </c>
      <c r="M7793" s="8">
        <v>140.5</v>
      </c>
      <c r="N7793" s="8">
        <v>31829400</v>
      </c>
      <c r="O7793" s="8">
        <v>28060586</v>
      </c>
      <c r="P7793" s="8">
        <v>0</v>
      </c>
      <c r="Q7793" s="8" t="str">
        <f t="shared" si="2765"/>
        <v>公安委員会</v>
      </c>
      <c r="R7793" s="8" t="str">
        <f t="shared" si="2783"/>
        <v>池田警察署</v>
      </c>
    </row>
    <row r="7794" spans="1:18" x14ac:dyDescent="0.45">
      <c r="A7794" s="8" t="str">
        <f t="shared" si="2780"/>
        <v>11556000000</v>
      </c>
      <c r="B7794" s="8" t="str">
        <f t="shared" si="2781"/>
        <v>池田警察署</v>
      </c>
      <c r="C7794" s="8" t="str">
        <f t="shared" si="2766"/>
        <v>行政財産</v>
      </c>
      <c r="D7794" s="8" t="str">
        <f t="shared" si="2767"/>
        <v>警察（消防）施設</v>
      </c>
      <c r="E7794" s="8" t="str">
        <f t="shared" si="2782"/>
        <v>大阪府池田市大和町</v>
      </c>
      <c r="F7794" s="8"/>
      <c r="G7794" s="8" t="str">
        <f t="shared" si="2774"/>
        <v>事業用資産</v>
      </c>
      <c r="H7794" s="8" t="str">
        <f t="shared" si="2768"/>
        <v>棚卸以外</v>
      </c>
      <c r="I7794" s="8">
        <v>14</v>
      </c>
      <c r="J7794" s="8" t="str">
        <f>"別館"</f>
        <v>別館</v>
      </c>
      <c r="K7794" s="8" t="str">
        <f>"鉄筋コンクリート造"</f>
        <v>鉄筋コンクリート造</v>
      </c>
      <c r="L7794" s="8" t="str">
        <f>"S53.11.25"</f>
        <v>S53.11.25</v>
      </c>
      <c r="M7794" s="8">
        <v>1564.48</v>
      </c>
      <c r="N7794" s="8">
        <v>329450999</v>
      </c>
      <c r="O7794" s="8">
        <v>252819651</v>
      </c>
      <c r="P7794" s="8">
        <v>0</v>
      </c>
      <c r="Q7794" s="8" t="str">
        <f t="shared" si="2765"/>
        <v>公安委員会</v>
      </c>
      <c r="R7794" s="8" t="str">
        <f t="shared" si="2783"/>
        <v>池田警察署</v>
      </c>
    </row>
    <row r="7795" spans="1:18" x14ac:dyDescent="0.45">
      <c r="A7795" s="8" t="str">
        <f t="shared" si="2780"/>
        <v>11556000000</v>
      </c>
      <c r="B7795" s="8" t="str">
        <f t="shared" si="2781"/>
        <v>池田警察署</v>
      </c>
      <c r="C7795" s="8" t="str">
        <f t="shared" si="2766"/>
        <v>行政財産</v>
      </c>
      <c r="D7795" s="8" t="str">
        <f t="shared" si="2767"/>
        <v>警察（消防）施設</v>
      </c>
      <c r="E7795" s="8" t="str">
        <f t="shared" si="2782"/>
        <v>大阪府池田市大和町</v>
      </c>
      <c r="F7795" s="8"/>
      <c r="G7795" s="8" t="str">
        <f t="shared" si="2774"/>
        <v>事業用資産</v>
      </c>
      <c r="H7795" s="8" t="str">
        <f t="shared" si="2768"/>
        <v>棚卸以外</v>
      </c>
      <c r="I7795" s="8">
        <v>15</v>
      </c>
      <c r="J7795" s="8" t="str">
        <f>"大型車庫"</f>
        <v>大型車庫</v>
      </c>
      <c r="K7795" s="8" t="str">
        <f>"鉄骨造"</f>
        <v>鉄骨造</v>
      </c>
      <c r="L7795" s="8" t="str">
        <f>"S53.11.25"</f>
        <v>S53.11.25</v>
      </c>
      <c r="M7795" s="8">
        <v>83.37</v>
      </c>
      <c r="N7795" s="8">
        <v>5616120</v>
      </c>
      <c r="O7795" s="8">
        <v>5565431</v>
      </c>
      <c r="P7795" s="8">
        <v>0</v>
      </c>
      <c r="Q7795" s="8" t="str">
        <f t="shared" ref="Q7795:Q7858" si="2784">"公安委員会"</f>
        <v>公安委員会</v>
      </c>
      <c r="R7795" s="8" t="str">
        <f t="shared" si="2783"/>
        <v>池田警察署</v>
      </c>
    </row>
    <row r="7796" spans="1:18" x14ac:dyDescent="0.45">
      <c r="A7796" s="8" t="str">
        <f t="shared" si="2780"/>
        <v>11556000000</v>
      </c>
      <c r="B7796" s="8" t="str">
        <f t="shared" si="2781"/>
        <v>池田警察署</v>
      </c>
      <c r="C7796" s="8" t="str">
        <f t="shared" si="2766"/>
        <v>行政財産</v>
      </c>
      <c r="D7796" s="8" t="str">
        <f t="shared" si="2767"/>
        <v>警察（消防）施設</v>
      </c>
      <c r="E7796" s="8" t="str">
        <f t="shared" si="2782"/>
        <v>大阪府池田市大和町</v>
      </c>
      <c r="F7796" s="8"/>
      <c r="G7796" s="8" t="str">
        <f t="shared" si="2774"/>
        <v>事業用資産</v>
      </c>
      <c r="H7796" s="8" t="str">
        <f t="shared" si="2768"/>
        <v>棚卸以外</v>
      </c>
      <c r="I7796" s="8">
        <v>16</v>
      </c>
      <c r="J7796" s="8" t="str">
        <f>"渡り廊下"</f>
        <v>渡り廊下</v>
      </c>
      <c r="K7796" s="8" t="str">
        <f>"鉄骨造"</f>
        <v>鉄骨造</v>
      </c>
      <c r="L7796" s="8" t="str">
        <f>"S53.11.25"</f>
        <v>S53.11.25</v>
      </c>
      <c r="M7796" s="8">
        <v>46.73</v>
      </c>
      <c r="N7796" s="8">
        <v>6578371</v>
      </c>
      <c r="O7796" s="8">
        <v>5445453</v>
      </c>
      <c r="P7796" s="8">
        <v>0</v>
      </c>
      <c r="Q7796" s="8" t="str">
        <f t="shared" si="2784"/>
        <v>公安委員会</v>
      </c>
      <c r="R7796" s="8" t="str">
        <f t="shared" si="2783"/>
        <v>池田警察署</v>
      </c>
    </row>
    <row r="7797" spans="1:18" x14ac:dyDescent="0.45">
      <c r="A7797" s="8" t="str">
        <f>"11556000120"</f>
        <v>11556000120</v>
      </c>
      <c r="B7797" s="8" t="str">
        <f>"荘園口交番"</f>
        <v>荘園口交番</v>
      </c>
      <c r="C7797" s="8" t="str">
        <f t="shared" si="2766"/>
        <v>行政財産</v>
      </c>
      <c r="D7797" s="8" t="str">
        <f t="shared" si="2767"/>
        <v>警察（消防）施設</v>
      </c>
      <c r="E7797" s="8" t="str">
        <f>"大阪府池田市鉢塚３丁目"</f>
        <v>大阪府池田市鉢塚３丁目</v>
      </c>
      <c r="F7797" s="8"/>
      <c r="G7797" s="8" t="str">
        <f t="shared" si="2774"/>
        <v>事業用資産</v>
      </c>
      <c r="H7797" s="8" t="str">
        <f t="shared" si="2768"/>
        <v>棚卸以外</v>
      </c>
      <c r="I7797" s="8">
        <v>2</v>
      </c>
      <c r="J7797" s="8" t="str">
        <f>"荘園口交番"</f>
        <v>荘園口交番</v>
      </c>
      <c r="K7797" s="8" t="str">
        <f>"鉄骨コンクリート造"</f>
        <v>鉄骨コンクリート造</v>
      </c>
      <c r="L7797" s="8" t="str">
        <f>"S50.02.20"</f>
        <v>S50.02.20</v>
      </c>
      <c r="M7797" s="8">
        <v>42.5</v>
      </c>
      <c r="N7797" s="8">
        <v>7532174</v>
      </c>
      <c r="O7797" s="8">
        <v>7517495</v>
      </c>
      <c r="P7797" s="8">
        <v>0</v>
      </c>
      <c r="Q7797" s="8" t="str">
        <f t="shared" si="2784"/>
        <v>公安委員会</v>
      </c>
      <c r="R7797" s="8" t="str">
        <f t="shared" si="2783"/>
        <v>池田警察署</v>
      </c>
    </row>
    <row r="7798" spans="1:18" x14ac:dyDescent="0.45">
      <c r="A7798" s="8" t="str">
        <f>"11556000270"</f>
        <v>11556000270</v>
      </c>
      <c r="B7798" s="8" t="str">
        <f>"秦野交番"</f>
        <v>秦野交番</v>
      </c>
      <c r="C7798" s="8" t="str">
        <f t="shared" ref="C7798:C7861" si="2785">"行政財産"</f>
        <v>行政財産</v>
      </c>
      <c r="D7798" s="8" t="str">
        <f t="shared" si="2767"/>
        <v>警察（消防）施設</v>
      </c>
      <c r="E7798" s="8" t="str">
        <f>"大阪府池田市畑３丁目"</f>
        <v>大阪府池田市畑３丁目</v>
      </c>
      <c r="F7798" s="8"/>
      <c r="G7798" s="8" t="str">
        <f t="shared" si="2774"/>
        <v>事業用資産</v>
      </c>
      <c r="H7798" s="8" t="str">
        <f t="shared" si="2768"/>
        <v>棚卸以外</v>
      </c>
      <c r="I7798" s="8">
        <v>4</v>
      </c>
      <c r="J7798" s="8" t="str">
        <f>"秦野交番"</f>
        <v>秦野交番</v>
      </c>
      <c r="K7798" s="8" t="str">
        <f>"鉄筋コンクリート造"</f>
        <v>鉄筋コンクリート造</v>
      </c>
      <c r="L7798" s="8" t="str">
        <f>"H05.03.31"</f>
        <v>H05.03.31</v>
      </c>
      <c r="M7798" s="8">
        <v>53</v>
      </c>
      <c r="N7798" s="8">
        <v>17074016</v>
      </c>
      <c r="O7798" s="8">
        <v>10234176</v>
      </c>
      <c r="P7798" s="8">
        <v>0</v>
      </c>
      <c r="Q7798" s="8" t="str">
        <f t="shared" si="2784"/>
        <v>公安委員会</v>
      </c>
      <c r="R7798" s="8" t="str">
        <f t="shared" si="2783"/>
        <v>池田警察署</v>
      </c>
    </row>
    <row r="7799" spans="1:18" x14ac:dyDescent="0.45">
      <c r="A7799" s="8" t="str">
        <f>"11556000290"</f>
        <v>11556000290</v>
      </c>
      <c r="B7799" s="8" t="str">
        <f>"五月山交番"</f>
        <v>五月山交番</v>
      </c>
      <c r="C7799" s="8" t="str">
        <f t="shared" si="2785"/>
        <v>行政財産</v>
      </c>
      <c r="D7799" s="8" t="str">
        <f t="shared" si="2767"/>
        <v>警察（消防）施設</v>
      </c>
      <c r="E7799" s="8" t="str">
        <f>"大阪府池田市城山町"</f>
        <v>大阪府池田市城山町</v>
      </c>
      <c r="F7799" s="8"/>
      <c r="G7799" s="8" t="str">
        <f t="shared" si="2774"/>
        <v>事業用資産</v>
      </c>
      <c r="H7799" s="8" t="str">
        <f t="shared" si="2768"/>
        <v>棚卸以外</v>
      </c>
      <c r="I7799" s="8">
        <v>1</v>
      </c>
      <c r="J7799" s="8" t="str">
        <f>"五月山交番"</f>
        <v>五月山交番</v>
      </c>
      <c r="K7799" s="8" t="str">
        <f>"コンクリートブロック造"</f>
        <v>コンクリートブロック造</v>
      </c>
      <c r="L7799" s="8" t="str">
        <f>"S41.03.29"</f>
        <v>S41.03.29</v>
      </c>
      <c r="M7799" s="8">
        <v>30.77</v>
      </c>
      <c r="N7799" s="8">
        <v>1498174</v>
      </c>
      <c r="O7799" s="8">
        <v>1483495</v>
      </c>
      <c r="P7799" s="8">
        <v>0</v>
      </c>
      <c r="Q7799" s="8" t="str">
        <f t="shared" si="2784"/>
        <v>公安委員会</v>
      </c>
      <c r="R7799" s="8" t="str">
        <f t="shared" si="2783"/>
        <v>池田警察署</v>
      </c>
    </row>
    <row r="7800" spans="1:18" x14ac:dyDescent="0.45">
      <c r="A7800" s="8" t="str">
        <f>"11556000310"</f>
        <v>11556000310</v>
      </c>
      <c r="B7800" s="8" t="str">
        <f>"石橋交番"</f>
        <v>石橋交番</v>
      </c>
      <c r="C7800" s="8" t="str">
        <f t="shared" si="2785"/>
        <v>行政財産</v>
      </c>
      <c r="D7800" s="8" t="str">
        <f t="shared" si="2767"/>
        <v>警察（消防）施設</v>
      </c>
      <c r="E7800" s="8" t="str">
        <f>"大阪府池田市天神１丁目"</f>
        <v>大阪府池田市天神１丁目</v>
      </c>
      <c r="F7800" s="8"/>
      <c r="G7800" s="8" t="str">
        <f t="shared" si="2774"/>
        <v>事業用資産</v>
      </c>
      <c r="H7800" s="8" t="str">
        <f t="shared" si="2768"/>
        <v>棚卸以外</v>
      </c>
      <c r="I7800" s="8">
        <v>3</v>
      </c>
      <c r="J7800" s="8" t="str">
        <f>"石橋交番"</f>
        <v>石橋交番</v>
      </c>
      <c r="K7800" s="8" t="str">
        <f>"軽量鉄骨造"</f>
        <v>軽量鉄骨造</v>
      </c>
      <c r="L7800" s="8" t="str">
        <f>"H23.12.19"</f>
        <v>H23.12.19</v>
      </c>
      <c r="M7800" s="8">
        <v>128.80000000000001</v>
      </c>
      <c r="N7800" s="8">
        <v>24991059</v>
      </c>
      <c r="O7800" s="8">
        <v>11220388</v>
      </c>
      <c r="P7800" s="8">
        <v>0</v>
      </c>
      <c r="Q7800" s="8" t="str">
        <f t="shared" si="2784"/>
        <v>公安委員会</v>
      </c>
      <c r="R7800" s="8" t="str">
        <f t="shared" si="2783"/>
        <v>池田警察署</v>
      </c>
    </row>
    <row r="7801" spans="1:18" x14ac:dyDescent="0.45">
      <c r="A7801" s="8" t="str">
        <f>"11556000320"</f>
        <v>11556000320</v>
      </c>
      <c r="B7801" s="8" t="str">
        <f>"北豊島交番"</f>
        <v>北豊島交番</v>
      </c>
      <c r="C7801" s="8" t="str">
        <f t="shared" si="2785"/>
        <v>行政財産</v>
      </c>
      <c r="D7801" s="8" t="str">
        <f t="shared" si="2767"/>
        <v>警察（消防）施設</v>
      </c>
      <c r="E7801" s="8" t="str">
        <f>"大阪府池田市豊島南２丁目"</f>
        <v>大阪府池田市豊島南２丁目</v>
      </c>
      <c r="F7801" s="8"/>
      <c r="G7801" s="8" t="str">
        <f t="shared" si="2774"/>
        <v>事業用資産</v>
      </c>
      <c r="H7801" s="8" t="str">
        <f t="shared" si="2768"/>
        <v>棚卸以外</v>
      </c>
      <c r="I7801" s="8">
        <v>1</v>
      </c>
      <c r="J7801" s="8" t="str">
        <f>"北豊島交番"</f>
        <v>北豊島交番</v>
      </c>
      <c r="K7801" s="8" t="str">
        <f>"鉄筋コンクリート造"</f>
        <v>鉄筋コンクリート造</v>
      </c>
      <c r="L7801" s="8" t="str">
        <f>"S46.01.05"</f>
        <v>S46.01.05</v>
      </c>
      <c r="M7801" s="8">
        <v>32.4</v>
      </c>
      <c r="N7801" s="8">
        <v>2587000</v>
      </c>
      <c r="O7801" s="8">
        <v>2586999</v>
      </c>
      <c r="P7801" s="8">
        <v>0</v>
      </c>
      <c r="Q7801" s="8" t="str">
        <f t="shared" si="2784"/>
        <v>公安委員会</v>
      </c>
      <c r="R7801" s="8" t="str">
        <f t="shared" si="2783"/>
        <v>池田警察署</v>
      </c>
    </row>
    <row r="7802" spans="1:18" x14ac:dyDescent="0.45">
      <c r="A7802" s="8" t="str">
        <f>"11556000400"</f>
        <v>11556000400</v>
      </c>
      <c r="B7802" s="8" t="str">
        <f>"神田交番"</f>
        <v>神田交番</v>
      </c>
      <c r="C7802" s="8" t="str">
        <f t="shared" si="2785"/>
        <v>行政財産</v>
      </c>
      <c r="D7802" s="8" t="str">
        <f t="shared" si="2767"/>
        <v>警察（消防）施設</v>
      </c>
      <c r="E7802" s="8" t="str">
        <f>"大阪府池田市神田１丁目"</f>
        <v>大阪府池田市神田１丁目</v>
      </c>
      <c r="F7802" s="8"/>
      <c r="G7802" s="8" t="str">
        <f t="shared" si="2774"/>
        <v>事業用資産</v>
      </c>
      <c r="H7802" s="8" t="str">
        <f t="shared" si="2768"/>
        <v>棚卸以外</v>
      </c>
      <c r="I7802" s="8">
        <v>1</v>
      </c>
      <c r="J7802" s="8" t="str">
        <f>"神田交番"</f>
        <v>神田交番</v>
      </c>
      <c r="K7802" s="8" t="str">
        <f>"鉄筋コンクリート造"</f>
        <v>鉄筋コンクリート造</v>
      </c>
      <c r="L7802" s="8" t="str">
        <f>"S52.12.14"</f>
        <v>S52.12.14</v>
      </c>
      <c r="M7802" s="8">
        <v>54</v>
      </c>
      <c r="N7802" s="8">
        <v>10292174</v>
      </c>
      <c r="O7802" s="8">
        <v>9301371</v>
      </c>
      <c r="P7802" s="8">
        <v>0</v>
      </c>
      <c r="Q7802" s="8" t="str">
        <f t="shared" si="2784"/>
        <v>公安委員会</v>
      </c>
      <c r="R7802" s="8" t="str">
        <f t="shared" si="2783"/>
        <v>池田警察署</v>
      </c>
    </row>
    <row r="7803" spans="1:18" x14ac:dyDescent="0.45">
      <c r="A7803" s="8" t="str">
        <f>"11556000420"</f>
        <v>11556000420</v>
      </c>
      <c r="B7803" s="8" t="str">
        <f>"五月ヶ丘交番"</f>
        <v>五月ヶ丘交番</v>
      </c>
      <c r="C7803" s="8" t="str">
        <f t="shared" si="2785"/>
        <v>行政財産</v>
      </c>
      <c r="D7803" s="8" t="str">
        <f t="shared" si="2767"/>
        <v>警察（消防）施設</v>
      </c>
      <c r="E7803" s="8" t="str">
        <f>"大阪府池田市五月丘１丁目"</f>
        <v>大阪府池田市五月丘１丁目</v>
      </c>
      <c r="F7803" s="8"/>
      <c r="G7803" s="8" t="str">
        <f t="shared" si="2774"/>
        <v>事業用資産</v>
      </c>
      <c r="H7803" s="8" t="str">
        <f t="shared" si="2768"/>
        <v>棚卸以外</v>
      </c>
      <c r="I7803" s="8">
        <v>1</v>
      </c>
      <c r="J7803" s="8" t="str">
        <f>"五月ケ丘交番"</f>
        <v>五月ケ丘交番</v>
      </c>
      <c r="K7803" s="8" t="str">
        <f>"鉄筋コンクリート造"</f>
        <v>鉄筋コンクリート造</v>
      </c>
      <c r="L7803" s="8" t="str">
        <f>"H05.03.29"</f>
        <v>H05.03.29</v>
      </c>
      <c r="M7803" s="8">
        <v>54</v>
      </c>
      <c r="N7803" s="8">
        <v>17956135</v>
      </c>
      <c r="O7803" s="8">
        <v>10766136</v>
      </c>
      <c r="P7803" s="8">
        <v>0</v>
      </c>
      <c r="Q7803" s="8" t="str">
        <f t="shared" si="2784"/>
        <v>公安委員会</v>
      </c>
      <c r="R7803" s="8" t="str">
        <f t="shared" si="2783"/>
        <v>池田警察署</v>
      </c>
    </row>
    <row r="7804" spans="1:18" x14ac:dyDescent="0.45">
      <c r="A7804" s="8" t="str">
        <f>"11556000440"</f>
        <v>11556000440</v>
      </c>
      <c r="B7804" s="8" t="str">
        <f>"満寿美交番"</f>
        <v>満寿美交番</v>
      </c>
      <c r="C7804" s="8" t="str">
        <f t="shared" si="2785"/>
        <v>行政財産</v>
      </c>
      <c r="D7804" s="8" t="str">
        <f t="shared" ref="D7804:D7867" si="2786">"警察（消防）施設"</f>
        <v>警察（消防）施設</v>
      </c>
      <c r="E7804" s="8" t="str">
        <f>"大阪府池田市満寿美町"</f>
        <v>大阪府池田市満寿美町</v>
      </c>
      <c r="F7804" s="8"/>
      <c r="G7804" s="8" t="str">
        <f t="shared" si="2774"/>
        <v>事業用資産</v>
      </c>
      <c r="H7804" s="8" t="str">
        <f t="shared" si="2768"/>
        <v>棚卸以外</v>
      </c>
      <c r="I7804" s="8">
        <v>1</v>
      </c>
      <c r="J7804" s="8" t="str">
        <f>"満寿美交番"</f>
        <v>満寿美交番</v>
      </c>
      <c r="K7804" s="8" t="str">
        <f>"鉄筋コンクリート造"</f>
        <v>鉄筋コンクリート造</v>
      </c>
      <c r="L7804" s="8" t="str">
        <f>"S57.03.29"</f>
        <v>S57.03.29</v>
      </c>
      <c r="M7804" s="8">
        <v>54</v>
      </c>
      <c r="N7804" s="8">
        <v>12560648</v>
      </c>
      <c r="O7804" s="8">
        <v>10286322</v>
      </c>
      <c r="P7804" s="8">
        <v>0</v>
      </c>
      <c r="Q7804" s="8" t="str">
        <f t="shared" si="2784"/>
        <v>公安委員会</v>
      </c>
      <c r="R7804" s="8" t="str">
        <f t="shared" si="2783"/>
        <v>池田警察署</v>
      </c>
    </row>
    <row r="7805" spans="1:18" x14ac:dyDescent="0.45">
      <c r="A7805" s="8" t="str">
        <f>"11556000450"</f>
        <v>11556000450</v>
      </c>
      <c r="B7805" s="8" t="str">
        <f>"池田駅前交番"</f>
        <v>池田駅前交番</v>
      </c>
      <c r="C7805" s="8" t="str">
        <f t="shared" si="2785"/>
        <v>行政財産</v>
      </c>
      <c r="D7805" s="8" t="str">
        <f t="shared" si="2786"/>
        <v>警察（消防）施設</v>
      </c>
      <c r="E7805" s="8" t="str">
        <f>"大阪府池田市栄町"</f>
        <v>大阪府池田市栄町</v>
      </c>
      <c r="F7805" s="8"/>
      <c r="G7805" s="8" t="str">
        <f t="shared" si="2774"/>
        <v>事業用資産</v>
      </c>
      <c r="H7805" s="8" t="str">
        <f t="shared" si="2768"/>
        <v>棚卸以外</v>
      </c>
      <c r="I7805" s="8">
        <v>1</v>
      </c>
      <c r="J7805" s="8" t="str">
        <f>"池田駅前交番"</f>
        <v>池田駅前交番</v>
      </c>
      <c r="K7805" s="8" t="str">
        <f>"鉄筋コンクリート造"</f>
        <v>鉄筋コンクリート造</v>
      </c>
      <c r="L7805" s="8" t="str">
        <f>"S60.09.09"</f>
        <v>S60.09.09</v>
      </c>
      <c r="M7805" s="8">
        <v>119.96</v>
      </c>
      <c r="N7805" s="8">
        <v>16556000</v>
      </c>
      <c r="O7805" s="8">
        <v>12417300</v>
      </c>
      <c r="P7805" s="8">
        <v>0</v>
      </c>
      <c r="Q7805" s="8" t="str">
        <f t="shared" si="2784"/>
        <v>公安委員会</v>
      </c>
      <c r="R7805" s="8" t="str">
        <f t="shared" si="2783"/>
        <v>池田警察署</v>
      </c>
    </row>
    <row r="7806" spans="1:18" x14ac:dyDescent="0.45">
      <c r="A7806" s="8" t="str">
        <f>"11556000450"</f>
        <v>11556000450</v>
      </c>
      <c r="B7806" s="8" t="str">
        <f>"池田駅前交番"</f>
        <v>池田駅前交番</v>
      </c>
      <c r="C7806" s="8" t="str">
        <f t="shared" si="2785"/>
        <v>行政財産</v>
      </c>
      <c r="D7806" s="8" t="str">
        <f t="shared" si="2786"/>
        <v>警察（消防）施設</v>
      </c>
      <c r="E7806" s="8" t="str">
        <f>"大阪府池田市栄町"</f>
        <v>大阪府池田市栄町</v>
      </c>
      <c r="F7806" s="8"/>
      <c r="G7806" s="8" t="str">
        <f t="shared" si="2774"/>
        <v>事業用資産</v>
      </c>
      <c r="H7806" s="8" t="str">
        <f t="shared" si="2768"/>
        <v>棚卸以外</v>
      </c>
      <c r="I7806" s="8">
        <v>3</v>
      </c>
      <c r="J7806" s="8" t="str">
        <f>"車庫"</f>
        <v>車庫</v>
      </c>
      <c r="K7806" s="8" t="str">
        <f>"鉄骨造"</f>
        <v>鉄骨造</v>
      </c>
      <c r="L7806" s="8" t="str">
        <f>"S61.03.31"</f>
        <v>S61.03.31</v>
      </c>
      <c r="M7806" s="8">
        <v>20.58</v>
      </c>
      <c r="N7806" s="8">
        <v>2382000</v>
      </c>
      <c r="O7806" s="8">
        <v>2381999</v>
      </c>
      <c r="P7806" s="8">
        <v>0</v>
      </c>
      <c r="Q7806" s="8" t="str">
        <f t="shared" si="2784"/>
        <v>公安委員会</v>
      </c>
      <c r="R7806" s="8" t="str">
        <f t="shared" si="2783"/>
        <v>池田警察署</v>
      </c>
    </row>
    <row r="7807" spans="1:18" x14ac:dyDescent="0.45">
      <c r="A7807" s="8" t="str">
        <f>"11556000460"</f>
        <v>11556000460</v>
      </c>
      <c r="B7807" s="8" t="str">
        <f>"細河交番"</f>
        <v>細河交番</v>
      </c>
      <c r="C7807" s="8" t="str">
        <f t="shared" si="2785"/>
        <v>行政財産</v>
      </c>
      <c r="D7807" s="8" t="str">
        <f t="shared" si="2786"/>
        <v>警察（消防）施設</v>
      </c>
      <c r="E7807" s="8" t="str">
        <f>"大阪府池田市東山町"</f>
        <v>大阪府池田市東山町</v>
      </c>
      <c r="F7807" s="8"/>
      <c r="G7807" s="8" t="str">
        <f t="shared" si="2774"/>
        <v>事業用資産</v>
      </c>
      <c r="H7807" s="8" t="str">
        <f t="shared" si="2768"/>
        <v>棚卸以外</v>
      </c>
      <c r="I7807" s="8">
        <v>1</v>
      </c>
      <c r="J7807" s="8" t="str">
        <f>"細河交番"</f>
        <v>細河交番</v>
      </c>
      <c r="K7807" s="8" t="str">
        <f>"鉄骨造"</f>
        <v>鉄骨造</v>
      </c>
      <c r="L7807" s="8" t="str">
        <f>"H08.03.28"</f>
        <v>H08.03.28</v>
      </c>
      <c r="M7807" s="8">
        <v>54.2</v>
      </c>
      <c r="N7807" s="8">
        <v>17009600</v>
      </c>
      <c r="O7807" s="8">
        <v>12058878</v>
      </c>
      <c r="P7807" s="8">
        <v>0</v>
      </c>
      <c r="Q7807" s="8" t="str">
        <f t="shared" si="2784"/>
        <v>公安委員会</v>
      </c>
      <c r="R7807" s="8" t="str">
        <f t="shared" si="2783"/>
        <v>池田警察署</v>
      </c>
    </row>
    <row r="7808" spans="1:18" x14ac:dyDescent="0.45">
      <c r="A7808" s="8" t="str">
        <f>"11557000000"</f>
        <v>11557000000</v>
      </c>
      <c r="B7808" s="8" t="str">
        <f>"豊中警察署"</f>
        <v>豊中警察署</v>
      </c>
      <c r="C7808" s="8" t="str">
        <f t="shared" si="2785"/>
        <v>行政財産</v>
      </c>
      <c r="D7808" s="8" t="str">
        <f t="shared" si="2786"/>
        <v>警察（消防）施設</v>
      </c>
      <c r="E7808" s="8" t="str">
        <f>"大阪府豊中市南桜塚３丁目"</f>
        <v>大阪府豊中市南桜塚３丁目</v>
      </c>
      <c r="F7808" s="8"/>
      <c r="G7808" s="8" t="str">
        <f t="shared" si="2774"/>
        <v>事業用資産</v>
      </c>
      <c r="H7808" s="8" t="str">
        <f t="shared" si="2768"/>
        <v>棚卸以外</v>
      </c>
      <c r="I7808" s="8">
        <v>15</v>
      </c>
      <c r="J7808" s="8" t="str">
        <f>"庁舎"</f>
        <v>庁舎</v>
      </c>
      <c r="K7808" s="8" t="str">
        <f>"鉄筋コンクリート造"</f>
        <v>鉄筋コンクリート造</v>
      </c>
      <c r="L7808" s="8" t="str">
        <f>"H28.09.30"</f>
        <v>H28.09.30</v>
      </c>
      <c r="M7808" s="8">
        <v>6146.9</v>
      </c>
      <c r="N7808" s="8">
        <v>2199513006</v>
      </c>
      <c r="O7808" s="8">
        <v>530714508</v>
      </c>
      <c r="P7808" s="8">
        <v>0</v>
      </c>
      <c r="Q7808" s="8" t="str">
        <f t="shared" si="2784"/>
        <v>公安委員会</v>
      </c>
      <c r="R7808" s="8" t="str">
        <f t="shared" ref="R7808:R7822" si="2787">"豊中警察署"</f>
        <v>豊中警察署</v>
      </c>
    </row>
    <row r="7809" spans="1:18" x14ac:dyDescent="0.45">
      <c r="A7809" s="8" t="str">
        <f>"11557000200"</f>
        <v>11557000200</v>
      </c>
      <c r="B7809" s="8" t="str">
        <f>"岡町駅前交番"</f>
        <v>岡町駅前交番</v>
      </c>
      <c r="C7809" s="8" t="str">
        <f t="shared" si="2785"/>
        <v>行政財産</v>
      </c>
      <c r="D7809" s="8" t="str">
        <f t="shared" si="2786"/>
        <v>警察（消防）施設</v>
      </c>
      <c r="E7809" s="8" t="str">
        <f>"大阪府豊中市岡町北１丁目"</f>
        <v>大阪府豊中市岡町北１丁目</v>
      </c>
      <c r="F7809" s="8"/>
      <c r="G7809" s="8" t="str">
        <f t="shared" si="2774"/>
        <v>事業用資産</v>
      </c>
      <c r="H7809" s="8" t="str">
        <f t="shared" si="2768"/>
        <v>棚卸以外</v>
      </c>
      <c r="I7809" s="8">
        <v>2</v>
      </c>
      <c r="J7809" s="8" t="str">
        <f>"岡町駅前交番"</f>
        <v>岡町駅前交番</v>
      </c>
      <c r="K7809" s="8" t="str">
        <f>"鉄骨造"</f>
        <v>鉄骨造</v>
      </c>
      <c r="L7809" s="8" t="str">
        <f>"H11.03.31"</f>
        <v>H11.03.31</v>
      </c>
      <c r="M7809" s="8">
        <v>54.02</v>
      </c>
      <c r="N7809" s="8">
        <v>19362063</v>
      </c>
      <c r="O7809" s="8">
        <v>12201016</v>
      </c>
      <c r="P7809" s="8">
        <v>0</v>
      </c>
      <c r="Q7809" s="8" t="str">
        <f t="shared" si="2784"/>
        <v>公安委員会</v>
      </c>
      <c r="R7809" s="8" t="str">
        <f t="shared" si="2787"/>
        <v>豊中警察署</v>
      </c>
    </row>
    <row r="7810" spans="1:18" x14ac:dyDescent="0.45">
      <c r="A7810" s="8" t="str">
        <f>"11557000330"</f>
        <v>11557000330</v>
      </c>
      <c r="B7810" s="8" t="str">
        <f>"栗ヶ丘交番"</f>
        <v>栗ヶ丘交番</v>
      </c>
      <c r="C7810" s="8" t="str">
        <f t="shared" si="2785"/>
        <v>行政財産</v>
      </c>
      <c r="D7810" s="8" t="str">
        <f t="shared" si="2786"/>
        <v>警察（消防）施設</v>
      </c>
      <c r="E7810" s="8" t="str">
        <f>"大阪府豊中市栗ケ丘町"</f>
        <v>大阪府豊中市栗ケ丘町</v>
      </c>
      <c r="F7810" s="8"/>
      <c r="G7810" s="8" t="str">
        <f t="shared" si="2774"/>
        <v>事業用資産</v>
      </c>
      <c r="H7810" s="8" t="str">
        <f t="shared" si="2768"/>
        <v>棚卸以外</v>
      </c>
      <c r="I7810" s="8">
        <v>2</v>
      </c>
      <c r="J7810" s="8" t="str">
        <f>"栗ヶ丘交番"</f>
        <v>栗ヶ丘交番</v>
      </c>
      <c r="K7810" s="8" t="str">
        <f>"鉄骨造"</f>
        <v>鉄骨造</v>
      </c>
      <c r="L7810" s="8" t="str">
        <f>"H20.03.07"</f>
        <v>H20.03.07</v>
      </c>
      <c r="M7810" s="8">
        <v>54.6</v>
      </c>
      <c r="N7810" s="8">
        <v>15706015</v>
      </c>
      <c r="O7810" s="8">
        <v>6188660</v>
      </c>
      <c r="P7810" s="8">
        <v>0</v>
      </c>
      <c r="Q7810" s="8" t="str">
        <f t="shared" si="2784"/>
        <v>公安委員会</v>
      </c>
      <c r="R7810" s="8" t="str">
        <f t="shared" si="2787"/>
        <v>豊中警察署</v>
      </c>
    </row>
    <row r="7811" spans="1:18" x14ac:dyDescent="0.45">
      <c r="A7811" s="8" t="str">
        <f>"11557000450"</f>
        <v>11557000450</v>
      </c>
      <c r="B7811" s="8" t="str">
        <f>"桜井谷交番"</f>
        <v>桜井谷交番</v>
      </c>
      <c r="C7811" s="8" t="str">
        <f t="shared" si="2785"/>
        <v>行政財産</v>
      </c>
      <c r="D7811" s="8" t="str">
        <f t="shared" si="2786"/>
        <v>警察（消防）施設</v>
      </c>
      <c r="E7811" s="8" t="str">
        <f>"大阪府豊中市柴原町３丁目"</f>
        <v>大阪府豊中市柴原町３丁目</v>
      </c>
      <c r="F7811" s="8"/>
      <c r="G7811" s="8" t="str">
        <f t="shared" si="2774"/>
        <v>事業用資産</v>
      </c>
      <c r="H7811" s="8" t="str">
        <f t="shared" si="2768"/>
        <v>棚卸以外</v>
      </c>
      <c r="I7811" s="8">
        <v>3</v>
      </c>
      <c r="J7811" s="8" t="str">
        <f>"桜井谷交番"</f>
        <v>桜井谷交番</v>
      </c>
      <c r="K7811" s="8" t="str">
        <f>"軽量鉄骨造"</f>
        <v>軽量鉄骨造</v>
      </c>
      <c r="L7811" s="8" t="str">
        <f>"H23.12.05"</f>
        <v>H23.12.05</v>
      </c>
      <c r="M7811" s="8">
        <v>51.06</v>
      </c>
      <c r="N7811" s="8">
        <v>16968504</v>
      </c>
      <c r="O7811" s="8">
        <v>7724605</v>
      </c>
      <c r="P7811" s="8">
        <v>0</v>
      </c>
      <c r="Q7811" s="8" t="str">
        <f t="shared" si="2784"/>
        <v>公安委員会</v>
      </c>
      <c r="R7811" s="8" t="str">
        <f t="shared" si="2787"/>
        <v>豊中警察署</v>
      </c>
    </row>
    <row r="7812" spans="1:18" x14ac:dyDescent="0.45">
      <c r="A7812" s="8" t="str">
        <f>"11557000500"</f>
        <v>11557000500</v>
      </c>
      <c r="B7812" s="8" t="str">
        <f>"野畑交番"</f>
        <v>野畑交番</v>
      </c>
      <c r="C7812" s="8" t="str">
        <f t="shared" si="2785"/>
        <v>行政財産</v>
      </c>
      <c r="D7812" s="8" t="str">
        <f t="shared" si="2786"/>
        <v>警察（消防）施設</v>
      </c>
      <c r="E7812" s="8" t="str">
        <f>"大阪府豊中市向丘２丁目"</f>
        <v>大阪府豊中市向丘２丁目</v>
      </c>
      <c r="F7812" s="8"/>
      <c r="G7812" s="8" t="str">
        <f t="shared" si="2774"/>
        <v>事業用資産</v>
      </c>
      <c r="H7812" s="8" t="str">
        <f t="shared" ref="H7812:H7875" si="2788">"棚卸以外"</f>
        <v>棚卸以外</v>
      </c>
      <c r="I7812" s="8">
        <v>1</v>
      </c>
      <c r="J7812" s="8" t="str">
        <f>"野畑交番"</f>
        <v>野畑交番</v>
      </c>
      <c r="K7812" s="8" t="str">
        <f>"鉄筋コンクリート造"</f>
        <v>鉄筋コンクリート造</v>
      </c>
      <c r="L7812" s="8" t="str">
        <f>"S46.12.11"</f>
        <v>S46.12.11</v>
      </c>
      <c r="M7812" s="8">
        <v>81.55</v>
      </c>
      <c r="N7812" s="8">
        <v>4904290</v>
      </c>
      <c r="O7812" s="8">
        <v>4540903</v>
      </c>
      <c r="P7812" s="8">
        <v>0</v>
      </c>
      <c r="Q7812" s="8" t="str">
        <f t="shared" si="2784"/>
        <v>公安委員会</v>
      </c>
      <c r="R7812" s="8" t="str">
        <f t="shared" si="2787"/>
        <v>豊中警察署</v>
      </c>
    </row>
    <row r="7813" spans="1:18" x14ac:dyDescent="0.45">
      <c r="A7813" s="8" t="str">
        <f>"11557000510"</f>
        <v>11557000510</v>
      </c>
      <c r="B7813" s="8" t="str">
        <f>"上野東交番"</f>
        <v>上野東交番</v>
      </c>
      <c r="C7813" s="8" t="str">
        <f t="shared" si="2785"/>
        <v>行政財産</v>
      </c>
      <c r="D7813" s="8" t="str">
        <f t="shared" si="2786"/>
        <v>警察（消防）施設</v>
      </c>
      <c r="E7813" s="8" t="str">
        <f>"大阪府豊中市上野東３丁目"</f>
        <v>大阪府豊中市上野東３丁目</v>
      </c>
      <c r="F7813" s="8"/>
      <c r="G7813" s="8" t="str">
        <f t="shared" si="2774"/>
        <v>事業用資産</v>
      </c>
      <c r="H7813" s="8" t="str">
        <f t="shared" si="2788"/>
        <v>棚卸以外</v>
      </c>
      <c r="I7813" s="8">
        <v>1</v>
      </c>
      <c r="J7813" s="8" t="str">
        <f>"上野東交番"</f>
        <v>上野東交番</v>
      </c>
      <c r="K7813" s="8" t="str">
        <f>"鉄筋コンクリート造"</f>
        <v>鉄筋コンクリート造</v>
      </c>
      <c r="L7813" s="8" t="str">
        <f>"S48.03.31"</f>
        <v>S48.03.31</v>
      </c>
      <c r="M7813" s="8">
        <v>49.68</v>
      </c>
      <c r="N7813" s="8">
        <v>3976015</v>
      </c>
      <c r="O7813" s="8">
        <v>3922285</v>
      </c>
      <c r="P7813" s="8">
        <v>0</v>
      </c>
      <c r="Q7813" s="8" t="str">
        <f t="shared" si="2784"/>
        <v>公安委員会</v>
      </c>
      <c r="R7813" s="8" t="str">
        <f t="shared" si="2787"/>
        <v>豊中警察署</v>
      </c>
    </row>
    <row r="7814" spans="1:18" x14ac:dyDescent="0.45">
      <c r="A7814" s="8" t="str">
        <f>"11557000550"</f>
        <v>11557000550</v>
      </c>
      <c r="B7814" s="8" t="str">
        <f>"上新田交番"</f>
        <v>上新田交番</v>
      </c>
      <c r="C7814" s="8" t="str">
        <f t="shared" si="2785"/>
        <v>行政財産</v>
      </c>
      <c r="D7814" s="8" t="str">
        <f t="shared" si="2786"/>
        <v>警察（消防）施設</v>
      </c>
      <c r="E7814" s="8" t="str">
        <f>"大阪府豊中市新千里南町３丁目"</f>
        <v>大阪府豊中市新千里南町３丁目</v>
      </c>
      <c r="F7814" s="8"/>
      <c r="G7814" s="8" t="str">
        <f t="shared" si="2774"/>
        <v>事業用資産</v>
      </c>
      <c r="H7814" s="8" t="str">
        <f t="shared" si="2788"/>
        <v>棚卸以外</v>
      </c>
      <c r="I7814" s="8">
        <v>1</v>
      </c>
      <c r="J7814" s="8" t="str">
        <f>"上新田交番"</f>
        <v>上新田交番</v>
      </c>
      <c r="K7814" s="8" t="str">
        <f>"鉄筋コンクリート造"</f>
        <v>鉄筋コンクリート造</v>
      </c>
      <c r="L7814" s="8" t="str">
        <f>"S54.03.31"</f>
        <v>S54.03.31</v>
      </c>
      <c r="M7814" s="8">
        <v>54</v>
      </c>
      <c r="N7814" s="8">
        <v>10523272</v>
      </c>
      <c r="O7814" s="8">
        <v>9205704</v>
      </c>
      <c r="P7814" s="8">
        <v>0</v>
      </c>
      <c r="Q7814" s="8" t="str">
        <f t="shared" si="2784"/>
        <v>公安委員会</v>
      </c>
      <c r="R7814" s="8" t="str">
        <f t="shared" si="2787"/>
        <v>豊中警察署</v>
      </c>
    </row>
    <row r="7815" spans="1:18" x14ac:dyDescent="0.45">
      <c r="A7815" s="8" t="str">
        <f>"11557000560"</f>
        <v>11557000560</v>
      </c>
      <c r="B7815" s="8" t="str">
        <f>"寺内交番"</f>
        <v>寺内交番</v>
      </c>
      <c r="C7815" s="8" t="str">
        <f t="shared" si="2785"/>
        <v>行政財産</v>
      </c>
      <c r="D7815" s="8" t="str">
        <f t="shared" si="2786"/>
        <v>警察（消防）施設</v>
      </c>
      <c r="E7815" s="8" t="str">
        <f>"大阪府豊中市寺内２丁目"</f>
        <v>大阪府豊中市寺内２丁目</v>
      </c>
      <c r="F7815" s="8"/>
      <c r="G7815" s="8" t="str">
        <f t="shared" si="2774"/>
        <v>事業用資産</v>
      </c>
      <c r="H7815" s="8" t="str">
        <f t="shared" si="2788"/>
        <v>棚卸以外</v>
      </c>
      <c r="I7815" s="8">
        <v>1</v>
      </c>
      <c r="J7815" s="8" t="str">
        <f>"寺内交番"</f>
        <v>寺内交番</v>
      </c>
      <c r="K7815" s="8" t="str">
        <f>"鉄骨造"</f>
        <v>鉄骨造</v>
      </c>
      <c r="L7815" s="8" t="str">
        <f>"S54.03.31"</f>
        <v>S54.03.31</v>
      </c>
      <c r="M7815" s="8">
        <v>52.56</v>
      </c>
      <c r="N7815" s="8">
        <v>10987461</v>
      </c>
      <c r="O7815" s="8">
        <v>10916892</v>
      </c>
      <c r="P7815" s="8">
        <v>0</v>
      </c>
      <c r="Q7815" s="8" t="str">
        <f t="shared" si="2784"/>
        <v>公安委員会</v>
      </c>
      <c r="R7815" s="8" t="str">
        <f t="shared" si="2787"/>
        <v>豊中警察署</v>
      </c>
    </row>
    <row r="7816" spans="1:18" x14ac:dyDescent="0.45">
      <c r="A7816" s="8" t="str">
        <f>"11557000570"</f>
        <v>11557000570</v>
      </c>
      <c r="B7816" s="8" t="str">
        <f>"西緑丘警備詰所"</f>
        <v>西緑丘警備詰所</v>
      </c>
      <c r="C7816" s="8" t="str">
        <f t="shared" si="2785"/>
        <v>行政財産</v>
      </c>
      <c r="D7816" s="8" t="str">
        <f t="shared" si="2786"/>
        <v>警察（消防）施設</v>
      </c>
      <c r="E7816" s="8" t="str">
        <f>"大阪府豊中市少路２丁目"</f>
        <v>大阪府豊中市少路２丁目</v>
      </c>
      <c r="F7816" s="8"/>
      <c r="G7816" s="8" t="str">
        <f t="shared" si="2774"/>
        <v>事業用資産</v>
      </c>
      <c r="H7816" s="8" t="str">
        <f t="shared" si="2788"/>
        <v>棚卸以外</v>
      </c>
      <c r="I7816" s="8">
        <v>1</v>
      </c>
      <c r="J7816" s="8" t="str">
        <f>"西緑丘警備詰所"</f>
        <v>西緑丘警備詰所</v>
      </c>
      <c r="K7816" s="8" t="str">
        <f>"軽量鉄骨造"</f>
        <v>軽量鉄骨造</v>
      </c>
      <c r="L7816" s="8" t="str">
        <f>"S59.03.31"</f>
        <v>S59.03.31</v>
      </c>
      <c r="M7816" s="8">
        <v>42.4</v>
      </c>
      <c r="N7816" s="8">
        <v>19276000</v>
      </c>
      <c r="O7816" s="8">
        <v>19275999</v>
      </c>
      <c r="P7816" s="8">
        <v>0</v>
      </c>
      <c r="Q7816" s="8" t="str">
        <f t="shared" si="2784"/>
        <v>公安委員会</v>
      </c>
      <c r="R7816" s="8" t="str">
        <f t="shared" si="2787"/>
        <v>豊中警察署</v>
      </c>
    </row>
    <row r="7817" spans="1:18" x14ac:dyDescent="0.45">
      <c r="A7817" s="8" t="str">
        <f>"11557000600"</f>
        <v>11557000600</v>
      </c>
      <c r="B7817" s="8" t="str">
        <f>"螢池交番"</f>
        <v>螢池交番</v>
      </c>
      <c r="C7817" s="8" t="str">
        <f t="shared" si="2785"/>
        <v>行政財産</v>
      </c>
      <c r="D7817" s="8" t="str">
        <f t="shared" si="2786"/>
        <v>警察（消防）施設</v>
      </c>
      <c r="E7817" s="8" t="str">
        <f>"大阪府豊中市螢池東町１丁目"</f>
        <v>大阪府豊中市螢池東町１丁目</v>
      </c>
      <c r="F7817" s="8"/>
      <c r="G7817" s="8" t="str">
        <f t="shared" si="2774"/>
        <v>事業用資産</v>
      </c>
      <c r="H7817" s="8" t="str">
        <f t="shared" si="2788"/>
        <v>棚卸以外</v>
      </c>
      <c r="I7817" s="8">
        <v>1</v>
      </c>
      <c r="J7817" s="8" t="str">
        <f>"螢池交番"</f>
        <v>螢池交番</v>
      </c>
      <c r="K7817" s="8" t="str">
        <f>"鉄筋コンクリート造"</f>
        <v>鉄筋コンクリート造</v>
      </c>
      <c r="L7817" s="8" t="str">
        <f>"H03.03.30"</f>
        <v>H03.03.30</v>
      </c>
      <c r="M7817" s="8">
        <v>58.11</v>
      </c>
      <c r="N7817" s="8">
        <v>24694771</v>
      </c>
      <c r="O7817" s="8">
        <v>15626497</v>
      </c>
      <c r="P7817" s="8">
        <v>0</v>
      </c>
      <c r="Q7817" s="8" t="str">
        <f t="shared" si="2784"/>
        <v>公安委員会</v>
      </c>
      <c r="R7817" s="8" t="str">
        <f t="shared" si="2787"/>
        <v>豊中警察署</v>
      </c>
    </row>
    <row r="7818" spans="1:18" x14ac:dyDescent="0.45">
      <c r="A7818" s="8" t="str">
        <f>"11557000610"</f>
        <v>11557000610</v>
      </c>
      <c r="B7818" s="8" t="str">
        <f>"新千里中央交番"</f>
        <v>新千里中央交番</v>
      </c>
      <c r="C7818" s="8" t="str">
        <f t="shared" si="2785"/>
        <v>行政財産</v>
      </c>
      <c r="D7818" s="8" t="str">
        <f t="shared" si="2786"/>
        <v>警察（消防）施設</v>
      </c>
      <c r="E7818" s="8" t="str">
        <f>"大阪府豊中市新千里東町１丁目"</f>
        <v>大阪府豊中市新千里東町１丁目</v>
      </c>
      <c r="F7818" s="8"/>
      <c r="G7818" s="8" t="str">
        <f t="shared" si="2774"/>
        <v>事業用資産</v>
      </c>
      <c r="H7818" s="8" t="str">
        <f t="shared" si="2788"/>
        <v>棚卸以外</v>
      </c>
      <c r="I7818" s="8">
        <v>1</v>
      </c>
      <c r="J7818" s="8" t="str">
        <f>"新千里中央交番"</f>
        <v>新千里中央交番</v>
      </c>
      <c r="K7818" s="8" t="str">
        <f>"鉄骨造"</f>
        <v>鉄骨造</v>
      </c>
      <c r="L7818" s="8" t="str">
        <f>"H03.03.29"</f>
        <v>H03.03.29</v>
      </c>
      <c r="M7818" s="8">
        <v>132.38999999999999</v>
      </c>
      <c r="N7818" s="8">
        <v>69431934</v>
      </c>
      <c r="O7818" s="8">
        <v>58401568</v>
      </c>
      <c r="P7818" s="8">
        <v>0</v>
      </c>
      <c r="Q7818" s="8" t="str">
        <f t="shared" si="2784"/>
        <v>公安委員会</v>
      </c>
      <c r="R7818" s="8" t="str">
        <f t="shared" si="2787"/>
        <v>豊中警察署</v>
      </c>
    </row>
    <row r="7819" spans="1:18" x14ac:dyDescent="0.45">
      <c r="A7819" s="8" t="str">
        <f>"11557000620"</f>
        <v>11557000620</v>
      </c>
      <c r="B7819" s="8" t="str">
        <f>"東豊中交番"</f>
        <v>東豊中交番</v>
      </c>
      <c r="C7819" s="8" t="str">
        <f t="shared" si="2785"/>
        <v>行政財産</v>
      </c>
      <c r="D7819" s="8" t="str">
        <f t="shared" si="2786"/>
        <v>警察（消防）施設</v>
      </c>
      <c r="E7819" s="8" t="str">
        <f>"大阪府豊中市東豊中町６丁目"</f>
        <v>大阪府豊中市東豊中町６丁目</v>
      </c>
      <c r="F7819" s="8"/>
      <c r="G7819" s="8" t="str">
        <f t="shared" si="2774"/>
        <v>事業用資産</v>
      </c>
      <c r="H7819" s="8" t="str">
        <f t="shared" si="2788"/>
        <v>棚卸以外</v>
      </c>
      <c r="I7819" s="8">
        <v>1</v>
      </c>
      <c r="J7819" s="8" t="str">
        <f>"東豊中交番"</f>
        <v>東豊中交番</v>
      </c>
      <c r="K7819" s="8" t="str">
        <f>"鉄筋コンクリート造"</f>
        <v>鉄筋コンクリート造</v>
      </c>
      <c r="L7819" s="8" t="str">
        <f>"H04.03.31"</f>
        <v>H04.03.31</v>
      </c>
      <c r="M7819" s="8">
        <v>54</v>
      </c>
      <c r="N7819" s="8">
        <v>17502595</v>
      </c>
      <c r="O7819" s="8">
        <v>10825160</v>
      </c>
      <c r="P7819" s="8">
        <v>0</v>
      </c>
      <c r="Q7819" s="8" t="str">
        <f t="shared" si="2784"/>
        <v>公安委員会</v>
      </c>
      <c r="R7819" s="8" t="str">
        <f t="shared" si="2787"/>
        <v>豊中警察署</v>
      </c>
    </row>
    <row r="7820" spans="1:18" x14ac:dyDescent="0.45">
      <c r="A7820" s="8" t="str">
        <f>"11557000630"</f>
        <v>11557000630</v>
      </c>
      <c r="B7820" s="8" t="str">
        <f>"曽根駅前交番"</f>
        <v>曽根駅前交番</v>
      </c>
      <c r="C7820" s="8" t="str">
        <f t="shared" si="2785"/>
        <v>行政財産</v>
      </c>
      <c r="D7820" s="8" t="str">
        <f t="shared" si="2786"/>
        <v>警察（消防）施設</v>
      </c>
      <c r="E7820" s="8" t="str">
        <f>"大阪府豊中市曽根東町１丁目"</f>
        <v>大阪府豊中市曽根東町１丁目</v>
      </c>
      <c r="F7820" s="8"/>
      <c r="G7820" s="8" t="str">
        <f t="shared" si="2774"/>
        <v>事業用資産</v>
      </c>
      <c r="H7820" s="8" t="str">
        <f t="shared" si="2788"/>
        <v>棚卸以外</v>
      </c>
      <c r="I7820" s="8">
        <v>1</v>
      </c>
      <c r="J7820" s="8" t="str">
        <f>"曽根駅前交番"</f>
        <v>曽根駅前交番</v>
      </c>
      <c r="K7820" s="8" t="str">
        <f>"鉄骨造"</f>
        <v>鉄骨造</v>
      </c>
      <c r="L7820" s="8" t="str">
        <f>"H13.03.19"</f>
        <v>H13.03.19</v>
      </c>
      <c r="M7820" s="8">
        <v>87.57</v>
      </c>
      <c r="N7820" s="8">
        <v>16633964</v>
      </c>
      <c r="O7820" s="8">
        <v>9603288</v>
      </c>
      <c r="P7820" s="8">
        <v>0</v>
      </c>
      <c r="Q7820" s="8" t="str">
        <f t="shared" si="2784"/>
        <v>公安委員会</v>
      </c>
      <c r="R7820" s="8" t="str">
        <f t="shared" si="2787"/>
        <v>豊中警察署</v>
      </c>
    </row>
    <row r="7821" spans="1:18" x14ac:dyDescent="0.45">
      <c r="A7821" s="8" t="str">
        <f>"11557000640"</f>
        <v>11557000640</v>
      </c>
      <c r="B7821" s="8" t="str">
        <f>"豊中駅前交番"</f>
        <v>豊中駅前交番</v>
      </c>
      <c r="C7821" s="8" t="str">
        <f t="shared" si="2785"/>
        <v>行政財産</v>
      </c>
      <c r="D7821" s="8" t="str">
        <f t="shared" si="2786"/>
        <v>警察（消防）施設</v>
      </c>
      <c r="E7821" s="8" t="str">
        <f>"大阪府豊中市本町３丁目"</f>
        <v>大阪府豊中市本町３丁目</v>
      </c>
      <c r="F7821" s="8"/>
      <c r="G7821" s="8" t="str">
        <f t="shared" si="2774"/>
        <v>事業用資産</v>
      </c>
      <c r="H7821" s="8" t="str">
        <f t="shared" si="2788"/>
        <v>棚卸以外</v>
      </c>
      <c r="I7821" s="8">
        <v>1</v>
      </c>
      <c r="J7821" s="8" t="str">
        <f>"豊中駅前交番"</f>
        <v>豊中駅前交番</v>
      </c>
      <c r="K7821" s="8" t="str">
        <f>"鉄筋コンクリート造"</f>
        <v>鉄筋コンクリート造</v>
      </c>
      <c r="L7821" s="8" t="str">
        <f>"H14.12.20"</f>
        <v>H14.12.20</v>
      </c>
      <c r="M7821" s="8">
        <v>140.01</v>
      </c>
      <c r="N7821" s="8">
        <v>24893278</v>
      </c>
      <c r="O7821" s="8">
        <v>10065758</v>
      </c>
      <c r="P7821" s="8">
        <v>0</v>
      </c>
      <c r="Q7821" s="8" t="str">
        <f t="shared" si="2784"/>
        <v>公安委員会</v>
      </c>
      <c r="R7821" s="8" t="str">
        <f t="shared" si="2787"/>
        <v>豊中警察署</v>
      </c>
    </row>
    <row r="7822" spans="1:18" x14ac:dyDescent="0.45">
      <c r="A7822" s="8" t="str">
        <f>"11557003001"</f>
        <v>11557003001</v>
      </c>
      <c r="B7822" s="8" t="str">
        <f>"豊中警察署　別館"</f>
        <v>豊中警察署　別館</v>
      </c>
      <c r="C7822" s="8" t="str">
        <f t="shared" si="2785"/>
        <v>行政財産</v>
      </c>
      <c r="D7822" s="8" t="str">
        <f t="shared" si="2786"/>
        <v>警察（消防）施設</v>
      </c>
      <c r="E7822" s="8" t="str">
        <f>"大阪府豊中市南桜塚３丁目"</f>
        <v>大阪府豊中市南桜塚３丁目</v>
      </c>
      <c r="F7822" s="8"/>
      <c r="G7822" s="8" t="str">
        <f t="shared" si="2774"/>
        <v>事業用資産</v>
      </c>
      <c r="H7822" s="8" t="str">
        <f t="shared" si="2788"/>
        <v>棚卸以外</v>
      </c>
      <c r="I7822" s="8">
        <v>1</v>
      </c>
      <c r="J7822" s="8" t="str">
        <f>"別館"</f>
        <v>別館</v>
      </c>
      <c r="K7822" s="8" t="str">
        <f>"鉄筋コンクリート造"</f>
        <v>鉄筋コンクリート造</v>
      </c>
      <c r="L7822" s="8" t="str">
        <f>"H28.09.30"</f>
        <v>H28.09.30</v>
      </c>
      <c r="M7822" s="8">
        <v>1840.09</v>
      </c>
      <c r="N7822" s="8">
        <v>548174981</v>
      </c>
      <c r="O7822" s="8">
        <v>128807300</v>
      </c>
      <c r="P7822" s="8">
        <v>0</v>
      </c>
      <c r="Q7822" s="8" t="str">
        <f t="shared" si="2784"/>
        <v>公安委員会</v>
      </c>
      <c r="R7822" s="8" t="str">
        <f t="shared" si="2787"/>
        <v>豊中警察署</v>
      </c>
    </row>
    <row r="7823" spans="1:18" x14ac:dyDescent="0.45">
      <c r="A7823" s="8" t="str">
        <f t="shared" ref="A7823:A7830" si="2789">"11558000000"</f>
        <v>11558000000</v>
      </c>
      <c r="B7823" s="8" t="str">
        <f t="shared" ref="B7823:B7830" si="2790">"羽曳野警察署"</f>
        <v>羽曳野警察署</v>
      </c>
      <c r="C7823" s="8" t="str">
        <f t="shared" si="2785"/>
        <v>行政財産</v>
      </c>
      <c r="D7823" s="8" t="str">
        <f t="shared" si="2786"/>
        <v>警察（消防）施設</v>
      </c>
      <c r="E7823" s="8" t="str">
        <f t="shared" ref="E7823:E7830" si="2791">"大阪府羽曳野市誉田４丁目"</f>
        <v>大阪府羽曳野市誉田４丁目</v>
      </c>
      <c r="F7823" s="8"/>
      <c r="G7823" s="8" t="str">
        <f t="shared" si="2774"/>
        <v>事業用資産</v>
      </c>
      <c r="H7823" s="8" t="str">
        <f t="shared" si="2788"/>
        <v>棚卸以外</v>
      </c>
      <c r="I7823" s="8">
        <v>25</v>
      </c>
      <c r="J7823" s="8" t="str">
        <f>"庁舎"</f>
        <v>庁舎</v>
      </c>
      <c r="K7823" s="8" t="str">
        <f>"鉄筋コンクリート造"</f>
        <v>鉄筋コンクリート造</v>
      </c>
      <c r="L7823" s="8" t="str">
        <f t="shared" ref="L7823:L7830" si="2792">"S58.11.26"</f>
        <v>S58.11.26</v>
      </c>
      <c r="M7823" s="8">
        <v>3023.64</v>
      </c>
      <c r="N7823" s="8">
        <v>746060483</v>
      </c>
      <c r="O7823" s="8">
        <v>576362612</v>
      </c>
      <c r="P7823" s="8">
        <v>0</v>
      </c>
      <c r="Q7823" s="8" t="str">
        <f t="shared" si="2784"/>
        <v>公安委員会</v>
      </c>
      <c r="R7823" s="8" t="str">
        <f t="shared" ref="R7823:R7847" si="2793">"羽曳野警察署"</f>
        <v>羽曳野警察署</v>
      </c>
    </row>
    <row r="7824" spans="1:18" x14ac:dyDescent="0.45">
      <c r="A7824" s="8" t="str">
        <f t="shared" si="2789"/>
        <v>11558000000</v>
      </c>
      <c r="B7824" s="8" t="str">
        <f t="shared" si="2790"/>
        <v>羽曳野警察署</v>
      </c>
      <c r="C7824" s="8" t="str">
        <f t="shared" si="2785"/>
        <v>行政財産</v>
      </c>
      <c r="D7824" s="8" t="str">
        <f t="shared" si="2786"/>
        <v>警察（消防）施設</v>
      </c>
      <c r="E7824" s="8" t="str">
        <f t="shared" si="2791"/>
        <v>大阪府羽曳野市誉田４丁目</v>
      </c>
      <c r="F7824" s="8"/>
      <c r="G7824" s="8" t="str">
        <f t="shared" si="2774"/>
        <v>事業用資産</v>
      </c>
      <c r="H7824" s="8" t="str">
        <f t="shared" si="2788"/>
        <v>棚卸以外</v>
      </c>
      <c r="I7824" s="8">
        <v>26</v>
      </c>
      <c r="J7824" s="8" t="str">
        <f>"霊安室及び油庫"</f>
        <v>霊安室及び油庫</v>
      </c>
      <c r="K7824" s="8" t="str">
        <f>"鉄骨造"</f>
        <v>鉄骨造</v>
      </c>
      <c r="L7824" s="8" t="str">
        <f t="shared" si="2792"/>
        <v>S58.11.26</v>
      </c>
      <c r="M7824" s="8">
        <v>11.25</v>
      </c>
      <c r="N7824" s="8">
        <v>989651</v>
      </c>
      <c r="O7824" s="8">
        <v>989650</v>
      </c>
      <c r="P7824" s="8">
        <v>0</v>
      </c>
      <c r="Q7824" s="8" t="str">
        <f t="shared" si="2784"/>
        <v>公安委員会</v>
      </c>
      <c r="R7824" s="8" t="str">
        <f t="shared" si="2793"/>
        <v>羽曳野警察署</v>
      </c>
    </row>
    <row r="7825" spans="1:18" x14ac:dyDescent="0.45">
      <c r="A7825" s="8" t="str">
        <f t="shared" si="2789"/>
        <v>11558000000</v>
      </c>
      <c r="B7825" s="8" t="str">
        <f t="shared" si="2790"/>
        <v>羽曳野警察署</v>
      </c>
      <c r="C7825" s="8" t="str">
        <f t="shared" si="2785"/>
        <v>行政財産</v>
      </c>
      <c r="D7825" s="8" t="str">
        <f t="shared" si="2786"/>
        <v>警察（消防）施設</v>
      </c>
      <c r="E7825" s="8" t="str">
        <f t="shared" si="2791"/>
        <v>大阪府羽曳野市誉田４丁目</v>
      </c>
      <c r="F7825" s="8"/>
      <c r="G7825" s="8" t="str">
        <f t="shared" si="2774"/>
        <v>事業用資産</v>
      </c>
      <c r="H7825" s="8" t="str">
        <f t="shared" si="2788"/>
        <v>棚卸以外</v>
      </c>
      <c r="I7825" s="8">
        <v>27</v>
      </c>
      <c r="J7825" s="8" t="str">
        <f>"大型車庫"</f>
        <v>大型車庫</v>
      </c>
      <c r="K7825" s="8" t="str">
        <f>"鉄骨造"</f>
        <v>鉄骨造</v>
      </c>
      <c r="L7825" s="8" t="str">
        <f t="shared" si="2792"/>
        <v>S58.11.26</v>
      </c>
      <c r="M7825" s="8">
        <v>179.89</v>
      </c>
      <c r="N7825" s="8">
        <v>18865895</v>
      </c>
      <c r="O7825" s="8">
        <v>18838287</v>
      </c>
      <c r="P7825" s="8">
        <v>0</v>
      </c>
      <c r="Q7825" s="8" t="str">
        <f t="shared" si="2784"/>
        <v>公安委員会</v>
      </c>
      <c r="R7825" s="8" t="str">
        <f t="shared" si="2793"/>
        <v>羽曳野警察署</v>
      </c>
    </row>
    <row r="7826" spans="1:18" x14ac:dyDescent="0.45">
      <c r="A7826" s="8" t="str">
        <f t="shared" si="2789"/>
        <v>11558000000</v>
      </c>
      <c r="B7826" s="8" t="str">
        <f t="shared" si="2790"/>
        <v>羽曳野警察署</v>
      </c>
      <c r="C7826" s="8" t="str">
        <f t="shared" si="2785"/>
        <v>行政財産</v>
      </c>
      <c r="D7826" s="8" t="str">
        <f t="shared" si="2786"/>
        <v>警察（消防）施設</v>
      </c>
      <c r="E7826" s="8" t="str">
        <f t="shared" si="2791"/>
        <v>大阪府羽曳野市誉田４丁目</v>
      </c>
      <c r="F7826" s="8"/>
      <c r="G7826" s="8" t="str">
        <f t="shared" si="2774"/>
        <v>事業用資産</v>
      </c>
      <c r="H7826" s="8" t="str">
        <f t="shared" si="2788"/>
        <v>棚卸以外</v>
      </c>
      <c r="I7826" s="8">
        <v>29</v>
      </c>
      <c r="J7826" s="8" t="str">
        <f>"ガソリンスタンド及びポンプ室"</f>
        <v>ガソリンスタンド及びポンプ室</v>
      </c>
      <c r="K7826" s="8" t="str">
        <f>"鉄筋コンクリート造"</f>
        <v>鉄筋コンクリート造</v>
      </c>
      <c r="L7826" s="8" t="str">
        <f t="shared" si="2792"/>
        <v>S58.11.26</v>
      </c>
      <c r="M7826" s="8">
        <v>1.8</v>
      </c>
      <c r="N7826" s="8">
        <v>1464000</v>
      </c>
      <c r="O7826" s="8">
        <v>1463999</v>
      </c>
      <c r="P7826" s="8">
        <v>0</v>
      </c>
      <c r="Q7826" s="8" t="str">
        <f t="shared" si="2784"/>
        <v>公安委員会</v>
      </c>
      <c r="R7826" s="8" t="str">
        <f t="shared" si="2793"/>
        <v>羽曳野警察署</v>
      </c>
    </row>
    <row r="7827" spans="1:18" x14ac:dyDescent="0.45">
      <c r="A7827" s="8" t="str">
        <f t="shared" si="2789"/>
        <v>11558000000</v>
      </c>
      <c r="B7827" s="8" t="str">
        <f t="shared" si="2790"/>
        <v>羽曳野警察署</v>
      </c>
      <c r="C7827" s="8" t="str">
        <f t="shared" si="2785"/>
        <v>行政財産</v>
      </c>
      <c r="D7827" s="8" t="str">
        <f t="shared" si="2786"/>
        <v>警察（消防）施設</v>
      </c>
      <c r="E7827" s="8" t="str">
        <f t="shared" si="2791"/>
        <v>大阪府羽曳野市誉田４丁目</v>
      </c>
      <c r="F7827" s="8"/>
      <c r="G7827" s="8" t="str">
        <f t="shared" si="2774"/>
        <v>事業用資産</v>
      </c>
      <c r="H7827" s="8" t="str">
        <f t="shared" si="2788"/>
        <v>棚卸以外</v>
      </c>
      <c r="I7827" s="8">
        <v>30</v>
      </c>
      <c r="J7827" s="8" t="str">
        <f>"ゴミ集積場"</f>
        <v>ゴミ集積場</v>
      </c>
      <c r="K7827" s="8" t="str">
        <f>"鉄筋コンクリート造"</f>
        <v>鉄筋コンクリート造</v>
      </c>
      <c r="L7827" s="8" t="str">
        <f t="shared" si="2792"/>
        <v>S58.11.26</v>
      </c>
      <c r="M7827" s="8">
        <v>6</v>
      </c>
      <c r="N7827" s="8">
        <v>883495</v>
      </c>
      <c r="O7827" s="8">
        <v>877631</v>
      </c>
      <c r="P7827" s="8">
        <v>0</v>
      </c>
      <c r="Q7827" s="8" t="str">
        <f t="shared" si="2784"/>
        <v>公安委員会</v>
      </c>
      <c r="R7827" s="8" t="str">
        <f t="shared" si="2793"/>
        <v>羽曳野警察署</v>
      </c>
    </row>
    <row r="7828" spans="1:18" x14ac:dyDescent="0.45">
      <c r="A7828" s="8" t="str">
        <f t="shared" si="2789"/>
        <v>11558000000</v>
      </c>
      <c r="B7828" s="8" t="str">
        <f t="shared" si="2790"/>
        <v>羽曳野警察署</v>
      </c>
      <c r="C7828" s="8" t="str">
        <f t="shared" si="2785"/>
        <v>行政財産</v>
      </c>
      <c r="D7828" s="8" t="str">
        <f t="shared" si="2786"/>
        <v>警察（消防）施設</v>
      </c>
      <c r="E7828" s="8" t="str">
        <f t="shared" si="2791"/>
        <v>大阪府羽曳野市誉田４丁目</v>
      </c>
      <c r="F7828" s="8"/>
      <c r="G7828" s="8" t="str">
        <f t="shared" si="2774"/>
        <v>事業用資産</v>
      </c>
      <c r="H7828" s="8" t="str">
        <f t="shared" si="2788"/>
        <v>棚卸以外</v>
      </c>
      <c r="I7828" s="8">
        <v>31</v>
      </c>
      <c r="J7828" s="8" t="str">
        <f>"署長公舎"</f>
        <v>署長公舎</v>
      </c>
      <c r="K7828" s="8" t="str">
        <f>"鉄筋コンクリート造"</f>
        <v>鉄筋コンクリート造</v>
      </c>
      <c r="L7828" s="8" t="str">
        <f t="shared" si="2792"/>
        <v>S58.11.26</v>
      </c>
      <c r="M7828" s="8">
        <v>89.87</v>
      </c>
      <c r="N7828" s="8">
        <v>21781458</v>
      </c>
      <c r="O7828" s="8">
        <v>18218832</v>
      </c>
      <c r="P7828" s="8">
        <v>0</v>
      </c>
      <c r="Q7828" s="8" t="str">
        <f t="shared" si="2784"/>
        <v>公安委員会</v>
      </c>
      <c r="R7828" s="8" t="str">
        <f t="shared" si="2793"/>
        <v>羽曳野警察署</v>
      </c>
    </row>
    <row r="7829" spans="1:18" x14ac:dyDescent="0.45">
      <c r="A7829" s="8" t="str">
        <f t="shared" si="2789"/>
        <v>11558000000</v>
      </c>
      <c r="B7829" s="8" t="str">
        <f t="shared" si="2790"/>
        <v>羽曳野警察署</v>
      </c>
      <c r="C7829" s="8" t="str">
        <f t="shared" si="2785"/>
        <v>行政財産</v>
      </c>
      <c r="D7829" s="8" t="str">
        <f t="shared" si="2786"/>
        <v>警察（消防）施設</v>
      </c>
      <c r="E7829" s="8" t="str">
        <f t="shared" si="2791"/>
        <v>大阪府羽曳野市誉田４丁目</v>
      </c>
      <c r="F7829" s="8"/>
      <c r="G7829" s="8" t="str">
        <f t="shared" si="2774"/>
        <v>事業用資産</v>
      </c>
      <c r="H7829" s="8" t="str">
        <f t="shared" si="2788"/>
        <v>棚卸以外</v>
      </c>
      <c r="I7829" s="8">
        <v>32</v>
      </c>
      <c r="J7829" s="8" t="str">
        <f>"倉庫"</f>
        <v>倉庫</v>
      </c>
      <c r="K7829" s="8" t="str">
        <f>"鉄筋コンクリート造"</f>
        <v>鉄筋コンクリート造</v>
      </c>
      <c r="L7829" s="8" t="str">
        <f t="shared" si="2792"/>
        <v>S58.11.26</v>
      </c>
      <c r="M7829" s="8">
        <v>10.29</v>
      </c>
      <c r="N7829" s="8">
        <v>26769000</v>
      </c>
      <c r="O7829" s="8">
        <v>26768999</v>
      </c>
      <c r="P7829" s="8">
        <v>0</v>
      </c>
      <c r="Q7829" s="8" t="str">
        <f t="shared" si="2784"/>
        <v>公安委員会</v>
      </c>
      <c r="R7829" s="8" t="str">
        <f t="shared" si="2793"/>
        <v>羽曳野警察署</v>
      </c>
    </row>
    <row r="7830" spans="1:18" x14ac:dyDescent="0.45">
      <c r="A7830" s="8" t="str">
        <f t="shared" si="2789"/>
        <v>11558000000</v>
      </c>
      <c r="B7830" s="8" t="str">
        <f t="shared" si="2790"/>
        <v>羽曳野警察署</v>
      </c>
      <c r="C7830" s="8" t="str">
        <f t="shared" si="2785"/>
        <v>行政財産</v>
      </c>
      <c r="D7830" s="8" t="str">
        <f t="shared" si="2786"/>
        <v>警察（消防）施設</v>
      </c>
      <c r="E7830" s="8" t="str">
        <f t="shared" si="2791"/>
        <v>大阪府羽曳野市誉田４丁目</v>
      </c>
      <c r="F7830" s="8"/>
      <c r="G7830" s="8" t="str">
        <f t="shared" si="2774"/>
        <v>事業用資産</v>
      </c>
      <c r="H7830" s="8" t="str">
        <f t="shared" si="2788"/>
        <v>棚卸以外</v>
      </c>
      <c r="I7830" s="8">
        <v>33</v>
      </c>
      <c r="J7830" s="8" t="str">
        <f>"倉庫（刑事課）"</f>
        <v>倉庫（刑事課）</v>
      </c>
      <c r="K7830" s="8" t="str">
        <f>"鉄骨造"</f>
        <v>鉄骨造</v>
      </c>
      <c r="L7830" s="8" t="str">
        <f t="shared" si="2792"/>
        <v>S58.11.26</v>
      </c>
      <c r="M7830" s="8">
        <v>6.08</v>
      </c>
      <c r="N7830" s="8">
        <v>794469</v>
      </c>
      <c r="O7830" s="8">
        <v>453068</v>
      </c>
      <c r="P7830" s="8">
        <v>0</v>
      </c>
      <c r="Q7830" s="8" t="str">
        <f t="shared" si="2784"/>
        <v>公安委員会</v>
      </c>
      <c r="R7830" s="8" t="str">
        <f t="shared" si="2793"/>
        <v>羽曳野警察署</v>
      </c>
    </row>
    <row r="7831" spans="1:18" x14ac:dyDescent="0.45">
      <c r="A7831" s="8" t="str">
        <f>"11558000130"</f>
        <v>11558000130</v>
      </c>
      <c r="B7831" s="8" t="str">
        <f>"沢田交番"</f>
        <v>沢田交番</v>
      </c>
      <c r="C7831" s="8" t="str">
        <f t="shared" si="2785"/>
        <v>行政財産</v>
      </c>
      <c r="D7831" s="8" t="str">
        <f t="shared" si="2786"/>
        <v>警察（消防）施設</v>
      </c>
      <c r="E7831" s="8" t="str">
        <f>"大阪府藤井寺市沢田３丁目"</f>
        <v>大阪府藤井寺市沢田３丁目</v>
      </c>
      <c r="F7831" s="8"/>
      <c r="G7831" s="8" t="str">
        <f t="shared" ref="G7831:G7894" si="2794">"事業用資産"</f>
        <v>事業用資産</v>
      </c>
      <c r="H7831" s="8" t="str">
        <f t="shared" si="2788"/>
        <v>棚卸以外</v>
      </c>
      <c r="I7831" s="8">
        <v>2</v>
      </c>
      <c r="J7831" s="8" t="str">
        <f>"沢田交番"</f>
        <v>沢田交番</v>
      </c>
      <c r="K7831" s="8" t="str">
        <f>"鉄筋コンクリート造"</f>
        <v>鉄筋コンクリート造</v>
      </c>
      <c r="L7831" s="8" t="str">
        <f>"S48.03.31"</f>
        <v>S48.03.31</v>
      </c>
      <c r="M7831" s="8">
        <v>50.4</v>
      </c>
      <c r="N7831" s="8">
        <v>3878356</v>
      </c>
      <c r="O7831" s="8">
        <v>3870603</v>
      </c>
      <c r="P7831" s="8">
        <v>0</v>
      </c>
      <c r="Q7831" s="8" t="str">
        <f t="shared" si="2784"/>
        <v>公安委員会</v>
      </c>
      <c r="R7831" s="8" t="str">
        <f t="shared" si="2793"/>
        <v>羽曳野警察署</v>
      </c>
    </row>
    <row r="7832" spans="1:18" x14ac:dyDescent="0.45">
      <c r="A7832" s="8" t="str">
        <f>"11558000160"</f>
        <v>11558000160</v>
      </c>
      <c r="B7832" s="8" t="str">
        <f>"大井交番"</f>
        <v>大井交番</v>
      </c>
      <c r="C7832" s="8" t="str">
        <f t="shared" si="2785"/>
        <v>行政財産</v>
      </c>
      <c r="D7832" s="8" t="str">
        <f t="shared" si="2786"/>
        <v>警察（消防）施設</v>
      </c>
      <c r="E7832" s="8" t="str">
        <f>"大阪府藤井寺市大井５丁目"</f>
        <v>大阪府藤井寺市大井５丁目</v>
      </c>
      <c r="F7832" s="8"/>
      <c r="G7832" s="8" t="str">
        <f t="shared" si="2794"/>
        <v>事業用資産</v>
      </c>
      <c r="H7832" s="8" t="str">
        <f t="shared" si="2788"/>
        <v>棚卸以外</v>
      </c>
      <c r="I7832" s="8">
        <v>4</v>
      </c>
      <c r="J7832" s="8" t="str">
        <f>"大井交番"</f>
        <v>大井交番</v>
      </c>
      <c r="K7832" s="8" t="str">
        <f>"鉄筋コンクリート造"</f>
        <v>鉄筋コンクリート造</v>
      </c>
      <c r="L7832" s="8" t="str">
        <f>"H05.03.31"</f>
        <v>H05.03.31</v>
      </c>
      <c r="M7832" s="8">
        <v>54</v>
      </c>
      <c r="N7832" s="8">
        <v>20294000</v>
      </c>
      <c r="O7832" s="8">
        <v>12176640</v>
      </c>
      <c r="P7832" s="8">
        <v>0</v>
      </c>
      <c r="Q7832" s="8" t="str">
        <f t="shared" si="2784"/>
        <v>公安委員会</v>
      </c>
      <c r="R7832" s="8" t="str">
        <f t="shared" si="2793"/>
        <v>羽曳野警察署</v>
      </c>
    </row>
    <row r="7833" spans="1:18" x14ac:dyDescent="0.45">
      <c r="A7833" s="8" t="str">
        <f>"11558000160"</f>
        <v>11558000160</v>
      </c>
      <c r="B7833" s="8" t="str">
        <f>"大井交番"</f>
        <v>大井交番</v>
      </c>
      <c r="C7833" s="8" t="str">
        <f t="shared" si="2785"/>
        <v>行政財産</v>
      </c>
      <c r="D7833" s="8" t="str">
        <f t="shared" si="2786"/>
        <v>警察（消防）施設</v>
      </c>
      <c r="E7833" s="8" t="str">
        <f>"大阪府藤井寺市大井５丁目"</f>
        <v>大阪府藤井寺市大井５丁目</v>
      </c>
      <c r="F7833" s="8"/>
      <c r="G7833" s="8" t="str">
        <f t="shared" si="2794"/>
        <v>事業用資産</v>
      </c>
      <c r="H7833" s="8" t="str">
        <f t="shared" si="2788"/>
        <v>棚卸以外</v>
      </c>
      <c r="I7833" s="8">
        <v>5</v>
      </c>
      <c r="J7833" s="8" t="str">
        <f>"自転車置場"</f>
        <v>自転車置場</v>
      </c>
      <c r="K7833" s="8" t="str">
        <f>"軽量鉄骨造"</f>
        <v>軽量鉄骨造</v>
      </c>
      <c r="L7833" s="8" t="str">
        <f>"H05.03.31"</f>
        <v>H05.03.31</v>
      </c>
      <c r="M7833" s="8">
        <v>5.6</v>
      </c>
      <c r="N7833" s="8">
        <v>277000</v>
      </c>
      <c r="O7833" s="8">
        <v>276999</v>
      </c>
      <c r="P7833" s="8">
        <v>0</v>
      </c>
      <c r="Q7833" s="8" t="str">
        <f t="shared" si="2784"/>
        <v>公安委員会</v>
      </c>
      <c r="R7833" s="8" t="str">
        <f t="shared" si="2793"/>
        <v>羽曳野警察署</v>
      </c>
    </row>
    <row r="7834" spans="1:18" x14ac:dyDescent="0.45">
      <c r="A7834" s="8" t="str">
        <f>"11558000190"</f>
        <v>11558000190</v>
      </c>
      <c r="B7834" s="8" t="str">
        <f>"伊賀交番"</f>
        <v>伊賀交番</v>
      </c>
      <c r="C7834" s="8" t="str">
        <f t="shared" si="2785"/>
        <v>行政財産</v>
      </c>
      <c r="D7834" s="8" t="str">
        <f t="shared" si="2786"/>
        <v>警察（消防）施設</v>
      </c>
      <c r="E7834" s="8" t="str">
        <f>"大阪府羽曳野市伊賀６丁目"</f>
        <v>大阪府羽曳野市伊賀６丁目</v>
      </c>
      <c r="F7834" s="8"/>
      <c r="G7834" s="8" t="str">
        <f t="shared" si="2794"/>
        <v>事業用資産</v>
      </c>
      <c r="H7834" s="8" t="str">
        <f t="shared" si="2788"/>
        <v>棚卸以外</v>
      </c>
      <c r="I7834" s="8">
        <v>2</v>
      </c>
      <c r="J7834" s="8" t="str">
        <f>"伊賀交番"</f>
        <v>伊賀交番</v>
      </c>
      <c r="K7834" s="8" t="str">
        <f>"鉄筋コンクリート造"</f>
        <v>鉄筋コンクリート造</v>
      </c>
      <c r="L7834" s="8" t="str">
        <f>"S59.03.30"</f>
        <v>S59.03.30</v>
      </c>
      <c r="M7834" s="8">
        <v>54.6</v>
      </c>
      <c r="N7834" s="8">
        <v>13156000</v>
      </c>
      <c r="O7834" s="8">
        <v>10261836</v>
      </c>
      <c r="P7834" s="8">
        <v>0</v>
      </c>
      <c r="Q7834" s="8" t="str">
        <f t="shared" si="2784"/>
        <v>公安委員会</v>
      </c>
      <c r="R7834" s="8" t="str">
        <f t="shared" si="2793"/>
        <v>羽曳野警察署</v>
      </c>
    </row>
    <row r="7835" spans="1:18" x14ac:dyDescent="0.45">
      <c r="A7835" s="8" t="str">
        <f>"11558000190"</f>
        <v>11558000190</v>
      </c>
      <c r="B7835" s="8" t="str">
        <f>"伊賀交番"</f>
        <v>伊賀交番</v>
      </c>
      <c r="C7835" s="8" t="str">
        <f t="shared" si="2785"/>
        <v>行政財産</v>
      </c>
      <c r="D7835" s="8" t="str">
        <f t="shared" si="2786"/>
        <v>警察（消防）施設</v>
      </c>
      <c r="E7835" s="8" t="str">
        <f>"大阪府羽曳野市伊賀６丁目"</f>
        <v>大阪府羽曳野市伊賀６丁目</v>
      </c>
      <c r="F7835" s="8"/>
      <c r="G7835" s="8" t="str">
        <f t="shared" si="2794"/>
        <v>事業用資産</v>
      </c>
      <c r="H7835" s="8" t="str">
        <f t="shared" si="2788"/>
        <v>棚卸以外</v>
      </c>
      <c r="I7835" s="8">
        <v>3</v>
      </c>
      <c r="J7835" s="8" t="str">
        <f>"単車置場"</f>
        <v>単車置場</v>
      </c>
      <c r="K7835" s="8" t="str">
        <f>"軽量鉄骨造"</f>
        <v>軽量鉄骨造</v>
      </c>
      <c r="L7835" s="8" t="str">
        <f>"S59.03.30"</f>
        <v>S59.03.30</v>
      </c>
      <c r="M7835" s="8">
        <v>5.43</v>
      </c>
      <c r="N7835" s="8">
        <v>206000</v>
      </c>
      <c r="O7835" s="8">
        <v>205999</v>
      </c>
      <c r="P7835" s="8">
        <v>0</v>
      </c>
      <c r="Q7835" s="8" t="str">
        <f t="shared" si="2784"/>
        <v>公安委員会</v>
      </c>
      <c r="R7835" s="8" t="str">
        <f t="shared" si="2793"/>
        <v>羽曳野警察署</v>
      </c>
    </row>
    <row r="7836" spans="1:18" x14ac:dyDescent="0.45">
      <c r="A7836" s="8" t="str">
        <f>"11558000200"</f>
        <v>11558000200</v>
      </c>
      <c r="B7836" s="8" t="str">
        <f>"郡戸交番"</f>
        <v>郡戸交番</v>
      </c>
      <c r="C7836" s="8" t="str">
        <f t="shared" si="2785"/>
        <v>行政財産</v>
      </c>
      <c r="D7836" s="8" t="str">
        <f t="shared" si="2786"/>
        <v>警察（消防）施設</v>
      </c>
      <c r="E7836" s="8" t="str">
        <f>"大阪府羽曳野市郡戸"</f>
        <v>大阪府羽曳野市郡戸</v>
      </c>
      <c r="F7836" s="8"/>
      <c r="G7836" s="8" t="str">
        <f t="shared" si="2794"/>
        <v>事業用資産</v>
      </c>
      <c r="H7836" s="8" t="str">
        <f t="shared" si="2788"/>
        <v>棚卸以外</v>
      </c>
      <c r="I7836" s="8">
        <v>2</v>
      </c>
      <c r="J7836" s="8" t="str">
        <f>"郡戸交番"</f>
        <v>郡戸交番</v>
      </c>
      <c r="K7836" s="8" t="str">
        <f>"鉄筋コンクリート造"</f>
        <v>鉄筋コンクリート造</v>
      </c>
      <c r="L7836" s="8" t="str">
        <f>"S63.03.31"</f>
        <v>S63.03.31</v>
      </c>
      <c r="M7836" s="8">
        <v>54</v>
      </c>
      <c r="N7836" s="8">
        <v>14203000</v>
      </c>
      <c r="O7836" s="8">
        <v>9942240</v>
      </c>
      <c r="P7836" s="8">
        <v>0</v>
      </c>
      <c r="Q7836" s="8" t="str">
        <f t="shared" si="2784"/>
        <v>公安委員会</v>
      </c>
      <c r="R7836" s="8" t="str">
        <f t="shared" si="2793"/>
        <v>羽曳野警察署</v>
      </c>
    </row>
    <row r="7837" spans="1:18" x14ac:dyDescent="0.45">
      <c r="A7837" s="8" t="str">
        <f>"11558000200"</f>
        <v>11558000200</v>
      </c>
      <c r="B7837" s="8" t="str">
        <f>"郡戸交番"</f>
        <v>郡戸交番</v>
      </c>
      <c r="C7837" s="8" t="str">
        <f t="shared" si="2785"/>
        <v>行政財産</v>
      </c>
      <c r="D7837" s="8" t="str">
        <f t="shared" si="2786"/>
        <v>警察（消防）施設</v>
      </c>
      <c r="E7837" s="8" t="str">
        <f>"大阪府羽曳野市郡戸"</f>
        <v>大阪府羽曳野市郡戸</v>
      </c>
      <c r="F7837" s="8"/>
      <c r="G7837" s="8" t="str">
        <f t="shared" si="2794"/>
        <v>事業用資産</v>
      </c>
      <c r="H7837" s="8" t="str">
        <f t="shared" si="2788"/>
        <v>棚卸以外</v>
      </c>
      <c r="I7837" s="8">
        <v>3</v>
      </c>
      <c r="J7837" s="8" t="str">
        <f>"自転車置場"</f>
        <v>自転車置場</v>
      </c>
      <c r="K7837" s="8" t="str">
        <f>"軽量鉄骨造"</f>
        <v>軽量鉄骨造</v>
      </c>
      <c r="L7837" s="8" t="str">
        <f>"S63.03.31"</f>
        <v>S63.03.31</v>
      </c>
      <c r="M7837" s="8">
        <v>6</v>
      </c>
      <c r="N7837" s="8">
        <v>170000</v>
      </c>
      <c r="O7837" s="8">
        <v>169999</v>
      </c>
      <c r="P7837" s="8">
        <v>0</v>
      </c>
      <c r="Q7837" s="8" t="str">
        <f t="shared" si="2784"/>
        <v>公安委員会</v>
      </c>
      <c r="R7837" s="8" t="str">
        <f t="shared" si="2793"/>
        <v>羽曳野警察署</v>
      </c>
    </row>
    <row r="7838" spans="1:18" x14ac:dyDescent="0.45">
      <c r="A7838" s="8" t="str">
        <f>"11558000230"</f>
        <v>11558000230</v>
      </c>
      <c r="B7838" s="8" t="str">
        <f>"駒ヶ谷駅前駐在所"</f>
        <v>駒ヶ谷駅前駐在所</v>
      </c>
      <c r="C7838" s="8" t="str">
        <f t="shared" si="2785"/>
        <v>行政財産</v>
      </c>
      <c r="D7838" s="8" t="str">
        <f t="shared" si="2786"/>
        <v>警察（消防）施設</v>
      </c>
      <c r="E7838" s="8" t="str">
        <f>"大阪府羽曳野市駒ケ谷"</f>
        <v>大阪府羽曳野市駒ケ谷</v>
      </c>
      <c r="F7838" s="8"/>
      <c r="G7838" s="8" t="str">
        <f t="shared" si="2794"/>
        <v>事業用資産</v>
      </c>
      <c r="H7838" s="8" t="str">
        <f t="shared" si="2788"/>
        <v>棚卸以外</v>
      </c>
      <c r="I7838" s="8">
        <v>2</v>
      </c>
      <c r="J7838" s="8" t="str">
        <f>"駒ケ谷駅前駐在所"</f>
        <v>駒ケ谷駅前駐在所</v>
      </c>
      <c r="K7838" s="8" t="str">
        <f>"鉄骨造"</f>
        <v>鉄骨造</v>
      </c>
      <c r="L7838" s="8" t="str">
        <f>"H05.01.18"</f>
        <v>H05.01.18</v>
      </c>
      <c r="M7838" s="8">
        <v>90.27</v>
      </c>
      <c r="N7838" s="8">
        <v>24023000</v>
      </c>
      <c r="O7838" s="8">
        <v>19071246</v>
      </c>
      <c r="P7838" s="8">
        <v>0</v>
      </c>
      <c r="Q7838" s="8" t="str">
        <f t="shared" si="2784"/>
        <v>公安委員会</v>
      </c>
      <c r="R7838" s="8" t="str">
        <f t="shared" si="2793"/>
        <v>羽曳野警察署</v>
      </c>
    </row>
    <row r="7839" spans="1:18" x14ac:dyDescent="0.45">
      <c r="A7839" s="8" t="str">
        <f>"11558000240"</f>
        <v>11558000240</v>
      </c>
      <c r="B7839" s="8" t="str">
        <f>"藤井寺駅前交番"</f>
        <v>藤井寺駅前交番</v>
      </c>
      <c r="C7839" s="8" t="str">
        <f t="shared" si="2785"/>
        <v>行政財産</v>
      </c>
      <c r="D7839" s="8" t="str">
        <f t="shared" si="2786"/>
        <v>警察（消防）施設</v>
      </c>
      <c r="E7839" s="8" t="str">
        <f>"大阪府藤井寺市春日丘１丁目"</f>
        <v>大阪府藤井寺市春日丘１丁目</v>
      </c>
      <c r="F7839" s="8"/>
      <c r="G7839" s="8" t="str">
        <f t="shared" si="2794"/>
        <v>事業用資産</v>
      </c>
      <c r="H7839" s="8" t="str">
        <f t="shared" si="2788"/>
        <v>棚卸以外</v>
      </c>
      <c r="I7839" s="8">
        <v>2</v>
      </c>
      <c r="J7839" s="8" t="str">
        <f>"藤井寺駅前交番"</f>
        <v>藤井寺駅前交番</v>
      </c>
      <c r="K7839" s="8" t="str">
        <f>"鉄骨造"</f>
        <v>鉄骨造</v>
      </c>
      <c r="L7839" s="8" t="str">
        <f>"H06.03.30"</f>
        <v>H06.03.30</v>
      </c>
      <c r="M7839" s="8">
        <v>106.92</v>
      </c>
      <c r="N7839" s="8">
        <v>35564980</v>
      </c>
      <c r="O7839" s="8">
        <v>27089555</v>
      </c>
      <c r="P7839" s="8">
        <v>0</v>
      </c>
      <c r="Q7839" s="8" t="str">
        <f t="shared" si="2784"/>
        <v>公安委員会</v>
      </c>
      <c r="R7839" s="8" t="str">
        <f t="shared" si="2793"/>
        <v>羽曳野警察署</v>
      </c>
    </row>
    <row r="7840" spans="1:18" x14ac:dyDescent="0.45">
      <c r="A7840" s="8" t="str">
        <f>"11558000250"</f>
        <v>11558000250</v>
      </c>
      <c r="B7840" s="8" t="str">
        <f>"羽曵ヶ丘交番"</f>
        <v>羽曵ヶ丘交番</v>
      </c>
      <c r="C7840" s="8" t="str">
        <f t="shared" si="2785"/>
        <v>行政財産</v>
      </c>
      <c r="D7840" s="8" t="str">
        <f t="shared" si="2786"/>
        <v>警察（消防）施設</v>
      </c>
      <c r="E7840" s="8" t="str">
        <f>"大阪府羽曳野市羽曳が丘西２丁目"</f>
        <v>大阪府羽曳野市羽曳が丘西２丁目</v>
      </c>
      <c r="F7840" s="8"/>
      <c r="G7840" s="8" t="str">
        <f t="shared" si="2794"/>
        <v>事業用資産</v>
      </c>
      <c r="H7840" s="8" t="str">
        <f t="shared" si="2788"/>
        <v>棚卸以外</v>
      </c>
      <c r="I7840" s="8">
        <v>1</v>
      </c>
      <c r="J7840" s="8" t="str">
        <f>"羽曳ヶ丘交番"</f>
        <v>羽曳ヶ丘交番</v>
      </c>
      <c r="K7840" s="8" t="str">
        <f>"鉄骨造"</f>
        <v>鉄骨造</v>
      </c>
      <c r="L7840" s="8" t="str">
        <f>"S44.03.29"</f>
        <v>S44.03.29</v>
      </c>
      <c r="M7840" s="8">
        <v>29.48</v>
      </c>
      <c r="N7840" s="8">
        <v>1611000</v>
      </c>
      <c r="O7840" s="8">
        <v>1610999</v>
      </c>
      <c r="P7840" s="8">
        <v>0</v>
      </c>
      <c r="Q7840" s="8" t="str">
        <f t="shared" si="2784"/>
        <v>公安委員会</v>
      </c>
      <c r="R7840" s="8" t="str">
        <f t="shared" si="2793"/>
        <v>羽曳野警察署</v>
      </c>
    </row>
    <row r="7841" spans="1:18" x14ac:dyDescent="0.45">
      <c r="A7841" s="8" t="str">
        <f>"11558000260"</f>
        <v>11558000260</v>
      </c>
      <c r="B7841" s="8" t="str">
        <f>"野々上交番"</f>
        <v>野々上交番</v>
      </c>
      <c r="C7841" s="8" t="str">
        <f t="shared" si="2785"/>
        <v>行政財産</v>
      </c>
      <c r="D7841" s="8" t="str">
        <f t="shared" si="2786"/>
        <v>警察（消防）施設</v>
      </c>
      <c r="E7841" s="8" t="str">
        <f>"大阪府羽曳野市野々上３丁目"</f>
        <v>大阪府羽曳野市野々上３丁目</v>
      </c>
      <c r="F7841" s="8"/>
      <c r="G7841" s="8" t="str">
        <f t="shared" si="2794"/>
        <v>事業用資産</v>
      </c>
      <c r="H7841" s="8" t="str">
        <f t="shared" si="2788"/>
        <v>棚卸以外</v>
      </c>
      <c r="I7841" s="8">
        <v>1</v>
      </c>
      <c r="J7841" s="8" t="str">
        <f>"野々上交番"</f>
        <v>野々上交番</v>
      </c>
      <c r="K7841" s="8" t="str">
        <f>"鉄筋コンクリート造"</f>
        <v>鉄筋コンクリート造</v>
      </c>
      <c r="L7841" s="8" t="str">
        <f>"S48.02.13"</f>
        <v>S48.02.13</v>
      </c>
      <c r="M7841" s="8">
        <v>49.14</v>
      </c>
      <c r="N7841" s="8">
        <v>3691000</v>
      </c>
      <c r="O7841" s="8">
        <v>3690999</v>
      </c>
      <c r="P7841" s="8">
        <v>0</v>
      </c>
      <c r="Q7841" s="8" t="str">
        <f t="shared" si="2784"/>
        <v>公安委員会</v>
      </c>
      <c r="R7841" s="8" t="str">
        <f t="shared" si="2793"/>
        <v>羽曳野警察署</v>
      </c>
    </row>
    <row r="7842" spans="1:18" x14ac:dyDescent="0.45">
      <c r="A7842" s="8" t="str">
        <f>"11558000280"</f>
        <v>11558000280</v>
      </c>
      <c r="B7842" s="8" t="str">
        <f>"恵我之荘交番"</f>
        <v>恵我之荘交番</v>
      </c>
      <c r="C7842" s="8" t="str">
        <f t="shared" si="2785"/>
        <v>行政財産</v>
      </c>
      <c r="D7842" s="8" t="str">
        <f t="shared" si="2786"/>
        <v>警察（消防）施設</v>
      </c>
      <c r="E7842" s="8" t="str">
        <f>"大阪府羽曳野市恵我之荘５丁目"</f>
        <v>大阪府羽曳野市恵我之荘５丁目</v>
      </c>
      <c r="F7842" s="8"/>
      <c r="G7842" s="8" t="str">
        <f t="shared" si="2794"/>
        <v>事業用資産</v>
      </c>
      <c r="H7842" s="8" t="str">
        <f t="shared" si="2788"/>
        <v>棚卸以外</v>
      </c>
      <c r="I7842" s="8">
        <v>2</v>
      </c>
      <c r="J7842" s="8" t="str">
        <f>"恵我之荘交番"</f>
        <v>恵我之荘交番</v>
      </c>
      <c r="K7842" s="8" t="str">
        <f>"軽量鉄骨造"</f>
        <v>軽量鉄骨造</v>
      </c>
      <c r="L7842" s="8" t="str">
        <f>"H26.03.24"</f>
        <v>H26.03.24</v>
      </c>
      <c r="M7842" s="8">
        <v>64.34</v>
      </c>
      <c r="N7842" s="8">
        <v>20569069</v>
      </c>
      <c r="O7842" s="8">
        <v>7521984</v>
      </c>
      <c r="P7842" s="8">
        <v>0</v>
      </c>
      <c r="Q7842" s="8" t="str">
        <f t="shared" si="2784"/>
        <v>公安委員会</v>
      </c>
      <c r="R7842" s="8" t="str">
        <f t="shared" si="2793"/>
        <v>羽曳野警察署</v>
      </c>
    </row>
    <row r="7843" spans="1:18" x14ac:dyDescent="0.45">
      <c r="A7843" s="8" t="str">
        <f>"11558000300"</f>
        <v>11558000300</v>
      </c>
      <c r="B7843" s="8" t="str">
        <f>"西浦交番"</f>
        <v>西浦交番</v>
      </c>
      <c r="C7843" s="8" t="str">
        <f t="shared" si="2785"/>
        <v>行政財産</v>
      </c>
      <c r="D7843" s="8" t="str">
        <f t="shared" si="2786"/>
        <v>警察（消防）施設</v>
      </c>
      <c r="E7843" s="8" t="str">
        <f>"大阪府羽曳野市西浦"</f>
        <v>大阪府羽曳野市西浦</v>
      </c>
      <c r="F7843" s="8"/>
      <c r="G7843" s="8" t="str">
        <f t="shared" si="2794"/>
        <v>事業用資産</v>
      </c>
      <c r="H7843" s="8" t="str">
        <f t="shared" si="2788"/>
        <v>棚卸以外</v>
      </c>
      <c r="I7843" s="8">
        <v>1</v>
      </c>
      <c r="J7843" s="8" t="str">
        <f>"西浦交番"</f>
        <v>西浦交番</v>
      </c>
      <c r="K7843" s="8" t="str">
        <f>"鉄筋コンクリート造"</f>
        <v>鉄筋コンクリート造</v>
      </c>
      <c r="L7843" s="8" t="str">
        <f>"S50.03.27"</f>
        <v>S50.03.27</v>
      </c>
      <c r="M7843" s="8">
        <v>50.4</v>
      </c>
      <c r="N7843" s="8">
        <v>8380000</v>
      </c>
      <c r="O7843" s="8">
        <v>8044992</v>
      </c>
      <c r="P7843" s="8">
        <v>0</v>
      </c>
      <c r="Q7843" s="8" t="str">
        <f t="shared" si="2784"/>
        <v>公安委員会</v>
      </c>
      <c r="R7843" s="8" t="str">
        <f t="shared" si="2793"/>
        <v>羽曳野警察署</v>
      </c>
    </row>
    <row r="7844" spans="1:18" x14ac:dyDescent="0.45">
      <c r="A7844" s="8" t="str">
        <f>"11558000310"</f>
        <v>11558000310</v>
      </c>
      <c r="B7844" s="8" t="str">
        <f>"高鷲駅前交番"</f>
        <v>高鷲駅前交番</v>
      </c>
      <c r="C7844" s="8" t="str">
        <f t="shared" si="2785"/>
        <v>行政財産</v>
      </c>
      <c r="D7844" s="8" t="str">
        <f t="shared" si="2786"/>
        <v>警察（消防）施設</v>
      </c>
      <c r="E7844" s="8" t="str">
        <f>"大阪府羽曳野市高鷲１丁目"</f>
        <v>大阪府羽曳野市高鷲１丁目</v>
      </c>
      <c r="F7844" s="8"/>
      <c r="G7844" s="8" t="str">
        <f t="shared" si="2794"/>
        <v>事業用資産</v>
      </c>
      <c r="H7844" s="8" t="str">
        <f t="shared" si="2788"/>
        <v>棚卸以外</v>
      </c>
      <c r="I7844" s="8">
        <v>2</v>
      </c>
      <c r="J7844" s="8" t="str">
        <f>"高鷲駅前交番"</f>
        <v>高鷲駅前交番</v>
      </c>
      <c r="K7844" s="8" t="str">
        <f>"鉄骨造"</f>
        <v>鉄骨造</v>
      </c>
      <c r="L7844" s="8" t="str">
        <f>"H06.11.18"</f>
        <v>H06.11.18</v>
      </c>
      <c r="M7844" s="8">
        <v>53.8</v>
      </c>
      <c r="N7844" s="8">
        <v>19510000</v>
      </c>
      <c r="O7844" s="8">
        <v>14547240</v>
      </c>
      <c r="P7844" s="8">
        <v>0</v>
      </c>
      <c r="Q7844" s="8" t="str">
        <f t="shared" si="2784"/>
        <v>公安委員会</v>
      </c>
      <c r="R7844" s="8" t="str">
        <f t="shared" si="2793"/>
        <v>羽曳野警察署</v>
      </c>
    </row>
    <row r="7845" spans="1:18" x14ac:dyDescent="0.45">
      <c r="A7845" s="8" t="str">
        <f>"11558000320"</f>
        <v>11558000320</v>
      </c>
      <c r="B7845" s="8" t="str">
        <f>"白鳥交番"</f>
        <v>白鳥交番</v>
      </c>
      <c r="C7845" s="8" t="str">
        <f t="shared" si="2785"/>
        <v>行政財産</v>
      </c>
      <c r="D7845" s="8" t="str">
        <f t="shared" si="2786"/>
        <v>警察（消防）施設</v>
      </c>
      <c r="E7845" s="8" t="str">
        <f>"大阪府羽曳野市軽里３丁目"</f>
        <v>大阪府羽曳野市軽里３丁目</v>
      </c>
      <c r="F7845" s="8"/>
      <c r="G7845" s="8" t="str">
        <f t="shared" si="2794"/>
        <v>事業用資産</v>
      </c>
      <c r="H7845" s="8" t="str">
        <f t="shared" si="2788"/>
        <v>棚卸以外</v>
      </c>
      <c r="I7845" s="8">
        <v>1</v>
      </c>
      <c r="J7845" s="8" t="str">
        <f>"白鳥交番"</f>
        <v>白鳥交番</v>
      </c>
      <c r="K7845" s="8" t="str">
        <f>"鉄筋コンクリート造"</f>
        <v>鉄筋コンクリート造</v>
      </c>
      <c r="L7845" s="8" t="str">
        <f>"S61.03.31"</f>
        <v>S61.03.31</v>
      </c>
      <c r="M7845" s="8">
        <v>113.58</v>
      </c>
      <c r="N7845" s="8">
        <v>27858547</v>
      </c>
      <c r="O7845" s="8">
        <v>20615364</v>
      </c>
      <c r="P7845" s="8">
        <v>0</v>
      </c>
      <c r="Q7845" s="8" t="str">
        <f t="shared" si="2784"/>
        <v>公安委員会</v>
      </c>
      <c r="R7845" s="8" t="str">
        <f t="shared" si="2793"/>
        <v>羽曳野警察署</v>
      </c>
    </row>
    <row r="7846" spans="1:18" x14ac:dyDescent="0.45">
      <c r="A7846" s="8" t="str">
        <f>"11558000330"</f>
        <v>11558000330</v>
      </c>
      <c r="B7846" s="8" t="str">
        <f>"津堂交番"</f>
        <v>津堂交番</v>
      </c>
      <c r="C7846" s="8" t="str">
        <f t="shared" si="2785"/>
        <v>行政財産</v>
      </c>
      <c r="D7846" s="8" t="str">
        <f t="shared" si="2786"/>
        <v>警察（消防）施設</v>
      </c>
      <c r="E7846" s="8" t="str">
        <f>"大阪府藤井寺市小山６丁目"</f>
        <v>大阪府藤井寺市小山６丁目</v>
      </c>
      <c r="F7846" s="8"/>
      <c r="G7846" s="8" t="str">
        <f t="shared" si="2794"/>
        <v>事業用資産</v>
      </c>
      <c r="H7846" s="8" t="str">
        <f t="shared" si="2788"/>
        <v>棚卸以外</v>
      </c>
      <c r="I7846" s="8">
        <v>1</v>
      </c>
      <c r="J7846" s="8" t="str">
        <f>"津堂交番"</f>
        <v>津堂交番</v>
      </c>
      <c r="K7846" s="8" t="str">
        <f>"鉄筋コンクリート造"</f>
        <v>鉄筋コンクリート造</v>
      </c>
      <c r="L7846" s="8" t="str">
        <f>"H02.03.30"</f>
        <v>H02.03.30</v>
      </c>
      <c r="M7846" s="8">
        <v>53.9</v>
      </c>
      <c r="N7846" s="8">
        <v>16192108</v>
      </c>
      <c r="O7846" s="8">
        <v>10685712</v>
      </c>
      <c r="P7846" s="8">
        <v>0</v>
      </c>
      <c r="Q7846" s="8" t="str">
        <f t="shared" si="2784"/>
        <v>公安委員会</v>
      </c>
      <c r="R7846" s="8" t="str">
        <f t="shared" si="2793"/>
        <v>羽曳野警察署</v>
      </c>
    </row>
    <row r="7847" spans="1:18" x14ac:dyDescent="0.45">
      <c r="A7847" s="8" t="str">
        <f>"11558000330"</f>
        <v>11558000330</v>
      </c>
      <c r="B7847" s="8" t="str">
        <f>"津堂交番"</f>
        <v>津堂交番</v>
      </c>
      <c r="C7847" s="8" t="str">
        <f t="shared" si="2785"/>
        <v>行政財産</v>
      </c>
      <c r="D7847" s="8" t="str">
        <f t="shared" si="2786"/>
        <v>警察（消防）施設</v>
      </c>
      <c r="E7847" s="8" t="str">
        <f>"大阪府藤井寺市小山６丁目"</f>
        <v>大阪府藤井寺市小山６丁目</v>
      </c>
      <c r="F7847" s="8"/>
      <c r="G7847" s="8" t="str">
        <f t="shared" si="2794"/>
        <v>事業用資産</v>
      </c>
      <c r="H7847" s="8" t="str">
        <f t="shared" si="2788"/>
        <v>棚卸以外</v>
      </c>
      <c r="I7847" s="8">
        <v>2</v>
      </c>
      <c r="J7847" s="8" t="str">
        <f>"自転車置場"</f>
        <v>自転車置場</v>
      </c>
      <c r="K7847" s="8" t="str">
        <f>"軽量鉄骨造"</f>
        <v>軽量鉄骨造</v>
      </c>
      <c r="L7847" s="8" t="str">
        <f>"H02.03.30"</f>
        <v>H02.03.30</v>
      </c>
      <c r="M7847" s="8">
        <v>6</v>
      </c>
      <c r="N7847" s="8">
        <v>224000</v>
      </c>
      <c r="O7847" s="8">
        <v>223999</v>
      </c>
      <c r="P7847" s="8">
        <v>0</v>
      </c>
      <c r="Q7847" s="8" t="str">
        <f t="shared" si="2784"/>
        <v>公安委員会</v>
      </c>
      <c r="R7847" s="8" t="str">
        <f t="shared" si="2793"/>
        <v>羽曳野警察署</v>
      </c>
    </row>
    <row r="7848" spans="1:18" x14ac:dyDescent="0.45">
      <c r="A7848" s="8" t="str">
        <f t="shared" ref="A7848:A7853" si="2795">"11559000000"</f>
        <v>11559000000</v>
      </c>
      <c r="B7848" s="8" t="str">
        <f t="shared" ref="B7848:B7853" si="2796">"富田林警察署"</f>
        <v>富田林警察署</v>
      </c>
      <c r="C7848" s="8" t="str">
        <f t="shared" si="2785"/>
        <v>行政財産</v>
      </c>
      <c r="D7848" s="8" t="str">
        <f t="shared" si="2786"/>
        <v>警察（消防）施設</v>
      </c>
      <c r="E7848" s="8" t="str">
        <f t="shared" ref="E7848:E7853" si="2797">"大阪府富田林市常盤町"</f>
        <v>大阪府富田林市常盤町</v>
      </c>
      <c r="F7848" s="8"/>
      <c r="G7848" s="8" t="str">
        <f t="shared" si="2794"/>
        <v>事業用資産</v>
      </c>
      <c r="H7848" s="8" t="str">
        <f t="shared" si="2788"/>
        <v>棚卸以外</v>
      </c>
      <c r="I7848" s="8">
        <v>17</v>
      </c>
      <c r="J7848" s="8" t="str">
        <f>"庁舎"</f>
        <v>庁舎</v>
      </c>
      <c r="K7848" s="8" t="str">
        <f>"鉄筋コンクリート造"</f>
        <v>鉄筋コンクリート造</v>
      </c>
      <c r="L7848" s="8" t="str">
        <f>"S63.12.16"</f>
        <v>S63.12.16</v>
      </c>
      <c r="M7848" s="8">
        <v>3253.63</v>
      </c>
      <c r="N7848" s="8">
        <v>733330625</v>
      </c>
      <c r="O7848" s="8">
        <v>497018072</v>
      </c>
      <c r="P7848" s="8">
        <v>0</v>
      </c>
      <c r="Q7848" s="8" t="str">
        <f t="shared" si="2784"/>
        <v>公安委員会</v>
      </c>
      <c r="R7848" s="8" t="str">
        <f t="shared" ref="R7848:R7871" si="2798">"富田林警察署"</f>
        <v>富田林警察署</v>
      </c>
    </row>
    <row r="7849" spans="1:18" x14ac:dyDescent="0.45">
      <c r="A7849" s="8" t="str">
        <f t="shared" si="2795"/>
        <v>11559000000</v>
      </c>
      <c r="B7849" s="8" t="str">
        <f t="shared" si="2796"/>
        <v>富田林警察署</v>
      </c>
      <c r="C7849" s="8" t="str">
        <f t="shared" si="2785"/>
        <v>行政財産</v>
      </c>
      <c r="D7849" s="8" t="str">
        <f t="shared" si="2786"/>
        <v>警察（消防）施設</v>
      </c>
      <c r="E7849" s="8" t="str">
        <f t="shared" si="2797"/>
        <v>大阪府富田林市常盤町</v>
      </c>
      <c r="F7849" s="8"/>
      <c r="G7849" s="8" t="str">
        <f t="shared" si="2794"/>
        <v>事業用資産</v>
      </c>
      <c r="H7849" s="8" t="str">
        <f t="shared" si="2788"/>
        <v>棚卸以外</v>
      </c>
      <c r="I7849" s="8">
        <v>18</v>
      </c>
      <c r="J7849" s="8" t="str">
        <f>"倉庫"</f>
        <v>倉庫</v>
      </c>
      <c r="K7849" s="8" t="str">
        <f>"鉄骨造"</f>
        <v>鉄骨造</v>
      </c>
      <c r="L7849" s="8" t="str">
        <f>"S63.12.16"</f>
        <v>S63.12.16</v>
      </c>
      <c r="M7849" s="8">
        <v>107.34</v>
      </c>
      <c r="N7849" s="8">
        <v>17347250</v>
      </c>
      <c r="O7849" s="8">
        <v>17100091</v>
      </c>
      <c r="P7849" s="8">
        <v>0</v>
      </c>
      <c r="Q7849" s="8" t="str">
        <f t="shared" si="2784"/>
        <v>公安委員会</v>
      </c>
      <c r="R7849" s="8" t="str">
        <f t="shared" si="2798"/>
        <v>富田林警察署</v>
      </c>
    </row>
    <row r="7850" spans="1:18" x14ac:dyDescent="0.45">
      <c r="A7850" s="8" t="str">
        <f t="shared" si="2795"/>
        <v>11559000000</v>
      </c>
      <c r="B7850" s="8" t="str">
        <f t="shared" si="2796"/>
        <v>富田林警察署</v>
      </c>
      <c r="C7850" s="8" t="str">
        <f t="shared" si="2785"/>
        <v>行政財産</v>
      </c>
      <c r="D7850" s="8" t="str">
        <f t="shared" si="2786"/>
        <v>警察（消防）施設</v>
      </c>
      <c r="E7850" s="8" t="str">
        <f t="shared" si="2797"/>
        <v>大阪府富田林市常盤町</v>
      </c>
      <c r="F7850" s="8"/>
      <c r="G7850" s="8" t="str">
        <f t="shared" si="2794"/>
        <v>事業用資産</v>
      </c>
      <c r="H7850" s="8" t="str">
        <f t="shared" si="2788"/>
        <v>棚卸以外</v>
      </c>
      <c r="I7850" s="8">
        <v>20</v>
      </c>
      <c r="J7850" s="8" t="str">
        <f>"大型車庫"</f>
        <v>大型車庫</v>
      </c>
      <c r="K7850" s="8" t="str">
        <f>"鉄骨造"</f>
        <v>鉄骨造</v>
      </c>
      <c r="L7850" s="8" t="str">
        <f>"H01.03.30"</f>
        <v>H01.03.30</v>
      </c>
      <c r="M7850" s="8">
        <v>80.05</v>
      </c>
      <c r="N7850" s="8">
        <v>10878000</v>
      </c>
      <c r="O7850" s="8">
        <v>10877999</v>
      </c>
      <c r="P7850" s="8">
        <v>0</v>
      </c>
      <c r="Q7850" s="8" t="str">
        <f t="shared" si="2784"/>
        <v>公安委員会</v>
      </c>
      <c r="R7850" s="8" t="str">
        <f t="shared" si="2798"/>
        <v>富田林警察署</v>
      </c>
    </row>
    <row r="7851" spans="1:18" x14ac:dyDescent="0.45">
      <c r="A7851" s="8" t="str">
        <f t="shared" si="2795"/>
        <v>11559000000</v>
      </c>
      <c r="B7851" s="8" t="str">
        <f t="shared" si="2796"/>
        <v>富田林警察署</v>
      </c>
      <c r="C7851" s="8" t="str">
        <f t="shared" si="2785"/>
        <v>行政財産</v>
      </c>
      <c r="D7851" s="8" t="str">
        <f t="shared" si="2786"/>
        <v>警察（消防）施設</v>
      </c>
      <c r="E7851" s="8" t="str">
        <f t="shared" si="2797"/>
        <v>大阪府富田林市常盤町</v>
      </c>
      <c r="F7851" s="8"/>
      <c r="G7851" s="8" t="str">
        <f t="shared" si="2794"/>
        <v>事業用資産</v>
      </c>
      <c r="H7851" s="8" t="str">
        <f t="shared" si="2788"/>
        <v>棚卸以外</v>
      </c>
      <c r="I7851" s="8">
        <v>21</v>
      </c>
      <c r="J7851" s="8" t="str">
        <f>"ガソリンスタンドポンプ室"</f>
        <v>ガソリンスタンドポンプ室</v>
      </c>
      <c r="K7851" s="8" t="str">
        <f>"鉄筋コンクリート造"</f>
        <v>鉄筋コンクリート造</v>
      </c>
      <c r="L7851" s="8" t="str">
        <f>"H01.03.30"</f>
        <v>H01.03.30</v>
      </c>
      <c r="M7851" s="8">
        <v>3.23</v>
      </c>
      <c r="N7851" s="8">
        <v>430000</v>
      </c>
      <c r="O7851" s="8">
        <v>384744</v>
      </c>
      <c r="P7851" s="8">
        <v>0</v>
      </c>
      <c r="Q7851" s="8" t="str">
        <f t="shared" si="2784"/>
        <v>公安委員会</v>
      </c>
      <c r="R7851" s="8" t="str">
        <f t="shared" si="2798"/>
        <v>富田林警察署</v>
      </c>
    </row>
    <row r="7852" spans="1:18" x14ac:dyDescent="0.45">
      <c r="A7852" s="8" t="str">
        <f t="shared" si="2795"/>
        <v>11559000000</v>
      </c>
      <c r="B7852" s="8" t="str">
        <f t="shared" si="2796"/>
        <v>富田林警察署</v>
      </c>
      <c r="C7852" s="8" t="str">
        <f t="shared" si="2785"/>
        <v>行政財産</v>
      </c>
      <c r="D7852" s="8" t="str">
        <f t="shared" si="2786"/>
        <v>警察（消防）施設</v>
      </c>
      <c r="E7852" s="8" t="str">
        <f t="shared" si="2797"/>
        <v>大阪府富田林市常盤町</v>
      </c>
      <c r="F7852" s="8"/>
      <c r="G7852" s="8" t="str">
        <f t="shared" si="2794"/>
        <v>事業用資産</v>
      </c>
      <c r="H7852" s="8" t="str">
        <f t="shared" si="2788"/>
        <v>棚卸以外</v>
      </c>
      <c r="I7852" s="8">
        <v>22</v>
      </c>
      <c r="J7852" s="8" t="str">
        <f>"二輪車置場"</f>
        <v>二輪車置場</v>
      </c>
      <c r="K7852" s="8" t="str">
        <f>"鉄筋コンクリート造"</f>
        <v>鉄筋コンクリート造</v>
      </c>
      <c r="L7852" s="8" t="str">
        <f>"H01.03.30"</f>
        <v>H01.03.30</v>
      </c>
      <c r="M7852" s="8">
        <v>25</v>
      </c>
      <c r="N7852" s="8">
        <v>2983000</v>
      </c>
      <c r="O7852" s="8">
        <v>2669136</v>
      </c>
      <c r="P7852" s="8">
        <v>0</v>
      </c>
      <c r="Q7852" s="8" t="str">
        <f t="shared" si="2784"/>
        <v>公安委員会</v>
      </c>
      <c r="R7852" s="8" t="str">
        <f t="shared" si="2798"/>
        <v>富田林警察署</v>
      </c>
    </row>
    <row r="7853" spans="1:18" x14ac:dyDescent="0.45">
      <c r="A7853" s="8" t="str">
        <f t="shared" si="2795"/>
        <v>11559000000</v>
      </c>
      <c r="B7853" s="8" t="str">
        <f t="shared" si="2796"/>
        <v>富田林警察署</v>
      </c>
      <c r="C7853" s="8" t="str">
        <f t="shared" si="2785"/>
        <v>行政財産</v>
      </c>
      <c r="D7853" s="8" t="str">
        <f t="shared" si="2786"/>
        <v>警察（消防）施設</v>
      </c>
      <c r="E7853" s="8" t="str">
        <f t="shared" si="2797"/>
        <v>大阪府富田林市常盤町</v>
      </c>
      <c r="F7853" s="8"/>
      <c r="G7853" s="8" t="str">
        <f t="shared" si="2794"/>
        <v>事業用資産</v>
      </c>
      <c r="H7853" s="8" t="str">
        <f t="shared" si="2788"/>
        <v>棚卸以外</v>
      </c>
      <c r="I7853" s="8">
        <v>23</v>
      </c>
      <c r="J7853" s="8" t="str">
        <f>"ゴミ置場"</f>
        <v>ゴミ置場</v>
      </c>
      <c r="K7853" s="8" t="str">
        <f>"鉄筋コンクリート造"</f>
        <v>鉄筋コンクリート造</v>
      </c>
      <c r="L7853" s="8" t="str">
        <f>"H01.03.30"</f>
        <v>H01.03.30</v>
      </c>
      <c r="M7853" s="8">
        <v>3.9</v>
      </c>
      <c r="N7853" s="8">
        <v>1039000</v>
      </c>
      <c r="O7853" s="8">
        <v>929832</v>
      </c>
      <c r="P7853" s="8">
        <v>0</v>
      </c>
      <c r="Q7853" s="8" t="str">
        <f t="shared" si="2784"/>
        <v>公安委員会</v>
      </c>
      <c r="R7853" s="8" t="str">
        <f t="shared" si="2798"/>
        <v>富田林警察署</v>
      </c>
    </row>
    <row r="7854" spans="1:18" x14ac:dyDescent="0.45">
      <c r="A7854" s="8" t="str">
        <f>"11559000023"</f>
        <v>11559000023</v>
      </c>
      <c r="B7854" s="8" t="str">
        <f>"東阪駐在所"</f>
        <v>東阪駐在所</v>
      </c>
      <c r="C7854" s="8" t="str">
        <f t="shared" si="2785"/>
        <v>行政財産</v>
      </c>
      <c r="D7854" s="8" t="str">
        <f t="shared" si="2786"/>
        <v>警察（消防）施設</v>
      </c>
      <c r="E7854" s="8" t="str">
        <f>"大阪府南河内郡　千早赤阪村大字東阪"</f>
        <v>大阪府南河内郡　千早赤阪村大字東阪</v>
      </c>
      <c r="F7854" s="8"/>
      <c r="G7854" s="8" t="str">
        <f t="shared" si="2794"/>
        <v>事業用資産</v>
      </c>
      <c r="H7854" s="8" t="str">
        <f t="shared" si="2788"/>
        <v>棚卸以外</v>
      </c>
      <c r="I7854" s="8">
        <v>1</v>
      </c>
      <c r="J7854" s="8" t="str">
        <f>"東阪駐在所"</f>
        <v>東阪駐在所</v>
      </c>
      <c r="K7854" s="8" t="str">
        <f>"鉄骨造"</f>
        <v>鉄骨造</v>
      </c>
      <c r="L7854" s="8" t="str">
        <f>"H20.02.29"</f>
        <v>H20.02.29</v>
      </c>
      <c r="M7854" s="8">
        <v>91.99</v>
      </c>
      <c r="N7854" s="8">
        <v>17639000</v>
      </c>
      <c r="O7854" s="8">
        <v>7001623</v>
      </c>
      <c r="P7854" s="8">
        <v>0</v>
      </c>
      <c r="Q7854" s="8" t="str">
        <f t="shared" si="2784"/>
        <v>公安委員会</v>
      </c>
      <c r="R7854" s="8" t="str">
        <f t="shared" si="2798"/>
        <v>富田林警察署</v>
      </c>
    </row>
    <row r="7855" spans="1:18" x14ac:dyDescent="0.45">
      <c r="A7855" s="8" t="str">
        <f>"11559000180"</f>
        <v>11559000180</v>
      </c>
      <c r="B7855" s="8" t="str">
        <f>"須賀交番"</f>
        <v>須賀交番</v>
      </c>
      <c r="C7855" s="8" t="str">
        <f t="shared" si="2785"/>
        <v>行政財産</v>
      </c>
      <c r="D7855" s="8" t="str">
        <f t="shared" si="2786"/>
        <v>警察（消防）施設</v>
      </c>
      <c r="E7855" s="8" t="str">
        <f>"大阪府富田林市須賀２丁目"</f>
        <v>大阪府富田林市須賀２丁目</v>
      </c>
      <c r="F7855" s="8"/>
      <c r="G7855" s="8" t="str">
        <f t="shared" si="2794"/>
        <v>事業用資産</v>
      </c>
      <c r="H7855" s="8" t="str">
        <f t="shared" si="2788"/>
        <v>棚卸以外</v>
      </c>
      <c r="I7855" s="8">
        <v>2</v>
      </c>
      <c r="J7855" s="8" t="str">
        <f>"須賀交番"</f>
        <v>須賀交番</v>
      </c>
      <c r="K7855" s="8" t="str">
        <f>"鉄筋コンクリート造"</f>
        <v>鉄筋コンクリート造</v>
      </c>
      <c r="L7855" s="8" t="str">
        <f>"S52.03.31"</f>
        <v>S52.03.31</v>
      </c>
      <c r="M7855" s="8">
        <v>54</v>
      </c>
      <c r="N7855" s="8">
        <v>9944000</v>
      </c>
      <c r="O7855" s="8">
        <v>9148848</v>
      </c>
      <c r="P7855" s="8">
        <v>0</v>
      </c>
      <c r="Q7855" s="8" t="str">
        <f t="shared" si="2784"/>
        <v>公安委員会</v>
      </c>
      <c r="R7855" s="8" t="str">
        <f t="shared" si="2798"/>
        <v>富田林警察署</v>
      </c>
    </row>
    <row r="7856" spans="1:18" x14ac:dyDescent="0.45">
      <c r="A7856" s="8" t="str">
        <f>"11559000220"</f>
        <v>11559000220</v>
      </c>
      <c r="B7856" s="8" t="str">
        <f>"喜志交番"</f>
        <v>喜志交番</v>
      </c>
      <c r="C7856" s="8" t="str">
        <f t="shared" si="2785"/>
        <v>行政財産</v>
      </c>
      <c r="D7856" s="8" t="str">
        <f t="shared" si="2786"/>
        <v>警察（消防）施設</v>
      </c>
      <c r="E7856" s="8" t="str">
        <f>"大阪府富田林市喜志町２丁目"</f>
        <v>大阪府富田林市喜志町２丁目</v>
      </c>
      <c r="F7856" s="8"/>
      <c r="G7856" s="8" t="str">
        <f t="shared" si="2794"/>
        <v>事業用資産</v>
      </c>
      <c r="H7856" s="8" t="str">
        <f t="shared" si="2788"/>
        <v>棚卸以外</v>
      </c>
      <c r="I7856" s="8">
        <v>2</v>
      </c>
      <c r="J7856" s="8" t="str">
        <f>"喜志交番"</f>
        <v>喜志交番</v>
      </c>
      <c r="K7856" s="8" t="str">
        <f>"鉄骨造"</f>
        <v>鉄骨造</v>
      </c>
      <c r="L7856" s="8" t="str">
        <f>"H20.02.22"</f>
        <v>H20.02.22</v>
      </c>
      <c r="M7856" s="8">
        <v>54.09</v>
      </c>
      <c r="N7856" s="8">
        <v>13822000</v>
      </c>
      <c r="O7856" s="8">
        <v>5486472</v>
      </c>
      <c r="P7856" s="8">
        <v>0</v>
      </c>
      <c r="Q7856" s="8" t="str">
        <f t="shared" si="2784"/>
        <v>公安委員会</v>
      </c>
      <c r="R7856" s="8" t="str">
        <f t="shared" si="2798"/>
        <v>富田林警察署</v>
      </c>
    </row>
    <row r="7857" spans="1:18" x14ac:dyDescent="0.45">
      <c r="A7857" s="8" t="str">
        <f>"11559000230"</f>
        <v>11559000230</v>
      </c>
      <c r="B7857" s="8" t="str">
        <f>"金剛交番"</f>
        <v>金剛交番</v>
      </c>
      <c r="C7857" s="8" t="str">
        <f t="shared" si="2785"/>
        <v>行政財産</v>
      </c>
      <c r="D7857" s="8" t="str">
        <f t="shared" si="2786"/>
        <v>警察（消防）施設</v>
      </c>
      <c r="E7857" s="8" t="str">
        <f>"大阪府富田林市寺池台１丁目"</f>
        <v>大阪府富田林市寺池台１丁目</v>
      </c>
      <c r="F7857" s="8"/>
      <c r="G7857" s="8" t="str">
        <f t="shared" si="2794"/>
        <v>事業用資産</v>
      </c>
      <c r="H7857" s="8" t="str">
        <f t="shared" si="2788"/>
        <v>棚卸以外</v>
      </c>
      <c r="I7857" s="8">
        <v>1</v>
      </c>
      <c r="J7857" s="8" t="str">
        <f>"金剛交番"</f>
        <v>金剛交番</v>
      </c>
      <c r="K7857" s="8" t="str">
        <f>"鉄筋コンクリート造"</f>
        <v>鉄筋コンクリート造</v>
      </c>
      <c r="L7857" s="8" t="str">
        <f>"S43.12.17"</f>
        <v>S43.12.17</v>
      </c>
      <c r="M7857" s="8">
        <v>50</v>
      </c>
      <c r="N7857" s="8">
        <v>2743399</v>
      </c>
      <c r="O7857" s="8">
        <v>2723960</v>
      </c>
      <c r="P7857" s="8">
        <v>0</v>
      </c>
      <c r="Q7857" s="8" t="str">
        <f t="shared" si="2784"/>
        <v>公安委員会</v>
      </c>
      <c r="R7857" s="8" t="str">
        <f t="shared" si="2798"/>
        <v>富田林警察署</v>
      </c>
    </row>
    <row r="7858" spans="1:18" x14ac:dyDescent="0.45">
      <c r="A7858" s="8" t="str">
        <f>"11559000240"</f>
        <v>11559000240</v>
      </c>
      <c r="B7858" s="8" t="str">
        <f>"太子町交番"</f>
        <v>太子町交番</v>
      </c>
      <c r="C7858" s="8" t="str">
        <f t="shared" si="2785"/>
        <v>行政財産</v>
      </c>
      <c r="D7858" s="8" t="str">
        <f t="shared" si="2786"/>
        <v>警察（消防）施設</v>
      </c>
      <c r="E7858" s="8" t="str">
        <f>"大阪府南河内郡　太子町大字山田"</f>
        <v>大阪府南河内郡　太子町大字山田</v>
      </c>
      <c r="F7858" s="8"/>
      <c r="G7858" s="8" t="str">
        <f t="shared" si="2794"/>
        <v>事業用資産</v>
      </c>
      <c r="H7858" s="8" t="str">
        <f t="shared" si="2788"/>
        <v>棚卸以外</v>
      </c>
      <c r="I7858" s="8">
        <v>2</v>
      </c>
      <c r="J7858" s="8" t="str">
        <f>"太子町交番"</f>
        <v>太子町交番</v>
      </c>
      <c r="K7858" s="8" t="str">
        <f>"鉄骨造"</f>
        <v>鉄骨造</v>
      </c>
      <c r="L7858" s="8" t="str">
        <f>"H13.01.29"</f>
        <v>H13.01.29</v>
      </c>
      <c r="M7858" s="8">
        <v>133.58000000000001</v>
      </c>
      <c r="N7858" s="8">
        <v>35335000</v>
      </c>
      <c r="O7858" s="8">
        <v>20612340</v>
      </c>
      <c r="P7858" s="8">
        <v>0</v>
      </c>
      <c r="Q7858" s="8" t="str">
        <f t="shared" si="2784"/>
        <v>公安委員会</v>
      </c>
      <c r="R7858" s="8" t="str">
        <f t="shared" si="2798"/>
        <v>富田林警察署</v>
      </c>
    </row>
    <row r="7859" spans="1:18" x14ac:dyDescent="0.45">
      <c r="A7859" s="8" t="str">
        <f>"11559000250"</f>
        <v>11559000250</v>
      </c>
      <c r="B7859" s="8" t="str">
        <f>"千早駐在所"</f>
        <v>千早駐在所</v>
      </c>
      <c r="C7859" s="8" t="str">
        <f t="shared" si="2785"/>
        <v>行政財産</v>
      </c>
      <c r="D7859" s="8" t="str">
        <f t="shared" si="2786"/>
        <v>警察（消防）施設</v>
      </c>
      <c r="E7859" s="8" t="str">
        <f>"大阪府南河内郡　千早赤阪村大字千早"</f>
        <v>大阪府南河内郡　千早赤阪村大字千早</v>
      </c>
      <c r="F7859" s="8"/>
      <c r="G7859" s="8" t="str">
        <f t="shared" si="2794"/>
        <v>事業用資産</v>
      </c>
      <c r="H7859" s="8" t="str">
        <f t="shared" si="2788"/>
        <v>棚卸以外</v>
      </c>
      <c r="I7859" s="8">
        <v>51</v>
      </c>
      <c r="J7859" s="8" t="str">
        <f>"千早駐在所"</f>
        <v>千早駐在所</v>
      </c>
      <c r="K7859" s="8" t="str">
        <f>"鉄骨造"</f>
        <v>鉄骨造</v>
      </c>
      <c r="L7859" s="8" t="str">
        <f>"H15.03.28"</f>
        <v>H15.03.28</v>
      </c>
      <c r="M7859" s="8">
        <v>120.39</v>
      </c>
      <c r="N7859" s="8">
        <v>21370626</v>
      </c>
      <c r="O7859" s="8">
        <v>11237568</v>
      </c>
      <c r="P7859" s="8">
        <v>0</v>
      </c>
      <c r="Q7859" s="8" t="str">
        <f t="shared" ref="Q7859:Q7922" si="2799">"公安委員会"</f>
        <v>公安委員会</v>
      </c>
      <c r="R7859" s="8" t="str">
        <f t="shared" si="2798"/>
        <v>富田林警察署</v>
      </c>
    </row>
    <row r="7860" spans="1:18" x14ac:dyDescent="0.45">
      <c r="A7860" s="8" t="str">
        <f>"11559000250"</f>
        <v>11559000250</v>
      </c>
      <c r="B7860" s="8" t="str">
        <f>"千早駐在所"</f>
        <v>千早駐在所</v>
      </c>
      <c r="C7860" s="8" t="str">
        <f t="shared" si="2785"/>
        <v>行政財産</v>
      </c>
      <c r="D7860" s="8" t="str">
        <f t="shared" si="2786"/>
        <v>警察（消防）施設</v>
      </c>
      <c r="E7860" s="8" t="str">
        <f>"大阪府南河内郡　千早赤阪村大字千早"</f>
        <v>大阪府南河内郡　千早赤阪村大字千早</v>
      </c>
      <c r="F7860" s="8"/>
      <c r="G7860" s="8" t="str">
        <f t="shared" si="2794"/>
        <v>事業用資産</v>
      </c>
      <c r="H7860" s="8" t="str">
        <f t="shared" si="2788"/>
        <v>棚卸以外</v>
      </c>
      <c r="I7860" s="8">
        <v>52</v>
      </c>
      <c r="J7860" s="8" t="str">
        <f>"プロパン庫"</f>
        <v>プロパン庫</v>
      </c>
      <c r="K7860" s="8" t="str">
        <f>"コンクリートブロック造"</f>
        <v>コンクリートブロック造</v>
      </c>
      <c r="L7860" s="8" t="str">
        <f>"H15.03.28"</f>
        <v>H15.03.28</v>
      </c>
      <c r="M7860" s="8">
        <v>1.1200000000000001</v>
      </c>
      <c r="N7860" s="8">
        <v>76000</v>
      </c>
      <c r="O7860" s="8">
        <v>44880</v>
      </c>
      <c r="P7860" s="8">
        <v>0</v>
      </c>
      <c r="Q7860" s="8" t="str">
        <f t="shared" si="2799"/>
        <v>公安委員会</v>
      </c>
      <c r="R7860" s="8" t="str">
        <f t="shared" si="2798"/>
        <v>富田林警察署</v>
      </c>
    </row>
    <row r="7861" spans="1:18" x14ac:dyDescent="0.45">
      <c r="A7861" s="8" t="str">
        <f>"11559000260"</f>
        <v>11559000260</v>
      </c>
      <c r="B7861" s="8" t="str">
        <f>"白木交番"</f>
        <v>白木交番</v>
      </c>
      <c r="C7861" s="8" t="str">
        <f t="shared" si="2785"/>
        <v>行政財産</v>
      </c>
      <c r="D7861" s="8" t="str">
        <f t="shared" si="2786"/>
        <v>警察（消防）施設</v>
      </c>
      <c r="E7861" s="8" t="str">
        <f>"大阪府南河内郡　河南町大字白木"</f>
        <v>大阪府南河内郡　河南町大字白木</v>
      </c>
      <c r="F7861" s="8"/>
      <c r="G7861" s="8" t="str">
        <f t="shared" si="2794"/>
        <v>事業用資産</v>
      </c>
      <c r="H7861" s="8" t="str">
        <f t="shared" si="2788"/>
        <v>棚卸以外</v>
      </c>
      <c r="I7861" s="8">
        <v>1</v>
      </c>
      <c r="J7861" s="8" t="str">
        <f>"白木交番"</f>
        <v>白木交番</v>
      </c>
      <c r="K7861" s="8" t="str">
        <f>"コンクリートブロック造"</f>
        <v>コンクリートブロック造</v>
      </c>
      <c r="L7861" s="8" t="str">
        <f>"S45.10.24"</f>
        <v>S45.10.24</v>
      </c>
      <c r="M7861" s="8">
        <v>30.49</v>
      </c>
      <c r="N7861" s="8">
        <v>1950000</v>
      </c>
      <c r="O7861" s="8">
        <v>1949999</v>
      </c>
      <c r="P7861" s="8">
        <v>0</v>
      </c>
      <c r="Q7861" s="8" t="str">
        <f t="shared" si="2799"/>
        <v>公安委員会</v>
      </c>
      <c r="R7861" s="8" t="str">
        <f t="shared" si="2798"/>
        <v>富田林警察署</v>
      </c>
    </row>
    <row r="7862" spans="1:18" x14ac:dyDescent="0.45">
      <c r="A7862" s="8" t="str">
        <f>"11559000290"</f>
        <v>11559000290</v>
      </c>
      <c r="B7862" s="8" t="str">
        <f>"赤阪駐在所"</f>
        <v>赤阪駐在所</v>
      </c>
      <c r="C7862" s="8" t="str">
        <f t="shared" ref="C7862:C7925" si="2800">"行政財産"</f>
        <v>行政財産</v>
      </c>
      <c r="D7862" s="8" t="str">
        <f t="shared" si="2786"/>
        <v>警察（消防）施設</v>
      </c>
      <c r="E7862" s="8" t="str">
        <f>"大阪府南河内郡　千早赤阪村大字水分"</f>
        <v>大阪府南河内郡　千早赤阪村大字水分</v>
      </c>
      <c r="F7862" s="8"/>
      <c r="G7862" s="8" t="str">
        <f t="shared" si="2794"/>
        <v>事業用資産</v>
      </c>
      <c r="H7862" s="8" t="str">
        <f t="shared" si="2788"/>
        <v>棚卸以外</v>
      </c>
      <c r="I7862" s="8">
        <v>2</v>
      </c>
      <c r="J7862" s="8" t="str">
        <f>"赤阪駐在所"</f>
        <v>赤阪駐在所</v>
      </c>
      <c r="K7862" s="8" t="str">
        <f>"鉄骨造"</f>
        <v>鉄骨造</v>
      </c>
      <c r="L7862" s="8" t="str">
        <f>"H17.12.26"</f>
        <v>H17.12.26</v>
      </c>
      <c r="M7862" s="8">
        <v>91.68</v>
      </c>
      <c r="N7862" s="8">
        <v>24159000</v>
      </c>
      <c r="O7862" s="8">
        <v>10967067</v>
      </c>
      <c r="P7862" s="8">
        <v>0</v>
      </c>
      <c r="Q7862" s="8" t="str">
        <f t="shared" si="2799"/>
        <v>公安委員会</v>
      </c>
      <c r="R7862" s="8" t="str">
        <f t="shared" si="2798"/>
        <v>富田林警察署</v>
      </c>
    </row>
    <row r="7863" spans="1:18" x14ac:dyDescent="0.45">
      <c r="A7863" s="8" t="str">
        <f>"11559000300"</f>
        <v>11559000300</v>
      </c>
      <c r="B7863" s="8" t="str">
        <f>"東条駐在所"</f>
        <v>東条駐在所</v>
      </c>
      <c r="C7863" s="8" t="str">
        <f t="shared" si="2800"/>
        <v>行政財産</v>
      </c>
      <c r="D7863" s="8" t="str">
        <f t="shared" si="2786"/>
        <v>警察（消防）施設</v>
      </c>
      <c r="E7863" s="8" t="str">
        <f>"大阪府富田林市大字佐備"</f>
        <v>大阪府富田林市大字佐備</v>
      </c>
      <c r="F7863" s="8"/>
      <c r="G7863" s="8" t="str">
        <f t="shared" si="2794"/>
        <v>事業用資産</v>
      </c>
      <c r="H7863" s="8" t="str">
        <f t="shared" si="2788"/>
        <v>棚卸以外</v>
      </c>
      <c r="I7863" s="8">
        <v>2</v>
      </c>
      <c r="J7863" s="8" t="str">
        <f>"東条駐在所"</f>
        <v>東条駐在所</v>
      </c>
      <c r="K7863" s="8" t="str">
        <f>"鉄骨造"</f>
        <v>鉄骨造</v>
      </c>
      <c r="L7863" s="8" t="str">
        <f>"H22.03.29"</f>
        <v>H22.03.29</v>
      </c>
      <c r="M7863" s="8">
        <v>92.52</v>
      </c>
      <c r="N7863" s="8">
        <v>21163000</v>
      </c>
      <c r="O7863" s="8">
        <v>7240116</v>
      </c>
      <c r="P7863" s="8">
        <v>0</v>
      </c>
      <c r="Q7863" s="8" t="str">
        <f t="shared" si="2799"/>
        <v>公安委員会</v>
      </c>
      <c r="R7863" s="8" t="str">
        <f t="shared" si="2798"/>
        <v>富田林警察署</v>
      </c>
    </row>
    <row r="7864" spans="1:18" x14ac:dyDescent="0.45">
      <c r="A7864" s="8" t="str">
        <f>"11559000310"</f>
        <v>11559000310</v>
      </c>
      <c r="B7864" s="8" t="str">
        <f>"石川交番"</f>
        <v>石川交番</v>
      </c>
      <c r="C7864" s="8" t="str">
        <f t="shared" si="2800"/>
        <v>行政財産</v>
      </c>
      <c r="D7864" s="8" t="str">
        <f t="shared" si="2786"/>
        <v>警察（消防）施設</v>
      </c>
      <c r="E7864" s="8" t="str">
        <f>"大阪府南河内郡　河南町大字一須賀"</f>
        <v>大阪府南河内郡　河南町大字一須賀</v>
      </c>
      <c r="F7864" s="8"/>
      <c r="G7864" s="8" t="str">
        <f t="shared" si="2794"/>
        <v>事業用資産</v>
      </c>
      <c r="H7864" s="8" t="str">
        <f t="shared" si="2788"/>
        <v>棚卸以外</v>
      </c>
      <c r="I7864" s="8">
        <v>1</v>
      </c>
      <c r="J7864" s="8" t="str">
        <f>"石川交番"</f>
        <v>石川交番</v>
      </c>
      <c r="K7864" s="8" t="str">
        <f>"鉄筋コンクリート造"</f>
        <v>鉄筋コンクリート造</v>
      </c>
      <c r="L7864" s="8" t="str">
        <f>"S48.02.02"</f>
        <v>S48.02.02</v>
      </c>
      <c r="M7864" s="8">
        <v>49.77</v>
      </c>
      <c r="N7864" s="8">
        <v>4113230</v>
      </c>
      <c r="O7864" s="8">
        <v>4113229</v>
      </c>
      <c r="P7864" s="8">
        <v>0</v>
      </c>
      <c r="Q7864" s="8" t="str">
        <f t="shared" si="2799"/>
        <v>公安委員会</v>
      </c>
      <c r="R7864" s="8" t="str">
        <f t="shared" si="2798"/>
        <v>富田林警察署</v>
      </c>
    </row>
    <row r="7865" spans="1:18" x14ac:dyDescent="0.45">
      <c r="A7865" s="8" t="str">
        <f>"11559000330"</f>
        <v>11559000330</v>
      </c>
      <c r="B7865" s="8" t="str">
        <f>"本町交番"</f>
        <v>本町交番</v>
      </c>
      <c r="C7865" s="8" t="str">
        <f t="shared" si="2800"/>
        <v>行政財産</v>
      </c>
      <c r="D7865" s="8" t="str">
        <f t="shared" si="2786"/>
        <v>警察（消防）施設</v>
      </c>
      <c r="E7865" s="8" t="str">
        <f>"大阪府富田林市本町"</f>
        <v>大阪府富田林市本町</v>
      </c>
      <c r="F7865" s="8"/>
      <c r="G7865" s="8" t="str">
        <f t="shared" si="2794"/>
        <v>事業用資産</v>
      </c>
      <c r="H7865" s="8" t="str">
        <f t="shared" si="2788"/>
        <v>棚卸以外</v>
      </c>
      <c r="I7865" s="8">
        <v>2</v>
      </c>
      <c r="J7865" s="8" t="str">
        <f>"本町交番"</f>
        <v>本町交番</v>
      </c>
      <c r="K7865" s="8" t="str">
        <f>"軽量鉄骨造"</f>
        <v>軽量鉄骨造</v>
      </c>
      <c r="L7865" s="8" t="str">
        <f>"H28.01.06"</f>
        <v>H28.01.06</v>
      </c>
      <c r="M7865" s="8">
        <v>95.67</v>
      </c>
      <c r="N7865" s="8">
        <v>27170548</v>
      </c>
      <c r="O7865" s="8">
        <v>7790750</v>
      </c>
      <c r="P7865" s="8">
        <v>0</v>
      </c>
      <c r="Q7865" s="8" t="str">
        <f t="shared" si="2799"/>
        <v>公安委員会</v>
      </c>
      <c r="R7865" s="8" t="str">
        <f t="shared" si="2798"/>
        <v>富田林警察署</v>
      </c>
    </row>
    <row r="7866" spans="1:18" x14ac:dyDescent="0.45">
      <c r="A7866" s="8" t="str">
        <f>"11559000340"</f>
        <v>11559000340</v>
      </c>
      <c r="B7866" s="8" t="str">
        <f>"彼方交番"</f>
        <v>彼方交番</v>
      </c>
      <c r="C7866" s="8" t="str">
        <f t="shared" si="2800"/>
        <v>行政財産</v>
      </c>
      <c r="D7866" s="8" t="str">
        <f t="shared" si="2786"/>
        <v>警察（消防）施設</v>
      </c>
      <c r="E7866" s="8" t="str">
        <f>"大阪府富田林市大字彼方"</f>
        <v>大阪府富田林市大字彼方</v>
      </c>
      <c r="F7866" s="8"/>
      <c r="G7866" s="8" t="str">
        <f t="shared" si="2794"/>
        <v>事業用資産</v>
      </c>
      <c r="H7866" s="8" t="str">
        <f t="shared" si="2788"/>
        <v>棚卸以外</v>
      </c>
      <c r="I7866" s="8">
        <v>1</v>
      </c>
      <c r="J7866" s="8" t="str">
        <f>"彼方交番"</f>
        <v>彼方交番</v>
      </c>
      <c r="K7866" s="8" t="str">
        <f>"鉄筋コンクリート造"</f>
        <v>鉄筋コンクリート造</v>
      </c>
      <c r="L7866" s="8" t="str">
        <f>"S62.10.20"</f>
        <v>S62.10.20</v>
      </c>
      <c r="M7866" s="8">
        <v>54</v>
      </c>
      <c r="N7866" s="8">
        <v>16217971</v>
      </c>
      <c r="O7866" s="8">
        <v>11445636</v>
      </c>
      <c r="P7866" s="8">
        <v>0</v>
      </c>
      <c r="Q7866" s="8" t="str">
        <f t="shared" si="2799"/>
        <v>公安委員会</v>
      </c>
      <c r="R7866" s="8" t="str">
        <f t="shared" si="2798"/>
        <v>富田林警察署</v>
      </c>
    </row>
    <row r="7867" spans="1:18" x14ac:dyDescent="0.45">
      <c r="A7867" s="8" t="str">
        <f>"11559000340"</f>
        <v>11559000340</v>
      </c>
      <c r="B7867" s="8" t="str">
        <f>"彼方交番"</f>
        <v>彼方交番</v>
      </c>
      <c r="C7867" s="8" t="str">
        <f t="shared" si="2800"/>
        <v>行政財産</v>
      </c>
      <c r="D7867" s="8" t="str">
        <f t="shared" si="2786"/>
        <v>警察（消防）施設</v>
      </c>
      <c r="E7867" s="8" t="str">
        <f>"大阪府富田林市大字彼方"</f>
        <v>大阪府富田林市大字彼方</v>
      </c>
      <c r="F7867" s="8"/>
      <c r="G7867" s="8" t="str">
        <f t="shared" si="2794"/>
        <v>事業用資産</v>
      </c>
      <c r="H7867" s="8" t="str">
        <f t="shared" si="2788"/>
        <v>棚卸以外</v>
      </c>
      <c r="I7867" s="8">
        <v>2</v>
      </c>
      <c r="J7867" s="8" t="str">
        <f>"自転車置場"</f>
        <v>自転車置場</v>
      </c>
      <c r="K7867" s="8" t="str">
        <f>"鉄骨造"</f>
        <v>鉄骨造</v>
      </c>
      <c r="L7867" s="8" t="str">
        <f>"S62.10.20"</f>
        <v>S62.10.20</v>
      </c>
      <c r="M7867" s="8">
        <v>3.46</v>
      </c>
      <c r="N7867" s="8">
        <v>289000</v>
      </c>
      <c r="O7867" s="8">
        <v>288999</v>
      </c>
      <c r="P7867" s="8">
        <v>0</v>
      </c>
      <c r="Q7867" s="8" t="str">
        <f t="shared" si="2799"/>
        <v>公安委員会</v>
      </c>
      <c r="R7867" s="8" t="str">
        <f t="shared" si="2798"/>
        <v>富田林警察署</v>
      </c>
    </row>
    <row r="7868" spans="1:18" x14ac:dyDescent="0.45">
      <c r="A7868" s="8" t="str">
        <f>"11559000340"</f>
        <v>11559000340</v>
      </c>
      <c r="B7868" s="8" t="str">
        <f>"彼方交番"</f>
        <v>彼方交番</v>
      </c>
      <c r="C7868" s="8" t="str">
        <f t="shared" si="2800"/>
        <v>行政財産</v>
      </c>
      <c r="D7868" s="8" t="str">
        <f t="shared" ref="D7868:D7931" si="2801">"警察（消防）施設"</f>
        <v>警察（消防）施設</v>
      </c>
      <c r="E7868" s="8" t="str">
        <f>"大阪府富田林市大字彼方"</f>
        <v>大阪府富田林市大字彼方</v>
      </c>
      <c r="F7868" s="8"/>
      <c r="G7868" s="8" t="str">
        <f t="shared" si="2794"/>
        <v>事業用資産</v>
      </c>
      <c r="H7868" s="8" t="str">
        <f t="shared" si="2788"/>
        <v>棚卸以外</v>
      </c>
      <c r="I7868" s="8">
        <v>3</v>
      </c>
      <c r="J7868" s="8" t="str">
        <f>"プロパン置場"</f>
        <v>プロパン置場</v>
      </c>
      <c r="K7868" s="8" t="str">
        <f>"コンクリートブロック造"</f>
        <v>コンクリートブロック造</v>
      </c>
      <c r="L7868" s="8" t="str">
        <f>"S62.10.20"</f>
        <v>S62.10.20</v>
      </c>
      <c r="M7868" s="8">
        <v>0.83</v>
      </c>
      <c r="N7868" s="8">
        <v>122000</v>
      </c>
      <c r="O7868" s="8">
        <v>121999</v>
      </c>
      <c r="P7868" s="8">
        <v>0</v>
      </c>
      <c r="Q7868" s="8" t="str">
        <f t="shared" si="2799"/>
        <v>公安委員会</v>
      </c>
      <c r="R7868" s="8" t="str">
        <f t="shared" si="2798"/>
        <v>富田林警察署</v>
      </c>
    </row>
    <row r="7869" spans="1:18" x14ac:dyDescent="0.45">
      <c r="A7869" s="8" t="str">
        <f>"11559000350"</f>
        <v>11559000350</v>
      </c>
      <c r="B7869" s="8" t="str">
        <f>"小金台交番"</f>
        <v>小金台交番</v>
      </c>
      <c r="C7869" s="8" t="str">
        <f t="shared" si="2800"/>
        <v>行政財産</v>
      </c>
      <c r="D7869" s="8" t="str">
        <f t="shared" si="2801"/>
        <v>警察（消防）施設</v>
      </c>
      <c r="E7869" s="8" t="str">
        <f>"大阪府富田林市小金台３丁目"</f>
        <v>大阪府富田林市小金台３丁目</v>
      </c>
      <c r="F7869" s="8"/>
      <c r="G7869" s="8" t="str">
        <f t="shared" si="2794"/>
        <v>事業用資産</v>
      </c>
      <c r="H7869" s="8" t="str">
        <f t="shared" si="2788"/>
        <v>棚卸以外</v>
      </c>
      <c r="I7869" s="8">
        <v>1</v>
      </c>
      <c r="J7869" s="8" t="str">
        <f>"小金台交番"</f>
        <v>小金台交番</v>
      </c>
      <c r="K7869" s="8" t="str">
        <f>"鉄筋コンクリート造"</f>
        <v>鉄筋コンクリート造</v>
      </c>
      <c r="L7869" s="8" t="str">
        <f>"H01.03.29"</f>
        <v>H01.03.29</v>
      </c>
      <c r="M7869" s="8">
        <v>62.96</v>
      </c>
      <c r="N7869" s="8">
        <v>20756000</v>
      </c>
      <c r="O7869" s="8">
        <v>14114352</v>
      </c>
      <c r="P7869" s="8">
        <v>0</v>
      </c>
      <c r="Q7869" s="8" t="str">
        <f t="shared" si="2799"/>
        <v>公安委員会</v>
      </c>
      <c r="R7869" s="8" t="str">
        <f t="shared" si="2798"/>
        <v>富田林警察署</v>
      </c>
    </row>
    <row r="7870" spans="1:18" x14ac:dyDescent="0.45">
      <c r="A7870" s="8" t="str">
        <f>"11559000360"</f>
        <v>11559000360</v>
      </c>
      <c r="B7870" s="8" t="str">
        <f>"新堂交番"</f>
        <v>新堂交番</v>
      </c>
      <c r="C7870" s="8" t="str">
        <f t="shared" si="2800"/>
        <v>行政財産</v>
      </c>
      <c r="D7870" s="8" t="str">
        <f t="shared" si="2801"/>
        <v>警察（消防）施設</v>
      </c>
      <c r="E7870" s="8" t="str">
        <f>"大阪府富田林市中野町東１丁目"</f>
        <v>大阪府富田林市中野町東１丁目</v>
      </c>
      <c r="F7870" s="8"/>
      <c r="G7870" s="8" t="str">
        <f t="shared" si="2794"/>
        <v>事業用資産</v>
      </c>
      <c r="H7870" s="8" t="str">
        <f t="shared" si="2788"/>
        <v>棚卸以外</v>
      </c>
      <c r="I7870" s="8">
        <v>1</v>
      </c>
      <c r="J7870" s="8" t="str">
        <f>"新堂交番"</f>
        <v>新堂交番</v>
      </c>
      <c r="K7870" s="8" t="str">
        <f>"鉄筋コンクリート造"</f>
        <v>鉄筋コンクリート造</v>
      </c>
      <c r="L7870" s="8" t="str">
        <f>"H04.08.21"</f>
        <v>H04.08.21</v>
      </c>
      <c r="M7870" s="8">
        <v>56.94</v>
      </c>
      <c r="N7870" s="8">
        <v>19292000</v>
      </c>
      <c r="O7870" s="8">
        <v>11800518</v>
      </c>
      <c r="P7870" s="8">
        <v>0</v>
      </c>
      <c r="Q7870" s="8" t="str">
        <f t="shared" si="2799"/>
        <v>公安委員会</v>
      </c>
      <c r="R7870" s="8" t="str">
        <f t="shared" si="2798"/>
        <v>富田林警察署</v>
      </c>
    </row>
    <row r="7871" spans="1:18" x14ac:dyDescent="0.45">
      <c r="A7871" s="8" t="str">
        <f>"11559000370"</f>
        <v>11559000370</v>
      </c>
      <c r="B7871" s="8" t="str">
        <f>"板持交番"</f>
        <v>板持交番</v>
      </c>
      <c r="C7871" s="8" t="str">
        <f t="shared" si="2800"/>
        <v>行政財産</v>
      </c>
      <c r="D7871" s="8" t="str">
        <f t="shared" si="2801"/>
        <v>警察（消防）施設</v>
      </c>
      <c r="E7871" s="8" t="str">
        <f>"大阪府富田林市西板持町８丁目"</f>
        <v>大阪府富田林市西板持町８丁目</v>
      </c>
      <c r="F7871" s="8"/>
      <c r="G7871" s="8" t="str">
        <f t="shared" si="2794"/>
        <v>事業用資産</v>
      </c>
      <c r="H7871" s="8" t="str">
        <f t="shared" si="2788"/>
        <v>棚卸以外</v>
      </c>
      <c r="I7871" s="8">
        <v>1</v>
      </c>
      <c r="J7871" s="8" t="str">
        <f>"板持交番"</f>
        <v>板持交番</v>
      </c>
      <c r="K7871" s="8" t="str">
        <f>"鉄骨造"</f>
        <v>鉄骨造</v>
      </c>
      <c r="L7871" s="8" t="str">
        <f>"H11.01.20"</f>
        <v>H11.01.20</v>
      </c>
      <c r="M7871" s="8">
        <v>53.55</v>
      </c>
      <c r="N7871" s="8">
        <v>15909000</v>
      </c>
      <c r="O7871" s="8">
        <v>10117810</v>
      </c>
      <c r="P7871" s="8">
        <v>0</v>
      </c>
      <c r="Q7871" s="8" t="str">
        <f t="shared" si="2799"/>
        <v>公安委員会</v>
      </c>
      <c r="R7871" s="8" t="str">
        <f t="shared" si="2798"/>
        <v>富田林警察署</v>
      </c>
    </row>
    <row r="7872" spans="1:18" x14ac:dyDescent="0.45">
      <c r="A7872" s="8" t="str">
        <f t="shared" ref="A7872:A7878" si="2802">"11560000000"</f>
        <v>11560000000</v>
      </c>
      <c r="B7872" s="8" t="str">
        <f t="shared" ref="B7872:B7878" si="2803">"枚岡警察署"</f>
        <v>枚岡警察署</v>
      </c>
      <c r="C7872" s="8" t="str">
        <f t="shared" si="2800"/>
        <v>行政財産</v>
      </c>
      <c r="D7872" s="8" t="str">
        <f t="shared" si="2801"/>
        <v>警察（消防）施設</v>
      </c>
      <c r="E7872" s="8" t="str">
        <f t="shared" ref="E7872:E7878" si="2804">"大阪府東大阪市桜町"</f>
        <v>大阪府東大阪市桜町</v>
      </c>
      <c r="F7872" s="8"/>
      <c r="G7872" s="8" t="str">
        <f t="shared" si="2794"/>
        <v>事業用資産</v>
      </c>
      <c r="H7872" s="8" t="str">
        <f t="shared" si="2788"/>
        <v>棚卸以外</v>
      </c>
      <c r="I7872" s="8">
        <v>17</v>
      </c>
      <c r="J7872" s="8" t="str">
        <f>"署長公舎"</f>
        <v>署長公舎</v>
      </c>
      <c r="K7872" s="8" t="str">
        <f>"鉄筋コンクリート造"</f>
        <v>鉄筋コンクリート造</v>
      </c>
      <c r="L7872" s="8" t="str">
        <f t="shared" ref="L7872:L7878" si="2805">"S62.11.21"</f>
        <v>S62.11.21</v>
      </c>
      <c r="M7872" s="8">
        <v>84.78</v>
      </c>
      <c r="N7872" s="8">
        <v>21599000</v>
      </c>
      <c r="O7872" s="8">
        <v>16237928</v>
      </c>
      <c r="P7872" s="8">
        <v>0</v>
      </c>
      <c r="Q7872" s="8" t="str">
        <f t="shared" si="2799"/>
        <v>公安委員会</v>
      </c>
      <c r="R7872" s="8" t="str">
        <f t="shared" ref="R7872:R7887" si="2806">"枚岡警察署"</f>
        <v>枚岡警察署</v>
      </c>
    </row>
    <row r="7873" spans="1:18" x14ac:dyDescent="0.45">
      <c r="A7873" s="8" t="str">
        <f t="shared" si="2802"/>
        <v>11560000000</v>
      </c>
      <c r="B7873" s="8" t="str">
        <f t="shared" si="2803"/>
        <v>枚岡警察署</v>
      </c>
      <c r="C7873" s="8" t="str">
        <f t="shared" si="2800"/>
        <v>行政財産</v>
      </c>
      <c r="D7873" s="8" t="str">
        <f t="shared" si="2801"/>
        <v>警察（消防）施設</v>
      </c>
      <c r="E7873" s="8" t="str">
        <f t="shared" si="2804"/>
        <v>大阪府東大阪市桜町</v>
      </c>
      <c r="F7873" s="8"/>
      <c r="G7873" s="8" t="str">
        <f t="shared" si="2794"/>
        <v>事業用資産</v>
      </c>
      <c r="H7873" s="8" t="str">
        <f t="shared" si="2788"/>
        <v>棚卸以外</v>
      </c>
      <c r="I7873" s="8">
        <v>18</v>
      </c>
      <c r="J7873" s="8" t="str">
        <f>"大型車庫"</f>
        <v>大型車庫</v>
      </c>
      <c r="K7873" s="8" t="str">
        <f>"鉄骨造"</f>
        <v>鉄骨造</v>
      </c>
      <c r="L7873" s="8" t="str">
        <f t="shared" si="2805"/>
        <v>S62.11.21</v>
      </c>
      <c r="M7873" s="8">
        <v>208.92</v>
      </c>
      <c r="N7873" s="8">
        <v>22986135</v>
      </c>
      <c r="O7873" s="8">
        <v>22820021</v>
      </c>
      <c r="P7873" s="8">
        <v>0</v>
      </c>
      <c r="Q7873" s="8" t="str">
        <f t="shared" si="2799"/>
        <v>公安委員会</v>
      </c>
      <c r="R7873" s="8" t="str">
        <f t="shared" si="2806"/>
        <v>枚岡警察署</v>
      </c>
    </row>
    <row r="7874" spans="1:18" x14ac:dyDescent="0.45">
      <c r="A7874" s="8" t="str">
        <f t="shared" si="2802"/>
        <v>11560000000</v>
      </c>
      <c r="B7874" s="8" t="str">
        <f t="shared" si="2803"/>
        <v>枚岡警察署</v>
      </c>
      <c r="C7874" s="8" t="str">
        <f t="shared" si="2800"/>
        <v>行政財産</v>
      </c>
      <c r="D7874" s="8" t="str">
        <f t="shared" si="2801"/>
        <v>警察（消防）施設</v>
      </c>
      <c r="E7874" s="8" t="str">
        <f t="shared" si="2804"/>
        <v>大阪府東大阪市桜町</v>
      </c>
      <c r="F7874" s="8"/>
      <c r="G7874" s="8" t="str">
        <f t="shared" si="2794"/>
        <v>事業用資産</v>
      </c>
      <c r="H7874" s="8" t="str">
        <f t="shared" si="2788"/>
        <v>棚卸以外</v>
      </c>
      <c r="I7874" s="8">
        <v>19</v>
      </c>
      <c r="J7874" s="8" t="str">
        <f>"車庫（１）"</f>
        <v>車庫（１）</v>
      </c>
      <c r="K7874" s="8" t="str">
        <f>"鉄骨造"</f>
        <v>鉄骨造</v>
      </c>
      <c r="L7874" s="8" t="str">
        <f t="shared" si="2805"/>
        <v>S62.11.21</v>
      </c>
      <c r="M7874" s="8">
        <v>121.9</v>
      </c>
      <c r="N7874" s="8">
        <v>11160804</v>
      </c>
      <c r="O7874" s="8">
        <v>11117186</v>
      </c>
      <c r="P7874" s="8">
        <v>0</v>
      </c>
      <c r="Q7874" s="8" t="str">
        <f t="shared" si="2799"/>
        <v>公安委員会</v>
      </c>
      <c r="R7874" s="8" t="str">
        <f t="shared" si="2806"/>
        <v>枚岡警察署</v>
      </c>
    </row>
    <row r="7875" spans="1:18" x14ac:dyDescent="0.45">
      <c r="A7875" s="8" t="str">
        <f t="shared" si="2802"/>
        <v>11560000000</v>
      </c>
      <c r="B7875" s="8" t="str">
        <f t="shared" si="2803"/>
        <v>枚岡警察署</v>
      </c>
      <c r="C7875" s="8" t="str">
        <f t="shared" si="2800"/>
        <v>行政財産</v>
      </c>
      <c r="D7875" s="8" t="str">
        <f t="shared" si="2801"/>
        <v>警察（消防）施設</v>
      </c>
      <c r="E7875" s="8" t="str">
        <f t="shared" si="2804"/>
        <v>大阪府東大阪市桜町</v>
      </c>
      <c r="F7875" s="8"/>
      <c r="G7875" s="8" t="str">
        <f t="shared" si="2794"/>
        <v>事業用資産</v>
      </c>
      <c r="H7875" s="8" t="str">
        <f t="shared" si="2788"/>
        <v>棚卸以外</v>
      </c>
      <c r="I7875" s="8">
        <v>20</v>
      </c>
      <c r="J7875" s="8" t="str">
        <f>"車庫（２）"</f>
        <v>車庫（２）</v>
      </c>
      <c r="K7875" s="8" t="str">
        <f>"鉄骨造"</f>
        <v>鉄骨造</v>
      </c>
      <c r="L7875" s="8" t="str">
        <f t="shared" si="2805"/>
        <v>S62.11.21</v>
      </c>
      <c r="M7875" s="8">
        <v>41.87</v>
      </c>
      <c r="N7875" s="8">
        <v>8579700</v>
      </c>
      <c r="O7875" s="8">
        <v>8579699</v>
      </c>
      <c r="P7875" s="8">
        <v>0</v>
      </c>
      <c r="Q7875" s="8" t="str">
        <f t="shared" si="2799"/>
        <v>公安委員会</v>
      </c>
      <c r="R7875" s="8" t="str">
        <f t="shared" si="2806"/>
        <v>枚岡警察署</v>
      </c>
    </row>
    <row r="7876" spans="1:18" x14ac:dyDescent="0.45">
      <c r="A7876" s="8" t="str">
        <f t="shared" si="2802"/>
        <v>11560000000</v>
      </c>
      <c r="B7876" s="8" t="str">
        <f t="shared" si="2803"/>
        <v>枚岡警察署</v>
      </c>
      <c r="C7876" s="8" t="str">
        <f t="shared" si="2800"/>
        <v>行政財産</v>
      </c>
      <c r="D7876" s="8" t="str">
        <f t="shared" si="2801"/>
        <v>警察（消防）施設</v>
      </c>
      <c r="E7876" s="8" t="str">
        <f t="shared" si="2804"/>
        <v>大阪府東大阪市桜町</v>
      </c>
      <c r="F7876" s="8"/>
      <c r="G7876" s="8" t="str">
        <f t="shared" si="2794"/>
        <v>事業用資産</v>
      </c>
      <c r="H7876" s="8" t="str">
        <f t="shared" ref="H7876:H7939" si="2807">"棚卸以外"</f>
        <v>棚卸以外</v>
      </c>
      <c r="I7876" s="8">
        <v>21</v>
      </c>
      <c r="J7876" s="8" t="str">
        <f>"ゴミ集積場"</f>
        <v>ゴミ集積場</v>
      </c>
      <c r="K7876" s="8" t="str">
        <f>"鉄筋コンクリート造"</f>
        <v>鉄筋コンクリート造</v>
      </c>
      <c r="L7876" s="8" t="str">
        <f t="shared" si="2805"/>
        <v>S62.11.21</v>
      </c>
      <c r="M7876" s="8">
        <v>5.4</v>
      </c>
      <c r="N7876" s="8">
        <v>651000</v>
      </c>
      <c r="O7876" s="8">
        <v>605472</v>
      </c>
      <c r="P7876" s="8">
        <v>0</v>
      </c>
      <c r="Q7876" s="8" t="str">
        <f t="shared" si="2799"/>
        <v>公安委員会</v>
      </c>
      <c r="R7876" s="8" t="str">
        <f t="shared" si="2806"/>
        <v>枚岡警察署</v>
      </c>
    </row>
    <row r="7877" spans="1:18" x14ac:dyDescent="0.45">
      <c r="A7877" s="8" t="str">
        <f t="shared" si="2802"/>
        <v>11560000000</v>
      </c>
      <c r="B7877" s="8" t="str">
        <f t="shared" si="2803"/>
        <v>枚岡警察署</v>
      </c>
      <c r="C7877" s="8" t="str">
        <f t="shared" si="2800"/>
        <v>行政財産</v>
      </c>
      <c r="D7877" s="8" t="str">
        <f t="shared" si="2801"/>
        <v>警察（消防）施設</v>
      </c>
      <c r="E7877" s="8" t="str">
        <f t="shared" si="2804"/>
        <v>大阪府東大阪市桜町</v>
      </c>
      <c r="F7877" s="8"/>
      <c r="G7877" s="8" t="str">
        <f t="shared" si="2794"/>
        <v>事業用資産</v>
      </c>
      <c r="H7877" s="8" t="str">
        <f t="shared" si="2807"/>
        <v>棚卸以外</v>
      </c>
      <c r="I7877" s="8">
        <v>22</v>
      </c>
      <c r="J7877" s="8" t="str">
        <f>"ガソリンスタンドポンプ室"</f>
        <v>ガソリンスタンドポンプ室</v>
      </c>
      <c r="K7877" s="8" t="str">
        <f>"鉄筋コンクリート造"</f>
        <v>鉄筋コンクリート造</v>
      </c>
      <c r="L7877" s="8" t="str">
        <f t="shared" si="2805"/>
        <v>S62.11.21</v>
      </c>
      <c r="M7877" s="8">
        <v>3.23</v>
      </c>
      <c r="N7877" s="8">
        <v>467000</v>
      </c>
      <c r="O7877" s="8">
        <v>434600</v>
      </c>
      <c r="P7877" s="8">
        <v>0</v>
      </c>
      <c r="Q7877" s="8" t="str">
        <f t="shared" si="2799"/>
        <v>公安委員会</v>
      </c>
      <c r="R7877" s="8" t="str">
        <f t="shared" si="2806"/>
        <v>枚岡警察署</v>
      </c>
    </row>
    <row r="7878" spans="1:18" x14ac:dyDescent="0.45">
      <c r="A7878" s="8" t="str">
        <f t="shared" si="2802"/>
        <v>11560000000</v>
      </c>
      <c r="B7878" s="8" t="str">
        <f t="shared" si="2803"/>
        <v>枚岡警察署</v>
      </c>
      <c r="C7878" s="8" t="str">
        <f t="shared" si="2800"/>
        <v>行政財産</v>
      </c>
      <c r="D7878" s="8" t="str">
        <f t="shared" si="2801"/>
        <v>警察（消防）施設</v>
      </c>
      <c r="E7878" s="8" t="str">
        <f t="shared" si="2804"/>
        <v>大阪府東大阪市桜町</v>
      </c>
      <c r="F7878" s="8"/>
      <c r="G7878" s="8" t="str">
        <f t="shared" si="2794"/>
        <v>事業用資産</v>
      </c>
      <c r="H7878" s="8" t="str">
        <f t="shared" si="2807"/>
        <v>棚卸以外</v>
      </c>
      <c r="I7878" s="8">
        <v>24</v>
      </c>
      <c r="J7878" s="8" t="str">
        <f>"庁舎"</f>
        <v>庁舎</v>
      </c>
      <c r="K7878" s="8" t="str">
        <f>"鉄筋コンクリート造"</f>
        <v>鉄筋コンクリート造</v>
      </c>
      <c r="L7878" s="8" t="str">
        <f t="shared" si="2805"/>
        <v>S62.11.21</v>
      </c>
      <c r="M7878" s="8">
        <v>2794.75</v>
      </c>
      <c r="N7878" s="8">
        <v>716782635</v>
      </c>
      <c r="O7878" s="8">
        <v>494104710</v>
      </c>
      <c r="P7878" s="8">
        <v>0</v>
      </c>
      <c r="Q7878" s="8" t="str">
        <f t="shared" si="2799"/>
        <v>公安委員会</v>
      </c>
      <c r="R7878" s="8" t="str">
        <f t="shared" si="2806"/>
        <v>枚岡警察署</v>
      </c>
    </row>
    <row r="7879" spans="1:18" x14ac:dyDescent="0.45">
      <c r="A7879" s="8" t="str">
        <f>"11560000100"</f>
        <v>11560000100</v>
      </c>
      <c r="B7879" s="8" t="str">
        <f>"瓢箪山駅前交番"</f>
        <v>瓢箪山駅前交番</v>
      </c>
      <c r="C7879" s="8" t="str">
        <f t="shared" si="2800"/>
        <v>行政財産</v>
      </c>
      <c r="D7879" s="8" t="str">
        <f t="shared" si="2801"/>
        <v>警察（消防）施設</v>
      </c>
      <c r="E7879" s="8" t="str">
        <f>"大阪府東大阪市神田町"</f>
        <v>大阪府東大阪市神田町</v>
      </c>
      <c r="F7879" s="8"/>
      <c r="G7879" s="8" t="str">
        <f t="shared" si="2794"/>
        <v>事業用資産</v>
      </c>
      <c r="H7879" s="8" t="str">
        <f t="shared" si="2807"/>
        <v>棚卸以外</v>
      </c>
      <c r="I7879" s="8">
        <v>3</v>
      </c>
      <c r="J7879" s="8" t="str">
        <f>"瓢箪山駅前交番"</f>
        <v>瓢箪山駅前交番</v>
      </c>
      <c r="K7879" s="8" t="str">
        <f>"木造"</f>
        <v>木造</v>
      </c>
      <c r="L7879" s="8" t="str">
        <f>"S37.03.31"</f>
        <v>S37.03.31</v>
      </c>
      <c r="M7879" s="8">
        <v>26.44</v>
      </c>
      <c r="N7879" s="8">
        <v>654470</v>
      </c>
      <c r="O7879" s="8">
        <v>654469</v>
      </c>
      <c r="P7879" s="8">
        <v>0</v>
      </c>
      <c r="Q7879" s="8" t="str">
        <f t="shared" si="2799"/>
        <v>公安委員会</v>
      </c>
      <c r="R7879" s="8" t="str">
        <f t="shared" si="2806"/>
        <v>枚岡警察署</v>
      </c>
    </row>
    <row r="7880" spans="1:18" x14ac:dyDescent="0.45">
      <c r="A7880" s="8" t="str">
        <f>"11560000120"</f>
        <v>11560000120</v>
      </c>
      <c r="B7880" s="8" t="str">
        <f>"石切町交番"</f>
        <v>石切町交番</v>
      </c>
      <c r="C7880" s="8" t="str">
        <f t="shared" si="2800"/>
        <v>行政財産</v>
      </c>
      <c r="D7880" s="8" t="str">
        <f t="shared" si="2801"/>
        <v>警察（消防）施設</v>
      </c>
      <c r="E7880" s="8" t="str">
        <f>"大阪府東大阪市中石切町３丁目"</f>
        <v>大阪府東大阪市中石切町３丁目</v>
      </c>
      <c r="F7880" s="8"/>
      <c r="G7880" s="8" t="str">
        <f t="shared" si="2794"/>
        <v>事業用資産</v>
      </c>
      <c r="H7880" s="8" t="str">
        <f t="shared" si="2807"/>
        <v>棚卸以外</v>
      </c>
      <c r="I7880" s="8">
        <v>2</v>
      </c>
      <c r="J7880" s="8" t="str">
        <f>"石切町交番"</f>
        <v>石切町交番</v>
      </c>
      <c r="K7880" s="8" t="str">
        <f>"鉄骨造"</f>
        <v>鉄骨造</v>
      </c>
      <c r="L7880" s="8" t="str">
        <f>"H22.03.24"</f>
        <v>H22.03.24</v>
      </c>
      <c r="M7880" s="8">
        <v>65.099999999999994</v>
      </c>
      <c r="N7880" s="8">
        <v>16604000</v>
      </c>
      <c r="O7880" s="8">
        <v>5680428</v>
      </c>
      <c r="P7880" s="8">
        <v>0</v>
      </c>
      <c r="Q7880" s="8" t="str">
        <f t="shared" si="2799"/>
        <v>公安委員会</v>
      </c>
      <c r="R7880" s="8" t="str">
        <f t="shared" si="2806"/>
        <v>枚岡警察署</v>
      </c>
    </row>
    <row r="7881" spans="1:18" x14ac:dyDescent="0.45">
      <c r="A7881" s="8" t="str">
        <f>"11560000140"</f>
        <v>11560000140</v>
      </c>
      <c r="B7881" s="8" t="str">
        <f>"六万寺交番"</f>
        <v>六万寺交番</v>
      </c>
      <c r="C7881" s="8" t="str">
        <f t="shared" si="2800"/>
        <v>行政財産</v>
      </c>
      <c r="D7881" s="8" t="str">
        <f t="shared" si="2801"/>
        <v>警察（消防）施設</v>
      </c>
      <c r="E7881" s="8" t="str">
        <f>"大阪府東大阪市下六万寺町１丁目"</f>
        <v>大阪府東大阪市下六万寺町１丁目</v>
      </c>
      <c r="F7881" s="8"/>
      <c r="G7881" s="8" t="str">
        <f t="shared" si="2794"/>
        <v>事業用資産</v>
      </c>
      <c r="H7881" s="8" t="str">
        <f t="shared" si="2807"/>
        <v>棚卸以外</v>
      </c>
      <c r="I7881" s="8">
        <v>1</v>
      </c>
      <c r="J7881" s="8" t="str">
        <f>"六万寺交番"</f>
        <v>六万寺交番</v>
      </c>
      <c r="K7881" s="8" t="str">
        <f>"鉄筋コンクリート造"</f>
        <v>鉄筋コンクリート造</v>
      </c>
      <c r="L7881" s="8" t="str">
        <f>"S42.12.02"</f>
        <v>S42.12.02</v>
      </c>
      <c r="M7881" s="8">
        <v>58.89</v>
      </c>
      <c r="N7881" s="8">
        <v>4417832</v>
      </c>
      <c r="O7881" s="8">
        <v>4403550</v>
      </c>
      <c r="P7881" s="8">
        <v>0</v>
      </c>
      <c r="Q7881" s="8" t="str">
        <f t="shared" si="2799"/>
        <v>公安委員会</v>
      </c>
      <c r="R7881" s="8" t="str">
        <f t="shared" si="2806"/>
        <v>枚岡警察署</v>
      </c>
    </row>
    <row r="7882" spans="1:18" x14ac:dyDescent="0.45">
      <c r="A7882" s="8" t="str">
        <f>"11560000150"</f>
        <v>11560000150</v>
      </c>
      <c r="B7882" s="8" t="str">
        <f>"石切駅前交番"</f>
        <v>石切駅前交番</v>
      </c>
      <c r="C7882" s="8" t="str">
        <f t="shared" si="2800"/>
        <v>行政財産</v>
      </c>
      <c r="D7882" s="8" t="str">
        <f t="shared" si="2801"/>
        <v>警察（消防）施設</v>
      </c>
      <c r="E7882" s="8" t="str">
        <f>"大阪府東大阪市上石切町２丁目"</f>
        <v>大阪府東大阪市上石切町２丁目</v>
      </c>
      <c r="F7882" s="8"/>
      <c r="G7882" s="8" t="str">
        <f t="shared" si="2794"/>
        <v>事業用資産</v>
      </c>
      <c r="H7882" s="8" t="str">
        <f t="shared" si="2807"/>
        <v>棚卸以外</v>
      </c>
      <c r="I7882" s="8">
        <v>2</v>
      </c>
      <c r="J7882" s="8" t="str">
        <f>"石切駅前交番"</f>
        <v>石切駅前交番</v>
      </c>
      <c r="K7882" s="8" t="str">
        <f>"軽量鉄骨造"</f>
        <v>軽量鉄骨造</v>
      </c>
      <c r="L7882" s="8" t="str">
        <f>"H25.03.28"</f>
        <v>H25.03.28</v>
      </c>
      <c r="M7882" s="8">
        <v>44.46</v>
      </c>
      <c r="N7882" s="8">
        <v>18190428</v>
      </c>
      <c r="O7882" s="8">
        <v>7071402</v>
      </c>
      <c r="P7882" s="8">
        <v>0</v>
      </c>
      <c r="Q7882" s="8" t="str">
        <f t="shared" si="2799"/>
        <v>公安委員会</v>
      </c>
      <c r="R7882" s="8" t="str">
        <f t="shared" si="2806"/>
        <v>枚岡警察署</v>
      </c>
    </row>
    <row r="7883" spans="1:18" x14ac:dyDescent="0.45">
      <c r="A7883" s="8" t="str">
        <f>"11560000170"</f>
        <v>11560000170</v>
      </c>
      <c r="B7883" s="8" t="str">
        <f>"枚岡駅前交番"</f>
        <v>枚岡駅前交番</v>
      </c>
      <c r="C7883" s="8" t="str">
        <f t="shared" si="2800"/>
        <v>行政財産</v>
      </c>
      <c r="D7883" s="8" t="str">
        <f t="shared" si="2801"/>
        <v>警察（消防）施設</v>
      </c>
      <c r="E7883" s="8" t="str">
        <f>"大阪府東大阪市出雲井町"</f>
        <v>大阪府東大阪市出雲井町</v>
      </c>
      <c r="F7883" s="8"/>
      <c r="G7883" s="8" t="str">
        <f t="shared" si="2794"/>
        <v>事業用資産</v>
      </c>
      <c r="H7883" s="8" t="str">
        <f t="shared" si="2807"/>
        <v>棚卸以外</v>
      </c>
      <c r="I7883" s="8">
        <v>1</v>
      </c>
      <c r="J7883" s="8" t="str">
        <f>"枚岡駅前交番"</f>
        <v>枚岡駅前交番</v>
      </c>
      <c r="K7883" s="8" t="str">
        <f>"木造"</f>
        <v>木造</v>
      </c>
      <c r="L7883" s="8" t="str">
        <f>"S48.03.02"</f>
        <v>S48.03.02</v>
      </c>
      <c r="M7883" s="8">
        <v>60.75</v>
      </c>
      <c r="N7883" s="8">
        <v>2945500</v>
      </c>
      <c r="O7883" s="8">
        <v>2945499</v>
      </c>
      <c r="P7883" s="8">
        <v>0</v>
      </c>
      <c r="Q7883" s="8" t="str">
        <f t="shared" si="2799"/>
        <v>公安委員会</v>
      </c>
      <c r="R7883" s="8" t="str">
        <f t="shared" si="2806"/>
        <v>枚岡警察署</v>
      </c>
    </row>
    <row r="7884" spans="1:18" x14ac:dyDescent="0.45">
      <c r="A7884" s="8" t="str">
        <f>"11560000180"</f>
        <v>11560000180</v>
      </c>
      <c r="B7884" s="8" t="str">
        <f>"額田駅前交番"</f>
        <v>額田駅前交番</v>
      </c>
      <c r="C7884" s="8" t="str">
        <f t="shared" si="2800"/>
        <v>行政財産</v>
      </c>
      <c r="D7884" s="8" t="str">
        <f t="shared" si="2801"/>
        <v>警察（消防）施設</v>
      </c>
      <c r="E7884" s="8" t="str">
        <f>"大阪府東大阪市額田町"</f>
        <v>大阪府東大阪市額田町</v>
      </c>
      <c r="F7884" s="8"/>
      <c r="G7884" s="8" t="str">
        <f t="shared" si="2794"/>
        <v>事業用資産</v>
      </c>
      <c r="H7884" s="8" t="str">
        <f t="shared" si="2807"/>
        <v>棚卸以外</v>
      </c>
      <c r="I7884" s="8">
        <v>1</v>
      </c>
      <c r="J7884" s="8" t="str">
        <f>"額田駅前交番"</f>
        <v>額田駅前交番</v>
      </c>
      <c r="K7884" s="8" t="str">
        <f>"鉄骨造"</f>
        <v>鉄骨造</v>
      </c>
      <c r="L7884" s="8" t="str">
        <f>"S48.03.29"</f>
        <v>S48.03.29</v>
      </c>
      <c r="M7884" s="8">
        <v>49.68</v>
      </c>
      <c r="N7884" s="8">
        <v>3640000</v>
      </c>
      <c r="O7884" s="8">
        <v>3639999</v>
      </c>
      <c r="P7884" s="8">
        <v>0</v>
      </c>
      <c r="Q7884" s="8" t="str">
        <f t="shared" si="2799"/>
        <v>公安委員会</v>
      </c>
      <c r="R7884" s="8" t="str">
        <f t="shared" si="2806"/>
        <v>枚岡警察署</v>
      </c>
    </row>
    <row r="7885" spans="1:18" x14ac:dyDescent="0.45">
      <c r="A7885" s="8" t="str">
        <f>"11560000190"</f>
        <v>11560000190</v>
      </c>
      <c r="B7885" s="8" t="str">
        <f>"四条町交番"</f>
        <v>四条町交番</v>
      </c>
      <c r="C7885" s="8" t="str">
        <f t="shared" si="2800"/>
        <v>行政財産</v>
      </c>
      <c r="D7885" s="8" t="str">
        <f t="shared" si="2801"/>
        <v>警察（消防）施設</v>
      </c>
      <c r="E7885" s="8" t="str">
        <f>"大阪府東大阪市上四条町"</f>
        <v>大阪府東大阪市上四条町</v>
      </c>
      <c r="F7885" s="8"/>
      <c r="G7885" s="8" t="str">
        <f t="shared" si="2794"/>
        <v>事業用資産</v>
      </c>
      <c r="H7885" s="8" t="str">
        <f t="shared" si="2807"/>
        <v>棚卸以外</v>
      </c>
      <c r="I7885" s="8">
        <v>1</v>
      </c>
      <c r="J7885" s="8" t="str">
        <f>"四条町交番"</f>
        <v>四条町交番</v>
      </c>
      <c r="K7885" s="8" t="str">
        <f>"鉄骨造"</f>
        <v>鉄骨造</v>
      </c>
      <c r="L7885" s="8" t="str">
        <f>"S49.03.31"</f>
        <v>S49.03.31</v>
      </c>
      <c r="M7885" s="8">
        <v>50.4</v>
      </c>
      <c r="N7885" s="8">
        <v>5620000</v>
      </c>
      <c r="O7885" s="8">
        <v>5619999</v>
      </c>
      <c r="P7885" s="8">
        <v>0</v>
      </c>
      <c r="Q7885" s="8" t="str">
        <f t="shared" si="2799"/>
        <v>公安委員会</v>
      </c>
      <c r="R7885" s="8" t="str">
        <f t="shared" si="2806"/>
        <v>枚岡警察署</v>
      </c>
    </row>
    <row r="7886" spans="1:18" x14ac:dyDescent="0.45">
      <c r="A7886" s="8" t="str">
        <f>"11560000200"</f>
        <v>11560000200</v>
      </c>
      <c r="B7886" s="8" t="str">
        <f>"河内町交番"</f>
        <v>河内町交番</v>
      </c>
      <c r="C7886" s="8" t="str">
        <f t="shared" si="2800"/>
        <v>行政財産</v>
      </c>
      <c r="D7886" s="8" t="str">
        <f t="shared" si="2801"/>
        <v>警察（消防）施設</v>
      </c>
      <c r="E7886" s="8" t="str">
        <f>"大阪府東大阪市旭町"</f>
        <v>大阪府東大阪市旭町</v>
      </c>
      <c r="F7886" s="8"/>
      <c r="G7886" s="8" t="str">
        <f t="shared" si="2794"/>
        <v>事業用資産</v>
      </c>
      <c r="H7886" s="8" t="str">
        <f t="shared" si="2807"/>
        <v>棚卸以外</v>
      </c>
      <c r="I7886" s="8">
        <v>1</v>
      </c>
      <c r="J7886" s="8" t="str">
        <f>"河内町交番"</f>
        <v>河内町交番</v>
      </c>
      <c r="K7886" s="8" t="str">
        <f>"鉄骨造"</f>
        <v>鉄骨造</v>
      </c>
      <c r="L7886" s="8" t="str">
        <f>"H11.01.11"</f>
        <v>H11.01.11</v>
      </c>
      <c r="M7886" s="8">
        <v>67.33</v>
      </c>
      <c r="N7886" s="8">
        <v>21823000</v>
      </c>
      <c r="O7886" s="8">
        <v>13878820</v>
      </c>
      <c r="P7886" s="8">
        <v>0</v>
      </c>
      <c r="Q7886" s="8" t="str">
        <f t="shared" si="2799"/>
        <v>公安委員会</v>
      </c>
      <c r="R7886" s="8" t="str">
        <f t="shared" si="2806"/>
        <v>枚岡警察署</v>
      </c>
    </row>
    <row r="7887" spans="1:18" x14ac:dyDescent="0.45">
      <c r="A7887" s="8" t="str">
        <f>"11560003001"</f>
        <v>11560003001</v>
      </c>
      <c r="B7887" s="8" t="str">
        <f>"孔舎衙交番"</f>
        <v>孔舎衙交番</v>
      </c>
      <c r="C7887" s="8" t="str">
        <f t="shared" si="2800"/>
        <v>行政財産</v>
      </c>
      <c r="D7887" s="8" t="str">
        <f t="shared" si="2801"/>
        <v>警察（消防）施設</v>
      </c>
      <c r="E7887" s="8" t="str">
        <f>"大阪府東大阪市日下町６丁目"</f>
        <v>大阪府東大阪市日下町６丁目</v>
      </c>
      <c r="F7887" s="8"/>
      <c r="G7887" s="8" t="str">
        <f t="shared" si="2794"/>
        <v>事業用資産</v>
      </c>
      <c r="H7887" s="8" t="str">
        <f t="shared" si="2807"/>
        <v>棚卸以外</v>
      </c>
      <c r="I7887" s="8">
        <v>1</v>
      </c>
      <c r="J7887" s="8" t="str">
        <f>"孔舎衙交番"</f>
        <v>孔舎衙交番</v>
      </c>
      <c r="K7887" s="8" t="str">
        <f>"軽量鉄骨造"</f>
        <v>軽量鉄骨造</v>
      </c>
      <c r="L7887" s="8" t="str">
        <f>"H27.03.26"</f>
        <v>H27.03.26</v>
      </c>
      <c r="M7887" s="8">
        <v>72.900000000000006</v>
      </c>
      <c r="N7887" s="8">
        <v>25944418</v>
      </c>
      <c r="O7887" s="8">
        <v>8051058</v>
      </c>
      <c r="P7887" s="8">
        <v>0</v>
      </c>
      <c r="Q7887" s="8" t="str">
        <f t="shared" si="2799"/>
        <v>公安委員会</v>
      </c>
      <c r="R7887" s="8" t="str">
        <f t="shared" si="2806"/>
        <v>枚岡警察署</v>
      </c>
    </row>
    <row r="7888" spans="1:18" x14ac:dyDescent="0.45">
      <c r="A7888" s="8" t="str">
        <f>"11521001088"</f>
        <v>11521001088</v>
      </c>
      <c r="B7888" s="8" t="str">
        <f>"河内別館"</f>
        <v>河内別館</v>
      </c>
      <c r="C7888" s="8" t="str">
        <f t="shared" si="2800"/>
        <v>行政財産</v>
      </c>
      <c r="D7888" s="8" t="str">
        <f t="shared" si="2801"/>
        <v>警察（消防）施設</v>
      </c>
      <c r="E7888" s="8" t="str">
        <f t="shared" ref="E7888:E7900" si="2808">"大阪府東大阪市稲葉１丁目"</f>
        <v>大阪府東大阪市稲葉１丁目</v>
      </c>
      <c r="F7888" s="8"/>
      <c r="G7888" s="8" t="str">
        <f t="shared" si="2794"/>
        <v>事業用資産</v>
      </c>
      <c r="H7888" s="8" t="str">
        <f t="shared" si="2807"/>
        <v>棚卸以外</v>
      </c>
      <c r="I7888" s="8">
        <v>1</v>
      </c>
      <c r="J7888" s="8" t="str">
        <f>"倉庫Ａ"</f>
        <v>倉庫Ａ</v>
      </c>
      <c r="K7888" s="8" t="str">
        <f>"鉄筋コンクリート造"</f>
        <v>鉄筋コンクリート造</v>
      </c>
      <c r="L7888" s="8" t="str">
        <f>"S49.03.28"</f>
        <v>S49.03.28</v>
      </c>
      <c r="M7888" s="8">
        <v>1394.1</v>
      </c>
      <c r="N7888" s="8">
        <v>88715000</v>
      </c>
      <c r="O7888" s="8">
        <v>88714999</v>
      </c>
      <c r="P7888" s="8">
        <v>0</v>
      </c>
      <c r="Q7888" s="8" t="str">
        <f t="shared" si="2799"/>
        <v>公安委員会</v>
      </c>
      <c r="R7888" s="8" t="str">
        <f t="shared" ref="R7888:R7911" si="2809">"河内警察署"</f>
        <v>河内警察署</v>
      </c>
    </row>
    <row r="7889" spans="1:18" x14ac:dyDescent="0.45">
      <c r="A7889" s="8" t="str">
        <f>"11521001088"</f>
        <v>11521001088</v>
      </c>
      <c r="B7889" s="8" t="str">
        <f>"河内別館"</f>
        <v>河内別館</v>
      </c>
      <c r="C7889" s="8" t="str">
        <f t="shared" si="2800"/>
        <v>行政財産</v>
      </c>
      <c r="D7889" s="8" t="str">
        <f t="shared" si="2801"/>
        <v>警察（消防）施設</v>
      </c>
      <c r="E7889" s="8" t="str">
        <f t="shared" si="2808"/>
        <v>大阪府東大阪市稲葉１丁目</v>
      </c>
      <c r="F7889" s="8"/>
      <c r="G7889" s="8" t="str">
        <f t="shared" si="2794"/>
        <v>事業用資産</v>
      </c>
      <c r="H7889" s="8" t="str">
        <f t="shared" si="2807"/>
        <v>棚卸以外</v>
      </c>
      <c r="I7889" s="8">
        <v>2</v>
      </c>
      <c r="J7889" s="8" t="str">
        <f>"倉庫Ｂ"</f>
        <v>倉庫Ｂ</v>
      </c>
      <c r="K7889" s="8" t="str">
        <f>"鉄筋コンクリート造"</f>
        <v>鉄筋コンクリート造</v>
      </c>
      <c r="L7889" s="8" t="str">
        <f>"S49.03.28"</f>
        <v>S49.03.28</v>
      </c>
      <c r="M7889" s="8">
        <v>929.4</v>
      </c>
      <c r="N7889" s="8">
        <v>56823000</v>
      </c>
      <c r="O7889" s="8">
        <v>56822999</v>
      </c>
      <c r="P7889" s="8">
        <v>0</v>
      </c>
      <c r="Q7889" s="8" t="str">
        <f t="shared" si="2799"/>
        <v>公安委員会</v>
      </c>
      <c r="R7889" s="8" t="str">
        <f t="shared" si="2809"/>
        <v>河内警察署</v>
      </c>
    </row>
    <row r="7890" spans="1:18" x14ac:dyDescent="0.45">
      <c r="A7890" s="8" t="str">
        <f>"11521001088"</f>
        <v>11521001088</v>
      </c>
      <c r="B7890" s="8" t="str">
        <f>"河内別館"</f>
        <v>河内別館</v>
      </c>
      <c r="C7890" s="8" t="str">
        <f t="shared" si="2800"/>
        <v>行政財産</v>
      </c>
      <c r="D7890" s="8" t="str">
        <f t="shared" si="2801"/>
        <v>警察（消防）施設</v>
      </c>
      <c r="E7890" s="8" t="str">
        <f t="shared" si="2808"/>
        <v>大阪府東大阪市稲葉１丁目</v>
      </c>
      <c r="F7890" s="8"/>
      <c r="G7890" s="8" t="str">
        <f t="shared" si="2794"/>
        <v>事業用資産</v>
      </c>
      <c r="H7890" s="8" t="str">
        <f t="shared" si="2807"/>
        <v>棚卸以外</v>
      </c>
      <c r="I7890" s="8">
        <v>3</v>
      </c>
      <c r="J7890" s="8" t="str">
        <f>"ポンプ室"</f>
        <v>ポンプ室</v>
      </c>
      <c r="K7890" s="8" t="str">
        <f>"鉄筋コンクリート造"</f>
        <v>鉄筋コンクリート造</v>
      </c>
      <c r="L7890" s="8" t="str">
        <f>"S49.03.28"</f>
        <v>S49.03.28</v>
      </c>
      <c r="M7890" s="8">
        <v>16.5</v>
      </c>
      <c r="N7890" s="8">
        <v>7603000</v>
      </c>
      <c r="O7890" s="8">
        <v>7602999</v>
      </c>
      <c r="P7890" s="8">
        <v>0</v>
      </c>
      <c r="Q7890" s="8" t="str">
        <f t="shared" si="2799"/>
        <v>公安委員会</v>
      </c>
      <c r="R7890" s="8" t="str">
        <f t="shared" si="2809"/>
        <v>河内警察署</v>
      </c>
    </row>
    <row r="7891" spans="1:18" x14ac:dyDescent="0.45">
      <c r="A7891" s="8" t="str">
        <f t="shared" ref="A7891:A7900" si="2810">"11561000000"</f>
        <v>11561000000</v>
      </c>
      <c r="B7891" s="8" t="str">
        <f t="shared" ref="B7891:B7900" si="2811">"河内警察署"</f>
        <v>河内警察署</v>
      </c>
      <c r="C7891" s="8" t="str">
        <f t="shared" si="2800"/>
        <v>行政財産</v>
      </c>
      <c r="D7891" s="8" t="str">
        <f t="shared" si="2801"/>
        <v>警察（消防）施設</v>
      </c>
      <c r="E7891" s="8" t="str">
        <f t="shared" si="2808"/>
        <v>大阪府東大阪市稲葉１丁目</v>
      </c>
      <c r="F7891" s="8"/>
      <c r="G7891" s="8" t="str">
        <f t="shared" si="2794"/>
        <v>事業用資産</v>
      </c>
      <c r="H7891" s="8" t="str">
        <f t="shared" si="2807"/>
        <v>棚卸以外</v>
      </c>
      <c r="I7891" s="8">
        <v>20</v>
      </c>
      <c r="J7891" s="8" t="str">
        <f>"庁舎"</f>
        <v>庁舎</v>
      </c>
      <c r="K7891" s="8" t="str">
        <f>"鉄筋コンクリート造"</f>
        <v>鉄筋コンクリート造</v>
      </c>
      <c r="L7891" s="8" t="str">
        <f>"S44.03.28"</f>
        <v>S44.03.28</v>
      </c>
      <c r="M7891" s="8">
        <v>1574.7</v>
      </c>
      <c r="N7891" s="8">
        <v>281923427</v>
      </c>
      <c r="O7891" s="8">
        <v>234571472</v>
      </c>
      <c r="P7891" s="8">
        <v>0</v>
      </c>
      <c r="Q7891" s="8" t="str">
        <f t="shared" si="2799"/>
        <v>公安委員会</v>
      </c>
      <c r="R7891" s="8" t="str">
        <f t="shared" si="2809"/>
        <v>河内警察署</v>
      </c>
    </row>
    <row r="7892" spans="1:18" x14ac:dyDescent="0.45">
      <c r="A7892" s="8" t="str">
        <f t="shared" si="2810"/>
        <v>11561000000</v>
      </c>
      <c r="B7892" s="8" t="str">
        <f t="shared" si="2811"/>
        <v>河内警察署</v>
      </c>
      <c r="C7892" s="8" t="str">
        <f t="shared" si="2800"/>
        <v>行政財産</v>
      </c>
      <c r="D7892" s="8" t="str">
        <f t="shared" si="2801"/>
        <v>警察（消防）施設</v>
      </c>
      <c r="E7892" s="8" t="str">
        <f t="shared" si="2808"/>
        <v>大阪府東大阪市稲葉１丁目</v>
      </c>
      <c r="F7892" s="8"/>
      <c r="G7892" s="8" t="str">
        <f t="shared" si="2794"/>
        <v>事業用資産</v>
      </c>
      <c r="H7892" s="8" t="str">
        <f t="shared" si="2807"/>
        <v>棚卸以外</v>
      </c>
      <c r="I7892" s="8">
        <v>21</v>
      </c>
      <c r="J7892" s="8" t="str">
        <f>"機械室"</f>
        <v>機械室</v>
      </c>
      <c r="K7892" s="8" t="str">
        <f>"鉄骨造"</f>
        <v>鉄骨造</v>
      </c>
      <c r="L7892" s="8" t="str">
        <f>"S44.03.28"</f>
        <v>S44.03.28</v>
      </c>
      <c r="M7892" s="8">
        <v>31.5</v>
      </c>
      <c r="N7892" s="8">
        <v>2331848</v>
      </c>
      <c r="O7892" s="8">
        <v>2331847</v>
      </c>
      <c r="P7892" s="8">
        <v>0</v>
      </c>
      <c r="Q7892" s="8" t="str">
        <f t="shared" si="2799"/>
        <v>公安委員会</v>
      </c>
      <c r="R7892" s="8" t="str">
        <f t="shared" si="2809"/>
        <v>河内警察署</v>
      </c>
    </row>
    <row r="7893" spans="1:18" x14ac:dyDescent="0.45">
      <c r="A7893" s="8" t="str">
        <f t="shared" si="2810"/>
        <v>11561000000</v>
      </c>
      <c r="B7893" s="8" t="str">
        <f t="shared" si="2811"/>
        <v>河内警察署</v>
      </c>
      <c r="C7893" s="8" t="str">
        <f t="shared" si="2800"/>
        <v>行政財産</v>
      </c>
      <c r="D7893" s="8" t="str">
        <f t="shared" si="2801"/>
        <v>警察（消防）施設</v>
      </c>
      <c r="E7893" s="8" t="str">
        <f t="shared" si="2808"/>
        <v>大阪府東大阪市稲葉１丁目</v>
      </c>
      <c r="F7893" s="8"/>
      <c r="G7893" s="8" t="str">
        <f t="shared" si="2794"/>
        <v>事業用資産</v>
      </c>
      <c r="H7893" s="8" t="str">
        <f t="shared" si="2807"/>
        <v>棚卸以外</v>
      </c>
      <c r="I7893" s="8">
        <v>22</v>
      </c>
      <c r="J7893" s="8" t="str">
        <f>"公舎"</f>
        <v>公舎</v>
      </c>
      <c r="K7893" s="8" t="str">
        <f>"木造"</f>
        <v>木造</v>
      </c>
      <c r="L7893" s="8" t="str">
        <f>"S44.03.28"</f>
        <v>S44.03.28</v>
      </c>
      <c r="M7893" s="8">
        <v>81.150000000000006</v>
      </c>
      <c r="N7893" s="8">
        <v>5175374</v>
      </c>
      <c r="O7893" s="8">
        <v>5175373</v>
      </c>
      <c r="P7893" s="8">
        <v>0</v>
      </c>
      <c r="Q7893" s="8" t="str">
        <f t="shared" si="2799"/>
        <v>公安委員会</v>
      </c>
      <c r="R7893" s="8" t="str">
        <f t="shared" si="2809"/>
        <v>河内警察署</v>
      </c>
    </row>
    <row r="7894" spans="1:18" x14ac:dyDescent="0.45">
      <c r="A7894" s="8" t="str">
        <f t="shared" si="2810"/>
        <v>11561000000</v>
      </c>
      <c r="B7894" s="8" t="str">
        <f t="shared" si="2811"/>
        <v>河内警察署</v>
      </c>
      <c r="C7894" s="8" t="str">
        <f t="shared" si="2800"/>
        <v>行政財産</v>
      </c>
      <c r="D7894" s="8" t="str">
        <f t="shared" si="2801"/>
        <v>警察（消防）施設</v>
      </c>
      <c r="E7894" s="8" t="str">
        <f t="shared" si="2808"/>
        <v>大阪府東大阪市稲葉１丁目</v>
      </c>
      <c r="F7894" s="8"/>
      <c r="G7894" s="8" t="str">
        <f t="shared" si="2794"/>
        <v>事業用資産</v>
      </c>
      <c r="H7894" s="8" t="str">
        <f t="shared" si="2807"/>
        <v>棚卸以外</v>
      </c>
      <c r="I7894" s="8">
        <v>23</v>
      </c>
      <c r="J7894" s="8" t="str">
        <f>"自転車置場"</f>
        <v>自転車置場</v>
      </c>
      <c r="K7894" s="8" t="str">
        <f>"パイプ"</f>
        <v>パイプ</v>
      </c>
      <c r="L7894" s="8" t="str">
        <f>"S45.02.14"</f>
        <v>S45.02.14</v>
      </c>
      <c r="M7894" s="8">
        <v>49.7</v>
      </c>
      <c r="N7894" s="8">
        <v>946000</v>
      </c>
      <c r="O7894" s="8">
        <v>945998</v>
      </c>
      <c r="P7894" s="8">
        <v>0</v>
      </c>
      <c r="Q7894" s="8" t="str">
        <f t="shared" si="2799"/>
        <v>公安委員会</v>
      </c>
      <c r="R7894" s="8" t="str">
        <f t="shared" si="2809"/>
        <v>河内警察署</v>
      </c>
    </row>
    <row r="7895" spans="1:18" x14ac:dyDescent="0.45">
      <c r="A7895" s="8" t="str">
        <f t="shared" si="2810"/>
        <v>11561000000</v>
      </c>
      <c r="B7895" s="8" t="str">
        <f t="shared" si="2811"/>
        <v>河内警察署</v>
      </c>
      <c r="C7895" s="8" t="str">
        <f t="shared" si="2800"/>
        <v>行政財産</v>
      </c>
      <c r="D7895" s="8" t="str">
        <f t="shared" si="2801"/>
        <v>警察（消防）施設</v>
      </c>
      <c r="E7895" s="8" t="str">
        <f t="shared" si="2808"/>
        <v>大阪府東大阪市稲葉１丁目</v>
      </c>
      <c r="F7895" s="8"/>
      <c r="G7895" s="8" t="str">
        <f t="shared" ref="G7895:G7958" si="2812">"事業用資産"</f>
        <v>事業用資産</v>
      </c>
      <c r="H7895" s="8" t="str">
        <f t="shared" si="2807"/>
        <v>棚卸以外</v>
      </c>
      <c r="I7895" s="8">
        <v>24</v>
      </c>
      <c r="J7895" s="8" t="str">
        <f>"油倉庫"</f>
        <v>油倉庫</v>
      </c>
      <c r="K7895" s="8" t="str">
        <f>"コンクリートブロック造"</f>
        <v>コンクリートブロック造</v>
      </c>
      <c r="L7895" s="8" t="str">
        <f>"S47.11.08"</f>
        <v>S47.11.08</v>
      </c>
      <c r="M7895" s="8">
        <v>5.76</v>
      </c>
      <c r="N7895" s="8">
        <v>167890</v>
      </c>
      <c r="O7895" s="8">
        <v>167889</v>
      </c>
      <c r="P7895" s="8">
        <v>0</v>
      </c>
      <c r="Q7895" s="8" t="str">
        <f t="shared" si="2799"/>
        <v>公安委員会</v>
      </c>
      <c r="R7895" s="8" t="str">
        <f t="shared" si="2809"/>
        <v>河内警察署</v>
      </c>
    </row>
    <row r="7896" spans="1:18" x14ac:dyDescent="0.45">
      <c r="A7896" s="8" t="str">
        <f t="shared" si="2810"/>
        <v>11561000000</v>
      </c>
      <c r="B7896" s="8" t="str">
        <f t="shared" si="2811"/>
        <v>河内警察署</v>
      </c>
      <c r="C7896" s="8" t="str">
        <f t="shared" si="2800"/>
        <v>行政財産</v>
      </c>
      <c r="D7896" s="8" t="str">
        <f t="shared" si="2801"/>
        <v>警察（消防）施設</v>
      </c>
      <c r="E7896" s="8" t="str">
        <f t="shared" si="2808"/>
        <v>大阪府東大阪市稲葉１丁目</v>
      </c>
      <c r="F7896" s="8"/>
      <c r="G7896" s="8" t="str">
        <f t="shared" si="2812"/>
        <v>事業用資産</v>
      </c>
      <c r="H7896" s="8" t="str">
        <f t="shared" si="2807"/>
        <v>棚卸以外</v>
      </c>
      <c r="I7896" s="8">
        <v>26</v>
      </c>
      <c r="J7896" s="8" t="str">
        <f>"車庫及び倉庫"</f>
        <v>車庫及び倉庫</v>
      </c>
      <c r="K7896" s="8" t="str">
        <f>"鉄骨造"</f>
        <v>鉄骨造</v>
      </c>
      <c r="L7896" s="8" t="str">
        <f>"S49.01.25"</f>
        <v>S49.01.25</v>
      </c>
      <c r="M7896" s="8">
        <v>99</v>
      </c>
      <c r="N7896" s="8">
        <v>7874929</v>
      </c>
      <c r="O7896" s="8">
        <v>7664881</v>
      </c>
      <c r="P7896" s="8">
        <v>0</v>
      </c>
      <c r="Q7896" s="8" t="str">
        <f t="shared" si="2799"/>
        <v>公安委員会</v>
      </c>
      <c r="R7896" s="8" t="str">
        <f t="shared" si="2809"/>
        <v>河内警察署</v>
      </c>
    </row>
    <row r="7897" spans="1:18" x14ac:dyDescent="0.45">
      <c r="A7897" s="8" t="str">
        <f t="shared" si="2810"/>
        <v>11561000000</v>
      </c>
      <c r="B7897" s="8" t="str">
        <f t="shared" si="2811"/>
        <v>河内警察署</v>
      </c>
      <c r="C7897" s="8" t="str">
        <f t="shared" si="2800"/>
        <v>行政財産</v>
      </c>
      <c r="D7897" s="8" t="str">
        <f t="shared" si="2801"/>
        <v>警察（消防）施設</v>
      </c>
      <c r="E7897" s="8" t="str">
        <f t="shared" si="2808"/>
        <v>大阪府東大阪市稲葉１丁目</v>
      </c>
      <c r="F7897" s="8"/>
      <c r="G7897" s="8" t="str">
        <f t="shared" si="2812"/>
        <v>事業用資産</v>
      </c>
      <c r="H7897" s="8" t="str">
        <f t="shared" si="2807"/>
        <v>棚卸以外</v>
      </c>
      <c r="I7897" s="8">
        <v>27</v>
      </c>
      <c r="J7897" s="8" t="str">
        <f>"倉庫"</f>
        <v>倉庫</v>
      </c>
      <c r="K7897" s="8" t="str">
        <f>"軽量鉄骨造"</f>
        <v>軽量鉄骨造</v>
      </c>
      <c r="L7897" s="8" t="str">
        <f>"S49.12.16"</f>
        <v>S49.12.16</v>
      </c>
      <c r="M7897" s="8">
        <v>87.9</v>
      </c>
      <c r="N7897" s="8">
        <v>2858000</v>
      </c>
      <c r="O7897" s="8">
        <v>2857999</v>
      </c>
      <c r="P7897" s="8">
        <v>0</v>
      </c>
      <c r="Q7897" s="8" t="str">
        <f t="shared" si="2799"/>
        <v>公安委員会</v>
      </c>
      <c r="R7897" s="8" t="str">
        <f t="shared" si="2809"/>
        <v>河内警察署</v>
      </c>
    </row>
    <row r="7898" spans="1:18" x14ac:dyDescent="0.45">
      <c r="A7898" s="8" t="str">
        <f t="shared" si="2810"/>
        <v>11561000000</v>
      </c>
      <c r="B7898" s="8" t="str">
        <f t="shared" si="2811"/>
        <v>河内警察署</v>
      </c>
      <c r="C7898" s="8" t="str">
        <f t="shared" si="2800"/>
        <v>行政財産</v>
      </c>
      <c r="D7898" s="8" t="str">
        <f t="shared" si="2801"/>
        <v>警察（消防）施設</v>
      </c>
      <c r="E7898" s="8" t="str">
        <f t="shared" si="2808"/>
        <v>大阪府東大阪市稲葉１丁目</v>
      </c>
      <c r="F7898" s="8"/>
      <c r="G7898" s="8" t="str">
        <f t="shared" si="2812"/>
        <v>事業用資産</v>
      </c>
      <c r="H7898" s="8" t="str">
        <f t="shared" si="2807"/>
        <v>棚卸以外</v>
      </c>
      <c r="I7898" s="8">
        <v>28</v>
      </c>
      <c r="J7898" s="8" t="str">
        <f>"霊安室"</f>
        <v>霊安室</v>
      </c>
      <c r="K7898" s="8" t="str">
        <f>"木造"</f>
        <v>木造</v>
      </c>
      <c r="L7898" s="8" t="str">
        <f>"S62.08.12"</f>
        <v>S62.08.12</v>
      </c>
      <c r="M7898" s="8">
        <v>9.7200000000000006</v>
      </c>
      <c r="N7898" s="8">
        <v>957000</v>
      </c>
      <c r="O7898" s="8">
        <v>956999</v>
      </c>
      <c r="P7898" s="8">
        <v>0</v>
      </c>
      <c r="Q7898" s="8" t="str">
        <f t="shared" si="2799"/>
        <v>公安委員会</v>
      </c>
      <c r="R7898" s="8" t="str">
        <f t="shared" si="2809"/>
        <v>河内警察署</v>
      </c>
    </row>
    <row r="7899" spans="1:18" x14ac:dyDescent="0.45">
      <c r="A7899" s="8" t="str">
        <f t="shared" si="2810"/>
        <v>11561000000</v>
      </c>
      <c r="B7899" s="8" t="str">
        <f t="shared" si="2811"/>
        <v>河内警察署</v>
      </c>
      <c r="C7899" s="8" t="str">
        <f t="shared" si="2800"/>
        <v>行政財産</v>
      </c>
      <c r="D7899" s="8" t="str">
        <f t="shared" si="2801"/>
        <v>警察（消防）施設</v>
      </c>
      <c r="E7899" s="8" t="str">
        <f t="shared" si="2808"/>
        <v>大阪府東大阪市稲葉１丁目</v>
      </c>
      <c r="F7899" s="8"/>
      <c r="G7899" s="8" t="str">
        <f t="shared" si="2812"/>
        <v>事業用資産</v>
      </c>
      <c r="H7899" s="8" t="str">
        <f t="shared" si="2807"/>
        <v>棚卸以外</v>
      </c>
      <c r="I7899" s="8">
        <v>30</v>
      </c>
      <c r="J7899" s="8" t="str">
        <f>"別館"</f>
        <v>別館</v>
      </c>
      <c r="K7899" s="8" t="str">
        <f>"鉄骨造"</f>
        <v>鉄骨造</v>
      </c>
      <c r="L7899" s="8" t="str">
        <f>"H10.12.14"</f>
        <v>H10.12.14</v>
      </c>
      <c r="M7899" s="8">
        <v>679.68</v>
      </c>
      <c r="N7899" s="8">
        <v>192505557</v>
      </c>
      <c r="O7899" s="8">
        <v>122282148</v>
      </c>
      <c r="P7899" s="8">
        <v>0</v>
      </c>
      <c r="Q7899" s="8" t="str">
        <f t="shared" si="2799"/>
        <v>公安委員会</v>
      </c>
      <c r="R7899" s="8" t="str">
        <f t="shared" si="2809"/>
        <v>河内警察署</v>
      </c>
    </row>
    <row r="7900" spans="1:18" x14ac:dyDescent="0.45">
      <c r="A7900" s="8" t="str">
        <f t="shared" si="2810"/>
        <v>11561000000</v>
      </c>
      <c r="B7900" s="8" t="str">
        <f t="shared" si="2811"/>
        <v>河内警察署</v>
      </c>
      <c r="C7900" s="8" t="str">
        <f t="shared" si="2800"/>
        <v>行政財産</v>
      </c>
      <c r="D7900" s="8" t="str">
        <f t="shared" si="2801"/>
        <v>警察（消防）施設</v>
      </c>
      <c r="E7900" s="8" t="str">
        <f t="shared" si="2808"/>
        <v>大阪府東大阪市稲葉１丁目</v>
      </c>
      <c r="F7900" s="8"/>
      <c r="G7900" s="8" t="str">
        <f t="shared" si="2812"/>
        <v>事業用資産</v>
      </c>
      <c r="H7900" s="8" t="str">
        <f t="shared" si="2807"/>
        <v>棚卸以外</v>
      </c>
      <c r="I7900" s="8">
        <v>31</v>
      </c>
      <c r="J7900" s="8" t="str">
        <f>"ゴミ置場"</f>
        <v>ゴミ置場</v>
      </c>
      <c r="K7900" s="8" t="str">
        <f>"コンクリートブロック造"</f>
        <v>コンクリートブロック造</v>
      </c>
      <c r="L7900" s="8" t="str">
        <f>"H10.12.14"</f>
        <v>H10.12.14</v>
      </c>
      <c r="M7900" s="8">
        <v>11.39</v>
      </c>
      <c r="N7900" s="8">
        <v>2166000</v>
      </c>
      <c r="O7900" s="8">
        <v>1544919</v>
      </c>
      <c r="P7900" s="8">
        <v>0</v>
      </c>
      <c r="Q7900" s="8" t="str">
        <f t="shared" si="2799"/>
        <v>公安委員会</v>
      </c>
      <c r="R7900" s="8" t="str">
        <f t="shared" si="2809"/>
        <v>河内警察署</v>
      </c>
    </row>
    <row r="7901" spans="1:18" x14ac:dyDescent="0.45">
      <c r="A7901" s="8" t="str">
        <f>"11561000110"</f>
        <v>11561000110</v>
      </c>
      <c r="B7901" s="8" t="str">
        <f>"吉原交番"</f>
        <v>吉原交番</v>
      </c>
      <c r="C7901" s="8" t="str">
        <f t="shared" si="2800"/>
        <v>行政財産</v>
      </c>
      <c r="D7901" s="8" t="str">
        <f t="shared" si="2801"/>
        <v>警察（消防）施設</v>
      </c>
      <c r="E7901" s="8" t="str">
        <f>"大阪府東大阪市川田２丁目"</f>
        <v>大阪府東大阪市川田２丁目</v>
      </c>
      <c r="F7901" s="8"/>
      <c r="G7901" s="8" t="str">
        <f t="shared" si="2812"/>
        <v>事業用資産</v>
      </c>
      <c r="H7901" s="8" t="str">
        <f t="shared" si="2807"/>
        <v>棚卸以外</v>
      </c>
      <c r="I7901" s="8">
        <v>3</v>
      </c>
      <c r="J7901" s="8" t="str">
        <f>"吉原交番"</f>
        <v>吉原交番</v>
      </c>
      <c r="K7901" s="8" t="str">
        <f>"鉄筋コンクリート造"</f>
        <v>鉄筋コンクリート造</v>
      </c>
      <c r="L7901" s="8" t="str">
        <f>"H04.03.31"</f>
        <v>H04.03.31</v>
      </c>
      <c r="M7901" s="8">
        <v>53.9</v>
      </c>
      <c r="N7901" s="8">
        <v>23439000</v>
      </c>
      <c r="O7901" s="8">
        <v>14492728</v>
      </c>
      <c r="P7901" s="8">
        <v>0</v>
      </c>
      <c r="Q7901" s="8" t="str">
        <f t="shared" si="2799"/>
        <v>公安委員会</v>
      </c>
      <c r="R7901" s="8" t="str">
        <f t="shared" si="2809"/>
        <v>河内警察署</v>
      </c>
    </row>
    <row r="7902" spans="1:18" x14ac:dyDescent="0.45">
      <c r="A7902" s="8" t="str">
        <f>"11561000130"</f>
        <v>11561000130</v>
      </c>
      <c r="B7902" s="8" t="str">
        <f>"若江交番"</f>
        <v>若江交番</v>
      </c>
      <c r="C7902" s="8" t="str">
        <f t="shared" si="2800"/>
        <v>行政財産</v>
      </c>
      <c r="D7902" s="8" t="str">
        <f t="shared" si="2801"/>
        <v>警察（消防）施設</v>
      </c>
      <c r="E7902" s="8" t="str">
        <f>"大阪府東大阪市若江本町４丁目"</f>
        <v>大阪府東大阪市若江本町４丁目</v>
      </c>
      <c r="F7902" s="8"/>
      <c r="G7902" s="8" t="str">
        <f t="shared" si="2812"/>
        <v>事業用資産</v>
      </c>
      <c r="H7902" s="8" t="str">
        <f t="shared" si="2807"/>
        <v>棚卸以外</v>
      </c>
      <c r="I7902" s="8">
        <v>1</v>
      </c>
      <c r="J7902" s="8" t="str">
        <f>"若江交番"</f>
        <v>若江交番</v>
      </c>
      <c r="K7902" s="8" t="str">
        <f>"鉄筋コンクリート造"</f>
        <v>鉄筋コンクリート造</v>
      </c>
      <c r="L7902" s="8" t="str">
        <f>"S42.11.28"</f>
        <v>S42.11.28</v>
      </c>
      <c r="M7902" s="8">
        <v>45.06</v>
      </c>
      <c r="N7902" s="8">
        <v>2369300</v>
      </c>
      <c r="O7902" s="8">
        <v>2301539</v>
      </c>
      <c r="P7902" s="8">
        <v>0</v>
      </c>
      <c r="Q7902" s="8" t="str">
        <f t="shared" si="2799"/>
        <v>公安委員会</v>
      </c>
      <c r="R7902" s="8" t="str">
        <f t="shared" si="2809"/>
        <v>河内警察署</v>
      </c>
    </row>
    <row r="7903" spans="1:18" x14ac:dyDescent="0.45">
      <c r="A7903" s="8" t="str">
        <f>"11561000130"</f>
        <v>11561000130</v>
      </c>
      <c r="B7903" s="8" t="str">
        <f>"若江交番"</f>
        <v>若江交番</v>
      </c>
      <c r="C7903" s="8" t="str">
        <f t="shared" si="2800"/>
        <v>行政財産</v>
      </c>
      <c r="D7903" s="8" t="str">
        <f t="shared" si="2801"/>
        <v>警察（消防）施設</v>
      </c>
      <c r="E7903" s="8" t="str">
        <f>"大阪府東大阪市若江本町４丁目"</f>
        <v>大阪府東大阪市若江本町４丁目</v>
      </c>
      <c r="F7903" s="8"/>
      <c r="G7903" s="8" t="str">
        <f t="shared" si="2812"/>
        <v>事業用資産</v>
      </c>
      <c r="H7903" s="8" t="str">
        <f t="shared" si="2807"/>
        <v>棚卸以外</v>
      </c>
      <c r="I7903" s="8">
        <v>2</v>
      </c>
      <c r="J7903" s="8" t="str">
        <f>"自転車置場"</f>
        <v>自転車置場</v>
      </c>
      <c r="K7903" s="8" t="str">
        <f>"鉄骨造"</f>
        <v>鉄骨造</v>
      </c>
      <c r="L7903" s="8" t="str">
        <f>"H01.10.23"</f>
        <v>H01.10.23</v>
      </c>
      <c r="M7903" s="8">
        <v>10.08</v>
      </c>
      <c r="N7903" s="8">
        <v>194000</v>
      </c>
      <c r="O7903" s="8">
        <v>193999</v>
      </c>
      <c r="P7903" s="8">
        <v>0</v>
      </c>
      <c r="Q7903" s="8" t="str">
        <f t="shared" si="2799"/>
        <v>公安委員会</v>
      </c>
      <c r="R7903" s="8" t="str">
        <f t="shared" si="2809"/>
        <v>河内警察署</v>
      </c>
    </row>
    <row r="7904" spans="1:18" x14ac:dyDescent="0.45">
      <c r="A7904" s="8" t="str">
        <f>"11561000160"</f>
        <v>11561000160</v>
      </c>
      <c r="B7904" s="8" t="str">
        <f>"鴻池交番"</f>
        <v>鴻池交番</v>
      </c>
      <c r="C7904" s="8" t="str">
        <f t="shared" si="2800"/>
        <v>行政財産</v>
      </c>
      <c r="D7904" s="8" t="str">
        <f t="shared" si="2801"/>
        <v>警察（消防）施設</v>
      </c>
      <c r="E7904" s="8" t="str">
        <f>"大阪府東大阪市中鴻池町３丁目"</f>
        <v>大阪府東大阪市中鴻池町３丁目</v>
      </c>
      <c r="F7904" s="8"/>
      <c r="G7904" s="8" t="str">
        <f t="shared" si="2812"/>
        <v>事業用資産</v>
      </c>
      <c r="H7904" s="8" t="str">
        <f t="shared" si="2807"/>
        <v>棚卸以外</v>
      </c>
      <c r="I7904" s="8">
        <v>2</v>
      </c>
      <c r="J7904" s="8" t="str">
        <f>"鴻池交番"</f>
        <v>鴻池交番</v>
      </c>
      <c r="K7904" s="8" t="str">
        <f>"軽量鉄骨造"</f>
        <v>軽量鉄骨造</v>
      </c>
      <c r="L7904" s="8" t="str">
        <f>"R04.02.02"</f>
        <v>R04.02.02</v>
      </c>
      <c r="M7904" s="8">
        <v>72</v>
      </c>
      <c r="N7904" s="8">
        <v>41209267</v>
      </c>
      <c r="O7904" s="8">
        <v>1749271</v>
      </c>
      <c r="P7904" s="8">
        <v>0</v>
      </c>
      <c r="Q7904" s="8" t="str">
        <f t="shared" si="2799"/>
        <v>公安委員会</v>
      </c>
      <c r="R7904" s="8" t="str">
        <f t="shared" si="2809"/>
        <v>河内警察署</v>
      </c>
    </row>
    <row r="7905" spans="1:18" x14ac:dyDescent="0.45">
      <c r="A7905" s="8" t="str">
        <f>"11561000170"</f>
        <v>11561000170</v>
      </c>
      <c r="B7905" s="8" t="str">
        <f>"吉田交番"</f>
        <v>吉田交番</v>
      </c>
      <c r="C7905" s="8" t="str">
        <f t="shared" si="2800"/>
        <v>行政財産</v>
      </c>
      <c r="D7905" s="8" t="str">
        <f t="shared" si="2801"/>
        <v>警察（消防）施設</v>
      </c>
      <c r="E7905" s="8" t="str">
        <f>"大阪府東大阪市松原南１丁目"</f>
        <v>大阪府東大阪市松原南１丁目</v>
      </c>
      <c r="F7905" s="8"/>
      <c r="G7905" s="8" t="str">
        <f t="shared" si="2812"/>
        <v>事業用資産</v>
      </c>
      <c r="H7905" s="8" t="str">
        <f t="shared" si="2807"/>
        <v>棚卸以外</v>
      </c>
      <c r="I7905" s="8">
        <v>1</v>
      </c>
      <c r="J7905" s="8" t="str">
        <f>"吉田交番"</f>
        <v>吉田交番</v>
      </c>
      <c r="K7905" s="8" t="str">
        <f>"鉄筋コンクリート造"</f>
        <v>鉄筋コンクリート造</v>
      </c>
      <c r="L7905" s="8" t="str">
        <f>"S45.03.31"</f>
        <v>S45.03.31</v>
      </c>
      <c r="M7905" s="8">
        <v>31.78</v>
      </c>
      <c r="N7905" s="8">
        <v>2323100</v>
      </c>
      <c r="O7905" s="8">
        <v>2257491</v>
      </c>
      <c r="P7905" s="8">
        <v>0</v>
      </c>
      <c r="Q7905" s="8" t="str">
        <f t="shared" si="2799"/>
        <v>公安委員会</v>
      </c>
      <c r="R7905" s="8" t="str">
        <f t="shared" si="2809"/>
        <v>河内警察署</v>
      </c>
    </row>
    <row r="7906" spans="1:18" x14ac:dyDescent="0.45">
      <c r="A7906" s="8" t="str">
        <f>"11561000180"</f>
        <v>11561000180</v>
      </c>
      <c r="B7906" s="8" t="str">
        <f>"盾津交番"</f>
        <v>盾津交番</v>
      </c>
      <c r="C7906" s="8" t="str">
        <f t="shared" si="2800"/>
        <v>行政財産</v>
      </c>
      <c r="D7906" s="8" t="str">
        <f t="shared" si="2801"/>
        <v>警察（消防）施設</v>
      </c>
      <c r="E7906" s="8" t="str">
        <f>"大阪府東大阪市本庄中１丁目"</f>
        <v>大阪府東大阪市本庄中１丁目</v>
      </c>
      <c r="F7906" s="8"/>
      <c r="G7906" s="8" t="str">
        <f t="shared" si="2812"/>
        <v>事業用資産</v>
      </c>
      <c r="H7906" s="8" t="str">
        <f t="shared" si="2807"/>
        <v>棚卸以外</v>
      </c>
      <c r="I7906" s="8">
        <v>1</v>
      </c>
      <c r="J7906" s="8" t="str">
        <f>"盾津交番"</f>
        <v>盾津交番</v>
      </c>
      <c r="K7906" s="8" t="str">
        <f>"鉄筋コンクリート造"</f>
        <v>鉄筋コンクリート造</v>
      </c>
      <c r="L7906" s="8" t="str">
        <f>"S45.03.31"</f>
        <v>S45.03.31</v>
      </c>
      <c r="M7906" s="8">
        <v>29.57</v>
      </c>
      <c r="N7906" s="8">
        <v>2365501</v>
      </c>
      <c r="O7906" s="8">
        <v>2291131</v>
      </c>
      <c r="P7906" s="8">
        <v>0</v>
      </c>
      <c r="Q7906" s="8" t="str">
        <f t="shared" si="2799"/>
        <v>公安委員会</v>
      </c>
      <c r="R7906" s="8" t="str">
        <f t="shared" si="2809"/>
        <v>河内警察署</v>
      </c>
    </row>
    <row r="7907" spans="1:18" x14ac:dyDescent="0.45">
      <c r="A7907" s="8" t="str">
        <f>"11561000190"</f>
        <v>11561000190</v>
      </c>
      <c r="B7907" s="8" t="str">
        <f>"玉串交番"</f>
        <v>玉串交番</v>
      </c>
      <c r="C7907" s="8" t="str">
        <f t="shared" si="2800"/>
        <v>行政財産</v>
      </c>
      <c r="D7907" s="8" t="str">
        <f t="shared" si="2801"/>
        <v>警察（消防）施設</v>
      </c>
      <c r="E7907" s="8" t="str">
        <f>"大阪府東大阪市花園本町２丁目"</f>
        <v>大阪府東大阪市花園本町２丁目</v>
      </c>
      <c r="F7907" s="8"/>
      <c r="G7907" s="8" t="str">
        <f t="shared" si="2812"/>
        <v>事業用資産</v>
      </c>
      <c r="H7907" s="8" t="str">
        <f t="shared" si="2807"/>
        <v>棚卸以外</v>
      </c>
      <c r="I7907" s="8">
        <v>2</v>
      </c>
      <c r="J7907" s="8" t="str">
        <f>"玉串交番"</f>
        <v>玉串交番</v>
      </c>
      <c r="K7907" s="8" t="str">
        <f>"軽量鉄骨造"</f>
        <v>軽量鉄骨造</v>
      </c>
      <c r="L7907" s="8" t="str">
        <f>"H23.11.17"</f>
        <v>H23.11.17</v>
      </c>
      <c r="M7907" s="8">
        <v>51.84</v>
      </c>
      <c r="N7907" s="8">
        <v>16367702</v>
      </c>
      <c r="O7907" s="8">
        <v>7371308</v>
      </c>
      <c r="P7907" s="8">
        <v>0</v>
      </c>
      <c r="Q7907" s="8" t="str">
        <f t="shared" si="2799"/>
        <v>公安委員会</v>
      </c>
      <c r="R7907" s="8" t="str">
        <f t="shared" si="2809"/>
        <v>河内警察署</v>
      </c>
    </row>
    <row r="7908" spans="1:18" x14ac:dyDescent="0.45">
      <c r="A7908" s="8" t="str">
        <f>"11561000200"</f>
        <v>11561000200</v>
      </c>
      <c r="B7908" s="8" t="str">
        <f>"松原交番"</f>
        <v>松原交番</v>
      </c>
      <c r="C7908" s="8" t="str">
        <f t="shared" si="2800"/>
        <v>行政財産</v>
      </c>
      <c r="D7908" s="8" t="str">
        <f t="shared" si="2801"/>
        <v>警察（消防）施設</v>
      </c>
      <c r="E7908" s="8" t="str">
        <f>"大阪府東大阪市吉田本町３丁目"</f>
        <v>大阪府東大阪市吉田本町３丁目</v>
      </c>
      <c r="F7908" s="8"/>
      <c r="G7908" s="8" t="str">
        <f t="shared" si="2812"/>
        <v>事業用資産</v>
      </c>
      <c r="H7908" s="8" t="str">
        <f t="shared" si="2807"/>
        <v>棚卸以外</v>
      </c>
      <c r="I7908" s="8">
        <v>1</v>
      </c>
      <c r="J7908" s="8" t="str">
        <f>"松原交番"</f>
        <v>松原交番</v>
      </c>
      <c r="K7908" s="8" t="str">
        <f>"コンクリートブロック造"</f>
        <v>コンクリートブロック造</v>
      </c>
      <c r="L7908" s="8" t="str">
        <f>"S46.03.30"</f>
        <v>S46.03.30</v>
      </c>
      <c r="M7908" s="8">
        <v>33.93</v>
      </c>
      <c r="N7908" s="8">
        <v>2763000</v>
      </c>
      <c r="O7908" s="8">
        <v>2698467</v>
      </c>
      <c r="P7908" s="8">
        <v>0</v>
      </c>
      <c r="Q7908" s="8" t="str">
        <f t="shared" si="2799"/>
        <v>公安委員会</v>
      </c>
      <c r="R7908" s="8" t="str">
        <f t="shared" si="2809"/>
        <v>河内警察署</v>
      </c>
    </row>
    <row r="7909" spans="1:18" x14ac:dyDescent="0.45">
      <c r="A7909" s="8" t="str">
        <f>"11561000230"</f>
        <v>11561000230</v>
      </c>
      <c r="B7909" s="8" t="str">
        <f>"鴻池駅前交番"</f>
        <v>鴻池駅前交番</v>
      </c>
      <c r="C7909" s="8" t="str">
        <f t="shared" si="2800"/>
        <v>行政財産</v>
      </c>
      <c r="D7909" s="8" t="str">
        <f t="shared" si="2801"/>
        <v>警察（消防）施設</v>
      </c>
      <c r="E7909" s="8" t="str">
        <f>"大阪府東大阪市鴻池本町"</f>
        <v>大阪府東大阪市鴻池本町</v>
      </c>
      <c r="F7909" s="8"/>
      <c r="G7909" s="8" t="str">
        <f t="shared" si="2812"/>
        <v>事業用資産</v>
      </c>
      <c r="H7909" s="8" t="str">
        <f t="shared" si="2807"/>
        <v>棚卸以外</v>
      </c>
      <c r="I7909" s="8">
        <v>1</v>
      </c>
      <c r="J7909" s="8" t="str">
        <f>"鴻池駅前交番"</f>
        <v>鴻池駅前交番</v>
      </c>
      <c r="K7909" s="8" t="str">
        <f>"鉄骨造"</f>
        <v>鉄骨造</v>
      </c>
      <c r="L7909" s="8" t="str">
        <f>"S52.03.31"</f>
        <v>S52.03.31</v>
      </c>
      <c r="M7909" s="8">
        <v>45.56</v>
      </c>
      <c r="N7909" s="8">
        <v>11166300</v>
      </c>
      <c r="O7909" s="8">
        <v>11098539</v>
      </c>
      <c r="P7909" s="8">
        <v>0</v>
      </c>
      <c r="Q7909" s="8" t="str">
        <f t="shared" si="2799"/>
        <v>公安委員会</v>
      </c>
      <c r="R7909" s="8" t="str">
        <f t="shared" si="2809"/>
        <v>河内警察署</v>
      </c>
    </row>
    <row r="7910" spans="1:18" x14ac:dyDescent="0.45">
      <c r="A7910" s="8" t="str">
        <f>"11561000250"</f>
        <v>11561000250</v>
      </c>
      <c r="B7910" s="8" t="str">
        <f>"菱江交番"</f>
        <v>菱江交番</v>
      </c>
      <c r="C7910" s="8" t="str">
        <f t="shared" si="2800"/>
        <v>行政財産</v>
      </c>
      <c r="D7910" s="8" t="str">
        <f t="shared" si="2801"/>
        <v>警察（消防）施設</v>
      </c>
      <c r="E7910" s="8" t="str">
        <f>"大阪府東大阪市稲葉１丁目"</f>
        <v>大阪府東大阪市稲葉１丁目</v>
      </c>
      <c r="F7910" s="8"/>
      <c r="G7910" s="8" t="str">
        <f t="shared" si="2812"/>
        <v>事業用資産</v>
      </c>
      <c r="H7910" s="8" t="str">
        <f t="shared" si="2807"/>
        <v>棚卸以外</v>
      </c>
      <c r="I7910" s="8">
        <v>1</v>
      </c>
      <c r="J7910" s="8" t="str">
        <f>"菱江交番"</f>
        <v>菱江交番</v>
      </c>
      <c r="K7910" s="8" t="str">
        <f>"鉄筋コンクリート造"</f>
        <v>鉄筋コンクリート造</v>
      </c>
      <c r="L7910" s="8" t="str">
        <f>"H03.03.29"</f>
        <v>H03.03.29</v>
      </c>
      <c r="M7910" s="8">
        <v>54</v>
      </c>
      <c r="N7910" s="8">
        <v>16481676</v>
      </c>
      <c r="O7910" s="8">
        <v>10498195</v>
      </c>
      <c r="P7910" s="8">
        <v>0</v>
      </c>
      <c r="Q7910" s="8" t="str">
        <f t="shared" si="2799"/>
        <v>公安委員会</v>
      </c>
      <c r="R7910" s="8" t="str">
        <f t="shared" si="2809"/>
        <v>河内警察署</v>
      </c>
    </row>
    <row r="7911" spans="1:18" x14ac:dyDescent="0.45">
      <c r="A7911" s="8" t="str">
        <f>"11561003003"</f>
        <v>11561003003</v>
      </c>
      <c r="B7911" s="8" t="str">
        <f>"花園駅前交番"</f>
        <v>花園駅前交番</v>
      </c>
      <c r="C7911" s="8" t="str">
        <f t="shared" si="2800"/>
        <v>行政財産</v>
      </c>
      <c r="D7911" s="8" t="str">
        <f t="shared" si="2801"/>
        <v>警察（消防）施設</v>
      </c>
      <c r="E7911" s="8" t="str">
        <f>"大阪府東大阪市吉田１丁目"</f>
        <v>大阪府東大阪市吉田１丁目</v>
      </c>
      <c r="F7911" s="8"/>
      <c r="G7911" s="8" t="str">
        <f t="shared" si="2812"/>
        <v>事業用資産</v>
      </c>
      <c r="H7911" s="8" t="str">
        <f t="shared" si="2807"/>
        <v>棚卸以外</v>
      </c>
      <c r="I7911" s="8">
        <v>1</v>
      </c>
      <c r="J7911" s="8" t="str">
        <f>"花園駅前交番"</f>
        <v>花園駅前交番</v>
      </c>
      <c r="K7911" s="8" t="str">
        <f>"軽量鉄骨造"</f>
        <v>軽量鉄骨造</v>
      </c>
      <c r="L7911" s="8" t="str">
        <f>"R03.02.08"</f>
        <v>R03.02.08</v>
      </c>
      <c r="M7911" s="8">
        <v>48.43</v>
      </c>
      <c r="N7911" s="8">
        <v>22153169</v>
      </c>
      <c r="O7911" s="8">
        <v>1905068</v>
      </c>
      <c r="P7911" s="8">
        <v>0</v>
      </c>
      <c r="Q7911" s="8" t="str">
        <f t="shared" si="2799"/>
        <v>公安委員会</v>
      </c>
      <c r="R7911" s="8" t="str">
        <f t="shared" si="2809"/>
        <v>河内警察署</v>
      </c>
    </row>
    <row r="7912" spans="1:18" x14ac:dyDescent="0.45">
      <c r="A7912" s="8" t="str">
        <f>"11562000032"</f>
        <v>11562000032</v>
      </c>
      <c r="B7912" s="8" t="str">
        <f>"長田交番"</f>
        <v>長田交番</v>
      </c>
      <c r="C7912" s="8" t="str">
        <f t="shared" si="2800"/>
        <v>行政財産</v>
      </c>
      <c r="D7912" s="8" t="str">
        <f t="shared" si="2801"/>
        <v>警察（消防）施設</v>
      </c>
      <c r="E7912" s="8" t="str">
        <f>"大阪府東大阪市長田中２丁目"</f>
        <v>大阪府東大阪市長田中２丁目</v>
      </c>
      <c r="F7912" s="8"/>
      <c r="G7912" s="8" t="str">
        <f t="shared" si="2812"/>
        <v>事業用資産</v>
      </c>
      <c r="H7912" s="8" t="str">
        <f t="shared" si="2807"/>
        <v>棚卸以外</v>
      </c>
      <c r="I7912" s="8">
        <v>1</v>
      </c>
      <c r="J7912" s="8" t="str">
        <f>"長田交番"</f>
        <v>長田交番</v>
      </c>
      <c r="K7912" s="8" t="str">
        <f>"鉄骨造"</f>
        <v>鉄骨造</v>
      </c>
      <c r="L7912" s="8" t="str">
        <f>"H22.03.29"</f>
        <v>H22.03.29</v>
      </c>
      <c r="M7912" s="8">
        <v>131.1</v>
      </c>
      <c r="N7912" s="8">
        <v>30071396</v>
      </c>
      <c r="O7912" s="8">
        <v>10184112</v>
      </c>
      <c r="P7912" s="8">
        <v>0</v>
      </c>
      <c r="Q7912" s="8" t="str">
        <f t="shared" si="2799"/>
        <v>公安委員会</v>
      </c>
      <c r="R7912" s="8" t="str">
        <f t="shared" ref="R7912:R7930" si="2813">"布施警察署"</f>
        <v>布施警察署</v>
      </c>
    </row>
    <row r="7913" spans="1:18" x14ac:dyDescent="0.45">
      <c r="A7913" s="8" t="str">
        <f>"11562000240"</f>
        <v>11562000240</v>
      </c>
      <c r="B7913" s="8" t="str">
        <f>"寿町交番"</f>
        <v>寿町交番</v>
      </c>
      <c r="C7913" s="8" t="str">
        <f t="shared" si="2800"/>
        <v>行政財産</v>
      </c>
      <c r="D7913" s="8" t="str">
        <f t="shared" si="2801"/>
        <v>警察（消防）施設</v>
      </c>
      <c r="E7913" s="8" t="str">
        <f>"大阪府東大阪市寿町１丁目"</f>
        <v>大阪府東大阪市寿町１丁目</v>
      </c>
      <c r="F7913" s="8"/>
      <c r="G7913" s="8" t="str">
        <f t="shared" si="2812"/>
        <v>事業用資産</v>
      </c>
      <c r="H7913" s="8" t="str">
        <f t="shared" si="2807"/>
        <v>棚卸以外</v>
      </c>
      <c r="I7913" s="8">
        <v>2</v>
      </c>
      <c r="J7913" s="8" t="str">
        <f>"寿町交番"</f>
        <v>寿町交番</v>
      </c>
      <c r="K7913" s="8" t="str">
        <f>"鉄骨造"</f>
        <v>鉄骨造</v>
      </c>
      <c r="L7913" s="8" t="str">
        <f>"S51.03.31"</f>
        <v>S51.03.31</v>
      </c>
      <c r="M7913" s="8">
        <v>52.17</v>
      </c>
      <c r="N7913" s="8">
        <v>9511287</v>
      </c>
      <c r="O7913" s="8">
        <v>9501468</v>
      </c>
      <c r="P7913" s="8">
        <v>0</v>
      </c>
      <c r="Q7913" s="8" t="str">
        <f t="shared" si="2799"/>
        <v>公安委員会</v>
      </c>
      <c r="R7913" s="8" t="str">
        <f t="shared" si="2813"/>
        <v>布施警察署</v>
      </c>
    </row>
    <row r="7914" spans="1:18" x14ac:dyDescent="0.45">
      <c r="A7914" s="8" t="str">
        <f>"11562000290"</f>
        <v>11562000290</v>
      </c>
      <c r="B7914" s="8" t="str">
        <f>"長瀬駅前交番"</f>
        <v>長瀬駅前交番</v>
      </c>
      <c r="C7914" s="8" t="str">
        <f t="shared" si="2800"/>
        <v>行政財産</v>
      </c>
      <c r="D7914" s="8" t="str">
        <f t="shared" si="2801"/>
        <v>警察（消防）施設</v>
      </c>
      <c r="E7914" s="8" t="str">
        <f>"大阪府東大阪市菱屋西１丁目"</f>
        <v>大阪府東大阪市菱屋西１丁目</v>
      </c>
      <c r="F7914" s="8"/>
      <c r="G7914" s="8" t="str">
        <f t="shared" si="2812"/>
        <v>事業用資産</v>
      </c>
      <c r="H7914" s="8" t="str">
        <f t="shared" si="2807"/>
        <v>棚卸以外</v>
      </c>
      <c r="I7914" s="8">
        <v>3</v>
      </c>
      <c r="J7914" s="8" t="str">
        <f>"長瀬駅前交番"</f>
        <v>長瀬駅前交番</v>
      </c>
      <c r="K7914" s="8" t="str">
        <f>"軽量鉄骨造"</f>
        <v>軽量鉄骨造</v>
      </c>
      <c r="L7914" s="8" t="str">
        <f>"H27.03.17"</f>
        <v>H27.03.17</v>
      </c>
      <c r="M7914" s="8">
        <v>48.58</v>
      </c>
      <c r="N7914" s="8">
        <v>23333655</v>
      </c>
      <c r="O7914" s="8">
        <v>7349501</v>
      </c>
      <c r="P7914" s="8">
        <v>0</v>
      </c>
      <c r="Q7914" s="8" t="str">
        <f t="shared" si="2799"/>
        <v>公安委員会</v>
      </c>
      <c r="R7914" s="8" t="str">
        <f t="shared" si="2813"/>
        <v>布施警察署</v>
      </c>
    </row>
    <row r="7915" spans="1:18" x14ac:dyDescent="0.45">
      <c r="A7915" s="8" t="str">
        <f>"11562000290"</f>
        <v>11562000290</v>
      </c>
      <c r="B7915" s="8" t="str">
        <f>"長瀬駅前交番"</f>
        <v>長瀬駅前交番</v>
      </c>
      <c r="C7915" s="8" t="str">
        <f t="shared" si="2800"/>
        <v>行政財産</v>
      </c>
      <c r="D7915" s="8" t="str">
        <f t="shared" si="2801"/>
        <v>警察（消防）施設</v>
      </c>
      <c r="E7915" s="8" t="str">
        <f>"大阪府東大阪市菱屋西１丁目"</f>
        <v>大阪府東大阪市菱屋西１丁目</v>
      </c>
      <c r="F7915" s="8"/>
      <c r="G7915" s="8" t="str">
        <f t="shared" si="2812"/>
        <v>事業用資産</v>
      </c>
      <c r="H7915" s="8" t="str">
        <f t="shared" si="2807"/>
        <v>棚卸以外</v>
      </c>
      <c r="I7915" s="8">
        <v>4</v>
      </c>
      <c r="J7915" s="8" t="str">
        <f>"物置"</f>
        <v>物置</v>
      </c>
      <c r="K7915" s="8" t="str">
        <f>"軽量鉄骨造"</f>
        <v>軽量鉄骨造</v>
      </c>
      <c r="L7915" s="8" t="str">
        <f>"H27.03.17"</f>
        <v>H27.03.17</v>
      </c>
      <c r="M7915" s="8">
        <v>1.64</v>
      </c>
      <c r="N7915" s="8">
        <v>93315</v>
      </c>
      <c r="O7915" s="8">
        <v>31200</v>
      </c>
      <c r="P7915" s="8">
        <v>0</v>
      </c>
      <c r="Q7915" s="8" t="str">
        <f t="shared" si="2799"/>
        <v>公安委員会</v>
      </c>
      <c r="R7915" s="8" t="str">
        <f t="shared" si="2813"/>
        <v>布施警察署</v>
      </c>
    </row>
    <row r="7916" spans="1:18" x14ac:dyDescent="0.45">
      <c r="A7916" s="8" t="str">
        <f>"11562000320"</f>
        <v>11562000320</v>
      </c>
      <c r="B7916" s="8" t="str">
        <f>"弥刀駅前警ら連絡所"</f>
        <v>弥刀駅前警ら連絡所</v>
      </c>
      <c r="C7916" s="8" t="str">
        <f t="shared" si="2800"/>
        <v>行政財産</v>
      </c>
      <c r="D7916" s="8" t="str">
        <f t="shared" si="2801"/>
        <v>警察（消防）施設</v>
      </c>
      <c r="E7916" s="8" t="str">
        <f>"大阪府東大阪市友井３丁目"</f>
        <v>大阪府東大阪市友井３丁目</v>
      </c>
      <c r="F7916" s="8"/>
      <c r="G7916" s="8" t="str">
        <f t="shared" si="2812"/>
        <v>事業用資産</v>
      </c>
      <c r="H7916" s="8" t="str">
        <f t="shared" si="2807"/>
        <v>棚卸以外</v>
      </c>
      <c r="I7916" s="8">
        <v>2</v>
      </c>
      <c r="J7916" s="8" t="str">
        <f>"弥刀駅前警ら連絡所"</f>
        <v>弥刀駅前警ら連絡所</v>
      </c>
      <c r="K7916" s="8" t="str">
        <f>"鉄骨造"</f>
        <v>鉄骨造</v>
      </c>
      <c r="L7916" s="8" t="str">
        <f>"H11.03.19"</f>
        <v>H11.03.19</v>
      </c>
      <c r="M7916" s="8">
        <v>26.49</v>
      </c>
      <c r="N7916" s="8">
        <v>10860000</v>
      </c>
      <c r="O7916" s="8">
        <v>6859008</v>
      </c>
      <c r="P7916" s="8">
        <v>0</v>
      </c>
      <c r="Q7916" s="8" t="str">
        <f t="shared" si="2799"/>
        <v>公安委員会</v>
      </c>
      <c r="R7916" s="8" t="str">
        <f t="shared" si="2813"/>
        <v>布施警察署</v>
      </c>
    </row>
    <row r="7917" spans="1:18" x14ac:dyDescent="0.45">
      <c r="A7917" s="8" t="str">
        <f>"11562000340"</f>
        <v>11562000340</v>
      </c>
      <c r="B7917" s="8" t="str">
        <f>"森河内交番"</f>
        <v>森河内交番</v>
      </c>
      <c r="C7917" s="8" t="str">
        <f t="shared" si="2800"/>
        <v>行政財産</v>
      </c>
      <c r="D7917" s="8" t="str">
        <f t="shared" si="2801"/>
        <v>警察（消防）施設</v>
      </c>
      <c r="E7917" s="8" t="str">
        <f>"大阪府東大阪市森河内東１丁目"</f>
        <v>大阪府東大阪市森河内東１丁目</v>
      </c>
      <c r="F7917" s="8"/>
      <c r="G7917" s="8" t="str">
        <f t="shared" si="2812"/>
        <v>事業用資産</v>
      </c>
      <c r="H7917" s="8" t="str">
        <f t="shared" si="2807"/>
        <v>棚卸以外</v>
      </c>
      <c r="I7917" s="8">
        <v>2</v>
      </c>
      <c r="J7917" s="8" t="str">
        <f>"森河内交番"</f>
        <v>森河内交番</v>
      </c>
      <c r="K7917" s="8" t="str">
        <f>"軽量鉄骨造"</f>
        <v>軽量鉄骨造</v>
      </c>
      <c r="L7917" s="8" t="str">
        <f>"R05.02.28"</f>
        <v>R05.02.28</v>
      </c>
      <c r="M7917" s="8">
        <v>48.44</v>
      </c>
      <c r="N7917" s="8">
        <v>36980337</v>
      </c>
      <c r="O7917" s="8">
        <v>130419</v>
      </c>
      <c r="P7917" s="8">
        <v>0</v>
      </c>
      <c r="Q7917" s="8" t="str">
        <f t="shared" si="2799"/>
        <v>公安委員会</v>
      </c>
      <c r="R7917" s="8" t="str">
        <f t="shared" si="2813"/>
        <v>布施警察署</v>
      </c>
    </row>
    <row r="7918" spans="1:18" x14ac:dyDescent="0.45">
      <c r="A7918" s="8" t="str">
        <f>"11562000370"</f>
        <v>11562000370</v>
      </c>
      <c r="B7918" s="8" t="str">
        <f>"足代北交番"</f>
        <v>足代北交番</v>
      </c>
      <c r="C7918" s="8" t="str">
        <f t="shared" si="2800"/>
        <v>行政財産</v>
      </c>
      <c r="D7918" s="8" t="str">
        <f t="shared" si="2801"/>
        <v>警察（消防）施設</v>
      </c>
      <c r="E7918" s="8" t="str">
        <f>"大阪府東大阪市足代北２丁目"</f>
        <v>大阪府東大阪市足代北２丁目</v>
      </c>
      <c r="F7918" s="8"/>
      <c r="G7918" s="8" t="str">
        <f t="shared" si="2812"/>
        <v>事業用資産</v>
      </c>
      <c r="H7918" s="8" t="str">
        <f t="shared" si="2807"/>
        <v>棚卸以外</v>
      </c>
      <c r="I7918" s="8">
        <v>1</v>
      </c>
      <c r="J7918" s="8" t="str">
        <f>"足代北交番"</f>
        <v>足代北交番</v>
      </c>
      <c r="K7918" s="8" t="str">
        <f>"鉄筋コンクリート造"</f>
        <v>鉄筋コンクリート造</v>
      </c>
      <c r="L7918" s="8" t="str">
        <f>"S41.03.30"</f>
        <v>S41.03.30</v>
      </c>
      <c r="M7918" s="8">
        <v>72.89</v>
      </c>
      <c r="N7918" s="8">
        <v>3945721</v>
      </c>
      <c r="O7918" s="8">
        <v>3931625</v>
      </c>
      <c r="P7918" s="8">
        <v>0</v>
      </c>
      <c r="Q7918" s="8" t="str">
        <f t="shared" si="2799"/>
        <v>公安委員会</v>
      </c>
      <c r="R7918" s="8" t="str">
        <f t="shared" si="2813"/>
        <v>布施警察署</v>
      </c>
    </row>
    <row r="7919" spans="1:18" x14ac:dyDescent="0.45">
      <c r="A7919" s="8" t="str">
        <f>"11562000390"</f>
        <v>11562000390</v>
      </c>
      <c r="B7919" s="8" t="str">
        <f>"稲田交番"</f>
        <v>稲田交番</v>
      </c>
      <c r="C7919" s="8" t="str">
        <f t="shared" si="2800"/>
        <v>行政財産</v>
      </c>
      <c r="D7919" s="8" t="str">
        <f t="shared" si="2801"/>
        <v>警察（消防）施設</v>
      </c>
      <c r="E7919" s="8" t="str">
        <f>"大阪府東大阪市稲田本町２丁目"</f>
        <v>大阪府東大阪市稲田本町２丁目</v>
      </c>
      <c r="F7919" s="8"/>
      <c r="G7919" s="8" t="str">
        <f t="shared" si="2812"/>
        <v>事業用資産</v>
      </c>
      <c r="H7919" s="8" t="str">
        <f t="shared" si="2807"/>
        <v>棚卸以外</v>
      </c>
      <c r="I7919" s="8">
        <v>1</v>
      </c>
      <c r="J7919" s="8" t="str">
        <f>"稲田交番"</f>
        <v>稲田交番</v>
      </c>
      <c r="K7919" s="8" t="str">
        <f>"鉄筋コンクリート造"</f>
        <v>鉄筋コンクリート造</v>
      </c>
      <c r="L7919" s="8" t="str">
        <f>"S42.12.01"</f>
        <v>S42.12.01</v>
      </c>
      <c r="M7919" s="8">
        <v>45.65</v>
      </c>
      <c r="N7919" s="8">
        <v>2340883</v>
      </c>
      <c r="O7919" s="8">
        <v>2329008</v>
      </c>
      <c r="P7919" s="8">
        <v>0</v>
      </c>
      <c r="Q7919" s="8" t="str">
        <f t="shared" si="2799"/>
        <v>公安委員会</v>
      </c>
      <c r="R7919" s="8" t="str">
        <f t="shared" si="2813"/>
        <v>布施警察署</v>
      </c>
    </row>
    <row r="7920" spans="1:18" x14ac:dyDescent="0.45">
      <c r="A7920" s="8" t="str">
        <f>"11562000400"</f>
        <v>11562000400</v>
      </c>
      <c r="B7920" s="8" t="str">
        <f>"上小阪交番"</f>
        <v>上小阪交番</v>
      </c>
      <c r="C7920" s="8" t="str">
        <f t="shared" si="2800"/>
        <v>行政財産</v>
      </c>
      <c r="D7920" s="8" t="str">
        <f t="shared" si="2801"/>
        <v>警察（消防）施設</v>
      </c>
      <c r="E7920" s="8" t="str">
        <f>"大阪府東大阪市新上小阪"</f>
        <v>大阪府東大阪市新上小阪</v>
      </c>
      <c r="F7920" s="8"/>
      <c r="G7920" s="8" t="str">
        <f t="shared" si="2812"/>
        <v>事業用資産</v>
      </c>
      <c r="H7920" s="8" t="str">
        <f t="shared" si="2807"/>
        <v>棚卸以外</v>
      </c>
      <c r="I7920" s="8">
        <v>1</v>
      </c>
      <c r="J7920" s="8" t="str">
        <f>"上小阪交番"</f>
        <v>上小阪交番</v>
      </c>
      <c r="K7920" s="8" t="str">
        <f>"鉄筋コンクリート造"</f>
        <v>鉄筋コンクリート造</v>
      </c>
      <c r="L7920" s="8" t="str">
        <f>"S43.03.30"</f>
        <v>S43.03.30</v>
      </c>
      <c r="M7920" s="8">
        <v>45.65</v>
      </c>
      <c r="N7920" s="8">
        <v>2246352</v>
      </c>
      <c r="O7920" s="8">
        <v>2237083</v>
      </c>
      <c r="P7920" s="8">
        <v>0</v>
      </c>
      <c r="Q7920" s="8" t="str">
        <f t="shared" si="2799"/>
        <v>公安委員会</v>
      </c>
      <c r="R7920" s="8" t="str">
        <f t="shared" si="2813"/>
        <v>布施警察署</v>
      </c>
    </row>
    <row r="7921" spans="1:18" x14ac:dyDescent="0.45">
      <c r="A7921" s="8" t="str">
        <f>"11562000410"</f>
        <v>11562000410</v>
      </c>
      <c r="B7921" s="8" t="str">
        <f>"八戸ノ里交番"</f>
        <v>八戸ノ里交番</v>
      </c>
      <c r="C7921" s="8" t="str">
        <f t="shared" si="2800"/>
        <v>行政財産</v>
      </c>
      <c r="D7921" s="8" t="str">
        <f t="shared" si="2801"/>
        <v>警察（消防）施設</v>
      </c>
      <c r="E7921" s="8" t="str">
        <f>"大阪府東大阪市小阪３丁目"</f>
        <v>大阪府東大阪市小阪３丁目</v>
      </c>
      <c r="F7921" s="8"/>
      <c r="G7921" s="8" t="str">
        <f t="shared" si="2812"/>
        <v>事業用資産</v>
      </c>
      <c r="H7921" s="8" t="str">
        <f t="shared" si="2807"/>
        <v>棚卸以外</v>
      </c>
      <c r="I7921" s="8">
        <v>2</v>
      </c>
      <c r="J7921" s="8" t="str">
        <f>"八戸ノ里交番"</f>
        <v>八戸ノ里交番</v>
      </c>
      <c r="K7921" s="8" t="str">
        <f>"鉄骨造"</f>
        <v>鉄骨造</v>
      </c>
      <c r="L7921" s="8" t="str">
        <f>"H05.12.15"</f>
        <v>H05.12.15</v>
      </c>
      <c r="M7921" s="8">
        <v>110.94</v>
      </c>
      <c r="N7921" s="8">
        <v>28117802</v>
      </c>
      <c r="O7921" s="8">
        <v>21635668</v>
      </c>
      <c r="P7921" s="8">
        <v>0</v>
      </c>
      <c r="Q7921" s="8" t="str">
        <f t="shared" si="2799"/>
        <v>公安委員会</v>
      </c>
      <c r="R7921" s="8" t="str">
        <f t="shared" si="2813"/>
        <v>布施警察署</v>
      </c>
    </row>
    <row r="7922" spans="1:18" x14ac:dyDescent="0.45">
      <c r="A7922" s="8" t="str">
        <f>"11562000430"</f>
        <v>11562000430</v>
      </c>
      <c r="B7922" s="8" t="str">
        <f>"小阪駅前交番"</f>
        <v>小阪駅前交番</v>
      </c>
      <c r="C7922" s="8" t="str">
        <f t="shared" si="2800"/>
        <v>行政財産</v>
      </c>
      <c r="D7922" s="8" t="str">
        <f t="shared" si="2801"/>
        <v>警察（消防）施設</v>
      </c>
      <c r="E7922" s="8" t="str">
        <f>"大阪府東大阪市小阪１丁目"</f>
        <v>大阪府東大阪市小阪１丁目</v>
      </c>
      <c r="F7922" s="8"/>
      <c r="G7922" s="8" t="str">
        <f t="shared" si="2812"/>
        <v>事業用資産</v>
      </c>
      <c r="H7922" s="8" t="str">
        <f t="shared" si="2807"/>
        <v>棚卸以外</v>
      </c>
      <c r="I7922" s="8">
        <v>1</v>
      </c>
      <c r="J7922" s="8" t="str">
        <f>"小阪駅前交番"</f>
        <v>小阪駅前交番</v>
      </c>
      <c r="K7922" s="8" t="str">
        <f>"鉄骨造"</f>
        <v>鉄骨造</v>
      </c>
      <c r="L7922" s="8" t="str">
        <f>"S53.03.31"</f>
        <v>S53.03.31</v>
      </c>
      <c r="M7922" s="8">
        <v>52.5</v>
      </c>
      <c r="N7922" s="8">
        <v>10503914</v>
      </c>
      <c r="O7922" s="8">
        <v>10494314</v>
      </c>
      <c r="P7922" s="8">
        <v>0</v>
      </c>
      <c r="Q7922" s="8" t="str">
        <f t="shared" si="2799"/>
        <v>公安委員会</v>
      </c>
      <c r="R7922" s="8" t="str">
        <f t="shared" si="2813"/>
        <v>布施警察署</v>
      </c>
    </row>
    <row r="7923" spans="1:18" x14ac:dyDescent="0.45">
      <c r="A7923" s="8" t="str">
        <f>"11562000460"</f>
        <v>11562000460</v>
      </c>
      <c r="B7923" s="8" t="str">
        <f>"永和交番"</f>
        <v>永和交番</v>
      </c>
      <c r="C7923" s="8" t="str">
        <f t="shared" si="2800"/>
        <v>行政財産</v>
      </c>
      <c r="D7923" s="8" t="str">
        <f t="shared" si="2801"/>
        <v>警察（消防）施設</v>
      </c>
      <c r="E7923" s="8" t="str">
        <f>"大阪府東大阪市永和１丁目"</f>
        <v>大阪府東大阪市永和１丁目</v>
      </c>
      <c r="F7923" s="8"/>
      <c r="G7923" s="8" t="str">
        <f t="shared" si="2812"/>
        <v>事業用資産</v>
      </c>
      <c r="H7923" s="8" t="str">
        <f t="shared" si="2807"/>
        <v>棚卸以外</v>
      </c>
      <c r="I7923" s="8">
        <v>1</v>
      </c>
      <c r="J7923" s="8" t="str">
        <f>"永和交番"</f>
        <v>永和交番</v>
      </c>
      <c r="K7923" s="8" t="str">
        <f>"鉄骨造"</f>
        <v>鉄骨造</v>
      </c>
      <c r="L7923" s="8" t="str">
        <f>"H08.01.31"</f>
        <v>H08.01.31</v>
      </c>
      <c r="M7923" s="8">
        <v>53.9</v>
      </c>
      <c r="N7923" s="8">
        <v>15555999</v>
      </c>
      <c r="O7923" s="8">
        <v>11114797</v>
      </c>
      <c r="P7923" s="8">
        <v>0</v>
      </c>
      <c r="Q7923" s="8" t="str">
        <f t="shared" ref="Q7923:Q7986" si="2814">"公安委員会"</f>
        <v>公安委員会</v>
      </c>
      <c r="R7923" s="8" t="str">
        <f t="shared" si="2813"/>
        <v>布施警察署</v>
      </c>
    </row>
    <row r="7924" spans="1:18" x14ac:dyDescent="0.45">
      <c r="A7924" s="8" t="str">
        <f>"11562000470"</f>
        <v>11562000470</v>
      </c>
      <c r="B7924" s="8" t="str">
        <f>"大蓮交番"</f>
        <v>大蓮交番</v>
      </c>
      <c r="C7924" s="8" t="str">
        <f t="shared" si="2800"/>
        <v>行政財産</v>
      </c>
      <c r="D7924" s="8" t="str">
        <f t="shared" si="2801"/>
        <v>警察（消防）施設</v>
      </c>
      <c r="E7924" s="8" t="str">
        <f>"大阪府東大阪市大蓮東２丁目"</f>
        <v>大阪府東大阪市大蓮東２丁目</v>
      </c>
      <c r="F7924" s="8"/>
      <c r="G7924" s="8" t="str">
        <f t="shared" si="2812"/>
        <v>事業用資産</v>
      </c>
      <c r="H7924" s="8" t="str">
        <f t="shared" si="2807"/>
        <v>棚卸以外</v>
      </c>
      <c r="I7924" s="8">
        <v>1</v>
      </c>
      <c r="J7924" s="8" t="str">
        <f>"大蓮交番"</f>
        <v>大蓮交番</v>
      </c>
      <c r="K7924" s="8" t="str">
        <f>"鉄骨造"</f>
        <v>鉄骨造</v>
      </c>
      <c r="L7924" s="8" t="str">
        <f>"H03.12.18"</f>
        <v>H03.12.18</v>
      </c>
      <c r="M7924" s="8">
        <v>111.89</v>
      </c>
      <c r="N7924" s="8">
        <v>25349708</v>
      </c>
      <c r="O7924" s="8">
        <v>20839998</v>
      </c>
      <c r="P7924" s="8">
        <v>0</v>
      </c>
      <c r="Q7924" s="8" t="str">
        <f t="shared" si="2814"/>
        <v>公安委員会</v>
      </c>
      <c r="R7924" s="8" t="str">
        <f t="shared" si="2813"/>
        <v>布施警察署</v>
      </c>
    </row>
    <row r="7925" spans="1:18" x14ac:dyDescent="0.45">
      <c r="A7925" s="8" t="str">
        <f>"11562003001"</f>
        <v>11562003001</v>
      </c>
      <c r="B7925" s="8" t="str">
        <f>"布施警察署"</f>
        <v>布施警察署</v>
      </c>
      <c r="C7925" s="8" t="str">
        <f t="shared" si="2800"/>
        <v>行政財産</v>
      </c>
      <c r="D7925" s="8" t="str">
        <f t="shared" si="2801"/>
        <v>警察（消防）施設</v>
      </c>
      <c r="E7925" s="8" t="str">
        <f>"大阪府東大阪市下小阪４丁目"</f>
        <v>大阪府東大阪市下小阪４丁目</v>
      </c>
      <c r="F7925" s="8"/>
      <c r="G7925" s="8" t="str">
        <f t="shared" si="2812"/>
        <v>事業用資産</v>
      </c>
      <c r="H7925" s="8" t="str">
        <f t="shared" si="2807"/>
        <v>棚卸以外</v>
      </c>
      <c r="I7925" s="8">
        <v>1</v>
      </c>
      <c r="J7925" s="8" t="str">
        <f>"庁舎"</f>
        <v>庁舎</v>
      </c>
      <c r="K7925" s="8" t="str">
        <f>"鉄筋コンクリート造"</f>
        <v>鉄筋コンクリート造</v>
      </c>
      <c r="L7925" s="8" t="str">
        <f>"H22.10.29"</f>
        <v>H22.10.29</v>
      </c>
      <c r="M7925" s="8">
        <v>7304.28</v>
      </c>
      <c r="N7925" s="8">
        <v>2161056987</v>
      </c>
      <c r="O7925" s="8">
        <v>537613511</v>
      </c>
      <c r="P7925" s="8">
        <v>0</v>
      </c>
      <c r="Q7925" s="8" t="str">
        <f t="shared" si="2814"/>
        <v>公安委員会</v>
      </c>
      <c r="R7925" s="8" t="str">
        <f t="shared" si="2813"/>
        <v>布施警察署</v>
      </c>
    </row>
    <row r="7926" spans="1:18" x14ac:dyDescent="0.45">
      <c r="A7926" s="8" t="str">
        <f>"11562003001"</f>
        <v>11562003001</v>
      </c>
      <c r="B7926" s="8" t="str">
        <f>"布施警察署"</f>
        <v>布施警察署</v>
      </c>
      <c r="C7926" s="8" t="str">
        <f t="shared" ref="C7926:C7989" si="2815">"行政財産"</f>
        <v>行政財産</v>
      </c>
      <c r="D7926" s="8" t="str">
        <f t="shared" si="2801"/>
        <v>警察（消防）施設</v>
      </c>
      <c r="E7926" s="8" t="str">
        <f>"大阪府東大阪市下小阪４丁目"</f>
        <v>大阪府東大阪市下小阪４丁目</v>
      </c>
      <c r="F7926" s="8"/>
      <c r="G7926" s="8" t="str">
        <f t="shared" si="2812"/>
        <v>事業用資産</v>
      </c>
      <c r="H7926" s="8" t="str">
        <f t="shared" si="2807"/>
        <v>棚卸以外</v>
      </c>
      <c r="I7926" s="8">
        <v>2</v>
      </c>
      <c r="J7926" s="8" t="str">
        <f>"公舎"</f>
        <v>公舎</v>
      </c>
      <c r="K7926" s="8" t="str">
        <f>"鉄筋コンクリート造"</f>
        <v>鉄筋コンクリート造</v>
      </c>
      <c r="L7926" s="8" t="str">
        <f>"H22.10.29"</f>
        <v>H22.10.29</v>
      </c>
      <c r="M7926" s="8">
        <v>83.16</v>
      </c>
      <c r="N7926" s="8">
        <v>16998000</v>
      </c>
      <c r="O7926" s="8">
        <v>4490711</v>
      </c>
      <c r="P7926" s="8">
        <v>0</v>
      </c>
      <c r="Q7926" s="8" t="str">
        <f t="shared" si="2814"/>
        <v>公安委員会</v>
      </c>
      <c r="R7926" s="8" t="str">
        <f t="shared" si="2813"/>
        <v>布施警察署</v>
      </c>
    </row>
    <row r="7927" spans="1:18" x14ac:dyDescent="0.45">
      <c r="A7927" s="8" t="str">
        <f>"11562003001"</f>
        <v>11562003001</v>
      </c>
      <c r="B7927" s="8" t="str">
        <f>"布施警察署"</f>
        <v>布施警察署</v>
      </c>
      <c r="C7927" s="8" t="str">
        <f t="shared" si="2815"/>
        <v>行政財産</v>
      </c>
      <c r="D7927" s="8" t="str">
        <f t="shared" si="2801"/>
        <v>警察（消防）施設</v>
      </c>
      <c r="E7927" s="8" t="str">
        <f>"大阪府東大阪市下小阪４丁目"</f>
        <v>大阪府東大阪市下小阪４丁目</v>
      </c>
      <c r="F7927" s="8"/>
      <c r="G7927" s="8" t="str">
        <f t="shared" si="2812"/>
        <v>事業用資産</v>
      </c>
      <c r="H7927" s="8" t="str">
        <f t="shared" si="2807"/>
        <v>棚卸以外</v>
      </c>
      <c r="I7927" s="8">
        <v>3</v>
      </c>
      <c r="J7927" s="8" t="str">
        <f>"車庫棟１"</f>
        <v>車庫棟１</v>
      </c>
      <c r="K7927" s="8" t="str">
        <f>"鉄筋コンクリート造"</f>
        <v>鉄筋コンクリート造</v>
      </c>
      <c r="L7927" s="8" t="str">
        <f>"H22.10.29"</f>
        <v>H22.10.29</v>
      </c>
      <c r="M7927" s="8">
        <v>391.68</v>
      </c>
      <c r="N7927" s="8">
        <v>34779497</v>
      </c>
      <c r="O7927" s="8">
        <v>11364379</v>
      </c>
      <c r="P7927" s="8">
        <v>0</v>
      </c>
      <c r="Q7927" s="8" t="str">
        <f t="shared" si="2814"/>
        <v>公安委員会</v>
      </c>
      <c r="R7927" s="8" t="str">
        <f t="shared" si="2813"/>
        <v>布施警察署</v>
      </c>
    </row>
    <row r="7928" spans="1:18" x14ac:dyDescent="0.45">
      <c r="A7928" s="8" t="str">
        <f>"11562003001"</f>
        <v>11562003001</v>
      </c>
      <c r="B7928" s="8" t="str">
        <f>"布施警察署"</f>
        <v>布施警察署</v>
      </c>
      <c r="C7928" s="8" t="str">
        <f t="shared" si="2815"/>
        <v>行政財産</v>
      </c>
      <c r="D7928" s="8" t="str">
        <f t="shared" si="2801"/>
        <v>警察（消防）施設</v>
      </c>
      <c r="E7928" s="8" t="str">
        <f>"大阪府東大阪市下小阪４丁目"</f>
        <v>大阪府東大阪市下小阪４丁目</v>
      </c>
      <c r="F7928" s="8"/>
      <c r="G7928" s="8" t="str">
        <f t="shared" si="2812"/>
        <v>事業用資産</v>
      </c>
      <c r="H7928" s="8" t="str">
        <f t="shared" si="2807"/>
        <v>棚卸以外</v>
      </c>
      <c r="I7928" s="8">
        <v>4</v>
      </c>
      <c r="J7928" s="8" t="str">
        <f>"車庫棟２"</f>
        <v>車庫棟２</v>
      </c>
      <c r="K7928" s="8" t="str">
        <f>"鉄骨造"</f>
        <v>鉄骨造</v>
      </c>
      <c r="L7928" s="8" t="str">
        <f>"H22.10.29"</f>
        <v>H22.10.29</v>
      </c>
      <c r="M7928" s="8">
        <v>341.77</v>
      </c>
      <c r="N7928" s="8">
        <v>57634000</v>
      </c>
      <c r="O7928" s="8">
        <v>23084719</v>
      </c>
      <c r="P7928" s="8">
        <v>0</v>
      </c>
      <c r="Q7928" s="8" t="str">
        <f t="shared" si="2814"/>
        <v>公安委員会</v>
      </c>
      <c r="R7928" s="8" t="str">
        <f t="shared" si="2813"/>
        <v>布施警察署</v>
      </c>
    </row>
    <row r="7929" spans="1:18" x14ac:dyDescent="0.45">
      <c r="A7929" s="8" t="str">
        <f>"11562003001"</f>
        <v>11562003001</v>
      </c>
      <c r="B7929" s="8" t="str">
        <f>"布施警察署"</f>
        <v>布施警察署</v>
      </c>
      <c r="C7929" s="8" t="str">
        <f t="shared" si="2815"/>
        <v>行政財産</v>
      </c>
      <c r="D7929" s="8" t="str">
        <f t="shared" si="2801"/>
        <v>警察（消防）施設</v>
      </c>
      <c r="E7929" s="8" t="str">
        <f>"大阪府東大阪市下小阪４丁目"</f>
        <v>大阪府東大阪市下小阪４丁目</v>
      </c>
      <c r="F7929" s="8"/>
      <c r="G7929" s="8" t="str">
        <f t="shared" si="2812"/>
        <v>事業用資産</v>
      </c>
      <c r="H7929" s="8" t="str">
        <f t="shared" si="2807"/>
        <v>棚卸以外</v>
      </c>
      <c r="I7929" s="8">
        <v>5</v>
      </c>
      <c r="J7929" s="8" t="str">
        <f>"車庫棟３"</f>
        <v>車庫棟３</v>
      </c>
      <c r="K7929" s="8" t="str">
        <f>"鉄筋コンクリート造"</f>
        <v>鉄筋コンクリート造</v>
      </c>
      <c r="L7929" s="8" t="str">
        <f>"H22.10.29"</f>
        <v>H22.10.29</v>
      </c>
      <c r="M7929" s="8">
        <v>271.5</v>
      </c>
      <c r="N7929" s="8">
        <v>20846000</v>
      </c>
      <c r="O7929" s="8">
        <v>6811535</v>
      </c>
      <c r="P7929" s="8">
        <v>0</v>
      </c>
      <c r="Q7929" s="8" t="str">
        <f t="shared" si="2814"/>
        <v>公安委員会</v>
      </c>
      <c r="R7929" s="8" t="str">
        <f t="shared" si="2813"/>
        <v>布施警察署</v>
      </c>
    </row>
    <row r="7930" spans="1:18" x14ac:dyDescent="0.45">
      <c r="A7930" s="8" t="str">
        <f>"11562003002"</f>
        <v>11562003002</v>
      </c>
      <c r="B7930" s="8" t="str">
        <f>"荒本　交番"</f>
        <v>荒本　交番</v>
      </c>
      <c r="C7930" s="8" t="str">
        <f t="shared" si="2815"/>
        <v>行政財産</v>
      </c>
      <c r="D7930" s="8" t="str">
        <f t="shared" si="2801"/>
        <v>警察（消防）施設</v>
      </c>
      <c r="E7930" s="8" t="str">
        <f>"大阪府東大阪市荒本新町"</f>
        <v>大阪府東大阪市荒本新町</v>
      </c>
      <c r="F7930" s="8"/>
      <c r="G7930" s="8" t="str">
        <f t="shared" si="2812"/>
        <v>事業用資産</v>
      </c>
      <c r="H7930" s="8" t="str">
        <f t="shared" si="2807"/>
        <v>棚卸以外</v>
      </c>
      <c r="I7930" s="8">
        <v>1</v>
      </c>
      <c r="J7930" s="8" t="str">
        <f>"荒本交番"</f>
        <v>荒本交番</v>
      </c>
      <c r="K7930" s="8" t="str">
        <f>"軽量鉄骨造"</f>
        <v>軽量鉄骨造</v>
      </c>
      <c r="L7930" s="8" t="str">
        <f>"H25.03.07"</f>
        <v>H25.03.07</v>
      </c>
      <c r="M7930" s="8">
        <v>45.5</v>
      </c>
      <c r="N7930" s="8">
        <v>21349256</v>
      </c>
      <c r="O7930" s="8">
        <v>8073070</v>
      </c>
      <c r="P7930" s="8">
        <v>0</v>
      </c>
      <c r="Q7930" s="8" t="str">
        <f t="shared" si="2814"/>
        <v>公安委員会</v>
      </c>
      <c r="R7930" s="8" t="str">
        <f t="shared" si="2813"/>
        <v>布施警察署</v>
      </c>
    </row>
    <row r="7931" spans="1:18" x14ac:dyDescent="0.45">
      <c r="A7931" s="8" t="str">
        <f>"11563000000"</f>
        <v>11563000000</v>
      </c>
      <c r="B7931" s="8" t="str">
        <f>"八尾警察署"</f>
        <v>八尾警察署</v>
      </c>
      <c r="C7931" s="8" t="str">
        <f t="shared" si="2815"/>
        <v>行政財産</v>
      </c>
      <c r="D7931" s="8" t="str">
        <f t="shared" si="2801"/>
        <v>警察（消防）施設</v>
      </c>
      <c r="E7931" s="8" t="str">
        <f>"大阪府八尾市高町"</f>
        <v>大阪府八尾市高町</v>
      </c>
      <c r="F7931" s="8"/>
      <c r="G7931" s="8" t="str">
        <f t="shared" si="2812"/>
        <v>事業用資産</v>
      </c>
      <c r="H7931" s="8" t="str">
        <f t="shared" si="2807"/>
        <v>棚卸以外</v>
      </c>
      <c r="I7931" s="8">
        <v>15</v>
      </c>
      <c r="J7931" s="8" t="str">
        <f>"本館"</f>
        <v>本館</v>
      </c>
      <c r="K7931" s="8" t="str">
        <f>"鉄筋コンクリート造"</f>
        <v>鉄筋コンクリート造</v>
      </c>
      <c r="L7931" s="8" t="str">
        <f>"S41.03.25"</f>
        <v>S41.03.25</v>
      </c>
      <c r="M7931" s="8">
        <v>3772.48</v>
      </c>
      <c r="N7931" s="8">
        <v>942484652</v>
      </c>
      <c r="O7931" s="8">
        <v>840430536</v>
      </c>
      <c r="P7931" s="8">
        <v>0</v>
      </c>
      <c r="Q7931" s="8" t="str">
        <f t="shared" si="2814"/>
        <v>公安委員会</v>
      </c>
      <c r="R7931" s="8" t="str">
        <f t="shared" ref="R7931:R7955" si="2816">"八尾警察署"</f>
        <v>八尾警察署</v>
      </c>
    </row>
    <row r="7932" spans="1:18" x14ac:dyDescent="0.45">
      <c r="A7932" s="8" t="str">
        <f>"11563000000"</f>
        <v>11563000000</v>
      </c>
      <c r="B7932" s="8" t="str">
        <f>"八尾警察署"</f>
        <v>八尾警察署</v>
      </c>
      <c r="C7932" s="8" t="str">
        <f t="shared" si="2815"/>
        <v>行政財産</v>
      </c>
      <c r="D7932" s="8" t="str">
        <f t="shared" ref="D7932:D7995" si="2817">"警察（消防）施設"</f>
        <v>警察（消防）施設</v>
      </c>
      <c r="E7932" s="8" t="str">
        <f>"大阪府八尾市高町"</f>
        <v>大阪府八尾市高町</v>
      </c>
      <c r="F7932" s="8"/>
      <c r="G7932" s="8" t="str">
        <f t="shared" si="2812"/>
        <v>事業用資産</v>
      </c>
      <c r="H7932" s="8" t="str">
        <f t="shared" si="2807"/>
        <v>棚卸以外</v>
      </c>
      <c r="I7932" s="8">
        <v>28</v>
      </c>
      <c r="J7932" s="8" t="str">
        <f>"車庫及び倉庫"</f>
        <v>車庫及び倉庫</v>
      </c>
      <c r="K7932" s="8" t="str">
        <f>"鉄骨造"</f>
        <v>鉄骨造</v>
      </c>
      <c r="L7932" s="8" t="str">
        <f>"S59.02.03"</f>
        <v>S59.02.03</v>
      </c>
      <c r="M7932" s="8">
        <v>281.26</v>
      </c>
      <c r="N7932" s="8">
        <v>20757000</v>
      </c>
      <c r="O7932" s="8">
        <v>20756999</v>
      </c>
      <c r="P7932" s="8">
        <v>0</v>
      </c>
      <c r="Q7932" s="8" t="str">
        <f t="shared" si="2814"/>
        <v>公安委員会</v>
      </c>
      <c r="R7932" s="8" t="str">
        <f t="shared" si="2816"/>
        <v>八尾警察署</v>
      </c>
    </row>
    <row r="7933" spans="1:18" x14ac:dyDescent="0.45">
      <c r="A7933" s="8" t="str">
        <f>"11563000000"</f>
        <v>11563000000</v>
      </c>
      <c r="B7933" s="8" t="str">
        <f>"八尾警察署"</f>
        <v>八尾警察署</v>
      </c>
      <c r="C7933" s="8" t="str">
        <f t="shared" si="2815"/>
        <v>行政財産</v>
      </c>
      <c r="D7933" s="8" t="str">
        <f t="shared" si="2817"/>
        <v>警察（消防）施設</v>
      </c>
      <c r="E7933" s="8" t="str">
        <f>"大阪府八尾市高町"</f>
        <v>大阪府八尾市高町</v>
      </c>
      <c r="F7933" s="8"/>
      <c r="G7933" s="8" t="str">
        <f t="shared" si="2812"/>
        <v>事業用資産</v>
      </c>
      <c r="H7933" s="8" t="str">
        <f t="shared" si="2807"/>
        <v>棚卸以外</v>
      </c>
      <c r="I7933" s="8">
        <v>29</v>
      </c>
      <c r="J7933" s="8" t="str">
        <f>"油庫霊安室"</f>
        <v>油庫霊安室</v>
      </c>
      <c r="K7933" s="8" t="str">
        <f>"鉄骨造"</f>
        <v>鉄骨造</v>
      </c>
      <c r="L7933" s="8" t="str">
        <f>"S59.02.03"</f>
        <v>S59.02.03</v>
      </c>
      <c r="M7933" s="8">
        <v>15.04</v>
      </c>
      <c r="N7933" s="8">
        <v>2379000</v>
      </c>
      <c r="O7933" s="8">
        <v>2378999</v>
      </c>
      <c r="P7933" s="8">
        <v>0</v>
      </c>
      <c r="Q7933" s="8" t="str">
        <f t="shared" si="2814"/>
        <v>公安委員会</v>
      </c>
      <c r="R7933" s="8" t="str">
        <f t="shared" si="2816"/>
        <v>八尾警察署</v>
      </c>
    </row>
    <row r="7934" spans="1:18" x14ac:dyDescent="0.45">
      <c r="A7934" s="8" t="str">
        <f>"11563000120"</f>
        <v>11563000120</v>
      </c>
      <c r="B7934" s="8" t="str">
        <f>"八尾駅前交番"</f>
        <v>八尾駅前交番</v>
      </c>
      <c r="C7934" s="8" t="str">
        <f t="shared" si="2815"/>
        <v>行政財産</v>
      </c>
      <c r="D7934" s="8" t="str">
        <f t="shared" si="2817"/>
        <v>警察（消防）施設</v>
      </c>
      <c r="E7934" s="8" t="str">
        <f>"大阪府八尾市安中町３丁目"</f>
        <v>大阪府八尾市安中町３丁目</v>
      </c>
      <c r="F7934" s="8"/>
      <c r="G7934" s="8" t="str">
        <f t="shared" si="2812"/>
        <v>事業用資産</v>
      </c>
      <c r="H7934" s="8" t="str">
        <f t="shared" si="2807"/>
        <v>棚卸以外</v>
      </c>
      <c r="I7934" s="8">
        <v>3</v>
      </c>
      <c r="J7934" s="8" t="str">
        <f>"八尾駅前交番"</f>
        <v>八尾駅前交番</v>
      </c>
      <c r="K7934" s="8" t="str">
        <f>"軽量鉄骨造"</f>
        <v>軽量鉄骨造</v>
      </c>
      <c r="L7934" s="8" t="str">
        <f>"H22.01.29"</f>
        <v>H22.01.29</v>
      </c>
      <c r="M7934" s="8">
        <v>31.79</v>
      </c>
      <c r="N7934" s="8">
        <v>7087759</v>
      </c>
      <c r="O7934" s="8">
        <v>3087770</v>
      </c>
      <c r="P7934" s="8">
        <v>0</v>
      </c>
      <c r="Q7934" s="8" t="str">
        <f t="shared" si="2814"/>
        <v>公安委員会</v>
      </c>
      <c r="R7934" s="8" t="str">
        <f t="shared" si="2816"/>
        <v>八尾警察署</v>
      </c>
    </row>
    <row r="7935" spans="1:18" x14ac:dyDescent="0.45">
      <c r="A7935" s="8" t="str">
        <f>"11563000190"</f>
        <v>11563000190</v>
      </c>
      <c r="B7935" s="8" t="str">
        <f>"久宝寺警ら連絡所"</f>
        <v>久宝寺警ら連絡所</v>
      </c>
      <c r="C7935" s="8" t="str">
        <f t="shared" si="2815"/>
        <v>行政財産</v>
      </c>
      <c r="D7935" s="8" t="str">
        <f t="shared" si="2817"/>
        <v>警察（消防）施設</v>
      </c>
      <c r="E7935" s="8" t="str">
        <f>"大阪府八尾市久宝寺３丁目"</f>
        <v>大阪府八尾市久宝寺３丁目</v>
      </c>
      <c r="F7935" s="8"/>
      <c r="G7935" s="8" t="str">
        <f t="shared" si="2812"/>
        <v>事業用資産</v>
      </c>
      <c r="H7935" s="8" t="str">
        <f t="shared" si="2807"/>
        <v>棚卸以外</v>
      </c>
      <c r="I7935" s="8">
        <v>1</v>
      </c>
      <c r="J7935" s="8" t="str">
        <f>"久宝寺警ら連絡所"</f>
        <v>久宝寺警ら連絡所</v>
      </c>
      <c r="K7935" s="8" t="str">
        <f>"木造"</f>
        <v>木造</v>
      </c>
      <c r="L7935" s="8" t="str">
        <f>"S03.04.01"</f>
        <v>S03.04.01</v>
      </c>
      <c r="M7935" s="8">
        <v>54.54</v>
      </c>
      <c r="N7935" s="8">
        <v>160063</v>
      </c>
      <c r="O7935" s="8">
        <v>160062</v>
      </c>
      <c r="P7935" s="8">
        <v>0</v>
      </c>
      <c r="Q7935" s="8" t="str">
        <f t="shared" si="2814"/>
        <v>公安委員会</v>
      </c>
      <c r="R7935" s="8" t="str">
        <f t="shared" si="2816"/>
        <v>八尾警察署</v>
      </c>
    </row>
    <row r="7936" spans="1:18" x14ac:dyDescent="0.45">
      <c r="A7936" s="8" t="str">
        <f>"11563000230"</f>
        <v>11563000230</v>
      </c>
      <c r="B7936" s="8" t="str">
        <f>"服部川交番"</f>
        <v>服部川交番</v>
      </c>
      <c r="C7936" s="8" t="str">
        <f t="shared" si="2815"/>
        <v>行政財産</v>
      </c>
      <c r="D7936" s="8" t="str">
        <f t="shared" si="2817"/>
        <v>警察（消防）施設</v>
      </c>
      <c r="E7936" s="8" t="str">
        <f>"大阪府八尾市服部川５丁目"</f>
        <v>大阪府八尾市服部川５丁目</v>
      </c>
      <c r="F7936" s="8"/>
      <c r="G7936" s="8" t="str">
        <f t="shared" si="2812"/>
        <v>事業用資産</v>
      </c>
      <c r="H7936" s="8" t="str">
        <f t="shared" si="2807"/>
        <v>棚卸以外</v>
      </c>
      <c r="I7936" s="8">
        <v>2</v>
      </c>
      <c r="J7936" s="8" t="str">
        <f>"服部川交番"</f>
        <v>服部川交番</v>
      </c>
      <c r="K7936" s="8" t="str">
        <f>"鉄筋コンクリート造"</f>
        <v>鉄筋コンクリート造</v>
      </c>
      <c r="L7936" s="8" t="str">
        <f>"S58.03.30"</f>
        <v>S58.03.30</v>
      </c>
      <c r="M7936" s="8">
        <v>54</v>
      </c>
      <c r="N7936" s="8">
        <v>15838633</v>
      </c>
      <c r="O7936" s="8">
        <v>12627924</v>
      </c>
      <c r="P7936" s="8">
        <v>0</v>
      </c>
      <c r="Q7936" s="8" t="str">
        <f t="shared" si="2814"/>
        <v>公安委員会</v>
      </c>
      <c r="R7936" s="8" t="str">
        <f t="shared" si="2816"/>
        <v>八尾警察署</v>
      </c>
    </row>
    <row r="7937" spans="1:18" x14ac:dyDescent="0.45">
      <c r="A7937" s="8" t="str">
        <f>"11563000240"</f>
        <v>11563000240</v>
      </c>
      <c r="B7937" s="8" t="str">
        <f>"八尾木交番"</f>
        <v>八尾木交番</v>
      </c>
      <c r="C7937" s="8" t="str">
        <f t="shared" si="2815"/>
        <v>行政財産</v>
      </c>
      <c r="D7937" s="8" t="str">
        <f t="shared" si="2817"/>
        <v>警察（消防）施設</v>
      </c>
      <c r="E7937" s="8" t="str">
        <f>"大阪府八尾市八尾木４丁目"</f>
        <v>大阪府八尾市八尾木４丁目</v>
      </c>
      <c r="F7937" s="8"/>
      <c r="G7937" s="8" t="str">
        <f t="shared" si="2812"/>
        <v>事業用資産</v>
      </c>
      <c r="H7937" s="8" t="str">
        <f t="shared" si="2807"/>
        <v>棚卸以外</v>
      </c>
      <c r="I7937" s="8">
        <v>2</v>
      </c>
      <c r="J7937" s="8" t="str">
        <f>"八尾木交番"</f>
        <v>八尾木交番</v>
      </c>
      <c r="K7937" s="8" t="str">
        <f>"鉄筋コンクリート造"</f>
        <v>鉄筋コンクリート造</v>
      </c>
      <c r="L7937" s="8" t="str">
        <f>"S48.03.31"</f>
        <v>S48.03.31</v>
      </c>
      <c r="M7937" s="8">
        <v>49.5</v>
      </c>
      <c r="N7937" s="8">
        <v>3486787</v>
      </c>
      <c r="O7937" s="8">
        <v>3427063</v>
      </c>
      <c r="P7937" s="8">
        <v>0</v>
      </c>
      <c r="Q7937" s="8" t="str">
        <f t="shared" si="2814"/>
        <v>公安委員会</v>
      </c>
      <c r="R7937" s="8" t="str">
        <f t="shared" si="2816"/>
        <v>八尾警察署</v>
      </c>
    </row>
    <row r="7938" spans="1:18" x14ac:dyDescent="0.45">
      <c r="A7938" s="8" t="str">
        <f>"11563000250"</f>
        <v>11563000250</v>
      </c>
      <c r="B7938" s="8" t="str">
        <f>"田井中交番"</f>
        <v>田井中交番</v>
      </c>
      <c r="C7938" s="8" t="str">
        <f t="shared" si="2815"/>
        <v>行政財産</v>
      </c>
      <c r="D7938" s="8" t="str">
        <f t="shared" si="2817"/>
        <v>警察（消防）施設</v>
      </c>
      <c r="E7938" s="8" t="str">
        <f>"大阪府八尾市老原１丁目"</f>
        <v>大阪府八尾市老原１丁目</v>
      </c>
      <c r="F7938" s="8"/>
      <c r="G7938" s="8" t="str">
        <f t="shared" si="2812"/>
        <v>事業用資産</v>
      </c>
      <c r="H7938" s="8" t="str">
        <f t="shared" si="2807"/>
        <v>棚卸以外</v>
      </c>
      <c r="I7938" s="8">
        <v>4</v>
      </c>
      <c r="J7938" s="8" t="str">
        <f>"田井中交番"</f>
        <v>田井中交番</v>
      </c>
      <c r="K7938" s="8" t="str">
        <f>"鉄骨造"</f>
        <v>鉄骨造</v>
      </c>
      <c r="L7938" s="8" t="str">
        <f>"H06.01.20"</f>
        <v>H06.01.20</v>
      </c>
      <c r="M7938" s="8">
        <v>53.9</v>
      </c>
      <c r="N7938" s="8">
        <v>20003790</v>
      </c>
      <c r="O7938" s="8">
        <v>15302460</v>
      </c>
      <c r="P7938" s="8">
        <v>0</v>
      </c>
      <c r="Q7938" s="8" t="str">
        <f t="shared" si="2814"/>
        <v>公安委員会</v>
      </c>
      <c r="R7938" s="8" t="str">
        <f t="shared" si="2816"/>
        <v>八尾警察署</v>
      </c>
    </row>
    <row r="7939" spans="1:18" x14ac:dyDescent="0.45">
      <c r="A7939" s="8" t="str">
        <f>"11563000260"</f>
        <v>11563000260</v>
      </c>
      <c r="B7939" s="8" t="str">
        <f>"幸町交番"</f>
        <v>幸町交番</v>
      </c>
      <c r="C7939" s="8" t="str">
        <f t="shared" si="2815"/>
        <v>行政財産</v>
      </c>
      <c r="D7939" s="8" t="str">
        <f t="shared" si="2817"/>
        <v>警察（消防）施設</v>
      </c>
      <c r="E7939" s="8" t="str">
        <f>"大阪府八尾市幸町３丁目"</f>
        <v>大阪府八尾市幸町３丁目</v>
      </c>
      <c r="F7939" s="8"/>
      <c r="G7939" s="8" t="str">
        <f t="shared" si="2812"/>
        <v>事業用資産</v>
      </c>
      <c r="H7939" s="8" t="str">
        <f t="shared" si="2807"/>
        <v>棚卸以外</v>
      </c>
      <c r="I7939" s="8">
        <v>3</v>
      </c>
      <c r="J7939" s="8" t="str">
        <f>"幸町交番"</f>
        <v>幸町交番</v>
      </c>
      <c r="K7939" s="8" t="str">
        <f>"鉄筋コンクリート造"</f>
        <v>鉄筋コンクリート造</v>
      </c>
      <c r="L7939" s="8" t="str">
        <f>"S62.03.27"</f>
        <v>S62.03.27</v>
      </c>
      <c r="M7939" s="8">
        <v>54</v>
      </c>
      <c r="N7939" s="8">
        <v>14888747</v>
      </c>
      <c r="O7939" s="8">
        <v>10685886</v>
      </c>
      <c r="P7939" s="8">
        <v>0</v>
      </c>
      <c r="Q7939" s="8" t="str">
        <f t="shared" si="2814"/>
        <v>公安委員会</v>
      </c>
      <c r="R7939" s="8" t="str">
        <f t="shared" si="2816"/>
        <v>八尾警察署</v>
      </c>
    </row>
    <row r="7940" spans="1:18" x14ac:dyDescent="0.45">
      <c r="A7940" s="8" t="str">
        <f>"11563000260"</f>
        <v>11563000260</v>
      </c>
      <c r="B7940" s="8" t="str">
        <f>"幸町交番"</f>
        <v>幸町交番</v>
      </c>
      <c r="C7940" s="8" t="str">
        <f t="shared" si="2815"/>
        <v>行政財産</v>
      </c>
      <c r="D7940" s="8" t="str">
        <f t="shared" si="2817"/>
        <v>警察（消防）施設</v>
      </c>
      <c r="E7940" s="8" t="str">
        <f>"大阪府八尾市幸町３丁目"</f>
        <v>大阪府八尾市幸町３丁目</v>
      </c>
      <c r="F7940" s="8"/>
      <c r="G7940" s="8" t="str">
        <f t="shared" si="2812"/>
        <v>事業用資産</v>
      </c>
      <c r="H7940" s="8" t="str">
        <f t="shared" ref="H7940:H8003" si="2818">"棚卸以外"</f>
        <v>棚卸以外</v>
      </c>
      <c r="I7940" s="8">
        <v>4</v>
      </c>
      <c r="J7940" s="8" t="str">
        <f>"自転車置場"</f>
        <v>自転車置場</v>
      </c>
      <c r="K7940" s="8" t="str">
        <f>"軽量鉄骨造"</f>
        <v>軽量鉄骨造</v>
      </c>
      <c r="L7940" s="8" t="str">
        <f>"S62.03.27"</f>
        <v>S62.03.27</v>
      </c>
      <c r="M7940" s="8">
        <v>6</v>
      </c>
      <c r="N7940" s="8">
        <v>227000</v>
      </c>
      <c r="O7940" s="8">
        <v>226999</v>
      </c>
      <c r="P7940" s="8">
        <v>0</v>
      </c>
      <c r="Q7940" s="8" t="str">
        <f t="shared" si="2814"/>
        <v>公安委員会</v>
      </c>
      <c r="R7940" s="8" t="str">
        <f t="shared" si="2816"/>
        <v>八尾警察署</v>
      </c>
    </row>
    <row r="7941" spans="1:18" x14ac:dyDescent="0.45">
      <c r="A7941" s="8" t="str">
        <f>"11563000270"</f>
        <v>11563000270</v>
      </c>
      <c r="B7941" s="8" t="str">
        <f>"本町交番"</f>
        <v>本町交番</v>
      </c>
      <c r="C7941" s="8" t="str">
        <f t="shared" si="2815"/>
        <v>行政財産</v>
      </c>
      <c r="D7941" s="8" t="str">
        <f t="shared" si="2817"/>
        <v>警察（消防）施設</v>
      </c>
      <c r="E7941" s="8" t="str">
        <f>"大阪府八尾市本町１丁目"</f>
        <v>大阪府八尾市本町１丁目</v>
      </c>
      <c r="F7941" s="8"/>
      <c r="G7941" s="8" t="str">
        <f t="shared" si="2812"/>
        <v>事業用資産</v>
      </c>
      <c r="H7941" s="8" t="str">
        <f t="shared" si="2818"/>
        <v>棚卸以外</v>
      </c>
      <c r="I7941" s="8">
        <v>1</v>
      </c>
      <c r="J7941" s="8" t="str">
        <f>"本町交番"</f>
        <v>本町交番</v>
      </c>
      <c r="K7941" s="8" t="str">
        <f>"鉄筋コンクリート造"</f>
        <v>鉄筋コンクリート造</v>
      </c>
      <c r="L7941" s="8" t="str">
        <f>"S43.03.16"</f>
        <v>S43.03.16</v>
      </c>
      <c r="M7941" s="8">
        <v>45.65</v>
      </c>
      <c r="N7941" s="8">
        <v>2409500</v>
      </c>
      <c r="O7941" s="8">
        <v>2346183</v>
      </c>
      <c r="P7941" s="8">
        <v>0</v>
      </c>
      <c r="Q7941" s="8" t="str">
        <f t="shared" si="2814"/>
        <v>公安委員会</v>
      </c>
      <c r="R7941" s="8" t="str">
        <f t="shared" si="2816"/>
        <v>八尾警察署</v>
      </c>
    </row>
    <row r="7942" spans="1:18" x14ac:dyDescent="0.45">
      <c r="A7942" s="8" t="str">
        <f>"11563000280"</f>
        <v>11563000280</v>
      </c>
      <c r="B7942" s="8" t="str">
        <f>"亀井交番"</f>
        <v>亀井交番</v>
      </c>
      <c r="C7942" s="8" t="str">
        <f t="shared" si="2815"/>
        <v>行政財産</v>
      </c>
      <c r="D7942" s="8" t="str">
        <f t="shared" si="2817"/>
        <v>警察（消防）施設</v>
      </c>
      <c r="E7942" s="8" t="str">
        <f>"大阪府八尾市竹渕東１丁目"</f>
        <v>大阪府八尾市竹渕東１丁目</v>
      </c>
      <c r="F7942" s="8"/>
      <c r="G7942" s="8" t="str">
        <f t="shared" si="2812"/>
        <v>事業用資産</v>
      </c>
      <c r="H7942" s="8" t="str">
        <f t="shared" si="2818"/>
        <v>棚卸以外</v>
      </c>
      <c r="I7942" s="8">
        <v>2</v>
      </c>
      <c r="J7942" s="8" t="str">
        <f>"亀井交番"</f>
        <v>亀井交番</v>
      </c>
      <c r="K7942" s="8" t="str">
        <f>"鉄骨造"</f>
        <v>鉄骨造</v>
      </c>
      <c r="L7942" s="8" t="str">
        <f>"H22.03.24"</f>
        <v>H22.03.24</v>
      </c>
      <c r="M7942" s="8">
        <v>54</v>
      </c>
      <c r="N7942" s="8">
        <v>20134082</v>
      </c>
      <c r="O7942" s="8">
        <v>6870990</v>
      </c>
      <c r="P7942" s="8">
        <v>0</v>
      </c>
      <c r="Q7942" s="8" t="str">
        <f t="shared" si="2814"/>
        <v>公安委員会</v>
      </c>
      <c r="R7942" s="8" t="str">
        <f t="shared" si="2816"/>
        <v>八尾警察署</v>
      </c>
    </row>
    <row r="7943" spans="1:18" x14ac:dyDescent="0.45">
      <c r="A7943" s="8" t="str">
        <f>"11563000290"</f>
        <v>11563000290</v>
      </c>
      <c r="B7943" s="8" t="str">
        <f>"北山本交番"</f>
        <v>北山本交番</v>
      </c>
      <c r="C7943" s="8" t="str">
        <f t="shared" si="2815"/>
        <v>行政財産</v>
      </c>
      <c r="D7943" s="8" t="str">
        <f t="shared" si="2817"/>
        <v>警察（消防）施設</v>
      </c>
      <c r="E7943" s="8" t="str">
        <f>"大阪府八尾市山本町北５丁目"</f>
        <v>大阪府八尾市山本町北５丁目</v>
      </c>
      <c r="F7943" s="8"/>
      <c r="G7943" s="8" t="str">
        <f t="shared" si="2812"/>
        <v>事業用資産</v>
      </c>
      <c r="H7943" s="8" t="str">
        <f t="shared" si="2818"/>
        <v>棚卸以外</v>
      </c>
      <c r="I7943" s="8">
        <v>1</v>
      </c>
      <c r="J7943" s="8" t="str">
        <f>"北山本交番"</f>
        <v>北山本交番</v>
      </c>
      <c r="K7943" s="8" t="str">
        <f>"鉄筋コンクリート造"</f>
        <v>鉄筋コンクリート造</v>
      </c>
      <c r="L7943" s="8" t="str">
        <f>"S44.12.16"</f>
        <v>S44.12.16</v>
      </c>
      <c r="M7943" s="8">
        <v>29.75</v>
      </c>
      <c r="N7943" s="8">
        <v>1931168</v>
      </c>
      <c r="O7943" s="8">
        <v>1857903</v>
      </c>
      <c r="P7943" s="8">
        <v>0</v>
      </c>
      <c r="Q7943" s="8" t="str">
        <f t="shared" si="2814"/>
        <v>公安委員会</v>
      </c>
      <c r="R7943" s="8" t="str">
        <f t="shared" si="2816"/>
        <v>八尾警察署</v>
      </c>
    </row>
    <row r="7944" spans="1:18" x14ac:dyDescent="0.45">
      <c r="A7944" s="8" t="str">
        <f>"11563000300"</f>
        <v>11563000300</v>
      </c>
      <c r="B7944" s="8" t="str">
        <f>"太子堂交番"</f>
        <v>太子堂交番</v>
      </c>
      <c r="C7944" s="8" t="str">
        <f t="shared" si="2815"/>
        <v>行政財産</v>
      </c>
      <c r="D7944" s="8" t="str">
        <f t="shared" si="2817"/>
        <v>警察（消防）施設</v>
      </c>
      <c r="E7944" s="8" t="str">
        <f>"大阪府八尾市太子堂３丁目"</f>
        <v>大阪府八尾市太子堂３丁目</v>
      </c>
      <c r="F7944" s="8"/>
      <c r="G7944" s="8" t="str">
        <f t="shared" si="2812"/>
        <v>事業用資産</v>
      </c>
      <c r="H7944" s="8" t="str">
        <f t="shared" si="2818"/>
        <v>棚卸以外</v>
      </c>
      <c r="I7944" s="8">
        <v>1</v>
      </c>
      <c r="J7944" s="8" t="str">
        <f>"太子堂交番"</f>
        <v>太子堂交番</v>
      </c>
      <c r="K7944" s="8" t="str">
        <f>"鉄筋コンクリート造"</f>
        <v>鉄筋コンクリート造</v>
      </c>
      <c r="L7944" s="8" t="str">
        <f>"S44.11.18"</f>
        <v>S44.11.18</v>
      </c>
      <c r="M7944" s="8">
        <v>77.760000000000005</v>
      </c>
      <c r="N7944" s="8">
        <v>4442475</v>
      </c>
      <c r="O7944" s="8">
        <v>4257941</v>
      </c>
      <c r="P7944" s="8">
        <v>0</v>
      </c>
      <c r="Q7944" s="8" t="str">
        <f t="shared" si="2814"/>
        <v>公安委員会</v>
      </c>
      <c r="R7944" s="8" t="str">
        <f t="shared" si="2816"/>
        <v>八尾警察署</v>
      </c>
    </row>
    <row r="7945" spans="1:18" x14ac:dyDescent="0.45">
      <c r="A7945" s="8" t="str">
        <f>"11563000330"</f>
        <v>11563000330</v>
      </c>
      <c r="B7945" s="8" t="str">
        <f>"西久宝寺交番"</f>
        <v>西久宝寺交番</v>
      </c>
      <c r="C7945" s="8" t="str">
        <f t="shared" si="2815"/>
        <v>行政財産</v>
      </c>
      <c r="D7945" s="8" t="str">
        <f t="shared" si="2817"/>
        <v>警察（消防）施設</v>
      </c>
      <c r="E7945" s="8" t="str">
        <f>"大阪府八尾市西久宝寺"</f>
        <v>大阪府八尾市西久宝寺</v>
      </c>
      <c r="F7945" s="8"/>
      <c r="G7945" s="8" t="str">
        <f t="shared" si="2812"/>
        <v>事業用資産</v>
      </c>
      <c r="H7945" s="8" t="str">
        <f t="shared" si="2818"/>
        <v>棚卸以外</v>
      </c>
      <c r="I7945" s="8">
        <v>1</v>
      </c>
      <c r="J7945" s="8" t="str">
        <f>"西久宝寺交番"</f>
        <v>西久宝寺交番</v>
      </c>
      <c r="K7945" s="8" t="str">
        <f>"鉄骨造"</f>
        <v>鉄骨造</v>
      </c>
      <c r="L7945" s="8" t="str">
        <f>"S46.09.13"</f>
        <v>S46.09.13</v>
      </c>
      <c r="M7945" s="8">
        <v>29.82</v>
      </c>
      <c r="N7945" s="8">
        <v>2497165</v>
      </c>
      <c r="O7945" s="8">
        <v>2422228</v>
      </c>
      <c r="P7945" s="8">
        <v>0</v>
      </c>
      <c r="Q7945" s="8" t="str">
        <f t="shared" si="2814"/>
        <v>公安委員会</v>
      </c>
      <c r="R7945" s="8" t="str">
        <f t="shared" si="2816"/>
        <v>八尾警察署</v>
      </c>
    </row>
    <row r="7946" spans="1:18" x14ac:dyDescent="0.45">
      <c r="A7946" s="8" t="str">
        <f>"11563000340"</f>
        <v>11563000340</v>
      </c>
      <c r="B7946" s="8" t="str">
        <f>"恩智交番"</f>
        <v>恩智交番</v>
      </c>
      <c r="C7946" s="8" t="str">
        <f t="shared" si="2815"/>
        <v>行政財産</v>
      </c>
      <c r="D7946" s="8" t="str">
        <f t="shared" si="2817"/>
        <v>警察（消防）施設</v>
      </c>
      <c r="E7946" s="8" t="str">
        <f>"大阪府八尾市曙川東２丁目"</f>
        <v>大阪府八尾市曙川東２丁目</v>
      </c>
      <c r="F7946" s="8"/>
      <c r="G7946" s="8" t="str">
        <f t="shared" si="2812"/>
        <v>事業用資産</v>
      </c>
      <c r="H7946" s="8" t="str">
        <f t="shared" si="2818"/>
        <v>棚卸以外</v>
      </c>
      <c r="I7946" s="8">
        <v>1</v>
      </c>
      <c r="J7946" s="8" t="str">
        <f>"恩智交番"</f>
        <v>恩智交番</v>
      </c>
      <c r="K7946" s="8" t="str">
        <f>"鉄筋コンクリート造"</f>
        <v>鉄筋コンクリート造</v>
      </c>
      <c r="L7946" s="8" t="str">
        <f>"S47.12.25"</f>
        <v>S47.12.25</v>
      </c>
      <c r="M7946" s="8">
        <v>50.32</v>
      </c>
      <c r="N7946" s="8">
        <v>3580992</v>
      </c>
      <c r="O7946" s="8">
        <v>3525883</v>
      </c>
      <c r="P7946" s="8">
        <v>0</v>
      </c>
      <c r="Q7946" s="8" t="str">
        <f t="shared" si="2814"/>
        <v>公安委員会</v>
      </c>
      <c r="R7946" s="8" t="str">
        <f t="shared" si="2816"/>
        <v>八尾警察署</v>
      </c>
    </row>
    <row r="7947" spans="1:18" x14ac:dyDescent="0.45">
      <c r="A7947" s="8" t="str">
        <f>"11563000390"</f>
        <v>11563000390</v>
      </c>
      <c r="B7947" s="8" t="str">
        <f>"山本交番"</f>
        <v>山本交番</v>
      </c>
      <c r="C7947" s="8" t="str">
        <f t="shared" si="2815"/>
        <v>行政財産</v>
      </c>
      <c r="D7947" s="8" t="str">
        <f t="shared" si="2817"/>
        <v>警察（消防）施設</v>
      </c>
      <c r="E7947" s="8" t="str">
        <f>"大阪府八尾市山本町１丁目"</f>
        <v>大阪府八尾市山本町１丁目</v>
      </c>
      <c r="F7947" s="8"/>
      <c r="G7947" s="8" t="str">
        <f t="shared" si="2812"/>
        <v>事業用資産</v>
      </c>
      <c r="H7947" s="8" t="str">
        <f t="shared" si="2818"/>
        <v>棚卸以外</v>
      </c>
      <c r="I7947" s="8">
        <v>1</v>
      </c>
      <c r="J7947" s="8" t="str">
        <f>"山本交番"</f>
        <v>山本交番</v>
      </c>
      <c r="K7947" s="8" t="str">
        <f>"鉄骨造"</f>
        <v>鉄骨造</v>
      </c>
      <c r="L7947" s="8" t="str">
        <f>"S50.03.31"</f>
        <v>S50.03.31</v>
      </c>
      <c r="M7947" s="8">
        <v>80.94</v>
      </c>
      <c r="N7947" s="8">
        <v>9468405</v>
      </c>
      <c r="O7947" s="8">
        <v>9410985</v>
      </c>
      <c r="P7947" s="8">
        <v>0</v>
      </c>
      <c r="Q7947" s="8" t="str">
        <f t="shared" si="2814"/>
        <v>公安委員会</v>
      </c>
      <c r="R7947" s="8" t="str">
        <f t="shared" si="2816"/>
        <v>八尾警察署</v>
      </c>
    </row>
    <row r="7948" spans="1:18" x14ac:dyDescent="0.45">
      <c r="A7948" s="8" t="str">
        <f>"11563000400"</f>
        <v>11563000400</v>
      </c>
      <c r="B7948" s="8" t="str">
        <f>"近鉄八尾駅前交番"</f>
        <v>近鉄八尾駅前交番</v>
      </c>
      <c r="C7948" s="8" t="str">
        <f t="shared" si="2815"/>
        <v>行政財産</v>
      </c>
      <c r="D7948" s="8" t="str">
        <f t="shared" si="2817"/>
        <v>警察（消防）施設</v>
      </c>
      <c r="E7948" s="8" t="str">
        <f>"大阪府八尾市光町１丁目"</f>
        <v>大阪府八尾市光町１丁目</v>
      </c>
      <c r="F7948" s="8"/>
      <c r="G7948" s="8" t="str">
        <f t="shared" si="2812"/>
        <v>事業用資産</v>
      </c>
      <c r="H7948" s="8" t="str">
        <f t="shared" si="2818"/>
        <v>棚卸以外</v>
      </c>
      <c r="I7948" s="8">
        <v>1</v>
      </c>
      <c r="J7948" s="8" t="str">
        <f>"近鉄八尾駅前交番"</f>
        <v>近鉄八尾駅前交番</v>
      </c>
      <c r="K7948" s="8" t="str">
        <f>"鉄筋コンクリート造"</f>
        <v>鉄筋コンクリート造</v>
      </c>
      <c r="L7948" s="8" t="str">
        <f>"S54.03.31"</f>
        <v>S54.03.31</v>
      </c>
      <c r="M7948" s="8">
        <v>110.29</v>
      </c>
      <c r="N7948" s="8">
        <v>17911000</v>
      </c>
      <c r="O7948" s="8">
        <v>15761856</v>
      </c>
      <c r="P7948" s="8">
        <v>0</v>
      </c>
      <c r="Q7948" s="8" t="str">
        <f t="shared" si="2814"/>
        <v>公安委員会</v>
      </c>
      <c r="R7948" s="8" t="str">
        <f t="shared" si="2816"/>
        <v>八尾警察署</v>
      </c>
    </row>
    <row r="7949" spans="1:18" x14ac:dyDescent="0.45">
      <c r="A7949" s="8" t="str">
        <f>"11563000410"</f>
        <v>11563000410</v>
      </c>
      <c r="B7949" s="8" t="str">
        <f>"萱振交番"</f>
        <v>萱振交番</v>
      </c>
      <c r="C7949" s="8" t="str">
        <f t="shared" si="2815"/>
        <v>行政財産</v>
      </c>
      <c r="D7949" s="8" t="str">
        <f t="shared" si="2817"/>
        <v>警察（消防）施設</v>
      </c>
      <c r="E7949" s="8" t="str">
        <f>"大阪府八尾市萱振町３丁目"</f>
        <v>大阪府八尾市萱振町３丁目</v>
      </c>
      <c r="F7949" s="8"/>
      <c r="G7949" s="8" t="str">
        <f t="shared" si="2812"/>
        <v>事業用資産</v>
      </c>
      <c r="H7949" s="8" t="str">
        <f t="shared" si="2818"/>
        <v>棚卸以外</v>
      </c>
      <c r="I7949" s="8">
        <v>1</v>
      </c>
      <c r="J7949" s="8" t="str">
        <f>"萱振交番"</f>
        <v>萱振交番</v>
      </c>
      <c r="K7949" s="8" t="str">
        <f>"鉄骨造"</f>
        <v>鉄骨造</v>
      </c>
      <c r="L7949" s="8" t="str">
        <f>"S59.02.10"</f>
        <v>S59.02.10</v>
      </c>
      <c r="M7949" s="8">
        <v>50.4</v>
      </c>
      <c r="N7949" s="8">
        <v>17217082</v>
      </c>
      <c r="O7949" s="8">
        <v>17163841</v>
      </c>
      <c r="P7949" s="8">
        <v>0</v>
      </c>
      <c r="Q7949" s="8" t="str">
        <f t="shared" si="2814"/>
        <v>公安委員会</v>
      </c>
      <c r="R7949" s="8" t="str">
        <f t="shared" si="2816"/>
        <v>八尾警察署</v>
      </c>
    </row>
    <row r="7950" spans="1:18" x14ac:dyDescent="0.45">
      <c r="A7950" s="8" t="str">
        <f>"11563000430"</f>
        <v>11563000430</v>
      </c>
      <c r="B7950" s="8" t="str">
        <f>"木本交番"</f>
        <v>木本交番</v>
      </c>
      <c r="C7950" s="8" t="str">
        <f t="shared" si="2815"/>
        <v>行政財産</v>
      </c>
      <c r="D7950" s="8" t="str">
        <f t="shared" si="2817"/>
        <v>警察（消防）施設</v>
      </c>
      <c r="E7950" s="8" t="str">
        <f>"大阪府八尾市大字木本"</f>
        <v>大阪府八尾市大字木本</v>
      </c>
      <c r="F7950" s="8"/>
      <c r="G7950" s="8" t="str">
        <f t="shared" si="2812"/>
        <v>事業用資産</v>
      </c>
      <c r="H7950" s="8" t="str">
        <f t="shared" si="2818"/>
        <v>棚卸以外</v>
      </c>
      <c r="I7950" s="8">
        <v>1</v>
      </c>
      <c r="J7950" s="8" t="str">
        <f>"木本交番"</f>
        <v>木本交番</v>
      </c>
      <c r="K7950" s="8" t="str">
        <f>"鉄筋コンクリート造"</f>
        <v>鉄筋コンクリート造</v>
      </c>
      <c r="L7950" s="8" t="str">
        <f>"S62.08.31"</f>
        <v>S62.08.31</v>
      </c>
      <c r="M7950" s="8">
        <v>54.7</v>
      </c>
      <c r="N7950" s="8">
        <v>13315352</v>
      </c>
      <c r="O7950" s="8">
        <v>9438548</v>
      </c>
      <c r="P7950" s="8">
        <v>0</v>
      </c>
      <c r="Q7950" s="8" t="str">
        <f t="shared" si="2814"/>
        <v>公安委員会</v>
      </c>
      <c r="R7950" s="8" t="str">
        <f t="shared" si="2816"/>
        <v>八尾警察署</v>
      </c>
    </row>
    <row r="7951" spans="1:18" x14ac:dyDescent="0.45">
      <c r="A7951" s="8" t="str">
        <f>"11563000430"</f>
        <v>11563000430</v>
      </c>
      <c r="B7951" s="8" t="str">
        <f>"木本交番"</f>
        <v>木本交番</v>
      </c>
      <c r="C7951" s="8" t="str">
        <f t="shared" si="2815"/>
        <v>行政財産</v>
      </c>
      <c r="D7951" s="8" t="str">
        <f t="shared" si="2817"/>
        <v>警察（消防）施設</v>
      </c>
      <c r="E7951" s="8" t="str">
        <f>"大阪府八尾市大字木本"</f>
        <v>大阪府八尾市大字木本</v>
      </c>
      <c r="F7951" s="8"/>
      <c r="G7951" s="8" t="str">
        <f t="shared" si="2812"/>
        <v>事業用資産</v>
      </c>
      <c r="H7951" s="8" t="str">
        <f t="shared" si="2818"/>
        <v>棚卸以外</v>
      </c>
      <c r="I7951" s="8">
        <v>2</v>
      </c>
      <c r="J7951" s="8" t="str">
        <f>"自転車置場"</f>
        <v>自転車置場</v>
      </c>
      <c r="K7951" s="8" t="str">
        <f>"軽量鉄骨造"</f>
        <v>軽量鉄骨造</v>
      </c>
      <c r="L7951" s="8" t="str">
        <f>"S62.08.31"</f>
        <v>S62.08.31</v>
      </c>
      <c r="M7951" s="8">
        <v>6</v>
      </c>
      <c r="N7951" s="8">
        <v>222000</v>
      </c>
      <c r="O7951" s="8">
        <v>221999</v>
      </c>
      <c r="P7951" s="8">
        <v>0</v>
      </c>
      <c r="Q7951" s="8" t="str">
        <f t="shared" si="2814"/>
        <v>公安委員会</v>
      </c>
      <c r="R7951" s="8" t="str">
        <f t="shared" si="2816"/>
        <v>八尾警察署</v>
      </c>
    </row>
    <row r="7952" spans="1:18" x14ac:dyDescent="0.45">
      <c r="A7952" s="8" t="str">
        <f>"11563000450"</f>
        <v>11563000450</v>
      </c>
      <c r="B7952" s="8" t="str">
        <f>"久宝寺口交番"</f>
        <v>久宝寺口交番</v>
      </c>
      <c r="C7952" s="8" t="str">
        <f t="shared" si="2815"/>
        <v>行政財産</v>
      </c>
      <c r="D7952" s="8" t="str">
        <f t="shared" si="2817"/>
        <v>警察（消防）施設</v>
      </c>
      <c r="E7952" s="8" t="str">
        <f>"大阪府八尾市佐堂町３丁目"</f>
        <v>大阪府八尾市佐堂町３丁目</v>
      </c>
      <c r="F7952" s="8"/>
      <c r="G7952" s="8" t="str">
        <f t="shared" si="2812"/>
        <v>事業用資産</v>
      </c>
      <c r="H7952" s="8" t="str">
        <f t="shared" si="2818"/>
        <v>棚卸以外</v>
      </c>
      <c r="I7952" s="8">
        <v>1</v>
      </c>
      <c r="J7952" s="8" t="str">
        <f>"久宝寺口交番"</f>
        <v>久宝寺口交番</v>
      </c>
      <c r="K7952" s="8" t="str">
        <f>"鉄骨造"</f>
        <v>鉄骨造</v>
      </c>
      <c r="L7952" s="8" t="str">
        <f>"H03.03.29"</f>
        <v>H03.03.29</v>
      </c>
      <c r="M7952" s="8">
        <v>54.68</v>
      </c>
      <c r="N7952" s="8">
        <v>17726153</v>
      </c>
      <c r="O7952" s="8">
        <v>14869830</v>
      </c>
      <c r="P7952" s="8">
        <v>0</v>
      </c>
      <c r="Q7952" s="8" t="str">
        <f t="shared" si="2814"/>
        <v>公安委員会</v>
      </c>
      <c r="R7952" s="8" t="str">
        <f t="shared" si="2816"/>
        <v>八尾警察署</v>
      </c>
    </row>
    <row r="7953" spans="1:18" x14ac:dyDescent="0.45">
      <c r="A7953" s="8" t="str">
        <f>"11563000450"</f>
        <v>11563000450</v>
      </c>
      <c r="B7953" s="8" t="str">
        <f>"久宝寺口交番"</f>
        <v>久宝寺口交番</v>
      </c>
      <c r="C7953" s="8" t="str">
        <f t="shared" si="2815"/>
        <v>行政財産</v>
      </c>
      <c r="D7953" s="8" t="str">
        <f t="shared" si="2817"/>
        <v>警察（消防）施設</v>
      </c>
      <c r="E7953" s="8" t="str">
        <f>"大阪府八尾市佐堂町３丁目"</f>
        <v>大阪府八尾市佐堂町３丁目</v>
      </c>
      <c r="F7953" s="8"/>
      <c r="G7953" s="8" t="str">
        <f t="shared" si="2812"/>
        <v>事業用資産</v>
      </c>
      <c r="H7953" s="8" t="str">
        <f t="shared" si="2818"/>
        <v>棚卸以外</v>
      </c>
      <c r="I7953" s="8">
        <v>2</v>
      </c>
      <c r="J7953" s="8" t="str">
        <f>"自転車置場"</f>
        <v>自転車置場</v>
      </c>
      <c r="K7953" s="8" t="str">
        <f>"鉄骨造"</f>
        <v>鉄骨造</v>
      </c>
      <c r="L7953" s="8" t="str">
        <f>"H03.03.29"</f>
        <v>H03.03.29</v>
      </c>
      <c r="M7953" s="8">
        <v>9.0500000000000007</v>
      </c>
      <c r="N7953" s="8">
        <v>196000</v>
      </c>
      <c r="O7953" s="8">
        <v>195999</v>
      </c>
      <c r="P7953" s="8">
        <v>0</v>
      </c>
      <c r="Q7953" s="8" t="str">
        <f t="shared" si="2814"/>
        <v>公安委員会</v>
      </c>
      <c r="R7953" s="8" t="str">
        <f t="shared" si="2816"/>
        <v>八尾警察署</v>
      </c>
    </row>
    <row r="7954" spans="1:18" x14ac:dyDescent="0.45">
      <c r="A7954" s="8" t="str">
        <f>"11563000460"</f>
        <v>11563000460</v>
      </c>
      <c r="B7954" s="8" t="str">
        <f>"高安駅前交番"</f>
        <v>高安駅前交番</v>
      </c>
      <c r="C7954" s="8" t="str">
        <f t="shared" si="2815"/>
        <v>行政財産</v>
      </c>
      <c r="D7954" s="8" t="str">
        <f t="shared" si="2817"/>
        <v>警察（消防）施設</v>
      </c>
      <c r="E7954" s="8" t="str">
        <f>"大阪府八尾市山本高安町１丁目"</f>
        <v>大阪府八尾市山本高安町１丁目</v>
      </c>
      <c r="F7954" s="8"/>
      <c r="G7954" s="8" t="str">
        <f t="shared" si="2812"/>
        <v>事業用資産</v>
      </c>
      <c r="H7954" s="8" t="str">
        <f t="shared" si="2818"/>
        <v>棚卸以外</v>
      </c>
      <c r="I7954" s="8">
        <v>1</v>
      </c>
      <c r="J7954" s="8" t="str">
        <f>"高安駅前交番"</f>
        <v>高安駅前交番</v>
      </c>
      <c r="K7954" s="8" t="str">
        <f>"軽量鉄骨造"</f>
        <v>軽量鉄骨造</v>
      </c>
      <c r="L7954" s="8" t="str">
        <f>"H04.03.31"</f>
        <v>H04.03.31</v>
      </c>
      <c r="M7954" s="8">
        <v>54.96</v>
      </c>
      <c r="N7954" s="8">
        <v>18349308</v>
      </c>
      <c r="O7954" s="8">
        <v>18291015</v>
      </c>
      <c r="P7954" s="8">
        <v>0</v>
      </c>
      <c r="Q7954" s="8" t="str">
        <f t="shared" si="2814"/>
        <v>公安委員会</v>
      </c>
      <c r="R7954" s="8" t="str">
        <f t="shared" si="2816"/>
        <v>八尾警察署</v>
      </c>
    </row>
    <row r="7955" spans="1:18" x14ac:dyDescent="0.45">
      <c r="A7955" s="8" t="str">
        <f>"11563000460"</f>
        <v>11563000460</v>
      </c>
      <c r="B7955" s="8" t="str">
        <f>"高安駅前交番"</f>
        <v>高安駅前交番</v>
      </c>
      <c r="C7955" s="8" t="str">
        <f t="shared" si="2815"/>
        <v>行政財産</v>
      </c>
      <c r="D7955" s="8" t="str">
        <f t="shared" si="2817"/>
        <v>警察（消防）施設</v>
      </c>
      <c r="E7955" s="8" t="str">
        <f>"大阪府八尾市山本高安町１丁目"</f>
        <v>大阪府八尾市山本高安町１丁目</v>
      </c>
      <c r="F7955" s="8"/>
      <c r="G7955" s="8" t="str">
        <f t="shared" si="2812"/>
        <v>事業用資産</v>
      </c>
      <c r="H7955" s="8" t="str">
        <f t="shared" si="2818"/>
        <v>棚卸以外</v>
      </c>
      <c r="I7955" s="8">
        <v>2</v>
      </c>
      <c r="J7955" s="8" t="str">
        <f>"自転車置場"</f>
        <v>自転車置場</v>
      </c>
      <c r="K7955" s="8" t="str">
        <f>"鉄骨造"</f>
        <v>鉄骨造</v>
      </c>
      <c r="L7955" s="8" t="str">
        <f>"H04.03.31"</f>
        <v>H04.03.31</v>
      </c>
      <c r="M7955" s="8">
        <v>6</v>
      </c>
      <c r="N7955" s="8">
        <v>237000</v>
      </c>
      <c r="O7955" s="8">
        <v>236999</v>
      </c>
      <c r="P7955" s="8">
        <v>0</v>
      </c>
      <c r="Q7955" s="8" t="str">
        <f t="shared" si="2814"/>
        <v>公安委員会</v>
      </c>
      <c r="R7955" s="8" t="str">
        <f t="shared" si="2816"/>
        <v>八尾警察署</v>
      </c>
    </row>
    <row r="7956" spans="1:18" x14ac:dyDescent="0.45">
      <c r="A7956" s="8" t="str">
        <f>"11564000000"</f>
        <v>11564000000</v>
      </c>
      <c r="B7956" s="8" t="str">
        <f>"松原警察署"</f>
        <v>松原警察署</v>
      </c>
      <c r="C7956" s="8" t="str">
        <f t="shared" si="2815"/>
        <v>行政財産</v>
      </c>
      <c r="D7956" s="8" t="str">
        <f t="shared" si="2817"/>
        <v>警察（消防）施設</v>
      </c>
      <c r="E7956" s="8" t="str">
        <f>"大阪府松原市阿保１丁目"</f>
        <v>大阪府松原市阿保１丁目</v>
      </c>
      <c r="F7956" s="8"/>
      <c r="G7956" s="8" t="str">
        <f t="shared" si="2812"/>
        <v>事業用資産</v>
      </c>
      <c r="H7956" s="8" t="str">
        <f t="shared" si="2818"/>
        <v>棚卸以外</v>
      </c>
      <c r="I7956" s="8">
        <v>27</v>
      </c>
      <c r="J7956" s="8" t="str">
        <f>"庁舎"</f>
        <v>庁舎</v>
      </c>
      <c r="K7956" s="8" t="str">
        <f>"鉄筋コンクリート造"</f>
        <v>鉄筋コンクリート造</v>
      </c>
      <c r="L7956" s="8" t="str">
        <f>"S52.01.31"</f>
        <v>S52.01.31</v>
      </c>
      <c r="M7956" s="8">
        <v>2696.53</v>
      </c>
      <c r="N7956" s="8">
        <v>463113700</v>
      </c>
      <c r="O7956" s="8">
        <v>391541603</v>
      </c>
      <c r="P7956" s="8">
        <v>0</v>
      </c>
      <c r="Q7956" s="8" t="str">
        <f t="shared" si="2814"/>
        <v>公安委員会</v>
      </c>
      <c r="R7956" s="8" t="str">
        <f t="shared" ref="R7956:R7968" si="2819">"松原警察署"</f>
        <v>松原警察署</v>
      </c>
    </row>
    <row r="7957" spans="1:18" x14ac:dyDescent="0.45">
      <c r="A7957" s="8" t="str">
        <f>"11564000000"</f>
        <v>11564000000</v>
      </c>
      <c r="B7957" s="8" t="str">
        <f>"松原警察署"</f>
        <v>松原警察署</v>
      </c>
      <c r="C7957" s="8" t="str">
        <f t="shared" si="2815"/>
        <v>行政財産</v>
      </c>
      <c r="D7957" s="8" t="str">
        <f t="shared" si="2817"/>
        <v>警察（消防）施設</v>
      </c>
      <c r="E7957" s="8" t="str">
        <f>"大阪府松原市阿保１丁目"</f>
        <v>大阪府松原市阿保１丁目</v>
      </c>
      <c r="F7957" s="8"/>
      <c r="G7957" s="8" t="str">
        <f t="shared" si="2812"/>
        <v>事業用資産</v>
      </c>
      <c r="H7957" s="8" t="str">
        <f t="shared" si="2818"/>
        <v>棚卸以外</v>
      </c>
      <c r="I7957" s="8">
        <v>28</v>
      </c>
      <c r="J7957" s="8" t="str">
        <f>"署長公舎"</f>
        <v>署長公舎</v>
      </c>
      <c r="K7957" s="8" t="str">
        <f>"木造"</f>
        <v>木造</v>
      </c>
      <c r="L7957" s="8" t="str">
        <f>"S52.06.30"</f>
        <v>S52.06.30</v>
      </c>
      <c r="M7957" s="8">
        <v>83.49</v>
      </c>
      <c r="N7957" s="8">
        <v>13699140</v>
      </c>
      <c r="O7957" s="8">
        <v>13686049</v>
      </c>
      <c r="P7957" s="8">
        <v>0</v>
      </c>
      <c r="Q7957" s="8" t="str">
        <f t="shared" si="2814"/>
        <v>公安委員会</v>
      </c>
      <c r="R7957" s="8" t="str">
        <f t="shared" si="2819"/>
        <v>松原警察署</v>
      </c>
    </row>
    <row r="7958" spans="1:18" x14ac:dyDescent="0.45">
      <c r="A7958" s="8" t="str">
        <f>"11564000000"</f>
        <v>11564000000</v>
      </c>
      <c r="B7958" s="8" t="str">
        <f>"松原警察署"</f>
        <v>松原警察署</v>
      </c>
      <c r="C7958" s="8" t="str">
        <f t="shared" si="2815"/>
        <v>行政財産</v>
      </c>
      <c r="D7958" s="8" t="str">
        <f t="shared" si="2817"/>
        <v>警察（消防）施設</v>
      </c>
      <c r="E7958" s="8" t="str">
        <f>"大阪府松原市阿保１丁目"</f>
        <v>大阪府松原市阿保１丁目</v>
      </c>
      <c r="F7958" s="8"/>
      <c r="G7958" s="8" t="str">
        <f t="shared" si="2812"/>
        <v>事業用資産</v>
      </c>
      <c r="H7958" s="8" t="str">
        <f t="shared" si="2818"/>
        <v>棚卸以外</v>
      </c>
      <c r="I7958" s="8">
        <v>29</v>
      </c>
      <c r="J7958" s="8" t="str">
        <f>"車庫"</f>
        <v>車庫</v>
      </c>
      <c r="K7958" s="8" t="str">
        <f>"鉄骨造"</f>
        <v>鉄骨造</v>
      </c>
      <c r="L7958" s="8" t="str">
        <f>"S52.06.30"</f>
        <v>S52.06.30</v>
      </c>
      <c r="M7958" s="8">
        <v>171</v>
      </c>
      <c r="N7958" s="8">
        <v>7225000</v>
      </c>
      <c r="O7958" s="8">
        <v>7224999</v>
      </c>
      <c r="P7958" s="8">
        <v>0</v>
      </c>
      <c r="Q7958" s="8" t="str">
        <f t="shared" si="2814"/>
        <v>公安委員会</v>
      </c>
      <c r="R7958" s="8" t="str">
        <f t="shared" si="2819"/>
        <v>松原警察署</v>
      </c>
    </row>
    <row r="7959" spans="1:18" x14ac:dyDescent="0.45">
      <c r="A7959" s="8" t="str">
        <f>"11564000000"</f>
        <v>11564000000</v>
      </c>
      <c r="B7959" s="8" t="str">
        <f>"松原警察署"</f>
        <v>松原警察署</v>
      </c>
      <c r="C7959" s="8" t="str">
        <f t="shared" si="2815"/>
        <v>行政財産</v>
      </c>
      <c r="D7959" s="8" t="str">
        <f t="shared" si="2817"/>
        <v>警察（消防）施設</v>
      </c>
      <c r="E7959" s="8" t="str">
        <f>"大阪府松原市阿保１丁目"</f>
        <v>大阪府松原市阿保１丁目</v>
      </c>
      <c r="F7959" s="8"/>
      <c r="G7959" s="8" t="str">
        <f t="shared" ref="G7959:G8022" si="2820">"事業用資産"</f>
        <v>事業用資産</v>
      </c>
      <c r="H7959" s="8" t="str">
        <f t="shared" si="2818"/>
        <v>棚卸以外</v>
      </c>
      <c r="I7959" s="8">
        <v>30</v>
      </c>
      <c r="J7959" s="8" t="str">
        <f>"車庫及び倉庫"</f>
        <v>車庫及び倉庫</v>
      </c>
      <c r="K7959" s="8" t="str">
        <f>"鉄骨造"</f>
        <v>鉄骨造</v>
      </c>
      <c r="L7959" s="8" t="str">
        <f>"S52.06.30"</f>
        <v>S52.06.30</v>
      </c>
      <c r="M7959" s="8">
        <v>152</v>
      </c>
      <c r="N7959" s="8">
        <v>5590904</v>
      </c>
      <c r="O7959" s="8">
        <v>5474929</v>
      </c>
      <c r="P7959" s="8">
        <v>0</v>
      </c>
      <c r="Q7959" s="8" t="str">
        <f t="shared" si="2814"/>
        <v>公安委員会</v>
      </c>
      <c r="R7959" s="8" t="str">
        <f t="shared" si="2819"/>
        <v>松原警察署</v>
      </c>
    </row>
    <row r="7960" spans="1:18" x14ac:dyDescent="0.45">
      <c r="A7960" s="8" t="str">
        <f>"11564000110"</f>
        <v>11564000110</v>
      </c>
      <c r="B7960" s="8" t="str">
        <f>"三宅交番"</f>
        <v>三宅交番</v>
      </c>
      <c r="C7960" s="8" t="str">
        <f t="shared" si="2815"/>
        <v>行政財産</v>
      </c>
      <c r="D7960" s="8" t="str">
        <f t="shared" si="2817"/>
        <v>警察（消防）施設</v>
      </c>
      <c r="E7960" s="8" t="str">
        <f>"大阪府松原市三宅　中２丁目"</f>
        <v>大阪府松原市三宅　中２丁目</v>
      </c>
      <c r="F7960" s="8"/>
      <c r="G7960" s="8" t="str">
        <f t="shared" si="2820"/>
        <v>事業用資産</v>
      </c>
      <c r="H7960" s="8" t="str">
        <f t="shared" si="2818"/>
        <v>棚卸以外</v>
      </c>
      <c r="I7960" s="8">
        <v>2</v>
      </c>
      <c r="J7960" s="8" t="str">
        <f>"三宅交番"</f>
        <v>三宅交番</v>
      </c>
      <c r="K7960" s="8" t="str">
        <f>"鉄筋コンクリート造"</f>
        <v>鉄筋コンクリート造</v>
      </c>
      <c r="L7960" s="8" t="str">
        <f>"S60.03.29"</f>
        <v>S60.03.29</v>
      </c>
      <c r="M7960" s="8">
        <v>54</v>
      </c>
      <c r="N7960" s="8">
        <v>12615013</v>
      </c>
      <c r="O7960" s="8">
        <v>9583437</v>
      </c>
      <c r="P7960" s="8">
        <v>0</v>
      </c>
      <c r="Q7960" s="8" t="str">
        <f t="shared" si="2814"/>
        <v>公安委員会</v>
      </c>
      <c r="R7960" s="8" t="str">
        <f t="shared" si="2819"/>
        <v>松原警察署</v>
      </c>
    </row>
    <row r="7961" spans="1:18" x14ac:dyDescent="0.45">
      <c r="A7961" s="8" t="str">
        <f>"11564000190"</f>
        <v>11564000190</v>
      </c>
      <c r="B7961" s="8" t="str">
        <f>"我堂町交番"</f>
        <v>我堂町交番</v>
      </c>
      <c r="C7961" s="8" t="str">
        <f t="shared" si="2815"/>
        <v>行政財産</v>
      </c>
      <c r="D7961" s="8" t="str">
        <f t="shared" si="2817"/>
        <v>警察（消防）施設</v>
      </c>
      <c r="E7961" s="8" t="str">
        <f>"大阪府松原市天美我堂５丁目"</f>
        <v>大阪府松原市天美我堂５丁目</v>
      </c>
      <c r="F7961" s="8"/>
      <c r="G7961" s="8" t="str">
        <f t="shared" si="2820"/>
        <v>事業用資産</v>
      </c>
      <c r="H7961" s="8" t="str">
        <f t="shared" si="2818"/>
        <v>棚卸以外</v>
      </c>
      <c r="I7961" s="8">
        <v>1</v>
      </c>
      <c r="J7961" s="8" t="str">
        <f>"我堂町交番"</f>
        <v>我堂町交番</v>
      </c>
      <c r="K7961" s="8" t="str">
        <f>"鉄筋コンクリート造"</f>
        <v>鉄筋コンクリート造</v>
      </c>
      <c r="L7961" s="8" t="str">
        <f>"S46.03.27"</f>
        <v>S46.03.27</v>
      </c>
      <c r="M7961" s="8">
        <v>34.200000000000003</v>
      </c>
      <c r="N7961" s="8">
        <v>2367600</v>
      </c>
      <c r="O7961" s="8">
        <v>2367599</v>
      </c>
      <c r="P7961" s="8">
        <v>0</v>
      </c>
      <c r="Q7961" s="8" t="str">
        <f t="shared" si="2814"/>
        <v>公安委員会</v>
      </c>
      <c r="R7961" s="8" t="str">
        <f t="shared" si="2819"/>
        <v>松原警察署</v>
      </c>
    </row>
    <row r="7962" spans="1:18" x14ac:dyDescent="0.45">
      <c r="A7962" s="8" t="str">
        <f>"11564000210"</f>
        <v>11564000210</v>
      </c>
      <c r="B7962" s="8" t="str">
        <f>"高見の里交番"</f>
        <v>高見の里交番</v>
      </c>
      <c r="C7962" s="8" t="str">
        <f t="shared" si="2815"/>
        <v>行政財産</v>
      </c>
      <c r="D7962" s="8" t="str">
        <f t="shared" si="2817"/>
        <v>警察（消防）施設</v>
      </c>
      <c r="E7962" s="8" t="str">
        <f>"大阪府松原市高見の里２丁目"</f>
        <v>大阪府松原市高見の里２丁目</v>
      </c>
      <c r="F7962" s="8"/>
      <c r="G7962" s="8" t="str">
        <f t="shared" si="2820"/>
        <v>事業用資産</v>
      </c>
      <c r="H7962" s="8" t="str">
        <f t="shared" si="2818"/>
        <v>棚卸以外</v>
      </c>
      <c r="I7962" s="8">
        <v>1</v>
      </c>
      <c r="J7962" s="8" t="str">
        <f>"高見の里交番"</f>
        <v>高見の里交番</v>
      </c>
      <c r="K7962" s="8" t="str">
        <f>"鉄骨造"</f>
        <v>鉄骨造</v>
      </c>
      <c r="L7962" s="8" t="str">
        <f>"S55.01.14"</f>
        <v>S55.01.14</v>
      </c>
      <c r="M7962" s="8">
        <v>54</v>
      </c>
      <c r="N7962" s="8">
        <v>11497000</v>
      </c>
      <c r="O7962" s="8">
        <v>11496999</v>
      </c>
      <c r="P7962" s="8">
        <v>0</v>
      </c>
      <c r="Q7962" s="8" t="str">
        <f t="shared" si="2814"/>
        <v>公安委員会</v>
      </c>
      <c r="R7962" s="8" t="str">
        <f t="shared" si="2819"/>
        <v>松原警察署</v>
      </c>
    </row>
    <row r="7963" spans="1:18" x14ac:dyDescent="0.45">
      <c r="A7963" s="8" t="str">
        <f>"11564000220"</f>
        <v>11564000220</v>
      </c>
      <c r="B7963" s="8" t="str">
        <f>"新町交番"</f>
        <v>新町交番</v>
      </c>
      <c r="C7963" s="8" t="str">
        <f t="shared" si="2815"/>
        <v>行政財産</v>
      </c>
      <c r="D7963" s="8" t="str">
        <f t="shared" si="2817"/>
        <v>警察（消防）施設</v>
      </c>
      <c r="E7963" s="8" t="str">
        <f>"大阪府松原市南新町１丁目"</f>
        <v>大阪府松原市南新町１丁目</v>
      </c>
      <c r="F7963" s="8"/>
      <c r="G7963" s="8" t="str">
        <f t="shared" si="2820"/>
        <v>事業用資産</v>
      </c>
      <c r="H7963" s="8" t="str">
        <f t="shared" si="2818"/>
        <v>棚卸以外</v>
      </c>
      <c r="I7963" s="8">
        <v>1</v>
      </c>
      <c r="J7963" s="8" t="str">
        <f>"新町交番"</f>
        <v>新町交番</v>
      </c>
      <c r="K7963" s="8" t="str">
        <f>"鉄筋コンクリート造"</f>
        <v>鉄筋コンクリート造</v>
      </c>
      <c r="L7963" s="8" t="str">
        <f>"S61.03.27"</f>
        <v>S61.03.27</v>
      </c>
      <c r="M7963" s="8">
        <v>54.4</v>
      </c>
      <c r="N7963" s="8">
        <v>14649000</v>
      </c>
      <c r="O7963" s="8">
        <v>10840260</v>
      </c>
      <c r="P7963" s="8">
        <v>0</v>
      </c>
      <c r="Q7963" s="8" t="str">
        <f t="shared" si="2814"/>
        <v>公安委員会</v>
      </c>
      <c r="R7963" s="8" t="str">
        <f t="shared" si="2819"/>
        <v>松原警察署</v>
      </c>
    </row>
    <row r="7964" spans="1:18" x14ac:dyDescent="0.45">
      <c r="A7964" s="8" t="str">
        <f>"11564000230"</f>
        <v>11564000230</v>
      </c>
      <c r="B7964" s="8" t="str">
        <f>"大堀町交番"</f>
        <v>大堀町交番</v>
      </c>
      <c r="C7964" s="8" t="str">
        <f t="shared" si="2815"/>
        <v>行政財産</v>
      </c>
      <c r="D7964" s="8" t="str">
        <f t="shared" si="2817"/>
        <v>警察（消防）施設</v>
      </c>
      <c r="E7964" s="8" t="str">
        <f>"大阪府松原市大堀４丁目"</f>
        <v>大阪府松原市大堀４丁目</v>
      </c>
      <c r="F7964" s="8"/>
      <c r="G7964" s="8" t="str">
        <f t="shared" si="2820"/>
        <v>事業用資産</v>
      </c>
      <c r="H7964" s="8" t="str">
        <f t="shared" si="2818"/>
        <v>棚卸以外</v>
      </c>
      <c r="I7964" s="8">
        <v>1</v>
      </c>
      <c r="J7964" s="8" t="str">
        <f>"大堀町交番"</f>
        <v>大堀町交番</v>
      </c>
      <c r="K7964" s="8" t="str">
        <f>"鉄筋コンクリート造"</f>
        <v>鉄筋コンクリート造</v>
      </c>
      <c r="L7964" s="8" t="str">
        <f>"H04.03.31"</f>
        <v>H04.03.31</v>
      </c>
      <c r="M7964" s="8">
        <v>53</v>
      </c>
      <c r="N7964" s="8">
        <v>17359000</v>
      </c>
      <c r="O7964" s="8">
        <v>10762704</v>
      </c>
      <c r="P7964" s="8">
        <v>0</v>
      </c>
      <c r="Q7964" s="8" t="str">
        <f t="shared" si="2814"/>
        <v>公安委員会</v>
      </c>
      <c r="R7964" s="8" t="str">
        <f t="shared" si="2819"/>
        <v>松原警察署</v>
      </c>
    </row>
    <row r="7965" spans="1:18" x14ac:dyDescent="0.45">
      <c r="A7965" s="8" t="str">
        <f>"11564000240"</f>
        <v>11564000240</v>
      </c>
      <c r="B7965" s="8" t="str">
        <f>"河内天美駅前交番"</f>
        <v>河内天美駅前交番</v>
      </c>
      <c r="C7965" s="8" t="str">
        <f t="shared" si="2815"/>
        <v>行政財産</v>
      </c>
      <c r="D7965" s="8" t="str">
        <f t="shared" si="2817"/>
        <v>警察（消防）施設</v>
      </c>
      <c r="E7965" s="8" t="str">
        <f>"大阪府松原市天美　南３丁目"</f>
        <v>大阪府松原市天美　南３丁目</v>
      </c>
      <c r="F7965" s="8"/>
      <c r="G7965" s="8" t="str">
        <f t="shared" si="2820"/>
        <v>事業用資産</v>
      </c>
      <c r="H7965" s="8" t="str">
        <f t="shared" si="2818"/>
        <v>棚卸以外</v>
      </c>
      <c r="I7965" s="8">
        <v>1</v>
      </c>
      <c r="J7965" s="8" t="str">
        <f>"河内天美駅前交番"</f>
        <v>河内天美駅前交番</v>
      </c>
      <c r="K7965" s="8" t="str">
        <f>"鉄骨造"</f>
        <v>鉄骨造</v>
      </c>
      <c r="L7965" s="8" t="str">
        <f>"H06.01.21"</f>
        <v>H06.01.21</v>
      </c>
      <c r="M7965" s="8">
        <v>110.06</v>
      </c>
      <c r="N7965" s="8">
        <v>36196174</v>
      </c>
      <c r="O7965" s="8">
        <v>25396380</v>
      </c>
      <c r="P7965" s="8">
        <v>0</v>
      </c>
      <c r="Q7965" s="8" t="str">
        <f t="shared" si="2814"/>
        <v>公安委員会</v>
      </c>
      <c r="R7965" s="8" t="str">
        <f t="shared" si="2819"/>
        <v>松原警察署</v>
      </c>
    </row>
    <row r="7966" spans="1:18" x14ac:dyDescent="0.45">
      <c r="A7966" s="8" t="str">
        <f>"11564000250"</f>
        <v>11564000250</v>
      </c>
      <c r="B7966" s="8" t="str">
        <f>"河内松原駅前交番"</f>
        <v>河内松原駅前交番</v>
      </c>
      <c r="C7966" s="8" t="str">
        <f t="shared" si="2815"/>
        <v>行政財産</v>
      </c>
      <c r="D7966" s="8" t="str">
        <f t="shared" si="2817"/>
        <v>警察（消防）施設</v>
      </c>
      <c r="E7966" s="8" t="str">
        <f>"大阪府松原市上田３丁目"</f>
        <v>大阪府松原市上田３丁目</v>
      </c>
      <c r="F7966" s="8"/>
      <c r="G7966" s="8" t="str">
        <f t="shared" si="2820"/>
        <v>事業用資産</v>
      </c>
      <c r="H7966" s="8" t="str">
        <f t="shared" si="2818"/>
        <v>棚卸以外</v>
      </c>
      <c r="I7966" s="8">
        <v>1</v>
      </c>
      <c r="J7966" s="8" t="str">
        <f>"河内松原駅前交番"</f>
        <v>河内松原駅前交番</v>
      </c>
      <c r="K7966" s="8" t="str">
        <f>"鉄筋コンクリート造"</f>
        <v>鉄筋コンクリート造</v>
      </c>
      <c r="L7966" s="8" t="str">
        <f>"H06.03.18"</f>
        <v>H06.03.18</v>
      </c>
      <c r="M7966" s="8">
        <v>105.23</v>
      </c>
      <c r="N7966" s="8">
        <v>42987713</v>
      </c>
      <c r="O7966" s="8">
        <v>24916088</v>
      </c>
      <c r="P7966" s="8">
        <v>0</v>
      </c>
      <c r="Q7966" s="8" t="str">
        <f t="shared" si="2814"/>
        <v>公安委員会</v>
      </c>
      <c r="R7966" s="8" t="str">
        <f t="shared" si="2819"/>
        <v>松原警察署</v>
      </c>
    </row>
    <row r="7967" spans="1:18" x14ac:dyDescent="0.45">
      <c r="A7967" s="8" t="str">
        <f>"11564000260"</f>
        <v>11564000260</v>
      </c>
      <c r="B7967" s="8" t="str">
        <f>"岡町交番"</f>
        <v>岡町交番</v>
      </c>
      <c r="C7967" s="8" t="str">
        <f t="shared" si="2815"/>
        <v>行政財産</v>
      </c>
      <c r="D7967" s="8" t="str">
        <f t="shared" si="2817"/>
        <v>警察（消防）施設</v>
      </c>
      <c r="E7967" s="8" t="str">
        <f>"大阪府松原市岡２丁目"</f>
        <v>大阪府松原市岡２丁目</v>
      </c>
      <c r="F7967" s="8"/>
      <c r="G7967" s="8" t="str">
        <f t="shared" si="2820"/>
        <v>事業用資産</v>
      </c>
      <c r="H7967" s="8" t="str">
        <f t="shared" si="2818"/>
        <v>棚卸以外</v>
      </c>
      <c r="I7967" s="8">
        <v>1</v>
      </c>
      <c r="J7967" s="8" t="str">
        <f>"岡町交番"</f>
        <v>岡町交番</v>
      </c>
      <c r="K7967" s="8" t="str">
        <f>"鉄骨造"</f>
        <v>鉄骨造</v>
      </c>
      <c r="L7967" s="8" t="str">
        <f>"H12.03.27"</f>
        <v>H12.03.27</v>
      </c>
      <c r="M7967" s="8">
        <v>132.96</v>
      </c>
      <c r="N7967" s="8">
        <v>35110122</v>
      </c>
      <c r="O7967" s="8">
        <v>21247836</v>
      </c>
      <c r="P7967" s="8">
        <v>0</v>
      </c>
      <c r="Q7967" s="8" t="str">
        <f t="shared" si="2814"/>
        <v>公安委員会</v>
      </c>
      <c r="R7967" s="8" t="str">
        <f t="shared" si="2819"/>
        <v>松原警察署</v>
      </c>
    </row>
    <row r="7968" spans="1:18" x14ac:dyDescent="0.45">
      <c r="A7968" s="8" t="str">
        <f>"11564000260"</f>
        <v>11564000260</v>
      </c>
      <c r="B7968" s="8" t="str">
        <f>"岡町交番"</f>
        <v>岡町交番</v>
      </c>
      <c r="C7968" s="8" t="str">
        <f t="shared" si="2815"/>
        <v>行政財産</v>
      </c>
      <c r="D7968" s="8" t="str">
        <f t="shared" si="2817"/>
        <v>警察（消防）施設</v>
      </c>
      <c r="E7968" s="8" t="str">
        <f>"大阪府松原市岡２丁目"</f>
        <v>大阪府松原市岡２丁目</v>
      </c>
      <c r="F7968" s="8"/>
      <c r="G7968" s="8" t="str">
        <f t="shared" si="2820"/>
        <v>事業用資産</v>
      </c>
      <c r="H7968" s="8" t="str">
        <f t="shared" si="2818"/>
        <v>棚卸以外</v>
      </c>
      <c r="I7968" s="8">
        <v>2</v>
      </c>
      <c r="J7968" s="8" t="str">
        <f>"自転車置場"</f>
        <v>自転車置場</v>
      </c>
      <c r="K7968" s="8" t="str">
        <f>"鉄骨造"</f>
        <v>鉄骨造</v>
      </c>
      <c r="L7968" s="8" t="str">
        <f>"H12.03.27"</f>
        <v>H12.03.27</v>
      </c>
      <c r="M7968" s="8">
        <v>6.84</v>
      </c>
      <c r="N7968" s="8">
        <v>87732</v>
      </c>
      <c r="O7968" s="8">
        <v>65136</v>
      </c>
      <c r="P7968" s="8">
        <v>0</v>
      </c>
      <c r="Q7968" s="8" t="str">
        <f t="shared" si="2814"/>
        <v>公安委員会</v>
      </c>
      <c r="R7968" s="8" t="str">
        <f t="shared" si="2819"/>
        <v>松原警察署</v>
      </c>
    </row>
    <row r="7969" spans="1:18" x14ac:dyDescent="0.45">
      <c r="A7969" s="8" t="str">
        <f t="shared" ref="A7969:A7977" si="2821">"11565000000"</f>
        <v>11565000000</v>
      </c>
      <c r="B7969" s="8" t="str">
        <f t="shared" ref="B7969:B7977" si="2822">"柏原警察署"</f>
        <v>柏原警察署</v>
      </c>
      <c r="C7969" s="8" t="str">
        <f t="shared" si="2815"/>
        <v>行政財産</v>
      </c>
      <c r="D7969" s="8" t="str">
        <f t="shared" si="2817"/>
        <v>警察（消防）施設</v>
      </c>
      <c r="E7969" s="8" t="str">
        <f t="shared" ref="E7969:E7977" si="2823">"大阪府柏原市古町２丁目"</f>
        <v>大阪府柏原市古町２丁目</v>
      </c>
      <c r="F7969" s="8"/>
      <c r="G7969" s="8" t="str">
        <f t="shared" si="2820"/>
        <v>事業用資産</v>
      </c>
      <c r="H7969" s="8" t="str">
        <f t="shared" si="2818"/>
        <v>棚卸以外</v>
      </c>
      <c r="I7969" s="8">
        <v>1</v>
      </c>
      <c r="J7969" s="8" t="str">
        <f>"会計倉庫"</f>
        <v>会計倉庫</v>
      </c>
      <c r="K7969" s="8" t="str">
        <f>"木造"</f>
        <v>木造</v>
      </c>
      <c r="L7969" s="8" t="str">
        <f>"S37.09.04"</f>
        <v>S37.09.04</v>
      </c>
      <c r="M7969" s="8">
        <v>51.83</v>
      </c>
      <c r="N7969" s="8">
        <v>885000</v>
      </c>
      <c r="O7969" s="8">
        <v>884999</v>
      </c>
      <c r="P7969" s="8">
        <v>0</v>
      </c>
      <c r="Q7969" s="8" t="str">
        <f t="shared" si="2814"/>
        <v>公安委員会</v>
      </c>
      <c r="R7969" s="8" t="str">
        <f t="shared" ref="R7969:R7984" si="2824">"柏原警察署"</f>
        <v>柏原警察署</v>
      </c>
    </row>
    <row r="7970" spans="1:18" x14ac:dyDescent="0.45">
      <c r="A7970" s="8" t="str">
        <f t="shared" si="2821"/>
        <v>11565000000</v>
      </c>
      <c r="B7970" s="8" t="str">
        <f t="shared" si="2822"/>
        <v>柏原警察署</v>
      </c>
      <c r="C7970" s="8" t="str">
        <f t="shared" si="2815"/>
        <v>行政財産</v>
      </c>
      <c r="D7970" s="8" t="str">
        <f t="shared" si="2817"/>
        <v>警察（消防）施設</v>
      </c>
      <c r="E7970" s="8" t="str">
        <f t="shared" si="2823"/>
        <v>大阪府柏原市古町２丁目</v>
      </c>
      <c r="F7970" s="8"/>
      <c r="G7970" s="8" t="str">
        <f t="shared" si="2820"/>
        <v>事業用資産</v>
      </c>
      <c r="H7970" s="8" t="str">
        <f t="shared" si="2818"/>
        <v>棚卸以外</v>
      </c>
      <c r="I7970" s="8">
        <v>3</v>
      </c>
      <c r="J7970" s="8" t="str">
        <f>"別館"</f>
        <v>別館</v>
      </c>
      <c r="K7970" s="8" t="str">
        <f>"鉄筋コンクリート造"</f>
        <v>鉄筋コンクリート造</v>
      </c>
      <c r="L7970" s="8" t="str">
        <f>"S37.08.12"</f>
        <v>S37.08.12</v>
      </c>
      <c r="M7970" s="8">
        <v>692.19</v>
      </c>
      <c r="N7970" s="8">
        <v>86839680</v>
      </c>
      <c r="O7970" s="8">
        <v>84037620</v>
      </c>
      <c r="P7970" s="8">
        <v>0</v>
      </c>
      <c r="Q7970" s="8" t="str">
        <f t="shared" si="2814"/>
        <v>公安委員会</v>
      </c>
      <c r="R7970" s="8" t="str">
        <f t="shared" si="2824"/>
        <v>柏原警察署</v>
      </c>
    </row>
    <row r="7971" spans="1:18" x14ac:dyDescent="0.45">
      <c r="A7971" s="8" t="str">
        <f t="shared" si="2821"/>
        <v>11565000000</v>
      </c>
      <c r="B7971" s="8" t="str">
        <f t="shared" si="2822"/>
        <v>柏原警察署</v>
      </c>
      <c r="C7971" s="8" t="str">
        <f t="shared" si="2815"/>
        <v>行政財産</v>
      </c>
      <c r="D7971" s="8" t="str">
        <f t="shared" si="2817"/>
        <v>警察（消防）施設</v>
      </c>
      <c r="E7971" s="8" t="str">
        <f t="shared" si="2823"/>
        <v>大阪府柏原市古町２丁目</v>
      </c>
      <c r="F7971" s="8"/>
      <c r="G7971" s="8" t="str">
        <f t="shared" si="2820"/>
        <v>事業用資産</v>
      </c>
      <c r="H7971" s="8" t="str">
        <f t="shared" si="2818"/>
        <v>棚卸以外</v>
      </c>
      <c r="I7971" s="8">
        <v>13</v>
      </c>
      <c r="J7971" s="8" t="str">
        <f>"庁舎"</f>
        <v>庁舎</v>
      </c>
      <c r="K7971" s="8" t="str">
        <f>"鉄筋コンクリート造"</f>
        <v>鉄筋コンクリート造</v>
      </c>
      <c r="L7971" s="8" t="str">
        <f>"S55.03.08"</f>
        <v>S55.03.08</v>
      </c>
      <c r="M7971" s="8">
        <v>1511.98</v>
      </c>
      <c r="N7971" s="8">
        <v>356861608</v>
      </c>
      <c r="O7971" s="8">
        <v>261459782</v>
      </c>
      <c r="P7971" s="8">
        <v>0</v>
      </c>
      <c r="Q7971" s="8" t="str">
        <f t="shared" si="2814"/>
        <v>公安委員会</v>
      </c>
      <c r="R7971" s="8" t="str">
        <f t="shared" si="2824"/>
        <v>柏原警察署</v>
      </c>
    </row>
    <row r="7972" spans="1:18" x14ac:dyDescent="0.45">
      <c r="A7972" s="8" t="str">
        <f t="shared" si="2821"/>
        <v>11565000000</v>
      </c>
      <c r="B7972" s="8" t="str">
        <f t="shared" si="2822"/>
        <v>柏原警察署</v>
      </c>
      <c r="C7972" s="8" t="str">
        <f t="shared" si="2815"/>
        <v>行政財産</v>
      </c>
      <c r="D7972" s="8" t="str">
        <f t="shared" si="2817"/>
        <v>警察（消防）施設</v>
      </c>
      <c r="E7972" s="8" t="str">
        <f t="shared" si="2823"/>
        <v>大阪府柏原市古町２丁目</v>
      </c>
      <c r="F7972" s="8"/>
      <c r="G7972" s="8" t="str">
        <f t="shared" si="2820"/>
        <v>事業用資産</v>
      </c>
      <c r="H7972" s="8" t="str">
        <f t="shared" si="2818"/>
        <v>棚卸以外</v>
      </c>
      <c r="I7972" s="8">
        <v>14</v>
      </c>
      <c r="J7972" s="8" t="str">
        <f>"署長公舎"</f>
        <v>署長公舎</v>
      </c>
      <c r="K7972" s="8" t="str">
        <f>"鉄筋コンクリート造"</f>
        <v>鉄筋コンクリート造</v>
      </c>
      <c r="L7972" s="8" t="str">
        <f>"S55.03.08"</f>
        <v>S55.03.08</v>
      </c>
      <c r="M7972" s="8">
        <v>83.12</v>
      </c>
      <c r="N7972" s="8">
        <v>12304647</v>
      </c>
      <c r="O7972" s="8">
        <v>11251671</v>
      </c>
      <c r="P7972" s="8">
        <v>0</v>
      </c>
      <c r="Q7972" s="8" t="str">
        <f t="shared" si="2814"/>
        <v>公安委員会</v>
      </c>
      <c r="R7972" s="8" t="str">
        <f t="shared" si="2824"/>
        <v>柏原警察署</v>
      </c>
    </row>
    <row r="7973" spans="1:18" x14ac:dyDescent="0.45">
      <c r="A7973" s="8" t="str">
        <f t="shared" si="2821"/>
        <v>11565000000</v>
      </c>
      <c r="B7973" s="8" t="str">
        <f t="shared" si="2822"/>
        <v>柏原警察署</v>
      </c>
      <c r="C7973" s="8" t="str">
        <f t="shared" si="2815"/>
        <v>行政財産</v>
      </c>
      <c r="D7973" s="8" t="str">
        <f t="shared" si="2817"/>
        <v>警察（消防）施設</v>
      </c>
      <c r="E7973" s="8" t="str">
        <f t="shared" si="2823"/>
        <v>大阪府柏原市古町２丁目</v>
      </c>
      <c r="F7973" s="8"/>
      <c r="G7973" s="8" t="str">
        <f t="shared" si="2820"/>
        <v>事業用資産</v>
      </c>
      <c r="H7973" s="8" t="str">
        <f t="shared" si="2818"/>
        <v>棚卸以外</v>
      </c>
      <c r="I7973" s="8">
        <v>15</v>
      </c>
      <c r="J7973" s="8" t="str">
        <f>"物置Ａ"</f>
        <v>物置Ａ</v>
      </c>
      <c r="K7973" s="8" t="str">
        <f>"鉄筋コンクリート造"</f>
        <v>鉄筋コンクリート造</v>
      </c>
      <c r="L7973" s="8" t="str">
        <f>"S55.03.08"</f>
        <v>S55.03.08</v>
      </c>
      <c r="M7973" s="8">
        <v>10.199999999999999</v>
      </c>
      <c r="N7973" s="8">
        <v>1007000</v>
      </c>
      <c r="O7973" s="8">
        <v>1006999</v>
      </c>
      <c r="P7973" s="8">
        <v>0</v>
      </c>
      <c r="Q7973" s="8" t="str">
        <f t="shared" si="2814"/>
        <v>公安委員会</v>
      </c>
      <c r="R7973" s="8" t="str">
        <f t="shared" si="2824"/>
        <v>柏原警察署</v>
      </c>
    </row>
    <row r="7974" spans="1:18" x14ac:dyDescent="0.45">
      <c r="A7974" s="8" t="str">
        <f t="shared" si="2821"/>
        <v>11565000000</v>
      </c>
      <c r="B7974" s="8" t="str">
        <f t="shared" si="2822"/>
        <v>柏原警察署</v>
      </c>
      <c r="C7974" s="8" t="str">
        <f t="shared" si="2815"/>
        <v>行政財産</v>
      </c>
      <c r="D7974" s="8" t="str">
        <f t="shared" si="2817"/>
        <v>警察（消防）施設</v>
      </c>
      <c r="E7974" s="8" t="str">
        <f t="shared" si="2823"/>
        <v>大阪府柏原市古町２丁目</v>
      </c>
      <c r="F7974" s="8"/>
      <c r="G7974" s="8" t="str">
        <f t="shared" si="2820"/>
        <v>事業用資産</v>
      </c>
      <c r="H7974" s="8" t="str">
        <f t="shared" si="2818"/>
        <v>棚卸以外</v>
      </c>
      <c r="I7974" s="8">
        <v>16</v>
      </c>
      <c r="J7974" s="8" t="str">
        <f>"車庫"</f>
        <v>車庫</v>
      </c>
      <c r="K7974" s="8" t="str">
        <f>"鉄骨造"</f>
        <v>鉄骨造</v>
      </c>
      <c r="L7974" s="8" t="str">
        <f>"S55.07.30"</f>
        <v>S55.07.30</v>
      </c>
      <c r="M7974" s="8">
        <v>190.25</v>
      </c>
      <c r="N7974" s="8">
        <v>11334215</v>
      </c>
      <c r="O7974" s="8">
        <v>11295994</v>
      </c>
      <c r="P7974" s="8">
        <v>0</v>
      </c>
      <c r="Q7974" s="8" t="str">
        <f t="shared" si="2814"/>
        <v>公安委員会</v>
      </c>
      <c r="R7974" s="8" t="str">
        <f t="shared" si="2824"/>
        <v>柏原警察署</v>
      </c>
    </row>
    <row r="7975" spans="1:18" x14ac:dyDescent="0.45">
      <c r="A7975" s="8" t="str">
        <f t="shared" si="2821"/>
        <v>11565000000</v>
      </c>
      <c r="B7975" s="8" t="str">
        <f t="shared" si="2822"/>
        <v>柏原警察署</v>
      </c>
      <c r="C7975" s="8" t="str">
        <f t="shared" si="2815"/>
        <v>行政財産</v>
      </c>
      <c r="D7975" s="8" t="str">
        <f t="shared" si="2817"/>
        <v>警察（消防）施設</v>
      </c>
      <c r="E7975" s="8" t="str">
        <f t="shared" si="2823"/>
        <v>大阪府柏原市古町２丁目</v>
      </c>
      <c r="F7975" s="8"/>
      <c r="G7975" s="8" t="str">
        <f t="shared" si="2820"/>
        <v>事業用資産</v>
      </c>
      <c r="H7975" s="8" t="str">
        <f t="shared" si="2818"/>
        <v>棚卸以外</v>
      </c>
      <c r="I7975" s="8">
        <v>17</v>
      </c>
      <c r="J7975" s="8" t="str">
        <f>"物置Ｂ"</f>
        <v>物置Ｂ</v>
      </c>
      <c r="K7975" s="8" t="str">
        <f>"プレハブ"</f>
        <v>プレハブ</v>
      </c>
      <c r="L7975" s="8" t="str">
        <f>"H04.08.11"</f>
        <v>H04.08.11</v>
      </c>
      <c r="M7975" s="8">
        <v>15</v>
      </c>
      <c r="N7975" s="8">
        <v>380000</v>
      </c>
      <c r="O7975" s="8">
        <v>379999</v>
      </c>
      <c r="P7975" s="8">
        <v>0</v>
      </c>
      <c r="Q7975" s="8" t="str">
        <f t="shared" si="2814"/>
        <v>公安委員会</v>
      </c>
      <c r="R7975" s="8" t="str">
        <f t="shared" si="2824"/>
        <v>柏原警察署</v>
      </c>
    </row>
    <row r="7976" spans="1:18" x14ac:dyDescent="0.45">
      <c r="A7976" s="8" t="str">
        <f t="shared" si="2821"/>
        <v>11565000000</v>
      </c>
      <c r="B7976" s="8" t="str">
        <f t="shared" si="2822"/>
        <v>柏原警察署</v>
      </c>
      <c r="C7976" s="8" t="str">
        <f t="shared" si="2815"/>
        <v>行政財産</v>
      </c>
      <c r="D7976" s="8" t="str">
        <f t="shared" si="2817"/>
        <v>警察（消防）施設</v>
      </c>
      <c r="E7976" s="8" t="str">
        <f t="shared" si="2823"/>
        <v>大阪府柏原市古町２丁目</v>
      </c>
      <c r="F7976" s="8"/>
      <c r="G7976" s="8" t="str">
        <f t="shared" si="2820"/>
        <v>事業用資産</v>
      </c>
      <c r="H7976" s="8" t="str">
        <f t="shared" si="2818"/>
        <v>棚卸以外</v>
      </c>
      <c r="I7976" s="8">
        <v>18</v>
      </c>
      <c r="J7976" s="8" t="str">
        <f>"食堂棟"</f>
        <v>食堂棟</v>
      </c>
      <c r="K7976" s="8" t="str">
        <f>"鉄骨造"</f>
        <v>鉄骨造</v>
      </c>
      <c r="L7976" s="8" t="str">
        <f>"H06.03.28"</f>
        <v>H06.03.28</v>
      </c>
      <c r="M7976" s="8">
        <v>60.44</v>
      </c>
      <c r="N7976" s="8">
        <v>25839364</v>
      </c>
      <c r="O7976" s="8">
        <v>24051867</v>
      </c>
      <c r="P7976" s="8">
        <v>0</v>
      </c>
      <c r="Q7976" s="8" t="str">
        <f t="shared" si="2814"/>
        <v>公安委員会</v>
      </c>
      <c r="R7976" s="8" t="str">
        <f t="shared" si="2824"/>
        <v>柏原警察署</v>
      </c>
    </row>
    <row r="7977" spans="1:18" x14ac:dyDescent="0.45">
      <c r="A7977" s="8" t="str">
        <f t="shared" si="2821"/>
        <v>11565000000</v>
      </c>
      <c r="B7977" s="8" t="str">
        <f t="shared" si="2822"/>
        <v>柏原警察署</v>
      </c>
      <c r="C7977" s="8" t="str">
        <f t="shared" si="2815"/>
        <v>行政財産</v>
      </c>
      <c r="D7977" s="8" t="str">
        <f t="shared" si="2817"/>
        <v>警察（消防）施設</v>
      </c>
      <c r="E7977" s="8" t="str">
        <f t="shared" si="2823"/>
        <v>大阪府柏原市古町２丁目</v>
      </c>
      <c r="F7977" s="8"/>
      <c r="G7977" s="8" t="str">
        <f t="shared" si="2820"/>
        <v>事業用資産</v>
      </c>
      <c r="H7977" s="8" t="str">
        <f t="shared" si="2818"/>
        <v>棚卸以外</v>
      </c>
      <c r="I7977" s="8">
        <v>19</v>
      </c>
      <c r="J7977" s="8" t="str">
        <f>"ゴミ置場"</f>
        <v>ゴミ置場</v>
      </c>
      <c r="K7977" s="8" t="str">
        <f>"鉄骨造"</f>
        <v>鉄骨造</v>
      </c>
      <c r="L7977" s="8" t="str">
        <f>"H06.03.11"</f>
        <v>H06.03.11</v>
      </c>
      <c r="M7977" s="8">
        <v>5.25</v>
      </c>
      <c r="N7977" s="8">
        <v>706000</v>
      </c>
      <c r="O7977" s="8">
        <v>660504</v>
      </c>
      <c r="P7977" s="8">
        <v>0</v>
      </c>
      <c r="Q7977" s="8" t="str">
        <f t="shared" si="2814"/>
        <v>公安委員会</v>
      </c>
      <c r="R7977" s="8" t="str">
        <f t="shared" si="2824"/>
        <v>柏原警察署</v>
      </c>
    </row>
    <row r="7978" spans="1:18" x14ac:dyDescent="0.45">
      <c r="A7978" s="8" t="str">
        <f>"11565000110"</f>
        <v>11565000110</v>
      </c>
      <c r="B7978" s="8" t="str">
        <f>"柏原駅前交番"</f>
        <v>柏原駅前交番</v>
      </c>
      <c r="C7978" s="8" t="str">
        <f t="shared" si="2815"/>
        <v>行政財産</v>
      </c>
      <c r="D7978" s="8" t="str">
        <f t="shared" si="2817"/>
        <v>警察（消防）施設</v>
      </c>
      <c r="E7978" s="8" t="str">
        <f>"大阪府柏原市上市１丁目"</f>
        <v>大阪府柏原市上市１丁目</v>
      </c>
      <c r="F7978" s="8"/>
      <c r="G7978" s="8" t="str">
        <f t="shared" si="2820"/>
        <v>事業用資産</v>
      </c>
      <c r="H7978" s="8" t="str">
        <f t="shared" si="2818"/>
        <v>棚卸以外</v>
      </c>
      <c r="I7978" s="8">
        <v>2</v>
      </c>
      <c r="J7978" s="8" t="str">
        <f>"柏原駅前交番"</f>
        <v>柏原駅前交番</v>
      </c>
      <c r="K7978" s="8" t="str">
        <f>"鉄骨造"</f>
        <v>鉄骨造</v>
      </c>
      <c r="L7978" s="8" t="str">
        <f>"H18.03.31"</f>
        <v>H18.03.31</v>
      </c>
      <c r="M7978" s="8">
        <v>136.29</v>
      </c>
      <c r="N7978" s="8">
        <v>26983000</v>
      </c>
      <c r="O7978" s="8">
        <v>9174288</v>
      </c>
      <c r="P7978" s="8">
        <v>0</v>
      </c>
      <c r="Q7978" s="8" t="str">
        <f t="shared" si="2814"/>
        <v>公安委員会</v>
      </c>
      <c r="R7978" s="8" t="str">
        <f t="shared" si="2824"/>
        <v>柏原警察署</v>
      </c>
    </row>
    <row r="7979" spans="1:18" x14ac:dyDescent="0.45">
      <c r="A7979" s="8" t="str">
        <f>"11565000130"</f>
        <v>11565000130</v>
      </c>
      <c r="B7979" s="8" t="str">
        <f>"柏原交番"</f>
        <v>柏原交番</v>
      </c>
      <c r="C7979" s="8" t="str">
        <f t="shared" si="2815"/>
        <v>行政財産</v>
      </c>
      <c r="D7979" s="8" t="str">
        <f t="shared" si="2817"/>
        <v>警察（消防）施設</v>
      </c>
      <c r="E7979" s="8" t="str">
        <f>"大阪府柏原市大正１丁目"</f>
        <v>大阪府柏原市大正１丁目</v>
      </c>
      <c r="F7979" s="8"/>
      <c r="G7979" s="8" t="str">
        <f t="shared" si="2820"/>
        <v>事業用資産</v>
      </c>
      <c r="H7979" s="8" t="str">
        <f t="shared" si="2818"/>
        <v>棚卸以外</v>
      </c>
      <c r="I7979" s="8">
        <v>1</v>
      </c>
      <c r="J7979" s="8" t="str">
        <f>"柏原交番"</f>
        <v>柏原交番</v>
      </c>
      <c r="K7979" s="8" t="str">
        <f>"コンクリートブロック造"</f>
        <v>コンクリートブロック造</v>
      </c>
      <c r="L7979" s="8" t="str">
        <f>"S42.03.31"</f>
        <v>S42.03.31</v>
      </c>
      <c r="M7979" s="8">
        <v>30.79</v>
      </c>
      <c r="N7979" s="8">
        <v>1442885</v>
      </c>
      <c r="O7979" s="8">
        <v>1414405</v>
      </c>
      <c r="P7979" s="8">
        <v>0</v>
      </c>
      <c r="Q7979" s="8" t="str">
        <f t="shared" si="2814"/>
        <v>公安委員会</v>
      </c>
      <c r="R7979" s="8" t="str">
        <f t="shared" si="2824"/>
        <v>柏原警察署</v>
      </c>
    </row>
    <row r="7980" spans="1:18" x14ac:dyDescent="0.45">
      <c r="A7980" s="8" t="str">
        <f>"11565000140"</f>
        <v>11565000140</v>
      </c>
      <c r="B7980" s="8" t="str">
        <f>"平野交番"</f>
        <v>平野交番</v>
      </c>
      <c r="C7980" s="8" t="str">
        <f t="shared" si="2815"/>
        <v>行政財産</v>
      </c>
      <c r="D7980" s="8" t="str">
        <f t="shared" si="2817"/>
        <v>警察（消防）施設</v>
      </c>
      <c r="E7980" s="8" t="str">
        <f>"大阪府柏原市平野１丁目"</f>
        <v>大阪府柏原市平野１丁目</v>
      </c>
      <c r="F7980" s="8"/>
      <c r="G7980" s="8" t="str">
        <f t="shared" si="2820"/>
        <v>事業用資産</v>
      </c>
      <c r="H7980" s="8" t="str">
        <f t="shared" si="2818"/>
        <v>棚卸以外</v>
      </c>
      <c r="I7980" s="8">
        <v>1</v>
      </c>
      <c r="J7980" s="8" t="str">
        <f>"平野交番"</f>
        <v>平野交番</v>
      </c>
      <c r="K7980" s="8" t="str">
        <f>"鉄筋コンクリート造"</f>
        <v>鉄筋コンクリート造</v>
      </c>
      <c r="L7980" s="8" t="str">
        <f>"S42.11.29"</f>
        <v>S42.11.29</v>
      </c>
      <c r="M7980" s="8">
        <v>35.06</v>
      </c>
      <c r="N7980" s="8">
        <v>1682000</v>
      </c>
      <c r="O7980" s="8">
        <v>1681999</v>
      </c>
      <c r="P7980" s="8">
        <v>0</v>
      </c>
      <c r="Q7980" s="8" t="str">
        <f t="shared" si="2814"/>
        <v>公安委員会</v>
      </c>
      <c r="R7980" s="8" t="str">
        <f t="shared" si="2824"/>
        <v>柏原警察署</v>
      </c>
    </row>
    <row r="7981" spans="1:18" x14ac:dyDescent="0.45">
      <c r="A7981" s="8" t="str">
        <f>"11565000160"</f>
        <v>11565000160</v>
      </c>
      <c r="B7981" s="8" t="str">
        <f>"安堂交番"</f>
        <v>安堂交番</v>
      </c>
      <c r="C7981" s="8" t="str">
        <f t="shared" si="2815"/>
        <v>行政財産</v>
      </c>
      <c r="D7981" s="8" t="str">
        <f t="shared" si="2817"/>
        <v>警察（消防）施設</v>
      </c>
      <c r="E7981" s="8" t="str">
        <f>"大阪府柏原市上市３丁目"</f>
        <v>大阪府柏原市上市３丁目</v>
      </c>
      <c r="F7981" s="8"/>
      <c r="G7981" s="8" t="str">
        <f t="shared" si="2820"/>
        <v>事業用資産</v>
      </c>
      <c r="H7981" s="8" t="str">
        <f t="shared" si="2818"/>
        <v>棚卸以外</v>
      </c>
      <c r="I7981" s="8">
        <v>1</v>
      </c>
      <c r="J7981" s="8" t="str">
        <f>"安堂交番"</f>
        <v>安堂交番</v>
      </c>
      <c r="K7981" s="8" t="str">
        <f>"鉄筋コンクリート造"</f>
        <v>鉄筋コンクリート造</v>
      </c>
      <c r="L7981" s="8" t="str">
        <f>"S45.03.31"</f>
        <v>S45.03.31</v>
      </c>
      <c r="M7981" s="8">
        <v>63.9</v>
      </c>
      <c r="N7981" s="8">
        <v>4285828</v>
      </c>
      <c r="O7981" s="8">
        <v>4274403</v>
      </c>
      <c r="P7981" s="8">
        <v>0</v>
      </c>
      <c r="Q7981" s="8" t="str">
        <f t="shared" si="2814"/>
        <v>公安委員会</v>
      </c>
      <c r="R7981" s="8" t="str">
        <f t="shared" si="2824"/>
        <v>柏原警察署</v>
      </c>
    </row>
    <row r="7982" spans="1:18" x14ac:dyDescent="0.45">
      <c r="A7982" s="8" t="str">
        <f>"11565000180"</f>
        <v>11565000180</v>
      </c>
      <c r="B7982" s="8" t="str">
        <f>"国分交番"</f>
        <v>国分交番</v>
      </c>
      <c r="C7982" s="8" t="str">
        <f t="shared" si="2815"/>
        <v>行政財産</v>
      </c>
      <c r="D7982" s="8" t="str">
        <f t="shared" si="2817"/>
        <v>警察（消防）施設</v>
      </c>
      <c r="E7982" s="8" t="str">
        <f>"大阪府柏原市国分　本町１丁目"</f>
        <v>大阪府柏原市国分　本町１丁目</v>
      </c>
      <c r="F7982" s="8"/>
      <c r="G7982" s="8" t="str">
        <f t="shared" si="2820"/>
        <v>事業用資産</v>
      </c>
      <c r="H7982" s="8" t="str">
        <f t="shared" si="2818"/>
        <v>棚卸以外</v>
      </c>
      <c r="I7982" s="8">
        <v>1</v>
      </c>
      <c r="J7982" s="8" t="str">
        <f>"国分交番"</f>
        <v>国分交番</v>
      </c>
      <c r="K7982" s="8" t="str">
        <f>"鉄筋コンクリート造"</f>
        <v>鉄筋コンクリート造</v>
      </c>
      <c r="L7982" s="8" t="str">
        <f>"S58.03.22"</f>
        <v>S58.03.22</v>
      </c>
      <c r="M7982" s="8">
        <v>85.8</v>
      </c>
      <c r="N7982" s="8">
        <v>22086336</v>
      </c>
      <c r="O7982" s="8">
        <v>15071340</v>
      </c>
      <c r="P7982" s="8">
        <v>0</v>
      </c>
      <c r="Q7982" s="8" t="str">
        <f t="shared" si="2814"/>
        <v>公安委員会</v>
      </c>
      <c r="R7982" s="8" t="str">
        <f t="shared" si="2824"/>
        <v>柏原警察署</v>
      </c>
    </row>
    <row r="7983" spans="1:18" x14ac:dyDescent="0.45">
      <c r="A7983" s="8" t="str">
        <f>"11565000180"</f>
        <v>11565000180</v>
      </c>
      <c r="B7983" s="8" t="str">
        <f>"国分交番"</f>
        <v>国分交番</v>
      </c>
      <c r="C7983" s="8" t="str">
        <f t="shared" si="2815"/>
        <v>行政財産</v>
      </c>
      <c r="D7983" s="8" t="str">
        <f t="shared" si="2817"/>
        <v>警察（消防）施設</v>
      </c>
      <c r="E7983" s="8" t="str">
        <f>"大阪府柏原市国分　本町１丁目"</f>
        <v>大阪府柏原市国分　本町１丁目</v>
      </c>
      <c r="F7983" s="8"/>
      <c r="G7983" s="8" t="str">
        <f t="shared" si="2820"/>
        <v>事業用資産</v>
      </c>
      <c r="H7983" s="8" t="str">
        <f t="shared" si="2818"/>
        <v>棚卸以外</v>
      </c>
      <c r="I7983" s="8">
        <v>2</v>
      </c>
      <c r="J7983" s="8" t="str">
        <f>"車庫"</f>
        <v>車庫</v>
      </c>
      <c r="K7983" s="8" t="str">
        <f>"鉄筋コンクリート造"</f>
        <v>鉄筋コンクリート造</v>
      </c>
      <c r="L7983" s="8" t="str">
        <f>"S58.03.22"</f>
        <v>S58.03.22</v>
      </c>
      <c r="M7983" s="8">
        <v>15.4</v>
      </c>
      <c r="N7983" s="8">
        <v>2573000</v>
      </c>
      <c r="O7983" s="8">
        <v>2572999</v>
      </c>
      <c r="P7983" s="8">
        <v>0</v>
      </c>
      <c r="Q7983" s="8" t="str">
        <f t="shared" si="2814"/>
        <v>公安委員会</v>
      </c>
      <c r="R7983" s="8" t="str">
        <f t="shared" si="2824"/>
        <v>柏原警察署</v>
      </c>
    </row>
    <row r="7984" spans="1:18" x14ac:dyDescent="0.45">
      <c r="A7984" s="8" t="str">
        <f>"11565000190"</f>
        <v>11565000190</v>
      </c>
      <c r="B7984" s="8" t="str">
        <f>"堅上駐在所"</f>
        <v>堅上駐在所</v>
      </c>
      <c r="C7984" s="8" t="str">
        <f t="shared" si="2815"/>
        <v>行政財産</v>
      </c>
      <c r="D7984" s="8" t="str">
        <f t="shared" si="2817"/>
        <v>警察（消防）施設</v>
      </c>
      <c r="E7984" s="8" t="str">
        <f>"大阪府柏原市大字青谷"</f>
        <v>大阪府柏原市大字青谷</v>
      </c>
      <c r="F7984" s="8"/>
      <c r="G7984" s="8" t="str">
        <f t="shared" si="2820"/>
        <v>事業用資産</v>
      </c>
      <c r="H7984" s="8" t="str">
        <f t="shared" si="2818"/>
        <v>棚卸以外</v>
      </c>
      <c r="I7984" s="8">
        <v>1</v>
      </c>
      <c r="J7984" s="8" t="str">
        <f>"堅上駐在所"</f>
        <v>堅上駐在所</v>
      </c>
      <c r="K7984" s="8" t="str">
        <f>"鉄骨造"</f>
        <v>鉄骨造</v>
      </c>
      <c r="L7984" s="8" t="str">
        <f>"H05.02.23"</f>
        <v>H05.02.23</v>
      </c>
      <c r="M7984" s="8">
        <v>90.85</v>
      </c>
      <c r="N7984" s="8">
        <v>28538283</v>
      </c>
      <c r="O7984" s="8">
        <v>22543225</v>
      </c>
      <c r="P7984" s="8">
        <v>0</v>
      </c>
      <c r="Q7984" s="8" t="str">
        <f t="shared" si="2814"/>
        <v>公安委員会</v>
      </c>
      <c r="R7984" s="8" t="str">
        <f t="shared" si="2824"/>
        <v>柏原警察署</v>
      </c>
    </row>
    <row r="7985" spans="1:18" x14ac:dyDescent="0.45">
      <c r="A7985" s="8" t="str">
        <f t="shared" ref="A7985:A7997" si="2825">"11566000000"</f>
        <v>11566000000</v>
      </c>
      <c r="B7985" s="8" t="str">
        <f t="shared" ref="B7985:B7997" si="2826">"枚方警察署"</f>
        <v>枚方警察署</v>
      </c>
      <c r="C7985" s="8" t="str">
        <f t="shared" si="2815"/>
        <v>行政財産</v>
      </c>
      <c r="D7985" s="8" t="str">
        <f t="shared" si="2817"/>
        <v>警察（消防）施設</v>
      </c>
      <c r="E7985" s="8" t="str">
        <f t="shared" ref="E7985:E7997" si="2827">"大阪府枚方市大垣内町２丁目"</f>
        <v>大阪府枚方市大垣内町２丁目</v>
      </c>
      <c r="F7985" s="8"/>
      <c r="G7985" s="8" t="str">
        <f t="shared" si="2820"/>
        <v>事業用資産</v>
      </c>
      <c r="H7985" s="8" t="str">
        <f t="shared" si="2818"/>
        <v>棚卸以外</v>
      </c>
      <c r="I7985" s="8">
        <v>23</v>
      </c>
      <c r="J7985" s="8" t="str">
        <f>"庁舎"</f>
        <v>庁舎</v>
      </c>
      <c r="K7985" s="8" t="str">
        <f>"鉄筋コンクリート造"</f>
        <v>鉄筋コンクリート造</v>
      </c>
      <c r="L7985" s="8" t="str">
        <f t="shared" ref="L7985:L7991" si="2828">"S55.02.15"</f>
        <v>S55.02.15</v>
      </c>
      <c r="M7985" s="8">
        <v>3642.04</v>
      </c>
      <c r="N7985" s="8">
        <v>837729697</v>
      </c>
      <c r="O7985" s="8">
        <v>572179386</v>
      </c>
      <c r="P7985" s="8">
        <v>0</v>
      </c>
      <c r="Q7985" s="8" t="str">
        <f t="shared" si="2814"/>
        <v>公安委員会</v>
      </c>
      <c r="R7985" s="8" t="str">
        <f t="shared" ref="R7985:R8013" si="2829">"枚方警察署"</f>
        <v>枚方警察署</v>
      </c>
    </row>
    <row r="7986" spans="1:18" x14ac:dyDescent="0.45">
      <c r="A7986" s="8" t="str">
        <f t="shared" si="2825"/>
        <v>11566000000</v>
      </c>
      <c r="B7986" s="8" t="str">
        <f t="shared" si="2826"/>
        <v>枚方警察署</v>
      </c>
      <c r="C7986" s="8" t="str">
        <f t="shared" si="2815"/>
        <v>行政財産</v>
      </c>
      <c r="D7986" s="8" t="str">
        <f t="shared" si="2817"/>
        <v>警察（消防）施設</v>
      </c>
      <c r="E7986" s="8" t="str">
        <f t="shared" si="2827"/>
        <v>大阪府枚方市大垣内町２丁目</v>
      </c>
      <c r="F7986" s="8"/>
      <c r="G7986" s="8" t="str">
        <f t="shared" si="2820"/>
        <v>事業用資産</v>
      </c>
      <c r="H7986" s="8" t="str">
        <f t="shared" si="2818"/>
        <v>棚卸以外</v>
      </c>
      <c r="I7986" s="8">
        <v>24</v>
      </c>
      <c r="J7986" s="8" t="str">
        <f>"車庫Ａ"</f>
        <v>車庫Ａ</v>
      </c>
      <c r="K7986" s="8" t="str">
        <f>"鉄骨造"</f>
        <v>鉄骨造</v>
      </c>
      <c r="L7986" s="8" t="str">
        <f t="shared" si="2828"/>
        <v>S55.02.15</v>
      </c>
      <c r="M7986" s="8">
        <v>99.76</v>
      </c>
      <c r="N7986" s="8">
        <v>4865346</v>
      </c>
      <c r="O7986" s="8">
        <v>4831243</v>
      </c>
      <c r="P7986" s="8">
        <v>0</v>
      </c>
      <c r="Q7986" s="8" t="str">
        <f t="shared" si="2814"/>
        <v>公安委員会</v>
      </c>
      <c r="R7986" s="8" t="str">
        <f t="shared" si="2829"/>
        <v>枚方警察署</v>
      </c>
    </row>
    <row r="7987" spans="1:18" x14ac:dyDescent="0.45">
      <c r="A7987" s="8" t="str">
        <f t="shared" si="2825"/>
        <v>11566000000</v>
      </c>
      <c r="B7987" s="8" t="str">
        <f t="shared" si="2826"/>
        <v>枚方警察署</v>
      </c>
      <c r="C7987" s="8" t="str">
        <f t="shared" si="2815"/>
        <v>行政財産</v>
      </c>
      <c r="D7987" s="8" t="str">
        <f t="shared" si="2817"/>
        <v>警察（消防）施設</v>
      </c>
      <c r="E7987" s="8" t="str">
        <f t="shared" si="2827"/>
        <v>大阪府枚方市大垣内町２丁目</v>
      </c>
      <c r="F7987" s="8"/>
      <c r="G7987" s="8" t="str">
        <f t="shared" si="2820"/>
        <v>事業用資産</v>
      </c>
      <c r="H7987" s="8" t="str">
        <f t="shared" si="2818"/>
        <v>棚卸以外</v>
      </c>
      <c r="I7987" s="8">
        <v>25</v>
      </c>
      <c r="J7987" s="8" t="str">
        <f>"車庫Ｂ"</f>
        <v>車庫Ｂ</v>
      </c>
      <c r="K7987" s="8" t="str">
        <f>"鉄骨造"</f>
        <v>鉄骨造</v>
      </c>
      <c r="L7987" s="8" t="str">
        <f t="shared" si="2828"/>
        <v>S55.02.15</v>
      </c>
      <c r="M7987" s="8">
        <v>86.71</v>
      </c>
      <c r="N7987" s="8">
        <v>4299371</v>
      </c>
      <c r="O7987" s="8">
        <v>4272809</v>
      </c>
      <c r="P7987" s="8">
        <v>0</v>
      </c>
      <c r="Q7987" s="8" t="str">
        <f t="shared" ref="Q7987:Q8050" si="2830">"公安委員会"</f>
        <v>公安委員会</v>
      </c>
      <c r="R7987" s="8" t="str">
        <f t="shared" si="2829"/>
        <v>枚方警察署</v>
      </c>
    </row>
    <row r="7988" spans="1:18" x14ac:dyDescent="0.45">
      <c r="A7988" s="8" t="str">
        <f t="shared" si="2825"/>
        <v>11566000000</v>
      </c>
      <c r="B7988" s="8" t="str">
        <f t="shared" si="2826"/>
        <v>枚方警察署</v>
      </c>
      <c r="C7988" s="8" t="str">
        <f t="shared" si="2815"/>
        <v>行政財産</v>
      </c>
      <c r="D7988" s="8" t="str">
        <f t="shared" si="2817"/>
        <v>警察（消防）施設</v>
      </c>
      <c r="E7988" s="8" t="str">
        <f t="shared" si="2827"/>
        <v>大阪府枚方市大垣内町２丁目</v>
      </c>
      <c r="F7988" s="8"/>
      <c r="G7988" s="8" t="str">
        <f t="shared" si="2820"/>
        <v>事業用資産</v>
      </c>
      <c r="H7988" s="8" t="str">
        <f t="shared" si="2818"/>
        <v>棚卸以外</v>
      </c>
      <c r="I7988" s="8">
        <v>26</v>
      </c>
      <c r="J7988" s="8" t="str">
        <f>"車庫Ｃ"</f>
        <v>車庫Ｃ</v>
      </c>
      <c r="K7988" s="8" t="str">
        <f>"鉄骨造"</f>
        <v>鉄骨造</v>
      </c>
      <c r="L7988" s="8" t="str">
        <f t="shared" si="2828"/>
        <v>S55.02.15</v>
      </c>
      <c r="M7988" s="8">
        <v>99.76</v>
      </c>
      <c r="N7988" s="8">
        <v>7683396</v>
      </c>
      <c r="O7988" s="8">
        <v>6486115</v>
      </c>
      <c r="P7988" s="8">
        <v>0</v>
      </c>
      <c r="Q7988" s="8" t="str">
        <f t="shared" si="2830"/>
        <v>公安委員会</v>
      </c>
      <c r="R7988" s="8" t="str">
        <f t="shared" si="2829"/>
        <v>枚方警察署</v>
      </c>
    </row>
    <row r="7989" spans="1:18" x14ac:dyDescent="0.45">
      <c r="A7989" s="8" t="str">
        <f t="shared" si="2825"/>
        <v>11566000000</v>
      </c>
      <c r="B7989" s="8" t="str">
        <f t="shared" si="2826"/>
        <v>枚方警察署</v>
      </c>
      <c r="C7989" s="8" t="str">
        <f t="shared" si="2815"/>
        <v>行政財産</v>
      </c>
      <c r="D7989" s="8" t="str">
        <f t="shared" si="2817"/>
        <v>警察（消防）施設</v>
      </c>
      <c r="E7989" s="8" t="str">
        <f t="shared" si="2827"/>
        <v>大阪府枚方市大垣内町２丁目</v>
      </c>
      <c r="F7989" s="8"/>
      <c r="G7989" s="8" t="str">
        <f t="shared" si="2820"/>
        <v>事業用資産</v>
      </c>
      <c r="H7989" s="8" t="str">
        <f t="shared" si="2818"/>
        <v>棚卸以外</v>
      </c>
      <c r="I7989" s="8">
        <v>27</v>
      </c>
      <c r="J7989" s="8" t="str">
        <f>"大型車庫"</f>
        <v>大型車庫</v>
      </c>
      <c r="K7989" s="8" t="str">
        <f>"鉄骨造"</f>
        <v>鉄骨造</v>
      </c>
      <c r="L7989" s="8" t="str">
        <f t="shared" si="2828"/>
        <v>S55.02.15</v>
      </c>
      <c r="M7989" s="8">
        <v>159.34</v>
      </c>
      <c r="N7989" s="8">
        <v>14382200</v>
      </c>
      <c r="O7989" s="8">
        <v>14268036</v>
      </c>
      <c r="P7989" s="8">
        <v>0</v>
      </c>
      <c r="Q7989" s="8" t="str">
        <f t="shared" si="2830"/>
        <v>公安委員会</v>
      </c>
      <c r="R7989" s="8" t="str">
        <f t="shared" si="2829"/>
        <v>枚方警察署</v>
      </c>
    </row>
    <row r="7990" spans="1:18" x14ac:dyDescent="0.45">
      <c r="A7990" s="8" t="str">
        <f t="shared" si="2825"/>
        <v>11566000000</v>
      </c>
      <c r="B7990" s="8" t="str">
        <f t="shared" si="2826"/>
        <v>枚方警察署</v>
      </c>
      <c r="C7990" s="8" t="str">
        <f t="shared" ref="C7990:C8053" si="2831">"行政財産"</f>
        <v>行政財産</v>
      </c>
      <c r="D7990" s="8" t="str">
        <f t="shared" si="2817"/>
        <v>警察（消防）施設</v>
      </c>
      <c r="E7990" s="8" t="str">
        <f t="shared" si="2827"/>
        <v>大阪府枚方市大垣内町２丁目</v>
      </c>
      <c r="F7990" s="8"/>
      <c r="G7990" s="8" t="str">
        <f t="shared" si="2820"/>
        <v>事業用資産</v>
      </c>
      <c r="H7990" s="8" t="str">
        <f t="shared" si="2818"/>
        <v>棚卸以外</v>
      </c>
      <c r="I7990" s="8">
        <v>28</v>
      </c>
      <c r="J7990" s="8" t="str">
        <f>"油庫"</f>
        <v>油庫</v>
      </c>
      <c r="K7990" s="8" t="str">
        <f>"鉄骨造"</f>
        <v>鉄骨造</v>
      </c>
      <c r="L7990" s="8" t="str">
        <f t="shared" si="2828"/>
        <v>S55.02.15</v>
      </c>
      <c r="M7990" s="8">
        <v>7.33</v>
      </c>
      <c r="N7990" s="8">
        <v>1693050</v>
      </c>
      <c r="O7990" s="8">
        <v>1346439</v>
      </c>
      <c r="P7990" s="8">
        <v>0</v>
      </c>
      <c r="Q7990" s="8" t="str">
        <f t="shared" si="2830"/>
        <v>公安委員会</v>
      </c>
      <c r="R7990" s="8" t="str">
        <f t="shared" si="2829"/>
        <v>枚方警察署</v>
      </c>
    </row>
    <row r="7991" spans="1:18" x14ac:dyDescent="0.45">
      <c r="A7991" s="8" t="str">
        <f t="shared" si="2825"/>
        <v>11566000000</v>
      </c>
      <c r="B7991" s="8" t="str">
        <f t="shared" si="2826"/>
        <v>枚方警察署</v>
      </c>
      <c r="C7991" s="8" t="str">
        <f t="shared" si="2831"/>
        <v>行政財産</v>
      </c>
      <c r="D7991" s="8" t="str">
        <f t="shared" si="2817"/>
        <v>警察（消防）施設</v>
      </c>
      <c r="E7991" s="8" t="str">
        <f t="shared" si="2827"/>
        <v>大阪府枚方市大垣内町２丁目</v>
      </c>
      <c r="F7991" s="8"/>
      <c r="G7991" s="8" t="str">
        <f t="shared" si="2820"/>
        <v>事業用資産</v>
      </c>
      <c r="H7991" s="8" t="str">
        <f t="shared" si="2818"/>
        <v>棚卸以外</v>
      </c>
      <c r="I7991" s="8">
        <v>30</v>
      </c>
      <c r="J7991" s="8" t="str">
        <f>"署長公舎"</f>
        <v>署長公舎</v>
      </c>
      <c r="K7991" s="8" t="str">
        <f>"鉄筋コンクリート造"</f>
        <v>鉄筋コンクリート造</v>
      </c>
      <c r="L7991" s="8" t="str">
        <f t="shared" si="2828"/>
        <v>S55.02.15</v>
      </c>
      <c r="M7991" s="8">
        <v>85.48</v>
      </c>
      <c r="N7991" s="8">
        <v>14817341</v>
      </c>
      <c r="O7991" s="8">
        <v>13571651</v>
      </c>
      <c r="P7991" s="8">
        <v>0</v>
      </c>
      <c r="Q7991" s="8" t="str">
        <f t="shared" si="2830"/>
        <v>公安委員会</v>
      </c>
      <c r="R7991" s="8" t="str">
        <f t="shared" si="2829"/>
        <v>枚方警察署</v>
      </c>
    </row>
    <row r="7992" spans="1:18" x14ac:dyDescent="0.45">
      <c r="A7992" s="8" t="str">
        <f t="shared" si="2825"/>
        <v>11566000000</v>
      </c>
      <c r="B7992" s="8" t="str">
        <f t="shared" si="2826"/>
        <v>枚方警察署</v>
      </c>
      <c r="C7992" s="8" t="str">
        <f t="shared" si="2831"/>
        <v>行政財産</v>
      </c>
      <c r="D7992" s="8" t="str">
        <f t="shared" si="2817"/>
        <v>警察（消防）施設</v>
      </c>
      <c r="E7992" s="8" t="str">
        <f t="shared" si="2827"/>
        <v>大阪府枚方市大垣内町２丁目</v>
      </c>
      <c r="F7992" s="8"/>
      <c r="G7992" s="8" t="str">
        <f t="shared" si="2820"/>
        <v>事業用資産</v>
      </c>
      <c r="H7992" s="8" t="str">
        <f t="shared" si="2818"/>
        <v>棚卸以外</v>
      </c>
      <c r="I7992" s="8">
        <v>32</v>
      </c>
      <c r="J7992" s="8" t="str">
        <f>"書庫Ａ"</f>
        <v>書庫Ａ</v>
      </c>
      <c r="K7992" s="8" t="str">
        <f>"パイプ"</f>
        <v>パイプ</v>
      </c>
      <c r="L7992" s="8" t="str">
        <f>"H10.02.23"</f>
        <v>H10.02.23</v>
      </c>
      <c r="M7992" s="8">
        <v>6.75</v>
      </c>
      <c r="N7992" s="8">
        <v>433000</v>
      </c>
      <c r="O7992" s="8">
        <v>362103</v>
      </c>
      <c r="P7992" s="8">
        <v>0</v>
      </c>
      <c r="Q7992" s="8" t="str">
        <f t="shared" si="2830"/>
        <v>公安委員会</v>
      </c>
      <c r="R7992" s="8" t="str">
        <f t="shared" si="2829"/>
        <v>枚方警察署</v>
      </c>
    </row>
    <row r="7993" spans="1:18" x14ac:dyDescent="0.45">
      <c r="A7993" s="8" t="str">
        <f t="shared" si="2825"/>
        <v>11566000000</v>
      </c>
      <c r="B7993" s="8" t="str">
        <f t="shared" si="2826"/>
        <v>枚方警察署</v>
      </c>
      <c r="C7993" s="8" t="str">
        <f t="shared" si="2831"/>
        <v>行政財産</v>
      </c>
      <c r="D7993" s="8" t="str">
        <f t="shared" si="2817"/>
        <v>警察（消防）施設</v>
      </c>
      <c r="E7993" s="8" t="str">
        <f t="shared" si="2827"/>
        <v>大阪府枚方市大垣内町２丁目</v>
      </c>
      <c r="F7993" s="8"/>
      <c r="G7993" s="8" t="str">
        <f t="shared" si="2820"/>
        <v>事業用資産</v>
      </c>
      <c r="H7993" s="8" t="str">
        <f t="shared" si="2818"/>
        <v>棚卸以外</v>
      </c>
      <c r="I7993" s="8">
        <v>33</v>
      </c>
      <c r="J7993" s="8" t="str">
        <f>"書庫Ｂ"</f>
        <v>書庫Ｂ</v>
      </c>
      <c r="K7993" s="8" t="str">
        <f>"パイプ"</f>
        <v>パイプ</v>
      </c>
      <c r="L7993" s="8" t="str">
        <f>"H10.02.23"</f>
        <v>H10.02.23</v>
      </c>
      <c r="M7993" s="8">
        <v>6.75</v>
      </c>
      <c r="N7993" s="8">
        <v>433000</v>
      </c>
      <c r="O7993" s="8">
        <v>362103</v>
      </c>
      <c r="P7993" s="8">
        <v>0</v>
      </c>
      <c r="Q7993" s="8" t="str">
        <f t="shared" si="2830"/>
        <v>公安委員会</v>
      </c>
      <c r="R7993" s="8" t="str">
        <f t="shared" si="2829"/>
        <v>枚方警察署</v>
      </c>
    </row>
    <row r="7994" spans="1:18" x14ac:dyDescent="0.45">
      <c r="A7994" s="8" t="str">
        <f t="shared" si="2825"/>
        <v>11566000000</v>
      </c>
      <c r="B7994" s="8" t="str">
        <f t="shared" si="2826"/>
        <v>枚方警察署</v>
      </c>
      <c r="C7994" s="8" t="str">
        <f t="shared" si="2831"/>
        <v>行政財産</v>
      </c>
      <c r="D7994" s="8" t="str">
        <f t="shared" si="2817"/>
        <v>警察（消防）施設</v>
      </c>
      <c r="E7994" s="8" t="str">
        <f t="shared" si="2827"/>
        <v>大阪府枚方市大垣内町２丁目</v>
      </c>
      <c r="F7994" s="8"/>
      <c r="G7994" s="8" t="str">
        <f t="shared" si="2820"/>
        <v>事業用資産</v>
      </c>
      <c r="H7994" s="8" t="str">
        <f t="shared" si="2818"/>
        <v>棚卸以外</v>
      </c>
      <c r="I7994" s="8">
        <v>34</v>
      </c>
      <c r="J7994" s="8" t="str">
        <f>"書庫Ｃ"</f>
        <v>書庫Ｃ</v>
      </c>
      <c r="K7994" s="8" t="str">
        <f>"プレハブ"</f>
        <v>プレハブ</v>
      </c>
      <c r="L7994" s="8" t="str">
        <f>"H11.03.26"</f>
        <v>H11.03.26</v>
      </c>
      <c r="M7994" s="8">
        <v>6.75</v>
      </c>
      <c r="N7994" s="8">
        <v>268000</v>
      </c>
      <c r="O7994" s="8">
        <v>214560</v>
      </c>
      <c r="P7994" s="8">
        <v>0</v>
      </c>
      <c r="Q7994" s="8" t="str">
        <f t="shared" si="2830"/>
        <v>公安委員会</v>
      </c>
      <c r="R7994" s="8" t="str">
        <f t="shared" si="2829"/>
        <v>枚方警察署</v>
      </c>
    </row>
    <row r="7995" spans="1:18" x14ac:dyDescent="0.45">
      <c r="A7995" s="8" t="str">
        <f t="shared" si="2825"/>
        <v>11566000000</v>
      </c>
      <c r="B7995" s="8" t="str">
        <f t="shared" si="2826"/>
        <v>枚方警察署</v>
      </c>
      <c r="C7995" s="8" t="str">
        <f t="shared" si="2831"/>
        <v>行政財産</v>
      </c>
      <c r="D7995" s="8" t="str">
        <f t="shared" si="2817"/>
        <v>警察（消防）施設</v>
      </c>
      <c r="E7995" s="8" t="str">
        <f t="shared" si="2827"/>
        <v>大阪府枚方市大垣内町２丁目</v>
      </c>
      <c r="F7995" s="8"/>
      <c r="G7995" s="8" t="str">
        <f t="shared" si="2820"/>
        <v>事業用資産</v>
      </c>
      <c r="H7995" s="8" t="str">
        <f t="shared" si="2818"/>
        <v>棚卸以外</v>
      </c>
      <c r="I7995" s="8">
        <v>35</v>
      </c>
      <c r="J7995" s="8" t="str">
        <f>"書庫Ｄ"</f>
        <v>書庫Ｄ</v>
      </c>
      <c r="K7995" s="8" t="str">
        <f>"プレハブ"</f>
        <v>プレハブ</v>
      </c>
      <c r="L7995" s="8" t="str">
        <f>"H11.03.26"</f>
        <v>H11.03.26</v>
      </c>
      <c r="M7995" s="8">
        <v>6.75</v>
      </c>
      <c r="N7995" s="8">
        <v>268000</v>
      </c>
      <c r="O7995" s="8">
        <v>214560</v>
      </c>
      <c r="P7995" s="8">
        <v>0</v>
      </c>
      <c r="Q7995" s="8" t="str">
        <f t="shared" si="2830"/>
        <v>公安委員会</v>
      </c>
      <c r="R7995" s="8" t="str">
        <f t="shared" si="2829"/>
        <v>枚方警察署</v>
      </c>
    </row>
    <row r="7996" spans="1:18" x14ac:dyDescent="0.45">
      <c r="A7996" s="8" t="str">
        <f t="shared" si="2825"/>
        <v>11566000000</v>
      </c>
      <c r="B7996" s="8" t="str">
        <f t="shared" si="2826"/>
        <v>枚方警察署</v>
      </c>
      <c r="C7996" s="8" t="str">
        <f t="shared" si="2831"/>
        <v>行政財産</v>
      </c>
      <c r="D7996" s="8" t="str">
        <f t="shared" ref="D7996:D8059" si="2832">"警察（消防）施設"</f>
        <v>警察（消防）施設</v>
      </c>
      <c r="E7996" s="8" t="str">
        <f t="shared" si="2827"/>
        <v>大阪府枚方市大垣内町２丁目</v>
      </c>
      <c r="F7996" s="8"/>
      <c r="G7996" s="8" t="str">
        <f t="shared" si="2820"/>
        <v>事業用資産</v>
      </c>
      <c r="H7996" s="8" t="str">
        <f t="shared" si="2818"/>
        <v>棚卸以外</v>
      </c>
      <c r="I7996" s="8">
        <v>36</v>
      </c>
      <c r="J7996" s="8" t="str">
        <f>"書庫Ｅ"</f>
        <v>書庫Ｅ</v>
      </c>
      <c r="K7996" s="8" t="str">
        <f>"プレハブ"</f>
        <v>プレハブ</v>
      </c>
      <c r="L7996" s="8" t="str">
        <f>"H11.03.26"</f>
        <v>H11.03.26</v>
      </c>
      <c r="M7996" s="8">
        <v>6.75</v>
      </c>
      <c r="N7996" s="8">
        <v>268000</v>
      </c>
      <c r="O7996" s="8">
        <v>214560</v>
      </c>
      <c r="P7996" s="8">
        <v>0</v>
      </c>
      <c r="Q7996" s="8" t="str">
        <f t="shared" si="2830"/>
        <v>公安委員会</v>
      </c>
      <c r="R7996" s="8" t="str">
        <f t="shared" si="2829"/>
        <v>枚方警察署</v>
      </c>
    </row>
    <row r="7997" spans="1:18" x14ac:dyDescent="0.45">
      <c r="A7997" s="8" t="str">
        <f t="shared" si="2825"/>
        <v>11566000000</v>
      </c>
      <c r="B7997" s="8" t="str">
        <f t="shared" si="2826"/>
        <v>枚方警察署</v>
      </c>
      <c r="C7997" s="8" t="str">
        <f t="shared" si="2831"/>
        <v>行政財産</v>
      </c>
      <c r="D7997" s="8" t="str">
        <f t="shared" si="2832"/>
        <v>警察（消防）施設</v>
      </c>
      <c r="E7997" s="8" t="str">
        <f t="shared" si="2827"/>
        <v>大阪府枚方市大垣内町２丁目</v>
      </c>
      <c r="F7997" s="8"/>
      <c r="G7997" s="8" t="str">
        <f t="shared" si="2820"/>
        <v>事業用資産</v>
      </c>
      <c r="H7997" s="8" t="str">
        <f t="shared" si="2818"/>
        <v>棚卸以外</v>
      </c>
      <c r="I7997" s="8">
        <v>37</v>
      </c>
      <c r="J7997" s="8" t="str">
        <f>"付属舎"</f>
        <v>付属舎</v>
      </c>
      <c r="K7997" s="8" t="str">
        <f>"鉄骨造"</f>
        <v>鉄骨造</v>
      </c>
      <c r="L7997" s="8" t="str">
        <f>"H13.03.30"</f>
        <v>H13.03.30</v>
      </c>
      <c r="M7997" s="8">
        <v>98.02</v>
      </c>
      <c r="N7997" s="8">
        <v>14472951</v>
      </c>
      <c r="O7997" s="8">
        <v>8175652</v>
      </c>
      <c r="P7997" s="8">
        <v>0</v>
      </c>
      <c r="Q7997" s="8" t="str">
        <f t="shared" si="2830"/>
        <v>公安委員会</v>
      </c>
      <c r="R7997" s="8" t="str">
        <f t="shared" si="2829"/>
        <v>枚方警察署</v>
      </c>
    </row>
    <row r="7998" spans="1:18" x14ac:dyDescent="0.45">
      <c r="A7998" s="8" t="str">
        <f>"11566000020"</f>
        <v>11566000020</v>
      </c>
      <c r="B7998" s="8" t="str">
        <f>"香里ヶ丘交番"</f>
        <v>香里ヶ丘交番</v>
      </c>
      <c r="C7998" s="8" t="str">
        <f t="shared" si="2831"/>
        <v>行政財産</v>
      </c>
      <c r="D7998" s="8" t="str">
        <f t="shared" si="2832"/>
        <v>警察（消防）施設</v>
      </c>
      <c r="E7998" s="8" t="str">
        <f>"大阪府枚方市香里ケ丘３丁目"</f>
        <v>大阪府枚方市香里ケ丘３丁目</v>
      </c>
      <c r="F7998" s="8"/>
      <c r="G7998" s="8" t="str">
        <f t="shared" si="2820"/>
        <v>事業用資産</v>
      </c>
      <c r="H7998" s="8" t="str">
        <f t="shared" si="2818"/>
        <v>棚卸以外</v>
      </c>
      <c r="I7998" s="8">
        <v>1</v>
      </c>
      <c r="J7998" s="8" t="str">
        <f>"香里ヶ丘交番"</f>
        <v>香里ヶ丘交番</v>
      </c>
      <c r="K7998" s="8" t="str">
        <f>"鉄骨造"</f>
        <v>鉄骨造</v>
      </c>
      <c r="L7998" s="8" t="str">
        <f>"H19.02.15"</f>
        <v>H19.02.15</v>
      </c>
      <c r="M7998" s="8">
        <v>129.79</v>
      </c>
      <c r="N7998" s="8">
        <v>30515920</v>
      </c>
      <c r="O7998" s="8">
        <v>12899346</v>
      </c>
      <c r="P7998" s="8">
        <v>0</v>
      </c>
      <c r="Q7998" s="8" t="str">
        <f t="shared" si="2830"/>
        <v>公安委員会</v>
      </c>
      <c r="R7998" s="8" t="str">
        <f t="shared" si="2829"/>
        <v>枚方警察署</v>
      </c>
    </row>
    <row r="7999" spans="1:18" x14ac:dyDescent="0.45">
      <c r="A7999" s="8" t="str">
        <f>"11566000100"</f>
        <v>11566000100</v>
      </c>
      <c r="B7999" s="8" t="str">
        <f>"枚方公園前交番"</f>
        <v>枚方公園前交番</v>
      </c>
      <c r="C7999" s="8" t="str">
        <f t="shared" si="2831"/>
        <v>行政財産</v>
      </c>
      <c r="D7999" s="8" t="str">
        <f t="shared" si="2832"/>
        <v>警察（消防）施設</v>
      </c>
      <c r="E7999" s="8" t="str">
        <f>"大阪府枚方市枚方元町"</f>
        <v>大阪府枚方市枚方元町</v>
      </c>
      <c r="F7999" s="8"/>
      <c r="G7999" s="8" t="str">
        <f t="shared" si="2820"/>
        <v>事業用資産</v>
      </c>
      <c r="H7999" s="8" t="str">
        <f t="shared" si="2818"/>
        <v>棚卸以外</v>
      </c>
      <c r="I7999" s="8">
        <v>2</v>
      </c>
      <c r="J7999" s="8" t="str">
        <f>"枚方公園前交番"</f>
        <v>枚方公園前交番</v>
      </c>
      <c r="K7999" s="8" t="str">
        <f>"鉄骨造"</f>
        <v>鉄骨造</v>
      </c>
      <c r="L7999" s="8" t="str">
        <f>"S59.03.31"</f>
        <v>S59.03.31</v>
      </c>
      <c r="M7999" s="8">
        <v>43.68</v>
      </c>
      <c r="N7999" s="8">
        <v>15981908</v>
      </c>
      <c r="O7999" s="8">
        <v>15919039</v>
      </c>
      <c r="P7999" s="8">
        <v>0</v>
      </c>
      <c r="Q7999" s="8" t="str">
        <f t="shared" si="2830"/>
        <v>公安委員会</v>
      </c>
      <c r="R7999" s="8" t="str">
        <f t="shared" si="2829"/>
        <v>枚方警察署</v>
      </c>
    </row>
    <row r="8000" spans="1:18" x14ac:dyDescent="0.45">
      <c r="A8000" s="8" t="str">
        <f>"11566000120"</f>
        <v>11566000120</v>
      </c>
      <c r="B8000" s="8" t="str">
        <f>"中宮交番"</f>
        <v>中宮交番</v>
      </c>
      <c r="C8000" s="8" t="str">
        <f t="shared" si="2831"/>
        <v>行政財産</v>
      </c>
      <c r="D8000" s="8" t="str">
        <f t="shared" si="2832"/>
        <v>警察（消防）施設</v>
      </c>
      <c r="E8000" s="8" t="str">
        <f>"大阪府枚方市中宮北町"</f>
        <v>大阪府枚方市中宮北町</v>
      </c>
      <c r="F8000" s="8"/>
      <c r="G8000" s="8" t="str">
        <f t="shared" si="2820"/>
        <v>事業用資産</v>
      </c>
      <c r="H8000" s="8" t="str">
        <f t="shared" si="2818"/>
        <v>棚卸以外</v>
      </c>
      <c r="I8000" s="8">
        <v>2</v>
      </c>
      <c r="J8000" s="8" t="str">
        <f>"中宮交番"</f>
        <v>中宮交番</v>
      </c>
      <c r="K8000" s="8" t="str">
        <f>"鉄筋コンクリート造"</f>
        <v>鉄筋コンクリート造</v>
      </c>
      <c r="L8000" s="8" t="str">
        <f>"S57.11.25"</f>
        <v>S57.11.25</v>
      </c>
      <c r="M8000" s="8">
        <v>54.6</v>
      </c>
      <c r="N8000" s="8">
        <v>13319140</v>
      </c>
      <c r="O8000" s="8">
        <v>10684758</v>
      </c>
      <c r="P8000" s="8">
        <v>0</v>
      </c>
      <c r="Q8000" s="8" t="str">
        <f t="shared" si="2830"/>
        <v>公安委員会</v>
      </c>
      <c r="R8000" s="8" t="str">
        <f t="shared" si="2829"/>
        <v>枚方警察署</v>
      </c>
    </row>
    <row r="8001" spans="1:18" x14ac:dyDescent="0.45">
      <c r="A8001" s="8" t="str">
        <f>"11566000160"</f>
        <v>11566000160</v>
      </c>
      <c r="B8001" s="8" t="str">
        <f>"村野交番"</f>
        <v>村野交番</v>
      </c>
      <c r="C8001" s="8" t="str">
        <f t="shared" si="2831"/>
        <v>行政財産</v>
      </c>
      <c r="D8001" s="8" t="str">
        <f t="shared" si="2832"/>
        <v>警察（消防）施設</v>
      </c>
      <c r="E8001" s="8" t="str">
        <f>"大阪府枚方市村野本町"</f>
        <v>大阪府枚方市村野本町</v>
      </c>
      <c r="F8001" s="8"/>
      <c r="G8001" s="8" t="str">
        <f t="shared" si="2820"/>
        <v>事業用資産</v>
      </c>
      <c r="H8001" s="8" t="str">
        <f t="shared" si="2818"/>
        <v>棚卸以外</v>
      </c>
      <c r="I8001" s="8">
        <v>3</v>
      </c>
      <c r="J8001" s="8" t="str">
        <f>"村野交番"</f>
        <v>村野交番</v>
      </c>
      <c r="K8001" s="8" t="str">
        <f>"鉄骨造"</f>
        <v>鉄骨造</v>
      </c>
      <c r="L8001" s="8" t="str">
        <f>"H22.03.10"</f>
        <v>H22.03.10</v>
      </c>
      <c r="M8001" s="8">
        <v>54</v>
      </c>
      <c r="N8001" s="8">
        <v>15553176</v>
      </c>
      <c r="O8001" s="8">
        <v>5314776</v>
      </c>
      <c r="P8001" s="8">
        <v>0</v>
      </c>
      <c r="Q8001" s="8" t="str">
        <f t="shared" si="2830"/>
        <v>公安委員会</v>
      </c>
      <c r="R8001" s="8" t="str">
        <f t="shared" si="2829"/>
        <v>枚方警察署</v>
      </c>
    </row>
    <row r="8002" spans="1:18" x14ac:dyDescent="0.45">
      <c r="A8002" s="8" t="str">
        <f>"11566000170"</f>
        <v>11566000170</v>
      </c>
      <c r="B8002" s="8" t="str">
        <f>"山田交番"</f>
        <v>山田交番</v>
      </c>
      <c r="C8002" s="8" t="str">
        <f t="shared" si="2831"/>
        <v>行政財産</v>
      </c>
      <c r="D8002" s="8" t="str">
        <f t="shared" si="2832"/>
        <v>警察（消防）施設</v>
      </c>
      <c r="E8002" s="8" t="str">
        <f>"大阪府枚方市田口１丁目"</f>
        <v>大阪府枚方市田口１丁目</v>
      </c>
      <c r="F8002" s="8"/>
      <c r="G8002" s="8" t="str">
        <f t="shared" si="2820"/>
        <v>事業用資産</v>
      </c>
      <c r="H8002" s="8" t="str">
        <f t="shared" si="2818"/>
        <v>棚卸以外</v>
      </c>
      <c r="I8002" s="8">
        <v>2</v>
      </c>
      <c r="J8002" s="8" t="str">
        <f>"山田交番"</f>
        <v>山田交番</v>
      </c>
      <c r="K8002" s="8" t="str">
        <f t="shared" ref="K8002:K8012" si="2833">"鉄筋コンクリート造"</f>
        <v>鉄筋コンクリート造</v>
      </c>
      <c r="L8002" s="8" t="str">
        <f>"S56.03.31"</f>
        <v>S56.03.31</v>
      </c>
      <c r="M8002" s="8">
        <v>54</v>
      </c>
      <c r="N8002" s="8">
        <v>15347047</v>
      </c>
      <c r="O8002" s="8">
        <v>12832244</v>
      </c>
      <c r="P8002" s="8">
        <v>0</v>
      </c>
      <c r="Q8002" s="8" t="str">
        <f t="shared" si="2830"/>
        <v>公安委員会</v>
      </c>
      <c r="R8002" s="8" t="str">
        <f t="shared" si="2829"/>
        <v>枚方警察署</v>
      </c>
    </row>
    <row r="8003" spans="1:18" x14ac:dyDescent="0.45">
      <c r="A8003" s="8" t="str">
        <f>"11566000210"</f>
        <v>11566000210</v>
      </c>
      <c r="B8003" s="8" t="str">
        <f>"招提交番"</f>
        <v>招提交番</v>
      </c>
      <c r="C8003" s="8" t="str">
        <f t="shared" si="2831"/>
        <v>行政財産</v>
      </c>
      <c r="D8003" s="8" t="str">
        <f t="shared" si="2832"/>
        <v>警察（消防）施設</v>
      </c>
      <c r="E8003" s="8" t="str">
        <f>"大阪府枚方市招提中町２丁目"</f>
        <v>大阪府枚方市招提中町２丁目</v>
      </c>
      <c r="F8003" s="8"/>
      <c r="G8003" s="8" t="str">
        <f t="shared" si="2820"/>
        <v>事業用資産</v>
      </c>
      <c r="H8003" s="8" t="str">
        <f t="shared" si="2818"/>
        <v>棚卸以外</v>
      </c>
      <c r="I8003" s="8">
        <v>2</v>
      </c>
      <c r="J8003" s="8" t="str">
        <f>"招提交番"</f>
        <v>招提交番</v>
      </c>
      <c r="K8003" s="8" t="str">
        <f t="shared" si="2833"/>
        <v>鉄筋コンクリート造</v>
      </c>
      <c r="L8003" s="8" t="str">
        <f>"S50.12.08"</f>
        <v>S50.12.08</v>
      </c>
      <c r="M8003" s="8">
        <v>54</v>
      </c>
      <c r="N8003" s="8">
        <v>8620791</v>
      </c>
      <c r="O8003" s="8">
        <v>8086523</v>
      </c>
      <c r="P8003" s="8">
        <v>0</v>
      </c>
      <c r="Q8003" s="8" t="str">
        <f t="shared" si="2830"/>
        <v>公安委員会</v>
      </c>
      <c r="R8003" s="8" t="str">
        <f t="shared" si="2829"/>
        <v>枚方警察署</v>
      </c>
    </row>
    <row r="8004" spans="1:18" x14ac:dyDescent="0.45">
      <c r="A8004" s="8" t="str">
        <f>"11566000220"</f>
        <v>11566000220</v>
      </c>
      <c r="B8004" s="8" t="str">
        <f>"宮之阪交番"</f>
        <v>宮之阪交番</v>
      </c>
      <c r="C8004" s="8" t="str">
        <f t="shared" si="2831"/>
        <v>行政財産</v>
      </c>
      <c r="D8004" s="8" t="str">
        <f t="shared" si="2832"/>
        <v>警察（消防）施設</v>
      </c>
      <c r="E8004" s="8" t="str">
        <f>"大阪府枚方市宮之阪２丁目"</f>
        <v>大阪府枚方市宮之阪２丁目</v>
      </c>
      <c r="F8004" s="8"/>
      <c r="G8004" s="8" t="str">
        <f t="shared" si="2820"/>
        <v>事業用資産</v>
      </c>
      <c r="H8004" s="8" t="str">
        <f t="shared" ref="H8004:H8067" si="2834">"棚卸以外"</f>
        <v>棚卸以外</v>
      </c>
      <c r="I8004" s="8">
        <v>3</v>
      </c>
      <c r="J8004" s="8" t="str">
        <f>"宮之阪交番"</f>
        <v>宮之阪交番</v>
      </c>
      <c r="K8004" s="8" t="str">
        <f t="shared" si="2833"/>
        <v>鉄筋コンクリート造</v>
      </c>
      <c r="L8004" s="8" t="str">
        <f>"S63.02.08"</f>
        <v>S63.02.08</v>
      </c>
      <c r="M8004" s="8">
        <v>54</v>
      </c>
      <c r="N8004" s="8">
        <v>14664071</v>
      </c>
      <c r="O8004" s="8">
        <v>10249662</v>
      </c>
      <c r="P8004" s="8">
        <v>0</v>
      </c>
      <c r="Q8004" s="8" t="str">
        <f t="shared" si="2830"/>
        <v>公安委員会</v>
      </c>
      <c r="R8004" s="8" t="str">
        <f t="shared" si="2829"/>
        <v>枚方警察署</v>
      </c>
    </row>
    <row r="8005" spans="1:18" x14ac:dyDescent="0.45">
      <c r="A8005" s="8" t="str">
        <f>"11566000260"</f>
        <v>11566000260</v>
      </c>
      <c r="B8005" s="8" t="str">
        <f>"阪交番"</f>
        <v>阪交番</v>
      </c>
      <c r="C8005" s="8" t="str">
        <f t="shared" si="2831"/>
        <v>行政財産</v>
      </c>
      <c r="D8005" s="8" t="str">
        <f t="shared" si="2832"/>
        <v>警察（消防）施設</v>
      </c>
      <c r="E8005" s="8" t="str">
        <f>"大阪府枚方市牧野阪２丁目"</f>
        <v>大阪府枚方市牧野阪２丁目</v>
      </c>
      <c r="F8005" s="8"/>
      <c r="G8005" s="8" t="str">
        <f t="shared" si="2820"/>
        <v>事業用資産</v>
      </c>
      <c r="H8005" s="8" t="str">
        <f t="shared" si="2834"/>
        <v>棚卸以外</v>
      </c>
      <c r="I8005" s="8">
        <v>1</v>
      </c>
      <c r="J8005" s="8" t="str">
        <f>"阪交番"</f>
        <v>阪交番</v>
      </c>
      <c r="K8005" s="8" t="str">
        <f t="shared" si="2833"/>
        <v>鉄筋コンクリート造</v>
      </c>
      <c r="L8005" s="8" t="str">
        <f>"S43.03.25"</f>
        <v>S43.03.25</v>
      </c>
      <c r="M8005" s="8">
        <v>45.65</v>
      </c>
      <c r="N8005" s="8">
        <v>2327071</v>
      </c>
      <c r="O8005" s="8">
        <v>2262519</v>
      </c>
      <c r="P8005" s="8">
        <v>0</v>
      </c>
      <c r="Q8005" s="8" t="str">
        <f t="shared" si="2830"/>
        <v>公安委員会</v>
      </c>
      <c r="R8005" s="8" t="str">
        <f t="shared" si="2829"/>
        <v>枚方警察署</v>
      </c>
    </row>
    <row r="8006" spans="1:18" x14ac:dyDescent="0.45">
      <c r="A8006" s="8" t="str">
        <f>"11566000290"</f>
        <v>11566000290</v>
      </c>
      <c r="B8006" s="8" t="str">
        <f>"さだ交番"</f>
        <v>さだ交番</v>
      </c>
      <c r="C8006" s="8" t="str">
        <f t="shared" si="2831"/>
        <v>行政財産</v>
      </c>
      <c r="D8006" s="8" t="str">
        <f t="shared" si="2832"/>
        <v>警察（消防）施設</v>
      </c>
      <c r="E8006" s="8" t="str">
        <f>"大阪府枚方市北中振３丁目"</f>
        <v>大阪府枚方市北中振３丁目</v>
      </c>
      <c r="F8006" s="8"/>
      <c r="G8006" s="8" t="str">
        <f t="shared" si="2820"/>
        <v>事業用資産</v>
      </c>
      <c r="H8006" s="8" t="str">
        <f t="shared" si="2834"/>
        <v>棚卸以外</v>
      </c>
      <c r="I8006" s="8">
        <v>1</v>
      </c>
      <c r="J8006" s="8" t="str">
        <f>"さだ交番"</f>
        <v>さだ交番</v>
      </c>
      <c r="K8006" s="8" t="str">
        <f t="shared" si="2833"/>
        <v>鉄筋コンクリート造</v>
      </c>
      <c r="L8006" s="8" t="str">
        <f>"S46.12.10"</f>
        <v>S46.12.10</v>
      </c>
      <c r="M8006" s="8">
        <v>66.08</v>
      </c>
      <c r="N8006" s="8">
        <v>4326137</v>
      </c>
      <c r="O8006" s="8">
        <v>4249224</v>
      </c>
      <c r="P8006" s="8">
        <v>0</v>
      </c>
      <c r="Q8006" s="8" t="str">
        <f t="shared" si="2830"/>
        <v>公安委員会</v>
      </c>
      <c r="R8006" s="8" t="str">
        <f t="shared" si="2829"/>
        <v>枚方警察署</v>
      </c>
    </row>
    <row r="8007" spans="1:18" x14ac:dyDescent="0.45">
      <c r="A8007" s="8" t="str">
        <f>"11566000320"</f>
        <v>11566000320</v>
      </c>
      <c r="B8007" s="8" t="str">
        <f>"楠葉交番"</f>
        <v>楠葉交番</v>
      </c>
      <c r="C8007" s="8" t="str">
        <f t="shared" si="2831"/>
        <v>行政財産</v>
      </c>
      <c r="D8007" s="8" t="str">
        <f t="shared" si="2832"/>
        <v>警察（消防）施設</v>
      </c>
      <c r="E8007" s="8" t="str">
        <f>"大阪府枚方市楠葉花園町"</f>
        <v>大阪府枚方市楠葉花園町</v>
      </c>
      <c r="F8007" s="8"/>
      <c r="G8007" s="8" t="str">
        <f t="shared" si="2820"/>
        <v>事業用資産</v>
      </c>
      <c r="H8007" s="8" t="str">
        <f t="shared" si="2834"/>
        <v>棚卸以外</v>
      </c>
      <c r="I8007" s="8">
        <v>1</v>
      </c>
      <c r="J8007" s="8" t="str">
        <f>"楠葉交番"</f>
        <v>楠葉交番</v>
      </c>
      <c r="K8007" s="8" t="str">
        <f t="shared" si="2833"/>
        <v>鉄筋コンクリート造</v>
      </c>
      <c r="L8007" s="8" t="str">
        <f>"S47.03.29"</f>
        <v>S47.03.29</v>
      </c>
      <c r="M8007" s="8">
        <v>121.86</v>
      </c>
      <c r="N8007" s="8">
        <v>6586089</v>
      </c>
      <c r="O8007" s="8">
        <v>6313656</v>
      </c>
      <c r="P8007" s="8">
        <v>0</v>
      </c>
      <c r="Q8007" s="8" t="str">
        <f t="shared" si="2830"/>
        <v>公安委員会</v>
      </c>
      <c r="R8007" s="8" t="str">
        <f t="shared" si="2829"/>
        <v>枚方警察署</v>
      </c>
    </row>
    <row r="8008" spans="1:18" x14ac:dyDescent="0.45">
      <c r="A8008" s="8" t="str">
        <f>"11566000370"</f>
        <v>11566000370</v>
      </c>
      <c r="B8008" s="8" t="str">
        <f>"川越交番"</f>
        <v>川越交番</v>
      </c>
      <c r="C8008" s="8" t="str">
        <f t="shared" si="2831"/>
        <v>行政財産</v>
      </c>
      <c r="D8008" s="8" t="str">
        <f t="shared" si="2832"/>
        <v>警察（消防）施設</v>
      </c>
      <c r="E8008" s="8" t="str">
        <f>"大阪府枚方市高田２丁目"</f>
        <v>大阪府枚方市高田２丁目</v>
      </c>
      <c r="F8008" s="8"/>
      <c r="G8008" s="8" t="str">
        <f t="shared" si="2820"/>
        <v>事業用資産</v>
      </c>
      <c r="H8008" s="8" t="str">
        <f t="shared" si="2834"/>
        <v>棚卸以外</v>
      </c>
      <c r="I8008" s="8">
        <v>1</v>
      </c>
      <c r="J8008" s="8" t="str">
        <f>"川越交番"</f>
        <v>川越交番</v>
      </c>
      <c r="K8008" s="8" t="str">
        <f t="shared" si="2833"/>
        <v>鉄筋コンクリート造</v>
      </c>
      <c r="L8008" s="8" t="str">
        <f>"S49.03.30"</f>
        <v>S49.03.30</v>
      </c>
      <c r="M8008" s="8">
        <v>50.4</v>
      </c>
      <c r="N8008" s="8">
        <v>6399645</v>
      </c>
      <c r="O8008" s="8">
        <v>6188000</v>
      </c>
      <c r="P8008" s="8">
        <v>0</v>
      </c>
      <c r="Q8008" s="8" t="str">
        <f t="shared" si="2830"/>
        <v>公安委員会</v>
      </c>
      <c r="R8008" s="8" t="str">
        <f t="shared" si="2829"/>
        <v>枚方警察署</v>
      </c>
    </row>
    <row r="8009" spans="1:18" x14ac:dyDescent="0.45">
      <c r="A8009" s="8" t="str">
        <f>"11566000410"</f>
        <v>11566000410</v>
      </c>
      <c r="B8009" s="8" t="str">
        <f>"枚方市駅前交番"</f>
        <v>枚方市駅前交番</v>
      </c>
      <c r="C8009" s="8" t="str">
        <f t="shared" si="2831"/>
        <v>行政財産</v>
      </c>
      <c r="D8009" s="8" t="str">
        <f t="shared" si="2832"/>
        <v>警察（消防）施設</v>
      </c>
      <c r="E8009" s="8" t="str">
        <f>"大阪府枚方市岡東町"</f>
        <v>大阪府枚方市岡東町</v>
      </c>
      <c r="F8009" s="8"/>
      <c r="G8009" s="8" t="str">
        <f t="shared" si="2820"/>
        <v>事業用資産</v>
      </c>
      <c r="H8009" s="8" t="str">
        <f t="shared" si="2834"/>
        <v>棚卸以外</v>
      </c>
      <c r="I8009" s="8">
        <v>1</v>
      </c>
      <c r="J8009" s="8" t="str">
        <f>"枚方市駅前交番"</f>
        <v>枚方市駅前交番</v>
      </c>
      <c r="K8009" s="8" t="str">
        <f t="shared" si="2833"/>
        <v>鉄筋コンクリート造</v>
      </c>
      <c r="L8009" s="8" t="str">
        <f>"S56.03.31"</f>
        <v>S56.03.31</v>
      </c>
      <c r="M8009" s="8">
        <v>50.4</v>
      </c>
      <c r="N8009" s="8">
        <v>14469961</v>
      </c>
      <c r="O8009" s="8">
        <v>12120840</v>
      </c>
      <c r="P8009" s="8">
        <v>0</v>
      </c>
      <c r="Q8009" s="8" t="str">
        <f t="shared" si="2830"/>
        <v>公安委員会</v>
      </c>
      <c r="R8009" s="8" t="str">
        <f t="shared" si="2829"/>
        <v>枚方警察署</v>
      </c>
    </row>
    <row r="8010" spans="1:18" x14ac:dyDescent="0.45">
      <c r="A8010" s="8" t="str">
        <f>"11566000420"</f>
        <v>11566000420</v>
      </c>
      <c r="B8010" s="8" t="str">
        <f>"牧野交番"</f>
        <v>牧野交番</v>
      </c>
      <c r="C8010" s="8" t="str">
        <f t="shared" si="2831"/>
        <v>行政財産</v>
      </c>
      <c r="D8010" s="8" t="str">
        <f t="shared" si="2832"/>
        <v>警察（消防）施設</v>
      </c>
      <c r="E8010" s="8" t="str">
        <f>"大阪府枚方市牧野北町"</f>
        <v>大阪府枚方市牧野北町</v>
      </c>
      <c r="F8010" s="8"/>
      <c r="G8010" s="8" t="str">
        <f t="shared" si="2820"/>
        <v>事業用資産</v>
      </c>
      <c r="H8010" s="8" t="str">
        <f t="shared" si="2834"/>
        <v>棚卸以外</v>
      </c>
      <c r="I8010" s="8">
        <v>1</v>
      </c>
      <c r="J8010" s="8" t="str">
        <f>"牧野交番"</f>
        <v>牧野交番</v>
      </c>
      <c r="K8010" s="8" t="str">
        <f t="shared" si="2833"/>
        <v>鉄筋コンクリート造</v>
      </c>
      <c r="L8010" s="8" t="str">
        <f>"S57.03.31"</f>
        <v>S57.03.31</v>
      </c>
      <c r="M8010" s="8">
        <v>50.4</v>
      </c>
      <c r="N8010" s="8">
        <v>14873936</v>
      </c>
      <c r="O8010" s="8">
        <v>12129668</v>
      </c>
      <c r="P8010" s="8">
        <v>0</v>
      </c>
      <c r="Q8010" s="8" t="str">
        <f t="shared" si="2830"/>
        <v>公安委員会</v>
      </c>
      <c r="R8010" s="8" t="str">
        <f t="shared" si="2829"/>
        <v>枚方警察署</v>
      </c>
    </row>
    <row r="8011" spans="1:18" x14ac:dyDescent="0.45">
      <c r="A8011" s="8" t="str">
        <f>"11566000430"</f>
        <v>11566000430</v>
      </c>
      <c r="B8011" s="8" t="str">
        <f>"池之宮交番"</f>
        <v>池之宮交番</v>
      </c>
      <c r="C8011" s="8" t="str">
        <f t="shared" si="2831"/>
        <v>行政財産</v>
      </c>
      <c r="D8011" s="8" t="str">
        <f t="shared" si="2832"/>
        <v>警察（消防）施設</v>
      </c>
      <c r="E8011" s="8" t="str">
        <f>"大阪府枚方市池之宮３丁目"</f>
        <v>大阪府枚方市池之宮３丁目</v>
      </c>
      <c r="F8011" s="8"/>
      <c r="G8011" s="8" t="str">
        <f t="shared" si="2820"/>
        <v>事業用資産</v>
      </c>
      <c r="H8011" s="8" t="str">
        <f t="shared" si="2834"/>
        <v>棚卸以外</v>
      </c>
      <c r="I8011" s="8">
        <v>1</v>
      </c>
      <c r="J8011" s="8" t="str">
        <f>"池之宮交番"</f>
        <v>池之宮交番</v>
      </c>
      <c r="K8011" s="8" t="str">
        <f t="shared" si="2833"/>
        <v>鉄筋コンクリート造</v>
      </c>
      <c r="L8011" s="8" t="str">
        <f>"S58.03.31"</f>
        <v>S58.03.31</v>
      </c>
      <c r="M8011" s="8">
        <v>54.6</v>
      </c>
      <c r="N8011" s="8">
        <v>14256900</v>
      </c>
      <c r="O8011" s="8">
        <v>11340896</v>
      </c>
      <c r="P8011" s="8">
        <v>0</v>
      </c>
      <c r="Q8011" s="8" t="str">
        <f t="shared" si="2830"/>
        <v>公安委員会</v>
      </c>
      <c r="R8011" s="8" t="str">
        <f t="shared" si="2829"/>
        <v>枚方警察署</v>
      </c>
    </row>
    <row r="8012" spans="1:18" x14ac:dyDescent="0.45">
      <c r="A8012" s="8" t="str">
        <f>"11566000450"</f>
        <v>11566000450</v>
      </c>
      <c r="B8012" s="8" t="str">
        <f>"北楠葉交番"</f>
        <v>北楠葉交番</v>
      </c>
      <c r="C8012" s="8" t="str">
        <f t="shared" si="2831"/>
        <v>行政財産</v>
      </c>
      <c r="D8012" s="8" t="str">
        <f t="shared" si="2832"/>
        <v>警察（消防）施設</v>
      </c>
      <c r="E8012" s="8" t="str">
        <f>"大阪府枚方市北楠葉町"</f>
        <v>大阪府枚方市北楠葉町</v>
      </c>
      <c r="F8012" s="8"/>
      <c r="G8012" s="8" t="str">
        <f t="shared" si="2820"/>
        <v>事業用資産</v>
      </c>
      <c r="H8012" s="8" t="str">
        <f t="shared" si="2834"/>
        <v>棚卸以外</v>
      </c>
      <c r="I8012" s="8">
        <v>1</v>
      </c>
      <c r="J8012" s="8" t="str">
        <f>"北楠葉交番"</f>
        <v>北楠葉交番</v>
      </c>
      <c r="K8012" s="8" t="str">
        <f t="shared" si="2833"/>
        <v>鉄筋コンクリート造</v>
      </c>
      <c r="L8012" s="8" t="str">
        <f>"H03.03.30"</f>
        <v>H03.03.30</v>
      </c>
      <c r="M8012" s="8">
        <v>53</v>
      </c>
      <c r="N8012" s="8">
        <v>16274012</v>
      </c>
      <c r="O8012" s="8">
        <v>10380312</v>
      </c>
      <c r="P8012" s="8">
        <v>0</v>
      </c>
      <c r="Q8012" s="8" t="str">
        <f t="shared" si="2830"/>
        <v>公安委員会</v>
      </c>
      <c r="R8012" s="8" t="str">
        <f t="shared" si="2829"/>
        <v>枚方警察署</v>
      </c>
    </row>
    <row r="8013" spans="1:18" x14ac:dyDescent="0.45">
      <c r="A8013" s="8" t="str">
        <f>"11566003002"</f>
        <v>11566003002</v>
      </c>
      <c r="B8013" s="8" t="str">
        <f>"渚　交番"</f>
        <v>渚　交番</v>
      </c>
      <c r="C8013" s="8" t="str">
        <f t="shared" si="2831"/>
        <v>行政財産</v>
      </c>
      <c r="D8013" s="8" t="str">
        <f t="shared" si="2832"/>
        <v>警察（消防）施設</v>
      </c>
      <c r="E8013" s="8" t="str">
        <f>"大阪府枚方市御殿山町"</f>
        <v>大阪府枚方市御殿山町</v>
      </c>
      <c r="F8013" s="8"/>
      <c r="G8013" s="8" t="str">
        <f t="shared" si="2820"/>
        <v>事業用資産</v>
      </c>
      <c r="H8013" s="8" t="str">
        <f t="shared" si="2834"/>
        <v>棚卸以外</v>
      </c>
      <c r="I8013" s="8">
        <v>1</v>
      </c>
      <c r="J8013" s="8" t="str">
        <f>"渚交番"</f>
        <v>渚交番</v>
      </c>
      <c r="K8013" s="8" t="str">
        <f>"軽量鉄骨造"</f>
        <v>軽量鉄骨造</v>
      </c>
      <c r="L8013" s="8" t="str">
        <f>"H25.03.05"</f>
        <v>H25.03.05</v>
      </c>
      <c r="M8013" s="8">
        <v>62.64</v>
      </c>
      <c r="N8013" s="8">
        <v>20090772</v>
      </c>
      <c r="O8013" s="8">
        <v>7998865</v>
      </c>
      <c r="P8013" s="8">
        <v>0</v>
      </c>
      <c r="Q8013" s="8" t="str">
        <f t="shared" si="2830"/>
        <v>公安委員会</v>
      </c>
      <c r="R8013" s="8" t="str">
        <f t="shared" si="2829"/>
        <v>枚方警察署</v>
      </c>
    </row>
    <row r="8014" spans="1:18" x14ac:dyDescent="0.45">
      <c r="A8014" s="8" t="str">
        <f t="shared" ref="A8014:A8022" si="2835">"11567000000"</f>
        <v>11567000000</v>
      </c>
      <c r="B8014" s="8" t="str">
        <f t="shared" ref="B8014:B8022" si="2836">"寝屋川警察署"</f>
        <v>寝屋川警察署</v>
      </c>
      <c r="C8014" s="8" t="str">
        <f t="shared" si="2831"/>
        <v>行政財産</v>
      </c>
      <c r="D8014" s="8" t="str">
        <f t="shared" si="2832"/>
        <v>警察（消防）施設</v>
      </c>
      <c r="E8014" s="8" t="str">
        <f t="shared" ref="E8014:E8022" si="2837">"大阪府寝屋川市豊野町"</f>
        <v>大阪府寝屋川市豊野町</v>
      </c>
      <c r="F8014" s="8"/>
      <c r="G8014" s="8" t="str">
        <f t="shared" si="2820"/>
        <v>事業用資産</v>
      </c>
      <c r="H8014" s="8" t="str">
        <f t="shared" si="2834"/>
        <v>棚卸以外</v>
      </c>
      <c r="I8014" s="8">
        <v>10</v>
      </c>
      <c r="J8014" s="8" t="str">
        <f>"別館"</f>
        <v>別館</v>
      </c>
      <c r="K8014" s="8" t="str">
        <f>"鉄筋コンクリート造"</f>
        <v>鉄筋コンクリート造</v>
      </c>
      <c r="L8014" s="8" t="str">
        <f>"S43.03.30"</f>
        <v>S43.03.30</v>
      </c>
      <c r="M8014" s="8">
        <v>1645.93</v>
      </c>
      <c r="N8014" s="8">
        <v>405515799</v>
      </c>
      <c r="O8014" s="8">
        <v>299578248</v>
      </c>
      <c r="P8014" s="8">
        <v>0</v>
      </c>
      <c r="Q8014" s="8" t="str">
        <f t="shared" si="2830"/>
        <v>公安委員会</v>
      </c>
      <c r="R8014" s="8" t="str">
        <f t="shared" ref="R8014:R8034" si="2838">"寝屋川警察署"</f>
        <v>寝屋川警察署</v>
      </c>
    </row>
    <row r="8015" spans="1:18" x14ac:dyDescent="0.45">
      <c r="A8015" s="8" t="str">
        <f t="shared" si="2835"/>
        <v>11567000000</v>
      </c>
      <c r="B8015" s="8" t="str">
        <f t="shared" si="2836"/>
        <v>寝屋川警察署</v>
      </c>
      <c r="C8015" s="8" t="str">
        <f t="shared" si="2831"/>
        <v>行政財産</v>
      </c>
      <c r="D8015" s="8" t="str">
        <f t="shared" si="2832"/>
        <v>警察（消防）施設</v>
      </c>
      <c r="E8015" s="8" t="str">
        <f t="shared" si="2837"/>
        <v>大阪府寝屋川市豊野町</v>
      </c>
      <c r="F8015" s="8"/>
      <c r="G8015" s="8" t="str">
        <f t="shared" si="2820"/>
        <v>事業用資産</v>
      </c>
      <c r="H8015" s="8" t="str">
        <f t="shared" si="2834"/>
        <v>棚卸以外</v>
      </c>
      <c r="I8015" s="8">
        <v>21</v>
      </c>
      <c r="J8015" s="8" t="str">
        <f>"本館"</f>
        <v>本館</v>
      </c>
      <c r="K8015" s="8" t="str">
        <f>"鉄筋コンクリート造"</f>
        <v>鉄筋コンクリート造</v>
      </c>
      <c r="L8015" s="8" t="str">
        <f>"S63.07.01"</f>
        <v>S63.07.01</v>
      </c>
      <c r="M8015" s="8">
        <v>2017.41</v>
      </c>
      <c r="N8015" s="8">
        <v>558576276</v>
      </c>
      <c r="O8015" s="8">
        <v>385986230</v>
      </c>
      <c r="P8015" s="8">
        <v>0</v>
      </c>
      <c r="Q8015" s="8" t="str">
        <f t="shared" si="2830"/>
        <v>公安委員会</v>
      </c>
      <c r="R8015" s="8" t="str">
        <f t="shared" si="2838"/>
        <v>寝屋川警察署</v>
      </c>
    </row>
    <row r="8016" spans="1:18" x14ac:dyDescent="0.45">
      <c r="A8016" s="8" t="str">
        <f t="shared" si="2835"/>
        <v>11567000000</v>
      </c>
      <c r="B8016" s="8" t="str">
        <f t="shared" si="2836"/>
        <v>寝屋川警察署</v>
      </c>
      <c r="C8016" s="8" t="str">
        <f t="shared" si="2831"/>
        <v>行政財産</v>
      </c>
      <c r="D8016" s="8" t="str">
        <f t="shared" si="2832"/>
        <v>警察（消防）施設</v>
      </c>
      <c r="E8016" s="8" t="str">
        <f t="shared" si="2837"/>
        <v>大阪府寝屋川市豊野町</v>
      </c>
      <c r="F8016" s="8"/>
      <c r="G8016" s="8" t="str">
        <f t="shared" si="2820"/>
        <v>事業用資産</v>
      </c>
      <c r="H8016" s="8" t="str">
        <f t="shared" si="2834"/>
        <v>棚卸以外</v>
      </c>
      <c r="I8016" s="8">
        <v>22</v>
      </c>
      <c r="J8016" s="8" t="str">
        <f>"署長公舎"</f>
        <v>署長公舎</v>
      </c>
      <c r="K8016" s="8" t="str">
        <f>"鉄筋コンクリート造"</f>
        <v>鉄筋コンクリート造</v>
      </c>
      <c r="L8016" s="8" t="str">
        <f>"S63.07.01"</f>
        <v>S63.07.01</v>
      </c>
      <c r="M8016" s="8">
        <v>85.61</v>
      </c>
      <c r="N8016" s="8">
        <v>20477426</v>
      </c>
      <c r="O8016" s="8">
        <v>15089480</v>
      </c>
      <c r="P8016" s="8">
        <v>0</v>
      </c>
      <c r="Q8016" s="8" t="str">
        <f t="shared" si="2830"/>
        <v>公安委員会</v>
      </c>
      <c r="R8016" s="8" t="str">
        <f t="shared" si="2838"/>
        <v>寝屋川警察署</v>
      </c>
    </row>
    <row r="8017" spans="1:18" x14ac:dyDescent="0.45">
      <c r="A8017" s="8" t="str">
        <f t="shared" si="2835"/>
        <v>11567000000</v>
      </c>
      <c r="B8017" s="8" t="str">
        <f t="shared" si="2836"/>
        <v>寝屋川警察署</v>
      </c>
      <c r="C8017" s="8" t="str">
        <f t="shared" si="2831"/>
        <v>行政財産</v>
      </c>
      <c r="D8017" s="8" t="str">
        <f t="shared" si="2832"/>
        <v>警察（消防）施設</v>
      </c>
      <c r="E8017" s="8" t="str">
        <f t="shared" si="2837"/>
        <v>大阪府寝屋川市豊野町</v>
      </c>
      <c r="F8017" s="8"/>
      <c r="G8017" s="8" t="str">
        <f t="shared" si="2820"/>
        <v>事業用資産</v>
      </c>
      <c r="H8017" s="8" t="str">
        <f t="shared" si="2834"/>
        <v>棚卸以外</v>
      </c>
      <c r="I8017" s="8">
        <v>23</v>
      </c>
      <c r="J8017" s="8" t="str">
        <f>"倉庫．車庫"</f>
        <v>倉庫．車庫</v>
      </c>
      <c r="K8017" s="8" t="str">
        <f>"鉄骨造"</f>
        <v>鉄骨造</v>
      </c>
      <c r="L8017" s="8" t="str">
        <f>"S63.07.01"</f>
        <v>S63.07.01</v>
      </c>
      <c r="M8017" s="8">
        <v>268.95999999999998</v>
      </c>
      <c r="N8017" s="8">
        <v>22213013</v>
      </c>
      <c r="O8017" s="8">
        <v>22042672</v>
      </c>
      <c r="P8017" s="8">
        <v>0</v>
      </c>
      <c r="Q8017" s="8" t="str">
        <f t="shared" si="2830"/>
        <v>公安委員会</v>
      </c>
      <c r="R8017" s="8" t="str">
        <f t="shared" si="2838"/>
        <v>寝屋川警察署</v>
      </c>
    </row>
    <row r="8018" spans="1:18" x14ac:dyDescent="0.45">
      <c r="A8018" s="8" t="str">
        <f t="shared" si="2835"/>
        <v>11567000000</v>
      </c>
      <c r="B8018" s="8" t="str">
        <f t="shared" si="2836"/>
        <v>寝屋川警察署</v>
      </c>
      <c r="C8018" s="8" t="str">
        <f t="shared" si="2831"/>
        <v>行政財産</v>
      </c>
      <c r="D8018" s="8" t="str">
        <f t="shared" si="2832"/>
        <v>警察（消防）施設</v>
      </c>
      <c r="E8018" s="8" t="str">
        <f t="shared" si="2837"/>
        <v>大阪府寝屋川市豊野町</v>
      </c>
      <c r="F8018" s="8"/>
      <c r="G8018" s="8" t="str">
        <f t="shared" si="2820"/>
        <v>事業用資産</v>
      </c>
      <c r="H8018" s="8" t="str">
        <f t="shared" si="2834"/>
        <v>棚卸以外</v>
      </c>
      <c r="I8018" s="8">
        <v>24</v>
      </c>
      <c r="J8018" s="8" t="str">
        <f>"大型車庫"</f>
        <v>大型車庫</v>
      </c>
      <c r="K8018" s="8" t="str">
        <f>"鉄骨造"</f>
        <v>鉄骨造</v>
      </c>
      <c r="L8018" s="8" t="str">
        <f>"S63.07.01"</f>
        <v>S63.07.01</v>
      </c>
      <c r="M8018" s="8">
        <v>50.98</v>
      </c>
      <c r="N8018" s="8">
        <v>5626196</v>
      </c>
      <c r="O8018" s="8">
        <v>5626195</v>
      </c>
      <c r="P8018" s="8">
        <v>0</v>
      </c>
      <c r="Q8018" s="8" t="str">
        <f t="shared" si="2830"/>
        <v>公安委員会</v>
      </c>
      <c r="R8018" s="8" t="str">
        <f t="shared" si="2838"/>
        <v>寝屋川警察署</v>
      </c>
    </row>
    <row r="8019" spans="1:18" x14ac:dyDescent="0.45">
      <c r="A8019" s="8" t="str">
        <f t="shared" si="2835"/>
        <v>11567000000</v>
      </c>
      <c r="B8019" s="8" t="str">
        <f t="shared" si="2836"/>
        <v>寝屋川警察署</v>
      </c>
      <c r="C8019" s="8" t="str">
        <f t="shared" si="2831"/>
        <v>行政財産</v>
      </c>
      <c r="D8019" s="8" t="str">
        <f t="shared" si="2832"/>
        <v>警察（消防）施設</v>
      </c>
      <c r="E8019" s="8" t="str">
        <f t="shared" si="2837"/>
        <v>大阪府寝屋川市豊野町</v>
      </c>
      <c r="F8019" s="8"/>
      <c r="G8019" s="8" t="str">
        <f t="shared" si="2820"/>
        <v>事業用資産</v>
      </c>
      <c r="H8019" s="8" t="str">
        <f t="shared" si="2834"/>
        <v>棚卸以外</v>
      </c>
      <c r="I8019" s="8">
        <v>26</v>
      </c>
      <c r="J8019" s="8" t="str">
        <f>"ポンプ室．油庫"</f>
        <v>ポンプ室．油庫</v>
      </c>
      <c r="K8019" s="8" t="str">
        <f>"鉄筋コンクリート造"</f>
        <v>鉄筋コンクリート造</v>
      </c>
      <c r="L8019" s="8" t="str">
        <f>"S63.07.01"</f>
        <v>S63.07.01</v>
      </c>
      <c r="M8019" s="8">
        <v>12.87</v>
      </c>
      <c r="N8019" s="8">
        <v>1952000</v>
      </c>
      <c r="O8019" s="8">
        <v>1780896</v>
      </c>
      <c r="P8019" s="8">
        <v>0</v>
      </c>
      <c r="Q8019" s="8" t="str">
        <f t="shared" si="2830"/>
        <v>公安委員会</v>
      </c>
      <c r="R8019" s="8" t="str">
        <f t="shared" si="2838"/>
        <v>寝屋川警察署</v>
      </c>
    </row>
    <row r="8020" spans="1:18" x14ac:dyDescent="0.45">
      <c r="A8020" s="8" t="str">
        <f t="shared" si="2835"/>
        <v>11567000000</v>
      </c>
      <c r="B8020" s="8" t="str">
        <f t="shared" si="2836"/>
        <v>寝屋川警察署</v>
      </c>
      <c r="C8020" s="8" t="str">
        <f t="shared" si="2831"/>
        <v>行政財産</v>
      </c>
      <c r="D8020" s="8" t="str">
        <f t="shared" si="2832"/>
        <v>警察（消防）施設</v>
      </c>
      <c r="E8020" s="8" t="str">
        <f t="shared" si="2837"/>
        <v>大阪府寝屋川市豊野町</v>
      </c>
      <c r="F8020" s="8"/>
      <c r="G8020" s="8" t="str">
        <f t="shared" si="2820"/>
        <v>事業用資産</v>
      </c>
      <c r="H8020" s="8" t="str">
        <f t="shared" si="2834"/>
        <v>棚卸以外</v>
      </c>
      <c r="I8020" s="8">
        <v>27</v>
      </c>
      <c r="J8020" s="8" t="str">
        <f>"自転車置場１"</f>
        <v>自転車置場１</v>
      </c>
      <c r="K8020" s="8" t="str">
        <f>"鉄骨造"</f>
        <v>鉄骨造</v>
      </c>
      <c r="L8020" s="8" t="str">
        <f>"S63.12.26"</f>
        <v>S63.12.26</v>
      </c>
      <c r="M8020" s="8">
        <v>79.91</v>
      </c>
      <c r="N8020" s="8">
        <v>4691000</v>
      </c>
      <c r="O8020" s="8">
        <v>4690999</v>
      </c>
      <c r="P8020" s="8">
        <v>0</v>
      </c>
      <c r="Q8020" s="8" t="str">
        <f t="shared" si="2830"/>
        <v>公安委員会</v>
      </c>
      <c r="R8020" s="8" t="str">
        <f t="shared" si="2838"/>
        <v>寝屋川警察署</v>
      </c>
    </row>
    <row r="8021" spans="1:18" x14ac:dyDescent="0.45">
      <c r="A8021" s="8" t="str">
        <f t="shared" si="2835"/>
        <v>11567000000</v>
      </c>
      <c r="B8021" s="8" t="str">
        <f t="shared" si="2836"/>
        <v>寝屋川警察署</v>
      </c>
      <c r="C8021" s="8" t="str">
        <f t="shared" si="2831"/>
        <v>行政財産</v>
      </c>
      <c r="D8021" s="8" t="str">
        <f t="shared" si="2832"/>
        <v>警察（消防）施設</v>
      </c>
      <c r="E8021" s="8" t="str">
        <f t="shared" si="2837"/>
        <v>大阪府寝屋川市豊野町</v>
      </c>
      <c r="F8021" s="8"/>
      <c r="G8021" s="8" t="str">
        <f t="shared" si="2820"/>
        <v>事業用資産</v>
      </c>
      <c r="H8021" s="8" t="str">
        <f t="shared" si="2834"/>
        <v>棚卸以外</v>
      </c>
      <c r="I8021" s="8">
        <v>28</v>
      </c>
      <c r="J8021" s="8" t="str">
        <f>"自転車置場２"</f>
        <v>自転車置場２</v>
      </c>
      <c r="K8021" s="8" t="str">
        <f>"鉄骨造"</f>
        <v>鉄骨造</v>
      </c>
      <c r="L8021" s="8" t="str">
        <f>"S63.12.26"</f>
        <v>S63.12.26</v>
      </c>
      <c r="M8021" s="8">
        <v>12.93</v>
      </c>
      <c r="N8021" s="8">
        <v>1040000</v>
      </c>
      <c r="O8021" s="8">
        <v>1039999</v>
      </c>
      <c r="P8021" s="8">
        <v>0</v>
      </c>
      <c r="Q8021" s="8" t="str">
        <f t="shared" si="2830"/>
        <v>公安委員会</v>
      </c>
      <c r="R8021" s="8" t="str">
        <f t="shared" si="2838"/>
        <v>寝屋川警察署</v>
      </c>
    </row>
    <row r="8022" spans="1:18" x14ac:dyDescent="0.45">
      <c r="A8022" s="8" t="str">
        <f t="shared" si="2835"/>
        <v>11567000000</v>
      </c>
      <c r="B8022" s="8" t="str">
        <f t="shared" si="2836"/>
        <v>寝屋川警察署</v>
      </c>
      <c r="C8022" s="8" t="str">
        <f t="shared" si="2831"/>
        <v>行政財産</v>
      </c>
      <c r="D8022" s="8" t="str">
        <f t="shared" si="2832"/>
        <v>警察（消防）施設</v>
      </c>
      <c r="E8022" s="8" t="str">
        <f t="shared" si="2837"/>
        <v>大阪府寝屋川市豊野町</v>
      </c>
      <c r="F8022" s="8"/>
      <c r="G8022" s="8" t="str">
        <f t="shared" si="2820"/>
        <v>事業用資産</v>
      </c>
      <c r="H8022" s="8" t="str">
        <f t="shared" si="2834"/>
        <v>棚卸以外</v>
      </c>
      <c r="I8022" s="8">
        <v>29</v>
      </c>
      <c r="J8022" s="8" t="str">
        <f>"ゴミ置場"</f>
        <v>ゴミ置場</v>
      </c>
      <c r="K8022" s="8" t="str">
        <f>"軽量鉄骨造"</f>
        <v>軽量鉄骨造</v>
      </c>
      <c r="L8022" s="8" t="str">
        <f>"S63.12.26"</f>
        <v>S63.12.26</v>
      </c>
      <c r="M8022" s="8">
        <v>7</v>
      </c>
      <c r="N8022" s="8">
        <v>483000</v>
      </c>
      <c r="O8022" s="8">
        <v>482999</v>
      </c>
      <c r="P8022" s="8">
        <v>0</v>
      </c>
      <c r="Q8022" s="8" t="str">
        <f t="shared" si="2830"/>
        <v>公安委員会</v>
      </c>
      <c r="R8022" s="8" t="str">
        <f t="shared" si="2838"/>
        <v>寝屋川警察署</v>
      </c>
    </row>
    <row r="8023" spans="1:18" x14ac:dyDescent="0.45">
      <c r="A8023" s="8" t="str">
        <f>"11567000160"</f>
        <v>11567000160</v>
      </c>
      <c r="B8023" s="8" t="str">
        <f>"高柳交番"</f>
        <v>高柳交番</v>
      </c>
      <c r="C8023" s="8" t="str">
        <f t="shared" si="2831"/>
        <v>行政財産</v>
      </c>
      <c r="D8023" s="8" t="str">
        <f t="shared" si="2832"/>
        <v>警察（消防）施設</v>
      </c>
      <c r="E8023" s="8" t="str">
        <f>"大阪府寝屋川市高柳１丁目"</f>
        <v>大阪府寝屋川市高柳１丁目</v>
      </c>
      <c r="F8023" s="8"/>
      <c r="G8023" s="8" t="str">
        <f t="shared" ref="G8023:G8086" si="2839">"事業用資産"</f>
        <v>事業用資産</v>
      </c>
      <c r="H8023" s="8" t="str">
        <f t="shared" si="2834"/>
        <v>棚卸以外</v>
      </c>
      <c r="I8023" s="8">
        <v>2</v>
      </c>
      <c r="J8023" s="8" t="str">
        <f>"高柳交番"</f>
        <v>高柳交番</v>
      </c>
      <c r="K8023" s="8" t="str">
        <f>"鉄筋コンクリート造"</f>
        <v>鉄筋コンクリート造</v>
      </c>
      <c r="L8023" s="8" t="str">
        <f>"S53.12.14"</f>
        <v>S53.12.14</v>
      </c>
      <c r="M8023" s="8">
        <v>54</v>
      </c>
      <c r="N8023" s="8">
        <v>12556305</v>
      </c>
      <c r="O8023" s="8">
        <v>11051449</v>
      </c>
      <c r="P8023" s="8">
        <v>0</v>
      </c>
      <c r="Q8023" s="8" t="str">
        <f t="shared" si="2830"/>
        <v>公安委員会</v>
      </c>
      <c r="R8023" s="8" t="str">
        <f t="shared" si="2838"/>
        <v>寝屋川警察署</v>
      </c>
    </row>
    <row r="8024" spans="1:18" x14ac:dyDescent="0.45">
      <c r="A8024" s="8" t="str">
        <f>"11567000210"</f>
        <v>11567000210</v>
      </c>
      <c r="B8024" s="8" t="str">
        <f>"神田交番"</f>
        <v>神田交番</v>
      </c>
      <c r="C8024" s="8" t="str">
        <f t="shared" si="2831"/>
        <v>行政財産</v>
      </c>
      <c r="D8024" s="8" t="str">
        <f t="shared" si="2832"/>
        <v>警察（消防）施設</v>
      </c>
      <c r="E8024" s="8" t="str">
        <f>"大阪府寝屋川市上神田１丁目"</f>
        <v>大阪府寝屋川市上神田１丁目</v>
      </c>
      <c r="F8024" s="8"/>
      <c r="G8024" s="8" t="str">
        <f t="shared" si="2839"/>
        <v>事業用資産</v>
      </c>
      <c r="H8024" s="8" t="str">
        <f t="shared" si="2834"/>
        <v>棚卸以外</v>
      </c>
      <c r="I8024" s="8">
        <v>1</v>
      </c>
      <c r="J8024" s="8" t="str">
        <f>"神田交番"</f>
        <v>神田交番</v>
      </c>
      <c r="K8024" s="8" t="str">
        <f>"鉄筋コンクリート造"</f>
        <v>鉄筋コンクリート造</v>
      </c>
      <c r="L8024" s="8" t="str">
        <f>"S42.11.16"</f>
        <v>S42.11.16</v>
      </c>
      <c r="M8024" s="8">
        <v>35.06</v>
      </c>
      <c r="N8024" s="8">
        <v>1983623</v>
      </c>
      <c r="O8024" s="8">
        <v>1927199</v>
      </c>
      <c r="P8024" s="8">
        <v>0</v>
      </c>
      <c r="Q8024" s="8" t="str">
        <f t="shared" si="2830"/>
        <v>公安委員会</v>
      </c>
      <c r="R8024" s="8" t="str">
        <f t="shared" si="2838"/>
        <v>寝屋川警察署</v>
      </c>
    </row>
    <row r="8025" spans="1:18" x14ac:dyDescent="0.45">
      <c r="A8025" s="8" t="str">
        <f>"11567000220"</f>
        <v>11567000220</v>
      </c>
      <c r="B8025" s="8" t="str">
        <f>"末広町交番"</f>
        <v>末広町交番</v>
      </c>
      <c r="C8025" s="8" t="str">
        <f t="shared" si="2831"/>
        <v>行政財産</v>
      </c>
      <c r="D8025" s="8" t="str">
        <f t="shared" si="2832"/>
        <v>警察（消防）施設</v>
      </c>
      <c r="E8025" s="8" t="str">
        <f>"大阪府寝屋川市菅相塚町"</f>
        <v>大阪府寝屋川市菅相塚町</v>
      </c>
      <c r="F8025" s="8"/>
      <c r="G8025" s="8" t="str">
        <f t="shared" si="2839"/>
        <v>事業用資産</v>
      </c>
      <c r="H8025" s="8" t="str">
        <f t="shared" si="2834"/>
        <v>棚卸以外</v>
      </c>
      <c r="I8025" s="8">
        <v>1</v>
      </c>
      <c r="J8025" s="8" t="str">
        <f>"末広町交番"</f>
        <v>末広町交番</v>
      </c>
      <c r="K8025" s="8" t="str">
        <f>"鉄筋コンクリート造"</f>
        <v>鉄筋コンクリート造</v>
      </c>
      <c r="L8025" s="8" t="str">
        <f>"S43.03.28"</f>
        <v>S43.03.28</v>
      </c>
      <c r="M8025" s="8">
        <v>43.75</v>
      </c>
      <c r="N8025" s="8">
        <v>2101880</v>
      </c>
      <c r="O8025" s="8">
        <v>1985491</v>
      </c>
      <c r="P8025" s="8">
        <v>0</v>
      </c>
      <c r="Q8025" s="8" t="str">
        <f t="shared" si="2830"/>
        <v>公安委員会</v>
      </c>
      <c r="R8025" s="8" t="str">
        <f t="shared" si="2838"/>
        <v>寝屋川警察署</v>
      </c>
    </row>
    <row r="8026" spans="1:18" x14ac:dyDescent="0.45">
      <c r="A8026" s="8" t="str">
        <f>"11567000230"</f>
        <v>11567000230</v>
      </c>
      <c r="B8026" s="8" t="str">
        <f>"寝屋川市駅前交番"</f>
        <v>寝屋川市駅前交番</v>
      </c>
      <c r="C8026" s="8" t="str">
        <f t="shared" si="2831"/>
        <v>行政財産</v>
      </c>
      <c r="D8026" s="8" t="str">
        <f t="shared" si="2832"/>
        <v>警察（消防）施設</v>
      </c>
      <c r="E8026" s="8" t="str">
        <f>"大阪府寝屋川市東大利町"</f>
        <v>大阪府寝屋川市東大利町</v>
      </c>
      <c r="F8026" s="8"/>
      <c r="G8026" s="8" t="str">
        <f t="shared" si="2839"/>
        <v>事業用資産</v>
      </c>
      <c r="H8026" s="8" t="str">
        <f t="shared" si="2834"/>
        <v>棚卸以外</v>
      </c>
      <c r="I8026" s="8">
        <v>2</v>
      </c>
      <c r="J8026" s="8" t="str">
        <f>"寝屋川市駅前交番"</f>
        <v>寝屋川市駅前交番</v>
      </c>
      <c r="K8026" s="8" t="str">
        <f>"鉄骨造"</f>
        <v>鉄骨造</v>
      </c>
      <c r="L8026" s="8" t="str">
        <f>"H15.10.31"</f>
        <v>H15.10.31</v>
      </c>
      <c r="M8026" s="8">
        <v>131.52000000000001</v>
      </c>
      <c r="N8026" s="8">
        <v>27057511</v>
      </c>
      <c r="O8026" s="8">
        <v>14130005</v>
      </c>
      <c r="P8026" s="8">
        <v>0</v>
      </c>
      <c r="Q8026" s="8" t="str">
        <f t="shared" si="2830"/>
        <v>公安委員会</v>
      </c>
      <c r="R8026" s="8" t="str">
        <f t="shared" si="2838"/>
        <v>寝屋川警察署</v>
      </c>
    </row>
    <row r="8027" spans="1:18" x14ac:dyDescent="0.45">
      <c r="A8027" s="8" t="str">
        <f>"11567000250"</f>
        <v>11567000250</v>
      </c>
      <c r="B8027" s="8" t="str">
        <f>"松屋交番"</f>
        <v>松屋交番</v>
      </c>
      <c r="C8027" s="8" t="str">
        <f t="shared" si="2831"/>
        <v>行政財産</v>
      </c>
      <c r="D8027" s="8" t="str">
        <f t="shared" si="2832"/>
        <v>警察（消防）施設</v>
      </c>
      <c r="E8027" s="8" t="str">
        <f>"大阪府寝屋川市松屋町"</f>
        <v>大阪府寝屋川市松屋町</v>
      </c>
      <c r="F8027" s="8"/>
      <c r="G8027" s="8" t="str">
        <f t="shared" si="2839"/>
        <v>事業用資産</v>
      </c>
      <c r="H8027" s="8" t="str">
        <f t="shared" si="2834"/>
        <v>棚卸以外</v>
      </c>
      <c r="I8027" s="8">
        <v>1</v>
      </c>
      <c r="J8027" s="8" t="str">
        <f>"松屋交番"</f>
        <v>松屋交番</v>
      </c>
      <c r="K8027" s="8" t="str">
        <f>"鉄筋コンクリート造"</f>
        <v>鉄筋コンクリート造</v>
      </c>
      <c r="L8027" s="8" t="str">
        <f>"S44.11.26"</f>
        <v>S44.11.26</v>
      </c>
      <c r="M8027" s="8">
        <v>50.4</v>
      </c>
      <c r="N8027" s="8">
        <v>3096015</v>
      </c>
      <c r="O8027" s="8">
        <v>3040039</v>
      </c>
      <c r="P8027" s="8">
        <v>0</v>
      </c>
      <c r="Q8027" s="8" t="str">
        <f t="shared" si="2830"/>
        <v>公安委員会</v>
      </c>
      <c r="R8027" s="8" t="str">
        <f t="shared" si="2838"/>
        <v>寝屋川警察署</v>
      </c>
    </row>
    <row r="8028" spans="1:18" x14ac:dyDescent="0.45">
      <c r="A8028" s="8" t="str">
        <f>"11567000260"</f>
        <v>11567000260</v>
      </c>
      <c r="B8028" s="8" t="str">
        <f>"太奏交番"</f>
        <v>太奏交番</v>
      </c>
      <c r="C8028" s="8" t="str">
        <f t="shared" si="2831"/>
        <v>行政財産</v>
      </c>
      <c r="D8028" s="8" t="str">
        <f t="shared" si="2832"/>
        <v>警察（消防）施設</v>
      </c>
      <c r="E8028" s="8" t="str">
        <f>"大阪府寝屋川市高宮２丁目"</f>
        <v>大阪府寝屋川市高宮２丁目</v>
      </c>
      <c r="F8028" s="8"/>
      <c r="G8028" s="8" t="str">
        <f t="shared" si="2839"/>
        <v>事業用資産</v>
      </c>
      <c r="H8028" s="8" t="str">
        <f t="shared" si="2834"/>
        <v>棚卸以外</v>
      </c>
      <c r="I8028" s="8">
        <v>1</v>
      </c>
      <c r="J8028" s="8" t="str">
        <f>"太秦交番"</f>
        <v>太秦交番</v>
      </c>
      <c r="K8028" s="8" t="str">
        <f>"コンクリートブロック造"</f>
        <v>コンクリートブロック造</v>
      </c>
      <c r="L8028" s="8" t="str">
        <f>"S46.08.30"</f>
        <v>S46.08.30</v>
      </c>
      <c r="M8028" s="8">
        <v>32.4</v>
      </c>
      <c r="N8028" s="8">
        <v>2810320</v>
      </c>
      <c r="O8028" s="8">
        <v>2754879</v>
      </c>
      <c r="P8028" s="8">
        <v>0</v>
      </c>
      <c r="Q8028" s="8" t="str">
        <f t="shared" si="2830"/>
        <v>公安委員会</v>
      </c>
      <c r="R8028" s="8" t="str">
        <f t="shared" si="2838"/>
        <v>寝屋川警察署</v>
      </c>
    </row>
    <row r="8029" spans="1:18" x14ac:dyDescent="0.45">
      <c r="A8029" s="8" t="str">
        <f>"11567000260"</f>
        <v>11567000260</v>
      </c>
      <c r="B8029" s="8" t="str">
        <f>"太奏交番"</f>
        <v>太奏交番</v>
      </c>
      <c r="C8029" s="8" t="str">
        <f t="shared" si="2831"/>
        <v>行政財産</v>
      </c>
      <c r="D8029" s="8" t="str">
        <f t="shared" si="2832"/>
        <v>警察（消防）施設</v>
      </c>
      <c r="E8029" s="8" t="str">
        <f>"大阪府寝屋川市高宮２丁目"</f>
        <v>大阪府寝屋川市高宮２丁目</v>
      </c>
      <c r="F8029" s="8"/>
      <c r="G8029" s="8" t="str">
        <f t="shared" si="2839"/>
        <v>事業用資産</v>
      </c>
      <c r="H8029" s="8" t="str">
        <f t="shared" si="2834"/>
        <v>棚卸以外</v>
      </c>
      <c r="I8029" s="8">
        <v>2</v>
      </c>
      <c r="J8029" s="8" t="str">
        <f>"自転車置場"</f>
        <v>自転車置場</v>
      </c>
      <c r="K8029" s="8" t="str">
        <f>"土蔵造(簡易建物)"</f>
        <v>土蔵造(簡易建物)</v>
      </c>
      <c r="L8029" s="8" t="str">
        <f>"H04.08.28"</f>
        <v>H04.08.28</v>
      </c>
      <c r="M8029" s="8">
        <v>5.86</v>
      </c>
      <c r="N8029" s="8">
        <v>188000</v>
      </c>
      <c r="O8029" s="8">
        <v>187999</v>
      </c>
      <c r="P8029" s="8">
        <v>0</v>
      </c>
      <c r="Q8029" s="8" t="str">
        <f t="shared" si="2830"/>
        <v>公安委員会</v>
      </c>
      <c r="R8029" s="8" t="str">
        <f t="shared" si="2838"/>
        <v>寝屋川警察署</v>
      </c>
    </row>
    <row r="8030" spans="1:18" x14ac:dyDescent="0.45">
      <c r="A8030" s="8" t="str">
        <f>"11567000270"</f>
        <v>11567000270</v>
      </c>
      <c r="B8030" s="8" t="str">
        <f>"点野交番"</f>
        <v>点野交番</v>
      </c>
      <c r="C8030" s="8" t="str">
        <f t="shared" si="2831"/>
        <v>行政財産</v>
      </c>
      <c r="D8030" s="8" t="str">
        <f t="shared" si="2832"/>
        <v>警察（消防）施設</v>
      </c>
      <c r="E8030" s="8" t="str">
        <f>"大阪府寝屋川市点野５丁目"</f>
        <v>大阪府寝屋川市点野５丁目</v>
      </c>
      <c r="F8030" s="8"/>
      <c r="G8030" s="8" t="str">
        <f t="shared" si="2839"/>
        <v>事業用資産</v>
      </c>
      <c r="H8030" s="8" t="str">
        <f t="shared" si="2834"/>
        <v>棚卸以外</v>
      </c>
      <c r="I8030" s="8">
        <v>1</v>
      </c>
      <c r="J8030" s="8" t="str">
        <f>"点野交番"</f>
        <v>点野交番</v>
      </c>
      <c r="K8030" s="8" t="str">
        <f>"鉄筋コンクリート造"</f>
        <v>鉄筋コンクリート造</v>
      </c>
      <c r="L8030" s="8" t="str">
        <f>"S49.03.30"</f>
        <v>S49.03.30</v>
      </c>
      <c r="M8030" s="8">
        <v>49.14</v>
      </c>
      <c r="N8030" s="8">
        <v>8144859</v>
      </c>
      <c r="O8030" s="8">
        <v>7910724</v>
      </c>
      <c r="P8030" s="8">
        <v>0</v>
      </c>
      <c r="Q8030" s="8" t="str">
        <f t="shared" si="2830"/>
        <v>公安委員会</v>
      </c>
      <c r="R8030" s="8" t="str">
        <f t="shared" si="2838"/>
        <v>寝屋川警察署</v>
      </c>
    </row>
    <row r="8031" spans="1:18" x14ac:dyDescent="0.45">
      <c r="A8031" s="8" t="str">
        <f>"11567000280"</f>
        <v>11567000280</v>
      </c>
      <c r="B8031" s="8" t="str">
        <f>"三井交番"</f>
        <v>三井交番</v>
      </c>
      <c r="C8031" s="8" t="str">
        <f t="shared" si="2831"/>
        <v>行政財産</v>
      </c>
      <c r="D8031" s="8" t="str">
        <f t="shared" si="2832"/>
        <v>警察（消防）施設</v>
      </c>
      <c r="E8031" s="8" t="str">
        <f>"大阪府寝屋川市三井が丘２丁目"</f>
        <v>大阪府寝屋川市三井が丘２丁目</v>
      </c>
      <c r="F8031" s="8"/>
      <c r="G8031" s="8" t="str">
        <f t="shared" si="2839"/>
        <v>事業用資産</v>
      </c>
      <c r="H8031" s="8" t="str">
        <f t="shared" si="2834"/>
        <v>棚卸以外</v>
      </c>
      <c r="I8031" s="8">
        <v>1</v>
      </c>
      <c r="J8031" s="8" t="str">
        <f>"三井交番"</f>
        <v>三井交番</v>
      </c>
      <c r="K8031" s="8" t="str">
        <f>"鉄筋コンクリート造"</f>
        <v>鉄筋コンクリート造</v>
      </c>
      <c r="L8031" s="8" t="str">
        <f>"S47.09.20"</f>
        <v>S47.09.20</v>
      </c>
      <c r="M8031" s="8">
        <v>49.41</v>
      </c>
      <c r="N8031" s="8">
        <v>3475593</v>
      </c>
      <c r="O8031" s="8">
        <v>3402588</v>
      </c>
      <c r="P8031" s="8">
        <v>0</v>
      </c>
      <c r="Q8031" s="8" t="str">
        <f t="shared" si="2830"/>
        <v>公安委員会</v>
      </c>
      <c r="R8031" s="8" t="str">
        <f t="shared" si="2838"/>
        <v>寝屋川警察署</v>
      </c>
    </row>
    <row r="8032" spans="1:18" x14ac:dyDescent="0.45">
      <c r="A8032" s="8" t="str">
        <f>"11567000290"</f>
        <v>11567000290</v>
      </c>
      <c r="B8032" s="8" t="str">
        <f>"寝屋川公園駅前交番"</f>
        <v>寝屋川公園駅前交番</v>
      </c>
      <c r="C8032" s="8" t="str">
        <f t="shared" si="2831"/>
        <v>行政財産</v>
      </c>
      <c r="D8032" s="8" t="str">
        <f t="shared" si="2832"/>
        <v>警察（消防）施設</v>
      </c>
      <c r="E8032" s="8" t="str">
        <f>"大阪府寝屋川市打上元町"</f>
        <v>大阪府寝屋川市打上元町</v>
      </c>
      <c r="F8032" s="8"/>
      <c r="G8032" s="8" t="str">
        <f t="shared" si="2839"/>
        <v>事業用資産</v>
      </c>
      <c r="H8032" s="8" t="str">
        <f t="shared" si="2834"/>
        <v>棚卸以外</v>
      </c>
      <c r="I8032" s="8">
        <v>2</v>
      </c>
      <c r="J8032" s="8" t="str">
        <f>"寝屋川公園駅前交番"</f>
        <v>寝屋川公園駅前交番</v>
      </c>
      <c r="K8032" s="8" t="str">
        <f>"鉄筋コンクリート造"</f>
        <v>鉄筋コンクリート造</v>
      </c>
      <c r="L8032" s="8" t="str">
        <f>"S62.04.02"</f>
        <v>S62.04.02</v>
      </c>
      <c r="M8032" s="8">
        <v>57.93</v>
      </c>
      <c r="N8032" s="8">
        <v>15226320</v>
      </c>
      <c r="O8032" s="8">
        <v>10902509</v>
      </c>
      <c r="P8032" s="8">
        <v>0</v>
      </c>
      <c r="Q8032" s="8" t="str">
        <f t="shared" si="2830"/>
        <v>公安委員会</v>
      </c>
      <c r="R8032" s="8" t="str">
        <f t="shared" si="2838"/>
        <v>寝屋川警察署</v>
      </c>
    </row>
    <row r="8033" spans="1:18" x14ac:dyDescent="0.45">
      <c r="A8033" s="8" t="str">
        <f>"11567000310"</f>
        <v>11567000310</v>
      </c>
      <c r="B8033" s="8" t="str">
        <f>"萱島駅前交番"</f>
        <v>萱島駅前交番</v>
      </c>
      <c r="C8033" s="8" t="str">
        <f t="shared" si="2831"/>
        <v>行政財産</v>
      </c>
      <c r="D8033" s="8" t="str">
        <f t="shared" si="2832"/>
        <v>警察（消防）施設</v>
      </c>
      <c r="E8033" s="8" t="str">
        <f>"大阪府寝屋川市萱島本町"</f>
        <v>大阪府寝屋川市萱島本町</v>
      </c>
      <c r="F8033" s="8"/>
      <c r="G8033" s="8" t="str">
        <f t="shared" si="2839"/>
        <v>事業用資産</v>
      </c>
      <c r="H8033" s="8" t="str">
        <f t="shared" si="2834"/>
        <v>棚卸以外</v>
      </c>
      <c r="I8033" s="8">
        <v>1</v>
      </c>
      <c r="J8033" s="8" t="str">
        <f>"萱島駅前交番"</f>
        <v>萱島駅前交番</v>
      </c>
      <c r="K8033" s="8" t="str">
        <f>"鉄骨造"</f>
        <v>鉄骨造</v>
      </c>
      <c r="L8033" s="8" t="str">
        <f>"H12.03.27"</f>
        <v>H12.03.27</v>
      </c>
      <c r="M8033" s="8">
        <v>126.69</v>
      </c>
      <c r="N8033" s="8">
        <v>31611193</v>
      </c>
      <c r="O8033" s="8">
        <v>19124091</v>
      </c>
      <c r="P8033" s="8">
        <v>0</v>
      </c>
      <c r="Q8033" s="8" t="str">
        <f t="shared" si="2830"/>
        <v>公安委員会</v>
      </c>
      <c r="R8033" s="8" t="str">
        <f t="shared" si="2838"/>
        <v>寝屋川警察署</v>
      </c>
    </row>
    <row r="8034" spans="1:18" x14ac:dyDescent="0.45">
      <c r="A8034" s="8" t="str">
        <f>"11567003002"</f>
        <v>11567003002</v>
      </c>
      <c r="B8034" s="8" t="str">
        <f>"香里園駅前交番"</f>
        <v>香里園駅前交番</v>
      </c>
      <c r="C8034" s="8" t="str">
        <f t="shared" si="2831"/>
        <v>行政財産</v>
      </c>
      <c r="D8034" s="8" t="str">
        <f t="shared" si="2832"/>
        <v>警察（消防）施設</v>
      </c>
      <c r="E8034" s="8" t="str">
        <f>"大阪府寝屋川市香里本通町"</f>
        <v>大阪府寝屋川市香里本通町</v>
      </c>
      <c r="F8034" s="8"/>
      <c r="G8034" s="8" t="str">
        <f t="shared" si="2839"/>
        <v>事業用資産</v>
      </c>
      <c r="H8034" s="8" t="str">
        <f t="shared" si="2834"/>
        <v>棚卸以外</v>
      </c>
      <c r="I8034" s="8">
        <v>1</v>
      </c>
      <c r="J8034" s="8" t="str">
        <f>"香里園駅前交番"</f>
        <v>香里園駅前交番</v>
      </c>
      <c r="K8034" s="8" t="str">
        <f>"軽量鉄骨造"</f>
        <v>軽量鉄骨造</v>
      </c>
      <c r="L8034" s="8" t="str">
        <f>"R02.12.21"</f>
        <v>R02.12.21</v>
      </c>
      <c r="M8034" s="8">
        <v>48.44</v>
      </c>
      <c r="N8034" s="8">
        <v>26747988</v>
      </c>
      <c r="O8034" s="8">
        <v>2346345</v>
      </c>
      <c r="P8034" s="8">
        <v>0</v>
      </c>
      <c r="Q8034" s="8" t="str">
        <f t="shared" si="2830"/>
        <v>公安委員会</v>
      </c>
      <c r="R8034" s="8" t="str">
        <f t="shared" si="2838"/>
        <v>寝屋川警察署</v>
      </c>
    </row>
    <row r="8035" spans="1:18" x14ac:dyDescent="0.45">
      <c r="A8035" s="8" t="str">
        <f t="shared" ref="A8035:A8040" si="2840">"11568000000"</f>
        <v>11568000000</v>
      </c>
      <c r="B8035" s="8" t="str">
        <f t="shared" ref="B8035:B8040" si="2841">"四條畷警察署"</f>
        <v>四條畷警察署</v>
      </c>
      <c r="C8035" s="8" t="str">
        <f t="shared" si="2831"/>
        <v>行政財産</v>
      </c>
      <c r="D8035" s="8" t="str">
        <f t="shared" si="2832"/>
        <v>警察（消防）施設</v>
      </c>
      <c r="E8035" s="8" t="str">
        <f t="shared" ref="E8035:E8040" si="2842">"大阪府大東市深野３丁目"</f>
        <v>大阪府大東市深野３丁目</v>
      </c>
      <c r="F8035" s="8"/>
      <c r="G8035" s="8" t="str">
        <f t="shared" si="2839"/>
        <v>事業用資産</v>
      </c>
      <c r="H8035" s="8" t="str">
        <f t="shared" si="2834"/>
        <v>棚卸以外</v>
      </c>
      <c r="I8035" s="8">
        <v>21</v>
      </c>
      <c r="J8035" s="8" t="str">
        <f>"庁舎"</f>
        <v>庁舎</v>
      </c>
      <c r="K8035" s="8" t="str">
        <f>"鉄筋コンクリート造"</f>
        <v>鉄筋コンクリート造</v>
      </c>
      <c r="L8035" s="8" t="str">
        <f>"S52.12.28"</f>
        <v>S52.12.28</v>
      </c>
      <c r="M8035" s="8">
        <v>2661.73</v>
      </c>
      <c r="N8035" s="8">
        <v>603496115</v>
      </c>
      <c r="O8035" s="8">
        <v>486802572</v>
      </c>
      <c r="P8035" s="8">
        <v>0</v>
      </c>
      <c r="Q8035" s="8" t="str">
        <f t="shared" si="2830"/>
        <v>公安委員会</v>
      </c>
      <c r="R8035" s="8" t="str">
        <f t="shared" ref="R8035:R8050" si="2843">"四條畷警察署"</f>
        <v>四條畷警察署</v>
      </c>
    </row>
    <row r="8036" spans="1:18" x14ac:dyDescent="0.45">
      <c r="A8036" s="8" t="str">
        <f t="shared" si="2840"/>
        <v>11568000000</v>
      </c>
      <c r="B8036" s="8" t="str">
        <f t="shared" si="2841"/>
        <v>四條畷警察署</v>
      </c>
      <c r="C8036" s="8" t="str">
        <f t="shared" si="2831"/>
        <v>行政財産</v>
      </c>
      <c r="D8036" s="8" t="str">
        <f t="shared" si="2832"/>
        <v>警察（消防）施設</v>
      </c>
      <c r="E8036" s="8" t="str">
        <f t="shared" si="2842"/>
        <v>大阪府大東市深野３丁目</v>
      </c>
      <c r="F8036" s="8"/>
      <c r="G8036" s="8" t="str">
        <f t="shared" si="2839"/>
        <v>事業用資産</v>
      </c>
      <c r="H8036" s="8" t="str">
        <f t="shared" si="2834"/>
        <v>棚卸以外</v>
      </c>
      <c r="I8036" s="8">
        <v>22</v>
      </c>
      <c r="J8036" s="8" t="str">
        <f>"車庫"</f>
        <v>車庫</v>
      </c>
      <c r="K8036" s="8" t="str">
        <f>"鉄骨造"</f>
        <v>鉄骨造</v>
      </c>
      <c r="L8036" s="8" t="str">
        <f>"S52.12.28"</f>
        <v>S52.12.28</v>
      </c>
      <c r="M8036" s="8">
        <v>238.74</v>
      </c>
      <c r="N8036" s="8">
        <v>12025159</v>
      </c>
      <c r="O8036" s="8">
        <v>11877510</v>
      </c>
      <c r="P8036" s="8">
        <v>0</v>
      </c>
      <c r="Q8036" s="8" t="str">
        <f t="shared" si="2830"/>
        <v>公安委員会</v>
      </c>
      <c r="R8036" s="8" t="str">
        <f t="shared" si="2843"/>
        <v>四條畷警察署</v>
      </c>
    </row>
    <row r="8037" spans="1:18" x14ac:dyDescent="0.45">
      <c r="A8037" s="8" t="str">
        <f t="shared" si="2840"/>
        <v>11568000000</v>
      </c>
      <c r="B8037" s="8" t="str">
        <f t="shared" si="2841"/>
        <v>四條畷警察署</v>
      </c>
      <c r="C8037" s="8" t="str">
        <f t="shared" si="2831"/>
        <v>行政財産</v>
      </c>
      <c r="D8037" s="8" t="str">
        <f t="shared" si="2832"/>
        <v>警察（消防）施設</v>
      </c>
      <c r="E8037" s="8" t="str">
        <f t="shared" si="2842"/>
        <v>大阪府大東市深野３丁目</v>
      </c>
      <c r="F8037" s="8"/>
      <c r="G8037" s="8" t="str">
        <f t="shared" si="2839"/>
        <v>事業用資産</v>
      </c>
      <c r="H8037" s="8" t="str">
        <f t="shared" si="2834"/>
        <v>棚卸以外</v>
      </c>
      <c r="I8037" s="8">
        <v>23</v>
      </c>
      <c r="J8037" s="8" t="str">
        <f>"倉庫及び車庫"</f>
        <v>倉庫及び車庫</v>
      </c>
      <c r="K8037" s="8" t="str">
        <f>"鉄骨造"</f>
        <v>鉄骨造</v>
      </c>
      <c r="L8037" s="8" t="str">
        <f>"S52.12.28"</f>
        <v>S52.12.28</v>
      </c>
      <c r="M8037" s="8">
        <v>120</v>
      </c>
      <c r="N8037" s="8">
        <v>6554000</v>
      </c>
      <c r="O8037" s="8">
        <v>6553999</v>
      </c>
      <c r="P8037" s="8">
        <v>0</v>
      </c>
      <c r="Q8037" s="8" t="str">
        <f t="shared" si="2830"/>
        <v>公安委員会</v>
      </c>
      <c r="R8037" s="8" t="str">
        <f t="shared" si="2843"/>
        <v>四條畷警察署</v>
      </c>
    </row>
    <row r="8038" spans="1:18" x14ac:dyDescent="0.45">
      <c r="A8038" s="8" t="str">
        <f t="shared" si="2840"/>
        <v>11568000000</v>
      </c>
      <c r="B8038" s="8" t="str">
        <f t="shared" si="2841"/>
        <v>四條畷警察署</v>
      </c>
      <c r="C8038" s="8" t="str">
        <f t="shared" si="2831"/>
        <v>行政財産</v>
      </c>
      <c r="D8038" s="8" t="str">
        <f t="shared" si="2832"/>
        <v>警察（消防）施設</v>
      </c>
      <c r="E8038" s="8" t="str">
        <f t="shared" si="2842"/>
        <v>大阪府大東市深野３丁目</v>
      </c>
      <c r="F8038" s="8"/>
      <c r="G8038" s="8" t="str">
        <f t="shared" si="2839"/>
        <v>事業用資産</v>
      </c>
      <c r="H8038" s="8" t="str">
        <f t="shared" si="2834"/>
        <v>棚卸以外</v>
      </c>
      <c r="I8038" s="8">
        <v>24</v>
      </c>
      <c r="J8038" s="8" t="str">
        <f>"倉庫"</f>
        <v>倉庫</v>
      </c>
      <c r="K8038" s="8" t="str">
        <f>"鉄筋コンクリート造"</f>
        <v>鉄筋コンクリート造</v>
      </c>
      <c r="L8038" s="8" t="str">
        <f>"S52.12.28"</f>
        <v>S52.12.28</v>
      </c>
      <c r="M8038" s="8">
        <v>15.97</v>
      </c>
      <c r="N8038" s="8">
        <v>14995000</v>
      </c>
      <c r="O8038" s="8">
        <v>7037176</v>
      </c>
      <c r="P8038" s="8">
        <v>0</v>
      </c>
      <c r="Q8038" s="8" t="str">
        <f t="shared" si="2830"/>
        <v>公安委員会</v>
      </c>
      <c r="R8038" s="8" t="str">
        <f t="shared" si="2843"/>
        <v>四條畷警察署</v>
      </c>
    </row>
    <row r="8039" spans="1:18" x14ac:dyDescent="0.45">
      <c r="A8039" s="8" t="str">
        <f t="shared" si="2840"/>
        <v>11568000000</v>
      </c>
      <c r="B8039" s="8" t="str">
        <f t="shared" si="2841"/>
        <v>四條畷警察署</v>
      </c>
      <c r="C8039" s="8" t="str">
        <f t="shared" si="2831"/>
        <v>行政財産</v>
      </c>
      <c r="D8039" s="8" t="str">
        <f t="shared" si="2832"/>
        <v>警察（消防）施設</v>
      </c>
      <c r="E8039" s="8" t="str">
        <f t="shared" si="2842"/>
        <v>大阪府大東市深野３丁目</v>
      </c>
      <c r="F8039" s="8"/>
      <c r="G8039" s="8" t="str">
        <f t="shared" si="2839"/>
        <v>事業用資産</v>
      </c>
      <c r="H8039" s="8" t="str">
        <f t="shared" si="2834"/>
        <v>棚卸以外</v>
      </c>
      <c r="I8039" s="8">
        <v>26</v>
      </c>
      <c r="J8039" s="8" t="str">
        <f>"署長公舎"</f>
        <v>署長公舎</v>
      </c>
      <c r="K8039" s="8" t="str">
        <f>"木造"</f>
        <v>木造</v>
      </c>
      <c r="L8039" s="8" t="str">
        <f>"S52.12.28"</f>
        <v>S52.12.28</v>
      </c>
      <c r="M8039" s="8">
        <v>83.71</v>
      </c>
      <c r="N8039" s="8">
        <v>14067000</v>
      </c>
      <c r="O8039" s="8">
        <v>14066999</v>
      </c>
      <c r="P8039" s="8">
        <v>0</v>
      </c>
      <c r="Q8039" s="8" t="str">
        <f t="shared" si="2830"/>
        <v>公安委員会</v>
      </c>
      <c r="R8039" s="8" t="str">
        <f t="shared" si="2843"/>
        <v>四條畷警察署</v>
      </c>
    </row>
    <row r="8040" spans="1:18" x14ac:dyDescent="0.45">
      <c r="A8040" s="8" t="str">
        <f t="shared" si="2840"/>
        <v>11568000000</v>
      </c>
      <c r="B8040" s="8" t="str">
        <f t="shared" si="2841"/>
        <v>四條畷警察署</v>
      </c>
      <c r="C8040" s="8" t="str">
        <f t="shared" si="2831"/>
        <v>行政財産</v>
      </c>
      <c r="D8040" s="8" t="str">
        <f t="shared" si="2832"/>
        <v>警察（消防）施設</v>
      </c>
      <c r="E8040" s="8" t="str">
        <f t="shared" si="2842"/>
        <v>大阪府大東市深野３丁目</v>
      </c>
      <c r="F8040" s="8"/>
      <c r="G8040" s="8" t="str">
        <f t="shared" si="2839"/>
        <v>事業用資産</v>
      </c>
      <c r="H8040" s="8" t="str">
        <f t="shared" si="2834"/>
        <v>棚卸以外</v>
      </c>
      <c r="I8040" s="8">
        <v>27</v>
      </c>
      <c r="J8040" s="8" t="str">
        <f>"倉庫"</f>
        <v>倉庫</v>
      </c>
      <c r="K8040" s="8" t="str">
        <f>"プレハブ"</f>
        <v>プレハブ</v>
      </c>
      <c r="L8040" s="8" t="str">
        <f>"H09.11.21"</f>
        <v>H09.11.21</v>
      </c>
      <c r="M8040" s="8">
        <v>12.9</v>
      </c>
      <c r="N8040" s="8">
        <v>879339</v>
      </c>
      <c r="O8040" s="8">
        <v>854145</v>
      </c>
      <c r="P8040" s="8">
        <v>0</v>
      </c>
      <c r="Q8040" s="8" t="str">
        <f t="shared" si="2830"/>
        <v>公安委員会</v>
      </c>
      <c r="R8040" s="8" t="str">
        <f t="shared" si="2843"/>
        <v>四條畷警察署</v>
      </c>
    </row>
    <row r="8041" spans="1:18" x14ac:dyDescent="0.45">
      <c r="A8041" s="8" t="str">
        <f>"11568000130"</f>
        <v>11568000130</v>
      </c>
      <c r="B8041" s="8" t="str">
        <f>"住道交番"</f>
        <v>住道交番</v>
      </c>
      <c r="C8041" s="8" t="str">
        <f t="shared" si="2831"/>
        <v>行政財産</v>
      </c>
      <c r="D8041" s="8" t="str">
        <f t="shared" si="2832"/>
        <v>警察（消防）施設</v>
      </c>
      <c r="E8041" s="8" t="str">
        <f>"大阪府大東市浜町"</f>
        <v>大阪府大東市浜町</v>
      </c>
      <c r="F8041" s="8"/>
      <c r="G8041" s="8" t="str">
        <f t="shared" si="2839"/>
        <v>事業用資産</v>
      </c>
      <c r="H8041" s="8" t="str">
        <f t="shared" si="2834"/>
        <v>棚卸以外</v>
      </c>
      <c r="I8041" s="8">
        <v>2</v>
      </c>
      <c r="J8041" s="8" t="str">
        <f>"住道交番"</f>
        <v>住道交番</v>
      </c>
      <c r="K8041" s="8" t="str">
        <f>"鉄骨造"</f>
        <v>鉄骨造</v>
      </c>
      <c r="L8041" s="8" t="str">
        <f>"H24.03.30"</f>
        <v>H24.03.30</v>
      </c>
      <c r="M8041" s="8">
        <v>113</v>
      </c>
      <c r="N8041" s="8">
        <v>31065581</v>
      </c>
      <c r="O8041" s="8">
        <v>11739860</v>
      </c>
      <c r="P8041" s="8">
        <v>0</v>
      </c>
      <c r="Q8041" s="8" t="str">
        <f t="shared" si="2830"/>
        <v>公安委員会</v>
      </c>
      <c r="R8041" s="8" t="str">
        <f t="shared" si="2843"/>
        <v>四條畷警察署</v>
      </c>
    </row>
    <row r="8042" spans="1:18" x14ac:dyDescent="0.45">
      <c r="A8042" s="8" t="str">
        <f>"11568000160"</f>
        <v>11568000160</v>
      </c>
      <c r="B8042" s="8" t="str">
        <f>"忍ヶ丘交番"</f>
        <v>忍ヶ丘交番</v>
      </c>
      <c r="C8042" s="8" t="str">
        <f t="shared" si="2831"/>
        <v>行政財産</v>
      </c>
      <c r="D8042" s="8" t="str">
        <f t="shared" si="2832"/>
        <v>警察（消防）施設</v>
      </c>
      <c r="E8042" s="8" t="str">
        <f>"大阪府四條畷市岡山東１丁目"</f>
        <v>大阪府四條畷市岡山東１丁目</v>
      </c>
      <c r="F8042" s="8"/>
      <c r="G8042" s="8" t="str">
        <f t="shared" si="2839"/>
        <v>事業用資産</v>
      </c>
      <c r="H8042" s="8" t="str">
        <f t="shared" si="2834"/>
        <v>棚卸以外</v>
      </c>
      <c r="I8042" s="8">
        <v>2</v>
      </c>
      <c r="J8042" s="8" t="str">
        <f>"忍ヶ丘交番"</f>
        <v>忍ヶ丘交番</v>
      </c>
      <c r="K8042" s="8" t="str">
        <f t="shared" ref="K8042:K8047" si="2844">"鉄筋コンクリート造"</f>
        <v>鉄筋コンクリート造</v>
      </c>
      <c r="L8042" s="8" t="str">
        <f>"H01.03.31"</f>
        <v>H01.03.31</v>
      </c>
      <c r="M8042" s="8">
        <v>54</v>
      </c>
      <c r="N8042" s="8">
        <v>16410025</v>
      </c>
      <c r="O8042" s="8">
        <v>11117688</v>
      </c>
      <c r="P8042" s="8">
        <v>0</v>
      </c>
      <c r="Q8042" s="8" t="str">
        <f t="shared" si="2830"/>
        <v>公安委員会</v>
      </c>
      <c r="R8042" s="8" t="str">
        <f t="shared" si="2843"/>
        <v>四條畷警察署</v>
      </c>
    </row>
    <row r="8043" spans="1:18" x14ac:dyDescent="0.45">
      <c r="A8043" s="8" t="str">
        <f>"11568000170"</f>
        <v>11568000170</v>
      </c>
      <c r="B8043" s="8" t="str">
        <f>"中野交番"</f>
        <v>中野交番</v>
      </c>
      <c r="C8043" s="8" t="str">
        <f t="shared" si="2831"/>
        <v>行政財産</v>
      </c>
      <c r="D8043" s="8" t="str">
        <f t="shared" si="2832"/>
        <v>警察（消防）施設</v>
      </c>
      <c r="E8043" s="8" t="str">
        <f>"大阪府四條畷市中野３丁目"</f>
        <v>大阪府四條畷市中野３丁目</v>
      </c>
      <c r="F8043" s="8"/>
      <c r="G8043" s="8" t="str">
        <f t="shared" si="2839"/>
        <v>事業用資産</v>
      </c>
      <c r="H8043" s="8" t="str">
        <f t="shared" si="2834"/>
        <v>棚卸以外</v>
      </c>
      <c r="I8043" s="8">
        <v>1</v>
      </c>
      <c r="J8043" s="8" t="str">
        <f>"中野交番"</f>
        <v>中野交番</v>
      </c>
      <c r="K8043" s="8" t="str">
        <f t="shared" si="2844"/>
        <v>鉄筋コンクリート造</v>
      </c>
      <c r="L8043" s="8" t="str">
        <f>"S48.03.31"</f>
        <v>S48.03.31</v>
      </c>
      <c r="M8043" s="8">
        <v>49.41</v>
      </c>
      <c r="N8043" s="8">
        <v>3997801</v>
      </c>
      <c r="O8043" s="8">
        <v>3919693</v>
      </c>
      <c r="P8043" s="8">
        <v>0</v>
      </c>
      <c r="Q8043" s="8" t="str">
        <f t="shared" si="2830"/>
        <v>公安委員会</v>
      </c>
      <c r="R8043" s="8" t="str">
        <f t="shared" si="2843"/>
        <v>四條畷警察署</v>
      </c>
    </row>
    <row r="8044" spans="1:18" x14ac:dyDescent="0.45">
      <c r="A8044" s="8" t="str">
        <f>"11568000180"</f>
        <v>11568000180</v>
      </c>
      <c r="B8044" s="8" t="str">
        <f>"諸福交番"</f>
        <v>諸福交番</v>
      </c>
      <c r="C8044" s="8" t="str">
        <f t="shared" si="2831"/>
        <v>行政財産</v>
      </c>
      <c r="D8044" s="8" t="str">
        <f t="shared" si="2832"/>
        <v>警察（消防）施設</v>
      </c>
      <c r="E8044" s="8" t="str">
        <f>"大阪府大東市諸福７丁目"</f>
        <v>大阪府大東市諸福７丁目</v>
      </c>
      <c r="F8044" s="8"/>
      <c r="G8044" s="8" t="str">
        <f t="shared" si="2839"/>
        <v>事業用資産</v>
      </c>
      <c r="H8044" s="8" t="str">
        <f t="shared" si="2834"/>
        <v>棚卸以外</v>
      </c>
      <c r="I8044" s="8">
        <v>1</v>
      </c>
      <c r="J8044" s="8" t="str">
        <f>"諸福交番"</f>
        <v>諸福交番</v>
      </c>
      <c r="K8044" s="8" t="str">
        <f t="shared" si="2844"/>
        <v>鉄筋コンクリート造</v>
      </c>
      <c r="L8044" s="8" t="str">
        <f>"S50.12.15"</f>
        <v>S50.12.15</v>
      </c>
      <c r="M8044" s="8">
        <v>50.4</v>
      </c>
      <c r="N8044" s="8">
        <v>9685155</v>
      </c>
      <c r="O8044" s="8">
        <v>9074844</v>
      </c>
      <c r="P8044" s="8">
        <v>0</v>
      </c>
      <c r="Q8044" s="8" t="str">
        <f t="shared" si="2830"/>
        <v>公安委員会</v>
      </c>
      <c r="R8044" s="8" t="str">
        <f t="shared" si="2843"/>
        <v>四條畷警察署</v>
      </c>
    </row>
    <row r="8045" spans="1:18" x14ac:dyDescent="0.45">
      <c r="A8045" s="8" t="str">
        <f>"11568000190"</f>
        <v>11568000190</v>
      </c>
      <c r="B8045" s="8" t="str">
        <f>"楠公交番"</f>
        <v>楠公交番</v>
      </c>
      <c r="C8045" s="8" t="str">
        <f t="shared" si="2831"/>
        <v>行政財産</v>
      </c>
      <c r="D8045" s="8" t="str">
        <f t="shared" si="2832"/>
        <v>警察（消防）施設</v>
      </c>
      <c r="E8045" s="8" t="str">
        <f>"大阪府四條畷市楠公２丁目"</f>
        <v>大阪府四條畷市楠公２丁目</v>
      </c>
      <c r="F8045" s="8"/>
      <c r="G8045" s="8" t="str">
        <f t="shared" si="2839"/>
        <v>事業用資産</v>
      </c>
      <c r="H8045" s="8" t="str">
        <f t="shared" si="2834"/>
        <v>棚卸以外</v>
      </c>
      <c r="I8045" s="8">
        <v>18</v>
      </c>
      <c r="J8045" s="8" t="str">
        <f>"楠公交番"</f>
        <v>楠公交番</v>
      </c>
      <c r="K8045" s="8" t="str">
        <f t="shared" si="2844"/>
        <v>鉄筋コンクリート造</v>
      </c>
      <c r="L8045" s="8" t="str">
        <f>"S60.02.25"</f>
        <v>S60.02.25</v>
      </c>
      <c r="M8045" s="8">
        <v>112</v>
      </c>
      <c r="N8045" s="8">
        <v>23856039</v>
      </c>
      <c r="O8045" s="8">
        <v>18100404</v>
      </c>
      <c r="P8045" s="8">
        <v>0</v>
      </c>
      <c r="Q8045" s="8" t="str">
        <f t="shared" si="2830"/>
        <v>公安委員会</v>
      </c>
      <c r="R8045" s="8" t="str">
        <f t="shared" si="2843"/>
        <v>四條畷警察署</v>
      </c>
    </row>
    <row r="8046" spans="1:18" x14ac:dyDescent="0.45">
      <c r="A8046" s="8" t="str">
        <f>"11568000200"</f>
        <v>11568000200</v>
      </c>
      <c r="B8046" s="8" t="str">
        <f>"新町交番"</f>
        <v>新町交番</v>
      </c>
      <c r="C8046" s="8" t="str">
        <f t="shared" si="2831"/>
        <v>行政財産</v>
      </c>
      <c r="D8046" s="8" t="str">
        <f t="shared" si="2832"/>
        <v>警察（消防）施設</v>
      </c>
      <c r="E8046" s="8" t="str">
        <f>"大阪府大東市川中新町"</f>
        <v>大阪府大東市川中新町</v>
      </c>
      <c r="F8046" s="8"/>
      <c r="G8046" s="8" t="str">
        <f t="shared" si="2839"/>
        <v>事業用資産</v>
      </c>
      <c r="H8046" s="8" t="str">
        <f t="shared" si="2834"/>
        <v>棚卸以外</v>
      </c>
      <c r="I8046" s="8">
        <v>1</v>
      </c>
      <c r="J8046" s="8" t="str">
        <f>"新町交番"</f>
        <v>新町交番</v>
      </c>
      <c r="K8046" s="8" t="str">
        <f t="shared" si="2844"/>
        <v>鉄筋コンクリート造</v>
      </c>
      <c r="L8046" s="8" t="str">
        <f>"S57.03.29"</f>
        <v>S57.03.29</v>
      </c>
      <c r="M8046" s="8">
        <v>54</v>
      </c>
      <c r="N8046" s="8">
        <v>17198623</v>
      </c>
      <c r="O8046" s="8">
        <v>14041350</v>
      </c>
      <c r="P8046" s="8">
        <v>0</v>
      </c>
      <c r="Q8046" s="8" t="str">
        <f t="shared" si="2830"/>
        <v>公安委員会</v>
      </c>
      <c r="R8046" s="8" t="str">
        <f t="shared" si="2843"/>
        <v>四條畷警察署</v>
      </c>
    </row>
    <row r="8047" spans="1:18" x14ac:dyDescent="0.45">
      <c r="A8047" s="8" t="str">
        <f>"11568000230"</f>
        <v>11568000230</v>
      </c>
      <c r="B8047" s="8" t="str">
        <f>"北条交番"</f>
        <v>北条交番</v>
      </c>
      <c r="C8047" s="8" t="str">
        <f t="shared" si="2831"/>
        <v>行政財産</v>
      </c>
      <c r="D8047" s="8" t="str">
        <f t="shared" si="2832"/>
        <v>警察（消防）施設</v>
      </c>
      <c r="E8047" s="8" t="str">
        <f>"大阪府大東市北条６丁目"</f>
        <v>大阪府大東市北条６丁目</v>
      </c>
      <c r="F8047" s="8"/>
      <c r="G8047" s="8" t="str">
        <f t="shared" si="2839"/>
        <v>事業用資産</v>
      </c>
      <c r="H8047" s="8" t="str">
        <f t="shared" si="2834"/>
        <v>棚卸以外</v>
      </c>
      <c r="I8047" s="8">
        <v>1</v>
      </c>
      <c r="J8047" s="8" t="str">
        <f>"北条交番"</f>
        <v>北条交番</v>
      </c>
      <c r="K8047" s="8" t="str">
        <f t="shared" si="2844"/>
        <v>鉄筋コンクリート造</v>
      </c>
      <c r="L8047" s="8" t="str">
        <f>"H02.03.31"</f>
        <v>H02.03.31</v>
      </c>
      <c r="M8047" s="8">
        <v>54.78</v>
      </c>
      <c r="N8047" s="8">
        <v>15225916</v>
      </c>
      <c r="O8047" s="8">
        <v>10005294</v>
      </c>
      <c r="P8047" s="8">
        <v>0</v>
      </c>
      <c r="Q8047" s="8" t="str">
        <f t="shared" si="2830"/>
        <v>公安委員会</v>
      </c>
      <c r="R8047" s="8" t="str">
        <f t="shared" si="2843"/>
        <v>四條畷警察署</v>
      </c>
    </row>
    <row r="8048" spans="1:18" x14ac:dyDescent="0.45">
      <c r="A8048" s="8" t="str">
        <f>"11568000240"</f>
        <v>11568000240</v>
      </c>
      <c r="B8048" s="8" t="str">
        <f>"田原交番"</f>
        <v>田原交番</v>
      </c>
      <c r="C8048" s="8" t="str">
        <f t="shared" si="2831"/>
        <v>行政財産</v>
      </c>
      <c r="D8048" s="8" t="str">
        <f t="shared" si="2832"/>
        <v>警察（消防）施設</v>
      </c>
      <c r="E8048" s="8" t="str">
        <f>"大阪府四條畷市大字上田原"</f>
        <v>大阪府四條畷市大字上田原</v>
      </c>
      <c r="F8048" s="8"/>
      <c r="G8048" s="8" t="str">
        <f t="shared" si="2839"/>
        <v>事業用資産</v>
      </c>
      <c r="H8048" s="8" t="str">
        <f t="shared" si="2834"/>
        <v>棚卸以外</v>
      </c>
      <c r="I8048" s="8">
        <v>1</v>
      </c>
      <c r="J8048" s="8" t="str">
        <f>"田原交番"</f>
        <v>田原交番</v>
      </c>
      <c r="K8048" s="8" t="str">
        <f>"軽量鉄骨造"</f>
        <v>軽量鉄骨造</v>
      </c>
      <c r="L8048" s="8" t="str">
        <f>"H03.10.01"</f>
        <v>H03.10.01</v>
      </c>
      <c r="M8048" s="8">
        <v>71.11</v>
      </c>
      <c r="N8048" s="8">
        <v>10628228</v>
      </c>
      <c r="O8048" s="8">
        <v>10522641</v>
      </c>
      <c r="P8048" s="8">
        <v>0</v>
      </c>
      <c r="Q8048" s="8" t="str">
        <f t="shared" si="2830"/>
        <v>公安委員会</v>
      </c>
      <c r="R8048" s="8" t="str">
        <f t="shared" si="2843"/>
        <v>四條畷警察署</v>
      </c>
    </row>
    <row r="8049" spans="1:18" x14ac:dyDescent="0.45">
      <c r="A8049" s="8" t="str">
        <f>"11568000250"</f>
        <v>11568000250</v>
      </c>
      <c r="B8049" s="8" t="str">
        <f>"寺川交番"</f>
        <v>寺川交番</v>
      </c>
      <c r="C8049" s="8" t="str">
        <f t="shared" si="2831"/>
        <v>行政財産</v>
      </c>
      <c r="D8049" s="8" t="str">
        <f t="shared" si="2832"/>
        <v>警察（消防）施設</v>
      </c>
      <c r="E8049" s="8" t="str">
        <f>"大阪府大東市寺川３丁目"</f>
        <v>大阪府大東市寺川３丁目</v>
      </c>
      <c r="F8049" s="8"/>
      <c r="G8049" s="8" t="str">
        <f t="shared" si="2839"/>
        <v>事業用資産</v>
      </c>
      <c r="H8049" s="8" t="str">
        <f t="shared" si="2834"/>
        <v>棚卸以外</v>
      </c>
      <c r="I8049" s="8">
        <v>1</v>
      </c>
      <c r="J8049" s="8" t="str">
        <f>"寺川交番"</f>
        <v>寺川交番</v>
      </c>
      <c r="K8049" s="8" t="str">
        <f>"鉄骨造"</f>
        <v>鉄骨造</v>
      </c>
      <c r="L8049" s="8" t="str">
        <f>"H09.09.10"</f>
        <v>H09.09.10</v>
      </c>
      <c r="M8049" s="8">
        <v>53.46</v>
      </c>
      <c r="N8049" s="8">
        <v>17223284</v>
      </c>
      <c r="O8049" s="8">
        <v>11501038</v>
      </c>
      <c r="P8049" s="8">
        <v>0</v>
      </c>
      <c r="Q8049" s="8" t="str">
        <f t="shared" si="2830"/>
        <v>公安委員会</v>
      </c>
      <c r="R8049" s="8" t="str">
        <f t="shared" si="2843"/>
        <v>四條畷警察署</v>
      </c>
    </row>
    <row r="8050" spans="1:18" x14ac:dyDescent="0.45">
      <c r="A8050" s="8" t="str">
        <f>"11568003002"</f>
        <v>11568003002</v>
      </c>
      <c r="B8050" s="8" t="str">
        <f>"大東中央公園交番"</f>
        <v>大東中央公園交番</v>
      </c>
      <c r="C8050" s="8" t="str">
        <f t="shared" si="2831"/>
        <v>行政財産</v>
      </c>
      <c r="D8050" s="8" t="str">
        <f t="shared" si="2832"/>
        <v>警察（消防）施設</v>
      </c>
      <c r="E8050" s="8" t="str">
        <f>"大阪府大東市緑が丘１丁目"</f>
        <v>大阪府大東市緑が丘１丁目</v>
      </c>
      <c r="F8050" s="8"/>
      <c r="G8050" s="8" t="str">
        <f t="shared" si="2839"/>
        <v>事業用資産</v>
      </c>
      <c r="H8050" s="8" t="str">
        <f t="shared" si="2834"/>
        <v>棚卸以外</v>
      </c>
      <c r="I8050" s="8">
        <v>1</v>
      </c>
      <c r="J8050" s="8" t="str">
        <f>"大東中央公園交番"</f>
        <v>大東中央公園交番</v>
      </c>
      <c r="K8050" s="8" t="str">
        <f>"軽量鉄骨造"</f>
        <v>軽量鉄骨造</v>
      </c>
      <c r="L8050" s="8" t="str">
        <f>"R05.02.17"</f>
        <v>R05.02.17</v>
      </c>
      <c r="M8050" s="8">
        <v>49.41</v>
      </c>
      <c r="N8050" s="8">
        <v>33607826</v>
      </c>
      <c r="O8050" s="8">
        <v>109097</v>
      </c>
      <c r="P8050" s="8">
        <v>0</v>
      </c>
      <c r="Q8050" s="8" t="str">
        <f t="shared" si="2830"/>
        <v>公安委員会</v>
      </c>
      <c r="R8050" s="8" t="str">
        <f t="shared" si="2843"/>
        <v>四條畷警察署</v>
      </c>
    </row>
    <row r="8051" spans="1:18" x14ac:dyDescent="0.45">
      <c r="A8051" s="8" t="str">
        <f t="shared" ref="A8051:A8058" si="2845">"11569000000"</f>
        <v>11569000000</v>
      </c>
      <c r="B8051" s="8" t="str">
        <f t="shared" ref="B8051:B8058" si="2846">"門真警察署"</f>
        <v>門真警察署</v>
      </c>
      <c r="C8051" s="8" t="str">
        <f t="shared" si="2831"/>
        <v>行政財産</v>
      </c>
      <c r="D8051" s="8" t="str">
        <f t="shared" si="2832"/>
        <v>警察（消防）施設</v>
      </c>
      <c r="E8051" s="8" t="str">
        <f t="shared" ref="E8051:E8058" si="2847">"大阪府門真市柳町"</f>
        <v>大阪府門真市柳町</v>
      </c>
      <c r="F8051" s="8"/>
      <c r="G8051" s="8" t="str">
        <f t="shared" si="2839"/>
        <v>事業用資産</v>
      </c>
      <c r="H8051" s="8" t="str">
        <f t="shared" si="2834"/>
        <v>棚卸以外</v>
      </c>
      <c r="I8051" s="8">
        <v>1</v>
      </c>
      <c r="J8051" s="8" t="str">
        <f>"庁舎"</f>
        <v>庁舎</v>
      </c>
      <c r="K8051" s="8" t="str">
        <f>"鉄筋コンクリート造"</f>
        <v>鉄筋コンクリート造</v>
      </c>
      <c r="L8051" s="8" t="str">
        <f>"S52.02.28"</f>
        <v>S52.02.28</v>
      </c>
      <c r="M8051" s="8">
        <v>2688.23</v>
      </c>
      <c r="N8051" s="8">
        <v>569134526</v>
      </c>
      <c r="O8051" s="8">
        <v>467820275</v>
      </c>
      <c r="P8051" s="8">
        <v>0</v>
      </c>
      <c r="Q8051" s="8" t="str">
        <f t="shared" ref="Q8051:Q8114" si="2848">"公安委員会"</f>
        <v>公安委員会</v>
      </c>
      <c r="R8051" s="8" t="str">
        <f t="shared" ref="R8051:R8068" si="2849">"門真警察署"</f>
        <v>門真警察署</v>
      </c>
    </row>
    <row r="8052" spans="1:18" x14ac:dyDescent="0.45">
      <c r="A8052" s="8" t="str">
        <f t="shared" si="2845"/>
        <v>11569000000</v>
      </c>
      <c r="B8052" s="8" t="str">
        <f t="shared" si="2846"/>
        <v>門真警察署</v>
      </c>
      <c r="C8052" s="8" t="str">
        <f t="shared" si="2831"/>
        <v>行政財産</v>
      </c>
      <c r="D8052" s="8" t="str">
        <f t="shared" si="2832"/>
        <v>警察（消防）施設</v>
      </c>
      <c r="E8052" s="8" t="str">
        <f t="shared" si="2847"/>
        <v>大阪府門真市柳町</v>
      </c>
      <c r="F8052" s="8"/>
      <c r="G8052" s="8" t="str">
        <f t="shared" si="2839"/>
        <v>事業用資産</v>
      </c>
      <c r="H8052" s="8" t="str">
        <f t="shared" si="2834"/>
        <v>棚卸以外</v>
      </c>
      <c r="I8052" s="8">
        <v>2</v>
      </c>
      <c r="J8052" s="8" t="str">
        <f>"署長公舎"</f>
        <v>署長公舎</v>
      </c>
      <c r="K8052" s="8" t="str">
        <f>"木造"</f>
        <v>木造</v>
      </c>
      <c r="L8052" s="8" t="str">
        <f>"S52.02.28"</f>
        <v>S52.02.28</v>
      </c>
      <c r="M8052" s="8">
        <v>87.07</v>
      </c>
      <c r="N8052" s="8">
        <v>14535736</v>
      </c>
      <c r="O8052" s="8">
        <v>14389609</v>
      </c>
      <c r="P8052" s="8">
        <v>0</v>
      </c>
      <c r="Q8052" s="8" t="str">
        <f t="shared" si="2848"/>
        <v>公安委員会</v>
      </c>
      <c r="R8052" s="8" t="str">
        <f t="shared" si="2849"/>
        <v>門真警察署</v>
      </c>
    </row>
    <row r="8053" spans="1:18" x14ac:dyDescent="0.45">
      <c r="A8053" s="8" t="str">
        <f t="shared" si="2845"/>
        <v>11569000000</v>
      </c>
      <c r="B8053" s="8" t="str">
        <f t="shared" si="2846"/>
        <v>門真警察署</v>
      </c>
      <c r="C8053" s="8" t="str">
        <f t="shared" si="2831"/>
        <v>行政財産</v>
      </c>
      <c r="D8053" s="8" t="str">
        <f t="shared" si="2832"/>
        <v>警察（消防）施設</v>
      </c>
      <c r="E8053" s="8" t="str">
        <f t="shared" si="2847"/>
        <v>大阪府門真市柳町</v>
      </c>
      <c r="F8053" s="8"/>
      <c r="G8053" s="8" t="str">
        <f t="shared" si="2839"/>
        <v>事業用資産</v>
      </c>
      <c r="H8053" s="8" t="str">
        <f t="shared" si="2834"/>
        <v>棚卸以外</v>
      </c>
      <c r="I8053" s="8">
        <v>3</v>
      </c>
      <c r="J8053" s="8" t="str">
        <f>"車庫"</f>
        <v>車庫</v>
      </c>
      <c r="K8053" s="8" t="str">
        <f>"鉄骨造"</f>
        <v>鉄骨造</v>
      </c>
      <c r="L8053" s="8" t="str">
        <f>"S52.02.28"</f>
        <v>S52.02.28</v>
      </c>
      <c r="M8053" s="8">
        <v>110</v>
      </c>
      <c r="N8053" s="8">
        <v>5341000</v>
      </c>
      <c r="O8053" s="8">
        <v>5340999</v>
      </c>
      <c r="P8053" s="8">
        <v>0</v>
      </c>
      <c r="Q8053" s="8" t="str">
        <f t="shared" si="2848"/>
        <v>公安委員会</v>
      </c>
      <c r="R8053" s="8" t="str">
        <f t="shared" si="2849"/>
        <v>門真警察署</v>
      </c>
    </row>
    <row r="8054" spans="1:18" x14ac:dyDescent="0.45">
      <c r="A8054" s="8" t="str">
        <f t="shared" si="2845"/>
        <v>11569000000</v>
      </c>
      <c r="B8054" s="8" t="str">
        <f t="shared" si="2846"/>
        <v>門真警察署</v>
      </c>
      <c r="C8054" s="8" t="str">
        <f t="shared" ref="C8054:C8117" si="2850">"行政財産"</f>
        <v>行政財産</v>
      </c>
      <c r="D8054" s="8" t="str">
        <f t="shared" si="2832"/>
        <v>警察（消防）施設</v>
      </c>
      <c r="E8054" s="8" t="str">
        <f t="shared" si="2847"/>
        <v>大阪府門真市柳町</v>
      </c>
      <c r="F8054" s="8"/>
      <c r="G8054" s="8" t="str">
        <f t="shared" si="2839"/>
        <v>事業用資産</v>
      </c>
      <c r="H8054" s="8" t="str">
        <f t="shared" si="2834"/>
        <v>棚卸以外</v>
      </c>
      <c r="I8054" s="8">
        <v>4</v>
      </c>
      <c r="J8054" s="8" t="str">
        <f>"車庫及び倉庫"</f>
        <v>車庫及び倉庫</v>
      </c>
      <c r="K8054" s="8" t="str">
        <f>"鉄骨造"</f>
        <v>鉄骨造</v>
      </c>
      <c r="L8054" s="8" t="str">
        <f>"S52.02.28"</f>
        <v>S52.02.28</v>
      </c>
      <c r="M8054" s="8">
        <v>137.5</v>
      </c>
      <c r="N8054" s="8">
        <v>9439400</v>
      </c>
      <c r="O8054" s="8">
        <v>9339067</v>
      </c>
      <c r="P8054" s="8">
        <v>0</v>
      </c>
      <c r="Q8054" s="8" t="str">
        <f t="shared" si="2848"/>
        <v>公安委員会</v>
      </c>
      <c r="R8054" s="8" t="str">
        <f t="shared" si="2849"/>
        <v>門真警察署</v>
      </c>
    </row>
    <row r="8055" spans="1:18" x14ac:dyDescent="0.45">
      <c r="A8055" s="8" t="str">
        <f t="shared" si="2845"/>
        <v>11569000000</v>
      </c>
      <c r="B8055" s="8" t="str">
        <f t="shared" si="2846"/>
        <v>門真警察署</v>
      </c>
      <c r="C8055" s="8" t="str">
        <f t="shared" si="2850"/>
        <v>行政財産</v>
      </c>
      <c r="D8055" s="8" t="str">
        <f t="shared" si="2832"/>
        <v>警察（消防）施設</v>
      </c>
      <c r="E8055" s="8" t="str">
        <f t="shared" si="2847"/>
        <v>大阪府門真市柳町</v>
      </c>
      <c r="F8055" s="8"/>
      <c r="G8055" s="8" t="str">
        <f t="shared" si="2839"/>
        <v>事業用資産</v>
      </c>
      <c r="H8055" s="8" t="str">
        <f t="shared" si="2834"/>
        <v>棚卸以外</v>
      </c>
      <c r="I8055" s="8">
        <v>5</v>
      </c>
      <c r="J8055" s="8" t="str">
        <f>"大型車庫及び倉庫"</f>
        <v>大型車庫及び倉庫</v>
      </c>
      <c r="K8055" s="8" t="str">
        <f>"鉄骨造"</f>
        <v>鉄骨造</v>
      </c>
      <c r="L8055" s="8" t="str">
        <f>"S52.02.28"</f>
        <v>S52.02.28</v>
      </c>
      <c r="M8055" s="8">
        <v>99</v>
      </c>
      <c r="N8055" s="8">
        <v>7439028</v>
      </c>
      <c r="O8055" s="8">
        <v>7282211</v>
      </c>
      <c r="P8055" s="8">
        <v>0</v>
      </c>
      <c r="Q8055" s="8" t="str">
        <f t="shared" si="2848"/>
        <v>公安委員会</v>
      </c>
      <c r="R8055" s="8" t="str">
        <f t="shared" si="2849"/>
        <v>門真警察署</v>
      </c>
    </row>
    <row r="8056" spans="1:18" x14ac:dyDescent="0.45">
      <c r="A8056" s="8" t="str">
        <f t="shared" si="2845"/>
        <v>11569000000</v>
      </c>
      <c r="B8056" s="8" t="str">
        <f t="shared" si="2846"/>
        <v>門真警察署</v>
      </c>
      <c r="C8056" s="8" t="str">
        <f t="shared" si="2850"/>
        <v>行政財産</v>
      </c>
      <c r="D8056" s="8" t="str">
        <f t="shared" si="2832"/>
        <v>警察（消防）施設</v>
      </c>
      <c r="E8056" s="8" t="str">
        <f t="shared" si="2847"/>
        <v>大阪府門真市柳町</v>
      </c>
      <c r="F8056" s="8"/>
      <c r="G8056" s="8" t="str">
        <f t="shared" si="2839"/>
        <v>事業用資産</v>
      </c>
      <c r="H8056" s="8" t="str">
        <f t="shared" si="2834"/>
        <v>棚卸以外</v>
      </c>
      <c r="I8056" s="8">
        <v>7</v>
      </c>
      <c r="J8056" s="8" t="str">
        <f>"霊安室"</f>
        <v>霊安室</v>
      </c>
      <c r="K8056" s="8" t="str">
        <f>"木造"</f>
        <v>木造</v>
      </c>
      <c r="L8056" s="8" t="str">
        <f>"S61.08.20"</f>
        <v>S61.08.20</v>
      </c>
      <c r="M8056" s="8">
        <v>9.9700000000000006</v>
      </c>
      <c r="N8056" s="8">
        <v>1137148</v>
      </c>
      <c r="O8056" s="8">
        <v>1023591</v>
      </c>
      <c r="P8056" s="8">
        <v>0</v>
      </c>
      <c r="Q8056" s="8" t="str">
        <f t="shared" si="2848"/>
        <v>公安委員会</v>
      </c>
      <c r="R8056" s="8" t="str">
        <f t="shared" si="2849"/>
        <v>門真警察署</v>
      </c>
    </row>
    <row r="8057" spans="1:18" x14ac:dyDescent="0.45">
      <c r="A8057" s="8" t="str">
        <f t="shared" si="2845"/>
        <v>11569000000</v>
      </c>
      <c r="B8057" s="8" t="str">
        <f t="shared" si="2846"/>
        <v>門真警察署</v>
      </c>
      <c r="C8057" s="8" t="str">
        <f t="shared" si="2850"/>
        <v>行政財産</v>
      </c>
      <c r="D8057" s="8" t="str">
        <f t="shared" si="2832"/>
        <v>警察（消防）施設</v>
      </c>
      <c r="E8057" s="8" t="str">
        <f t="shared" si="2847"/>
        <v>大阪府門真市柳町</v>
      </c>
      <c r="F8057" s="8"/>
      <c r="G8057" s="8" t="str">
        <f t="shared" si="2839"/>
        <v>事業用資産</v>
      </c>
      <c r="H8057" s="8" t="str">
        <f t="shared" si="2834"/>
        <v>棚卸以外</v>
      </c>
      <c r="I8057" s="8">
        <v>8</v>
      </c>
      <c r="J8057" s="8" t="str">
        <f>"ゴミ置場"</f>
        <v>ゴミ置場</v>
      </c>
      <c r="K8057" s="8" t="str">
        <f>"コンクリートブロック造"</f>
        <v>コンクリートブロック造</v>
      </c>
      <c r="L8057" s="8" t="str">
        <f>"S57.02.22"</f>
        <v>S57.02.22</v>
      </c>
      <c r="M8057" s="8">
        <v>2.8</v>
      </c>
      <c r="N8057" s="8">
        <v>162000</v>
      </c>
      <c r="O8057" s="8">
        <v>161999</v>
      </c>
      <c r="P8057" s="8">
        <v>0</v>
      </c>
      <c r="Q8057" s="8" t="str">
        <f t="shared" si="2848"/>
        <v>公安委員会</v>
      </c>
      <c r="R8057" s="8" t="str">
        <f t="shared" si="2849"/>
        <v>門真警察署</v>
      </c>
    </row>
    <row r="8058" spans="1:18" x14ac:dyDescent="0.45">
      <c r="A8058" s="8" t="str">
        <f t="shared" si="2845"/>
        <v>11569000000</v>
      </c>
      <c r="B8058" s="8" t="str">
        <f t="shared" si="2846"/>
        <v>門真警察署</v>
      </c>
      <c r="C8058" s="8" t="str">
        <f t="shared" si="2850"/>
        <v>行政財産</v>
      </c>
      <c r="D8058" s="8" t="str">
        <f t="shared" si="2832"/>
        <v>警察（消防）施設</v>
      </c>
      <c r="E8058" s="8" t="str">
        <f t="shared" si="2847"/>
        <v>大阪府門真市柳町</v>
      </c>
      <c r="F8058" s="8"/>
      <c r="G8058" s="8" t="str">
        <f t="shared" si="2839"/>
        <v>事業用資産</v>
      </c>
      <c r="H8058" s="8" t="str">
        <f t="shared" si="2834"/>
        <v>棚卸以外</v>
      </c>
      <c r="I8058" s="8">
        <v>9</v>
      </c>
      <c r="J8058" s="8" t="str">
        <f>"ガスメーター小屋"</f>
        <v>ガスメーター小屋</v>
      </c>
      <c r="K8058" s="8" t="str">
        <f>"土蔵造(簡易建物)"</f>
        <v>土蔵造(簡易建物)</v>
      </c>
      <c r="L8058" s="8" t="str">
        <f>"S52.02.28"</f>
        <v>S52.02.28</v>
      </c>
      <c r="M8058" s="8">
        <v>7</v>
      </c>
      <c r="N8058" s="8">
        <v>138347</v>
      </c>
      <c r="O8058" s="8">
        <v>138346</v>
      </c>
      <c r="P8058" s="8">
        <v>0</v>
      </c>
      <c r="Q8058" s="8" t="str">
        <f t="shared" si="2848"/>
        <v>公安委員会</v>
      </c>
      <c r="R8058" s="8" t="str">
        <f t="shared" si="2849"/>
        <v>門真警察署</v>
      </c>
    </row>
    <row r="8059" spans="1:18" x14ac:dyDescent="0.45">
      <c r="A8059" s="8" t="str">
        <f>"11569000110"</f>
        <v>11569000110</v>
      </c>
      <c r="B8059" s="8" t="str">
        <f>"千石交番"</f>
        <v>千石交番</v>
      </c>
      <c r="C8059" s="8" t="str">
        <f t="shared" si="2850"/>
        <v>行政財産</v>
      </c>
      <c r="D8059" s="8" t="str">
        <f t="shared" si="2832"/>
        <v>警察（消防）施設</v>
      </c>
      <c r="E8059" s="8" t="str">
        <f>"大阪府門真市千石東町"</f>
        <v>大阪府門真市千石東町</v>
      </c>
      <c r="F8059" s="8"/>
      <c r="G8059" s="8" t="str">
        <f t="shared" si="2839"/>
        <v>事業用資産</v>
      </c>
      <c r="H8059" s="8" t="str">
        <f t="shared" si="2834"/>
        <v>棚卸以外</v>
      </c>
      <c r="I8059" s="8">
        <v>1</v>
      </c>
      <c r="J8059" s="8" t="str">
        <f>"千石交番"</f>
        <v>千石交番</v>
      </c>
      <c r="K8059" s="8" t="str">
        <f>"鉄筋コンクリート造"</f>
        <v>鉄筋コンクリート造</v>
      </c>
      <c r="L8059" s="8" t="str">
        <f>"S43.12.24"</f>
        <v>S43.12.24</v>
      </c>
      <c r="M8059" s="8">
        <v>27.74</v>
      </c>
      <c r="N8059" s="8">
        <v>2012100</v>
      </c>
      <c r="O8059" s="8">
        <v>1968254</v>
      </c>
      <c r="P8059" s="8">
        <v>0</v>
      </c>
      <c r="Q8059" s="8" t="str">
        <f t="shared" si="2848"/>
        <v>公安委員会</v>
      </c>
      <c r="R8059" s="8" t="str">
        <f t="shared" si="2849"/>
        <v>門真警察署</v>
      </c>
    </row>
    <row r="8060" spans="1:18" x14ac:dyDescent="0.45">
      <c r="A8060" s="8" t="str">
        <f>"11569000120"</f>
        <v>11569000120</v>
      </c>
      <c r="B8060" s="8" t="str">
        <f>"南野口町交番"</f>
        <v>南野口町交番</v>
      </c>
      <c r="C8060" s="8" t="str">
        <f t="shared" si="2850"/>
        <v>行政財産</v>
      </c>
      <c r="D8060" s="8" t="str">
        <f t="shared" ref="D8060:D8123" si="2851">"警察（消防）施設"</f>
        <v>警察（消防）施設</v>
      </c>
      <c r="E8060" s="8" t="str">
        <f>"大阪府門真市南野口町"</f>
        <v>大阪府門真市南野口町</v>
      </c>
      <c r="F8060" s="8"/>
      <c r="G8060" s="8" t="str">
        <f t="shared" si="2839"/>
        <v>事業用資産</v>
      </c>
      <c r="H8060" s="8" t="str">
        <f t="shared" si="2834"/>
        <v>棚卸以外</v>
      </c>
      <c r="I8060" s="8">
        <v>1</v>
      </c>
      <c r="J8060" s="8" t="str">
        <f>"南野口町交番"</f>
        <v>南野口町交番</v>
      </c>
      <c r="K8060" s="8" t="str">
        <f>"鉄筋コンクリート造"</f>
        <v>鉄筋コンクリート造</v>
      </c>
      <c r="L8060" s="8" t="str">
        <f>"S46.03.31"</f>
        <v>S46.03.31</v>
      </c>
      <c r="M8060" s="8">
        <v>102.05</v>
      </c>
      <c r="N8060" s="8">
        <v>6923100</v>
      </c>
      <c r="O8060" s="8">
        <v>6879254</v>
      </c>
      <c r="P8060" s="8">
        <v>0</v>
      </c>
      <c r="Q8060" s="8" t="str">
        <f t="shared" si="2848"/>
        <v>公安委員会</v>
      </c>
      <c r="R8060" s="8" t="str">
        <f t="shared" si="2849"/>
        <v>門真警察署</v>
      </c>
    </row>
    <row r="8061" spans="1:18" x14ac:dyDescent="0.45">
      <c r="A8061" s="8" t="str">
        <f>"11569000130"</f>
        <v>11569000130</v>
      </c>
      <c r="B8061" s="8" t="str">
        <f>"新橋町交番"</f>
        <v>新橋町交番</v>
      </c>
      <c r="C8061" s="8" t="str">
        <f t="shared" si="2850"/>
        <v>行政財産</v>
      </c>
      <c r="D8061" s="8" t="str">
        <f t="shared" si="2851"/>
        <v>警察（消防）施設</v>
      </c>
      <c r="E8061" s="8" t="str">
        <f>"大阪府門真市新橋町"</f>
        <v>大阪府門真市新橋町</v>
      </c>
      <c r="F8061" s="8"/>
      <c r="G8061" s="8" t="str">
        <f t="shared" si="2839"/>
        <v>事業用資産</v>
      </c>
      <c r="H8061" s="8" t="str">
        <f t="shared" si="2834"/>
        <v>棚卸以外</v>
      </c>
      <c r="I8061" s="8">
        <v>1</v>
      </c>
      <c r="J8061" s="8" t="str">
        <f>"新橋町交番"</f>
        <v>新橋町交番</v>
      </c>
      <c r="K8061" s="8" t="str">
        <f>"鉄筋コンクリート造"</f>
        <v>鉄筋コンクリート造</v>
      </c>
      <c r="L8061" s="8" t="str">
        <f>"S47.03.29"</f>
        <v>S47.03.29</v>
      </c>
      <c r="M8061" s="8">
        <v>127.31</v>
      </c>
      <c r="N8061" s="8">
        <v>8236822</v>
      </c>
      <c r="O8061" s="8">
        <v>8189800</v>
      </c>
      <c r="P8061" s="8">
        <v>0</v>
      </c>
      <c r="Q8061" s="8" t="str">
        <f t="shared" si="2848"/>
        <v>公安委員会</v>
      </c>
      <c r="R8061" s="8" t="str">
        <f t="shared" si="2849"/>
        <v>門真警察署</v>
      </c>
    </row>
    <row r="8062" spans="1:18" x14ac:dyDescent="0.45">
      <c r="A8062" s="8" t="str">
        <f>"11569000150"</f>
        <v>11569000150</v>
      </c>
      <c r="B8062" s="8" t="str">
        <f>"元町交番"</f>
        <v>元町交番</v>
      </c>
      <c r="C8062" s="8" t="str">
        <f t="shared" si="2850"/>
        <v>行政財産</v>
      </c>
      <c r="D8062" s="8" t="str">
        <f t="shared" si="2851"/>
        <v>警察（消防）施設</v>
      </c>
      <c r="E8062" s="8" t="str">
        <f>"大阪府門真市元町"</f>
        <v>大阪府門真市元町</v>
      </c>
      <c r="F8062" s="8"/>
      <c r="G8062" s="8" t="str">
        <f t="shared" si="2839"/>
        <v>事業用資産</v>
      </c>
      <c r="H8062" s="8" t="str">
        <f t="shared" si="2834"/>
        <v>棚卸以外</v>
      </c>
      <c r="I8062" s="8">
        <v>1</v>
      </c>
      <c r="J8062" s="8" t="str">
        <f>"元町交番"</f>
        <v>元町交番</v>
      </c>
      <c r="K8062" s="8" t="str">
        <f>"鉄筋コンクリート造"</f>
        <v>鉄筋コンクリート造</v>
      </c>
      <c r="L8062" s="8" t="str">
        <f>"S55.02.25"</f>
        <v>S55.02.25</v>
      </c>
      <c r="M8062" s="8">
        <v>54</v>
      </c>
      <c r="N8062" s="8">
        <v>10597239</v>
      </c>
      <c r="O8062" s="8">
        <v>9068572</v>
      </c>
      <c r="P8062" s="8">
        <v>0</v>
      </c>
      <c r="Q8062" s="8" t="str">
        <f t="shared" si="2848"/>
        <v>公安委員会</v>
      </c>
      <c r="R8062" s="8" t="str">
        <f t="shared" si="2849"/>
        <v>門真警察署</v>
      </c>
    </row>
    <row r="8063" spans="1:18" x14ac:dyDescent="0.45">
      <c r="A8063" s="8" t="str">
        <f>"11569000160"</f>
        <v>11569000160</v>
      </c>
      <c r="B8063" s="8" t="str">
        <f>"大和田駅前交番"</f>
        <v>大和田駅前交番</v>
      </c>
      <c r="C8063" s="8" t="str">
        <f t="shared" si="2850"/>
        <v>行政財産</v>
      </c>
      <c r="D8063" s="8" t="str">
        <f t="shared" si="2851"/>
        <v>警察（消防）施設</v>
      </c>
      <c r="E8063" s="8" t="str">
        <f>"大阪府門真市野里町"</f>
        <v>大阪府門真市野里町</v>
      </c>
      <c r="F8063" s="8"/>
      <c r="G8063" s="8" t="str">
        <f t="shared" si="2839"/>
        <v>事業用資産</v>
      </c>
      <c r="H8063" s="8" t="str">
        <f t="shared" si="2834"/>
        <v>棚卸以外</v>
      </c>
      <c r="I8063" s="8">
        <v>1</v>
      </c>
      <c r="J8063" s="8" t="str">
        <f>"大和田駅前交番"</f>
        <v>大和田駅前交番</v>
      </c>
      <c r="K8063" s="8" t="str">
        <f>"軽量鉄骨造"</f>
        <v>軽量鉄骨造</v>
      </c>
      <c r="L8063" s="8" t="str">
        <f>"S59.12.14"</f>
        <v>S59.12.14</v>
      </c>
      <c r="M8063" s="8">
        <v>54</v>
      </c>
      <c r="N8063" s="8">
        <v>14455100</v>
      </c>
      <c r="O8063" s="8">
        <v>14411254</v>
      </c>
      <c r="P8063" s="8">
        <v>0</v>
      </c>
      <c r="Q8063" s="8" t="str">
        <f t="shared" si="2848"/>
        <v>公安委員会</v>
      </c>
      <c r="R8063" s="8" t="str">
        <f t="shared" si="2849"/>
        <v>門真警察署</v>
      </c>
    </row>
    <row r="8064" spans="1:18" x14ac:dyDescent="0.45">
      <c r="A8064" s="8" t="str">
        <f>"11569000160"</f>
        <v>11569000160</v>
      </c>
      <c r="B8064" s="8" t="str">
        <f>"大和田駅前交番"</f>
        <v>大和田駅前交番</v>
      </c>
      <c r="C8064" s="8" t="str">
        <f t="shared" si="2850"/>
        <v>行政財産</v>
      </c>
      <c r="D8064" s="8" t="str">
        <f t="shared" si="2851"/>
        <v>警察（消防）施設</v>
      </c>
      <c r="E8064" s="8" t="str">
        <f>"大阪府門真市野里町"</f>
        <v>大阪府門真市野里町</v>
      </c>
      <c r="F8064" s="8"/>
      <c r="G8064" s="8" t="str">
        <f t="shared" si="2839"/>
        <v>事業用資産</v>
      </c>
      <c r="H8064" s="8" t="str">
        <f t="shared" si="2834"/>
        <v>棚卸以外</v>
      </c>
      <c r="I8064" s="8">
        <v>2</v>
      </c>
      <c r="J8064" s="8" t="str">
        <f>"自転車置場"</f>
        <v>自転車置場</v>
      </c>
      <c r="K8064" s="8" t="str">
        <f>"軽量鉄骨造"</f>
        <v>軽量鉄骨造</v>
      </c>
      <c r="L8064" s="8" t="str">
        <f>"S59.12.14"</f>
        <v>S59.12.14</v>
      </c>
      <c r="M8064" s="8">
        <v>5.43</v>
      </c>
      <c r="N8064" s="8">
        <v>185000</v>
      </c>
      <c r="O8064" s="8">
        <v>184999</v>
      </c>
      <c r="P8064" s="8">
        <v>0</v>
      </c>
      <c r="Q8064" s="8" t="str">
        <f t="shared" si="2848"/>
        <v>公安委員会</v>
      </c>
      <c r="R8064" s="8" t="str">
        <f t="shared" si="2849"/>
        <v>門真警察署</v>
      </c>
    </row>
    <row r="8065" spans="1:18" x14ac:dyDescent="0.45">
      <c r="A8065" s="8" t="str">
        <f>"11569000170"</f>
        <v>11569000170</v>
      </c>
      <c r="B8065" s="8" t="str">
        <f>"古川橋交番"</f>
        <v>古川橋交番</v>
      </c>
      <c r="C8065" s="8" t="str">
        <f t="shared" si="2850"/>
        <v>行政財産</v>
      </c>
      <c r="D8065" s="8" t="str">
        <f t="shared" si="2851"/>
        <v>警察（消防）施設</v>
      </c>
      <c r="E8065" s="8" t="str">
        <f>"大阪府門真市幸福町"</f>
        <v>大阪府門真市幸福町</v>
      </c>
      <c r="F8065" s="8"/>
      <c r="G8065" s="8" t="str">
        <f t="shared" si="2839"/>
        <v>事業用資産</v>
      </c>
      <c r="H8065" s="8" t="str">
        <f t="shared" si="2834"/>
        <v>棚卸以外</v>
      </c>
      <c r="I8065" s="8">
        <v>1</v>
      </c>
      <c r="J8065" s="8" t="str">
        <f>"古川橋交番"</f>
        <v>古川橋交番</v>
      </c>
      <c r="K8065" s="8" t="str">
        <f>"鉄筋コンクリート造"</f>
        <v>鉄筋コンクリート造</v>
      </c>
      <c r="L8065" s="8" t="str">
        <f>"S61.11.14"</f>
        <v>S61.11.14</v>
      </c>
      <c r="M8065" s="8">
        <v>54.48</v>
      </c>
      <c r="N8065" s="8">
        <v>15328908</v>
      </c>
      <c r="O8065" s="8">
        <v>11116102</v>
      </c>
      <c r="P8065" s="8">
        <v>0</v>
      </c>
      <c r="Q8065" s="8" t="str">
        <f t="shared" si="2848"/>
        <v>公安委員会</v>
      </c>
      <c r="R8065" s="8" t="str">
        <f t="shared" si="2849"/>
        <v>門真警察署</v>
      </c>
    </row>
    <row r="8066" spans="1:18" x14ac:dyDescent="0.45">
      <c r="A8066" s="8" t="str">
        <f>"11569000180"</f>
        <v>11569000180</v>
      </c>
      <c r="B8066" s="8" t="str">
        <f>"堂山町交番"</f>
        <v>堂山町交番</v>
      </c>
      <c r="C8066" s="8" t="str">
        <f t="shared" si="2850"/>
        <v>行政財産</v>
      </c>
      <c r="D8066" s="8" t="str">
        <f t="shared" si="2851"/>
        <v>警察（消防）施設</v>
      </c>
      <c r="E8066" s="8" t="str">
        <f>"大阪府門真市堂山町"</f>
        <v>大阪府門真市堂山町</v>
      </c>
      <c r="F8066" s="8"/>
      <c r="G8066" s="8" t="str">
        <f t="shared" si="2839"/>
        <v>事業用資産</v>
      </c>
      <c r="H8066" s="8" t="str">
        <f t="shared" si="2834"/>
        <v>棚卸以外</v>
      </c>
      <c r="I8066" s="8">
        <v>1</v>
      </c>
      <c r="J8066" s="8" t="str">
        <f>"堂山町交番"</f>
        <v>堂山町交番</v>
      </c>
      <c r="K8066" s="8" t="str">
        <f>"鉄骨造"</f>
        <v>鉄骨造</v>
      </c>
      <c r="L8066" s="8" t="str">
        <f>"H20.02.22"</f>
        <v>H20.02.22</v>
      </c>
      <c r="M8066" s="8">
        <v>53.11</v>
      </c>
      <c r="N8066" s="8">
        <v>14542100</v>
      </c>
      <c r="O8066" s="8">
        <v>5755607</v>
      </c>
      <c r="P8066" s="8">
        <v>0</v>
      </c>
      <c r="Q8066" s="8" t="str">
        <f t="shared" si="2848"/>
        <v>公安委員会</v>
      </c>
      <c r="R8066" s="8" t="str">
        <f t="shared" si="2849"/>
        <v>門真警察署</v>
      </c>
    </row>
    <row r="8067" spans="1:18" x14ac:dyDescent="0.45">
      <c r="A8067" s="8" t="str">
        <f>"11569003002"</f>
        <v>11569003002</v>
      </c>
      <c r="B8067" s="8" t="str">
        <f>"門真南駅前交番"</f>
        <v>門真南駅前交番</v>
      </c>
      <c r="C8067" s="8" t="str">
        <f t="shared" si="2850"/>
        <v>行政財産</v>
      </c>
      <c r="D8067" s="8" t="str">
        <f t="shared" si="2851"/>
        <v>警察（消防）施設</v>
      </c>
      <c r="E8067" s="8" t="str">
        <f>"大阪府門真市三ツ島３丁目"</f>
        <v>大阪府門真市三ツ島３丁目</v>
      </c>
      <c r="F8067" s="8"/>
      <c r="G8067" s="8" t="str">
        <f t="shared" si="2839"/>
        <v>事業用資産</v>
      </c>
      <c r="H8067" s="8" t="str">
        <f t="shared" si="2834"/>
        <v>棚卸以外</v>
      </c>
      <c r="I8067" s="8">
        <v>1</v>
      </c>
      <c r="J8067" s="8" t="str">
        <f>"門真南駅前交番"</f>
        <v>門真南駅前交番</v>
      </c>
      <c r="K8067" s="8" t="str">
        <f>"軽量鉄骨造"</f>
        <v>軽量鉄骨造</v>
      </c>
      <c r="L8067" s="8" t="str">
        <f>"R01.12.16"</f>
        <v>R01.12.16</v>
      </c>
      <c r="M8067" s="8">
        <v>72.900000000000006</v>
      </c>
      <c r="N8067" s="8">
        <v>38525918</v>
      </c>
      <c r="O8067" s="8">
        <v>5113245</v>
      </c>
      <c r="P8067" s="8">
        <v>0</v>
      </c>
      <c r="Q8067" s="8" t="str">
        <f t="shared" si="2848"/>
        <v>公安委員会</v>
      </c>
      <c r="R8067" s="8" t="str">
        <f t="shared" si="2849"/>
        <v>門真警察署</v>
      </c>
    </row>
    <row r="8068" spans="1:18" x14ac:dyDescent="0.45">
      <c r="A8068" s="8" t="str">
        <f>"11569003002"</f>
        <v>11569003002</v>
      </c>
      <c r="B8068" s="8" t="str">
        <f>"門真南駅前交番"</f>
        <v>門真南駅前交番</v>
      </c>
      <c r="C8068" s="8" t="str">
        <f t="shared" si="2850"/>
        <v>行政財産</v>
      </c>
      <c r="D8068" s="8" t="str">
        <f t="shared" si="2851"/>
        <v>警察（消防）施設</v>
      </c>
      <c r="E8068" s="8" t="str">
        <f>"大阪府門真市三ツ島３丁目"</f>
        <v>大阪府門真市三ツ島３丁目</v>
      </c>
      <c r="F8068" s="8"/>
      <c r="G8068" s="8" t="str">
        <f t="shared" si="2839"/>
        <v>事業用資産</v>
      </c>
      <c r="H8068" s="8" t="str">
        <f t="shared" ref="H8068:H8131" si="2852">"棚卸以外"</f>
        <v>棚卸以外</v>
      </c>
      <c r="I8068" s="8">
        <v>2</v>
      </c>
      <c r="J8068" s="8" t="str">
        <f>"防災倉庫"</f>
        <v>防災倉庫</v>
      </c>
      <c r="K8068" s="8" t="str">
        <f>"軽量鉄骨造"</f>
        <v>軽量鉄骨造</v>
      </c>
      <c r="L8068" s="8" t="str">
        <f>"R01.12.16"</f>
        <v>R01.12.16</v>
      </c>
      <c r="M8068" s="8">
        <v>1.96</v>
      </c>
      <c r="N8068" s="8">
        <v>314437</v>
      </c>
      <c r="O8068" s="8">
        <v>34086</v>
      </c>
      <c r="P8068" s="8">
        <v>0</v>
      </c>
      <c r="Q8068" s="8" t="str">
        <f t="shared" si="2848"/>
        <v>公安委員会</v>
      </c>
      <c r="R8068" s="8" t="str">
        <f t="shared" si="2849"/>
        <v>門真警察署</v>
      </c>
    </row>
    <row r="8069" spans="1:18" x14ac:dyDescent="0.45">
      <c r="A8069" s="8" t="str">
        <f>"11570000180"</f>
        <v>11570000180</v>
      </c>
      <c r="B8069" s="8" t="str">
        <f>"八雲交番"</f>
        <v>八雲交番</v>
      </c>
      <c r="C8069" s="8" t="str">
        <f t="shared" si="2850"/>
        <v>行政財産</v>
      </c>
      <c r="D8069" s="8" t="str">
        <f t="shared" si="2851"/>
        <v>警察（消防）施設</v>
      </c>
      <c r="E8069" s="8" t="str">
        <f>"大阪府守口市八雲西町４丁目"</f>
        <v>大阪府守口市八雲西町４丁目</v>
      </c>
      <c r="F8069" s="8"/>
      <c r="G8069" s="8" t="str">
        <f t="shared" si="2839"/>
        <v>事業用資産</v>
      </c>
      <c r="H8069" s="8" t="str">
        <f t="shared" si="2852"/>
        <v>棚卸以外</v>
      </c>
      <c r="I8069" s="8">
        <v>2</v>
      </c>
      <c r="J8069" s="8" t="str">
        <f>"八雲交番"</f>
        <v>八雲交番</v>
      </c>
      <c r="K8069" s="8" t="str">
        <f>"鉄骨造"</f>
        <v>鉄骨造</v>
      </c>
      <c r="L8069" s="8" t="str">
        <f>"H14.11.27"</f>
        <v>H14.11.27</v>
      </c>
      <c r="M8069" s="8">
        <v>54.4</v>
      </c>
      <c r="N8069" s="8">
        <v>14054525</v>
      </c>
      <c r="O8069" s="8">
        <v>7469921</v>
      </c>
      <c r="P8069" s="8">
        <v>0</v>
      </c>
      <c r="Q8069" s="8" t="str">
        <f t="shared" si="2848"/>
        <v>公安委員会</v>
      </c>
      <c r="R8069" s="8" t="str">
        <f t="shared" ref="R8069:R8077" si="2853">"守口警察署"</f>
        <v>守口警察署</v>
      </c>
    </row>
    <row r="8070" spans="1:18" x14ac:dyDescent="0.45">
      <c r="A8070" s="8" t="str">
        <f>"11570000190"</f>
        <v>11570000190</v>
      </c>
      <c r="B8070" s="8" t="str">
        <f>"北寺方交番"</f>
        <v>北寺方交番</v>
      </c>
      <c r="C8070" s="8" t="str">
        <f t="shared" si="2850"/>
        <v>行政財産</v>
      </c>
      <c r="D8070" s="8" t="str">
        <f t="shared" si="2851"/>
        <v>警察（消防）施設</v>
      </c>
      <c r="E8070" s="8" t="str">
        <f>"大阪府守口市寺方本通２丁目"</f>
        <v>大阪府守口市寺方本通２丁目</v>
      </c>
      <c r="F8070" s="8"/>
      <c r="G8070" s="8" t="str">
        <f t="shared" si="2839"/>
        <v>事業用資産</v>
      </c>
      <c r="H8070" s="8" t="str">
        <f t="shared" si="2852"/>
        <v>棚卸以外</v>
      </c>
      <c r="I8070" s="8">
        <v>2</v>
      </c>
      <c r="J8070" s="8" t="str">
        <f>"北寺方交番"</f>
        <v>北寺方交番</v>
      </c>
      <c r="K8070" s="8" t="str">
        <f>"鉄骨造"</f>
        <v>鉄骨造</v>
      </c>
      <c r="L8070" s="8" t="str">
        <f>"H15.11.12"</f>
        <v>H15.11.12</v>
      </c>
      <c r="M8070" s="8">
        <v>54.45</v>
      </c>
      <c r="N8070" s="8">
        <v>13839592</v>
      </c>
      <c r="O8070" s="8">
        <v>6993720</v>
      </c>
      <c r="P8070" s="8">
        <v>0</v>
      </c>
      <c r="Q8070" s="8" t="str">
        <f t="shared" si="2848"/>
        <v>公安委員会</v>
      </c>
      <c r="R8070" s="8" t="str">
        <f t="shared" si="2853"/>
        <v>守口警察署</v>
      </c>
    </row>
    <row r="8071" spans="1:18" x14ac:dyDescent="0.45">
      <c r="A8071" s="8" t="str">
        <f>"11570000310"</f>
        <v>11570000310</v>
      </c>
      <c r="B8071" s="8" t="str">
        <f>"庭窪交番"</f>
        <v>庭窪交番</v>
      </c>
      <c r="C8071" s="8" t="str">
        <f t="shared" si="2850"/>
        <v>行政財産</v>
      </c>
      <c r="D8071" s="8" t="str">
        <f t="shared" si="2851"/>
        <v>警察（消防）施設</v>
      </c>
      <c r="E8071" s="8" t="str">
        <f>"大阪府守口市佐太中町１丁目"</f>
        <v>大阪府守口市佐太中町１丁目</v>
      </c>
      <c r="F8071" s="8"/>
      <c r="G8071" s="8" t="str">
        <f t="shared" si="2839"/>
        <v>事業用資産</v>
      </c>
      <c r="H8071" s="8" t="str">
        <f t="shared" si="2852"/>
        <v>棚卸以外</v>
      </c>
      <c r="I8071" s="8">
        <v>1</v>
      </c>
      <c r="J8071" s="8" t="str">
        <f>"庭窪交番"</f>
        <v>庭窪交番</v>
      </c>
      <c r="K8071" s="8" t="str">
        <f>"鉄筋コンクリート造"</f>
        <v>鉄筋コンクリート造</v>
      </c>
      <c r="L8071" s="8" t="str">
        <f>"S44.03.31"</f>
        <v>S44.03.31</v>
      </c>
      <c r="M8071" s="8">
        <v>79.430000000000007</v>
      </c>
      <c r="N8071" s="8">
        <v>4307586</v>
      </c>
      <c r="O8071" s="8">
        <v>4198732</v>
      </c>
      <c r="P8071" s="8">
        <v>0</v>
      </c>
      <c r="Q8071" s="8" t="str">
        <f t="shared" si="2848"/>
        <v>公安委員会</v>
      </c>
      <c r="R8071" s="8" t="str">
        <f t="shared" si="2853"/>
        <v>守口警察署</v>
      </c>
    </row>
    <row r="8072" spans="1:18" x14ac:dyDescent="0.45">
      <c r="A8072" s="8" t="str">
        <f>"11570000320"</f>
        <v>11570000320</v>
      </c>
      <c r="B8072" s="8" t="str">
        <f>"大久保交番"</f>
        <v>大久保交番</v>
      </c>
      <c r="C8072" s="8" t="str">
        <f t="shared" si="2850"/>
        <v>行政財産</v>
      </c>
      <c r="D8072" s="8" t="str">
        <f t="shared" si="2851"/>
        <v>警察（消防）施設</v>
      </c>
      <c r="E8072" s="8" t="str">
        <f>"大阪府守口市大久保町４丁目"</f>
        <v>大阪府守口市大久保町４丁目</v>
      </c>
      <c r="F8072" s="8"/>
      <c r="G8072" s="8" t="str">
        <f t="shared" si="2839"/>
        <v>事業用資産</v>
      </c>
      <c r="H8072" s="8" t="str">
        <f t="shared" si="2852"/>
        <v>棚卸以外</v>
      </c>
      <c r="I8072" s="8">
        <v>1</v>
      </c>
      <c r="J8072" s="8" t="str">
        <f>"大久保交番"</f>
        <v>大久保交番</v>
      </c>
      <c r="K8072" s="8" t="str">
        <f>"鉄骨造"</f>
        <v>鉄骨造</v>
      </c>
      <c r="L8072" s="8" t="str">
        <f>"S45.03.31"</f>
        <v>S45.03.31</v>
      </c>
      <c r="M8072" s="8">
        <v>29.39</v>
      </c>
      <c r="N8072" s="8">
        <v>2187324</v>
      </c>
      <c r="O8072" s="8">
        <v>2092021</v>
      </c>
      <c r="P8072" s="8">
        <v>0</v>
      </c>
      <c r="Q8072" s="8" t="str">
        <f t="shared" si="2848"/>
        <v>公安委員会</v>
      </c>
      <c r="R8072" s="8" t="str">
        <f t="shared" si="2853"/>
        <v>守口警察署</v>
      </c>
    </row>
    <row r="8073" spans="1:18" x14ac:dyDescent="0.45">
      <c r="A8073" s="8" t="str">
        <f>"11570000350"</f>
        <v>11570000350</v>
      </c>
      <c r="B8073" s="8" t="str">
        <f>"梅園町交番"</f>
        <v>梅園町交番</v>
      </c>
      <c r="C8073" s="8" t="str">
        <f t="shared" si="2850"/>
        <v>行政財産</v>
      </c>
      <c r="D8073" s="8" t="str">
        <f t="shared" si="2851"/>
        <v>警察（消防）施設</v>
      </c>
      <c r="E8073" s="8" t="str">
        <f>"大阪府守口市梅園町"</f>
        <v>大阪府守口市梅園町</v>
      </c>
      <c r="F8073" s="8"/>
      <c r="G8073" s="8" t="str">
        <f t="shared" si="2839"/>
        <v>事業用資産</v>
      </c>
      <c r="H8073" s="8" t="str">
        <f t="shared" si="2852"/>
        <v>棚卸以外</v>
      </c>
      <c r="I8073" s="8">
        <v>1</v>
      </c>
      <c r="J8073" s="8" t="str">
        <f>"梅園町交番"</f>
        <v>梅園町交番</v>
      </c>
      <c r="K8073" s="8" t="str">
        <f>"鉄筋コンクリート造"</f>
        <v>鉄筋コンクリート造</v>
      </c>
      <c r="L8073" s="8" t="str">
        <f>"S50.03.13"</f>
        <v>S50.03.13</v>
      </c>
      <c r="M8073" s="8">
        <v>50.4</v>
      </c>
      <c r="N8073" s="8">
        <v>7660455</v>
      </c>
      <c r="O8073" s="8">
        <v>7258462</v>
      </c>
      <c r="P8073" s="8">
        <v>0</v>
      </c>
      <c r="Q8073" s="8" t="str">
        <f t="shared" si="2848"/>
        <v>公安委員会</v>
      </c>
      <c r="R8073" s="8" t="str">
        <f t="shared" si="2853"/>
        <v>守口警察署</v>
      </c>
    </row>
    <row r="8074" spans="1:18" x14ac:dyDescent="0.45">
      <c r="A8074" s="8" t="str">
        <f>"11570000360"</f>
        <v>11570000360</v>
      </c>
      <c r="B8074" s="8" t="str">
        <f>"守口駅前交番"</f>
        <v>守口駅前交番</v>
      </c>
      <c r="C8074" s="8" t="str">
        <f t="shared" si="2850"/>
        <v>行政財産</v>
      </c>
      <c r="D8074" s="8" t="str">
        <f t="shared" si="2851"/>
        <v>警察（消防）施設</v>
      </c>
      <c r="E8074" s="8" t="str">
        <f>"大阪府守口市河原町"</f>
        <v>大阪府守口市河原町</v>
      </c>
      <c r="F8074" s="8"/>
      <c r="G8074" s="8" t="str">
        <f t="shared" si="2839"/>
        <v>事業用資産</v>
      </c>
      <c r="H8074" s="8" t="str">
        <f t="shared" si="2852"/>
        <v>棚卸以外</v>
      </c>
      <c r="I8074" s="8">
        <v>1</v>
      </c>
      <c r="J8074" s="8" t="str">
        <f>"守口駅前交番"</f>
        <v>守口駅前交番</v>
      </c>
      <c r="K8074" s="8" t="str">
        <f>"鉄筋コンクリート造"</f>
        <v>鉄筋コンクリート造</v>
      </c>
      <c r="L8074" s="8" t="str">
        <f>"S57.11.25"</f>
        <v>S57.11.25</v>
      </c>
      <c r="M8074" s="8">
        <v>76.13</v>
      </c>
      <c r="N8074" s="8">
        <v>10361229</v>
      </c>
      <c r="O8074" s="8">
        <v>8327089</v>
      </c>
      <c r="P8074" s="8">
        <v>0</v>
      </c>
      <c r="Q8074" s="8" t="str">
        <f t="shared" si="2848"/>
        <v>公安委員会</v>
      </c>
      <c r="R8074" s="8" t="str">
        <f t="shared" si="2853"/>
        <v>守口警察署</v>
      </c>
    </row>
    <row r="8075" spans="1:18" x14ac:dyDescent="0.45">
      <c r="A8075" s="8" t="str">
        <f>"11570000370"</f>
        <v>11570000370</v>
      </c>
      <c r="B8075" s="8" t="str">
        <f>"大日交通警察官詰所"</f>
        <v>大日交通警察官詰所</v>
      </c>
      <c r="C8075" s="8" t="str">
        <f t="shared" si="2850"/>
        <v>行政財産</v>
      </c>
      <c r="D8075" s="8" t="str">
        <f t="shared" si="2851"/>
        <v>警察（消防）施設</v>
      </c>
      <c r="E8075" s="8" t="str">
        <f>"大阪府守口市大日東町"</f>
        <v>大阪府守口市大日東町</v>
      </c>
      <c r="F8075" s="8"/>
      <c r="G8075" s="8" t="str">
        <f t="shared" si="2839"/>
        <v>事業用資産</v>
      </c>
      <c r="H8075" s="8" t="str">
        <f t="shared" si="2852"/>
        <v>棚卸以外</v>
      </c>
      <c r="I8075" s="8">
        <v>1</v>
      </c>
      <c r="J8075" s="8" t="str">
        <f>"大日交通警察官詰所"</f>
        <v>大日交通警察官詰所</v>
      </c>
      <c r="K8075" s="8" t="str">
        <f>"鉄骨造"</f>
        <v>鉄骨造</v>
      </c>
      <c r="L8075" s="8" t="str">
        <f>"H09.09.05"</f>
        <v>H09.09.05</v>
      </c>
      <c r="M8075" s="8">
        <v>29.11</v>
      </c>
      <c r="N8075" s="8">
        <v>9357000</v>
      </c>
      <c r="O8075" s="8">
        <v>6279120</v>
      </c>
      <c r="P8075" s="8">
        <v>0</v>
      </c>
      <c r="Q8075" s="8" t="str">
        <f t="shared" si="2848"/>
        <v>公安委員会</v>
      </c>
      <c r="R8075" s="8" t="str">
        <f t="shared" si="2853"/>
        <v>守口警察署</v>
      </c>
    </row>
    <row r="8076" spans="1:18" x14ac:dyDescent="0.45">
      <c r="A8076" s="8" t="str">
        <f>"11570003003"</f>
        <v>11570003003</v>
      </c>
      <c r="B8076" s="8" t="str">
        <f>"大枝交番"</f>
        <v>大枝交番</v>
      </c>
      <c r="C8076" s="8" t="str">
        <f t="shared" si="2850"/>
        <v>行政財産</v>
      </c>
      <c r="D8076" s="8" t="str">
        <f t="shared" si="2851"/>
        <v>警察（消防）施設</v>
      </c>
      <c r="E8076" s="8" t="str">
        <f>"大阪府守口市東光町２丁目"</f>
        <v>大阪府守口市東光町２丁目</v>
      </c>
      <c r="F8076" s="8"/>
      <c r="G8076" s="8" t="str">
        <f t="shared" si="2839"/>
        <v>事業用資産</v>
      </c>
      <c r="H8076" s="8" t="str">
        <f t="shared" si="2852"/>
        <v>棚卸以外</v>
      </c>
      <c r="I8076" s="8">
        <v>1</v>
      </c>
      <c r="J8076" s="8" t="str">
        <f>"大枝交番"</f>
        <v>大枝交番</v>
      </c>
      <c r="K8076" s="8" t="str">
        <f>"鉄筋コンクリート造"</f>
        <v>鉄筋コンクリート造</v>
      </c>
      <c r="L8076" s="8" t="str">
        <f>"R03.03.10"</f>
        <v>R03.03.10</v>
      </c>
      <c r="M8076" s="8">
        <v>64.52</v>
      </c>
      <c r="N8076" s="8">
        <v>23322375</v>
      </c>
      <c r="O8076" s="8">
        <v>1374150</v>
      </c>
      <c r="P8076" s="8">
        <v>0</v>
      </c>
      <c r="Q8076" s="8" t="str">
        <f t="shared" si="2848"/>
        <v>公安委員会</v>
      </c>
      <c r="R8076" s="8" t="str">
        <f t="shared" si="2853"/>
        <v>守口警察署</v>
      </c>
    </row>
    <row r="8077" spans="1:18" ht="26.4" x14ac:dyDescent="0.45">
      <c r="A8077" s="8" t="str">
        <f>"11570003004"</f>
        <v>11570003004</v>
      </c>
      <c r="B8077" s="8" t="str">
        <f>"守口警察署"</f>
        <v>守口警察署</v>
      </c>
      <c r="C8077" s="8" t="str">
        <f t="shared" si="2850"/>
        <v>行政財産</v>
      </c>
      <c r="D8077" s="8" t="str">
        <f t="shared" si="2851"/>
        <v>警察（消防）施設</v>
      </c>
      <c r="E8077" s="8" t="str">
        <f>"大阪府守口市京阪本通２丁目"</f>
        <v>大阪府守口市京阪本通２丁目</v>
      </c>
      <c r="F8077" s="8" t="str">
        <f>"６番１０号"</f>
        <v>６番１０号</v>
      </c>
      <c r="G8077" s="8" t="str">
        <f t="shared" si="2839"/>
        <v>事業用資産</v>
      </c>
      <c r="H8077" s="8" t="str">
        <f t="shared" si="2852"/>
        <v>棚卸以外</v>
      </c>
      <c r="I8077" s="8">
        <v>1</v>
      </c>
      <c r="J8077" s="8" t="str">
        <f>"庁舎"</f>
        <v>庁舎</v>
      </c>
      <c r="K8077" s="8" t="str">
        <f>"鉄骨鉄筋コンクリート造"</f>
        <v>鉄骨鉄筋コンクリート造</v>
      </c>
      <c r="L8077" s="8" t="str">
        <f>"R03.05.31"</f>
        <v>R03.05.31</v>
      </c>
      <c r="M8077" s="8">
        <v>6064.24</v>
      </c>
      <c r="N8077" s="8">
        <v>2934696930</v>
      </c>
      <c r="O8077" s="8">
        <v>180584492</v>
      </c>
      <c r="P8077" s="8">
        <v>0</v>
      </c>
      <c r="Q8077" s="8" t="str">
        <f t="shared" si="2848"/>
        <v>公安委員会</v>
      </c>
      <c r="R8077" s="8" t="str">
        <f t="shared" si="2853"/>
        <v>守口警察署</v>
      </c>
    </row>
    <row r="8078" spans="1:18" ht="26.4" x14ac:dyDescent="0.45">
      <c r="A8078" s="8" t="str">
        <f>"11571000000"</f>
        <v>11571000000</v>
      </c>
      <c r="B8078" s="8" t="str">
        <f>"堺警察署"</f>
        <v>堺警察署</v>
      </c>
      <c r="C8078" s="8" t="str">
        <f t="shared" si="2850"/>
        <v>行政財産</v>
      </c>
      <c r="D8078" s="8" t="str">
        <f t="shared" si="2851"/>
        <v>警察（消防）施設</v>
      </c>
      <c r="E8078" s="8" t="str">
        <f>"大阪府堺市　堺区市之町西１丁"</f>
        <v>大阪府堺市　堺区市之町西１丁</v>
      </c>
      <c r="F8078" s="8"/>
      <c r="G8078" s="8" t="str">
        <f t="shared" si="2839"/>
        <v>事業用資産</v>
      </c>
      <c r="H8078" s="8" t="str">
        <f t="shared" si="2852"/>
        <v>棚卸以外</v>
      </c>
      <c r="I8078" s="8">
        <v>30</v>
      </c>
      <c r="J8078" s="8" t="str">
        <f>"庁舎"</f>
        <v>庁舎</v>
      </c>
      <c r="K8078" s="8" t="str">
        <f>"鉄骨鉄筋コンクリート造"</f>
        <v>鉄骨鉄筋コンクリート造</v>
      </c>
      <c r="L8078" s="8" t="str">
        <f>"H09.03.31"</f>
        <v>H09.03.31</v>
      </c>
      <c r="M8078" s="8">
        <v>4545.8100000000004</v>
      </c>
      <c r="N8078" s="8">
        <v>1615639273</v>
      </c>
      <c r="O8078" s="8">
        <v>817634062</v>
      </c>
      <c r="P8078" s="8">
        <v>0</v>
      </c>
      <c r="Q8078" s="8" t="str">
        <f t="shared" si="2848"/>
        <v>公安委員会</v>
      </c>
      <c r="R8078" s="8" t="str">
        <f t="shared" ref="R8078:R8097" si="2854">"堺警察署"</f>
        <v>堺警察署</v>
      </c>
    </row>
    <row r="8079" spans="1:18" x14ac:dyDescent="0.45">
      <c r="A8079" s="8" t="str">
        <f>"11571000000"</f>
        <v>11571000000</v>
      </c>
      <c r="B8079" s="8" t="str">
        <f>"堺警察署"</f>
        <v>堺警察署</v>
      </c>
      <c r="C8079" s="8" t="str">
        <f t="shared" si="2850"/>
        <v>行政財産</v>
      </c>
      <c r="D8079" s="8" t="str">
        <f t="shared" si="2851"/>
        <v>警察（消防）施設</v>
      </c>
      <c r="E8079" s="8" t="str">
        <f>"大阪府堺市　堺区市之町西１丁"</f>
        <v>大阪府堺市　堺区市之町西１丁</v>
      </c>
      <c r="F8079" s="8"/>
      <c r="G8079" s="8" t="str">
        <f t="shared" si="2839"/>
        <v>事業用資産</v>
      </c>
      <c r="H8079" s="8" t="str">
        <f t="shared" si="2852"/>
        <v>棚卸以外</v>
      </c>
      <c r="I8079" s="8">
        <v>31</v>
      </c>
      <c r="J8079" s="8" t="str">
        <f>"車庫及び倉庫"</f>
        <v>車庫及び倉庫</v>
      </c>
      <c r="K8079" s="8" t="str">
        <f>"鉄骨造"</f>
        <v>鉄骨造</v>
      </c>
      <c r="L8079" s="8" t="str">
        <f>"H10.03.24"</f>
        <v>H10.03.24</v>
      </c>
      <c r="M8079" s="8">
        <v>688.44</v>
      </c>
      <c r="N8079" s="8">
        <v>135811887</v>
      </c>
      <c r="O8079" s="8">
        <v>109160356</v>
      </c>
      <c r="P8079" s="8">
        <v>0</v>
      </c>
      <c r="Q8079" s="8" t="str">
        <f t="shared" si="2848"/>
        <v>公安委員会</v>
      </c>
      <c r="R8079" s="8" t="str">
        <f t="shared" si="2854"/>
        <v>堺警察署</v>
      </c>
    </row>
    <row r="8080" spans="1:18" x14ac:dyDescent="0.45">
      <c r="A8080" s="8" t="str">
        <f>"11571000008"</f>
        <v>11571000008</v>
      </c>
      <c r="B8080" s="8" t="s">
        <v>26</v>
      </c>
      <c r="C8080" s="8" t="str">
        <f t="shared" si="2850"/>
        <v>行政財産</v>
      </c>
      <c r="D8080" s="8" t="str">
        <f t="shared" si="2851"/>
        <v>警察（消防）施設</v>
      </c>
      <c r="E8080" s="8" t="s">
        <v>56</v>
      </c>
      <c r="F8080" s="8"/>
      <c r="G8080" s="8" t="str">
        <f t="shared" si="2839"/>
        <v>事業用資産</v>
      </c>
      <c r="H8080" s="8" t="str">
        <f t="shared" si="2852"/>
        <v>棚卸以外</v>
      </c>
      <c r="I8080" s="8">
        <v>1</v>
      </c>
      <c r="J8080" s="8" t="s">
        <v>26</v>
      </c>
      <c r="K8080" s="8" t="str">
        <f>"鉄筋コンクリート造"</f>
        <v>鉄筋コンクリート造</v>
      </c>
      <c r="L8080" s="8" t="str">
        <f>"H07.12.18"</f>
        <v>H07.12.18</v>
      </c>
      <c r="M8080" s="8">
        <v>83.34</v>
      </c>
      <c r="N8080" s="8">
        <v>20997119</v>
      </c>
      <c r="O8080" s="8">
        <v>12162558</v>
      </c>
      <c r="P8080" s="8">
        <v>0</v>
      </c>
      <c r="Q8080" s="8" t="str">
        <f t="shared" si="2848"/>
        <v>公安委員会</v>
      </c>
      <c r="R8080" s="8" t="str">
        <f t="shared" si="2854"/>
        <v>堺警察署</v>
      </c>
    </row>
    <row r="8081" spans="1:18" x14ac:dyDescent="0.45">
      <c r="A8081" s="8" t="str">
        <f>"11571000010"</f>
        <v>11571000010</v>
      </c>
      <c r="B8081" s="8" t="str">
        <f>"三国ヶ丘駅前交番"</f>
        <v>三国ヶ丘駅前交番</v>
      </c>
      <c r="C8081" s="8" t="str">
        <f t="shared" si="2850"/>
        <v>行政財産</v>
      </c>
      <c r="D8081" s="8" t="str">
        <f t="shared" si="2851"/>
        <v>警察（消防）施設</v>
      </c>
      <c r="E8081" s="8" t="str">
        <f>"大阪府堺市　堺区向陵中町２丁"</f>
        <v>大阪府堺市　堺区向陵中町２丁</v>
      </c>
      <c r="F8081" s="8"/>
      <c r="G8081" s="8" t="str">
        <f t="shared" si="2839"/>
        <v>事業用資産</v>
      </c>
      <c r="H8081" s="8" t="str">
        <f t="shared" si="2852"/>
        <v>棚卸以外</v>
      </c>
      <c r="I8081" s="8">
        <v>1</v>
      </c>
      <c r="J8081" s="8" t="str">
        <f>"三国ヶ丘駅前交番"</f>
        <v>三国ヶ丘駅前交番</v>
      </c>
      <c r="K8081" s="8" t="str">
        <f>"鉄骨造"</f>
        <v>鉄骨造</v>
      </c>
      <c r="L8081" s="8" t="str">
        <f>"S58.03.31"</f>
        <v>S58.03.31</v>
      </c>
      <c r="M8081" s="8">
        <v>54</v>
      </c>
      <c r="N8081" s="8">
        <v>6604700</v>
      </c>
      <c r="O8081" s="8">
        <v>6555015</v>
      </c>
      <c r="P8081" s="8">
        <v>0</v>
      </c>
      <c r="Q8081" s="8" t="str">
        <f t="shared" si="2848"/>
        <v>公安委員会</v>
      </c>
      <c r="R8081" s="8" t="str">
        <f t="shared" si="2854"/>
        <v>堺警察署</v>
      </c>
    </row>
    <row r="8082" spans="1:18" x14ac:dyDescent="0.45">
      <c r="A8082" s="8" t="str">
        <f>"11571000190"</f>
        <v>11571000190</v>
      </c>
      <c r="B8082" s="8" t="str">
        <f>"材木町交番"</f>
        <v>材木町交番</v>
      </c>
      <c r="C8082" s="8" t="str">
        <f t="shared" si="2850"/>
        <v>行政財産</v>
      </c>
      <c r="D8082" s="8" t="str">
        <f t="shared" si="2851"/>
        <v>警察（消防）施設</v>
      </c>
      <c r="E8082" s="8" t="str">
        <f>"大阪府堺市　堺区材木町西１丁"</f>
        <v>大阪府堺市　堺区材木町西１丁</v>
      </c>
      <c r="F8082" s="8"/>
      <c r="G8082" s="8" t="str">
        <f t="shared" si="2839"/>
        <v>事業用資産</v>
      </c>
      <c r="H8082" s="8" t="str">
        <f t="shared" si="2852"/>
        <v>棚卸以外</v>
      </c>
      <c r="I8082" s="8">
        <v>2</v>
      </c>
      <c r="J8082" s="8" t="str">
        <f>"材木町交番"</f>
        <v>材木町交番</v>
      </c>
      <c r="K8082" s="8" t="str">
        <f>"鉄骨造"</f>
        <v>鉄骨造</v>
      </c>
      <c r="L8082" s="8" t="str">
        <f>"S59.02.22"</f>
        <v>S59.02.22</v>
      </c>
      <c r="M8082" s="8">
        <v>54</v>
      </c>
      <c r="N8082" s="8">
        <v>12340900</v>
      </c>
      <c r="O8082" s="8">
        <v>12289099</v>
      </c>
      <c r="P8082" s="8">
        <v>0</v>
      </c>
      <c r="Q8082" s="8" t="str">
        <f t="shared" si="2848"/>
        <v>公安委員会</v>
      </c>
      <c r="R8082" s="8" t="str">
        <f t="shared" si="2854"/>
        <v>堺警察署</v>
      </c>
    </row>
    <row r="8083" spans="1:18" x14ac:dyDescent="0.45">
      <c r="A8083" s="8" t="str">
        <f>"11571000210"</f>
        <v>11571000210</v>
      </c>
      <c r="B8083" s="8" t="str">
        <f>"綾之町交番"</f>
        <v>綾之町交番</v>
      </c>
      <c r="C8083" s="8" t="str">
        <f t="shared" si="2850"/>
        <v>行政財産</v>
      </c>
      <c r="D8083" s="8" t="str">
        <f t="shared" si="2851"/>
        <v>警察（消防）施設</v>
      </c>
      <c r="E8083" s="8" t="str">
        <f>"大阪府堺市　堺区綾之町東１丁"</f>
        <v>大阪府堺市　堺区綾之町東１丁</v>
      </c>
      <c r="F8083" s="8"/>
      <c r="G8083" s="8" t="str">
        <f t="shared" si="2839"/>
        <v>事業用資産</v>
      </c>
      <c r="H8083" s="8" t="str">
        <f t="shared" si="2852"/>
        <v>棚卸以外</v>
      </c>
      <c r="I8083" s="8">
        <v>2</v>
      </c>
      <c r="J8083" s="8" t="str">
        <f>"綾之町交番"</f>
        <v>綾之町交番</v>
      </c>
      <c r="K8083" s="8" t="str">
        <f>"鉄筋コンクリート造"</f>
        <v>鉄筋コンクリート造</v>
      </c>
      <c r="L8083" s="8" t="str">
        <f>"S45.03.31"</f>
        <v>S45.03.31</v>
      </c>
      <c r="M8083" s="8">
        <v>78.099999999999994</v>
      </c>
      <c r="N8083" s="8">
        <v>4551600</v>
      </c>
      <c r="O8083" s="8">
        <v>4481827</v>
      </c>
      <c r="P8083" s="8">
        <v>0</v>
      </c>
      <c r="Q8083" s="8" t="str">
        <f t="shared" si="2848"/>
        <v>公安委員会</v>
      </c>
      <c r="R8083" s="8" t="str">
        <f t="shared" si="2854"/>
        <v>堺警察署</v>
      </c>
    </row>
    <row r="8084" spans="1:18" x14ac:dyDescent="0.45">
      <c r="A8084" s="8" t="str">
        <f>"11571000250"</f>
        <v>11571000250</v>
      </c>
      <c r="B8084" s="8" t="str">
        <f>"宿院町交番"</f>
        <v>宿院町交番</v>
      </c>
      <c r="C8084" s="8" t="str">
        <f t="shared" si="2850"/>
        <v>行政財産</v>
      </c>
      <c r="D8084" s="8" t="str">
        <f t="shared" si="2851"/>
        <v>警察（消防）施設</v>
      </c>
      <c r="E8084" s="8" t="str">
        <f>"大阪府堺市　堺区宿院町東２丁"</f>
        <v>大阪府堺市　堺区宿院町東２丁</v>
      </c>
      <c r="F8084" s="8"/>
      <c r="G8084" s="8" t="str">
        <f t="shared" si="2839"/>
        <v>事業用資産</v>
      </c>
      <c r="H8084" s="8" t="str">
        <f t="shared" si="2852"/>
        <v>棚卸以外</v>
      </c>
      <c r="I8084" s="8">
        <v>2</v>
      </c>
      <c r="J8084" s="8" t="str">
        <f>"宿院町交番"</f>
        <v>宿院町交番</v>
      </c>
      <c r="K8084" s="8" t="str">
        <f>"鉄骨造"</f>
        <v>鉄骨造</v>
      </c>
      <c r="L8084" s="8" t="str">
        <f>"S47.03.28"</f>
        <v>S47.03.28</v>
      </c>
      <c r="M8084" s="8">
        <v>60</v>
      </c>
      <c r="N8084" s="8">
        <v>4373740</v>
      </c>
      <c r="O8084" s="8">
        <v>4266166</v>
      </c>
      <c r="P8084" s="8">
        <v>0</v>
      </c>
      <c r="Q8084" s="8" t="str">
        <f t="shared" si="2848"/>
        <v>公安委員会</v>
      </c>
      <c r="R8084" s="8" t="str">
        <f t="shared" si="2854"/>
        <v>堺警察署</v>
      </c>
    </row>
    <row r="8085" spans="1:18" x14ac:dyDescent="0.45">
      <c r="A8085" s="8" t="str">
        <f>"11571000270"</f>
        <v>11571000270</v>
      </c>
      <c r="B8085" s="8" t="str">
        <f>"高砂町交番"</f>
        <v>高砂町交番</v>
      </c>
      <c r="C8085" s="8" t="str">
        <f t="shared" si="2850"/>
        <v>行政財産</v>
      </c>
      <c r="D8085" s="8" t="str">
        <f t="shared" si="2851"/>
        <v>警察（消防）施設</v>
      </c>
      <c r="E8085" s="8" t="str">
        <f>"大阪府堺市　堺区高砂町２丁"</f>
        <v>大阪府堺市　堺区高砂町２丁</v>
      </c>
      <c r="F8085" s="8"/>
      <c r="G8085" s="8" t="str">
        <f t="shared" si="2839"/>
        <v>事業用資産</v>
      </c>
      <c r="H8085" s="8" t="str">
        <f t="shared" si="2852"/>
        <v>棚卸以外</v>
      </c>
      <c r="I8085" s="8">
        <v>2</v>
      </c>
      <c r="J8085" s="8" t="str">
        <f>"高砂町交番"</f>
        <v>高砂町交番</v>
      </c>
      <c r="K8085" s="8" t="str">
        <f>"コンクリートブロック造"</f>
        <v>コンクリートブロック造</v>
      </c>
      <c r="L8085" s="8" t="str">
        <f>"S45.03.31"</f>
        <v>S45.03.31</v>
      </c>
      <c r="M8085" s="8">
        <v>33.49</v>
      </c>
      <c r="N8085" s="8">
        <v>2145800</v>
      </c>
      <c r="O8085" s="8">
        <v>2084484</v>
      </c>
      <c r="P8085" s="8">
        <v>0</v>
      </c>
      <c r="Q8085" s="8" t="str">
        <f t="shared" si="2848"/>
        <v>公安委員会</v>
      </c>
      <c r="R8085" s="8" t="str">
        <f t="shared" si="2854"/>
        <v>堺警察署</v>
      </c>
    </row>
    <row r="8086" spans="1:18" x14ac:dyDescent="0.45">
      <c r="A8086" s="8" t="str">
        <f>"11571000360"</f>
        <v>11571000360</v>
      </c>
      <c r="B8086" s="8" t="str">
        <f>"龍神交番"</f>
        <v>龍神交番</v>
      </c>
      <c r="C8086" s="8" t="str">
        <f t="shared" si="2850"/>
        <v>行政財産</v>
      </c>
      <c r="D8086" s="8" t="str">
        <f t="shared" si="2851"/>
        <v>警察（消防）施設</v>
      </c>
      <c r="E8086" s="8" t="str">
        <f>"大阪府堺市　堺区竜神橋町１丁"</f>
        <v>大阪府堺市　堺区竜神橋町１丁</v>
      </c>
      <c r="F8086" s="8"/>
      <c r="G8086" s="8" t="str">
        <f t="shared" si="2839"/>
        <v>事業用資産</v>
      </c>
      <c r="H8086" s="8" t="str">
        <f t="shared" si="2852"/>
        <v>棚卸以外</v>
      </c>
      <c r="I8086" s="8">
        <v>2</v>
      </c>
      <c r="J8086" s="8" t="str">
        <f>"龍神交番"</f>
        <v>龍神交番</v>
      </c>
      <c r="K8086" s="8" t="str">
        <f>"鉄骨造"</f>
        <v>鉄骨造</v>
      </c>
      <c r="L8086" s="8" t="str">
        <f>"H09.12.17"</f>
        <v>H09.12.17</v>
      </c>
      <c r="M8086" s="8">
        <v>127.09</v>
      </c>
      <c r="N8086" s="8">
        <v>33394400</v>
      </c>
      <c r="O8086" s="8">
        <v>22159667</v>
      </c>
      <c r="P8086" s="8">
        <v>0</v>
      </c>
      <c r="Q8086" s="8" t="str">
        <f t="shared" si="2848"/>
        <v>公安委員会</v>
      </c>
      <c r="R8086" s="8" t="str">
        <f t="shared" si="2854"/>
        <v>堺警察署</v>
      </c>
    </row>
    <row r="8087" spans="1:18" x14ac:dyDescent="0.45">
      <c r="A8087" s="8" t="str">
        <f>"11571000400"</f>
        <v>11571000400</v>
      </c>
      <c r="B8087" s="8" t="str">
        <f>"阪和堺市駅前交番"</f>
        <v>阪和堺市駅前交番</v>
      </c>
      <c r="C8087" s="8" t="str">
        <f t="shared" si="2850"/>
        <v>行政財産</v>
      </c>
      <c r="D8087" s="8" t="str">
        <f t="shared" si="2851"/>
        <v>警察（消防）施設</v>
      </c>
      <c r="E8087" s="8" t="str">
        <f>"大阪府堺市　堺区田出井町"</f>
        <v>大阪府堺市　堺区田出井町</v>
      </c>
      <c r="F8087" s="8"/>
      <c r="G8087" s="8" t="str">
        <f t="shared" ref="G8087:G8150" si="2855">"事業用資産"</f>
        <v>事業用資産</v>
      </c>
      <c r="H8087" s="8" t="str">
        <f t="shared" si="2852"/>
        <v>棚卸以外</v>
      </c>
      <c r="I8087" s="8">
        <v>2</v>
      </c>
      <c r="J8087" s="8" t="str">
        <f>"阪和堺市駅前交番"</f>
        <v>阪和堺市駅前交番</v>
      </c>
      <c r="K8087" s="8" t="str">
        <f>"鉄筋コンクリート造"</f>
        <v>鉄筋コンクリート造</v>
      </c>
      <c r="L8087" s="8" t="str">
        <f>"H11.03.16"</f>
        <v>H11.03.16</v>
      </c>
      <c r="M8087" s="8">
        <v>129.97</v>
      </c>
      <c r="N8087" s="8">
        <v>99982556</v>
      </c>
      <c r="O8087" s="8">
        <v>47956363</v>
      </c>
      <c r="P8087" s="8">
        <v>0</v>
      </c>
      <c r="Q8087" s="8" t="str">
        <f t="shared" si="2848"/>
        <v>公安委員会</v>
      </c>
      <c r="R8087" s="8" t="str">
        <f t="shared" si="2854"/>
        <v>堺警察署</v>
      </c>
    </row>
    <row r="8088" spans="1:18" x14ac:dyDescent="0.45">
      <c r="A8088" s="8" t="str">
        <f>"11571000520"</f>
        <v>11571000520</v>
      </c>
      <c r="B8088" s="8" t="str">
        <f>"霞ヶ丘交番"</f>
        <v>霞ヶ丘交番</v>
      </c>
      <c r="C8088" s="8" t="str">
        <f t="shared" si="2850"/>
        <v>行政財産</v>
      </c>
      <c r="D8088" s="8" t="str">
        <f t="shared" si="2851"/>
        <v>警察（消防）施設</v>
      </c>
      <c r="E8088" s="8" t="str">
        <f>"大阪府堺市　堺区霞ヶ丘町１丁"</f>
        <v>大阪府堺市　堺区霞ヶ丘町１丁</v>
      </c>
      <c r="F8088" s="8"/>
      <c r="G8088" s="8" t="str">
        <f t="shared" si="2855"/>
        <v>事業用資産</v>
      </c>
      <c r="H8088" s="8" t="str">
        <f t="shared" si="2852"/>
        <v>棚卸以外</v>
      </c>
      <c r="I8088" s="8">
        <v>2</v>
      </c>
      <c r="J8088" s="8" t="str">
        <f>"霞ヶ丘交番"</f>
        <v>霞ヶ丘交番</v>
      </c>
      <c r="K8088" s="8" t="str">
        <f>"鉄骨造"</f>
        <v>鉄骨造</v>
      </c>
      <c r="L8088" s="8" t="str">
        <f>"H23.03.16"</f>
        <v>H23.03.16</v>
      </c>
      <c r="M8088" s="8">
        <v>54</v>
      </c>
      <c r="N8088" s="8">
        <v>14251700</v>
      </c>
      <c r="O8088" s="8">
        <v>4486320</v>
      </c>
      <c r="P8088" s="8">
        <v>0</v>
      </c>
      <c r="Q8088" s="8" t="str">
        <f t="shared" si="2848"/>
        <v>公安委員会</v>
      </c>
      <c r="R8088" s="8" t="str">
        <f t="shared" si="2854"/>
        <v>堺警察署</v>
      </c>
    </row>
    <row r="8089" spans="1:18" x14ac:dyDescent="0.45">
      <c r="A8089" s="8" t="str">
        <f>"11571000550"</f>
        <v>11571000550</v>
      </c>
      <c r="B8089" s="8" t="str">
        <f>"安井町交番"</f>
        <v>安井町交番</v>
      </c>
      <c r="C8089" s="8" t="str">
        <f t="shared" si="2850"/>
        <v>行政財産</v>
      </c>
      <c r="D8089" s="8" t="str">
        <f t="shared" si="2851"/>
        <v>警察（消防）施設</v>
      </c>
      <c r="E8089" s="8" t="str">
        <f>"大阪府堺市　堺区中安井町３丁"</f>
        <v>大阪府堺市　堺区中安井町３丁</v>
      </c>
      <c r="F8089" s="8"/>
      <c r="G8089" s="8" t="str">
        <f t="shared" si="2855"/>
        <v>事業用資産</v>
      </c>
      <c r="H8089" s="8" t="str">
        <f t="shared" si="2852"/>
        <v>棚卸以外</v>
      </c>
      <c r="I8089" s="8">
        <v>1</v>
      </c>
      <c r="J8089" s="8" t="str">
        <f>"安井町交番"</f>
        <v>安井町交番</v>
      </c>
      <c r="K8089" s="8" t="str">
        <f>"鉄筋コンクリート造"</f>
        <v>鉄筋コンクリート造</v>
      </c>
      <c r="L8089" s="8" t="str">
        <f>"S44.02.17"</f>
        <v>S44.02.17</v>
      </c>
      <c r="M8089" s="8">
        <v>77</v>
      </c>
      <c r="N8089" s="8">
        <v>4657100</v>
      </c>
      <c r="O8089" s="8">
        <v>4582037</v>
      </c>
      <c r="P8089" s="8">
        <v>0</v>
      </c>
      <c r="Q8089" s="8" t="str">
        <f t="shared" si="2848"/>
        <v>公安委員会</v>
      </c>
      <c r="R8089" s="8" t="str">
        <f t="shared" si="2854"/>
        <v>堺警察署</v>
      </c>
    </row>
    <row r="8090" spans="1:18" x14ac:dyDescent="0.45">
      <c r="A8090" s="8" t="str">
        <f>"11571000610"</f>
        <v>11571000610</v>
      </c>
      <c r="B8090" s="8" t="str">
        <f>"出島町交番"</f>
        <v>出島町交番</v>
      </c>
      <c r="C8090" s="8" t="str">
        <f t="shared" si="2850"/>
        <v>行政財産</v>
      </c>
      <c r="D8090" s="8" t="str">
        <f t="shared" si="2851"/>
        <v>警察（消防）施設</v>
      </c>
      <c r="E8090" s="8" t="str">
        <f>"大阪府堺市　堺区出島浜通"</f>
        <v>大阪府堺市　堺区出島浜通</v>
      </c>
      <c r="F8090" s="8"/>
      <c r="G8090" s="8" t="str">
        <f t="shared" si="2855"/>
        <v>事業用資産</v>
      </c>
      <c r="H8090" s="8" t="str">
        <f t="shared" si="2852"/>
        <v>棚卸以外</v>
      </c>
      <c r="I8090" s="8">
        <v>1</v>
      </c>
      <c r="J8090" s="8" t="str">
        <f>"出島町交番"</f>
        <v>出島町交番</v>
      </c>
      <c r="K8090" s="8" t="str">
        <f>"鉄筋コンクリート造"</f>
        <v>鉄筋コンクリート造</v>
      </c>
      <c r="L8090" s="8" t="str">
        <f>"S47.02.12"</f>
        <v>S47.02.12</v>
      </c>
      <c r="M8090" s="8">
        <v>83.96</v>
      </c>
      <c r="N8090" s="8">
        <v>4786400</v>
      </c>
      <c r="O8090" s="8">
        <v>4729309</v>
      </c>
      <c r="P8090" s="8">
        <v>0</v>
      </c>
      <c r="Q8090" s="8" t="str">
        <f t="shared" si="2848"/>
        <v>公安委員会</v>
      </c>
      <c r="R8090" s="8" t="str">
        <f t="shared" si="2854"/>
        <v>堺警察署</v>
      </c>
    </row>
    <row r="8091" spans="1:18" x14ac:dyDescent="0.45">
      <c r="A8091" s="8" t="str">
        <f>"11571000630"</f>
        <v>11571000630</v>
      </c>
      <c r="B8091" s="8" t="str">
        <f>"大仙西交番"</f>
        <v>大仙西交番</v>
      </c>
      <c r="C8091" s="8" t="str">
        <f t="shared" si="2850"/>
        <v>行政財産</v>
      </c>
      <c r="D8091" s="8" t="str">
        <f t="shared" si="2851"/>
        <v>警察（消防）施設</v>
      </c>
      <c r="E8091" s="8" t="str">
        <f>"大阪府堺市　堺区大仙西町１丁"</f>
        <v>大阪府堺市　堺区大仙西町１丁</v>
      </c>
      <c r="F8091" s="8"/>
      <c r="G8091" s="8" t="str">
        <f t="shared" si="2855"/>
        <v>事業用資産</v>
      </c>
      <c r="H8091" s="8" t="str">
        <f t="shared" si="2852"/>
        <v>棚卸以外</v>
      </c>
      <c r="I8091" s="8">
        <v>1</v>
      </c>
      <c r="J8091" s="8" t="str">
        <f>"大仙西交番"</f>
        <v>大仙西交番</v>
      </c>
      <c r="K8091" s="8" t="str">
        <f>"鉄筋コンクリート造"</f>
        <v>鉄筋コンクリート造</v>
      </c>
      <c r="L8091" s="8" t="str">
        <f>"S49.08.30"</f>
        <v>S49.08.30</v>
      </c>
      <c r="M8091" s="8">
        <v>29.92</v>
      </c>
      <c r="N8091" s="8">
        <v>6455700</v>
      </c>
      <c r="O8091" s="8">
        <v>6224958</v>
      </c>
      <c r="P8091" s="8">
        <v>0</v>
      </c>
      <c r="Q8091" s="8" t="str">
        <f t="shared" si="2848"/>
        <v>公安委員会</v>
      </c>
      <c r="R8091" s="8" t="str">
        <f t="shared" si="2854"/>
        <v>堺警察署</v>
      </c>
    </row>
    <row r="8092" spans="1:18" x14ac:dyDescent="0.45">
      <c r="A8092" s="8" t="str">
        <f>"11571000650"</f>
        <v>11571000650</v>
      </c>
      <c r="B8092" s="8" t="str">
        <f>"三国ヶ丘交番"</f>
        <v>三国ヶ丘交番</v>
      </c>
      <c r="C8092" s="8" t="str">
        <f t="shared" si="2850"/>
        <v>行政財産</v>
      </c>
      <c r="D8092" s="8" t="str">
        <f t="shared" si="2851"/>
        <v>警察（消防）施設</v>
      </c>
      <c r="E8092" s="8" t="str">
        <f>"大阪府堺市　堺区中三国ヶ丘町３丁"</f>
        <v>大阪府堺市　堺区中三国ヶ丘町３丁</v>
      </c>
      <c r="F8092" s="8"/>
      <c r="G8092" s="8" t="str">
        <f t="shared" si="2855"/>
        <v>事業用資産</v>
      </c>
      <c r="H8092" s="8" t="str">
        <f t="shared" si="2852"/>
        <v>棚卸以外</v>
      </c>
      <c r="I8092" s="8">
        <v>1</v>
      </c>
      <c r="J8092" s="8" t="str">
        <f>"三国ヶ丘交番"</f>
        <v>三国ヶ丘交番</v>
      </c>
      <c r="K8092" s="8" t="str">
        <f>"鉄筋コンクリート造"</f>
        <v>鉄筋コンクリート造</v>
      </c>
      <c r="L8092" s="8" t="str">
        <f>"S56.03.31"</f>
        <v>S56.03.31</v>
      </c>
      <c r="M8092" s="8">
        <v>54</v>
      </c>
      <c r="N8092" s="8">
        <v>12690900</v>
      </c>
      <c r="O8092" s="8">
        <v>10617348</v>
      </c>
      <c r="P8092" s="8">
        <v>0</v>
      </c>
      <c r="Q8092" s="8" t="str">
        <f t="shared" si="2848"/>
        <v>公安委員会</v>
      </c>
      <c r="R8092" s="8" t="str">
        <f t="shared" si="2854"/>
        <v>堺警察署</v>
      </c>
    </row>
    <row r="8093" spans="1:18" x14ac:dyDescent="0.45">
      <c r="A8093" s="8" t="str">
        <f>"11571000660"</f>
        <v>11571000660</v>
      </c>
      <c r="B8093" s="8" t="str">
        <f>"堺東駅前交番"</f>
        <v>堺東駅前交番</v>
      </c>
      <c r="C8093" s="8" t="str">
        <f t="shared" si="2850"/>
        <v>行政財産</v>
      </c>
      <c r="D8093" s="8" t="str">
        <f t="shared" si="2851"/>
        <v>警察（消防）施設</v>
      </c>
      <c r="E8093" s="8" t="str">
        <f>"大阪府堺市　堺区三国ヶ丘御幸通"</f>
        <v>大阪府堺市　堺区三国ヶ丘御幸通</v>
      </c>
      <c r="F8093" s="8"/>
      <c r="G8093" s="8" t="str">
        <f t="shared" si="2855"/>
        <v>事業用資産</v>
      </c>
      <c r="H8093" s="8" t="str">
        <f t="shared" si="2852"/>
        <v>棚卸以外</v>
      </c>
      <c r="I8093" s="8">
        <v>1</v>
      </c>
      <c r="J8093" s="8" t="str">
        <f>"堺東駅前交番"</f>
        <v>堺東駅前交番</v>
      </c>
      <c r="K8093" s="8" t="str">
        <f>"鉄骨造"</f>
        <v>鉄骨造</v>
      </c>
      <c r="L8093" s="8" t="str">
        <f>"S57.03.30"</f>
        <v>S57.03.30</v>
      </c>
      <c r="M8093" s="8">
        <v>46.2</v>
      </c>
      <c r="N8093" s="8">
        <v>13140200</v>
      </c>
      <c r="O8093" s="8">
        <v>13053513</v>
      </c>
      <c r="P8093" s="8">
        <v>0</v>
      </c>
      <c r="Q8093" s="8" t="str">
        <f t="shared" si="2848"/>
        <v>公安委員会</v>
      </c>
      <c r="R8093" s="8" t="str">
        <f t="shared" si="2854"/>
        <v>堺警察署</v>
      </c>
    </row>
    <row r="8094" spans="1:18" x14ac:dyDescent="0.45">
      <c r="A8094" s="8" t="str">
        <f>"11571000670"</f>
        <v>11571000670</v>
      </c>
      <c r="B8094" s="8" t="str">
        <f>"今池町交番"</f>
        <v>今池町交番</v>
      </c>
      <c r="C8094" s="8" t="str">
        <f t="shared" si="2850"/>
        <v>行政財産</v>
      </c>
      <c r="D8094" s="8" t="str">
        <f t="shared" si="2851"/>
        <v>警察（消防）施設</v>
      </c>
      <c r="E8094" s="8" t="str">
        <f>"大阪府堺市　堺区今池町４丁"</f>
        <v>大阪府堺市　堺区今池町４丁</v>
      </c>
      <c r="F8094" s="8"/>
      <c r="G8094" s="8" t="str">
        <f t="shared" si="2855"/>
        <v>事業用資産</v>
      </c>
      <c r="H8094" s="8" t="str">
        <f t="shared" si="2852"/>
        <v>棚卸以外</v>
      </c>
      <c r="I8094" s="8">
        <v>1</v>
      </c>
      <c r="J8094" s="8" t="str">
        <f>"今池町交番"</f>
        <v>今池町交番</v>
      </c>
      <c r="K8094" s="8" t="str">
        <f>"軽量鉄骨造"</f>
        <v>軽量鉄骨造</v>
      </c>
      <c r="L8094" s="8" t="str">
        <f>"H03.03.29"</f>
        <v>H03.03.29</v>
      </c>
      <c r="M8094" s="8">
        <v>54.96</v>
      </c>
      <c r="N8094" s="8">
        <v>15953300</v>
      </c>
      <c r="O8094" s="8">
        <v>15897267</v>
      </c>
      <c r="P8094" s="8">
        <v>0</v>
      </c>
      <c r="Q8094" s="8" t="str">
        <f t="shared" si="2848"/>
        <v>公安委員会</v>
      </c>
      <c r="R8094" s="8" t="str">
        <f t="shared" si="2854"/>
        <v>堺警察署</v>
      </c>
    </row>
    <row r="8095" spans="1:18" x14ac:dyDescent="0.45">
      <c r="A8095" s="8" t="str">
        <f>"11571000680"</f>
        <v>11571000680</v>
      </c>
      <c r="B8095" s="8" t="str">
        <f>"一条通交通警察官詰所"</f>
        <v>一条通交通警察官詰所</v>
      </c>
      <c r="C8095" s="8" t="str">
        <f t="shared" si="2850"/>
        <v>行政財産</v>
      </c>
      <c r="D8095" s="8" t="str">
        <f t="shared" si="2851"/>
        <v>警察（消防）施設</v>
      </c>
      <c r="E8095" s="8" t="str">
        <f>"大阪府堺市　堺区一条通"</f>
        <v>大阪府堺市　堺区一条通</v>
      </c>
      <c r="F8095" s="8"/>
      <c r="G8095" s="8" t="str">
        <f t="shared" si="2855"/>
        <v>事業用資産</v>
      </c>
      <c r="H8095" s="8" t="str">
        <f t="shared" si="2852"/>
        <v>棚卸以外</v>
      </c>
      <c r="I8095" s="8">
        <v>1</v>
      </c>
      <c r="J8095" s="8" t="str">
        <f>"一条通交通警察官詰所"</f>
        <v>一条通交通警察官詰所</v>
      </c>
      <c r="K8095" s="8" t="str">
        <f>"土蔵造(簡易建物)"</f>
        <v>土蔵造(簡易建物)</v>
      </c>
      <c r="L8095" s="8" t="str">
        <f>"H05.03.12"</f>
        <v>H05.03.12</v>
      </c>
      <c r="M8095" s="8">
        <v>9.94</v>
      </c>
      <c r="N8095" s="8">
        <v>4710000</v>
      </c>
      <c r="O8095" s="8">
        <v>4709999</v>
      </c>
      <c r="P8095" s="8">
        <v>0</v>
      </c>
      <c r="Q8095" s="8" t="str">
        <f t="shared" si="2848"/>
        <v>公安委員会</v>
      </c>
      <c r="R8095" s="8" t="str">
        <f t="shared" si="2854"/>
        <v>堺警察署</v>
      </c>
    </row>
    <row r="8096" spans="1:18" x14ac:dyDescent="0.45">
      <c r="A8096" s="8" t="str">
        <f>"11571003001"</f>
        <v>11571003001</v>
      </c>
      <c r="B8096" s="8" t="str">
        <f>"御陵通交番"</f>
        <v>御陵通交番</v>
      </c>
      <c r="C8096" s="8" t="str">
        <f t="shared" si="2850"/>
        <v>行政財産</v>
      </c>
      <c r="D8096" s="8" t="str">
        <f t="shared" si="2851"/>
        <v>警察（消防）施設</v>
      </c>
      <c r="E8096" s="8" t="str">
        <f>"大阪府堺市　堺区大仙中町"</f>
        <v>大阪府堺市　堺区大仙中町</v>
      </c>
      <c r="F8096" s="8"/>
      <c r="G8096" s="8" t="str">
        <f t="shared" si="2855"/>
        <v>事業用資産</v>
      </c>
      <c r="H8096" s="8" t="str">
        <f t="shared" si="2852"/>
        <v>棚卸以外</v>
      </c>
      <c r="I8096" s="8">
        <v>1</v>
      </c>
      <c r="J8096" s="8" t="str">
        <f>"御陵通交番"</f>
        <v>御陵通交番</v>
      </c>
      <c r="K8096" s="8" t="str">
        <f>"鉄骨造"</f>
        <v>鉄骨造</v>
      </c>
      <c r="L8096" s="8" t="str">
        <f>"H30.10.12"</f>
        <v>H30.10.12</v>
      </c>
      <c r="M8096" s="8">
        <v>89.64</v>
      </c>
      <c r="N8096" s="8">
        <v>38699669</v>
      </c>
      <c r="O8096" s="8">
        <v>5660915</v>
      </c>
      <c r="P8096" s="8">
        <v>0</v>
      </c>
      <c r="Q8096" s="8" t="str">
        <f t="shared" si="2848"/>
        <v>公安委員会</v>
      </c>
      <c r="R8096" s="8" t="str">
        <f t="shared" si="2854"/>
        <v>堺警察署</v>
      </c>
    </row>
    <row r="8097" spans="1:18" x14ac:dyDescent="0.45">
      <c r="A8097" s="8" t="str">
        <f>"11571003003"</f>
        <v>11571003003</v>
      </c>
      <c r="B8097" s="8" t="str">
        <f>"三宝町交番"</f>
        <v>三宝町交番</v>
      </c>
      <c r="C8097" s="8" t="str">
        <f t="shared" si="2850"/>
        <v>行政財産</v>
      </c>
      <c r="D8097" s="8" t="str">
        <f t="shared" si="2851"/>
        <v>警察（消防）施設</v>
      </c>
      <c r="E8097" s="8" t="str">
        <f>"大阪府堺市　堺区松屋町２丁"</f>
        <v>大阪府堺市　堺区松屋町２丁</v>
      </c>
      <c r="F8097" s="8" t="str">
        <f>"６１番地６"</f>
        <v>６１番地６</v>
      </c>
      <c r="G8097" s="8" t="str">
        <f t="shared" si="2855"/>
        <v>事業用資産</v>
      </c>
      <c r="H8097" s="8" t="str">
        <f t="shared" si="2852"/>
        <v>棚卸以外</v>
      </c>
      <c r="I8097" s="8">
        <v>1</v>
      </c>
      <c r="J8097" s="8" t="str">
        <f>"三宝町交番"</f>
        <v>三宝町交番</v>
      </c>
      <c r="K8097" s="8" t="str">
        <f>"軽量鉄骨造"</f>
        <v>軽量鉄骨造</v>
      </c>
      <c r="L8097" s="8" t="str">
        <f>"R03.12.27"</f>
        <v>R03.12.27</v>
      </c>
      <c r="M8097" s="8">
        <v>48.44</v>
      </c>
      <c r="N8097" s="8">
        <v>29500506</v>
      </c>
      <c r="O8097" s="8">
        <v>1433595</v>
      </c>
      <c r="P8097" s="8">
        <v>0</v>
      </c>
      <c r="Q8097" s="8" t="str">
        <f t="shared" si="2848"/>
        <v>公安委員会</v>
      </c>
      <c r="R8097" s="8" t="str">
        <f t="shared" si="2854"/>
        <v>堺警察署</v>
      </c>
    </row>
    <row r="8098" spans="1:18" x14ac:dyDescent="0.45">
      <c r="A8098" s="8" t="str">
        <f t="shared" ref="A8098:A8108" si="2856">"11572000000"</f>
        <v>11572000000</v>
      </c>
      <c r="B8098" s="8" t="str">
        <f t="shared" ref="B8098:B8108" si="2857">"北堺警察署"</f>
        <v>北堺警察署</v>
      </c>
      <c r="C8098" s="8" t="str">
        <f t="shared" si="2850"/>
        <v>行政財産</v>
      </c>
      <c r="D8098" s="8" t="str">
        <f t="shared" si="2851"/>
        <v>警察（消防）施設</v>
      </c>
      <c r="E8098" s="8" t="str">
        <f t="shared" ref="E8098:E8108" si="2858">"大阪府堺市　北区新金岡町１丁"</f>
        <v>大阪府堺市　北区新金岡町１丁</v>
      </c>
      <c r="F8098" s="8"/>
      <c r="G8098" s="8" t="str">
        <f t="shared" si="2855"/>
        <v>事業用資産</v>
      </c>
      <c r="H8098" s="8" t="str">
        <f t="shared" si="2852"/>
        <v>棚卸以外</v>
      </c>
      <c r="I8098" s="8">
        <v>1</v>
      </c>
      <c r="J8098" s="8" t="str">
        <f>"庁舎"</f>
        <v>庁舎</v>
      </c>
      <c r="K8098" s="8" t="str">
        <f>"鉄筋コンクリート造"</f>
        <v>鉄筋コンクリート造</v>
      </c>
      <c r="L8098" s="8" t="str">
        <f>"S54.02.20"</f>
        <v>S54.02.20</v>
      </c>
      <c r="M8098" s="8">
        <v>3218.74</v>
      </c>
      <c r="N8098" s="8">
        <v>672265984</v>
      </c>
      <c r="O8098" s="8">
        <v>542654909</v>
      </c>
      <c r="P8098" s="8">
        <v>0</v>
      </c>
      <c r="Q8098" s="8" t="str">
        <f t="shared" si="2848"/>
        <v>公安委員会</v>
      </c>
      <c r="R8098" s="8" t="str">
        <f t="shared" ref="R8098:R8116" si="2859">"北堺警察署"</f>
        <v>北堺警察署</v>
      </c>
    </row>
    <row r="8099" spans="1:18" x14ac:dyDescent="0.45">
      <c r="A8099" s="8" t="str">
        <f t="shared" si="2856"/>
        <v>11572000000</v>
      </c>
      <c r="B8099" s="8" t="str">
        <f t="shared" si="2857"/>
        <v>北堺警察署</v>
      </c>
      <c r="C8099" s="8" t="str">
        <f t="shared" si="2850"/>
        <v>行政財産</v>
      </c>
      <c r="D8099" s="8" t="str">
        <f t="shared" si="2851"/>
        <v>警察（消防）施設</v>
      </c>
      <c r="E8099" s="8" t="str">
        <f t="shared" si="2858"/>
        <v>大阪府堺市　北区新金岡町１丁</v>
      </c>
      <c r="F8099" s="8"/>
      <c r="G8099" s="8" t="str">
        <f t="shared" si="2855"/>
        <v>事業用資産</v>
      </c>
      <c r="H8099" s="8" t="str">
        <f t="shared" si="2852"/>
        <v>棚卸以外</v>
      </c>
      <c r="I8099" s="8">
        <v>2</v>
      </c>
      <c r="J8099" s="8" t="str">
        <f>"公舎"</f>
        <v>公舎</v>
      </c>
      <c r="K8099" s="8" t="str">
        <f>"鉄筋コンクリート造"</f>
        <v>鉄筋コンクリート造</v>
      </c>
      <c r="L8099" s="8" t="str">
        <f t="shared" ref="L8099:L8104" si="2860">"S54.03.30"</f>
        <v>S54.03.30</v>
      </c>
      <c r="M8099" s="8">
        <v>84.5</v>
      </c>
      <c r="N8099" s="8">
        <v>19857752</v>
      </c>
      <c r="O8099" s="8">
        <v>18578592</v>
      </c>
      <c r="P8099" s="8">
        <v>0</v>
      </c>
      <c r="Q8099" s="8" t="str">
        <f t="shared" si="2848"/>
        <v>公安委員会</v>
      </c>
      <c r="R8099" s="8" t="str">
        <f t="shared" si="2859"/>
        <v>北堺警察署</v>
      </c>
    </row>
    <row r="8100" spans="1:18" x14ac:dyDescent="0.45">
      <c r="A8100" s="8" t="str">
        <f t="shared" si="2856"/>
        <v>11572000000</v>
      </c>
      <c r="B8100" s="8" t="str">
        <f t="shared" si="2857"/>
        <v>北堺警察署</v>
      </c>
      <c r="C8100" s="8" t="str">
        <f t="shared" si="2850"/>
        <v>行政財産</v>
      </c>
      <c r="D8100" s="8" t="str">
        <f t="shared" si="2851"/>
        <v>警察（消防）施設</v>
      </c>
      <c r="E8100" s="8" t="str">
        <f t="shared" si="2858"/>
        <v>大阪府堺市　北区新金岡町１丁</v>
      </c>
      <c r="F8100" s="8"/>
      <c r="G8100" s="8" t="str">
        <f t="shared" si="2855"/>
        <v>事業用資産</v>
      </c>
      <c r="H8100" s="8" t="str">
        <f t="shared" si="2852"/>
        <v>棚卸以外</v>
      </c>
      <c r="I8100" s="8">
        <v>3</v>
      </c>
      <c r="J8100" s="8" t="str">
        <f>"食堂"</f>
        <v>食堂</v>
      </c>
      <c r="K8100" s="8" t="str">
        <f>"鉄骨造"</f>
        <v>鉄骨造</v>
      </c>
      <c r="L8100" s="8" t="str">
        <f t="shared" si="2860"/>
        <v>S54.03.30</v>
      </c>
      <c r="M8100" s="8">
        <v>91.34</v>
      </c>
      <c r="N8100" s="8">
        <v>17968000</v>
      </c>
      <c r="O8100" s="8">
        <v>17967999</v>
      </c>
      <c r="P8100" s="8">
        <v>0</v>
      </c>
      <c r="Q8100" s="8" t="str">
        <f t="shared" si="2848"/>
        <v>公安委員会</v>
      </c>
      <c r="R8100" s="8" t="str">
        <f t="shared" si="2859"/>
        <v>北堺警察署</v>
      </c>
    </row>
    <row r="8101" spans="1:18" x14ac:dyDescent="0.45">
      <c r="A8101" s="8" t="str">
        <f t="shared" si="2856"/>
        <v>11572000000</v>
      </c>
      <c r="B8101" s="8" t="str">
        <f t="shared" si="2857"/>
        <v>北堺警察署</v>
      </c>
      <c r="C8101" s="8" t="str">
        <f t="shared" si="2850"/>
        <v>行政財産</v>
      </c>
      <c r="D8101" s="8" t="str">
        <f t="shared" si="2851"/>
        <v>警察（消防）施設</v>
      </c>
      <c r="E8101" s="8" t="str">
        <f t="shared" si="2858"/>
        <v>大阪府堺市　北区新金岡町１丁</v>
      </c>
      <c r="F8101" s="8"/>
      <c r="G8101" s="8" t="str">
        <f t="shared" si="2855"/>
        <v>事業用資産</v>
      </c>
      <c r="H8101" s="8" t="str">
        <f t="shared" si="2852"/>
        <v>棚卸以外</v>
      </c>
      <c r="I8101" s="8">
        <v>5</v>
      </c>
      <c r="J8101" s="8" t="str">
        <f>"車庫"</f>
        <v>車庫</v>
      </c>
      <c r="K8101" s="8" t="str">
        <f>"鉄骨造"</f>
        <v>鉄骨造</v>
      </c>
      <c r="L8101" s="8" t="str">
        <f t="shared" si="2860"/>
        <v>S54.03.30</v>
      </c>
      <c r="M8101" s="8">
        <v>180.9</v>
      </c>
      <c r="N8101" s="8">
        <v>8841000</v>
      </c>
      <c r="O8101" s="8">
        <v>8840999</v>
      </c>
      <c r="P8101" s="8">
        <v>0</v>
      </c>
      <c r="Q8101" s="8" t="str">
        <f t="shared" si="2848"/>
        <v>公安委員会</v>
      </c>
      <c r="R8101" s="8" t="str">
        <f t="shared" si="2859"/>
        <v>北堺警察署</v>
      </c>
    </row>
    <row r="8102" spans="1:18" x14ac:dyDescent="0.45">
      <c r="A8102" s="8" t="str">
        <f t="shared" si="2856"/>
        <v>11572000000</v>
      </c>
      <c r="B8102" s="8" t="str">
        <f t="shared" si="2857"/>
        <v>北堺警察署</v>
      </c>
      <c r="C8102" s="8" t="str">
        <f t="shared" si="2850"/>
        <v>行政財産</v>
      </c>
      <c r="D8102" s="8" t="str">
        <f t="shared" si="2851"/>
        <v>警察（消防）施設</v>
      </c>
      <c r="E8102" s="8" t="str">
        <f t="shared" si="2858"/>
        <v>大阪府堺市　北区新金岡町１丁</v>
      </c>
      <c r="F8102" s="8"/>
      <c r="G8102" s="8" t="str">
        <f t="shared" si="2855"/>
        <v>事業用資産</v>
      </c>
      <c r="H8102" s="8" t="str">
        <f t="shared" si="2852"/>
        <v>棚卸以外</v>
      </c>
      <c r="I8102" s="8">
        <v>6</v>
      </c>
      <c r="J8102" s="8" t="str">
        <f>"自転車置場"</f>
        <v>自転車置場</v>
      </c>
      <c r="K8102" s="8" t="str">
        <f>"鉄骨造"</f>
        <v>鉄骨造</v>
      </c>
      <c r="L8102" s="8" t="str">
        <f t="shared" si="2860"/>
        <v>S54.03.30</v>
      </c>
      <c r="M8102" s="8">
        <v>45</v>
      </c>
      <c r="N8102" s="8">
        <v>3383000</v>
      </c>
      <c r="O8102" s="8">
        <v>3382999</v>
      </c>
      <c r="P8102" s="8">
        <v>0</v>
      </c>
      <c r="Q8102" s="8" t="str">
        <f t="shared" si="2848"/>
        <v>公安委員会</v>
      </c>
      <c r="R8102" s="8" t="str">
        <f t="shared" si="2859"/>
        <v>北堺警察署</v>
      </c>
    </row>
    <row r="8103" spans="1:18" x14ac:dyDescent="0.45">
      <c r="A8103" s="8" t="str">
        <f t="shared" si="2856"/>
        <v>11572000000</v>
      </c>
      <c r="B8103" s="8" t="str">
        <f t="shared" si="2857"/>
        <v>北堺警察署</v>
      </c>
      <c r="C8103" s="8" t="str">
        <f t="shared" si="2850"/>
        <v>行政財産</v>
      </c>
      <c r="D8103" s="8" t="str">
        <f t="shared" si="2851"/>
        <v>警察（消防）施設</v>
      </c>
      <c r="E8103" s="8" t="str">
        <f t="shared" si="2858"/>
        <v>大阪府堺市　北区新金岡町１丁</v>
      </c>
      <c r="F8103" s="8"/>
      <c r="G8103" s="8" t="str">
        <f t="shared" si="2855"/>
        <v>事業用資産</v>
      </c>
      <c r="H8103" s="8" t="str">
        <f t="shared" si="2852"/>
        <v>棚卸以外</v>
      </c>
      <c r="I8103" s="8">
        <v>7</v>
      </c>
      <c r="J8103" s="8" t="str">
        <f>"大型車庫"</f>
        <v>大型車庫</v>
      </c>
      <c r="K8103" s="8" t="str">
        <f>"鉄骨造"</f>
        <v>鉄骨造</v>
      </c>
      <c r="L8103" s="8" t="str">
        <f t="shared" si="2860"/>
        <v>S54.03.30</v>
      </c>
      <c r="M8103" s="8">
        <v>56.61</v>
      </c>
      <c r="N8103" s="8">
        <v>5154000</v>
      </c>
      <c r="O8103" s="8">
        <v>5128781</v>
      </c>
      <c r="P8103" s="8">
        <v>0</v>
      </c>
      <c r="Q8103" s="8" t="str">
        <f t="shared" si="2848"/>
        <v>公安委員会</v>
      </c>
      <c r="R8103" s="8" t="str">
        <f t="shared" si="2859"/>
        <v>北堺警察署</v>
      </c>
    </row>
    <row r="8104" spans="1:18" x14ac:dyDescent="0.45">
      <c r="A8104" s="8" t="str">
        <f t="shared" si="2856"/>
        <v>11572000000</v>
      </c>
      <c r="B8104" s="8" t="str">
        <f t="shared" si="2857"/>
        <v>北堺警察署</v>
      </c>
      <c r="C8104" s="8" t="str">
        <f t="shared" si="2850"/>
        <v>行政財産</v>
      </c>
      <c r="D8104" s="8" t="str">
        <f t="shared" si="2851"/>
        <v>警察（消防）施設</v>
      </c>
      <c r="E8104" s="8" t="str">
        <f t="shared" si="2858"/>
        <v>大阪府堺市　北区新金岡町１丁</v>
      </c>
      <c r="F8104" s="8"/>
      <c r="G8104" s="8" t="str">
        <f t="shared" si="2855"/>
        <v>事業用資産</v>
      </c>
      <c r="H8104" s="8" t="str">
        <f t="shared" si="2852"/>
        <v>棚卸以外</v>
      </c>
      <c r="I8104" s="8">
        <v>8</v>
      </c>
      <c r="J8104" s="8" t="str">
        <f>"倉庫"</f>
        <v>倉庫</v>
      </c>
      <c r="K8104" s="8" t="str">
        <f>"鉄骨造"</f>
        <v>鉄骨造</v>
      </c>
      <c r="L8104" s="8" t="str">
        <f t="shared" si="2860"/>
        <v>S54.03.30</v>
      </c>
      <c r="M8104" s="8">
        <v>124.47</v>
      </c>
      <c r="N8104" s="8">
        <v>8215799</v>
      </c>
      <c r="O8104" s="8">
        <v>8201392</v>
      </c>
      <c r="P8104" s="8">
        <v>0</v>
      </c>
      <c r="Q8104" s="8" t="str">
        <f t="shared" si="2848"/>
        <v>公安委員会</v>
      </c>
      <c r="R8104" s="8" t="str">
        <f t="shared" si="2859"/>
        <v>北堺警察署</v>
      </c>
    </row>
    <row r="8105" spans="1:18" x14ac:dyDescent="0.45">
      <c r="A8105" s="8" t="str">
        <f t="shared" si="2856"/>
        <v>11572000000</v>
      </c>
      <c r="B8105" s="8" t="str">
        <f t="shared" si="2857"/>
        <v>北堺警察署</v>
      </c>
      <c r="C8105" s="8" t="str">
        <f t="shared" si="2850"/>
        <v>行政財産</v>
      </c>
      <c r="D8105" s="8" t="str">
        <f t="shared" si="2851"/>
        <v>警察（消防）施設</v>
      </c>
      <c r="E8105" s="8" t="str">
        <f t="shared" si="2858"/>
        <v>大阪府堺市　北区新金岡町１丁</v>
      </c>
      <c r="F8105" s="8"/>
      <c r="G8105" s="8" t="str">
        <f t="shared" si="2855"/>
        <v>事業用資産</v>
      </c>
      <c r="H8105" s="8" t="str">
        <f t="shared" si="2852"/>
        <v>棚卸以外</v>
      </c>
      <c r="I8105" s="8">
        <v>9</v>
      </c>
      <c r="J8105" s="8" t="str">
        <f>"交通器材用倉庫"</f>
        <v>交通器材用倉庫</v>
      </c>
      <c r="K8105" s="8" t="str">
        <f>"コンクリートブロック造"</f>
        <v>コンクリートブロック造</v>
      </c>
      <c r="L8105" s="8" t="str">
        <f>"S60.03.30"</f>
        <v>S60.03.30</v>
      </c>
      <c r="M8105" s="8">
        <v>9.9</v>
      </c>
      <c r="N8105" s="8">
        <v>565000</v>
      </c>
      <c r="O8105" s="8">
        <v>564999</v>
      </c>
      <c r="P8105" s="8">
        <v>0</v>
      </c>
      <c r="Q8105" s="8" t="str">
        <f t="shared" si="2848"/>
        <v>公安委員会</v>
      </c>
      <c r="R8105" s="8" t="str">
        <f t="shared" si="2859"/>
        <v>北堺警察署</v>
      </c>
    </row>
    <row r="8106" spans="1:18" x14ac:dyDescent="0.45">
      <c r="A8106" s="8" t="str">
        <f t="shared" si="2856"/>
        <v>11572000000</v>
      </c>
      <c r="B8106" s="8" t="str">
        <f t="shared" si="2857"/>
        <v>北堺警察署</v>
      </c>
      <c r="C8106" s="8" t="str">
        <f t="shared" si="2850"/>
        <v>行政財産</v>
      </c>
      <c r="D8106" s="8" t="str">
        <f t="shared" si="2851"/>
        <v>警察（消防）施設</v>
      </c>
      <c r="E8106" s="8" t="str">
        <f t="shared" si="2858"/>
        <v>大阪府堺市　北区新金岡町１丁</v>
      </c>
      <c r="F8106" s="8"/>
      <c r="G8106" s="8" t="str">
        <f t="shared" si="2855"/>
        <v>事業用資産</v>
      </c>
      <c r="H8106" s="8" t="str">
        <f t="shared" si="2852"/>
        <v>棚卸以外</v>
      </c>
      <c r="I8106" s="8">
        <v>11</v>
      </c>
      <c r="J8106" s="8" t="str">
        <f>"倉庫Ａ"</f>
        <v>倉庫Ａ</v>
      </c>
      <c r="K8106" s="8" t="str">
        <f>"プレハブ"</f>
        <v>プレハブ</v>
      </c>
      <c r="L8106" s="8" t="str">
        <f>"H07.03.06"</f>
        <v>H07.03.06</v>
      </c>
      <c r="M8106" s="8">
        <v>14.58</v>
      </c>
      <c r="N8106" s="8">
        <v>626000</v>
      </c>
      <c r="O8106" s="8">
        <v>625999</v>
      </c>
      <c r="P8106" s="8">
        <v>0</v>
      </c>
      <c r="Q8106" s="8" t="str">
        <f t="shared" si="2848"/>
        <v>公安委員会</v>
      </c>
      <c r="R8106" s="8" t="str">
        <f t="shared" si="2859"/>
        <v>北堺警察署</v>
      </c>
    </row>
    <row r="8107" spans="1:18" x14ac:dyDescent="0.45">
      <c r="A8107" s="8" t="str">
        <f t="shared" si="2856"/>
        <v>11572000000</v>
      </c>
      <c r="B8107" s="8" t="str">
        <f t="shared" si="2857"/>
        <v>北堺警察署</v>
      </c>
      <c r="C8107" s="8" t="str">
        <f t="shared" si="2850"/>
        <v>行政財産</v>
      </c>
      <c r="D8107" s="8" t="str">
        <f t="shared" si="2851"/>
        <v>警察（消防）施設</v>
      </c>
      <c r="E8107" s="8" t="str">
        <f t="shared" si="2858"/>
        <v>大阪府堺市　北区新金岡町１丁</v>
      </c>
      <c r="F8107" s="8"/>
      <c r="G8107" s="8" t="str">
        <f t="shared" si="2855"/>
        <v>事業用資産</v>
      </c>
      <c r="H8107" s="8" t="str">
        <f t="shared" si="2852"/>
        <v>棚卸以外</v>
      </c>
      <c r="I8107" s="8">
        <v>13</v>
      </c>
      <c r="J8107" s="8" t="str">
        <f>"倉庫Ｃ"</f>
        <v>倉庫Ｃ</v>
      </c>
      <c r="K8107" s="8" t="str">
        <f>"プレハブ"</f>
        <v>プレハブ</v>
      </c>
      <c r="L8107" s="8" t="str">
        <f>"H15.03.25"</f>
        <v>H15.03.25</v>
      </c>
      <c r="M8107" s="8">
        <v>16.04</v>
      </c>
      <c r="N8107" s="8">
        <v>548000</v>
      </c>
      <c r="O8107" s="8">
        <v>456720</v>
      </c>
      <c r="P8107" s="8">
        <v>0</v>
      </c>
      <c r="Q8107" s="8" t="str">
        <f t="shared" si="2848"/>
        <v>公安委員会</v>
      </c>
      <c r="R8107" s="8" t="str">
        <f t="shared" si="2859"/>
        <v>北堺警察署</v>
      </c>
    </row>
    <row r="8108" spans="1:18" x14ac:dyDescent="0.45">
      <c r="A8108" s="8" t="str">
        <f t="shared" si="2856"/>
        <v>11572000000</v>
      </c>
      <c r="B8108" s="8" t="str">
        <f t="shared" si="2857"/>
        <v>北堺警察署</v>
      </c>
      <c r="C8108" s="8" t="str">
        <f t="shared" si="2850"/>
        <v>行政財産</v>
      </c>
      <c r="D8108" s="8" t="str">
        <f t="shared" si="2851"/>
        <v>警察（消防）施設</v>
      </c>
      <c r="E8108" s="8" t="str">
        <f t="shared" si="2858"/>
        <v>大阪府堺市　北区新金岡町１丁</v>
      </c>
      <c r="F8108" s="8"/>
      <c r="G8108" s="8" t="str">
        <f t="shared" si="2855"/>
        <v>事業用資産</v>
      </c>
      <c r="H8108" s="8" t="str">
        <f t="shared" si="2852"/>
        <v>棚卸以外</v>
      </c>
      <c r="I8108" s="8">
        <v>14</v>
      </c>
      <c r="J8108" s="8" t="str">
        <f>"物置"</f>
        <v>物置</v>
      </c>
      <c r="K8108" s="8" t="str">
        <f>"軽量鉄骨造"</f>
        <v>軽量鉄骨造</v>
      </c>
      <c r="L8108" s="8" t="str">
        <f>"H23.08.02"</f>
        <v>H23.08.02</v>
      </c>
      <c r="M8108" s="8">
        <v>6.5</v>
      </c>
      <c r="N8108" s="8">
        <v>270338</v>
      </c>
      <c r="O8108" s="8">
        <v>130521</v>
      </c>
      <c r="P8108" s="8">
        <v>0</v>
      </c>
      <c r="Q8108" s="8" t="str">
        <f t="shared" si="2848"/>
        <v>公安委員会</v>
      </c>
      <c r="R8108" s="8" t="str">
        <f t="shared" si="2859"/>
        <v>北堺警察署</v>
      </c>
    </row>
    <row r="8109" spans="1:18" x14ac:dyDescent="0.45">
      <c r="A8109" s="8" t="str">
        <f>"11572000130"</f>
        <v>11572000130</v>
      </c>
      <c r="B8109" s="8" t="str">
        <f>"長曽根交番"</f>
        <v>長曽根交番</v>
      </c>
      <c r="C8109" s="8" t="str">
        <f t="shared" si="2850"/>
        <v>行政財産</v>
      </c>
      <c r="D8109" s="8" t="str">
        <f t="shared" si="2851"/>
        <v>警察（消防）施設</v>
      </c>
      <c r="E8109" s="8" t="str">
        <f>"大阪府堺市　北区長曽根町"</f>
        <v>大阪府堺市　北区長曽根町</v>
      </c>
      <c r="F8109" s="8"/>
      <c r="G8109" s="8" t="str">
        <f t="shared" si="2855"/>
        <v>事業用資産</v>
      </c>
      <c r="H8109" s="8" t="str">
        <f t="shared" si="2852"/>
        <v>棚卸以外</v>
      </c>
      <c r="I8109" s="8">
        <v>2</v>
      </c>
      <c r="J8109" s="8" t="str">
        <f>"長曽根交番"</f>
        <v>長曽根交番</v>
      </c>
      <c r="K8109" s="8" t="str">
        <f>"鉄骨造"</f>
        <v>鉄骨造</v>
      </c>
      <c r="L8109" s="8" t="str">
        <f>"H11.01.25"</f>
        <v>H11.01.25</v>
      </c>
      <c r="M8109" s="8">
        <v>131.57</v>
      </c>
      <c r="N8109" s="8">
        <v>38198040</v>
      </c>
      <c r="O8109" s="8">
        <v>24287668</v>
      </c>
      <c r="P8109" s="8">
        <v>0</v>
      </c>
      <c r="Q8109" s="8" t="str">
        <f t="shared" si="2848"/>
        <v>公安委員会</v>
      </c>
      <c r="R8109" s="8" t="str">
        <f t="shared" si="2859"/>
        <v>北堺警察署</v>
      </c>
    </row>
    <row r="8110" spans="1:18" x14ac:dyDescent="0.45">
      <c r="A8110" s="8" t="str">
        <f>"11572000140"</f>
        <v>11572000140</v>
      </c>
      <c r="B8110" s="8" t="str">
        <f>"金田交番"</f>
        <v>金田交番</v>
      </c>
      <c r="C8110" s="8" t="str">
        <f t="shared" si="2850"/>
        <v>行政財産</v>
      </c>
      <c r="D8110" s="8" t="str">
        <f t="shared" si="2851"/>
        <v>警察（消防）施設</v>
      </c>
      <c r="E8110" s="8" t="str">
        <f>"大阪府堺市　北区金岡町"</f>
        <v>大阪府堺市　北区金岡町</v>
      </c>
      <c r="F8110" s="8"/>
      <c r="G8110" s="8" t="str">
        <f t="shared" si="2855"/>
        <v>事業用資産</v>
      </c>
      <c r="H8110" s="8" t="str">
        <f t="shared" si="2852"/>
        <v>棚卸以外</v>
      </c>
      <c r="I8110" s="8">
        <v>2</v>
      </c>
      <c r="J8110" s="8" t="str">
        <f>"金田交番"</f>
        <v>金田交番</v>
      </c>
      <c r="K8110" s="8" t="str">
        <f>"鉄筋コンクリート造"</f>
        <v>鉄筋コンクリート造</v>
      </c>
      <c r="L8110" s="8" t="str">
        <f>"S61.05.30"</f>
        <v>S61.05.30</v>
      </c>
      <c r="M8110" s="8">
        <v>54.4</v>
      </c>
      <c r="N8110" s="8">
        <v>11760422</v>
      </c>
      <c r="O8110" s="8">
        <v>8648256</v>
      </c>
      <c r="P8110" s="8">
        <v>0</v>
      </c>
      <c r="Q8110" s="8" t="str">
        <f t="shared" si="2848"/>
        <v>公安委員会</v>
      </c>
      <c r="R8110" s="8" t="str">
        <f t="shared" si="2859"/>
        <v>北堺警察署</v>
      </c>
    </row>
    <row r="8111" spans="1:18" x14ac:dyDescent="0.45">
      <c r="A8111" s="8" t="str">
        <f>"11572000190"</f>
        <v>11572000190</v>
      </c>
      <c r="B8111" s="8" t="str">
        <f>"新金岡交番"</f>
        <v>新金岡交番</v>
      </c>
      <c r="C8111" s="8" t="str">
        <f t="shared" si="2850"/>
        <v>行政財産</v>
      </c>
      <c r="D8111" s="8" t="str">
        <f t="shared" si="2851"/>
        <v>警察（消防）施設</v>
      </c>
      <c r="E8111" s="8" t="str">
        <f>"大阪府堺市　北区新金岡町３丁"</f>
        <v>大阪府堺市　北区新金岡町３丁</v>
      </c>
      <c r="F8111" s="8"/>
      <c r="G8111" s="8" t="str">
        <f t="shared" si="2855"/>
        <v>事業用資産</v>
      </c>
      <c r="H8111" s="8" t="str">
        <f t="shared" si="2852"/>
        <v>棚卸以外</v>
      </c>
      <c r="I8111" s="8">
        <v>1</v>
      </c>
      <c r="J8111" s="8" t="str">
        <f>"新金岡交番"</f>
        <v>新金岡交番</v>
      </c>
      <c r="K8111" s="8" t="str">
        <f>"鉄筋コンクリート造"</f>
        <v>鉄筋コンクリート造</v>
      </c>
      <c r="L8111" s="8" t="str">
        <f>"S43.03.29"</f>
        <v>S43.03.29</v>
      </c>
      <c r="M8111" s="8">
        <v>45.65</v>
      </c>
      <c r="N8111" s="8">
        <v>4748170</v>
      </c>
      <c r="O8111" s="8">
        <v>4606965</v>
      </c>
      <c r="P8111" s="8">
        <v>0</v>
      </c>
      <c r="Q8111" s="8" t="str">
        <f t="shared" si="2848"/>
        <v>公安委員会</v>
      </c>
      <c r="R8111" s="8" t="str">
        <f t="shared" si="2859"/>
        <v>北堺警察署</v>
      </c>
    </row>
    <row r="8112" spans="1:18" x14ac:dyDescent="0.45">
      <c r="A8112" s="8" t="str">
        <f>"11572000200"</f>
        <v>11572000200</v>
      </c>
      <c r="B8112" s="8" t="str">
        <f>"中百舌鳥交番"</f>
        <v>中百舌鳥交番</v>
      </c>
      <c r="C8112" s="8" t="str">
        <f t="shared" si="2850"/>
        <v>行政財産</v>
      </c>
      <c r="D8112" s="8" t="str">
        <f t="shared" si="2851"/>
        <v>警察（消防）施設</v>
      </c>
      <c r="E8112" s="8" t="str">
        <f>"大阪府堺市　北区百舌鳥梅町３丁"</f>
        <v>大阪府堺市　北区百舌鳥梅町３丁</v>
      </c>
      <c r="F8112" s="8"/>
      <c r="G8112" s="8" t="str">
        <f t="shared" si="2855"/>
        <v>事業用資産</v>
      </c>
      <c r="H8112" s="8" t="str">
        <f t="shared" si="2852"/>
        <v>棚卸以外</v>
      </c>
      <c r="I8112" s="8">
        <v>1</v>
      </c>
      <c r="J8112" s="8" t="str">
        <f>"中百舌鳥交番"</f>
        <v>中百舌鳥交番</v>
      </c>
      <c r="K8112" s="8" t="str">
        <f>"鉄筋コンクリート造"</f>
        <v>鉄筋コンクリート造</v>
      </c>
      <c r="L8112" s="8" t="str">
        <f>"S47.03.28"</f>
        <v>S47.03.28</v>
      </c>
      <c r="M8112" s="8">
        <v>82.34</v>
      </c>
      <c r="N8112" s="8">
        <v>7317618</v>
      </c>
      <c r="O8112" s="8">
        <v>7280475</v>
      </c>
      <c r="P8112" s="8">
        <v>0</v>
      </c>
      <c r="Q8112" s="8" t="str">
        <f t="shared" si="2848"/>
        <v>公安委員会</v>
      </c>
      <c r="R8112" s="8" t="str">
        <f t="shared" si="2859"/>
        <v>北堺警察署</v>
      </c>
    </row>
    <row r="8113" spans="1:18" x14ac:dyDescent="0.45">
      <c r="A8113" s="8" t="str">
        <f>"11572000210"</f>
        <v>11572000210</v>
      </c>
      <c r="B8113" s="8" t="str">
        <f>"野遠交番"</f>
        <v>野遠交番</v>
      </c>
      <c r="C8113" s="8" t="str">
        <f t="shared" si="2850"/>
        <v>行政財産</v>
      </c>
      <c r="D8113" s="8" t="str">
        <f t="shared" si="2851"/>
        <v>警察（消防）施設</v>
      </c>
      <c r="E8113" s="8" t="str">
        <f>"大阪府堺市　北区野遠町"</f>
        <v>大阪府堺市　北区野遠町</v>
      </c>
      <c r="F8113" s="8"/>
      <c r="G8113" s="8" t="str">
        <f t="shared" si="2855"/>
        <v>事業用資産</v>
      </c>
      <c r="H8113" s="8" t="str">
        <f t="shared" si="2852"/>
        <v>棚卸以外</v>
      </c>
      <c r="I8113" s="8">
        <v>1</v>
      </c>
      <c r="J8113" s="8" t="str">
        <f>"野遠交番"</f>
        <v>野遠交番</v>
      </c>
      <c r="K8113" s="8" t="str">
        <f>"コンクリートブロック造"</f>
        <v>コンクリートブロック造</v>
      </c>
      <c r="L8113" s="8" t="str">
        <f>"S46.03.27"</f>
        <v>S46.03.27</v>
      </c>
      <c r="M8113" s="8">
        <v>32.4</v>
      </c>
      <c r="N8113" s="8">
        <v>3140973</v>
      </c>
      <c r="O8113" s="8">
        <v>3119560</v>
      </c>
      <c r="P8113" s="8">
        <v>0</v>
      </c>
      <c r="Q8113" s="8" t="str">
        <f t="shared" si="2848"/>
        <v>公安委員会</v>
      </c>
      <c r="R8113" s="8" t="str">
        <f t="shared" si="2859"/>
        <v>北堺警察署</v>
      </c>
    </row>
    <row r="8114" spans="1:18" x14ac:dyDescent="0.45">
      <c r="A8114" s="8" t="str">
        <f>"11572000220"</f>
        <v>11572000220</v>
      </c>
      <c r="B8114" s="8" t="str">
        <f>"東浅香山町交番"</f>
        <v>東浅香山町交番</v>
      </c>
      <c r="C8114" s="8" t="str">
        <f t="shared" si="2850"/>
        <v>行政財産</v>
      </c>
      <c r="D8114" s="8" t="str">
        <f t="shared" si="2851"/>
        <v>警察（消防）施設</v>
      </c>
      <c r="E8114" s="8" t="str">
        <f>"大阪府堺市　北区東浅香山町３丁"</f>
        <v>大阪府堺市　北区東浅香山町３丁</v>
      </c>
      <c r="F8114" s="8"/>
      <c r="G8114" s="8" t="str">
        <f t="shared" si="2855"/>
        <v>事業用資産</v>
      </c>
      <c r="H8114" s="8" t="str">
        <f t="shared" si="2852"/>
        <v>棚卸以外</v>
      </c>
      <c r="I8114" s="8">
        <v>2</v>
      </c>
      <c r="J8114" s="8" t="str">
        <f>"東浅香山町交番"</f>
        <v>東浅香山町交番</v>
      </c>
      <c r="K8114" s="8" t="str">
        <f>"軽量鉄骨造"</f>
        <v>軽量鉄骨造</v>
      </c>
      <c r="L8114" s="8" t="str">
        <f>"H27.02.10"</f>
        <v>H27.02.10</v>
      </c>
      <c r="M8114" s="8">
        <v>72.900000000000006</v>
      </c>
      <c r="N8114" s="8">
        <v>26326001</v>
      </c>
      <c r="O8114" s="8">
        <v>8581224</v>
      </c>
      <c r="P8114" s="8">
        <v>0</v>
      </c>
      <c r="Q8114" s="8" t="str">
        <f t="shared" si="2848"/>
        <v>公安委員会</v>
      </c>
      <c r="R8114" s="8" t="str">
        <f t="shared" si="2859"/>
        <v>北堺警察署</v>
      </c>
    </row>
    <row r="8115" spans="1:18" x14ac:dyDescent="0.45">
      <c r="A8115" s="8" t="str">
        <f>"11572000240"</f>
        <v>11572000240</v>
      </c>
      <c r="B8115" s="8" t="str">
        <f>"浅香山交番"</f>
        <v>浅香山交番</v>
      </c>
      <c r="C8115" s="8" t="str">
        <f t="shared" si="2850"/>
        <v>行政財産</v>
      </c>
      <c r="D8115" s="8" t="str">
        <f t="shared" si="2851"/>
        <v>警察（消防）施設</v>
      </c>
      <c r="E8115" s="8" t="str">
        <f>"大阪府堺市　北区大豆塚町１丁"</f>
        <v>大阪府堺市　北区大豆塚町１丁</v>
      </c>
      <c r="F8115" s="8"/>
      <c r="G8115" s="8" t="str">
        <f t="shared" si="2855"/>
        <v>事業用資産</v>
      </c>
      <c r="H8115" s="8" t="str">
        <f t="shared" si="2852"/>
        <v>棚卸以外</v>
      </c>
      <c r="I8115" s="8">
        <v>1</v>
      </c>
      <c r="J8115" s="8" t="str">
        <f>"浅香山交番"</f>
        <v>浅香山交番</v>
      </c>
      <c r="K8115" s="8" t="str">
        <f>"鉄骨造"</f>
        <v>鉄骨造</v>
      </c>
      <c r="L8115" s="8" t="str">
        <f>"S55.03.31"</f>
        <v>S55.03.31</v>
      </c>
      <c r="M8115" s="8">
        <v>46.2</v>
      </c>
      <c r="N8115" s="8">
        <v>10741956</v>
      </c>
      <c r="O8115" s="8">
        <v>10724935</v>
      </c>
      <c r="P8115" s="8">
        <v>0</v>
      </c>
      <c r="Q8115" s="8" t="str">
        <f t="shared" ref="Q8115:Q8178" si="2861">"公安委員会"</f>
        <v>公安委員会</v>
      </c>
      <c r="R8115" s="8" t="str">
        <f t="shared" si="2859"/>
        <v>北堺警察署</v>
      </c>
    </row>
    <row r="8116" spans="1:18" x14ac:dyDescent="0.45">
      <c r="A8116" s="8" t="str">
        <f>"11572003002"</f>
        <v>11572003002</v>
      </c>
      <c r="B8116" s="8" t="str">
        <f>"百舌鳥交番"</f>
        <v>百舌鳥交番</v>
      </c>
      <c r="C8116" s="8" t="str">
        <f t="shared" si="2850"/>
        <v>行政財産</v>
      </c>
      <c r="D8116" s="8" t="str">
        <f t="shared" si="2851"/>
        <v>警察（消防）施設</v>
      </c>
      <c r="E8116" s="8" t="str">
        <f>"大阪府堺市　北区百舌鳥本町１丁"</f>
        <v>大阪府堺市　北区百舌鳥本町１丁</v>
      </c>
      <c r="F8116" s="8"/>
      <c r="G8116" s="8" t="str">
        <f t="shared" si="2855"/>
        <v>事業用資産</v>
      </c>
      <c r="H8116" s="8" t="str">
        <f t="shared" si="2852"/>
        <v>棚卸以外</v>
      </c>
      <c r="I8116" s="8">
        <v>1</v>
      </c>
      <c r="J8116" s="8" t="str">
        <f>"百舌鳥交番"</f>
        <v>百舌鳥交番</v>
      </c>
      <c r="K8116" s="8" t="str">
        <f>"軽量鉄骨造"</f>
        <v>軽量鉄骨造</v>
      </c>
      <c r="L8116" s="8" t="str">
        <f>"H30.12.04"</f>
        <v>H30.12.04</v>
      </c>
      <c r="M8116" s="8">
        <v>48.44</v>
      </c>
      <c r="N8116" s="8">
        <v>23737415</v>
      </c>
      <c r="O8116" s="8">
        <v>4168082</v>
      </c>
      <c r="P8116" s="8">
        <v>0</v>
      </c>
      <c r="Q8116" s="8" t="str">
        <f t="shared" si="2861"/>
        <v>公安委員会</v>
      </c>
      <c r="R8116" s="8" t="str">
        <f t="shared" si="2859"/>
        <v>北堺警察署</v>
      </c>
    </row>
    <row r="8117" spans="1:18" x14ac:dyDescent="0.45">
      <c r="A8117" s="8" t="str">
        <f>"11573000000"</f>
        <v>11573000000</v>
      </c>
      <c r="B8117" s="8" t="str">
        <f>"西堺警察署"</f>
        <v>西堺警察署</v>
      </c>
      <c r="C8117" s="8" t="str">
        <f t="shared" si="2850"/>
        <v>行政財産</v>
      </c>
      <c r="D8117" s="8" t="str">
        <f t="shared" si="2851"/>
        <v>警察（消防）施設</v>
      </c>
      <c r="E8117" s="8" t="str">
        <f>"大阪府堺市　西区鳳　東町４丁"</f>
        <v>大阪府堺市　西区鳳　東町４丁</v>
      </c>
      <c r="F8117" s="8"/>
      <c r="G8117" s="8" t="str">
        <f t="shared" si="2855"/>
        <v>事業用資産</v>
      </c>
      <c r="H8117" s="8" t="str">
        <f t="shared" si="2852"/>
        <v>棚卸以外</v>
      </c>
      <c r="I8117" s="8">
        <v>29</v>
      </c>
      <c r="J8117" s="8" t="str">
        <f>"庁舎"</f>
        <v>庁舎</v>
      </c>
      <c r="K8117" s="8" t="str">
        <f>"鉄筋コンクリート造"</f>
        <v>鉄筋コンクリート造</v>
      </c>
      <c r="L8117" s="8" t="str">
        <f>"H20.05.21"</f>
        <v>H20.05.21</v>
      </c>
      <c r="M8117" s="8">
        <v>5851.41</v>
      </c>
      <c r="N8117" s="8">
        <v>1252348953</v>
      </c>
      <c r="O8117" s="8">
        <v>371710162</v>
      </c>
      <c r="P8117" s="8">
        <v>0</v>
      </c>
      <c r="Q8117" s="8" t="str">
        <f t="shared" si="2861"/>
        <v>公安委員会</v>
      </c>
      <c r="R8117" s="8" t="str">
        <f t="shared" ref="R8117:R8127" si="2862">"西堺警察署"</f>
        <v>西堺警察署</v>
      </c>
    </row>
    <row r="8118" spans="1:18" x14ac:dyDescent="0.45">
      <c r="A8118" s="8" t="str">
        <f>"11573000000"</f>
        <v>11573000000</v>
      </c>
      <c r="B8118" s="8" t="str">
        <f>"西堺警察署"</f>
        <v>西堺警察署</v>
      </c>
      <c r="C8118" s="8" t="str">
        <f t="shared" ref="C8118:C8181" si="2863">"行政財産"</f>
        <v>行政財産</v>
      </c>
      <c r="D8118" s="8" t="str">
        <f t="shared" si="2851"/>
        <v>警察（消防）施設</v>
      </c>
      <c r="E8118" s="8" t="str">
        <f>"大阪府堺市　西区鳳　東町４丁"</f>
        <v>大阪府堺市　西区鳳　東町４丁</v>
      </c>
      <c r="F8118" s="8"/>
      <c r="G8118" s="8" t="str">
        <f t="shared" si="2855"/>
        <v>事業用資産</v>
      </c>
      <c r="H8118" s="8" t="str">
        <f t="shared" si="2852"/>
        <v>棚卸以外</v>
      </c>
      <c r="I8118" s="8">
        <v>32</v>
      </c>
      <c r="J8118" s="8" t="str">
        <f>"車庫Ｂ"</f>
        <v>車庫Ｂ</v>
      </c>
      <c r="K8118" s="8" t="str">
        <f>"鉄骨造"</f>
        <v>鉄骨造</v>
      </c>
      <c r="L8118" s="8" t="str">
        <f>"H20.05.21"</f>
        <v>H20.05.21</v>
      </c>
      <c r="M8118" s="8">
        <v>38.549999999999997</v>
      </c>
      <c r="N8118" s="8">
        <v>2096000</v>
      </c>
      <c r="O8118" s="8">
        <v>1003030</v>
      </c>
      <c r="P8118" s="8">
        <v>0</v>
      </c>
      <c r="Q8118" s="8" t="str">
        <f t="shared" si="2861"/>
        <v>公安委員会</v>
      </c>
      <c r="R8118" s="8" t="str">
        <f t="shared" si="2862"/>
        <v>西堺警察署</v>
      </c>
    </row>
    <row r="8119" spans="1:18" x14ac:dyDescent="0.45">
      <c r="A8119" s="8" t="str">
        <f>"11573000000"</f>
        <v>11573000000</v>
      </c>
      <c r="B8119" s="8" t="str">
        <f>"西堺警察署"</f>
        <v>西堺警察署</v>
      </c>
      <c r="C8119" s="8" t="str">
        <f t="shared" si="2863"/>
        <v>行政財産</v>
      </c>
      <c r="D8119" s="8" t="str">
        <f t="shared" si="2851"/>
        <v>警察（消防）施設</v>
      </c>
      <c r="E8119" s="8" t="str">
        <f>"大阪府堺市　西区鳳　東町４丁"</f>
        <v>大阪府堺市　西区鳳　東町４丁</v>
      </c>
      <c r="F8119" s="8"/>
      <c r="G8119" s="8" t="str">
        <f t="shared" si="2855"/>
        <v>事業用資産</v>
      </c>
      <c r="H8119" s="8" t="str">
        <f t="shared" si="2852"/>
        <v>棚卸以外</v>
      </c>
      <c r="I8119" s="8">
        <v>33</v>
      </c>
      <c r="J8119" s="8" t="str">
        <f>"ゴミ置場"</f>
        <v>ゴミ置場</v>
      </c>
      <c r="K8119" s="8" t="str">
        <f>"鉄筋コンクリート造"</f>
        <v>鉄筋コンクリート造</v>
      </c>
      <c r="L8119" s="8" t="str">
        <f>"H20.05.21"</f>
        <v>H20.05.21</v>
      </c>
      <c r="M8119" s="8">
        <v>3.2</v>
      </c>
      <c r="N8119" s="8">
        <v>433000</v>
      </c>
      <c r="O8119" s="8">
        <v>169100</v>
      </c>
      <c r="P8119" s="8">
        <v>0</v>
      </c>
      <c r="Q8119" s="8" t="str">
        <f t="shared" si="2861"/>
        <v>公安委員会</v>
      </c>
      <c r="R8119" s="8" t="str">
        <f t="shared" si="2862"/>
        <v>西堺警察署</v>
      </c>
    </row>
    <row r="8120" spans="1:18" x14ac:dyDescent="0.45">
      <c r="A8120" s="8" t="str">
        <f>"11573000000"</f>
        <v>11573000000</v>
      </c>
      <c r="B8120" s="8" t="str">
        <f>"西堺警察署"</f>
        <v>西堺警察署</v>
      </c>
      <c r="C8120" s="8" t="str">
        <f t="shared" si="2863"/>
        <v>行政財産</v>
      </c>
      <c r="D8120" s="8" t="str">
        <f t="shared" si="2851"/>
        <v>警察（消防）施設</v>
      </c>
      <c r="E8120" s="8" t="str">
        <f>"大阪府堺市　西区鳳　東町４丁"</f>
        <v>大阪府堺市　西区鳳　東町４丁</v>
      </c>
      <c r="F8120" s="8"/>
      <c r="G8120" s="8" t="str">
        <f t="shared" si="2855"/>
        <v>事業用資産</v>
      </c>
      <c r="H8120" s="8" t="str">
        <f t="shared" si="2852"/>
        <v>棚卸以外</v>
      </c>
      <c r="I8120" s="8">
        <v>34</v>
      </c>
      <c r="J8120" s="8" t="str">
        <f>"署長公舎兼倉庫棟"</f>
        <v>署長公舎兼倉庫棟</v>
      </c>
      <c r="K8120" s="8" t="str">
        <f>"鉄骨造"</f>
        <v>鉄骨造</v>
      </c>
      <c r="L8120" s="8" t="str">
        <f>"H20.05.21"</f>
        <v>H20.05.21</v>
      </c>
      <c r="M8120" s="8">
        <v>280.57</v>
      </c>
      <c r="N8120" s="8">
        <v>50505705</v>
      </c>
      <c r="O8120" s="8">
        <v>21996956</v>
      </c>
      <c r="P8120" s="8">
        <v>0</v>
      </c>
      <c r="Q8120" s="8" t="str">
        <f t="shared" si="2861"/>
        <v>公安委員会</v>
      </c>
      <c r="R8120" s="8" t="str">
        <f t="shared" si="2862"/>
        <v>西堺警察署</v>
      </c>
    </row>
    <row r="8121" spans="1:18" x14ac:dyDescent="0.45">
      <c r="A8121" s="8" t="str">
        <f>"11573000000"</f>
        <v>11573000000</v>
      </c>
      <c r="B8121" s="8" t="str">
        <f>"西堺警察署"</f>
        <v>西堺警察署</v>
      </c>
      <c r="C8121" s="8" t="str">
        <f t="shared" si="2863"/>
        <v>行政財産</v>
      </c>
      <c r="D8121" s="8" t="str">
        <f t="shared" si="2851"/>
        <v>警察（消防）施設</v>
      </c>
      <c r="E8121" s="8" t="str">
        <f>"大阪府堺市　西区鳳　東町４丁"</f>
        <v>大阪府堺市　西区鳳　東町４丁</v>
      </c>
      <c r="F8121" s="8"/>
      <c r="G8121" s="8" t="str">
        <f t="shared" si="2855"/>
        <v>事業用資産</v>
      </c>
      <c r="H8121" s="8" t="str">
        <f t="shared" si="2852"/>
        <v>棚卸以外</v>
      </c>
      <c r="I8121" s="8">
        <v>35</v>
      </c>
      <c r="J8121" s="8" t="str">
        <f>"車庫Ａ"</f>
        <v>車庫Ａ</v>
      </c>
      <c r="K8121" s="8" t="str">
        <f>"鉄骨造"</f>
        <v>鉄骨造</v>
      </c>
      <c r="L8121" s="8" t="str">
        <f>"H20.05.21"</f>
        <v>H20.05.21</v>
      </c>
      <c r="M8121" s="8">
        <v>61.19</v>
      </c>
      <c r="N8121" s="8">
        <v>5194000</v>
      </c>
      <c r="O8121" s="8">
        <v>2485414</v>
      </c>
      <c r="P8121" s="8">
        <v>0</v>
      </c>
      <c r="Q8121" s="8" t="str">
        <f t="shared" si="2861"/>
        <v>公安委員会</v>
      </c>
      <c r="R8121" s="8" t="str">
        <f t="shared" si="2862"/>
        <v>西堺警察署</v>
      </c>
    </row>
    <row r="8122" spans="1:18" x14ac:dyDescent="0.45">
      <c r="A8122" s="8" t="str">
        <f>"11573000120"</f>
        <v>11573000120</v>
      </c>
      <c r="B8122" s="8" t="str">
        <f>"浜寺公園警ら連絡所"</f>
        <v>浜寺公園警ら連絡所</v>
      </c>
      <c r="C8122" s="8" t="str">
        <f t="shared" si="2863"/>
        <v>行政財産</v>
      </c>
      <c r="D8122" s="8" t="str">
        <f t="shared" si="2851"/>
        <v>警察（消防）施設</v>
      </c>
      <c r="E8122" s="8" t="str">
        <f>"大阪府堺市　西区浜寺　公園町２丁"</f>
        <v>大阪府堺市　西区浜寺　公園町２丁</v>
      </c>
      <c r="F8122" s="8"/>
      <c r="G8122" s="8" t="str">
        <f t="shared" si="2855"/>
        <v>事業用資産</v>
      </c>
      <c r="H8122" s="8" t="str">
        <f t="shared" si="2852"/>
        <v>棚卸以外</v>
      </c>
      <c r="I8122" s="8">
        <v>1</v>
      </c>
      <c r="J8122" s="8" t="str">
        <f>"浜寺公園警ら連絡所"</f>
        <v>浜寺公園警ら連絡所</v>
      </c>
      <c r="K8122" s="8" t="str">
        <f>"鉄筋コンクリート造"</f>
        <v>鉄筋コンクリート造</v>
      </c>
      <c r="L8122" s="8" t="str">
        <f>"S09.07.09"</f>
        <v>S09.07.09</v>
      </c>
      <c r="M8122" s="8">
        <v>42.97</v>
      </c>
      <c r="N8122" s="8">
        <v>3799098</v>
      </c>
      <c r="O8122" s="8">
        <v>2976051</v>
      </c>
      <c r="P8122" s="8">
        <v>0</v>
      </c>
      <c r="Q8122" s="8" t="str">
        <f t="shared" si="2861"/>
        <v>公安委員会</v>
      </c>
      <c r="R8122" s="8" t="str">
        <f t="shared" si="2862"/>
        <v>西堺警察署</v>
      </c>
    </row>
    <row r="8123" spans="1:18" x14ac:dyDescent="0.45">
      <c r="A8123" s="8" t="str">
        <f>"11573000130"</f>
        <v>11573000130</v>
      </c>
      <c r="B8123" s="8" t="str">
        <f>"上野芝町交番"</f>
        <v>上野芝町交番</v>
      </c>
      <c r="C8123" s="8" t="str">
        <f t="shared" si="2863"/>
        <v>行政財産</v>
      </c>
      <c r="D8123" s="8" t="str">
        <f t="shared" si="2851"/>
        <v>警察（消防）施設</v>
      </c>
      <c r="E8123" s="8" t="str">
        <f>"大阪府堺市　西区上野芝町３丁"</f>
        <v>大阪府堺市　西区上野芝町３丁</v>
      </c>
      <c r="F8123" s="8"/>
      <c r="G8123" s="8" t="str">
        <f t="shared" si="2855"/>
        <v>事業用資産</v>
      </c>
      <c r="H8123" s="8" t="str">
        <f t="shared" si="2852"/>
        <v>棚卸以外</v>
      </c>
      <c r="I8123" s="8">
        <v>2</v>
      </c>
      <c r="J8123" s="8" t="str">
        <f>"上野芝町交番"</f>
        <v>上野芝町交番</v>
      </c>
      <c r="K8123" s="8" t="str">
        <f>"鉄骨造"</f>
        <v>鉄骨造</v>
      </c>
      <c r="L8123" s="8" t="str">
        <f>"S59.03.31"</f>
        <v>S59.03.31</v>
      </c>
      <c r="M8123" s="8">
        <v>55.58</v>
      </c>
      <c r="N8123" s="8">
        <v>15431975</v>
      </c>
      <c r="O8123" s="8">
        <v>15387679</v>
      </c>
      <c r="P8123" s="8">
        <v>0</v>
      </c>
      <c r="Q8123" s="8" t="str">
        <f t="shared" si="2861"/>
        <v>公安委員会</v>
      </c>
      <c r="R8123" s="8" t="str">
        <f t="shared" si="2862"/>
        <v>西堺警察署</v>
      </c>
    </row>
    <row r="8124" spans="1:18" x14ac:dyDescent="0.45">
      <c r="A8124" s="8" t="str">
        <f>"11573000160"</f>
        <v>11573000160</v>
      </c>
      <c r="B8124" s="8" t="str">
        <f>"福泉交番"</f>
        <v>福泉交番</v>
      </c>
      <c r="C8124" s="8" t="str">
        <f t="shared" si="2863"/>
        <v>行政財産</v>
      </c>
      <c r="D8124" s="8" t="str">
        <f t="shared" ref="D8124:D8187" si="2864">"警察（消防）施設"</f>
        <v>警察（消防）施設</v>
      </c>
      <c r="E8124" s="8" t="str">
        <f>"大阪府堺市　西区草部"</f>
        <v>大阪府堺市　西区草部</v>
      </c>
      <c r="F8124" s="8"/>
      <c r="G8124" s="8" t="str">
        <f t="shared" si="2855"/>
        <v>事業用資産</v>
      </c>
      <c r="H8124" s="8" t="str">
        <f t="shared" si="2852"/>
        <v>棚卸以外</v>
      </c>
      <c r="I8124" s="8">
        <v>2</v>
      </c>
      <c r="J8124" s="8" t="str">
        <f>"福泉交番"</f>
        <v>福泉交番</v>
      </c>
      <c r="K8124" s="8" t="str">
        <f>"鉄筋コンクリート造"</f>
        <v>鉄筋コンクリート造</v>
      </c>
      <c r="L8124" s="8" t="str">
        <f>"S62.03.31"</f>
        <v>S62.03.31</v>
      </c>
      <c r="M8124" s="8">
        <v>54</v>
      </c>
      <c r="N8124" s="8">
        <v>14323549</v>
      </c>
      <c r="O8124" s="8">
        <v>10271688</v>
      </c>
      <c r="P8124" s="8">
        <v>0</v>
      </c>
      <c r="Q8124" s="8" t="str">
        <f t="shared" si="2861"/>
        <v>公安委員会</v>
      </c>
      <c r="R8124" s="8" t="str">
        <f t="shared" si="2862"/>
        <v>西堺警察署</v>
      </c>
    </row>
    <row r="8125" spans="1:18" x14ac:dyDescent="0.45">
      <c r="A8125" s="8" t="str">
        <f>"11573000370"</f>
        <v>11573000370</v>
      </c>
      <c r="B8125" s="8" t="str">
        <f>"浜寺元町交番"</f>
        <v>浜寺元町交番</v>
      </c>
      <c r="C8125" s="8" t="str">
        <f t="shared" si="2863"/>
        <v>行政財産</v>
      </c>
      <c r="D8125" s="8" t="str">
        <f t="shared" si="2864"/>
        <v>警察（消防）施設</v>
      </c>
      <c r="E8125" s="8" t="str">
        <f>"大阪府堺市　西区浜寺　元町６丁"</f>
        <v>大阪府堺市　西区浜寺　元町６丁</v>
      </c>
      <c r="F8125" s="8"/>
      <c r="G8125" s="8" t="str">
        <f t="shared" si="2855"/>
        <v>事業用資産</v>
      </c>
      <c r="H8125" s="8" t="str">
        <f t="shared" si="2852"/>
        <v>棚卸以外</v>
      </c>
      <c r="I8125" s="8">
        <v>1</v>
      </c>
      <c r="J8125" s="8" t="str">
        <f>"浜寺元町交番"</f>
        <v>浜寺元町交番</v>
      </c>
      <c r="K8125" s="8" t="str">
        <f>"鉄筋コンクリート造"</f>
        <v>鉄筋コンクリート造</v>
      </c>
      <c r="L8125" s="8" t="str">
        <f>"S52.03.31"</f>
        <v>S52.03.31</v>
      </c>
      <c r="M8125" s="8">
        <v>99</v>
      </c>
      <c r="N8125" s="8">
        <v>13891708</v>
      </c>
      <c r="O8125" s="8">
        <v>12700269</v>
      </c>
      <c r="P8125" s="8">
        <v>0</v>
      </c>
      <c r="Q8125" s="8" t="str">
        <f t="shared" si="2861"/>
        <v>公安委員会</v>
      </c>
      <c r="R8125" s="8" t="str">
        <f t="shared" si="2862"/>
        <v>西堺警察署</v>
      </c>
    </row>
    <row r="8126" spans="1:18" x14ac:dyDescent="0.45">
      <c r="A8126" s="8" t="str">
        <f>"11573000390"</f>
        <v>11573000390</v>
      </c>
      <c r="B8126" s="8" t="str">
        <f>"浜寺石津西交番"</f>
        <v>浜寺石津西交番</v>
      </c>
      <c r="C8126" s="8" t="str">
        <f t="shared" si="2863"/>
        <v>行政財産</v>
      </c>
      <c r="D8126" s="8" t="str">
        <f t="shared" si="2864"/>
        <v>警察（消防）施設</v>
      </c>
      <c r="E8126" s="8" t="str">
        <f>"大阪府堺市　西区浜寺　石津町西３丁"</f>
        <v>大阪府堺市　西区浜寺　石津町西３丁</v>
      </c>
      <c r="F8126" s="8"/>
      <c r="G8126" s="8" t="str">
        <f t="shared" si="2855"/>
        <v>事業用資産</v>
      </c>
      <c r="H8126" s="8" t="str">
        <f t="shared" si="2852"/>
        <v>棚卸以外</v>
      </c>
      <c r="I8126" s="8">
        <v>1</v>
      </c>
      <c r="J8126" s="8" t="str">
        <f>"浜寺石津西交番"</f>
        <v>浜寺石津西交番</v>
      </c>
      <c r="K8126" s="8" t="str">
        <f>"鉄筋コンクリート造"</f>
        <v>鉄筋コンクリート造</v>
      </c>
      <c r="L8126" s="8" t="str">
        <f>"S53.12.08"</f>
        <v>S53.12.08</v>
      </c>
      <c r="M8126" s="8">
        <v>46.2</v>
      </c>
      <c r="N8126" s="8">
        <v>10417081</v>
      </c>
      <c r="O8126" s="8">
        <v>9167592</v>
      </c>
      <c r="P8126" s="8">
        <v>0</v>
      </c>
      <c r="Q8126" s="8" t="str">
        <f t="shared" si="2861"/>
        <v>公安委員会</v>
      </c>
      <c r="R8126" s="8" t="str">
        <f t="shared" si="2862"/>
        <v>西堺警察署</v>
      </c>
    </row>
    <row r="8127" spans="1:18" x14ac:dyDescent="0.45">
      <c r="A8127" s="8" t="str">
        <f>"11573003005"</f>
        <v>11573003005</v>
      </c>
      <c r="B8127" s="8" t="str">
        <f>"鳳駅前交番"</f>
        <v>鳳駅前交番</v>
      </c>
      <c r="C8127" s="8" t="str">
        <f t="shared" si="2863"/>
        <v>行政財産</v>
      </c>
      <c r="D8127" s="8" t="str">
        <f t="shared" si="2864"/>
        <v>警察（消防）施設</v>
      </c>
      <c r="E8127" s="8" t="str">
        <f>"大阪府堺市　西区鳳　東町１丁"</f>
        <v>大阪府堺市　西区鳳　東町１丁</v>
      </c>
      <c r="F8127" s="8"/>
      <c r="G8127" s="8" t="str">
        <f t="shared" si="2855"/>
        <v>事業用資産</v>
      </c>
      <c r="H8127" s="8" t="str">
        <f t="shared" si="2852"/>
        <v>棚卸以外</v>
      </c>
      <c r="I8127" s="8">
        <v>1</v>
      </c>
      <c r="J8127" s="8" t="str">
        <f>"鳳駅前交番"</f>
        <v>鳳駅前交番</v>
      </c>
      <c r="K8127" s="8" t="str">
        <f>"軽量鉄骨造"</f>
        <v>軽量鉄骨造</v>
      </c>
      <c r="L8127" s="8" t="str">
        <f>"H31.01.08"</f>
        <v>H31.01.08</v>
      </c>
      <c r="M8127" s="8">
        <v>73.16</v>
      </c>
      <c r="N8127" s="8">
        <v>35692796</v>
      </c>
      <c r="O8127" s="8">
        <v>5920119</v>
      </c>
      <c r="P8127" s="8">
        <v>0</v>
      </c>
      <c r="Q8127" s="8" t="str">
        <f t="shared" si="2861"/>
        <v>公安委員会</v>
      </c>
      <c r="R8127" s="8" t="str">
        <f t="shared" si="2862"/>
        <v>西堺警察署</v>
      </c>
    </row>
    <row r="8128" spans="1:18" x14ac:dyDescent="0.45">
      <c r="A8128" s="8" t="str">
        <f t="shared" ref="A8128:A8134" si="2865">"11574000000"</f>
        <v>11574000000</v>
      </c>
      <c r="B8128" s="8" t="str">
        <f t="shared" ref="B8128:B8134" si="2866">"高石警察署"</f>
        <v>高石警察署</v>
      </c>
      <c r="C8128" s="8" t="str">
        <f t="shared" si="2863"/>
        <v>行政財産</v>
      </c>
      <c r="D8128" s="8" t="str">
        <f t="shared" si="2864"/>
        <v>警察（消防）施設</v>
      </c>
      <c r="E8128" s="8" t="str">
        <f t="shared" ref="E8128:E8134" si="2867">"大阪府高石市羽衣４丁目"</f>
        <v>大阪府高石市羽衣４丁目</v>
      </c>
      <c r="F8128" s="8"/>
      <c r="G8128" s="8" t="str">
        <f t="shared" si="2855"/>
        <v>事業用資産</v>
      </c>
      <c r="H8128" s="8" t="str">
        <f t="shared" si="2852"/>
        <v>棚卸以外</v>
      </c>
      <c r="I8128" s="8">
        <v>21</v>
      </c>
      <c r="J8128" s="8" t="str">
        <f>"庁舎"</f>
        <v>庁舎</v>
      </c>
      <c r="K8128" s="8" t="str">
        <f>"鉄筋コンクリート造"</f>
        <v>鉄筋コンクリート造</v>
      </c>
      <c r="L8128" s="8" t="str">
        <f t="shared" ref="L8128:L8134" si="2868">"S50.08.30"</f>
        <v>S50.08.30</v>
      </c>
      <c r="M8128" s="8">
        <v>3519.2</v>
      </c>
      <c r="N8128" s="8">
        <v>657059678</v>
      </c>
      <c r="O8128" s="8">
        <v>549469098</v>
      </c>
      <c r="P8128" s="8">
        <v>0</v>
      </c>
      <c r="Q8128" s="8" t="str">
        <f t="shared" si="2861"/>
        <v>公安委員会</v>
      </c>
      <c r="R8128" s="8" t="str">
        <f t="shared" ref="R8128:R8141" si="2869">"高石警察署"</f>
        <v>高石警察署</v>
      </c>
    </row>
    <row r="8129" spans="1:18" x14ac:dyDescent="0.45">
      <c r="A8129" s="8" t="str">
        <f t="shared" si="2865"/>
        <v>11574000000</v>
      </c>
      <c r="B8129" s="8" t="str">
        <f t="shared" si="2866"/>
        <v>高石警察署</v>
      </c>
      <c r="C8129" s="8" t="str">
        <f t="shared" si="2863"/>
        <v>行政財産</v>
      </c>
      <c r="D8129" s="8" t="str">
        <f t="shared" si="2864"/>
        <v>警察（消防）施設</v>
      </c>
      <c r="E8129" s="8" t="str">
        <f t="shared" si="2867"/>
        <v>大阪府高石市羽衣４丁目</v>
      </c>
      <c r="F8129" s="8"/>
      <c r="G8129" s="8" t="str">
        <f t="shared" si="2855"/>
        <v>事業用資産</v>
      </c>
      <c r="H8129" s="8" t="str">
        <f t="shared" si="2852"/>
        <v>棚卸以外</v>
      </c>
      <c r="I8129" s="8">
        <v>22</v>
      </c>
      <c r="J8129" s="8" t="str">
        <f>"公舎"</f>
        <v>公舎</v>
      </c>
      <c r="K8129" s="8" t="str">
        <f>"鉄筋コンクリート造"</f>
        <v>鉄筋コンクリート造</v>
      </c>
      <c r="L8129" s="8" t="str">
        <f t="shared" si="2868"/>
        <v>S50.08.30</v>
      </c>
      <c r="M8129" s="8">
        <v>90.11</v>
      </c>
      <c r="N8129" s="8">
        <v>15688864</v>
      </c>
      <c r="O8129" s="8">
        <v>15676308</v>
      </c>
      <c r="P8129" s="8">
        <v>0</v>
      </c>
      <c r="Q8129" s="8" t="str">
        <f t="shared" si="2861"/>
        <v>公安委員会</v>
      </c>
      <c r="R8129" s="8" t="str">
        <f t="shared" si="2869"/>
        <v>高石警察署</v>
      </c>
    </row>
    <row r="8130" spans="1:18" x14ac:dyDescent="0.45">
      <c r="A8130" s="8" t="str">
        <f t="shared" si="2865"/>
        <v>11574000000</v>
      </c>
      <c r="B8130" s="8" t="str">
        <f t="shared" si="2866"/>
        <v>高石警察署</v>
      </c>
      <c r="C8130" s="8" t="str">
        <f t="shared" si="2863"/>
        <v>行政財産</v>
      </c>
      <c r="D8130" s="8" t="str">
        <f t="shared" si="2864"/>
        <v>警察（消防）施設</v>
      </c>
      <c r="E8130" s="8" t="str">
        <f t="shared" si="2867"/>
        <v>大阪府高石市羽衣４丁目</v>
      </c>
      <c r="F8130" s="8"/>
      <c r="G8130" s="8" t="str">
        <f t="shared" si="2855"/>
        <v>事業用資産</v>
      </c>
      <c r="H8130" s="8" t="str">
        <f t="shared" si="2852"/>
        <v>棚卸以外</v>
      </c>
      <c r="I8130" s="8">
        <v>23</v>
      </c>
      <c r="J8130" s="8" t="str">
        <f>"大型車庫"</f>
        <v>大型車庫</v>
      </c>
      <c r="K8130" s="8" t="str">
        <f>"鉄骨造"</f>
        <v>鉄骨造</v>
      </c>
      <c r="L8130" s="8" t="str">
        <f t="shared" si="2868"/>
        <v>S50.08.30</v>
      </c>
      <c r="M8130" s="8">
        <v>378.35</v>
      </c>
      <c r="N8130" s="8">
        <v>13194957</v>
      </c>
      <c r="O8130" s="8">
        <v>13194956</v>
      </c>
      <c r="P8130" s="8">
        <v>0</v>
      </c>
      <c r="Q8130" s="8" t="str">
        <f t="shared" si="2861"/>
        <v>公安委員会</v>
      </c>
      <c r="R8130" s="8" t="str">
        <f t="shared" si="2869"/>
        <v>高石警察署</v>
      </c>
    </row>
    <row r="8131" spans="1:18" x14ac:dyDescent="0.45">
      <c r="A8131" s="8" t="str">
        <f t="shared" si="2865"/>
        <v>11574000000</v>
      </c>
      <c r="B8131" s="8" t="str">
        <f t="shared" si="2866"/>
        <v>高石警察署</v>
      </c>
      <c r="C8131" s="8" t="str">
        <f t="shared" si="2863"/>
        <v>行政財産</v>
      </c>
      <c r="D8131" s="8" t="str">
        <f t="shared" si="2864"/>
        <v>警察（消防）施設</v>
      </c>
      <c r="E8131" s="8" t="str">
        <f t="shared" si="2867"/>
        <v>大阪府高石市羽衣４丁目</v>
      </c>
      <c r="F8131" s="8"/>
      <c r="G8131" s="8" t="str">
        <f t="shared" si="2855"/>
        <v>事業用資産</v>
      </c>
      <c r="H8131" s="8" t="str">
        <f t="shared" si="2852"/>
        <v>棚卸以外</v>
      </c>
      <c r="I8131" s="8">
        <v>24</v>
      </c>
      <c r="J8131" s="8" t="str">
        <f>"車庫"</f>
        <v>車庫</v>
      </c>
      <c r="K8131" s="8" t="str">
        <f>"鉄骨造"</f>
        <v>鉄骨造</v>
      </c>
      <c r="L8131" s="8" t="str">
        <f t="shared" si="2868"/>
        <v>S50.08.30</v>
      </c>
      <c r="M8131" s="8">
        <v>314.31</v>
      </c>
      <c r="N8131" s="8">
        <v>9325515</v>
      </c>
      <c r="O8131" s="8">
        <v>9325514</v>
      </c>
      <c r="P8131" s="8">
        <v>0</v>
      </c>
      <c r="Q8131" s="8" t="str">
        <f t="shared" si="2861"/>
        <v>公安委員会</v>
      </c>
      <c r="R8131" s="8" t="str">
        <f t="shared" si="2869"/>
        <v>高石警察署</v>
      </c>
    </row>
    <row r="8132" spans="1:18" x14ac:dyDescent="0.45">
      <c r="A8132" s="8" t="str">
        <f t="shared" si="2865"/>
        <v>11574000000</v>
      </c>
      <c r="B8132" s="8" t="str">
        <f t="shared" si="2866"/>
        <v>高石警察署</v>
      </c>
      <c r="C8132" s="8" t="str">
        <f t="shared" si="2863"/>
        <v>行政財産</v>
      </c>
      <c r="D8132" s="8" t="str">
        <f t="shared" si="2864"/>
        <v>警察（消防）施設</v>
      </c>
      <c r="E8132" s="8" t="str">
        <f t="shared" si="2867"/>
        <v>大阪府高石市羽衣４丁目</v>
      </c>
      <c r="F8132" s="8"/>
      <c r="G8132" s="8" t="str">
        <f t="shared" si="2855"/>
        <v>事業用資産</v>
      </c>
      <c r="H8132" s="8" t="str">
        <f t="shared" ref="H8132:H8195" si="2870">"棚卸以外"</f>
        <v>棚卸以外</v>
      </c>
      <c r="I8132" s="8">
        <v>25</v>
      </c>
      <c r="J8132" s="8" t="str">
        <f>"白バイ置場及び倉庫"</f>
        <v>白バイ置場及び倉庫</v>
      </c>
      <c r="K8132" s="8" t="str">
        <f>"鉄骨造"</f>
        <v>鉄骨造</v>
      </c>
      <c r="L8132" s="8" t="str">
        <f t="shared" si="2868"/>
        <v>S50.08.30</v>
      </c>
      <c r="M8132" s="8">
        <v>95.78</v>
      </c>
      <c r="N8132" s="8">
        <v>4227000</v>
      </c>
      <c r="O8132" s="8">
        <v>4226998</v>
      </c>
      <c r="P8132" s="8">
        <v>0</v>
      </c>
      <c r="Q8132" s="8" t="str">
        <f t="shared" si="2861"/>
        <v>公安委員会</v>
      </c>
      <c r="R8132" s="8" t="str">
        <f t="shared" si="2869"/>
        <v>高石警察署</v>
      </c>
    </row>
    <row r="8133" spans="1:18" x14ac:dyDescent="0.45">
      <c r="A8133" s="8" t="str">
        <f t="shared" si="2865"/>
        <v>11574000000</v>
      </c>
      <c r="B8133" s="8" t="str">
        <f t="shared" si="2866"/>
        <v>高石警察署</v>
      </c>
      <c r="C8133" s="8" t="str">
        <f t="shared" si="2863"/>
        <v>行政財産</v>
      </c>
      <c r="D8133" s="8" t="str">
        <f t="shared" si="2864"/>
        <v>警察（消防）施設</v>
      </c>
      <c r="E8133" s="8" t="str">
        <f t="shared" si="2867"/>
        <v>大阪府高石市羽衣４丁目</v>
      </c>
      <c r="F8133" s="8"/>
      <c r="G8133" s="8" t="str">
        <f t="shared" si="2855"/>
        <v>事業用資産</v>
      </c>
      <c r="H8133" s="8" t="str">
        <f t="shared" si="2870"/>
        <v>棚卸以外</v>
      </c>
      <c r="I8133" s="8">
        <v>26</v>
      </c>
      <c r="J8133" s="8" t="str">
        <f>"自転車置場"</f>
        <v>自転車置場</v>
      </c>
      <c r="K8133" s="8" t="str">
        <f>"鉄骨造"</f>
        <v>鉄骨造</v>
      </c>
      <c r="L8133" s="8" t="str">
        <f t="shared" si="2868"/>
        <v>S50.08.30</v>
      </c>
      <c r="M8133" s="8">
        <v>25.2</v>
      </c>
      <c r="N8133" s="8">
        <v>1104000</v>
      </c>
      <c r="O8133" s="8">
        <v>1103999</v>
      </c>
      <c r="P8133" s="8">
        <v>0</v>
      </c>
      <c r="Q8133" s="8" t="str">
        <f t="shared" si="2861"/>
        <v>公安委員会</v>
      </c>
      <c r="R8133" s="8" t="str">
        <f t="shared" si="2869"/>
        <v>高石警察署</v>
      </c>
    </row>
    <row r="8134" spans="1:18" x14ac:dyDescent="0.45">
      <c r="A8134" s="8" t="str">
        <f t="shared" si="2865"/>
        <v>11574000000</v>
      </c>
      <c r="B8134" s="8" t="str">
        <f t="shared" si="2866"/>
        <v>高石警察署</v>
      </c>
      <c r="C8134" s="8" t="str">
        <f t="shared" si="2863"/>
        <v>行政財産</v>
      </c>
      <c r="D8134" s="8" t="str">
        <f t="shared" si="2864"/>
        <v>警察（消防）施設</v>
      </c>
      <c r="E8134" s="8" t="str">
        <f t="shared" si="2867"/>
        <v>大阪府高石市羽衣４丁目</v>
      </c>
      <c r="F8134" s="8"/>
      <c r="G8134" s="8" t="str">
        <f t="shared" si="2855"/>
        <v>事業用資産</v>
      </c>
      <c r="H8134" s="8" t="str">
        <f t="shared" si="2870"/>
        <v>棚卸以外</v>
      </c>
      <c r="I8134" s="8">
        <v>27</v>
      </c>
      <c r="J8134" s="8" t="str">
        <f>"白バイ置場"</f>
        <v>白バイ置場</v>
      </c>
      <c r="K8134" s="8" t="str">
        <f>"鉄骨造"</f>
        <v>鉄骨造</v>
      </c>
      <c r="L8134" s="8" t="str">
        <f t="shared" si="2868"/>
        <v>S50.08.30</v>
      </c>
      <c r="M8134" s="8">
        <v>30</v>
      </c>
      <c r="N8134" s="8">
        <v>1101768</v>
      </c>
      <c r="O8134" s="8">
        <v>1101767</v>
      </c>
      <c r="P8134" s="8">
        <v>0</v>
      </c>
      <c r="Q8134" s="8" t="str">
        <f t="shared" si="2861"/>
        <v>公安委員会</v>
      </c>
      <c r="R8134" s="8" t="str">
        <f t="shared" si="2869"/>
        <v>高石警察署</v>
      </c>
    </row>
    <row r="8135" spans="1:18" x14ac:dyDescent="0.45">
      <c r="A8135" s="8" t="str">
        <f>"11574000120"</f>
        <v>11574000120</v>
      </c>
      <c r="B8135" s="8" t="str">
        <f>"千代田交番"</f>
        <v>千代田交番</v>
      </c>
      <c r="C8135" s="8" t="str">
        <f t="shared" si="2863"/>
        <v>行政財産</v>
      </c>
      <c r="D8135" s="8" t="str">
        <f t="shared" si="2864"/>
        <v>警察（消防）施設</v>
      </c>
      <c r="E8135" s="8" t="str">
        <f>"大阪府高石市千代田３丁目"</f>
        <v>大阪府高石市千代田３丁目</v>
      </c>
      <c r="F8135" s="8"/>
      <c r="G8135" s="8" t="str">
        <f t="shared" si="2855"/>
        <v>事業用資産</v>
      </c>
      <c r="H8135" s="8" t="str">
        <f t="shared" si="2870"/>
        <v>棚卸以外</v>
      </c>
      <c r="I8135" s="8">
        <v>1</v>
      </c>
      <c r="J8135" s="8" t="str">
        <f>"千代田交番"</f>
        <v>千代田交番</v>
      </c>
      <c r="K8135" s="8" t="str">
        <f>"鉄筋コンクリート造"</f>
        <v>鉄筋コンクリート造</v>
      </c>
      <c r="L8135" s="8" t="str">
        <f>"S46.03.31"</f>
        <v>S46.03.31</v>
      </c>
      <c r="M8135" s="8">
        <v>47.88</v>
      </c>
      <c r="N8135" s="8">
        <v>3522500</v>
      </c>
      <c r="O8135" s="8">
        <v>3522499</v>
      </c>
      <c r="P8135" s="8">
        <v>0</v>
      </c>
      <c r="Q8135" s="8" t="str">
        <f t="shared" si="2861"/>
        <v>公安委員会</v>
      </c>
      <c r="R8135" s="8" t="str">
        <f t="shared" si="2869"/>
        <v>高石警察署</v>
      </c>
    </row>
    <row r="8136" spans="1:18" x14ac:dyDescent="0.45">
      <c r="A8136" s="8" t="str">
        <f>"11574000130"</f>
        <v>11574000130</v>
      </c>
      <c r="B8136" s="8" t="str">
        <f>"臨海交通警察官詰所"</f>
        <v>臨海交通警察官詰所</v>
      </c>
      <c r="C8136" s="8" t="str">
        <f t="shared" si="2863"/>
        <v>行政財産</v>
      </c>
      <c r="D8136" s="8" t="str">
        <f t="shared" si="2864"/>
        <v>警察（消防）施設</v>
      </c>
      <c r="E8136" s="8" t="str">
        <f>"大阪府高石市高砂１丁目"</f>
        <v>大阪府高石市高砂１丁目</v>
      </c>
      <c r="F8136" s="8"/>
      <c r="G8136" s="8" t="str">
        <f t="shared" si="2855"/>
        <v>事業用資産</v>
      </c>
      <c r="H8136" s="8" t="str">
        <f t="shared" si="2870"/>
        <v>棚卸以外</v>
      </c>
      <c r="I8136" s="8">
        <v>1</v>
      </c>
      <c r="J8136" s="8" t="str">
        <f>"臨海交通警察官詰所"</f>
        <v>臨海交通警察官詰所</v>
      </c>
      <c r="K8136" s="8" t="str">
        <f>"軽量鉄骨造"</f>
        <v>軽量鉄骨造</v>
      </c>
      <c r="L8136" s="8" t="str">
        <f>"S48.03.31"</f>
        <v>S48.03.31</v>
      </c>
      <c r="M8136" s="8">
        <v>19.440000000000001</v>
      </c>
      <c r="N8136" s="8">
        <v>2090000</v>
      </c>
      <c r="O8136" s="8">
        <v>2089999</v>
      </c>
      <c r="P8136" s="8">
        <v>0</v>
      </c>
      <c r="Q8136" s="8" t="str">
        <f t="shared" si="2861"/>
        <v>公安委員会</v>
      </c>
      <c r="R8136" s="8" t="str">
        <f t="shared" si="2869"/>
        <v>高石警察署</v>
      </c>
    </row>
    <row r="8137" spans="1:18" x14ac:dyDescent="0.45">
      <c r="A8137" s="8" t="str">
        <f>"11574000140"</f>
        <v>11574000140</v>
      </c>
      <c r="B8137" s="8" t="str">
        <f>"綾井交番"</f>
        <v>綾井交番</v>
      </c>
      <c r="C8137" s="8" t="str">
        <f t="shared" si="2863"/>
        <v>行政財産</v>
      </c>
      <c r="D8137" s="8" t="str">
        <f t="shared" si="2864"/>
        <v>警察（消防）施設</v>
      </c>
      <c r="E8137" s="8" t="str">
        <f>"大阪府高石市綾園６丁目"</f>
        <v>大阪府高石市綾園６丁目</v>
      </c>
      <c r="F8137" s="8"/>
      <c r="G8137" s="8" t="str">
        <f t="shared" si="2855"/>
        <v>事業用資産</v>
      </c>
      <c r="H8137" s="8" t="str">
        <f t="shared" si="2870"/>
        <v>棚卸以外</v>
      </c>
      <c r="I8137" s="8">
        <v>1</v>
      </c>
      <c r="J8137" s="8" t="str">
        <f>"綾井交番"</f>
        <v>綾井交番</v>
      </c>
      <c r="K8137" s="8" t="str">
        <f>"鉄筋コンクリート造"</f>
        <v>鉄筋コンクリート造</v>
      </c>
      <c r="L8137" s="8" t="str">
        <f>"S51.03.22"</f>
        <v>S51.03.22</v>
      </c>
      <c r="M8137" s="8">
        <v>54</v>
      </c>
      <c r="N8137" s="8">
        <v>8895342</v>
      </c>
      <c r="O8137" s="8">
        <v>8350260</v>
      </c>
      <c r="P8137" s="8">
        <v>0</v>
      </c>
      <c r="Q8137" s="8" t="str">
        <f t="shared" si="2861"/>
        <v>公安委員会</v>
      </c>
      <c r="R8137" s="8" t="str">
        <f t="shared" si="2869"/>
        <v>高石警察署</v>
      </c>
    </row>
    <row r="8138" spans="1:18" x14ac:dyDescent="0.45">
      <c r="A8138" s="8" t="str">
        <f>"11574000160"</f>
        <v>11574000160</v>
      </c>
      <c r="B8138" s="8" t="str">
        <f>"東羽衣交番"</f>
        <v>東羽衣交番</v>
      </c>
      <c r="C8138" s="8" t="str">
        <f t="shared" si="2863"/>
        <v>行政財産</v>
      </c>
      <c r="D8138" s="8" t="str">
        <f t="shared" si="2864"/>
        <v>警察（消防）施設</v>
      </c>
      <c r="E8138" s="8" t="str">
        <f>"大阪府高石市東羽衣１丁目"</f>
        <v>大阪府高石市東羽衣１丁目</v>
      </c>
      <c r="F8138" s="8"/>
      <c r="G8138" s="8" t="str">
        <f t="shared" si="2855"/>
        <v>事業用資産</v>
      </c>
      <c r="H8138" s="8" t="str">
        <f t="shared" si="2870"/>
        <v>棚卸以外</v>
      </c>
      <c r="I8138" s="8">
        <v>1</v>
      </c>
      <c r="J8138" s="8" t="str">
        <f>"東羽衣交番"</f>
        <v>東羽衣交番</v>
      </c>
      <c r="K8138" s="8" t="str">
        <f>"鉄骨造"</f>
        <v>鉄骨造</v>
      </c>
      <c r="L8138" s="8" t="str">
        <f>"S60.03.29"</f>
        <v>S60.03.29</v>
      </c>
      <c r="M8138" s="8">
        <v>54</v>
      </c>
      <c r="N8138" s="8">
        <v>16705000</v>
      </c>
      <c r="O8138" s="8">
        <v>16704998</v>
      </c>
      <c r="P8138" s="8">
        <v>0</v>
      </c>
      <c r="Q8138" s="8" t="str">
        <f t="shared" si="2861"/>
        <v>公安委員会</v>
      </c>
      <c r="R8138" s="8" t="str">
        <f t="shared" si="2869"/>
        <v>高石警察署</v>
      </c>
    </row>
    <row r="8139" spans="1:18" x14ac:dyDescent="0.45">
      <c r="A8139" s="8" t="str">
        <f>"11574000160"</f>
        <v>11574000160</v>
      </c>
      <c r="B8139" s="8" t="str">
        <f>"東羽衣交番"</f>
        <v>東羽衣交番</v>
      </c>
      <c r="C8139" s="8" t="str">
        <f t="shared" si="2863"/>
        <v>行政財産</v>
      </c>
      <c r="D8139" s="8" t="str">
        <f t="shared" si="2864"/>
        <v>警察（消防）施設</v>
      </c>
      <c r="E8139" s="8" t="str">
        <f>"大阪府高石市東羽衣１丁目"</f>
        <v>大阪府高石市東羽衣１丁目</v>
      </c>
      <c r="F8139" s="8"/>
      <c r="G8139" s="8" t="str">
        <f t="shared" si="2855"/>
        <v>事業用資産</v>
      </c>
      <c r="H8139" s="8" t="str">
        <f t="shared" si="2870"/>
        <v>棚卸以外</v>
      </c>
      <c r="I8139" s="8">
        <v>2</v>
      </c>
      <c r="J8139" s="8" t="str">
        <f>"自転車置場"</f>
        <v>自転車置場</v>
      </c>
      <c r="K8139" s="8" t="str">
        <f>"鉄骨造"</f>
        <v>鉄骨造</v>
      </c>
      <c r="L8139" s="8" t="str">
        <f>"S60.03.29"</f>
        <v>S60.03.29</v>
      </c>
      <c r="M8139" s="8">
        <v>6.25</v>
      </c>
      <c r="N8139" s="8">
        <v>319000</v>
      </c>
      <c r="O8139" s="8">
        <v>318999</v>
      </c>
      <c r="P8139" s="8">
        <v>0</v>
      </c>
      <c r="Q8139" s="8" t="str">
        <f t="shared" si="2861"/>
        <v>公安委員会</v>
      </c>
      <c r="R8139" s="8" t="str">
        <f t="shared" si="2869"/>
        <v>高石警察署</v>
      </c>
    </row>
    <row r="8140" spans="1:18" x14ac:dyDescent="0.45">
      <c r="A8140" s="8" t="str">
        <f>"11574000180"</f>
        <v>11574000180</v>
      </c>
      <c r="B8140" s="8" t="str">
        <f>"富木駅前交番"</f>
        <v>富木駅前交番</v>
      </c>
      <c r="C8140" s="8" t="str">
        <f t="shared" si="2863"/>
        <v>行政財産</v>
      </c>
      <c r="D8140" s="8" t="str">
        <f t="shared" si="2864"/>
        <v>警察（消防）施設</v>
      </c>
      <c r="E8140" s="8" t="str">
        <f>"大阪府高石市西取石１丁目"</f>
        <v>大阪府高石市西取石１丁目</v>
      </c>
      <c r="F8140" s="8"/>
      <c r="G8140" s="8" t="str">
        <f t="shared" si="2855"/>
        <v>事業用資産</v>
      </c>
      <c r="H8140" s="8" t="str">
        <f t="shared" si="2870"/>
        <v>棚卸以外</v>
      </c>
      <c r="I8140" s="8">
        <v>1</v>
      </c>
      <c r="J8140" s="8" t="str">
        <f>"富木駅前交番"</f>
        <v>富木駅前交番</v>
      </c>
      <c r="K8140" s="8" t="str">
        <f>"鉄筋コンクリート造"</f>
        <v>鉄筋コンクリート造</v>
      </c>
      <c r="L8140" s="8" t="str">
        <f>"S63.03.25"</f>
        <v>S63.03.25</v>
      </c>
      <c r="M8140" s="8">
        <v>54</v>
      </c>
      <c r="N8140" s="8">
        <v>18788342</v>
      </c>
      <c r="O8140" s="8">
        <v>12463260</v>
      </c>
      <c r="P8140" s="8">
        <v>0</v>
      </c>
      <c r="Q8140" s="8" t="str">
        <f t="shared" si="2861"/>
        <v>公安委員会</v>
      </c>
      <c r="R8140" s="8" t="str">
        <f t="shared" si="2869"/>
        <v>高石警察署</v>
      </c>
    </row>
    <row r="8141" spans="1:18" x14ac:dyDescent="0.45">
      <c r="A8141" s="8" t="str">
        <f>"11574000180"</f>
        <v>11574000180</v>
      </c>
      <c r="B8141" s="8" t="str">
        <f>"富木駅前交番"</f>
        <v>富木駅前交番</v>
      </c>
      <c r="C8141" s="8" t="str">
        <f t="shared" si="2863"/>
        <v>行政財産</v>
      </c>
      <c r="D8141" s="8" t="str">
        <f t="shared" si="2864"/>
        <v>警察（消防）施設</v>
      </c>
      <c r="E8141" s="8" t="str">
        <f>"大阪府高石市西取石１丁目"</f>
        <v>大阪府高石市西取石１丁目</v>
      </c>
      <c r="F8141" s="8"/>
      <c r="G8141" s="8" t="str">
        <f t="shared" si="2855"/>
        <v>事業用資産</v>
      </c>
      <c r="H8141" s="8" t="str">
        <f t="shared" si="2870"/>
        <v>棚卸以外</v>
      </c>
      <c r="I8141" s="8">
        <v>2</v>
      </c>
      <c r="J8141" s="8" t="str">
        <f>"自転車置場"</f>
        <v>自転車置場</v>
      </c>
      <c r="K8141" s="8" t="str">
        <f>"鉄骨造"</f>
        <v>鉄骨造</v>
      </c>
      <c r="L8141" s="8" t="str">
        <f>"S63.03.25"</f>
        <v>S63.03.25</v>
      </c>
      <c r="M8141" s="8">
        <v>4.51</v>
      </c>
      <c r="N8141" s="8">
        <v>437000</v>
      </c>
      <c r="O8141" s="8">
        <v>436999</v>
      </c>
      <c r="P8141" s="8">
        <v>0</v>
      </c>
      <c r="Q8141" s="8" t="str">
        <f t="shared" si="2861"/>
        <v>公安委員会</v>
      </c>
      <c r="R8141" s="8" t="str">
        <f t="shared" si="2869"/>
        <v>高石警察署</v>
      </c>
    </row>
    <row r="8142" spans="1:18" x14ac:dyDescent="0.45">
      <c r="A8142" s="8" t="str">
        <f>"11575000000"</f>
        <v>11575000000</v>
      </c>
      <c r="B8142" s="8" t="str">
        <f>"泉大津警察署"</f>
        <v>泉大津警察署</v>
      </c>
      <c r="C8142" s="8" t="str">
        <f t="shared" si="2863"/>
        <v>行政財産</v>
      </c>
      <c r="D8142" s="8" t="str">
        <f t="shared" si="2864"/>
        <v>警察（消防）施設</v>
      </c>
      <c r="E8142" s="8" t="str">
        <f>"大阪府泉大津市田中町"</f>
        <v>大阪府泉大津市田中町</v>
      </c>
      <c r="F8142" s="8"/>
      <c r="G8142" s="8" t="str">
        <f t="shared" si="2855"/>
        <v>事業用資産</v>
      </c>
      <c r="H8142" s="8" t="str">
        <f t="shared" si="2870"/>
        <v>棚卸以外</v>
      </c>
      <c r="I8142" s="8">
        <v>23</v>
      </c>
      <c r="J8142" s="8" t="str">
        <f>"庁舎"</f>
        <v>庁舎</v>
      </c>
      <c r="K8142" s="8" t="str">
        <f>"鉄筋コンクリート造"</f>
        <v>鉄筋コンクリート造</v>
      </c>
      <c r="L8142" s="8" t="str">
        <f>"S50.08.31"</f>
        <v>S50.08.31</v>
      </c>
      <c r="M8142" s="8">
        <v>2479.67</v>
      </c>
      <c r="N8142" s="8">
        <v>622538705</v>
      </c>
      <c r="O8142" s="8">
        <v>446306014</v>
      </c>
      <c r="P8142" s="8">
        <v>0</v>
      </c>
      <c r="Q8142" s="8" t="str">
        <f t="shared" si="2861"/>
        <v>公安委員会</v>
      </c>
      <c r="R8142" s="8" t="str">
        <f t="shared" ref="R8142:R8154" si="2871">"泉大津警察署"</f>
        <v>泉大津警察署</v>
      </c>
    </row>
    <row r="8143" spans="1:18" x14ac:dyDescent="0.45">
      <c r="A8143" s="8" t="str">
        <f>"11575000000"</f>
        <v>11575000000</v>
      </c>
      <c r="B8143" s="8" t="str">
        <f>"泉大津警察署"</f>
        <v>泉大津警察署</v>
      </c>
      <c r="C8143" s="8" t="str">
        <f t="shared" si="2863"/>
        <v>行政財産</v>
      </c>
      <c r="D8143" s="8" t="str">
        <f t="shared" si="2864"/>
        <v>警察（消防）施設</v>
      </c>
      <c r="E8143" s="8" t="str">
        <f>"大阪府泉大津市田中町"</f>
        <v>大阪府泉大津市田中町</v>
      </c>
      <c r="F8143" s="8"/>
      <c r="G8143" s="8" t="str">
        <f t="shared" si="2855"/>
        <v>事業用資産</v>
      </c>
      <c r="H8143" s="8" t="str">
        <f t="shared" si="2870"/>
        <v>棚卸以外</v>
      </c>
      <c r="I8143" s="8">
        <v>24</v>
      </c>
      <c r="J8143" s="8" t="str">
        <f>"倉庫"</f>
        <v>倉庫</v>
      </c>
      <c r="K8143" s="8" t="str">
        <f>"鉄骨造"</f>
        <v>鉄骨造</v>
      </c>
      <c r="L8143" s="8" t="str">
        <f>"S50.08.31"</f>
        <v>S50.08.31</v>
      </c>
      <c r="M8143" s="8">
        <v>163.95</v>
      </c>
      <c r="N8143" s="8">
        <v>19219000</v>
      </c>
      <c r="O8143" s="8">
        <v>19218999</v>
      </c>
      <c r="P8143" s="8">
        <v>0</v>
      </c>
      <c r="Q8143" s="8" t="str">
        <f t="shared" si="2861"/>
        <v>公安委員会</v>
      </c>
      <c r="R8143" s="8" t="str">
        <f t="shared" si="2871"/>
        <v>泉大津警察署</v>
      </c>
    </row>
    <row r="8144" spans="1:18" x14ac:dyDescent="0.45">
      <c r="A8144" s="8" t="str">
        <f>"11575000100"</f>
        <v>11575000100</v>
      </c>
      <c r="B8144" s="8" t="s">
        <v>26</v>
      </c>
      <c r="C8144" s="8" t="str">
        <f t="shared" si="2863"/>
        <v>行政財産</v>
      </c>
      <c r="D8144" s="8" t="str">
        <f t="shared" si="2864"/>
        <v>警察（消防）施設</v>
      </c>
      <c r="E8144" s="8" t="s">
        <v>57</v>
      </c>
      <c r="F8144" s="8"/>
      <c r="G8144" s="8" t="str">
        <f t="shared" si="2855"/>
        <v>事業用資産</v>
      </c>
      <c r="H8144" s="8" t="str">
        <f t="shared" si="2870"/>
        <v>棚卸以外</v>
      </c>
      <c r="I8144" s="8">
        <v>1</v>
      </c>
      <c r="J8144" s="8" t="s">
        <v>26</v>
      </c>
      <c r="K8144" s="8" t="str">
        <f>"鉄筋コンクリート造"</f>
        <v>鉄筋コンクリート造</v>
      </c>
      <c r="L8144" s="8" t="str">
        <f>"S50.03.31"</f>
        <v>S50.03.31</v>
      </c>
      <c r="M8144" s="8">
        <v>83.55</v>
      </c>
      <c r="N8144" s="8">
        <v>13037596</v>
      </c>
      <c r="O8144" s="8">
        <v>13020710</v>
      </c>
      <c r="P8144" s="8">
        <v>0</v>
      </c>
      <c r="Q8144" s="8" t="str">
        <f t="shared" si="2861"/>
        <v>公安委員会</v>
      </c>
      <c r="R8144" s="8" t="str">
        <f t="shared" si="2871"/>
        <v>泉大津警察署</v>
      </c>
    </row>
    <row r="8145" spans="1:18" x14ac:dyDescent="0.45">
      <c r="A8145" s="8" t="str">
        <f>"11575000120"</f>
        <v>11575000120</v>
      </c>
      <c r="B8145" s="8" t="str">
        <f>"穴師交番"</f>
        <v>穴師交番</v>
      </c>
      <c r="C8145" s="8" t="str">
        <f t="shared" si="2863"/>
        <v>行政財産</v>
      </c>
      <c r="D8145" s="8" t="str">
        <f t="shared" si="2864"/>
        <v>警察（消防）施設</v>
      </c>
      <c r="E8145" s="8" t="str">
        <f>"大阪府泉大津市我孫子"</f>
        <v>大阪府泉大津市我孫子</v>
      </c>
      <c r="F8145" s="8"/>
      <c r="G8145" s="8" t="str">
        <f t="shared" si="2855"/>
        <v>事業用資産</v>
      </c>
      <c r="H8145" s="8" t="str">
        <f t="shared" si="2870"/>
        <v>棚卸以外</v>
      </c>
      <c r="I8145" s="8">
        <v>2</v>
      </c>
      <c r="J8145" s="8" t="str">
        <f>"穴師交番"</f>
        <v>穴師交番</v>
      </c>
      <c r="K8145" s="8" t="str">
        <f>"鉄骨造"</f>
        <v>鉄骨造</v>
      </c>
      <c r="L8145" s="8" t="str">
        <f>"H19.03.08"</f>
        <v>H19.03.08</v>
      </c>
      <c r="M8145" s="8">
        <v>132.72</v>
      </c>
      <c r="N8145" s="8">
        <v>28647000</v>
      </c>
      <c r="O8145" s="8">
        <v>12062016</v>
      </c>
      <c r="P8145" s="8">
        <v>0</v>
      </c>
      <c r="Q8145" s="8" t="str">
        <f t="shared" si="2861"/>
        <v>公安委員会</v>
      </c>
      <c r="R8145" s="8" t="str">
        <f t="shared" si="2871"/>
        <v>泉大津警察署</v>
      </c>
    </row>
    <row r="8146" spans="1:18" x14ac:dyDescent="0.45">
      <c r="A8146" s="8" t="str">
        <f>"11575000150"</f>
        <v>11575000150</v>
      </c>
      <c r="B8146" s="8" t="str">
        <f>"宇多交番"</f>
        <v>宇多交番</v>
      </c>
      <c r="C8146" s="8" t="str">
        <f t="shared" si="2863"/>
        <v>行政財産</v>
      </c>
      <c r="D8146" s="8" t="str">
        <f t="shared" si="2864"/>
        <v>警察（消防）施設</v>
      </c>
      <c r="E8146" s="8" t="str">
        <f>"大阪府泉大津市上之町"</f>
        <v>大阪府泉大津市上之町</v>
      </c>
      <c r="F8146" s="8"/>
      <c r="G8146" s="8" t="str">
        <f t="shared" si="2855"/>
        <v>事業用資産</v>
      </c>
      <c r="H8146" s="8" t="str">
        <f t="shared" si="2870"/>
        <v>棚卸以外</v>
      </c>
      <c r="I8146" s="8">
        <v>2</v>
      </c>
      <c r="J8146" s="8" t="str">
        <f>"宇多交番"</f>
        <v>宇多交番</v>
      </c>
      <c r="K8146" s="8" t="str">
        <f>"鉄骨造"</f>
        <v>鉄骨造</v>
      </c>
      <c r="L8146" s="8" t="str">
        <f>"H20.03.14"</f>
        <v>H20.03.14</v>
      </c>
      <c r="M8146" s="8">
        <v>54.86</v>
      </c>
      <c r="N8146" s="8">
        <v>15407000</v>
      </c>
      <c r="O8146" s="8">
        <v>6081840</v>
      </c>
      <c r="P8146" s="8">
        <v>0</v>
      </c>
      <c r="Q8146" s="8" t="str">
        <f t="shared" si="2861"/>
        <v>公安委員会</v>
      </c>
      <c r="R8146" s="8" t="str">
        <f t="shared" si="2871"/>
        <v>泉大津警察署</v>
      </c>
    </row>
    <row r="8147" spans="1:18" x14ac:dyDescent="0.45">
      <c r="A8147" s="8" t="str">
        <f>"11575000170"</f>
        <v>11575000170</v>
      </c>
      <c r="B8147" s="8" t="str">
        <f>"忠岡町西交番"</f>
        <v>忠岡町西交番</v>
      </c>
      <c r="C8147" s="8" t="str">
        <f t="shared" si="2863"/>
        <v>行政財産</v>
      </c>
      <c r="D8147" s="8" t="str">
        <f t="shared" si="2864"/>
        <v>警察（消防）施設</v>
      </c>
      <c r="E8147" s="8" t="str">
        <f>"大阪府泉北郡　忠岡町忠岡南１丁目"</f>
        <v>大阪府泉北郡　忠岡町忠岡南１丁目</v>
      </c>
      <c r="F8147" s="8"/>
      <c r="G8147" s="8" t="str">
        <f t="shared" si="2855"/>
        <v>事業用資産</v>
      </c>
      <c r="H8147" s="8" t="str">
        <f t="shared" si="2870"/>
        <v>棚卸以外</v>
      </c>
      <c r="I8147" s="8">
        <v>2</v>
      </c>
      <c r="J8147" s="8" t="str">
        <f>"忠岡町西交番"</f>
        <v>忠岡町西交番</v>
      </c>
      <c r="K8147" s="8" t="str">
        <f>"鉄筋コンクリート造"</f>
        <v>鉄筋コンクリート造</v>
      </c>
      <c r="L8147" s="8" t="str">
        <f>"S61.03.31"</f>
        <v>S61.03.31</v>
      </c>
      <c r="M8147" s="8">
        <v>54</v>
      </c>
      <c r="N8147" s="8">
        <v>14844000</v>
      </c>
      <c r="O8147" s="8">
        <v>10984560</v>
      </c>
      <c r="P8147" s="8">
        <v>0</v>
      </c>
      <c r="Q8147" s="8" t="str">
        <f t="shared" si="2861"/>
        <v>公安委員会</v>
      </c>
      <c r="R8147" s="8" t="str">
        <f t="shared" si="2871"/>
        <v>泉大津警察署</v>
      </c>
    </row>
    <row r="8148" spans="1:18" x14ac:dyDescent="0.45">
      <c r="A8148" s="8" t="str">
        <f>"11575000210"</f>
        <v>11575000210</v>
      </c>
      <c r="B8148" s="8" t="str">
        <f>"北助松駅前交番"</f>
        <v>北助松駅前交番</v>
      </c>
      <c r="C8148" s="8" t="str">
        <f t="shared" si="2863"/>
        <v>行政財産</v>
      </c>
      <c r="D8148" s="8" t="str">
        <f t="shared" si="2864"/>
        <v>警察（消防）施設</v>
      </c>
      <c r="E8148" s="8" t="str">
        <f>"大阪府泉大津市助松町１丁目"</f>
        <v>大阪府泉大津市助松町１丁目</v>
      </c>
      <c r="F8148" s="8"/>
      <c r="G8148" s="8" t="str">
        <f t="shared" si="2855"/>
        <v>事業用資産</v>
      </c>
      <c r="H8148" s="8" t="str">
        <f t="shared" si="2870"/>
        <v>棚卸以外</v>
      </c>
      <c r="I8148" s="8">
        <v>3</v>
      </c>
      <c r="J8148" s="8" t="str">
        <f>"北助松駅前交番"</f>
        <v>北助松駅前交番</v>
      </c>
      <c r="K8148" s="8" t="str">
        <f>"軽量鉄骨造"</f>
        <v>軽量鉄骨造</v>
      </c>
      <c r="L8148" s="8" t="str">
        <f>"R02.03.03"</f>
        <v>R02.03.03</v>
      </c>
      <c r="M8148" s="8">
        <v>72</v>
      </c>
      <c r="N8148" s="8">
        <v>31744670</v>
      </c>
      <c r="O8148" s="8">
        <v>3868632</v>
      </c>
      <c r="P8148" s="8">
        <v>0</v>
      </c>
      <c r="Q8148" s="8" t="str">
        <f t="shared" si="2861"/>
        <v>公安委員会</v>
      </c>
      <c r="R8148" s="8" t="str">
        <f t="shared" si="2871"/>
        <v>泉大津警察署</v>
      </c>
    </row>
    <row r="8149" spans="1:18" x14ac:dyDescent="0.45">
      <c r="A8149" s="8" t="str">
        <f>"11575000220"</f>
        <v>11575000220</v>
      </c>
      <c r="B8149" s="8" t="str">
        <f>"松之浜交番"</f>
        <v>松之浜交番</v>
      </c>
      <c r="C8149" s="8" t="str">
        <f t="shared" si="2863"/>
        <v>行政財産</v>
      </c>
      <c r="D8149" s="8" t="str">
        <f t="shared" si="2864"/>
        <v>警察（消防）施設</v>
      </c>
      <c r="E8149" s="8" t="str">
        <f>"大阪府泉大津市松之浜町２丁目"</f>
        <v>大阪府泉大津市松之浜町２丁目</v>
      </c>
      <c r="F8149" s="8"/>
      <c r="G8149" s="8" t="str">
        <f t="shared" si="2855"/>
        <v>事業用資産</v>
      </c>
      <c r="H8149" s="8" t="str">
        <f t="shared" si="2870"/>
        <v>棚卸以外</v>
      </c>
      <c r="I8149" s="8">
        <v>2</v>
      </c>
      <c r="J8149" s="8" t="str">
        <f>"松之浜交番"</f>
        <v>松之浜交番</v>
      </c>
      <c r="K8149" s="8" t="str">
        <f>"軽量鉄骨造"</f>
        <v>軽量鉄骨造</v>
      </c>
      <c r="L8149" s="8" t="str">
        <f>"H25.03.29"</f>
        <v>H25.03.29</v>
      </c>
      <c r="M8149" s="8">
        <v>68.62</v>
      </c>
      <c r="N8149" s="8">
        <v>20641197</v>
      </c>
      <c r="O8149" s="8">
        <v>8392320</v>
      </c>
      <c r="P8149" s="8">
        <v>0</v>
      </c>
      <c r="Q8149" s="8" t="str">
        <f t="shared" si="2861"/>
        <v>公安委員会</v>
      </c>
      <c r="R8149" s="8" t="str">
        <f t="shared" si="2871"/>
        <v>泉大津警察署</v>
      </c>
    </row>
    <row r="8150" spans="1:18" x14ac:dyDescent="0.45">
      <c r="A8150" s="8" t="str">
        <f>"11575000220"</f>
        <v>11575000220</v>
      </c>
      <c r="B8150" s="8" t="str">
        <f>"松之浜交番"</f>
        <v>松之浜交番</v>
      </c>
      <c r="C8150" s="8" t="str">
        <f t="shared" si="2863"/>
        <v>行政財産</v>
      </c>
      <c r="D8150" s="8" t="str">
        <f t="shared" si="2864"/>
        <v>警察（消防）施設</v>
      </c>
      <c r="E8150" s="8" t="str">
        <f>"大阪府泉大津市松之浜町２丁目"</f>
        <v>大阪府泉大津市松之浜町２丁目</v>
      </c>
      <c r="F8150" s="8"/>
      <c r="G8150" s="8" t="str">
        <f t="shared" si="2855"/>
        <v>事業用資産</v>
      </c>
      <c r="H8150" s="8" t="str">
        <f t="shared" si="2870"/>
        <v>棚卸以外</v>
      </c>
      <c r="I8150" s="8">
        <v>3</v>
      </c>
      <c r="J8150" s="8" t="str">
        <f>"防災資材倉庫"</f>
        <v>防災資材倉庫</v>
      </c>
      <c r="K8150" s="8" t="str">
        <f>"土蔵造(簡易建物)"</f>
        <v>土蔵造(簡易建物)</v>
      </c>
      <c r="L8150" s="8" t="str">
        <f>"H25.03.29"</f>
        <v>H25.03.29</v>
      </c>
      <c r="M8150" s="8">
        <v>1.96</v>
      </c>
      <c r="N8150" s="8">
        <v>223884</v>
      </c>
      <c r="O8150" s="8">
        <v>93360</v>
      </c>
      <c r="P8150" s="8">
        <v>0</v>
      </c>
      <c r="Q8150" s="8" t="str">
        <f t="shared" si="2861"/>
        <v>公安委員会</v>
      </c>
      <c r="R8150" s="8" t="str">
        <f t="shared" si="2871"/>
        <v>泉大津警察署</v>
      </c>
    </row>
    <row r="8151" spans="1:18" x14ac:dyDescent="0.45">
      <c r="A8151" s="8" t="str">
        <f>"11575000230"</f>
        <v>11575000230</v>
      </c>
      <c r="B8151" s="8" t="str">
        <f>"忠岡町交番"</f>
        <v>忠岡町交番</v>
      </c>
      <c r="C8151" s="8" t="str">
        <f t="shared" si="2863"/>
        <v>行政財産</v>
      </c>
      <c r="D8151" s="8" t="str">
        <f t="shared" si="2864"/>
        <v>警察（消防）施設</v>
      </c>
      <c r="E8151" s="8" t="str">
        <f>"大阪府泉北郡　忠岡町忠岡北１丁目"</f>
        <v>大阪府泉北郡　忠岡町忠岡北１丁目</v>
      </c>
      <c r="F8151" s="8"/>
      <c r="G8151" s="8" t="str">
        <f t="shared" ref="G8151:G8214" si="2872">"事業用資産"</f>
        <v>事業用資産</v>
      </c>
      <c r="H8151" s="8" t="str">
        <f t="shared" si="2870"/>
        <v>棚卸以外</v>
      </c>
      <c r="I8151" s="8">
        <v>1</v>
      </c>
      <c r="J8151" s="8" t="str">
        <f>"忠岡町交番"</f>
        <v>忠岡町交番</v>
      </c>
      <c r="K8151" s="8" t="str">
        <f>"鉄筋コンクリート造"</f>
        <v>鉄筋コンクリート造</v>
      </c>
      <c r="L8151" s="8" t="str">
        <f>"S46.03.31"</f>
        <v>S46.03.31</v>
      </c>
      <c r="M8151" s="8">
        <v>65.959999999999994</v>
      </c>
      <c r="N8151" s="8">
        <v>5034000</v>
      </c>
      <c r="O8151" s="8">
        <v>5033999</v>
      </c>
      <c r="P8151" s="8">
        <v>0</v>
      </c>
      <c r="Q8151" s="8" t="str">
        <f t="shared" si="2861"/>
        <v>公安委員会</v>
      </c>
      <c r="R8151" s="8" t="str">
        <f t="shared" si="2871"/>
        <v>泉大津警察署</v>
      </c>
    </row>
    <row r="8152" spans="1:18" x14ac:dyDescent="0.45">
      <c r="A8152" s="8" t="str">
        <f>"11575000250"</f>
        <v>11575000250</v>
      </c>
      <c r="B8152" s="8" t="str">
        <f>"北出交番"</f>
        <v>北出交番</v>
      </c>
      <c r="C8152" s="8" t="str">
        <f t="shared" si="2863"/>
        <v>行政財産</v>
      </c>
      <c r="D8152" s="8" t="str">
        <f t="shared" si="2864"/>
        <v>警察（消防）施設</v>
      </c>
      <c r="E8152" s="8" t="str">
        <f>"大阪府泉北郡　忠岡町北出２丁目"</f>
        <v>大阪府泉北郡　忠岡町北出２丁目</v>
      </c>
      <c r="F8152" s="8"/>
      <c r="G8152" s="8" t="str">
        <f t="shared" si="2872"/>
        <v>事業用資産</v>
      </c>
      <c r="H8152" s="8" t="str">
        <f t="shared" si="2870"/>
        <v>棚卸以外</v>
      </c>
      <c r="I8152" s="8">
        <v>1</v>
      </c>
      <c r="J8152" s="8" t="str">
        <f>"北出交番"</f>
        <v>北出交番</v>
      </c>
      <c r="K8152" s="8" t="str">
        <f>"鉄筋コンクリート造"</f>
        <v>鉄筋コンクリート造</v>
      </c>
      <c r="L8152" s="8" t="str">
        <f>"S54.03.30"</f>
        <v>S54.03.30</v>
      </c>
      <c r="M8152" s="8">
        <v>54</v>
      </c>
      <c r="N8152" s="8">
        <v>9326903</v>
      </c>
      <c r="O8152" s="8">
        <v>8207760</v>
      </c>
      <c r="P8152" s="8">
        <v>0</v>
      </c>
      <c r="Q8152" s="8" t="str">
        <f t="shared" si="2861"/>
        <v>公安委員会</v>
      </c>
      <c r="R8152" s="8" t="str">
        <f t="shared" si="2871"/>
        <v>泉大津警察署</v>
      </c>
    </row>
    <row r="8153" spans="1:18" x14ac:dyDescent="0.45">
      <c r="A8153" s="8" t="str">
        <f>"11575000260"</f>
        <v>11575000260</v>
      </c>
      <c r="B8153" s="8" t="str">
        <f>"港交番"</f>
        <v>港交番</v>
      </c>
      <c r="C8153" s="8" t="str">
        <f t="shared" si="2863"/>
        <v>行政財産</v>
      </c>
      <c r="D8153" s="8" t="str">
        <f t="shared" si="2864"/>
        <v>警察（消防）施設</v>
      </c>
      <c r="E8153" s="8" t="str">
        <f>"大阪府泉大津市東港町"</f>
        <v>大阪府泉大津市東港町</v>
      </c>
      <c r="F8153" s="8"/>
      <c r="G8153" s="8" t="str">
        <f t="shared" si="2872"/>
        <v>事業用資産</v>
      </c>
      <c r="H8153" s="8" t="str">
        <f t="shared" si="2870"/>
        <v>棚卸以外</v>
      </c>
      <c r="I8153" s="8">
        <v>1</v>
      </c>
      <c r="J8153" s="8" t="str">
        <f>"港交番"</f>
        <v>港交番</v>
      </c>
      <c r="K8153" s="8" t="str">
        <f>"鉄筋コンクリート造"</f>
        <v>鉄筋コンクリート造</v>
      </c>
      <c r="L8153" s="8" t="str">
        <f>"S54.11.29"</f>
        <v>S54.11.29</v>
      </c>
      <c r="M8153" s="8">
        <v>50.4</v>
      </c>
      <c r="N8153" s="8">
        <v>12326315</v>
      </c>
      <c r="O8153" s="8">
        <v>10656176</v>
      </c>
      <c r="P8153" s="8">
        <v>0</v>
      </c>
      <c r="Q8153" s="8" t="str">
        <f t="shared" si="2861"/>
        <v>公安委員会</v>
      </c>
      <c r="R8153" s="8" t="str">
        <f t="shared" si="2871"/>
        <v>泉大津警察署</v>
      </c>
    </row>
    <row r="8154" spans="1:18" x14ac:dyDescent="0.45">
      <c r="A8154" s="8" t="str">
        <f>"11575001001"</f>
        <v>11575001001</v>
      </c>
      <c r="B8154" s="8" t="str">
        <f>"泉大津駅前交番"</f>
        <v>泉大津駅前交番</v>
      </c>
      <c r="C8154" s="8" t="str">
        <f t="shared" si="2863"/>
        <v>行政財産</v>
      </c>
      <c r="D8154" s="8" t="str">
        <f t="shared" si="2864"/>
        <v>警察（消防）施設</v>
      </c>
      <c r="E8154" s="8" t="str">
        <f>"大阪府泉大津市田中町"</f>
        <v>大阪府泉大津市田中町</v>
      </c>
      <c r="F8154" s="8"/>
      <c r="G8154" s="8" t="str">
        <f t="shared" si="2872"/>
        <v>事業用資産</v>
      </c>
      <c r="H8154" s="8" t="str">
        <f t="shared" si="2870"/>
        <v>棚卸以外</v>
      </c>
      <c r="I8154" s="8">
        <v>2</v>
      </c>
      <c r="J8154" s="8" t="str">
        <f>"泉大津駅前交番"</f>
        <v>泉大津駅前交番</v>
      </c>
      <c r="K8154" s="8" t="str">
        <f>"鉄筋コンクリート造"</f>
        <v>鉄筋コンクリート造</v>
      </c>
      <c r="L8154" s="8" t="str">
        <f>"S49.03.30"</f>
        <v>S49.03.30</v>
      </c>
      <c r="M8154" s="8">
        <v>50.4</v>
      </c>
      <c r="N8154" s="8">
        <v>6293716</v>
      </c>
      <c r="O8154" s="8">
        <v>6156542</v>
      </c>
      <c r="P8154" s="8">
        <v>0</v>
      </c>
      <c r="Q8154" s="8" t="str">
        <f t="shared" si="2861"/>
        <v>公安委員会</v>
      </c>
      <c r="R8154" s="8" t="str">
        <f t="shared" si="2871"/>
        <v>泉大津警察署</v>
      </c>
    </row>
    <row r="8155" spans="1:18" x14ac:dyDescent="0.45">
      <c r="A8155" s="8" t="str">
        <f t="shared" ref="A8155:A8174" si="2873">"11576000000"</f>
        <v>11576000000</v>
      </c>
      <c r="B8155" s="8" t="str">
        <f t="shared" ref="B8155:B8174" si="2874">"和泉警察署"</f>
        <v>和泉警察署</v>
      </c>
      <c r="C8155" s="8" t="str">
        <f t="shared" si="2863"/>
        <v>行政財産</v>
      </c>
      <c r="D8155" s="8" t="str">
        <f t="shared" si="2864"/>
        <v>警察（消防）施設</v>
      </c>
      <c r="E8155" s="8" t="str">
        <f t="shared" ref="E8155:E8174" si="2875">"大阪府和泉市伯太町２丁目"</f>
        <v>大阪府和泉市伯太町２丁目</v>
      </c>
      <c r="F8155" s="8"/>
      <c r="G8155" s="8" t="str">
        <f t="shared" si="2872"/>
        <v>事業用資産</v>
      </c>
      <c r="H8155" s="8" t="str">
        <f t="shared" si="2870"/>
        <v>棚卸以外</v>
      </c>
      <c r="I8155" s="8">
        <v>9</v>
      </c>
      <c r="J8155" s="8" t="str">
        <f>"倉庫"</f>
        <v>倉庫</v>
      </c>
      <c r="K8155" s="8" t="str">
        <f>"軽量鉄骨造"</f>
        <v>軽量鉄骨造</v>
      </c>
      <c r="L8155" s="8" t="str">
        <f>"S42.03.28"</f>
        <v>S42.03.28</v>
      </c>
      <c r="M8155" s="8">
        <v>32.4</v>
      </c>
      <c r="N8155" s="8">
        <v>558000</v>
      </c>
      <c r="O8155" s="8">
        <v>557999</v>
      </c>
      <c r="P8155" s="8">
        <v>0</v>
      </c>
      <c r="Q8155" s="8" t="str">
        <f t="shared" si="2861"/>
        <v>公安委員会</v>
      </c>
      <c r="R8155" s="8" t="str">
        <f t="shared" ref="R8155:R8196" si="2876">"和泉警察署"</f>
        <v>和泉警察署</v>
      </c>
    </row>
    <row r="8156" spans="1:18" x14ac:dyDescent="0.45">
      <c r="A8156" s="8" t="str">
        <f t="shared" si="2873"/>
        <v>11576000000</v>
      </c>
      <c r="B8156" s="8" t="str">
        <f t="shared" si="2874"/>
        <v>和泉警察署</v>
      </c>
      <c r="C8156" s="8" t="str">
        <f t="shared" si="2863"/>
        <v>行政財産</v>
      </c>
      <c r="D8156" s="8" t="str">
        <f t="shared" si="2864"/>
        <v>警察（消防）施設</v>
      </c>
      <c r="E8156" s="8" t="str">
        <f t="shared" si="2875"/>
        <v>大阪府和泉市伯太町２丁目</v>
      </c>
      <c r="F8156" s="8"/>
      <c r="G8156" s="8" t="str">
        <f t="shared" si="2872"/>
        <v>事業用資産</v>
      </c>
      <c r="H8156" s="8" t="str">
        <f t="shared" si="2870"/>
        <v>棚卸以外</v>
      </c>
      <c r="I8156" s="8">
        <v>11</v>
      </c>
      <c r="J8156" s="8" t="str">
        <f>"庁舎"</f>
        <v>庁舎</v>
      </c>
      <c r="K8156" s="8" t="str">
        <f>"鉄筋コンクリート造"</f>
        <v>鉄筋コンクリート造</v>
      </c>
      <c r="L8156" s="8" t="str">
        <f>"S45.06.30"</f>
        <v>S45.06.30</v>
      </c>
      <c r="M8156" s="8">
        <v>1607</v>
      </c>
      <c r="N8156" s="8">
        <v>239629445</v>
      </c>
      <c r="O8156" s="8">
        <v>176866360</v>
      </c>
      <c r="P8156" s="8">
        <v>0</v>
      </c>
      <c r="Q8156" s="8" t="str">
        <f t="shared" si="2861"/>
        <v>公安委員会</v>
      </c>
      <c r="R8156" s="8" t="str">
        <f t="shared" si="2876"/>
        <v>和泉警察署</v>
      </c>
    </row>
    <row r="8157" spans="1:18" x14ac:dyDescent="0.45">
      <c r="A8157" s="8" t="str">
        <f t="shared" si="2873"/>
        <v>11576000000</v>
      </c>
      <c r="B8157" s="8" t="str">
        <f t="shared" si="2874"/>
        <v>和泉警察署</v>
      </c>
      <c r="C8157" s="8" t="str">
        <f t="shared" si="2863"/>
        <v>行政財産</v>
      </c>
      <c r="D8157" s="8" t="str">
        <f t="shared" si="2864"/>
        <v>警察（消防）施設</v>
      </c>
      <c r="E8157" s="8" t="str">
        <f t="shared" si="2875"/>
        <v>大阪府和泉市伯太町２丁目</v>
      </c>
      <c r="F8157" s="8"/>
      <c r="G8157" s="8" t="str">
        <f t="shared" si="2872"/>
        <v>事業用資産</v>
      </c>
      <c r="H8157" s="8" t="str">
        <f t="shared" si="2870"/>
        <v>棚卸以外</v>
      </c>
      <c r="I8157" s="8">
        <v>12</v>
      </c>
      <c r="J8157" s="8" t="str">
        <f>"油庫"</f>
        <v>油庫</v>
      </c>
      <c r="K8157" s="8" t="str">
        <f>"コンクリートブロック造"</f>
        <v>コンクリートブロック造</v>
      </c>
      <c r="L8157" s="8" t="str">
        <f>"S45.06.30"</f>
        <v>S45.06.30</v>
      </c>
      <c r="M8157" s="8">
        <v>4.71</v>
      </c>
      <c r="N8157" s="8">
        <v>350000</v>
      </c>
      <c r="O8157" s="8">
        <v>349999</v>
      </c>
      <c r="P8157" s="8">
        <v>0</v>
      </c>
      <c r="Q8157" s="8" t="str">
        <f t="shared" si="2861"/>
        <v>公安委員会</v>
      </c>
      <c r="R8157" s="8" t="str">
        <f t="shared" si="2876"/>
        <v>和泉警察署</v>
      </c>
    </row>
    <row r="8158" spans="1:18" x14ac:dyDescent="0.45">
      <c r="A8158" s="8" t="str">
        <f t="shared" si="2873"/>
        <v>11576000000</v>
      </c>
      <c r="B8158" s="8" t="str">
        <f t="shared" si="2874"/>
        <v>和泉警察署</v>
      </c>
      <c r="C8158" s="8" t="str">
        <f t="shared" si="2863"/>
        <v>行政財産</v>
      </c>
      <c r="D8158" s="8" t="str">
        <f t="shared" si="2864"/>
        <v>警察（消防）施設</v>
      </c>
      <c r="E8158" s="8" t="str">
        <f t="shared" si="2875"/>
        <v>大阪府和泉市伯太町２丁目</v>
      </c>
      <c r="F8158" s="8"/>
      <c r="G8158" s="8" t="str">
        <f t="shared" si="2872"/>
        <v>事業用資産</v>
      </c>
      <c r="H8158" s="8" t="str">
        <f t="shared" si="2870"/>
        <v>棚卸以外</v>
      </c>
      <c r="I8158" s="8">
        <v>13</v>
      </c>
      <c r="J8158" s="8" t="str">
        <f>"車庫及び倉庫"</f>
        <v>車庫及び倉庫</v>
      </c>
      <c r="K8158" s="8" t="str">
        <f>"鉄骨造"</f>
        <v>鉄骨造</v>
      </c>
      <c r="L8158" s="8" t="str">
        <f>"S45.06.30"</f>
        <v>S45.06.30</v>
      </c>
      <c r="M8158" s="8">
        <v>180</v>
      </c>
      <c r="N8158" s="8">
        <v>3465947</v>
      </c>
      <c r="O8158" s="8">
        <v>3415456</v>
      </c>
      <c r="P8158" s="8">
        <v>0</v>
      </c>
      <c r="Q8158" s="8" t="str">
        <f t="shared" si="2861"/>
        <v>公安委員会</v>
      </c>
      <c r="R8158" s="8" t="str">
        <f t="shared" si="2876"/>
        <v>和泉警察署</v>
      </c>
    </row>
    <row r="8159" spans="1:18" x14ac:dyDescent="0.45">
      <c r="A8159" s="8" t="str">
        <f t="shared" si="2873"/>
        <v>11576000000</v>
      </c>
      <c r="B8159" s="8" t="str">
        <f t="shared" si="2874"/>
        <v>和泉警察署</v>
      </c>
      <c r="C8159" s="8" t="str">
        <f t="shared" si="2863"/>
        <v>行政財産</v>
      </c>
      <c r="D8159" s="8" t="str">
        <f t="shared" si="2864"/>
        <v>警察（消防）施設</v>
      </c>
      <c r="E8159" s="8" t="str">
        <f t="shared" si="2875"/>
        <v>大阪府和泉市伯太町２丁目</v>
      </c>
      <c r="F8159" s="8"/>
      <c r="G8159" s="8" t="str">
        <f t="shared" si="2872"/>
        <v>事業用資産</v>
      </c>
      <c r="H8159" s="8" t="str">
        <f t="shared" si="2870"/>
        <v>棚卸以外</v>
      </c>
      <c r="I8159" s="8">
        <v>14</v>
      </c>
      <c r="J8159" s="8" t="str">
        <f>"署長公舎"</f>
        <v>署長公舎</v>
      </c>
      <c r="K8159" s="8" t="str">
        <f>"木造"</f>
        <v>木造</v>
      </c>
      <c r="L8159" s="8" t="str">
        <f>"S45.11.30"</f>
        <v>S45.11.30</v>
      </c>
      <c r="M8159" s="8">
        <v>81.150000000000006</v>
      </c>
      <c r="N8159" s="8">
        <v>4517404</v>
      </c>
      <c r="O8159" s="8">
        <v>4506684</v>
      </c>
      <c r="P8159" s="8">
        <v>0</v>
      </c>
      <c r="Q8159" s="8" t="str">
        <f t="shared" si="2861"/>
        <v>公安委員会</v>
      </c>
      <c r="R8159" s="8" t="str">
        <f t="shared" si="2876"/>
        <v>和泉警察署</v>
      </c>
    </row>
    <row r="8160" spans="1:18" x14ac:dyDescent="0.45">
      <c r="A8160" s="8" t="str">
        <f t="shared" si="2873"/>
        <v>11576000000</v>
      </c>
      <c r="B8160" s="8" t="str">
        <f t="shared" si="2874"/>
        <v>和泉警察署</v>
      </c>
      <c r="C8160" s="8" t="str">
        <f t="shared" si="2863"/>
        <v>行政財産</v>
      </c>
      <c r="D8160" s="8" t="str">
        <f t="shared" si="2864"/>
        <v>警察（消防）施設</v>
      </c>
      <c r="E8160" s="8" t="str">
        <f t="shared" si="2875"/>
        <v>大阪府和泉市伯太町２丁目</v>
      </c>
      <c r="F8160" s="8"/>
      <c r="G8160" s="8" t="str">
        <f t="shared" si="2872"/>
        <v>事業用資産</v>
      </c>
      <c r="H8160" s="8" t="str">
        <f t="shared" si="2870"/>
        <v>棚卸以外</v>
      </c>
      <c r="I8160" s="8">
        <v>15</v>
      </c>
      <c r="J8160" s="8" t="str">
        <f>"倉庫Ａ"</f>
        <v>倉庫Ａ</v>
      </c>
      <c r="K8160" s="8" t="str">
        <f>"木造"</f>
        <v>木造</v>
      </c>
      <c r="L8160" s="8" t="str">
        <f>"S57.03.10"</f>
        <v>S57.03.10</v>
      </c>
      <c r="M8160" s="8">
        <v>32.4</v>
      </c>
      <c r="N8160" s="8">
        <v>975000</v>
      </c>
      <c r="O8160" s="8">
        <v>974999</v>
      </c>
      <c r="P8160" s="8">
        <v>0</v>
      </c>
      <c r="Q8160" s="8" t="str">
        <f t="shared" si="2861"/>
        <v>公安委員会</v>
      </c>
      <c r="R8160" s="8" t="str">
        <f t="shared" si="2876"/>
        <v>和泉警察署</v>
      </c>
    </row>
    <row r="8161" spans="1:18" x14ac:dyDescent="0.45">
      <c r="A8161" s="8" t="str">
        <f t="shared" si="2873"/>
        <v>11576000000</v>
      </c>
      <c r="B8161" s="8" t="str">
        <f t="shared" si="2874"/>
        <v>和泉警察署</v>
      </c>
      <c r="C8161" s="8" t="str">
        <f t="shared" si="2863"/>
        <v>行政財産</v>
      </c>
      <c r="D8161" s="8" t="str">
        <f t="shared" si="2864"/>
        <v>警察（消防）施設</v>
      </c>
      <c r="E8161" s="8" t="str">
        <f t="shared" si="2875"/>
        <v>大阪府和泉市伯太町２丁目</v>
      </c>
      <c r="F8161" s="8"/>
      <c r="G8161" s="8" t="str">
        <f t="shared" si="2872"/>
        <v>事業用資産</v>
      </c>
      <c r="H8161" s="8" t="str">
        <f t="shared" si="2870"/>
        <v>棚卸以外</v>
      </c>
      <c r="I8161" s="8">
        <v>16</v>
      </c>
      <c r="J8161" s="8" t="str">
        <f>"機械室"</f>
        <v>機械室</v>
      </c>
      <c r="K8161" s="8" t="str">
        <f>"鉄筋コンクリート造"</f>
        <v>鉄筋コンクリート造</v>
      </c>
      <c r="L8161" s="8" t="str">
        <f>"S61.11.29"</f>
        <v>S61.11.29</v>
      </c>
      <c r="M8161" s="8">
        <v>36</v>
      </c>
      <c r="N8161" s="8">
        <v>24360000</v>
      </c>
      <c r="O8161" s="8">
        <v>23291992</v>
      </c>
      <c r="P8161" s="8">
        <v>0</v>
      </c>
      <c r="Q8161" s="8" t="str">
        <f t="shared" si="2861"/>
        <v>公安委員会</v>
      </c>
      <c r="R8161" s="8" t="str">
        <f t="shared" si="2876"/>
        <v>和泉警察署</v>
      </c>
    </row>
    <row r="8162" spans="1:18" x14ac:dyDescent="0.45">
      <c r="A8162" s="8" t="str">
        <f t="shared" si="2873"/>
        <v>11576000000</v>
      </c>
      <c r="B8162" s="8" t="str">
        <f t="shared" si="2874"/>
        <v>和泉警察署</v>
      </c>
      <c r="C8162" s="8" t="str">
        <f t="shared" si="2863"/>
        <v>行政財産</v>
      </c>
      <c r="D8162" s="8" t="str">
        <f t="shared" si="2864"/>
        <v>警察（消防）施設</v>
      </c>
      <c r="E8162" s="8" t="str">
        <f t="shared" si="2875"/>
        <v>大阪府和泉市伯太町２丁目</v>
      </c>
      <c r="F8162" s="8"/>
      <c r="G8162" s="8" t="str">
        <f t="shared" si="2872"/>
        <v>事業用資産</v>
      </c>
      <c r="H8162" s="8" t="str">
        <f t="shared" si="2870"/>
        <v>棚卸以外</v>
      </c>
      <c r="I8162" s="8">
        <v>17</v>
      </c>
      <c r="J8162" s="8" t="str">
        <f>"霊安室"</f>
        <v>霊安室</v>
      </c>
      <c r="K8162" s="8" t="str">
        <f>"レンガ、石積造"</f>
        <v>レンガ、石積造</v>
      </c>
      <c r="L8162" s="8" t="str">
        <f>"S63.08.19"</f>
        <v>S63.08.19</v>
      </c>
      <c r="M8162" s="8">
        <v>9.7200000000000006</v>
      </c>
      <c r="N8162" s="8">
        <v>980000</v>
      </c>
      <c r="O8162" s="8">
        <v>826680</v>
      </c>
      <c r="P8162" s="8">
        <v>0</v>
      </c>
      <c r="Q8162" s="8" t="str">
        <f t="shared" si="2861"/>
        <v>公安委員会</v>
      </c>
      <c r="R8162" s="8" t="str">
        <f t="shared" si="2876"/>
        <v>和泉警察署</v>
      </c>
    </row>
    <row r="8163" spans="1:18" x14ac:dyDescent="0.45">
      <c r="A8163" s="8" t="str">
        <f t="shared" si="2873"/>
        <v>11576000000</v>
      </c>
      <c r="B8163" s="8" t="str">
        <f t="shared" si="2874"/>
        <v>和泉警察署</v>
      </c>
      <c r="C8163" s="8" t="str">
        <f t="shared" si="2863"/>
        <v>行政財産</v>
      </c>
      <c r="D8163" s="8" t="str">
        <f t="shared" si="2864"/>
        <v>警察（消防）施設</v>
      </c>
      <c r="E8163" s="8" t="str">
        <f t="shared" si="2875"/>
        <v>大阪府和泉市伯太町２丁目</v>
      </c>
      <c r="F8163" s="8"/>
      <c r="G8163" s="8" t="str">
        <f t="shared" si="2872"/>
        <v>事業用資産</v>
      </c>
      <c r="H8163" s="8" t="str">
        <f t="shared" si="2870"/>
        <v>棚卸以外</v>
      </c>
      <c r="I8163" s="8">
        <v>21</v>
      </c>
      <c r="J8163" s="8" t="str">
        <f>"倉庫Ｃ"</f>
        <v>倉庫Ｃ</v>
      </c>
      <c r="K8163" s="8" t="str">
        <f>"プレハブ"</f>
        <v>プレハブ</v>
      </c>
      <c r="L8163" s="8" t="str">
        <f>"H06.12.07"</f>
        <v>H06.12.07</v>
      </c>
      <c r="M8163" s="8">
        <v>4.84</v>
      </c>
      <c r="N8163" s="8">
        <v>295000</v>
      </c>
      <c r="O8163" s="8">
        <v>294999</v>
      </c>
      <c r="P8163" s="8">
        <v>0</v>
      </c>
      <c r="Q8163" s="8" t="str">
        <f t="shared" si="2861"/>
        <v>公安委員会</v>
      </c>
      <c r="R8163" s="8" t="str">
        <f t="shared" si="2876"/>
        <v>和泉警察署</v>
      </c>
    </row>
    <row r="8164" spans="1:18" x14ac:dyDescent="0.45">
      <c r="A8164" s="8" t="str">
        <f t="shared" si="2873"/>
        <v>11576000000</v>
      </c>
      <c r="B8164" s="8" t="str">
        <f t="shared" si="2874"/>
        <v>和泉警察署</v>
      </c>
      <c r="C8164" s="8" t="str">
        <f t="shared" si="2863"/>
        <v>行政財産</v>
      </c>
      <c r="D8164" s="8" t="str">
        <f t="shared" si="2864"/>
        <v>警察（消防）施設</v>
      </c>
      <c r="E8164" s="8" t="str">
        <f t="shared" si="2875"/>
        <v>大阪府和泉市伯太町２丁目</v>
      </c>
      <c r="F8164" s="8"/>
      <c r="G8164" s="8" t="str">
        <f t="shared" si="2872"/>
        <v>事業用資産</v>
      </c>
      <c r="H8164" s="8" t="str">
        <f t="shared" si="2870"/>
        <v>棚卸以外</v>
      </c>
      <c r="I8164" s="8">
        <v>22</v>
      </c>
      <c r="J8164" s="8" t="str">
        <f>"倉庫Ｄ"</f>
        <v>倉庫Ｄ</v>
      </c>
      <c r="K8164" s="8" t="str">
        <f>"プレハブ"</f>
        <v>プレハブ</v>
      </c>
      <c r="L8164" s="8" t="str">
        <f>"H06.12.07"</f>
        <v>H06.12.07</v>
      </c>
      <c r="M8164" s="8">
        <v>8.41</v>
      </c>
      <c r="N8164" s="8">
        <v>414000</v>
      </c>
      <c r="O8164" s="8">
        <v>413999</v>
      </c>
      <c r="P8164" s="8">
        <v>0</v>
      </c>
      <c r="Q8164" s="8" t="str">
        <f t="shared" si="2861"/>
        <v>公安委員会</v>
      </c>
      <c r="R8164" s="8" t="str">
        <f t="shared" si="2876"/>
        <v>和泉警察署</v>
      </c>
    </row>
    <row r="8165" spans="1:18" x14ac:dyDescent="0.45">
      <c r="A8165" s="8" t="str">
        <f t="shared" si="2873"/>
        <v>11576000000</v>
      </c>
      <c r="B8165" s="8" t="str">
        <f t="shared" si="2874"/>
        <v>和泉警察署</v>
      </c>
      <c r="C8165" s="8" t="str">
        <f t="shared" si="2863"/>
        <v>行政財産</v>
      </c>
      <c r="D8165" s="8" t="str">
        <f t="shared" si="2864"/>
        <v>警察（消防）施設</v>
      </c>
      <c r="E8165" s="8" t="str">
        <f t="shared" si="2875"/>
        <v>大阪府和泉市伯太町２丁目</v>
      </c>
      <c r="F8165" s="8"/>
      <c r="G8165" s="8" t="str">
        <f t="shared" si="2872"/>
        <v>事業用資産</v>
      </c>
      <c r="H8165" s="8" t="str">
        <f t="shared" si="2870"/>
        <v>棚卸以外</v>
      </c>
      <c r="I8165" s="8">
        <v>23</v>
      </c>
      <c r="J8165" s="8" t="str">
        <f>"倉庫　Ｅ"</f>
        <v>倉庫　Ｅ</v>
      </c>
      <c r="K8165" s="8" t="str">
        <f>"プレハブ"</f>
        <v>プレハブ</v>
      </c>
      <c r="L8165" s="8" t="str">
        <f>"H06.12.07"</f>
        <v>H06.12.07</v>
      </c>
      <c r="M8165" s="8">
        <v>8.41</v>
      </c>
      <c r="N8165" s="8">
        <v>414000</v>
      </c>
      <c r="O8165" s="8">
        <v>413999</v>
      </c>
      <c r="P8165" s="8">
        <v>0</v>
      </c>
      <c r="Q8165" s="8" t="str">
        <f t="shared" si="2861"/>
        <v>公安委員会</v>
      </c>
      <c r="R8165" s="8" t="str">
        <f t="shared" si="2876"/>
        <v>和泉警察署</v>
      </c>
    </row>
    <row r="8166" spans="1:18" x14ac:dyDescent="0.45">
      <c r="A8166" s="8" t="str">
        <f t="shared" si="2873"/>
        <v>11576000000</v>
      </c>
      <c r="B8166" s="8" t="str">
        <f t="shared" si="2874"/>
        <v>和泉警察署</v>
      </c>
      <c r="C8166" s="8" t="str">
        <f t="shared" si="2863"/>
        <v>行政財産</v>
      </c>
      <c r="D8166" s="8" t="str">
        <f t="shared" si="2864"/>
        <v>警察（消防）施設</v>
      </c>
      <c r="E8166" s="8" t="str">
        <f t="shared" si="2875"/>
        <v>大阪府和泉市伯太町２丁目</v>
      </c>
      <c r="F8166" s="8"/>
      <c r="G8166" s="8" t="str">
        <f t="shared" si="2872"/>
        <v>事業用資産</v>
      </c>
      <c r="H8166" s="8" t="str">
        <f t="shared" si="2870"/>
        <v>棚卸以外</v>
      </c>
      <c r="I8166" s="8">
        <v>24</v>
      </c>
      <c r="J8166" s="8" t="str">
        <f>"附属舎"</f>
        <v>附属舎</v>
      </c>
      <c r="K8166" s="8" t="str">
        <f>"軽量鉄骨造"</f>
        <v>軽量鉄骨造</v>
      </c>
      <c r="L8166" s="8" t="str">
        <f>"H08.03.29"</f>
        <v>H08.03.29</v>
      </c>
      <c r="M8166" s="8">
        <v>98.4</v>
      </c>
      <c r="N8166" s="8">
        <v>9721329</v>
      </c>
      <c r="O8166" s="8">
        <v>8660487</v>
      </c>
      <c r="P8166" s="8">
        <v>0</v>
      </c>
      <c r="Q8166" s="8" t="str">
        <f t="shared" si="2861"/>
        <v>公安委員会</v>
      </c>
      <c r="R8166" s="8" t="str">
        <f t="shared" si="2876"/>
        <v>和泉警察署</v>
      </c>
    </row>
    <row r="8167" spans="1:18" x14ac:dyDescent="0.45">
      <c r="A8167" s="8" t="str">
        <f t="shared" si="2873"/>
        <v>11576000000</v>
      </c>
      <c r="B8167" s="8" t="str">
        <f t="shared" si="2874"/>
        <v>和泉警察署</v>
      </c>
      <c r="C8167" s="8" t="str">
        <f t="shared" si="2863"/>
        <v>行政財産</v>
      </c>
      <c r="D8167" s="8" t="str">
        <f t="shared" si="2864"/>
        <v>警察（消防）施設</v>
      </c>
      <c r="E8167" s="8" t="str">
        <f t="shared" si="2875"/>
        <v>大阪府和泉市伯太町２丁目</v>
      </c>
      <c r="F8167" s="8"/>
      <c r="G8167" s="8" t="str">
        <f t="shared" si="2872"/>
        <v>事業用資産</v>
      </c>
      <c r="H8167" s="8" t="str">
        <f t="shared" si="2870"/>
        <v>棚卸以外</v>
      </c>
      <c r="I8167" s="8">
        <v>26</v>
      </c>
      <c r="J8167" s="8" t="str">
        <f>"ゴミ置場"</f>
        <v>ゴミ置場</v>
      </c>
      <c r="K8167" s="8" t="str">
        <f>"コンクリートブロック造"</f>
        <v>コンクリートブロック造</v>
      </c>
      <c r="L8167" s="8" t="str">
        <f>"H10.01.14"</f>
        <v>H10.01.14</v>
      </c>
      <c r="M8167" s="8">
        <v>5.9</v>
      </c>
      <c r="N8167" s="8">
        <v>437000</v>
      </c>
      <c r="O8167" s="8">
        <v>323744</v>
      </c>
      <c r="P8167" s="8">
        <v>0</v>
      </c>
      <c r="Q8167" s="8" t="str">
        <f t="shared" si="2861"/>
        <v>公安委員会</v>
      </c>
      <c r="R8167" s="8" t="str">
        <f t="shared" si="2876"/>
        <v>和泉警察署</v>
      </c>
    </row>
    <row r="8168" spans="1:18" x14ac:dyDescent="0.45">
      <c r="A8168" s="8" t="str">
        <f t="shared" si="2873"/>
        <v>11576000000</v>
      </c>
      <c r="B8168" s="8" t="str">
        <f t="shared" si="2874"/>
        <v>和泉警察署</v>
      </c>
      <c r="C8168" s="8" t="str">
        <f t="shared" si="2863"/>
        <v>行政財産</v>
      </c>
      <c r="D8168" s="8" t="str">
        <f t="shared" si="2864"/>
        <v>警察（消防）施設</v>
      </c>
      <c r="E8168" s="8" t="str">
        <f t="shared" si="2875"/>
        <v>大阪府和泉市伯太町２丁目</v>
      </c>
      <c r="F8168" s="8"/>
      <c r="G8168" s="8" t="str">
        <f t="shared" si="2872"/>
        <v>事業用資産</v>
      </c>
      <c r="H8168" s="8" t="str">
        <f t="shared" si="2870"/>
        <v>棚卸以外</v>
      </c>
      <c r="I8168" s="8">
        <v>27</v>
      </c>
      <c r="J8168" s="8" t="str">
        <f>"倉庫Ｆ"</f>
        <v>倉庫Ｆ</v>
      </c>
      <c r="K8168" s="8" t="str">
        <f>"パイプ"</f>
        <v>パイプ</v>
      </c>
      <c r="L8168" s="8" t="str">
        <f>"H10.10.01"</f>
        <v>H10.10.01</v>
      </c>
      <c r="M8168" s="8">
        <v>14.7</v>
      </c>
      <c r="N8168" s="8">
        <v>308000</v>
      </c>
      <c r="O8168" s="8">
        <v>272032</v>
      </c>
      <c r="P8168" s="8">
        <v>0</v>
      </c>
      <c r="Q8168" s="8" t="str">
        <f t="shared" si="2861"/>
        <v>公安委員会</v>
      </c>
      <c r="R8168" s="8" t="str">
        <f t="shared" si="2876"/>
        <v>和泉警察署</v>
      </c>
    </row>
    <row r="8169" spans="1:18" x14ac:dyDescent="0.45">
      <c r="A8169" s="8" t="str">
        <f t="shared" si="2873"/>
        <v>11576000000</v>
      </c>
      <c r="B8169" s="8" t="str">
        <f t="shared" si="2874"/>
        <v>和泉警察署</v>
      </c>
      <c r="C8169" s="8" t="str">
        <f t="shared" si="2863"/>
        <v>行政財産</v>
      </c>
      <c r="D8169" s="8" t="str">
        <f t="shared" si="2864"/>
        <v>警察（消防）施設</v>
      </c>
      <c r="E8169" s="8" t="str">
        <f t="shared" si="2875"/>
        <v>大阪府和泉市伯太町２丁目</v>
      </c>
      <c r="F8169" s="8"/>
      <c r="G8169" s="8" t="str">
        <f t="shared" si="2872"/>
        <v>事業用資産</v>
      </c>
      <c r="H8169" s="8" t="str">
        <f t="shared" si="2870"/>
        <v>棚卸以外</v>
      </c>
      <c r="I8169" s="8">
        <v>28</v>
      </c>
      <c r="J8169" s="8" t="str">
        <f>"女性用トイレ"</f>
        <v>女性用トイレ</v>
      </c>
      <c r="K8169" s="8" t="str">
        <f>"木造"</f>
        <v>木造</v>
      </c>
      <c r="L8169" s="8" t="str">
        <f>"H20.02.12"</f>
        <v>H20.02.12</v>
      </c>
      <c r="M8169" s="8">
        <v>5.94</v>
      </c>
      <c r="N8169" s="8">
        <v>2777000</v>
      </c>
      <c r="O8169" s="8">
        <v>2776999</v>
      </c>
      <c r="P8169" s="8">
        <v>0</v>
      </c>
      <c r="Q8169" s="8" t="str">
        <f t="shared" si="2861"/>
        <v>公安委員会</v>
      </c>
      <c r="R8169" s="8" t="str">
        <f t="shared" si="2876"/>
        <v>和泉警察署</v>
      </c>
    </row>
    <row r="8170" spans="1:18" x14ac:dyDescent="0.45">
      <c r="A8170" s="8" t="str">
        <f t="shared" si="2873"/>
        <v>11576000000</v>
      </c>
      <c r="B8170" s="8" t="str">
        <f t="shared" si="2874"/>
        <v>和泉警察署</v>
      </c>
      <c r="C8170" s="8" t="str">
        <f t="shared" si="2863"/>
        <v>行政財産</v>
      </c>
      <c r="D8170" s="8" t="str">
        <f t="shared" si="2864"/>
        <v>警察（消防）施設</v>
      </c>
      <c r="E8170" s="8" t="str">
        <f t="shared" si="2875"/>
        <v>大阪府和泉市伯太町２丁目</v>
      </c>
      <c r="F8170" s="8"/>
      <c r="G8170" s="8" t="str">
        <f t="shared" si="2872"/>
        <v>事業用資産</v>
      </c>
      <c r="H8170" s="8" t="str">
        <f t="shared" si="2870"/>
        <v>棚卸以外</v>
      </c>
      <c r="I8170" s="8">
        <v>29</v>
      </c>
      <c r="J8170" s="8" t="str">
        <f>"倉庫Ｇ"</f>
        <v>倉庫Ｇ</v>
      </c>
      <c r="K8170" s="8" t="str">
        <f>"プレハブ"</f>
        <v>プレハブ</v>
      </c>
      <c r="L8170" s="8" t="str">
        <f>"H26.10.31"</f>
        <v>H26.10.31</v>
      </c>
      <c r="M8170" s="8">
        <v>6.73</v>
      </c>
      <c r="N8170" s="8">
        <v>1120042</v>
      </c>
      <c r="O8170" s="8">
        <v>392890</v>
      </c>
      <c r="P8170" s="8">
        <v>0</v>
      </c>
      <c r="Q8170" s="8" t="str">
        <f t="shared" si="2861"/>
        <v>公安委員会</v>
      </c>
      <c r="R8170" s="8" t="str">
        <f t="shared" si="2876"/>
        <v>和泉警察署</v>
      </c>
    </row>
    <row r="8171" spans="1:18" x14ac:dyDescent="0.45">
      <c r="A8171" s="8" t="str">
        <f t="shared" si="2873"/>
        <v>11576000000</v>
      </c>
      <c r="B8171" s="8" t="str">
        <f t="shared" si="2874"/>
        <v>和泉警察署</v>
      </c>
      <c r="C8171" s="8" t="str">
        <f t="shared" si="2863"/>
        <v>行政財産</v>
      </c>
      <c r="D8171" s="8" t="str">
        <f t="shared" si="2864"/>
        <v>警察（消防）施設</v>
      </c>
      <c r="E8171" s="8" t="str">
        <f t="shared" si="2875"/>
        <v>大阪府和泉市伯太町２丁目</v>
      </c>
      <c r="F8171" s="8"/>
      <c r="G8171" s="8" t="str">
        <f t="shared" si="2872"/>
        <v>事業用資産</v>
      </c>
      <c r="H8171" s="8" t="str">
        <f t="shared" si="2870"/>
        <v>棚卸以外</v>
      </c>
      <c r="I8171" s="8">
        <v>30</v>
      </c>
      <c r="J8171" s="8" t="str">
        <f>"倉庫Ｈ"</f>
        <v>倉庫Ｈ</v>
      </c>
      <c r="K8171" s="8" t="str">
        <f>"プレハブ"</f>
        <v>プレハブ</v>
      </c>
      <c r="L8171" s="8" t="str">
        <f>"H26.10.31"</f>
        <v>H26.10.31</v>
      </c>
      <c r="M8171" s="8">
        <v>5.42</v>
      </c>
      <c r="N8171" s="8">
        <v>966487</v>
      </c>
      <c r="O8171" s="8">
        <v>338956</v>
      </c>
      <c r="P8171" s="8">
        <v>0</v>
      </c>
      <c r="Q8171" s="8" t="str">
        <f t="shared" si="2861"/>
        <v>公安委員会</v>
      </c>
      <c r="R8171" s="8" t="str">
        <f t="shared" si="2876"/>
        <v>和泉警察署</v>
      </c>
    </row>
    <row r="8172" spans="1:18" x14ac:dyDescent="0.45">
      <c r="A8172" s="8" t="str">
        <f t="shared" si="2873"/>
        <v>11576000000</v>
      </c>
      <c r="B8172" s="8" t="str">
        <f t="shared" si="2874"/>
        <v>和泉警察署</v>
      </c>
      <c r="C8172" s="8" t="str">
        <f t="shared" si="2863"/>
        <v>行政財産</v>
      </c>
      <c r="D8172" s="8" t="str">
        <f t="shared" si="2864"/>
        <v>警察（消防）施設</v>
      </c>
      <c r="E8172" s="8" t="str">
        <f t="shared" si="2875"/>
        <v>大阪府和泉市伯太町２丁目</v>
      </c>
      <c r="F8172" s="8"/>
      <c r="G8172" s="8" t="str">
        <f t="shared" si="2872"/>
        <v>事業用資産</v>
      </c>
      <c r="H8172" s="8" t="str">
        <f t="shared" si="2870"/>
        <v>棚卸以外</v>
      </c>
      <c r="I8172" s="8">
        <v>31</v>
      </c>
      <c r="J8172" s="8" t="str">
        <f>"倉庫Ｉ"</f>
        <v>倉庫Ｉ</v>
      </c>
      <c r="K8172" s="8" t="str">
        <f>"プレハブ"</f>
        <v>プレハブ</v>
      </c>
      <c r="L8172" s="8" t="str">
        <f>"H26.10.31"</f>
        <v>H26.10.31</v>
      </c>
      <c r="M8172" s="8">
        <v>2.81</v>
      </c>
      <c r="N8172" s="8">
        <v>603605</v>
      </c>
      <c r="O8172" s="8">
        <v>211696</v>
      </c>
      <c r="P8172" s="8">
        <v>0</v>
      </c>
      <c r="Q8172" s="8" t="str">
        <f t="shared" si="2861"/>
        <v>公安委員会</v>
      </c>
      <c r="R8172" s="8" t="str">
        <f t="shared" si="2876"/>
        <v>和泉警察署</v>
      </c>
    </row>
    <row r="8173" spans="1:18" x14ac:dyDescent="0.45">
      <c r="A8173" s="8" t="str">
        <f t="shared" si="2873"/>
        <v>11576000000</v>
      </c>
      <c r="B8173" s="8" t="str">
        <f t="shared" si="2874"/>
        <v>和泉警察署</v>
      </c>
      <c r="C8173" s="8" t="str">
        <f t="shared" si="2863"/>
        <v>行政財産</v>
      </c>
      <c r="D8173" s="8" t="str">
        <f t="shared" si="2864"/>
        <v>警察（消防）施設</v>
      </c>
      <c r="E8173" s="8" t="str">
        <f t="shared" si="2875"/>
        <v>大阪府和泉市伯太町２丁目</v>
      </c>
      <c r="F8173" s="8"/>
      <c r="G8173" s="8" t="str">
        <f t="shared" si="2872"/>
        <v>事業用資産</v>
      </c>
      <c r="H8173" s="8" t="str">
        <f t="shared" si="2870"/>
        <v>棚卸以外</v>
      </c>
      <c r="I8173" s="8">
        <v>32</v>
      </c>
      <c r="J8173" s="8" t="str">
        <f>"別館"</f>
        <v>別館</v>
      </c>
      <c r="K8173" s="8" t="str">
        <f>"鉄筋コンクリート造"</f>
        <v>鉄筋コンクリート造</v>
      </c>
      <c r="L8173" s="8" t="str">
        <f>"S45.03.28"</f>
        <v>S45.03.28</v>
      </c>
      <c r="M8173" s="8">
        <v>1805.2</v>
      </c>
      <c r="N8173" s="8">
        <v>86603423</v>
      </c>
      <c r="O8173" s="8">
        <v>83723342</v>
      </c>
      <c r="P8173" s="8">
        <v>0</v>
      </c>
      <c r="Q8173" s="8" t="str">
        <f t="shared" si="2861"/>
        <v>公安委員会</v>
      </c>
      <c r="R8173" s="8" t="str">
        <f t="shared" si="2876"/>
        <v>和泉警察署</v>
      </c>
    </row>
    <row r="8174" spans="1:18" x14ac:dyDescent="0.45">
      <c r="A8174" s="8" t="str">
        <f t="shared" si="2873"/>
        <v>11576000000</v>
      </c>
      <c r="B8174" s="8" t="str">
        <f t="shared" si="2874"/>
        <v>和泉警察署</v>
      </c>
      <c r="C8174" s="8" t="str">
        <f t="shared" si="2863"/>
        <v>行政財産</v>
      </c>
      <c r="D8174" s="8" t="str">
        <f t="shared" si="2864"/>
        <v>警察（消防）施設</v>
      </c>
      <c r="E8174" s="8" t="str">
        <f t="shared" si="2875"/>
        <v>大阪府和泉市伯太町２丁目</v>
      </c>
      <c r="F8174" s="8"/>
      <c r="G8174" s="8" t="str">
        <f t="shared" si="2872"/>
        <v>事業用資産</v>
      </c>
      <c r="H8174" s="8" t="str">
        <f t="shared" si="2870"/>
        <v>棚卸以外</v>
      </c>
      <c r="I8174" s="8">
        <v>33</v>
      </c>
      <c r="J8174" s="8" t="str">
        <f>"自転車置場"</f>
        <v>自転車置場</v>
      </c>
      <c r="K8174" s="8" t="str">
        <f>"軽量鉄骨造"</f>
        <v>軽量鉄骨造</v>
      </c>
      <c r="L8174" s="8" t="str">
        <f>"S47.07.29"</f>
        <v>S47.07.29</v>
      </c>
      <c r="M8174" s="8">
        <v>31.68</v>
      </c>
      <c r="N8174" s="8">
        <v>280000</v>
      </c>
      <c r="O8174" s="8">
        <v>279999</v>
      </c>
      <c r="P8174" s="8">
        <v>0</v>
      </c>
      <c r="Q8174" s="8" t="str">
        <f t="shared" si="2861"/>
        <v>公安委員会</v>
      </c>
      <c r="R8174" s="8" t="str">
        <f t="shared" si="2876"/>
        <v>和泉警察署</v>
      </c>
    </row>
    <row r="8175" spans="1:18" x14ac:dyDescent="0.45">
      <c r="A8175" s="8" t="str">
        <f>"11576000027"</f>
        <v>11576000027</v>
      </c>
      <c r="B8175" s="8" t="str">
        <f>"黒鳥郷荘交番"</f>
        <v>黒鳥郷荘交番</v>
      </c>
      <c r="C8175" s="8" t="str">
        <f t="shared" si="2863"/>
        <v>行政財産</v>
      </c>
      <c r="D8175" s="8" t="str">
        <f t="shared" si="2864"/>
        <v>警察（消防）施設</v>
      </c>
      <c r="E8175" s="8" t="str">
        <f>"大阪府和泉市黒鳥町４丁目"</f>
        <v>大阪府和泉市黒鳥町４丁目</v>
      </c>
      <c r="F8175" s="8"/>
      <c r="G8175" s="8" t="str">
        <f t="shared" si="2872"/>
        <v>事業用資産</v>
      </c>
      <c r="H8175" s="8" t="str">
        <f t="shared" si="2870"/>
        <v>棚卸以外</v>
      </c>
      <c r="I8175" s="8">
        <v>1</v>
      </c>
      <c r="J8175" s="8" t="str">
        <f>"黒鳥郷荘交番"</f>
        <v>黒鳥郷荘交番</v>
      </c>
      <c r="K8175" s="8" t="str">
        <f>"鉄骨造"</f>
        <v>鉄骨造</v>
      </c>
      <c r="L8175" s="8" t="str">
        <f>"H21.08.10"</f>
        <v>H21.08.10</v>
      </c>
      <c r="M8175" s="8">
        <v>53.3</v>
      </c>
      <c r="N8175" s="8">
        <v>13367000</v>
      </c>
      <c r="O8175" s="8">
        <v>4778182</v>
      </c>
      <c r="P8175" s="8">
        <v>0</v>
      </c>
      <c r="Q8175" s="8" t="str">
        <f t="shared" si="2861"/>
        <v>公安委員会</v>
      </c>
      <c r="R8175" s="8" t="str">
        <f t="shared" si="2876"/>
        <v>和泉警察署</v>
      </c>
    </row>
    <row r="8176" spans="1:18" x14ac:dyDescent="0.45">
      <c r="A8176" s="8" t="str">
        <f>"11576000120"</f>
        <v>11576000120</v>
      </c>
      <c r="B8176" s="8" t="str">
        <f>"和気交番"</f>
        <v>和気交番</v>
      </c>
      <c r="C8176" s="8" t="str">
        <f t="shared" si="2863"/>
        <v>行政財産</v>
      </c>
      <c r="D8176" s="8" t="str">
        <f t="shared" si="2864"/>
        <v>警察（消防）施設</v>
      </c>
      <c r="E8176" s="8" t="str">
        <f>"大阪府和泉市和気町１丁目"</f>
        <v>大阪府和泉市和気町１丁目</v>
      </c>
      <c r="F8176" s="8"/>
      <c r="G8176" s="8" t="str">
        <f t="shared" si="2872"/>
        <v>事業用資産</v>
      </c>
      <c r="H8176" s="8" t="str">
        <f t="shared" si="2870"/>
        <v>棚卸以外</v>
      </c>
      <c r="I8176" s="8">
        <v>2</v>
      </c>
      <c r="J8176" s="8" t="str">
        <f>"和気交番"</f>
        <v>和気交番</v>
      </c>
      <c r="K8176" s="8" t="str">
        <f>"鉄筋コンクリート造"</f>
        <v>鉄筋コンクリート造</v>
      </c>
      <c r="L8176" s="8" t="str">
        <f>"S51.02.09"</f>
        <v>S51.02.09</v>
      </c>
      <c r="M8176" s="8">
        <v>54</v>
      </c>
      <c r="N8176" s="8">
        <v>9595000</v>
      </c>
      <c r="O8176" s="8">
        <v>9035480</v>
      </c>
      <c r="P8176" s="8">
        <v>0</v>
      </c>
      <c r="Q8176" s="8" t="str">
        <f t="shared" si="2861"/>
        <v>公安委員会</v>
      </c>
      <c r="R8176" s="8" t="str">
        <f t="shared" si="2876"/>
        <v>和泉警察署</v>
      </c>
    </row>
    <row r="8177" spans="1:18" x14ac:dyDescent="0.45">
      <c r="A8177" s="8" t="str">
        <f>"11576000130"</f>
        <v>11576000130</v>
      </c>
      <c r="B8177" s="8" t="str">
        <f>"内田駐在所"</f>
        <v>内田駐在所</v>
      </c>
      <c r="C8177" s="8" t="str">
        <f t="shared" si="2863"/>
        <v>行政財産</v>
      </c>
      <c r="D8177" s="8" t="str">
        <f t="shared" si="2864"/>
        <v>警察（消防）施設</v>
      </c>
      <c r="E8177" s="8" t="str">
        <f>"大阪府和泉市松尾寺町"</f>
        <v>大阪府和泉市松尾寺町</v>
      </c>
      <c r="F8177" s="8"/>
      <c r="G8177" s="8" t="str">
        <f t="shared" si="2872"/>
        <v>事業用資産</v>
      </c>
      <c r="H8177" s="8" t="str">
        <f t="shared" si="2870"/>
        <v>棚卸以外</v>
      </c>
      <c r="I8177" s="8">
        <v>2</v>
      </c>
      <c r="J8177" s="8" t="str">
        <f>"内田駐在所"</f>
        <v>内田駐在所</v>
      </c>
      <c r="K8177" s="8" t="str">
        <f>"鉄骨造"</f>
        <v>鉄骨造</v>
      </c>
      <c r="L8177" s="8" t="str">
        <f>"H06.03.30"</f>
        <v>H06.03.30</v>
      </c>
      <c r="M8177" s="8">
        <v>90.27</v>
      </c>
      <c r="N8177" s="8">
        <v>25020432</v>
      </c>
      <c r="O8177" s="8">
        <v>19067544</v>
      </c>
      <c r="P8177" s="8">
        <v>0</v>
      </c>
      <c r="Q8177" s="8" t="str">
        <f t="shared" si="2861"/>
        <v>公安委員会</v>
      </c>
      <c r="R8177" s="8" t="str">
        <f t="shared" si="2876"/>
        <v>和泉警察署</v>
      </c>
    </row>
    <row r="8178" spans="1:18" x14ac:dyDescent="0.45">
      <c r="A8178" s="8" t="str">
        <f>"11576000150"</f>
        <v>11576000150</v>
      </c>
      <c r="B8178" s="8" t="str">
        <f>"信太交番"</f>
        <v>信太交番</v>
      </c>
      <c r="C8178" s="8" t="str">
        <f t="shared" si="2863"/>
        <v>行政財産</v>
      </c>
      <c r="D8178" s="8" t="str">
        <f t="shared" si="2864"/>
        <v>警察（消防）施設</v>
      </c>
      <c r="E8178" s="8" t="str">
        <f>"大阪府和泉市太町"</f>
        <v>大阪府和泉市太町</v>
      </c>
      <c r="F8178" s="8"/>
      <c r="G8178" s="8" t="str">
        <f t="shared" si="2872"/>
        <v>事業用資産</v>
      </c>
      <c r="H8178" s="8" t="str">
        <f t="shared" si="2870"/>
        <v>棚卸以外</v>
      </c>
      <c r="I8178" s="8">
        <v>1</v>
      </c>
      <c r="J8178" s="8" t="str">
        <f>"信太交番"</f>
        <v>信太交番</v>
      </c>
      <c r="K8178" s="8" t="str">
        <f>"コンクリートブロック造"</f>
        <v>コンクリートブロック造</v>
      </c>
      <c r="L8178" s="8" t="str">
        <f>"S42.03.23"</f>
        <v>S42.03.23</v>
      </c>
      <c r="M8178" s="8">
        <v>26.16</v>
      </c>
      <c r="N8178" s="8">
        <v>1231000</v>
      </c>
      <c r="O8178" s="8">
        <v>1230999</v>
      </c>
      <c r="P8178" s="8">
        <v>0</v>
      </c>
      <c r="Q8178" s="8" t="str">
        <f t="shared" si="2861"/>
        <v>公安委員会</v>
      </c>
      <c r="R8178" s="8" t="str">
        <f t="shared" si="2876"/>
        <v>和泉警察署</v>
      </c>
    </row>
    <row r="8179" spans="1:18" x14ac:dyDescent="0.45">
      <c r="A8179" s="8" t="str">
        <f>"11576000160"</f>
        <v>11576000160</v>
      </c>
      <c r="B8179" s="8" t="str">
        <f>"仏並駐在所"</f>
        <v>仏並駐在所</v>
      </c>
      <c r="C8179" s="8" t="str">
        <f t="shared" si="2863"/>
        <v>行政財産</v>
      </c>
      <c r="D8179" s="8" t="str">
        <f t="shared" si="2864"/>
        <v>警察（消防）施設</v>
      </c>
      <c r="E8179" s="8" t="str">
        <f>"大阪府和泉市仏並町"</f>
        <v>大阪府和泉市仏並町</v>
      </c>
      <c r="F8179" s="8"/>
      <c r="G8179" s="8" t="str">
        <f t="shared" si="2872"/>
        <v>事業用資産</v>
      </c>
      <c r="H8179" s="8" t="str">
        <f t="shared" si="2870"/>
        <v>棚卸以外</v>
      </c>
      <c r="I8179" s="8">
        <v>2</v>
      </c>
      <c r="J8179" s="8" t="str">
        <f>"仏並駐在所"</f>
        <v>仏並駐在所</v>
      </c>
      <c r="K8179" s="8" t="str">
        <f>"鉄骨造"</f>
        <v>鉄骨造</v>
      </c>
      <c r="L8179" s="8" t="str">
        <f>"H12.12.20"</f>
        <v>H12.12.20</v>
      </c>
      <c r="M8179" s="8">
        <v>89.22</v>
      </c>
      <c r="N8179" s="8">
        <v>22184791</v>
      </c>
      <c r="O8179" s="8">
        <v>12942464</v>
      </c>
      <c r="P8179" s="8">
        <v>0</v>
      </c>
      <c r="Q8179" s="8" t="str">
        <f t="shared" ref="Q8179:Q8242" si="2877">"公安委員会"</f>
        <v>公安委員会</v>
      </c>
      <c r="R8179" s="8" t="str">
        <f t="shared" si="2876"/>
        <v>和泉警察署</v>
      </c>
    </row>
    <row r="8180" spans="1:18" x14ac:dyDescent="0.45">
      <c r="A8180" s="8" t="str">
        <f>"11576000170"</f>
        <v>11576000170</v>
      </c>
      <c r="B8180" s="8" t="str">
        <f>"国分駐在所"</f>
        <v>国分駐在所</v>
      </c>
      <c r="C8180" s="8" t="str">
        <f t="shared" si="2863"/>
        <v>行政財産</v>
      </c>
      <c r="D8180" s="8" t="str">
        <f t="shared" si="2864"/>
        <v>警察（消防）施設</v>
      </c>
      <c r="E8180" s="8" t="str">
        <f>"大阪府和泉市平井町"</f>
        <v>大阪府和泉市平井町</v>
      </c>
      <c r="F8180" s="8"/>
      <c r="G8180" s="8" t="str">
        <f t="shared" si="2872"/>
        <v>事業用資産</v>
      </c>
      <c r="H8180" s="8" t="str">
        <f t="shared" si="2870"/>
        <v>棚卸以外</v>
      </c>
      <c r="I8180" s="8">
        <v>3</v>
      </c>
      <c r="J8180" s="8" t="str">
        <f>"国分駐在所"</f>
        <v>国分駐在所</v>
      </c>
      <c r="K8180" s="8" t="str">
        <f>"鉄骨造"</f>
        <v>鉄骨造</v>
      </c>
      <c r="L8180" s="8" t="str">
        <f>"H13.12.17"</f>
        <v>H13.12.17</v>
      </c>
      <c r="M8180" s="8">
        <v>89.47</v>
      </c>
      <c r="N8180" s="8">
        <v>19365000</v>
      </c>
      <c r="O8180" s="8">
        <v>10829340</v>
      </c>
      <c r="P8180" s="8">
        <v>0</v>
      </c>
      <c r="Q8180" s="8" t="str">
        <f t="shared" si="2877"/>
        <v>公安委員会</v>
      </c>
      <c r="R8180" s="8" t="str">
        <f t="shared" si="2876"/>
        <v>和泉警察署</v>
      </c>
    </row>
    <row r="8181" spans="1:18" x14ac:dyDescent="0.45">
      <c r="A8181" s="8" t="str">
        <f>"11576000190"</f>
        <v>11576000190</v>
      </c>
      <c r="B8181" s="8" t="str">
        <f>"南横山駐在所"</f>
        <v>南横山駐在所</v>
      </c>
      <c r="C8181" s="8" t="str">
        <f t="shared" si="2863"/>
        <v>行政財産</v>
      </c>
      <c r="D8181" s="8" t="str">
        <f t="shared" si="2864"/>
        <v>警察（消防）施設</v>
      </c>
      <c r="E8181" s="8" t="str">
        <f>"大阪府和泉市父鬼町"</f>
        <v>大阪府和泉市父鬼町</v>
      </c>
      <c r="F8181" s="8"/>
      <c r="G8181" s="8" t="str">
        <f t="shared" si="2872"/>
        <v>事業用資産</v>
      </c>
      <c r="H8181" s="8" t="str">
        <f t="shared" si="2870"/>
        <v>棚卸以外</v>
      </c>
      <c r="I8181" s="8">
        <v>5</v>
      </c>
      <c r="J8181" s="8" t="str">
        <f>"南横山駐在所"</f>
        <v>南横山駐在所</v>
      </c>
      <c r="K8181" s="8" t="str">
        <f>"鉄骨造"</f>
        <v>鉄骨造</v>
      </c>
      <c r="L8181" s="8" t="str">
        <f>"H19.02.19"</f>
        <v>H19.02.19</v>
      </c>
      <c r="M8181" s="8">
        <v>89.82</v>
      </c>
      <c r="N8181" s="8">
        <v>16573000</v>
      </c>
      <c r="O8181" s="8">
        <v>7014585</v>
      </c>
      <c r="P8181" s="8">
        <v>0</v>
      </c>
      <c r="Q8181" s="8" t="str">
        <f t="shared" si="2877"/>
        <v>公安委員会</v>
      </c>
      <c r="R8181" s="8" t="str">
        <f t="shared" si="2876"/>
        <v>和泉警察署</v>
      </c>
    </row>
    <row r="8182" spans="1:18" x14ac:dyDescent="0.45">
      <c r="A8182" s="8" t="str">
        <f>"11576000200"</f>
        <v>11576000200</v>
      </c>
      <c r="B8182" s="8" t="str">
        <f>"伯太交番"</f>
        <v>伯太交番</v>
      </c>
      <c r="C8182" s="8" t="str">
        <f t="shared" ref="C8182:C8245" si="2878">"行政財産"</f>
        <v>行政財産</v>
      </c>
      <c r="D8182" s="8" t="str">
        <f t="shared" si="2864"/>
        <v>警察（消防）施設</v>
      </c>
      <c r="E8182" s="8" t="str">
        <f>"大阪府和泉市伯太町３丁目"</f>
        <v>大阪府和泉市伯太町３丁目</v>
      </c>
      <c r="F8182" s="8"/>
      <c r="G8182" s="8" t="str">
        <f t="shared" si="2872"/>
        <v>事業用資産</v>
      </c>
      <c r="H8182" s="8" t="str">
        <f t="shared" si="2870"/>
        <v>棚卸以外</v>
      </c>
      <c r="I8182" s="8">
        <v>2</v>
      </c>
      <c r="J8182" s="8" t="str">
        <f>"伯太交番"</f>
        <v>伯太交番</v>
      </c>
      <c r="K8182" s="8" t="str">
        <f>"軽量鉄骨造"</f>
        <v>軽量鉄骨造</v>
      </c>
      <c r="L8182" s="8" t="str">
        <f>"H25.03.29"</f>
        <v>H25.03.29</v>
      </c>
      <c r="M8182" s="8">
        <v>73.459999999999994</v>
      </c>
      <c r="N8182" s="8">
        <v>19379356</v>
      </c>
      <c r="O8182" s="8">
        <v>7582440</v>
      </c>
      <c r="P8182" s="8">
        <v>0</v>
      </c>
      <c r="Q8182" s="8" t="str">
        <f t="shared" si="2877"/>
        <v>公安委員会</v>
      </c>
      <c r="R8182" s="8" t="str">
        <f t="shared" si="2876"/>
        <v>和泉警察署</v>
      </c>
    </row>
    <row r="8183" spans="1:18" x14ac:dyDescent="0.45">
      <c r="A8183" s="8" t="str">
        <f>"11576000200"</f>
        <v>11576000200</v>
      </c>
      <c r="B8183" s="8" t="str">
        <f>"伯太交番"</f>
        <v>伯太交番</v>
      </c>
      <c r="C8183" s="8" t="str">
        <f t="shared" si="2878"/>
        <v>行政財産</v>
      </c>
      <c r="D8183" s="8" t="str">
        <f t="shared" si="2864"/>
        <v>警察（消防）施設</v>
      </c>
      <c r="E8183" s="8" t="str">
        <f>"大阪府和泉市伯太町３丁目"</f>
        <v>大阪府和泉市伯太町３丁目</v>
      </c>
      <c r="F8183" s="8"/>
      <c r="G8183" s="8" t="str">
        <f t="shared" si="2872"/>
        <v>事業用資産</v>
      </c>
      <c r="H8183" s="8" t="str">
        <f t="shared" si="2870"/>
        <v>棚卸以外</v>
      </c>
      <c r="I8183" s="8">
        <v>3</v>
      </c>
      <c r="J8183" s="8" t="str">
        <f>"防災倉庫"</f>
        <v>防災倉庫</v>
      </c>
      <c r="K8183" s="8" t="str">
        <f>"土蔵造(簡易建物)"</f>
        <v>土蔵造(簡易建物)</v>
      </c>
      <c r="L8183" s="8" t="str">
        <f>"H25.03.29"</f>
        <v>H25.03.29</v>
      </c>
      <c r="M8183" s="8">
        <v>1.96</v>
      </c>
      <c r="N8183" s="8">
        <v>169145</v>
      </c>
      <c r="O8183" s="8">
        <v>70560</v>
      </c>
      <c r="P8183" s="8">
        <v>0</v>
      </c>
      <c r="Q8183" s="8" t="str">
        <f t="shared" si="2877"/>
        <v>公安委員会</v>
      </c>
      <c r="R8183" s="8" t="str">
        <f t="shared" si="2876"/>
        <v>和泉警察署</v>
      </c>
    </row>
    <row r="8184" spans="1:18" x14ac:dyDescent="0.45">
      <c r="A8184" s="8" t="str">
        <f>"11576000210"</f>
        <v>11576000210</v>
      </c>
      <c r="B8184" s="8" t="str">
        <f>"北田中駐在所"</f>
        <v>北田中駐在所</v>
      </c>
      <c r="C8184" s="8" t="str">
        <f t="shared" si="2878"/>
        <v>行政財産</v>
      </c>
      <c r="D8184" s="8" t="str">
        <f t="shared" si="2864"/>
        <v>警察（消防）施設</v>
      </c>
      <c r="E8184" s="8" t="str">
        <f>"大阪府和泉市北田中町"</f>
        <v>大阪府和泉市北田中町</v>
      </c>
      <c r="F8184" s="8"/>
      <c r="G8184" s="8" t="str">
        <f t="shared" si="2872"/>
        <v>事業用資産</v>
      </c>
      <c r="H8184" s="8" t="str">
        <f t="shared" si="2870"/>
        <v>棚卸以外</v>
      </c>
      <c r="I8184" s="8">
        <v>2</v>
      </c>
      <c r="J8184" s="8" t="str">
        <f>"北田中駐在所"</f>
        <v>北田中駐在所</v>
      </c>
      <c r="K8184" s="8" t="str">
        <f>"鉄骨造"</f>
        <v>鉄骨造</v>
      </c>
      <c r="L8184" s="8" t="str">
        <f>"H21.09.07"</f>
        <v>H21.09.07</v>
      </c>
      <c r="M8184" s="8">
        <v>91.8</v>
      </c>
      <c r="N8184" s="8">
        <v>20864000</v>
      </c>
      <c r="O8184" s="8">
        <v>7412310</v>
      </c>
      <c r="P8184" s="8">
        <v>0</v>
      </c>
      <c r="Q8184" s="8" t="str">
        <f t="shared" si="2877"/>
        <v>公安委員会</v>
      </c>
      <c r="R8184" s="8" t="str">
        <f t="shared" si="2876"/>
        <v>和泉警察署</v>
      </c>
    </row>
    <row r="8185" spans="1:18" x14ac:dyDescent="0.45">
      <c r="A8185" s="8" t="str">
        <f>"11576000220"</f>
        <v>11576000220</v>
      </c>
      <c r="B8185" s="8" t="str">
        <f>"鶴山台交番"</f>
        <v>鶴山台交番</v>
      </c>
      <c r="C8185" s="8" t="str">
        <f t="shared" si="2878"/>
        <v>行政財産</v>
      </c>
      <c r="D8185" s="8" t="str">
        <f t="shared" si="2864"/>
        <v>警察（消防）施設</v>
      </c>
      <c r="E8185" s="8" t="str">
        <f>"大阪府和泉市鶴山台２丁目"</f>
        <v>大阪府和泉市鶴山台２丁目</v>
      </c>
      <c r="F8185" s="8"/>
      <c r="G8185" s="8" t="str">
        <f t="shared" si="2872"/>
        <v>事業用資産</v>
      </c>
      <c r="H8185" s="8" t="str">
        <f t="shared" si="2870"/>
        <v>棚卸以外</v>
      </c>
      <c r="I8185" s="8">
        <v>1</v>
      </c>
      <c r="J8185" s="8" t="str">
        <f>"鶴山台交番"</f>
        <v>鶴山台交番</v>
      </c>
      <c r="K8185" s="8" t="str">
        <f>"鉄筋コンクリート造"</f>
        <v>鉄筋コンクリート造</v>
      </c>
      <c r="L8185" s="8" t="str">
        <f>"S49.03.28"</f>
        <v>S49.03.28</v>
      </c>
      <c r="M8185" s="8">
        <v>49.41</v>
      </c>
      <c r="N8185" s="8">
        <v>6190000</v>
      </c>
      <c r="O8185" s="8">
        <v>6066396</v>
      </c>
      <c r="P8185" s="8">
        <v>0</v>
      </c>
      <c r="Q8185" s="8" t="str">
        <f t="shared" si="2877"/>
        <v>公安委員会</v>
      </c>
      <c r="R8185" s="8" t="str">
        <f t="shared" si="2876"/>
        <v>和泉警察署</v>
      </c>
    </row>
    <row r="8186" spans="1:18" x14ac:dyDescent="0.45">
      <c r="A8186" s="8" t="str">
        <f>"11576000260"</f>
        <v>11576000260</v>
      </c>
      <c r="B8186" s="8" t="str">
        <f>"北松尾交番"</f>
        <v>北松尾交番</v>
      </c>
      <c r="C8186" s="8" t="str">
        <f t="shared" si="2878"/>
        <v>行政財産</v>
      </c>
      <c r="D8186" s="8" t="str">
        <f t="shared" si="2864"/>
        <v>警察（消防）施設</v>
      </c>
      <c r="E8186" s="8" t="str">
        <f>"大阪府和泉市唐国町３丁目"</f>
        <v>大阪府和泉市唐国町３丁目</v>
      </c>
      <c r="F8186" s="8"/>
      <c r="G8186" s="8" t="str">
        <f t="shared" si="2872"/>
        <v>事業用資産</v>
      </c>
      <c r="H8186" s="8" t="str">
        <f t="shared" si="2870"/>
        <v>棚卸以外</v>
      </c>
      <c r="I8186" s="8">
        <v>1</v>
      </c>
      <c r="J8186" s="8" t="str">
        <f>"北松尾交番"</f>
        <v>北松尾交番</v>
      </c>
      <c r="K8186" s="8" t="str">
        <f>"鉄筋コンクリート造"</f>
        <v>鉄筋コンクリート造</v>
      </c>
      <c r="L8186" s="8" t="str">
        <f>"S53.03.31"</f>
        <v>S53.03.31</v>
      </c>
      <c r="M8186" s="8">
        <v>54</v>
      </c>
      <c r="N8186" s="8">
        <v>10461000</v>
      </c>
      <c r="O8186" s="8">
        <v>9414900</v>
      </c>
      <c r="P8186" s="8">
        <v>0</v>
      </c>
      <c r="Q8186" s="8" t="str">
        <f t="shared" si="2877"/>
        <v>公安委員会</v>
      </c>
      <c r="R8186" s="8" t="str">
        <f t="shared" si="2876"/>
        <v>和泉警察署</v>
      </c>
    </row>
    <row r="8187" spans="1:18" x14ac:dyDescent="0.45">
      <c r="A8187" s="8" t="str">
        <f>"11576000270"</f>
        <v>11576000270</v>
      </c>
      <c r="B8187" s="8" t="str">
        <f>"伏屋交番"</f>
        <v>伏屋交番</v>
      </c>
      <c r="C8187" s="8" t="str">
        <f t="shared" si="2878"/>
        <v>行政財産</v>
      </c>
      <c r="D8187" s="8" t="str">
        <f t="shared" si="2864"/>
        <v>警察（消防）施設</v>
      </c>
      <c r="E8187" s="8" t="str">
        <f>"大阪府和泉市伏屋町４丁目"</f>
        <v>大阪府和泉市伏屋町４丁目</v>
      </c>
      <c r="F8187" s="8"/>
      <c r="G8187" s="8" t="str">
        <f t="shared" si="2872"/>
        <v>事業用資産</v>
      </c>
      <c r="H8187" s="8" t="str">
        <f t="shared" si="2870"/>
        <v>棚卸以外</v>
      </c>
      <c r="I8187" s="8">
        <v>1</v>
      </c>
      <c r="J8187" s="8" t="str">
        <f>"伏屋交番"</f>
        <v>伏屋交番</v>
      </c>
      <c r="K8187" s="8" t="str">
        <f>"鉄筋コンクリート造"</f>
        <v>鉄筋コンクリート造</v>
      </c>
      <c r="L8187" s="8" t="str">
        <f>"S55.03.31"</f>
        <v>S55.03.31</v>
      </c>
      <c r="M8187" s="8">
        <v>54</v>
      </c>
      <c r="N8187" s="8">
        <v>11550342</v>
      </c>
      <c r="O8187" s="8">
        <v>9923580</v>
      </c>
      <c r="P8187" s="8">
        <v>0</v>
      </c>
      <c r="Q8187" s="8" t="str">
        <f t="shared" si="2877"/>
        <v>公安委員会</v>
      </c>
      <c r="R8187" s="8" t="str">
        <f t="shared" si="2876"/>
        <v>和泉警察署</v>
      </c>
    </row>
    <row r="8188" spans="1:18" x14ac:dyDescent="0.45">
      <c r="A8188" s="8" t="str">
        <f>"11576000270"</f>
        <v>11576000270</v>
      </c>
      <c r="B8188" s="8" t="str">
        <f>"伏屋交番"</f>
        <v>伏屋交番</v>
      </c>
      <c r="C8188" s="8" t="str">
        <f t="shared" si="2878"/>
        <v>行政財産</v>
      </c>
      <c r="D8188" s="8" t="str">
        <f t="shared" ref="D8188:D8251" si="2879">"警察（消防）施設"</f>
        <v>警察（消防）施設</v>
      </c>
      <c r="E8188" s="8" t="str">
        <f>"大阪府和泉市伏屋町４丁目"</f>
        <v>大阪府和泉市伏屋町４丁目</v>
      </c>
      <c r="F8188" s="8"/>
      <c r="G8188" s="8" t="str">
        <f t="shared" si="2872"/>
        <v>事業用資産</v>
      </c>
      <c r="H8188" s="8" t="str">
        <f t="shared" si="2870"/>
        <v>棚卸以外</v>
      </c>
      <c r="I8188" s="8">
        <v>2</v>
      </c>
      <c r="J8188" s="8" t="str">
        <f>"自転車置場"</f>
        <v>自転車置場</v>
      </c>
      <c r="K8188" s="8" t="str">
        <f>"鉄骨造"</f>
        <v>鉄骨造</v>
      </c>
      <c r="L8188" s="8" t="str">
        <f>"S55.03.31"</f>
        <v>S55.03.31</v>
      </c>
      <c r="M8188" s="8">
        <v>4.32</v>
      </c>
      <c r="N8188" s="8">
        <v>90000</v>
      </c>
      <c r="O8188" s="8">
        <v>89999</v>
      </c>
      <c r="P8188" s="8">
        <v>0</v>
      </c>
      <c r="Q8188" s="8" t="str">
        <f t="shared" si="2877"/>
        <v>公安委員会</v>
      </c>
      <c r="R8188" s="8" t="str">
        <f t="shared" si="2876"/>
        <v>和泉警察署</v>
      </c>
    </row>
    <row r="8189" spans="1:18" x14ac:dyDescent="0.45">
      <c r="A8189" s="8" t="str">
        <f>"11576000280"</f>
        <v>11576000280</v>
      </c>
      <c r="B8189" s="8" t="str">
        <f>"光明台交番"</f>
        <v>光明台交番</v>
      </c>
      <c r="C8189" s="8" t="str">
        <f t="shared" si="2878"/>
        <v>行政財産</v>
      </c>
      <c r="D8189" s="8" t="str">
        <f t="shared" si="2879"/>
        <v>警察（消防）施設</v>
      </c>
      <c r="E8189" s="8" t="str">
        <f>"大阪府和泉市光明台３丁目"</f>
        <v>大阪府和泉市光明台３丁目</v>
      </c>
      <c r="F8189" s="8"/>
      <c r="G8189" s="8" t="str">
        <f t="shared" si="2872"/>
        <v>事業用資産</v>
      </c>
      <c r="H8189" s="8" t="str">
        <f t="shared" si="2870"/>
        <v>棚卸以外</v>
      </c>
      <c r="I8189" s="8">
        <v>1</v>
      </c>
      <c r="J8189" s="8" t="str">
        <f>"光明台交番"</f>
        <v>光明台交番</v>
      </c>
      <c r="K8189" s="8" t="str">
        <f>"鉄筋コンクリート造"</f>
        <v>鉄筋コンクリート造</v>
      </c>
      <c r="L8189" s="8" t="str">
        <f>"H01.03.29"</f>
        <v>H01.03.29</v>
      </c>
      <c r="M8189" s="8">
        <v>54</v>
      </c>
      <c r="N8189" s="8">
        <v>14776000</v>
      </c>
      <c r="O8189" s="8">
        <v>10047816</v>
      </c>
      <c r="P8189" s="8">
        <v>0</v>
      </c>
      <c r="Q8189" s="8" t="str">
        <f t="shared" si="2877"/>
        <v>公安委員会</v>
      </c>
      <c r="R8189" s="8" t="str">
        <f t="shared" si="2876"/>
        <v>和泉警察署</v>
      </c>
    </row>
    <row r="8190" spans="1:18" x14ac:dyDescent="0.45">
      <c r="A8190" s="8" t="str">
        <f>"11576000290"</f>
        <v>11576000290</v>
      </c>
      <c r="B8190" s="8" t="str">
        <f>"南松尾駐在所"</f>
        <v>南松尾駐在所</v>
      </c>
      <c r="C8190" s="8" t="str">
        <f t="shared" si="2878"/>
        <v>行政財産</v>
      </c>
      <c r="D8190" s="8" t="str">
        <f t="shared" si="2879"/>
        <v>警察（消防）施設</v>
      </c>
      <c r="E8190" s="8" t="str">
        <f>"大阪府和泉市久井町"</f>
        <v>大阪府和泉市久井町</v>
      </c>
      <c r="F8190" s="8"/>
      <c r="G8190" s="8" t="str">
        <f t="shared" si="2872"/>
        <v>事業用資産</v>
      </c>
      <c r="H8190" s="8" t="str">
        <f t="shared" si="2870"/>
        <v>棚卸以外</v>
      </c>
      <c r="I8190" s="8">
        <v>1</v>
      </c>
      <c r="J8190" s="8" t="str">
        <f>"南松尾駐在所"</f>
        <v>南松尾駐在所</v>
      </c>
      <c r="K8190" s="8" t="str">
        <f>"鉄骨造"</f>
        <v>鉄骨造</v>
      </c>
      <c r="L8190" s="8" t="str">
        <f>"H01.10.13"</f>
        <v>H01.10.13</v>
      </c>
      <c r="M8190" s="8">
        <v>89.86</v>
      </c>
      <c r="N8190" s="8">
        <v>16674455</v>
      </c>
      <c r="O8190" s="8">
        <v>14601876</v>
      </c>
      <c r="P8190" s="8">
        <v>0</v>
      </c>
      <c r="Q8190" s="8" t="str">
        <f t="shared" si="2877"/>
        <v>公安委員会</v>
      </c>
      <c r="R8190" s="8" t="str">
        <f t="shared" si="2876"/>
        <v>和泉警察署</v>
      </c>
    </row>
    <row r="8191" spans="1:18" x14ac:dyDescent="0.45">
      <c r="A8191" s="8" t="str">
        <f>"11576000290"</f>
        <v>11576000290</v>
      </c>
      <c r="B8191" s="8" t="str">
        <f>"南松尾駐在所"</f>
        <v>南松尾駐在所</v>
      </c>
      <c r="C8191" s="8" t="str">
        <f t="shared" si="2878"/>
        <v>行政財産</v>
      </c>
      <c r="D8191" s="8" t="str">
        <f t="shared" si="2879"/>
        <v>警察（消防）施設</v>
      </c>
      <c r="E8191" s="8" t="str">
        <f>"大阪府和泉市久井町"</f>
        <v>大阪府和泉市久井町</v>
      </c>
      <c r="F8191" s="8"/>
      <c r="G8191" s="8" t="str">
        <f t="shared" si="2872"/>
        <v>事業用資産</v>
      </c>
      <c r="H8191" s="8" t="str">
        <f t="shared" si="2870"/>
        <v>棚卸以外</v>
      </c>
      <c r="I8191" s="8">
        <v>2</v>
      </c>
      <c r="J8191" s="8" t="str">
        <f>"プロパン置場"</f>
        <v>プロパン置場</v>
      </c>
      <c r="K8191" s="8" t="str">
        <f>"コンクリートブロック造"</f>
        <v>コンクリートブロック造</v>
      </c>
      <c r="L8191" s="8" t="str">
        <f>"H01.10.13"</f>
        <v>H01.10.13</v>
      </c>
      <c r="M8191" s="8">
        <v>1.57</v>
      </c>
      <c r="N8191" s="8">
        <v>315000</v>
      </c>
      <c r="O8191" s="8">
        <v>309973</v>
      </c>
      <c r="P8191" s="8">
        <v>0</v>
      </c>
      <c r="Q8191" s="8" t="str">
        <f t="shared" si="2877"/>
        <v>公安委員会</v>
      </c>
      <c r="R8191" s="8" t="str">
        <f t="shared" si="2876"/>
        <v>和泉警察署</v>
      </c>
    </row>
    <row r="8192" spans="1:18" x14ac:dyDescent="0.45">
      <c r="A8192" s="8" t="str">
        <f>"11576000290"</f>
        <v>11576000290</v>
      </c>
      <c r="B8192" s="8" t="str">
        <f>"南松尾駐在所"</f>
        <v>南松尾駐在所</v>
      </c>
      <c r="C8192" s="8" t="str">
        <f t="shared" si="2878"/>
        <v>行政財産</v>
      </c>
      <c r="D8192" s="8" t="str">
        <f t="shared" si="2879"/>
        <v>警察（消防）施設</v>
      </c>
      <c r="E8192" s="8" t="str">
        <f>"大阪府和泉市久井町"</f>
        <v>大阪府和泉市久井町</v>
      </c>
      <c r="F8192" s="8"/>
      <c r="G8192" s="8" t="str">
        <f t="shared" si="2872"/>
        <v>事業用資産</v>
      </c>
      <c r="H8192" s="8" t="str">
        <f t="shared" si="2870"/>
        <v>棚卸以外</v>
      </c>
      <c r="I8192" s="8">
        <v>3</v>
      </c>
      <c r="J8192" s="8" t="str">
        <f>"物入"</f>
        <v>物入</v>
      </c>
      <c r="K8192" s="8" t="str">
        <f>"軽量鉄骨造"</f>
        <v>軽量鉄骨造</v>
      </c>
      <c r="L8192" s="8" t="str">
        <f>"H01.10.13"</f>
        <v>H01.10.13</v>
      </c>
      <c r="M8192" s="8">
        <v>1.58</v>
      </c>
      <c r="N8192" s="8">
        <v>128000</v>
      </c>
      <c r="O8192" s="8">
        <v>127999</v>
      </c>
      <c r="P8192" s="8">
        <v>0</v>
      </c>
      <c r="Q8192" s="8" t="str">
        <f t="shared" si="2877"/>
        <v>公安委員会</v>
      </c>
      <c r="R8192" s="8" t="str">
        <f t="shared" si="2876"/>
        <v>和泉警察署</v>
      </c>
    </row>
    <row r="8193" spans="1:18" x14ac:dyDescent="0.45">
      <c r="A8193" s="8" t="str">
        <f>"11576000300"</f>
        <v>11576000300</v>
      </c>
      <c r="B8193" s="8" t="str">
        <f>"幸町交番"</f>
        <v>幸町交番</v>
      </c>
      <c r="C8193" s="8" t="str">
        <f t="shared" si="2878"/>
        <v>行政財産</v>
      </c>
      <c r="D8193" s="8" t="str">
        <f t="shared" si="2879"/>
        <v>警察（消防）施設</v>
      </c>
      <c r="E8193" s="8" t="str">
        <f>"大阪府和泉市幸２丁目"</f>
        <v>大阪府和泉市幸２丁目</v>
      </c>
      <c r="F8193" s="8"/>
      <c r="G8193" s="8" t="str">
        <f t="shared" si="2872"/>
        <v>事業用資産</v>
      </c>
      <c r="H8193" s="8" t="str">
        <f t="shared" si="2870"/>
        <v>棚卸以外</v>
      </c>
      <c r="I8193" s="8">
        <v>1</v>
      </c>
      <c r="J8193" s="8" t="str">
        <f>"幸町交番"</f>
        <v>幸町交番</v>
      </c>
      <c r="K8193" s="8" t="str">
        <f>"鉄骨造"</f>
        <v>鉄骨造</v>
      </c>
      <c r="L8193" s="8" t="str">
        <f>"H09.03.25"</f>
        <v>H09.03.25</v>
      </c>
      <c r="M8193" s="8">
        <v>54.6</v>
      </c>
      <c r="N8193" s="8">
        <v>17256000</v>
      </c>
      <c r="O8193" s="8">
        <v>11807016</v>
      </c>
      <c r="P8193" s="8">
        <v>0</v>
      </c>
      <c r="Q8193" s="8" t="str">
        <f t="shared" si="2877"/>
        <v>公安委員会</v>
      </c>
      <c r="R8193" s="8" t="str">
        <f t="shared" si="2876"/>
        <v>和泉警察署</v>
      </c>
    </row>
    <row r="8194" spans="1:18" x14ac:dyDescent="0.45">
      <c r="A8194" s="8" t="str">
        <f>"11576000300"</f>
        <v>11576000300</v>
      </c>
      <c r="B8194" s="8" t="str">
        <f>"幸町交番"</f>
        <v>幸町交番</v>
      </c>
      <c r="C8194" s="8" t="str">
        <f t="shared" si="2878"/>
        <v>行政財産</v>
      </c>
      <c r="D8194" s="8" t="str">
        <f t="shared" si="2879"/>
        <v>警察（消防）施設</v>
      </c>
      <c r="E8194" s="8" t="str">
        <f>"大阪府和泉市幸２丁目"</f>
        <v>大阪府和泉市幸２丁目</v>
      </c>
      <c r="F8194" s="8"/>
      <c r="G8194" s="8" t="str">
        <f t="shared" si="2872"/>
        <v>事業用資産</v>
      </c>
      <c r="H8194" s="8" t="str">
        <f t="shared" si="2870"/>
        <v>棚卸以外</v>
      </c>
      <c r="I8194" s="8">
        <v>2</v>
      </c>
      <c r="J8194" s="8" t="str">
        <f>"自転車置場"</f>
        <v>自転車置場</v>
      </c>
      <c r="K8194" s="8" t="str">
        <f>"鉄骨造"</f>
        <v>鉄骨造</v>
      </c>
      <c r="L8194" s="8" t="str">
        <f>"H09.03.25"</f>
        <v>H09.03.25</v>
      </c>
      <c r="M8194" s="8">
        <v>7.12</v>
      </c>
      <c r="N8194" s="8">
        <v>165000</v>
      </c>
      <c r="O8194" s="8">
        <v>138528</v>
      </c>
      <c r="P8194" s="8">
        <v>0</v>
      </c>
      <c r="Q8194" s="8" t="str">
        <f t="shared" si="2877"/>
        <v>公安委員会</v>
      </c>
      <c r="R8194" s="8" t="str">
        <f t="shared" si="2876"/>
        <v>和泉警察署</v>
      </c>
    </row>
    <row r="8195" spans="1:18" x14ac:dyDescent="0.45">
      <c r="A8195" s="8" t="str">
        <f>"11576001001"</f>
        <v>11576001001</v>
      </c>
      <c r="B8195" s="8" t="str">
        <f>"三林交番"</f>
        <v>三林交番</v>
      </c>
      <c r="C8195" s="8" t="str">
        <f t="shared" si="2878"/>
        <v>行政財産</v>
      </c>
      <c r="D8195" s="8" t="str">
        <f t="shared" si="2879"/>
        <v>警察（消防）施設</v>
      </c>
      <c r="E8195" s="8" t="str">
        <f>"大阪府和泉市和田町"</f>
        <v>大阪府和泉市和田町</v>
      </c>
      <c r="F8195" s="8"/>
      <c r="G8195" s="8" t="str">
        <f t="shared" si="2872"/>
        <v>事業用資産</v>
      </c>
      <c r="H8195" s="8" t="str">
        <f t="shared" si="2870"/>
        <v>棚卸以外</v>
      </c>
      <c r="I8195" s="8">
        <v>7</v>
      </c>
      <c r="J8195" s="8" t="str">
        <f>"自転車置場"</f>
        <v>自転車置場</v>
      </c>
      <c r="K8195" s="8" t="str">
        <f>"軽量鉄骨造"</f>
        <v>軽量鉄骨造</v>
      </c>
      <c r="L8195" s="8" t="str">
        <f>"S53.01.17"</f>
        <v>S53.01.17</v>
      </c>
      <c r="M8195" s="8">
        <v>4.32</v>
      </c>
      <c r="N8195" s="8">
        <v>65000</v>
      </c>
      <c r="O8195" s="8">
        <v>64999</v>
      </c>
      <c r="P8195" s="8">
        <v>0</v>
      </c>
      <c r="Q8195" s="8" t="str">
        <f t="shared" si="2877"/>
        <v>公安委員会</v>
      </c>
      <c r="R8195" s="8" t="str">
        <f t="shared" si="2876"/>
        <v>和泉警察署</v>
      </c>
    </row>
    <row r="8196" spans="1:18" x14ac:dyDescent="0.45">
      <c r="A8196" s="8" t="str">
        <f>"11576001001"</f>
        <v>11576001001</v>
      </c>
      <c r="B8196" s="8" t="str">
        <f>"三林交番"</f>
        <v>三林交番</v>
      </c>
      <c r="C8196" s="8" t="str">
        <f t="shared" si="2878"/>
        <v>行政財産</v>
      </c>
      <c r="D8196" s="8" t="str">
        <f t="shared" si="2879"/>
        <v>警察（消防）施設</v>
      </c>
      <c r="E8196" s="8" t="str">
        <f>"大阪府和泉市和田町"</f>
        <v>大阪府和泉市和田町</v>
      </c>
      <c r="F8196" s="8"/>
      <c r="G8196" s="8" t="str">
        <f t="shared" si="2872"/>
        <v>事業用資産</v>
      </c>
      <c r="H8196" s="8" t="str">
        <f t="shared" ref="H8196:H8259" si="2880">"棚卸以外"</f>
        <v>棚卸以外</v>
      </c>
      <c r="I8196" s="8">
        <v>8</v>
      </c>
      <c r="J8196" s="8" t="str">
        <f>"三林交番"</f>
        <v>三林交番</v>
      </c>
      <c r="K8196" s="8" t="str">
        <f>"鉄筋コンクリート造"</f>
        <v>鉄筋コンクリート造</v>
      </c>
      <c r="L8196" s="8" t="str">
        <f>"S53.01.17"</f>
        <v>S53.01.17</v>
      </c>
      <c r="M8196" s="8">
        <v>101.54</v>
      </c>
      <c r="N8196" s="8">
        <v>13330000</v>
      </c>
      <c r="O8196" s="8">
        <v>12041614</v>
      </c>
      <c r="P8196" s="8">
        <v>0</v>
      </c>
      <c r="Q8196" s="8" t="str">
        <f t="shared" si="2877"/>
        <v>公安委員会</v>
      </c>
      <c r="R8196" s="8" t="str">
        <f t="shared" si="2876"/>
        <v>和泉警察署</v>
      </c>
    </row>
    <row r="8197" spans="1:18" x14ac:dyDescent="0.45">
      <c r="A8197" s="8" t="str">
        <f>"11577000000"</f>
        <v>11577000000</v>
      </c>
      <c r="B8197" s="8" t="str">
        <f>"岸和田警察署"</f>
        <v>岸和田警察署</v>
      </c>
      <c r="C8197" s="8" t="str">
        <f t="shared" si="2878"/>
        <v>行政財産</v>
      </c>
      <c r="D8197" s="8" t="str">
        <f t="shared" si="2879"/>
        <v>警察（消防）施設</v>
      </c>
      <c r="E8197" s="8" t="str">
        <f>"大阪府岸和田市作才町１丁目"</f>
        <v>大阪府岸和田市作才町１丁目</v>
      </c>
      <c r="F8197" s="8"/>
      <c r="G8197" s="8" t="str">
        <f t="shared" si="2872"/>
        <v>事業用資産</v>
      </c>
      <c r="H8197" s="8" t="str">
        <f t="shared" si="2880"/>
        <v>棚卸以外</v>
      </c>
      <c r="I8197" s="8">
        <v>19</v>
      </c>
      <c r="J8197" s="8" t="str">
        <f>"庁舎"</f>
        <v>庁舎</v>
      </c>
      <c r="K8197" s="8" t="str">
        <f>"鉄筋コンクリート造"</f>
        <v>鉄筋コンクリート造</v>
      </c>
      <c r="L8197" s="8" t="str">
        <f>"S56.02.06"</f>
        <v>S56.02.06</v>
      </c>
      <c r="M8197" s="8">
        <v>3414.59</v>
      </c>
      <c r="N8197" s="8">
        <v>712522585</v>
      </c>
      <c r="O8197" s="8">
        <v>578399443</v>
      </c>
      <c r="P8197" s="8">
        <v>0</v>
      </c>
      <c r="Q8197" s="8" t="str">
        <f t="shared" si="2877"/>
        <v>公安委員会</v>
      </c>
      <c r="R8197" s="8" t="str">
        <f t="shared" ref="R8197:R8221" si="2881">"岸和田警察署"</f>
        <v>岸和田警察署</v>
      </c>
    </row>
    <row r="8198" spans="1:18" x14ac:dyDescent="0.45">
      <c r="A8198" s="8" t="str">
        <f>"11577000000"</f>
        <v>11577000000</v>
      </c>
      <c r="B8198" s="8" t="str">
        <f>"岸和田警察署"</f>
        <v>岸和田警察署</v>
      </c>
      <c r="C8198" s="8" t="str">
        <f t="shared" si="2878"/>
        <v>行政財産</v>
      </c>
      <c r="D8198" s="8" t="str">
        <f t="shared" si="2879"/>
        <v>警察（消防）施設</v>
      </c>
      <c r="E8198" s="8" t="str">
        <f>"大阪府岸和田市作才町１丁目"</f>
        <v>大阪府岸和田市作才町１丁目</v>
      </c>
      <c r="F8198" s="8"/>
      <c r="G8198" s="8" t="str">
        <f t="shared" si="2872"/>
        <v>事業用資産</v>
      </c>
      <c r="H8198" s="8" t="str">
        <f t="shared" si="2880"/>
        <v>棚卸以外</v>
      </c>
      <c r="I8198" s="8">
        <v>20</v>
      </c>
      <c r="J8198" s="8" t="str">
        <f>"車庫１"</f>
        <v>車庫１</v>
      </c>
      <c r="K8198" s="8" t="str">
        <f>"鉄骨造"</f>
        <v>鉄骨造</v>
      </c>
      <c r="L8198" s="8" t="str">
        <f>"S56.02.06"</f>
        <v>S56.02.06</v>
      </c>
      <c r="M8198" s="8">
        <v>292.44</v>
      </c>
      <c r="N8198" s="8">
        <v>21072000</v>
      </c>
      <c r="O8198" s="8">
        <v>21071999</v>
      </c>
      <c r="P8198" s="8">
        <v>0</v>
      </c>
      <c r="Q8198" s="8" t="str">
        <f t="shared" si="2877"/>
        <v>公安委員会</v>
      </c>
      <c r="R8198" s="8" t="str">
        <f t="shared" si="2881"/>
        <v>岸和田警察署</v>
      </c>
    </row>
    <row r="8199" spans="1:18" x14ac:dyDescent="0.45">
      <c r="A8199" s="8" t="str">
        <f>"11577000000"</f>
        <v>11577000000</v>
      </c>
      <c r="B8199" s="8" t="str">
        <f>"岸和田警察署"</f>
        <v>岸和田警察署</v>
      </c>
      <c r="C8199" s="8" t="str">
        <f t="shared" si="2878"/>
        <v>行政財産</v>
      </c>
      <c r="D8199" s="8" t="str">
        <f t="shared" si="2879"/>
        <v>警察（消防）施設</v>
      </c>
      <c r="E8199" s="8" t="str">
        <f>"大阪府岸和田市作才町１丁目"</f>
        <v>大阪府岸和田市作才町１丁目</v>
      </c>
      <c r="F8199" s="8"/>
      <c r="G8199" s="8" t="str">
        <f t="shared" si="2872"/>
        <v>事業用資産</v>
      </c>
      <c r="H8199" s="8" t="str">
        <f t="shared" si="2880"/>
        <v>棚卸以外</v>
      </c>
      <c r="I8199" s="8">
        <v>21</v>
      </c>
      <c r="J8199" s="8" t="str">
        <f>"車庫２"</f>
        <v>車庫２</v>
      </c>
      <c r="K8199" s="8" t="str">
        <f>"鉄骨造"</f>
        <v>鉄骨造</v>
      </c>
      <c r="L8199" s="8" t="str">
        <f>"S56.02.06"</f>
        <v>S56.02.06</v>
      </c>
      <c r="M8199" s="8">
        <v>150.80000000000001</v>
      </c>
      <c r="N8199" s="8">
        <v>8817761</v>
      </c>
      <c r="O8199" s="8">
        <v>8398313</v>
      </c>
      <c r="P8199" s="8">
        <v>0</v>
      </c>
      <c r="Q8199" s="8" t="str">
        <f t="shared" si="2877"/>
        <v>公安委員会</v>
      </c>
      <c r="R8199" s="8" t="str">
        <f t="shared" si="2881"/>
        <v>岸和田警察署</v>
      </c>
    </row>
    <row r="8200" spans="1:18" x14ac:dyDescent="0.45">
      <c r="A8200" s="8" t="str">
        <f>"11577000000"</f>
        <v>11577000000</v>
      </c>
      <c r="B8200" s="8" t="str">
        <f>"岸和田警察署"</f>
        <v>岸和田警察署</v>
      </c>
      <c r="C8200" s="8" t="str">
        <f t="shared" si="2878"/>
        <v>行政財産</v>
      </c>
      <c r="D8200" s="8" t="str">
        <f t="shared" si="2879"/>
        <v>警察（消防）施設</v>
      </c>
      <c r="E8200" s="8" t="str">
        <f>"大阪府岸和田市作才町１丁目"</f>
        <v>大阪府岸和田市作才町１丁目</v>
      </c>
      <c r="F8200" s="8"/>
      <c r="G8200" s="8" t="str">
        <f t="shared" si="2872"/>
        <v>事業用資産</v>
      </c>
      <c r="H8200" s="8" t="str">
        <f t="shared" si="2880"/>
        <v>棚卸以外</v>
      </c>
      <c r="I8200" s="8">
        <v>25</v>
      </c>
      <c r="J8200" s="8" t="str">
        <f>"署長公舎"</f>
        <v>署長公舎</v>
      </c>
      <c r="K8200" s="8" t="str">
        <f>"鉄筋コンクリート造"</f>
        <v>鉄筋コンクリート造</v>
      </c>
      <c r="L8200" s="8" t="str">
        <f>"S56.02.06"</f>
        <v>S56.02.06</v>
      </c>
      <c r="M8200" s="8">
        <v>86.67</v>
      </c>
      <c r="N8200" s="8">
        <v>22647260</v>
      </c>
      <c r="O8200" s="8">
        <v>20081542</v>
      </c>
      <c r="P8200" s="8">
        <v>0</v>
      </c>
      <c r="Q8200" s="8" t="str">
        <f t="shared" si="2877"/>
        <v>公安委員会</v>
      </c>
      <c r="R8200" s="8" t="str">
        <f t="shared" si="2881"/>
        <v>岸和田警察署</v>
      </c>
    </row>
    <row r="8201" spans="1:18" x14ac:dyDescent="0.45">
      <c r="A8201" s="8" t="str">
        <f>"11577000000"</f>
        <v>11577000000</v>
      </c>
      <c r="B8201" s="8" t="str">
        <f>"岸和田警察署"</f>
        <v>岸和田警察署</v>
      </c>
      <c r="C8201" s="8" t="str">
        <f t="shared" si="2878"/>
        <v>行政財産</v>
      </c>
      <c r="D8201" s="8" t="str">
        <f t="shared" si="2879"/>
        <v>警察（消防）施設</v>
      </c>
      <c r="E8201" s="8" t="str">
        <f>"大阪府岸和田市作才町１丁目"</f>
        <v>大阪府岸和田市作才町１丁目</v>
      </c>
      <c r="F8201" s="8"/>
      <c r="G8201" s="8" t="str">
        <f t="shared" si="2872"/>
        <v>事業用資産</v>
      </c>
      <c r="H8201" s="8" t="str">
        <f t="shared" si="2880"/>
        <v>棚卸以外</v>
      </c>
      <c r="I8201" s="8">
        <v>26</v>
      </c>
      <c r="J8201" s="8" t="str">
        <f>"ゴミ置場"</f>
        <v>ゴミ置場</v>
      </c>
      <c r="K8201" s="8" t="str">
        <f>"コンクリートブロック造"</f>
        <v>コンクリートブロック造</v>
      </c>
      <c r="L8201" s="8" t="str">
        <f>"S56.02.06"</f>
        <v>S56.02.06</v>
      </c>
      <c r="M8201" s="8">
        <v>9.0500000000000007</v>
      </c>
      <c r="N8201" s="8">
        <v>486000</v>
      </c>
      <c r="O8201" s="8">
        <v>392574</v>
      </c>
      <c r="P8201" s="8">
        <v>0</v>
      </c>
      <c r="Q8201" s="8" t="str">
        <f t="shared" si="2877"/>
        <v>公安委員会</v>
      </c>
      <c r="R8201" s="8" t="str">
        <f t="shared" si="2881"/>
        <v>岸和田警察署</v>
      </c>
    </row>
    <row r="8202" spans="1:18" x14ac:dyDescent="0.45">
      <c r="A8202" s="8" t="str">
        <f>"11577000110"</f>
        <v>11577000110</v>
      </c>
      <c r="B8202" s="8" t="str">
        <f>"蛸地蔵駅前交番"</f>
        <v>蛸地蔵駅前交番</v>
      </c>
      <c r="C8202" s="8" t="str">
        <f t="shared" si="2878"/>
        <v>行政財産</v>
      </c>
      <c r="D8202" s="8" t="str">
        <f t="shared" si="2879"/>
        <v>警察（消防）施設</v>
      </c>
      <c r="E8202" s="8" t="str">
        <f>"大阪府岸和田市岸城町"</f>
        <v>大阪府岸和田市岸城町</v>
      </c>
      <c r="F8202" s="8"/>
      <c r="G8202" s="8" t="str">
        <f t="shared" si="2872"/>
        <v>事業用資産</v>
      </c>
      <c r="H8202" s="8" t="str">
        <f t="shared" si="2880"/>
        <v>棚卸以外</v>
      </c>
      <c r="I8202" s="8">
        <v>2</v>
      </c>
      <c r="J8202" s="8" t="str">
        <f>"蛸地蔵駅前交番"</f>
        <v>蛸地蔵駅前交番</v>
      </c>
      <c r="K8202" s="8" t="str">
        <f>"鉄骨造"</f>
        <v>鉄骨造</v>
      </c>
      <c r="L8202" s="8" t="str">
        <f>"H16.12.16"</f>
        <v>H16.12.16</v>
      </c>
      <c r="M8202" s="8">
        <v>51.12</v>
      </c>
      <c r="N8202" s="8">
        <v>13128600</v>
      </c>
      <c r="O8202" s="8">
        <v>6282048</v>
      </c>
      <c r="P8202" s="8">
        <v>0</v>
      </c>
      <c r="Q8202" s="8" t="str">
        <f t="shared" si="2877"/>
        <v>公安委員会</v>
      </c>
      <c r="R8202" s="8" t="str">
        <f t="shared" si="2881"/>
        <v>岸和田警察署</v>
      </c>
    </row>
    <row r="8203" spans="1:18" x14ac:dyDescent="0.45">
      <c r="A8203" s="8" t="str">
        <f>"11577000160"</f>
        <v>11577000160</v>
      </c>
      <c r="B8203" s="8" t="str">
        <f>"下野町交番"</f>
        <v>下野町交番</v>
      </c>
      <c r="C8203" s="8" t="str">
        <f t="shared" si="2878"/>
        <v>行政財産</v>
      </c>
      <c r="D8203" s="8" t="str">
        <f t="shared" si="2879"/>
        <v>警察（消防）施設</v>
      </c>
      <c r="E8203" s="8" t="str">
        <f>"大阪府岸和田市下野町４丁目"</f>
        <v>大阪府岸和田市下野町４丁目</v>
      </c>
      <c r="F8203" s="8"/>
      <c r="G8203" s="8" t="str">
        <f t="shared" si="2872"/>
        <v>事業用資産</v>
      </c>
      <c r="H8203" s="8" t="str">
        <f t="shared" si="2880"/>
        <v>棚卸以外</v>
      </c>
      <c r="I8203" s="8">
        <v>2</v>
      </c>
      <c r="J8203" s="8" t="str">
        <f>"下野町交番"</f>
        <v>下野町交番</v>
      </c>
      <c r="K8203" s="8" t="str">
        <f>"鉄骨造"</f>
        <v>鉄骨造</v>
      </c>
      <c r="L8203" s="8" t="str">
        <f>"S53.03.31"</f>
        <v>S53.03.31</v>
      </c>
      <c r="M8203" s="8">
        <v>48.6</v>
      </c>
      <c r="N8203" s="8">
        <v>10294229</v>
      </c>
      <c r="O8203" s="8">
        <v>10230840</v>
      </c>
      <c r="P8203" s="8">
        <v>0</v>
      </c>
      <c r="Q8203" s="8" t="str">
        <f t="shared" si="2877"/>
        <v>公安委員会</v>
      </c>
      <c r="R8203" s="8" t="str">
        <f t="shared" si="2881"/>
        <v>岸和田警察署</v>
      </c>
    </row>
    <row r="8204" spans="1:18" x14ac:dyDescent="0.45">
      <c r="A8204" s="8" t="str">
        <f>"11577000160"</f>
        <v>11577000160</v>
      </c>
      <c r="B8204" s="8" t="str">
        <f>"下野町交番"</f>
        <v>下野町交番</v>
      </c>
      <c r="C8204" s="8" t="str">
        <f t="shared" si="2878"/>
        <v>行政財産</v>
      </c>
      <c r="D8204" s="8" t="str">
        <f t="shared" si="2879"/>
        <v>警察（消防）施設</v>
      </c>
      <c r="E8204" s="8" t="str">
        <f>"大阪府岸和田市下野町４丁目"</f>
        <v>大阪府岸和田市下野町４丁目</v>
      </c>
      <c r="F8204" s="8"/>
      <c r="G8204" s="8" t="str">
        <f t="shared" si="2872"/>
        <v>事業用資産</v>
      </c>
      <c r="H8204" s="8" t="str">
        <f t="shared" si="2880"/>
        <v>棚卸以外</v>
      </c>
      <c r="I8204" s="8">
        <v>3</v>
      </c>
      <c r="J8204" s="8" t="str">
        <f>"倉庫"</f>
        <v>倉庫</v>
      </c>
      <c r="K8204" s="8" t="str">
        <f>"土蔵造(簡易建物)"</f>
        <v>土蔵造(簡易建物)</v>
      </c>
      <c r="L8204" s="8" t="str">
        <f>"S53.03.31"</f>
        <v>S53.03.31</v>
      </c>
      <c r="M8204" s="8">
        <v>3</v>
      </c>
      <c r="N8204" s="8">
        <v>92000</v>
      </c>
      <c r="O8204" s="8">
        <v>91999</v>
      </c>
      <c r="P8204" s="8">
        <v>0</v>
      </c>
      <c r="Q8204" s="8" t="str">
        <f t="shared" si="2877"/>
        <v>公安委員会</v>
      </c>
      <c r="R8204" s="8" t="str">
        <f t="shared" si="2881"/>
        <v>岸和田警察署</v>
      </c>
    </row>
    <row r="8205" spans="1:18" x14ac:dyDescent="0.45">
      <c r="A8205" s="8" t="str">
        <f>"11577000190"</f>
        <v>11577000190</v>
      </c>
      <c r="B8205" s="8" t="str">
        <f>"山直下交番"</f>
        <v>山直下交番</v>
      </c>
      <c r="C8205" s="8" t="str">
        <f t="shared" si="2878"/>
        <v>行政財産</v>
      </c>
      <c r="D8205" s="8" t="str">
        <f t="shared" si="2879"/>
        <v>警察（消防）施設</v>
      </c>
      <c r="E8205" s="8" t="str">
        <f>"大阪府岸和田市田治米町"</f>
        <v>大阪府岸和田市田治米町</v>
      </c>
      <c r="F8205" s="8"/>
      <c r="G8205" s="8" t="str">
        <f t="shared" si="2872"/>
        <v>事業用資産</v>
      </c>
      <c r="H8205" s="8" t="str">
        <f t="shared" si="2880"/>
        <v>棚卸以外</v>
      </c>
      <c r="I8205" s="8">
        <v>2</v>
      </c>
      <c r="J8205" s="8" t="str">
        <f>"山直下交番"</f>
        <v>山直下交番</v>
      </c>
      <c r="K8205" s="8" t="str">
        <f>"鉄筋コンクリート造"</f>
        <v>鉄筋コンクリート造</v>
      </c>
      <c r="L8205" s="8" t="str">
        <f>"S48.03.31"</f>
        <v>S48.03.31</v>
      </c>
      <c r="M8205" s="8">
        <v>49.41</v>
      </c>
      <c r="N8205" s="8">
        <v>3658706</v>
      </c>
      <c r="O8205" s="8">
        <v>3592689</v>
      </c>
      <c r="P8205" s="8">
        <v>0</v>
      </c>
      <c r="Q8205" s="8" t="str">
        <f t="shared" si="2877"/>
        <v>公安委員会</v>
      </c>
      <c r="R8205" s="8" t="str">
        <f t="shared" si="2881"/>
        <v>岸和田警察署</v>
      </c>
    </row>
    <row r="8206" spans="1:18" x14ac:dyDescent="0.45">
      <c r="A8206" s="8" t="str">
        <f>"11577000230"</f>
        <v>11577000230</v>
      </c>
      <c r="B8206" s="8" t="str">
        <f>"春木南交番"</f>
        <v>春木南交番</v>
      </c>
      <c r="C8206" s="8" t="str">
        <f t="shared" si="2878"/>
        <v>行政財産</v>
      </c>
      <c r="D8206" s="8" t="str">
        <f t="shared" si="2879"/>
        <v>警察（消防）施設</v>
      </c>
      <c r="E8206" s="8" t="str">
        <f>"大阪府岸和田市春木本町"</f>
        <v>大阪府岸和田市春木本町</v>
      </c>
      <c r="F8206" s="8"/>
      <c r="G8206" s="8" t="str">
        <f t="shared" si="2872"/>
        <v>事業用資産</v>
      </c>
      <c r="H8206" s="8" t="str">
        <f t="shared" si="2880"/>
        <v>棚卸以外</v>
      </c>
      <c r="I8206" s="8">
        <v>1</v>
      </c>
      <c r="J8206" s="8" t="str">
        <f>"春木南交番"</f>
        <v>春木南交番</v>
      </c>
      <c r="K8206" s="8" t="str">
        <f>"コンクリートブロック造"</f>
        <v>コンクリートブロック造</v>
      </c>
      <c r="L8206" s="8" t="str">
        <f>"S39.03.25"</f>
        <v>S39.03.25</v>
      </c>
      <c r="M8206" s="8">
        <v>26.14</v>
      </c>
      <c r="N8206" s="8">
        <v>1097000</v>
      </c>
      <c r="O8206" s="8">
        <v>1096999</v>
      </c>
      <c r="P8206" s="8">
        <v>0</v>
      </c>
      <c r="Q8206" s="8" t="str">
        <f t="shared" si="2877"/>
        <v>公安委員会</v>
      </c>
      <c r="R8206" s="8" t="str">
        <f t="shared" si="2881"/>
        <v>岸和田警察署</v>
      </c>
    </row>
    <row r="8207" spans="1:18" x14ac:dyDescent="0.45">
      <c r="A8207" s="8" t="str">
        <f>"11577000270"</f>
        <v>11577000270</v>
      </c>
      <c r="B8207" s="8" t="str">
        <f>"東葛城駐在所"</f>
        <v>東葛城駐在所</v>
      </c>
      <c r="C8207" s="8" t="str">
        <f t="shared" si="2878"/>
        <v>行政財産</v>
      </c>
      <c r="D8207" s="8" t="str">
        <f t="shared" si="2879"/>
        <v>警察（消防）施設</v>
      </c>
      <c r="E8207" s="8" t="str">
        <f>"大阪府岸和田市河合町"</f>
        <v>大阪府岸和田市河合町</v>
      </c>
      <c r="F8207" s="8"/>
      <c r="G8207" s="8" t="str">
        <f t="shared" si="2872"/>
        <v>事業用資産</v>
      </c>
      <c r="H8207" s="8" t="str">
        <f t="shared" si="2880"/>
        <v>棚卸以外</v>
      </c>
      <c r="I8207" s="8">
        <v>3</v>
      </c>
      <c r="J8207" s="8" t="str">
        <f>"東葛城駐在所"</f>
        <v>東葛城駐在所</v>
      </c>
      <c r="K8207" s="8" t="str">
        <f>"鉄骨造"</f>
        <v>鉄骨造</v>
      </c>
      <c r="L8207" s="8" t="str">
        <f>"H23.12.12"</f>
        <v>H23.12.12</v>
      </c>
      <c r="M8207" s="8">
        <v>91.58</v>
      </c>
      <c r="N8207" s="8">
        <v>25048027</v>
      </c>
      <c r="O8207" s="8">
        <v>9324180</v>
      </c>
      <c r="P8207" s="8">
        <v>0</v>
      </c>
      <c r="Q8207" s="8" t="str">
        <f t="shared" si="2877"/>
        <v>公安委員会</v>
      </c>
      <c r="R8207" s="8" t="str">
        <f t="shared" si="2881"/>
        <v>岸和田警察署</v>
      </c>
    </row>
    <row r="8208" spans="1:18" x14ac:dyDescent="0.45">
      <c r="A8208" s="8" t="str">
        <f>"11577000280"</f>
        <v>11577000280</v>
      </c>
      <c r="B8208" s="8" t="str">
        <f>"有真香駐在所"</f>
        <v>有真香駐在所</v>
      </c>
      <c r="C8208" s="8" t="str">
        <f t="shared" si="2878"/>
        <v>行政財産</v>
      </c>
      <c r="D8208" s="8" t="str">
        <f t="shared" si="2879"/>
        <v>警察（消防）施設</v>
      </c>
      <c r="E8208" s="8" t="str">
        <f>"大阪府岸和田市土生滝町"</f>
        <v>大阪府岸和田市土生滝町</v>
      </c>
      <c r="F8208" s="8"/>
      <c r="G8208" s="8" t="str">
        <f t="shared" si="2872"/>
        <v>事業用資産</v>
      </c>
      <c r="H8208" s="8" t="str">
        <f t="shared" si="2880"/>
        <v>棚卸以外</v>
      </c>
      <c r="I8208" s="8">
        <v>3</v>
      </c>
      <c r="J8208" s="8" t="str">
        <f>"有真香駐在所"</f>
        <v>有真香駐在所</v>
      </c>
      <c r="K8208" s="8" t="str">
        <f>"鉄骨造"</f>
        <v>鉄骨造</v>
      </c>
      <c r="L8208" s="8" t="str">
        <f>"H17.12.15"</f>
        <v>H17.12.15</v>
      </c>
      <c r="M8208" s="8">
        <v>90.78</v>
      </c>
      <c r="N8208" s="8">
        <v>17897000</v>
      </c>
      <c r="O8208" s="8">
        <v>8124336</v>
      </c>
      <c r="P8208" s="8">
        <v>0</v>
      </c>
      <c r="Q8208" s="8" t="str">
        <f t="shared" si="2877"/>
        <v>公安委員会</v>
      </c>
      <c r="R8208" s="8" t="str">
        <f t="shared" si="2881"/>
        <v>岸和田警察署</v>
      </c>
    </row>
    <row r="8209" spans="1:18" x14ac:dyDescent="0.45">
      <c r="A8209" s="8" t="str">
        <f>"11577000290"</f>
        <v>11577000290</v>
      </c>
      <c r="B8209" s="8" t="str">
        <f>"下松交番"</f>
        <v>下松交番</v>
      </c>
      <c r="C8209" s="8" t="str">
        <f t="shared" si="2878"/>
        <v>行政財産</v>
      </c>
      <c r="D8209" s="8" t="str">
        <f t="shared" si="2879"/>
        <v>警察（消防）施設</v>
      </c>
      <c r="E8209" s="8" t="str">
        <f>"大阪府岸和田市下松町３丁目"</f>
        <v>大阪府岸和田市下松町３丁目</v>
      </c>
      <c r="F8209" s="8"/>
      <c r="G8209" s="8" t="str">
        <f t="shared" si="2872"/>
        <v>事業用資産</v>
      </c>
      <c r="H8209" s="8" t="str">
        <f t="shared" si="2880"/>
        <v>棚卸以外</v>
      </c>
      <c r="I8209" s="8">
        <v>2</v>
      </c>
      <c r="J8209" s="8" t="str">
        <f>"下松交番"</f>
        <v>下松交番</v>
      </c>
      <c r="K8209" s="8" t="str">
        <f>"鉄骨造"</f>
        <v>鉄骨造</v>
      </c>
      <c r="L8209" s="8" t="str">
        <f>"S50.03.26"</f>
        <v>S50.03.26</v>
      </c>
      <c r="M8209" s="8">
        <v>96</v>
      </c>
      <c r="N8209" s="8">
        <v>14809100</v>
      </c>
      <c r="O8209" s="8">
        <v>14754247</v>
      </c>
      <c r="P8209" s="8">
        <v>0</v>
      </c>
      <c r="Q8209" s="8" t="str">
        <f t="shared" si="2877"/>
        <v>公安委員会</v>
      </c>
      <c r="R8209" s="8" t="str">
        <f t="shared" si="2881"/>
        <v>岸和田警察署</v>
      </c>
    </row>
    <row r="8210" spans="1:18" x14ac:dyDescent="0.45">
      <c r="A8210" s="8" t="str">
        <f>"11577000320"</f>
        <v>11577000320</v>
      </c>
      <c r="B8210" s="8" t="str">
        <f>"内畑駐在所"</f>
        <v>内畑駐在所</v>
      </c>
      <c r="C8210" s="8" t="str">
        <f t="shared" si="2878"/>
        <v>行政財産</v>
      </c>
      <c r="D8210" s="8" t="str">
        <f t="shared" si="2879"/>
        <v>警察（消防）施設</v>
      </c>
      <c r="E8210" s="8" t="str">
        <f>"大阪府岸和田市内畑町"</f>
        <v>大阪府岸和田市内畑町</v>
      </c>
      <c r="F8210" s="8"/>
      <c r="G8210" s="8" t="str">
        <f t="shared" si="2872"/>
        <v>事業用資産</v>
      </c>
      <c r="H8210" s="8" t="str">
        <f t="shared" si="2880"/>
        <v>棚卸以外</v>
      </c>
      <c r="I8210" s="8">
        <v>3</v>
      </c>
      <c r="J8210" s="8" t="str">
        <f>"内畑駐在所"</f>
        <v>内畑駐在所</v>
      </c>
      <c r="K8210" s="8" t="str">
        <f>"鉄骨造"</f>
        <v>鉄骨造</v>
      </c>
      <c r="L8210" s="8" t="str">
        <f>"H16.12.20"</f>
        <v>H16.12.20</v>
      </c>
      <c r="M8210" s="8">
        <v>91.14</v>
      </c>
      <c r="N8210" s="8">
        <v>22989872</v>
      </c>
      <c r="O8210" s="8">
        <v>11023537</v>
      </c>
      <c r="P8210" s="8">
        <v>0</v>
      </c>
      <c r="Q8210" s="8" t="str">
        <f t="shared" si="2877"/>
        <v>公安委員会</v>
      </c>
      <c r="R8210" s="8" t="str">
        <f t="shared" si="2881"/>
        <v>岸和田警察署</v>
      </c>
    </row>
    <row r="8211" spans="1:18" x14ac:dyDescent="0.45">
      <c r="A8211" s="8" t="str">
        <f>"11577000360"</f>
        <v>11577000360</v>
      </c>
      <c r="B8211" s="8" t="str">
        <f>"久米田駅前交番"</f>
        <v>久米田駅前交番</v>
      </c>
      <c r="C8211" s="8" t="str">
        <f t="shared" si="2878"/>
        <v>行政財産</v>
      </c>
      <c r="D8211" s="8" t="str">
        <f t="shared" si="2879"/>
        <v>警察（消防）施設</v>
      </c>
      <c r="E8211" s="8" t="str">
        <f>"大阪府岸和田市大町"</f>
        <v>大阪府岸和田市大町</v>
      </c>
      <c r="F8211" s="8"/>
      <c r="G8211" s="8" t="str">
        <f t="shared" si="2872"/>
        <v>事業用資産</v>
      </c>
      <c r="H8211" s="8" t="str">
        <f t="shared" si="2880"/>
        <v>棚卸以外</v>
      </c>
      <c r="I8211" s="8">
        <v>1</v>
      </c>
      <c r="J8211" s="8" t="str">
        <f>"久米田駅前交番"</f>
        <v>久米田駅前交番</v>
      </c>
      <c r="K8211" s="8" t="str">
        <f>"コンクリートブロック造"</f>
        <v>コンクリートブロック造</v>
      </c>
      <c r="L8211" s="8" t="str">
        <f>"S42.09.27"</f>
        <v>S42.09.27</v>
      </c>
      <c r="M8211" s="8">
        <v>33.869999999999997</v>
      </c>
      <c r="N8211" s="8">
        <v>2159100</v>
      </c>
      <c r="O8211" s="8">
        <v>2087941</v>
      </c>
      <c r="P8211" s="8">
        <v>0</v>
      </c>
      <c r="Q8211" s="8" t="str">
        <f t="shared" si="2877"/>
        <v>公安委員会</v>
      </c>
      <c r="R8211" s="8" t="str">
        <f t="shared" si="2881"/>
        <v>岸和田警察署</v>
      </c>
    </row>
    <row r="8212" spans="1:18" x14ac:dyDescent="0.45">
      <c r="A8212" s="8" t="str">
        <f>"11577000370"</f>
        <v>11577000370</v>
      </c>
      <c r="B8212" s="8" t="str">
        <f>"春木交番"</f>
        <v>春木交番</v>
      </c>
      <c r="C8212" s="8" t="str">
        <f t="shared" si="2878"/>
        <v>行政財産</v>
      </c>
      <c r="D8212" s="8" t="str">
        <f t="shared" si="2879"/>
        <v>警察（消防）施設</v>
      </c>
      <c r="E8212" s="8" t="str">
        <f>"大阪府岸和田市春木若松町"</f>
        <v>大阪府岸和田市春木若松町</v>
      </c>
      <c r="F8212" s="8"/>
      <c r="G8212" s="8" t="str">
        <f t="shared" si="2872"/>
        <v>事業用資産</v>
      </c>
      <c r="H8212" s="8" t="str">
        <f t="shared" si="2880"/>
        <v>棚卸以外</v>
      </c>
      <c r="I8212" s="8">
        <v>1</v>
      </c>
      <c r="J8212" s="8" t="str">
        <f>"春木交番"</f>
        <v>春木交番</v>
      </c>
      <c r="K8212" s="8" t="str">
        <f>"鉄筋コンクリート造"</f>
        <v>鉄筋コンクリート造</v>
      </c>
      <c r="L8212" s="8" t="str">
        <f>"S44.03.31"</f>
        <v>S44.03.31</v>
      </c>
      <c r="M8212" s="8">
        <v>74.92</v>
      </c>
      <c r="N8212" s="8">
        <v>3557725</v>
      </c>
      <c r="O8212" s="8">
        <v>3473076</v>
      </c>
      <c r="P8212" s="8">
        <v>0</v>
      </c>
      <c r="Q8212" s="8" t="str">
        <f t="shared" si="2877"/>
        <v>公安委員会</v>
      </c>
      <c r="R8212" s="8" t="str">
        <f t="shared" si="2881"/>
        <v>岸和田警察署</v>
      </c>
    </row>
    <row r="8213" spans="1:18" x14ac:dyDescent="0.45">
      <c r="A8213" s="8" t="str">
        <f>"11577000380"</f>
        <v>11577000380</v>
      </c>
      <c r="B8213" s="8" t="str">
        <f>"岸和田駅前交番"</f>
        <v>岸和田駅前交番</v>
      </c>
      <c r="C8213" s="8" t="str">
        <f t="shared" si="2878"/>
        <v>行政財産</v>
      </c>
      <c r="D8213" s="8" t="str">
        <f t="shared" si="2879"/>
        <v>警察（消防）施設</v>
      </c>
      <c r="E8213" s="8" t="str">
        <f>"大阪府岸和田市宮本町"</f>
        <v>大阪府岸和田市宮本町</v>
      </c>
      <c r="F8213" s="8"/>
      <c r="G8213" s="8" t="str">
        <f t="shared" si="2872"/>
        <v>事業用資産</v>
      </c>
      <c r="H8213" s="8" t="str">
        <f t="shared" si="2880"/>
        <v>棚卸以外</v>
      </c>
      <c r="I8213" s="8">
        <v>3</v>
      </c>
      <c r="J8213" s="8" t="str">
        <f>"岸和田駅前交番"</f>
        <v>岸和田駅前交番</v>
      </c>
      <c r="K8213" s="8" t="str">
        <f>"鉄骨造"</f>
        <v>鉄骨造</v>
      </c>
      <c r="L8213" s="8" t="str">
        <f>"H06.09.12"</f>
        <v>H06.09.12</v>
      </c>
      <c r="M8213" s="8">
        <v>99.83</v>
      </c>
      <c r="N8213" s="8">
        <v>29122339</v>
      </c>
      <c r="O8213" s="8">
        <v>21796592</v>
      </c>
      <c r="P8213" s="8">
        <v>0</v>
      </c>
      <c r="Q8213" s="8" t="str">
        <f t="shared" si="2877"/>
        <v>公安委員会</v>
      </c>
      <c r="R8213" s="8" t="str">
        <f t="shared" si="2881"/>
        <v>岸和田警察署</v>
      </c>
    </row>
    <row r="8214" spans="1:18" x14ac:dyDescent="0.45">
      <c r="A8214" s="8" t="str">
        <f>"11577000390"</f>
        <v>11577000390</v>
      </c>
      <c r="B8214" s="8" t="str">
        <f>"山直上駐在所"</f>
        <v>山直上駐在所</v>
      </c>
      <c r="C8214" s="8" t="str">
        <f t="shared" si="2878"/>
        <v>行政財産</v>
      </c>
      <c r="D8214" s="8" t="str">
        <f t="shared" si="2879"/>
        <v>警察（消防）施設</v>
      </c>
      <c r="E8214" s="8" t="str">
        <f>"大阪府岸和田市稲葉町"</f>
        <v>大阪府岸和田市稲葉町</v>
      </c>
      <c r="F8214" s="8"/>
      <c r="G8214" s="8" t="str">
        <f t="shared" si="2872"/>
        <v>事業用資産</v>
      </c>
      <c r="H8214" s="8" t="str">
        <f t="shared" si="2880"/>
        <v>棚卸以外</v>
      </c>
      <c r="I8214" s="8">
        <v>2</v>
      </c>
      <c r="J8214" s="8" t="str">
        <f>"山直上駐在所"</f>
        <v>山直上駐在所</v>
      </c>
      <c r="K8214" s="8" t="str">
        <f>"鉄骨造"</f>
        <v>鉄骨造</v>
      </c>
      <c r="L8214" s="8" t="str">
        <f>"H15.01.15"</f>
        <v>H15.01.15</v>
      </c>
      <c r="M8214" s="8">
        <v>90.87</v>
      </c>
      <c r="N8214" s="8">
        <v>22050000</v>
      </c>
      <c r="O8214" s="8">
        <v>11702152</v>
      </c>
      <c r="P8214" s="8">
        <v>0</v>
      </c>
      <c r="Q8214" s="8" t="str">
        <f t="shared" si="2877"/>
        <v>公安委員会</v>
      </c>
      <c r="R8214" s="8" t="str">
        <f t="shared" si="2881"/>
        <v>岸和田警察署</v>
      </c>
    </row>
    <row r="8215" spans="1:18" x14ac:dyDescent="0.45">
      <c r="A8215" s="8" t="str">
        <f>"11577000400"</f>
        <v>11577000400</v>
      </c>
      <c r="B8215" s="8" t="str">
        <f>"本町交番"</f>
        <v>本町交番</v>
      </c>
      <c r="C8215" s="8" t="str">
        <f t="shared" si="2878"/>
        <v>行政財産</v>
      </c>
      <c r="D8215" s="8" t="str">
        <f t="shared" si="2879"/>
        <v>警察（消防）施設</v>
      </c>
      <c r="E8215" s="8" t="str">
        <f>"大阪府岸和田市本町"</f>
        <v>大阪府岸和田市本町</v>
      </c>
      <c r="F8215" s="8"/>
      <c r="G8215" s="8" t="str">
        <f t="shared" ref="G8215:G8278" si="2882">"事業用資産"</f>
        <v>事業用資産</v>
      </c>
      <c r="H8215" s="8" t="str">
        <f t="shared" si="2880"/>
        <v>棚卸以外</v>
      </c>
      <c r="I8215" s="8">
        <v>1</v>
      </c>
      <c r="J8215" s="8" t="str">
        <f>"本町交番"</f>
        <v>本町交番</v>
      </c>
      <c r="K8215" s="8" t="str">
        <f>"鉄骨造"</f>
        <v>鉄骨造</v>
      </c>
      <c r="L8215" s="8" t="str">
        <f>"S56.09.02"</f>
        <v>S56.09.02</v>
      </c>
      <c r="M8215" s="8">
        <v>54</v>
      </c>
      <c r="N8215" s="8">
        <v>14619600</v>
      </c>
      <c r="O8215" s="8">
        <v>14570127</v>
      </c>
      <c r="P8215" s="8">
        <v>0</v>
      </c>
      <c r="Q8215" s="8" t="str">
        <f t="shared" si="2877"/>
        <v>公安委員会</v>
      </c>
      <c r="R8215" s="8" t="str">
        <f t="shared" si="2881"/>
        <v>岸和田警察署</v>
      </c>
    </row>
    <row r="8216" spans="1:18" x14ac:dyDescent="0.45">
      <c r="A8216" s="8" t="str">
        <f>"11577000410"</f>
        <v>11577000410</v>
      </c>
      <c r="B8216" s="8" t="str">
        <f>"中央公園交番"</f>
        <v>中央公園交番</v>
      </c>
      <c r="C8216" s="8" t="str">
        <f t="shared" si="2878"/>
        <v>行政財産</v>
      </c>
      <c r="D8216" s="8" t="str">
        <f t="shared" si="2879"/>
        <v>警察（消防）施設</v>
      </c>
      <c r="E8216" s="8" t="str">
        <f>"大阪府岸和田市西之内町"</f>
        <v>大阪府岸和田市西之内町</v>
      </c>
      <c r="F8216" s="8"/>
      <c r="G8216" s="8" t="str">
        <f t="shared" si="2882"/>
        <v>事業用資産</v>
      </c>
      <c r="H8216" s="8" t="str">
        <f t="shared" si="2880"/>
        <v>棚卸以外</v>
      </c>
      <c r="I8216" s="8">
        <v>1</v>
      </c>
      <c r="J8216" s="8" t="str">
        <f>"中央公園交番"</f>
        <v>中央公園交番</v>
      </c>
      <c r="K8216" s="8" t="str">
        <f>"鉄筋コンクリート造"</f>
        <v>鉄筋コンクリート造</v>
      </c>
      <c r="L8216" s="8" t="str">
        <f>"S60.03.22"</f>
        <v>S60.03.22</v>
      </c>
      <c r="M8216" s="8">
        <v>51.08</v>
      </c>
      <c r="N8216" s="8">
        <v>15800600</v>
      </c>
      <c r="O8216" s="8">
        <v>11971128</v>
      </c>
      <c r="P8216" s="8">
        <v>0</v>
      </c>
      <c r="Q8216" s="8" t="str">
        <f t="shared" si="2877"/>
        <v>公安委員会</v>
      </c>
      <c r="R8216" s="8" t="str">
        <f t="shared" si="2881"/>
        <v>岸和田警察署</v>
      </c>
    </row>
    <row r="8217" spans="1:18" x14ac:dyDescent="0.45">
      <c r="A8217" s="8" t="str">
        <f>"11577000420"</f>
        <v>11577000420</v>
      </c>
      <c r="B8217" s="8" t="str">
        <f>"大沢町駐在所"</f>
        <v>大沢町駐在所</v>
      </c>
      <c r="C8217" s="8" t="str">
        <f t="shared" si="2878"/>
        <v>行政財産</v>
      </c>
      <c r="D8217" s="8" t="str">
        <f t="shared" si="2879"/>
        <v>警察（消防）施設</v>
      </c>
      <c r="E8217" s="8" t="str">
        <f>"大阪府岸和田市大沢町"</f>
        <v>大阪府岸和田市大沢町</v>
      </c>
      <c r="F8217" s="8"/>
      <c r="G8217" s="8" t="str">
        <f t="shared" si="2882"/>
        <v>事業用資産</v>
      </c>
      <c r="H8217" s="8" t="str">
        <f t="shared" si="2880"/>
        <v>棚卸以外</v>
      </c>
      <c r="I8217" s="8">
        <v>1</v>
      </c>
      <c r="J8217" s="8" t="str">
        <f>"大沢町駐在所"</f>
        <v>大沢町駐在所</v>
      </c>
      <c r="K8217" s="8" t="str">
        <f>"鉄骨造"</f>
        <v>鉄骨造</v>
      </c>
      <c r="L8217" s="8" t="str">
        <f>"S63.12.20"</f>
        <v>S63.12.20</v>
      </c>
      <c r="M8217" s="8">
        <v>89.66</v>
      </c>
      <c r="N8217" s="8">
        <v>20345768</v>
      </c>
      <c r="O8217" s="8">
        <v>18310754</v>
      </c>
      <c r="P8217" s="8">
        <v>0</v>
      </c>
      <c r="Q8217" s="8" t="str">
        <f t="shared" si="2877"/>
        <v>公安委員会</v>
      </c>
      <c r="R8217" s="8" t="str">
        <f t="shared" si="2881"/>
        <v>岸和田警察署</v>
      </c>
    </row>
    <row r="8218" spans="1:18" x14ac:dyDescent="0.45">
      <c r="A8218" s="8" t="str">
        <f>"11577000430"</f>
        <v>11577000430</v>
      </c>
      <c r="B8218" s="8" t="str">
        <f>"吉井町交番"</f>
        <v>吉井町交番</v>
      </c>
      <c r="C8218" s="8" t="str">
        <f t="shared" si="2878"/>
        <v>行政財産</v>
      </c>
      <c r="D8218" s="8" t="str">
        <f t="shared" si="2879"/>
        <v>警察（消防）施設</v>
      </c>
      <c r="E8218" s="8" t="str">
        <f>"大阪府岸和田市吉井町３丁目"</f>
        <v>大阪府岸和田市吉井町３丁目</v>
      </c>
      <c r="F8218" s="8"/>
      <c r="G8218" s="8" t="str">
        <f t="shared" si="2882"/>
        <v>事業用資産</v>
      </c>
      <c r="H8218" s="8" t="str">
        <f t="shared" si="2880"/>
        <v>棚卸以外</v>
      </c>
      <c r="I8218" s="8">
        <v>1</v>
      </c>
      <c r="J8218" s="8" t="str">
        <f>"吉井町交番"</f>
        <v>吉井町交番</v>
      </c>
      <c r="K8218" s="8" t="str">
        <f>"鉄筋コンクリート造"</f>
        <v>鉄筋コンクリート造</v>
      </c>
      <c r="L8218" s="8" t="str">
        <f>"H01.12.22"</f>
        <v>H01.12.22</v>
      </c>
      <c r="M8218" s="8">
        <v>54</v>
      </c>
      <c r="N8218" s="8">
        <v>16384600</v>
      </c>
      <c r="O8218" s="8">
        <v>10863504</v>
      </c>
      <c r="P8218" s="8">
        <v>0</v>
      </c>
      <c r="Q8218" s="8" t="str">
        <f t="shared" si="2877"/>
        <v>公安委員会</v>
      </c>
      <c r="R8218" s="8" t="str">
        <f t="shared" si="2881"/>
        <v>岸和田警察署</v>
      </c>
    </row>
    <row r="8219" spans="1:18" x14ac:dyDescent="0.45">
      <c r="A8219" s="8" t="str">
        <f>"11577000430"</f>
        <v>11577000430</v>
      </c>
      <c r="B8219" s="8" t="str">
        <f>"吉井町交番"</f>
        <v>吉井町交番</v>
      </c>
      <c r="C8219" s="8" t="str">
        <f t="shared" si="2878"/>
        <v>行政財産</v>
      </c>
      <c r="D8219" s="8" t="str">
        <f t="shared" si="2879"/>
        <v>警察（消防）施設</v>
      </c>
      <c r="E8219" s="8" t="str">
        <f>"大阪府岸和田市吉井町３丁目"</f>
        <v>大阪府岸和田市吉井町３丁目</v>
      </c>
      <c r="F8219" s="8"/>
      <c r="G8219" s="8" t="str">
        <f t="shared" si="2882"/>
        <v>事業用資産</v>
      </c>
      <c r="H8219" s="8" t="str">
        <f t="shared" si="2880"/>
        <v>棚卸以外</v>
      </c>
      <c r="I8219" s="8">
        <v>2</v>
      </c>
      <c r="J8219" s="8" t="str">
        <f>"自転車置場"</f>
        <v>自転車置場</v>
      </c>
      <c r="K8219" s="8" t="str">
        <f>"鉄骨造"</f>
        <v>鉄骨造</v>
      </c>
      <c r="L8219" s="8" t="str">
        <f>"H01.12.22"</f>
        <v>H01.12.22</v>
      </c>
      <c r="M8219" s="8">
        <v>6</v>
      </c>
      <c r="N8219" s="8">
        <v>206000</v>
      </c>
      <c r="O8219" s="8">
        <v>205999</v>
      </c>
      <c r="P8219" s="8">
        <v>0</v>
      </c>
      <c r="Q8219" s="8" t="str">
        <f t="shared" si="2877"/>
        <v>公安委員会</v>
      </c>
      <c r="R8219" s="8" t="str">
        <f t="shared" si="2881"/>
        <v>岸和田警察署</v>
      </c>
    </row>
    <row r="8220" spans="1:18" x14ac:dyDescent="0.45">
      <c r="A8220" s="8" t="str">
        <f>"11577000440"</f>
        <v>11577000440</v>
      </c>
      <c r="B8220" s="8" t="str">
        <f>"尾生駐在所"</f>
        <v>尾生駐在所</v>
      </c>
      <c r="C8220" s="8" t="str">
        <f t="shared" si="2878"/>
        <v>行政財産</v>
      </c>
      <c r="D8220" s="8" t="str">
        <f t="shared" si="2879"/>
        <v>警察（消防）施設</v>
      </c>
      <c r="E8220" s="8" t="str">
        <f>"大阪府岸和田市尾生町"</f>
        <v>大阪府岸和田市尾生町</v>
      </c>
      <c r="F8220" s="8"/>
      <c r="G8220" s="8" t="str">
        <f t="shared" si="2882"/>
        <v>事業用資産</v>
      </c>
      <c r="H8220" s="8" t="str">
        <f t="shared" si="2880"/>
        <v>棚卸以外</v>
      </c>
      <c r="I8220" s="8">
        <v>1</v>
      </c>
      <c r="J8220" s="8" t="str">
        <f>"尾生駐在所"</f>
        <v>尾生駐在所</v>
      </c>
      <c r="K8220" s="8" t="str">
        <f>"鉄骨造"</f>
        <v>鉄骨造</v>
      </c>
      <c r="L8220" s="8" t="str">
        <f>"H03.02.28"</f>
        <v>H03.02.28</v>
      </c>
      <c r="M8220" s="8">
        <v>100.56</v>
      </c>
      <c r="N8220" s="8">
        <v>20623876</v>
      </c>
      <c r="O8220" s="8">
        <v>17363465</v>
      </c>
      <c r="P8220" s="8">
        <v>0</v>
      </c>
      <c r="Q8220" s="8" t="str">
        <f t="shared" si="2877"/>
        <v>公安委員会</v>
      </c>
      <c r="R8220" s="8" t="str">
        <f t="shared" si="2881"/>
        <v>岸和田警察署</v>
      </c>
    </row>
    <row r="8221" spans="1:18" x14ac:dyDescent="0.45">
      <c r="A8221" s="8" t="str">
        <f>"11577003002"</f>
        <v>11577003002</v>
      </c>
      <c r="B8221" s="8" t="str">
        <f>"東岸和田駅前土生交番"</f>
        <v>東岸和田駅前土生交番</v>
      </c>
      <c r="C8221" s="8" t="str">
        <f t="shared" si="2878"/>
        <v>行政財産</v>
      </c>
      <c r="D8221" s="8" t="str">
        <f t="shared" si="2879"/>
        <v>警察（消防）施設</v>
      </c>
      <c r="E8221" s="8" t="str">
        <f>"大阪府岸和田市土生町４丁目"</f>
        <v>大阪府岸和田市土生町４丁目</v>
      </c>
      <c r="F8221" s="8"/>
      <c r="G8221" s="8" t="str">
        <f t="shared" si="2882"/>
        <v>事業用資産</v>
      </c>
      <c r="H8221" s="8" t="str">
        <f t="shared" si="2880"/>
        <v>棚卸以外</v>
      </c>
      <c r="I8221" s="8">
        <v>1</v>
      </c>
      <c r="J8221" s="8" t="str">
        <f>"東岸和田駅前土生交番"</f>
        <v>東岸和田駅前土生交番</v>
      </c>
      <c r="K8221" s="8" t="str">
        <f>"軽量鉄骨造"</f>
        <v>軽量鉄骨造</v>
      </c>
      <c r="L8221" s="8" t="str">
        <f>"R02.01.23"</f>
        <v>R02.01.23</v>
      </c>
      <c r="M8221" s="8">
        <v>66.5</v>
      </c>
      <c r="N8221" s="8">
        <v>28549706</v>
      </c>
      <c r="O8221" s="8">
        <v>3642008</v>
      </c>
      <c r="P8221" s="8">
        <v>0</v>
      </c>
      <c r="Q8221" s="8" t="str">
        <f t="shared" si="2877"/>
        <v>公安委員会</v>
      </c>
      <c r="R8221" s="8" t="str">
        <f t="shared" si="2881"/>
        <v>岸和田警察署</v>
      </c>
    </row>
    <row r="8222" spans="1:18" x14ac:dyDescent="0.45">
      <c r="A8222" s="8" t="str">
        <f t="shared" ref="A8222:A8231" si="2883">"11578000000"</f>
        <v>11578000000</v>
      </c>
      <c r="B8222" s="8" t="str">
        <f t="shared" ref="B8222:B8231" si="2884">"貝塚警察署"</f>
        <v>貝塚警察署</v>
      </c>
      <c r="C8222" s="8" t="str">
        <f t="shared" si="2878"/>
        <v>行政財産</v>
      </c>
      <c r="D8222" s="8" t="str">
        <f t="shared" si="2879"/>
        <v>警察（消防）施設</v>
      </c>
      <c r="E8222" s="8" t="str">
        <f t="shared" ref="E8222:E8231" si="2885">"大阪府貝塚市海塚"</f>
        <v>大阪府貝塚市海塚</v>
      </c>
      <c r="F8222" s="8"/>
      <c r="G8222" s="8" t="str">
        <f t="shared" si="2882"/>
        <v>事業用資産</v>
      </c>
      <c r="H8222" s="8" t="str">
        <f t="shared" si="2880"/>
        <v>棚卸以外</v>
      </c>
      <c r="I8222" s="8">
        <v>11</v>
      </c>
      <c r="J8222" s="8" t="str">
        <f>"庁舎"</f>
        <v>庁舎</v>
      </c>
      <c r="K8222" s="8" t="str">
        <f>"鉄筋コンクリート造"</f>
        <v>鉄筋コンクリート造</v>
      </c>
      <c r="L8222" s="8" t="str">
        <f>"S42.03.28"</f>
        <v>S42.03.28</v>
      </c>
      <c r="M8222" s="8">
        <v>1143.55</v>
      </c>
      <c r="N8222" s="8">
        <v>220337646</v>
      </c>
      <c r="O8222" s="8">
        <v>127243790</v>
      </c>
      <c r="P8222" s="8">
        <v>0</v>
      </c>
      <c r="Q8222" s="8" t="str">
        <f t="shared" si="2877"/>
        <v>公安委員会</v>
      </c>
      <c r="R8222" s="8" t="str">
        <f t="shared" ref="R8222:R8243" si="2886">"貝塚警察署"</f>
        <v>貝塚警察署</v>
      </c>
    </row>
    <row r="8223" spans="1:18" x14ac:dyDescent="0.45">
      <c r="A8223" s="8" t="str">
        <f t="shared" si="2883"/>
        <v>11578000000</v>
      </c>
      <c r="B8223" s="8" t="str">
        <f t="shared" si="2884"/>
        <v>貝塚警察署</v>
      </c>
      <c r="C8223" s="8" t="str">
        <f t="shared" si="2878"/>
        <v>行政財産</v>
      </c>
      <c r="D8223" s="8" t="str">
        <f t="shared" si="2879"/>
        <v>警察（消防）施設</v>
      </c>
      <c r="E8223" s="8" t="str">
        <f t="shared" si="2885"/>
        <v>大阪府貝塚市海塚</v>
      </c>
      <c r="F8223" s="8"/>
      <c r="G8223" s="8" t="str">
        <f t="shared" si="2882"/>
        <v>事業用資産</v>
      </c>
      <c r="H8223" s="8" t="str">
        <f t="shared" si="2880"/>
        <v>棚卸以外</v>
      </c>
      <c r="I8223" s="8">
        <v>12</v>
      </c>
      <c r="J8223" s="8" t="str">
        <f>"車庫及び倉庫"</f>
        <v>車庫及び倉庫</v>
      </c>
      <c r="K8223" s="8" t="str">
        <f>"鉄骨造"</f>
        <v>鉄骨造</v>
      </c>
      <c r="L8223" s="8" t="str">
        <f>"S42.03.28"</f>
        <v>S42.03.28</v>
      </c>
      <c r="M8223" s="8">
        <v>120</v>
      </c>
      <c r="N8223" s="8">
        <v>2331642</v>
      </c>
      <c r="O8223" s="8">
        <v>2323673</v>
      </c>
      <c r="P8223" s="8">
        <v>0</v>
      </c>
      <c r="Q8223" s="8" t="str">
        <f t="shared" si="2877"/>
        <v>公安委員会</v>
      </c>
      <c r="R8223" s="8" t="str">
        <f t="shared" si="2886"/>
        <v>貝塚警察署</v>
      </c>
    </row>
    <row r="8224" spans="1:18" x14ac:dyDescent="0.45">
      <c r="A8224" s="8" t="str">
        <f t="shared" si="2883"/>
        <v>11578000000</v>
      </c>
      <c r="B8224" s="8" t="str">
        <f t="shared" si="2884"/>
        <v>貝塚警察署</v>
      </c>
      <c r="C8224" s="8" t="str">
        <f t="shared" si="2878"/>
        <v>行政財産</v>
      </c>
      <c r="D8224" s="8" t="str">
        <f t="shared" si="2879"/>
        <v>警察（消防）施設</v>
      </c>
      <c r="E8224" s="8" t="str">
        <f t="shared" si="2885"/>
        <v>大阪府貝塚市海塚</v>
      </c>
      <c r="F8224" s="8"/>
      <c r="G8224" s="8" t="str">
        <f t="shared" si="2882"/>
        <v>事業用資産</v>
      </c>
      <c r="H8224" s="8" t="str">
        <f t="shared" si="2880"/>
        <v>棚卸以外</v>
      </c>
      <c r="I8224" s="8">
        <v>13</v>
      </c>
      <c r="J8224" s="8" t="str">
        <f>"署長公舎"</f>
        <v>署長公舎</v>
      </c>
      <c r="K8224" s="8" t="str">
        <f>"木造"</f>
        <v>木造</v>
      </c>
      <c r="L8224" s="8" t="str">
        <f>"S42.03.28"</f>
        <v>S42.03.28</v>
      </c>
      <c r="M8224" s="8">
        <v>81.150000000000006</v>
      </c>
      <c r="N8224" s="8">
        <v>4378280</v>
      </c>
      <c r="O8224" s="8">
        <v>4378279</v>
      </c>
      <c r="P8224" s="8">
        <v>0</v>
      </c>
      <c r="Q8224" s="8" t="str">
        <f t="shared" si="2877"/>
        <v>公安委員会</v>
      </c>
      <c r="R8224" s="8" t="str">
        <f t="shared" si="2886"/>
        <v>貝塚警察署</v>
      </c>
    </row>
    <row r="8225" spans="1:18" x14ac:dyDescent="0.45">
      <c r="A8225" s="8" t="str">
        <f t="shared" si="2883"/>
        <v>11578000000</v>
      </c>
      <c r="B8225" s="8" t="str">
        <f t="shared" si="2884"/>
        <v>貝塚警察署</v>
      </c>
      <c r="C8225" s="8" t="str">
        <f t="shared" si="2878"/>
        <v>行政財産</v>
      </c>
      <c r="D8225" s="8" t="str">
        <f t="shared" si="2879"/>
        <v>警察（消防）施設</v>
      </c>
      <c r="E8225" s="8" t="str">
        <f t="shared" si="2885"/>
        <v>大阪府貝塚市海塚</v>
      </c>
      <c r="F8225" s="8"/>
      <c r="G8225" s="8" t="str">
        <f t="shared" si="2882"/>
        <v>事業用資産</v>
      </c>
      <c r="H8225" s="8" t="str">
        <f t="shared" si="2880"/>
        <v>棚卸以外</v>
      </c>
      <c r="I8225" s="8">
        <v>14</v>
      </c>
      <c r="J8225" s="8" t="str">
        <f>"倉庫"</f>
        <v>倉庫</v>
      </c>
      <c r="K8225" s="8" t="str">
        <f>"パイプ"</f>
        <v>パイプ</v>
      </c>
      <c r="L8225" s="8" t="str">
        <f>"S43.03.27"</f>
        <v>S43.03.27</v>
      </c>
      <c r="M8225" s="8">
        <v>62.4</v>
      </c>
      <c r="N8225" s="8">
        <v>895561</v>
      </c>
      <c r="O8225" s="8">
        <v>892266</v>
      </c>
      <c r="P8225" s="8">
        <v>0</v>
      </c>
      <c r="Q8225" s="8" t="str">
        <f t="shared" si="2877"/>
        <v>公安委員会</v>
      </c>
      <c r="R8225" s="8" t="str">
        <f t="shared" si="2886"/>
        <v>貝塚警察署</v>
      </c>
    </row>
    <row r="8226" spans="1:18" x14ac:dyDescent="0.45">
      <c r="A8226" s="8" t="str">
        <f t="shared" si="2883"/>
        <v>11578000000</v>
      </c>
      <c r="B8226" s="8" t="str">
        <f t="shared" si="2884"/>
        <v>貝塚警察署</v>
      </c>
      <c r="C8226" s="8" t="str">
        <f t="shared" si="2878"/>
        <v>行政財産</v>
      </c>
      <c r="D8226" s="8" t="str">
        <f t="shared" si="2879"/>
        <v>警察（消防）施設</v>
      </c>
      <c r="E8226" s="8" t="str">
        <f t="shared" si="2885"/>
        <v>大阪府貝塚市海塚</v>
      </c>
      <c r="F8226" s="8"/>
      <c r="G8226" s="8" t="str">
        <f t="shared" si="2882"/>
        <v>事業用資産</v>
      </c>
      <c r="H8226" s="8" t="str">
        <f t="shared" si="2880"/>
        <v>棚卸以外</v>
      </c>
      <c r="I8226" s="8">
        <v>18</v>
      </c>
      <c r="J8226" s="8" t="str">
        <f>"倉庫"</f>
        <v>倉庫</v>
      </c>
      <c r="K8226" s="8" t="str">
        <f>"軽量鉄骨造"</f>
        <v>軽量鉄骨造</v>
      </c>
      <c r="L8226" s="8" t="str">
        <f>"S45.08.20"</f>
        <v>S45.08.20</v>
      </c>
      <c r="M8226" s="8">
        <v>33.299999999999997</v>
      </c>
      <c r="N8226" s="8">
        <v>1368870</v>
      </c>
      <c r="O8226" s="8">
        <v>1368869</v>
      </c>
      <c r="P8226" s="8">
        <v>0</v>
      </c>
      <c r="Q8226" s="8" t="str">
        <f t="shared" si="2877"/>
        <v>公安委員会</v>
      </c>
      <c r="R8226" s="8" t="str">
        <f t="shared" si="2886"/>
        <v>貝塚警察署</v>
      </c>
    </row>
    <row r="8227" spans="1:18" x14ac:dyDescent="0.45">
      <c r="A8227" s="8" t="str">
        <f t="shared" si="2883"/>
        <v>11578000000</v>
      </c>
      <c r="B8227" s="8" t="str">
        <f t="shared" si="2884"/>
        <v>貝塚警察署</v>
      </c>
      <c r="C8227" s="8" t="str">
        <f t="shared" si="2878"/>
        <v>行政財産</v>
      </c>
      <c r="D8227" s="8" t="str">
        <f t="shared" si="2879"/>
        <v>警察（消防）施設</v>
      </c>
      <c r="E8227" s="8" t="str">
        <f t="shared" si="2885"/>
        <v>大阪府貝塚市海塚</v>
      </c>
      <c r="F8227" s="8"/>
      <c r="G8227" s="8" t="str">
        <f t="shared" si="2882"/>
        <v>事業用資産</v>
      </c>
      <c r="H8227" s="8" t="str">
        <f t="shared" si="2880"/>
        <v>棚卸以外</v>
      </c>
      <c r="I8227" s="8">
        <v>21</v>
      </c>
      <c r="J8227" s="8" t="str">
        <f>"倉庫"</f>
        <v>倉庫</v>
      </c>
      <c r="K8227" s="8" t="str">
        <f>"軽量鉄骨造"</f>
        <v>軽量鉄骨造</v>
      </c>
      <c r="L8227" s="8" t="str">
        <f>"S45.12.14"</f>
        <v>S45.12.14</v>
      </c>
      <c r="M8227" s="8">
        <v>41.74</v>
      </c>
      <c r="N8227" s="8">
        <v>2193000</v>
      </c>
      <c r="O8227" s="8">
        <v>2192999</v>
      </c>
      <c r="P8227" s="8">
        <v>0</v>
      </c>
      <c r="Q8227" s="8" t="str">
        <f t="shared" si="2877"/>
        <v>公安委員会</v>
      </c>
      <c r="R8227" s="8" t="str">
        <f t="shared" si="2886"/>
        <v>貝塚警察署</v>
      </c>
    </row>
    <row r="8228" spans="1:18" x14ac:dyDescent="0.45">
      <c r="A8228" s="8" t="str">
        <f t="shared" si="2883"/>
        <v>11578000000</v>
      </c>
      <c r="B8228" s="8" t="str">
        <f t="shared" si="2884"/>
        <v>貝塚警察署</v>
      </c>
      <c r="C8228" s="8" t="str">
        <f t="shared" si="2878"/>
        <v>行政財産</v>
      </c>
      <c r="D8228" s="8" t="str">
        <f t="shared" si="2879"/>
        <v>警察（消防）施設</v>
      </c>
      <c r="E8228" s="8" t="str">
        <f t="shared" si="2885"/>
        <v>大阪府貝塚市海塚</v>
      </c>
      <c r="F8228" s="8"/>
      <c r="G8228" s="8" t="str">
        <f t="shared" si="2882"/>
        <v>事業用資産</v>
      </c>
      <c r="H8228" s="8" t="str">
        <f t="shared" si="2880"/>
        <v>棚卸以外</v>
      </c>
      <c r="I8228" s="8">
        <v>22</v>
      </c>
      <c r="J8228" s="8" t="str">
        <f>"別館"</f>
        <v>別館</v>
      </c>
      <c r="K8228" s="8" t="str">
        <f>"鉄骨造"</f>
        <v>鉄骨造</v>
      </c>
      <c r="L8228" s="8" t="str">
        <f>"S56.10.09"</f>
        <v>S56.10.09</v>
      </c>
      <c r="M8228" s="8">
        <v>507.43</v>
      </c>
      <c r="N8228" s="8">
        <v>71260098</v>
      </c>
      <c r="O8228" s="8">
        <v>70848513</v>
      </c>
      <c r="P8228" s="8">
        <v>0</v>
      </c>
      <c r="Q8228" s="8" t="str">
        <f t="shared" si="2877"/>
        <v>公安委員会</v>
      </c>
      <c r="R8228" s="8" t="str">
        <f t="shared" si="2886"/>
        <v>貝塚警察署</v>
      </c>
    </row>
    <row r="8229" spans="1:18" x14ac:dyDescent="0.45">
      <c r="A8229" s="8" t="str">
        <f t="shared" si="2883"/>
        <v>11578000000</v>
      </c>
      <c r="B8229" s="8" t="str">
        <f t="shared" si="2884"/>
        <v>貝塚警察署</v>
      </c>
      <c r="C8229" s="8" t="str">
        <f t="shared" si="2878"/>
        <v>行政財産</v>
      </c>
      <c r="D8229" s="8" t="str">
        <f t="shared" si="2879"/>
        <v>警察（消防）施設</v>
      </c>
      <c r="E8229" s="8" t="str">
        <f t="shared" si="2885"/>
        <v>大阪府貝塚市海塚</v>
      </c>
      <c r="F8229" s="8"/>
      <c r="G8229" s="8" t="str">
        <f t="shared" si="2882"/>
        <v>事業用資産</v>
      </c>
      <c r="H8229" s="8" t="str">
        <f t="shared" si="2880"/>
        <v>棚卸以外</v>
      </c>
      <c r="I8229" s="8">
        <v>23</v>
      </c>
      <c r="J8229" s="8" t="str">
        <f>"機械室"</f>
        <v>機械室</v>
      </c>
      <c r="K8229" s="8" t="str">
        <f>"鉄筋コンクリート造"</f>
        <v>鉄筋コンクリート造</v>
      </c>
      <c r="L8229" s="8" t="str">
        <f>"S62.12.10"</f>
        <v>S62.12.10</v>
      </c>
      <c r="M8229" s="8">
        <v>35.75</v>
      </c>
      <c r="N8229" s="8">
        <v>21119000</v>
      </c>
      <c r="O8229" s="8">
        <v>19590822</v>
      </c>
      <c r="P8229" s="8">
        <v>0</v>
      </c>
      <c r="Q8229" s="8" t="str">
        <f t="shared" si="2877"/>
        <v>公安委員会</v>
      </c>
      <c r="R8229" s="8" t="str">
        <f t="shared" si="2886"/>
        <v>貝塚警察署</v>
      </c>
    </row>
    <row r="8230" spans="1:18" x14ac:dyDescent="0.45">
      <c r="A8230" s="8" t="str">
        <f t="shared" si="2883"/>
        <v>11578000000</v>
      </c>
      <c r="B8230" s="8" t="str">
        <f t="shared" si="2884"/>
        <v>貝塚警察署</v>
      </c>
      <c r="C8230" s="8" t="str">
        <f t="shared" si="2878"/>
        <v>行政財産</v>
      </c>
      <c r="D8230" s="8" t="str">
        <f t="shared" si="2879"/>
        <v>警察（消防）施設</v>
      </c>
      <c r="E8230" s="8" t="str">
        <f t="shared" si="2885"/>
        <v>大阪府貝塚市海塚</v>
      </c>
      <c r="F8230" s="8"/>
      <c r="G8230" s="8" t="str">
        <f t="shared" si="2882"/>
        <v>事業用資産</v>
      </c>
      <c r="H8230" s="8" t="str">
        <f t="shared" si="2880"/>
        <v>棚卸以外</v>
      </c>
      <c r="I8230" s="8">
        <v>25</v>
      </c>
      <c r="J8230" s="8" t="str">
        <f>"ユニットトイレ"</f>
        <v>ユニットトイレ</v>
      </c>
      <c r="K8230" s="8" t="str">
        <f>"プレハブ"</f>
        <v>プレハブ</v>
      </c>
      <c r="L8230" s="8" t="str">
        <f>"H14.08.30"</f>
        <v>H14.08.30</v>
      </c>
      <c r="M8230" s="8">
        <v>6.43</v>
      </c>
      <c r="N8230" s="8">
        <v>5076000</v>
      </c>
      <c r="O8230" s="8">
        <v>4353375</v>
      </c>
      <c r="P8230" s="8">
        <v>0</v>
      </c>
      <c r="Q8230" s="8" t="str">
        <f t="shared" si="2877"/>
        <v>公安委員会</v>
      </c>
      <c r="R8230" s="8" t="str">
        <f t="shared" si="2886"/>
        <v>貝塚警察署</v>
      </c>
    </row>
    <row r="8231" spans="1:18" x14ac:dyDescent="0.45">
      <c r="A8231" s="8" t="str">
        <f t="shared" si="2883"/>
        <v>11578000000</v>
      </c>
      <c r="B8231" s="8" t="str">
        <f t="shared" si="2884"/>
        <v>貝塚警察署</v>
      </c>
      <c r="C8231" s="8" t="str">
        <f t="shared" si="2878"/>
        <v>行政財産</v>
      </c>
      <c r="D8231" s="8" t="str">
        <f t="shared" si="2879"/>
        <v>警察（消防）施設</v>
      </c>
      <c r="E8231" s="8" t="str">
        <f t="shared" si="2885"/>
        <v>大阪府貝塚市海塚</v>
      </c>
      <c r="F8231" s="8"/>
      <c r="G8231" s="8" t="str">
        <f t="shared" si="2882"/>
        <v>事業用資産</v>
      </c>
      <c r="H8231" s="8" t="str">
        <f t="shared" si="2880"/>
        <v>棚卸以外</v>
      </c>
      <c r="I8231" s="8">
        <v>26</v>
      </c>
      <c r="J8231" s="8" t="str">
        <f>"ごみ置き場"</f>
        <v>ごみ置き場</v>
      </c>
      <c r="K8231" s="8" t="str">
        <f>"コンクリートブロック造"</f>
        <v>コンクリートブロック造</v>
      </c>
      <c r="L8231" s="8" t="str">
        <f>"H17.12.27"</f>
        <v>H17.12.27</v>
      </c>
      <c r="M8231" s="8">
        <v>5.88</v>
      </c>
      <c r="N8231" s="8">
        <v>286000</v>
      </c>
      <c r="O8231" s="8">
        <v>145107</v>
      </c>
      <c r="P8231" s="8">
        <v>0</v>
      </c>
      <c r="Q8231" s="8" t="str">
        <f t="shared" si="2877"/>
        <v>公安委員会</v>
      </c>
      <c r="R8231" s="8" t="str">
        <f t="shared" si="2886"/>
        <v>貝塚警察署</v>
      </c>
    </row>
    <row r="8232" spans="1:18" x14ac:dyDescent="0.45">
      <c r="A8232" s="8" t="str">
        <f>"11578000120"</f>
        <v>11578000120</v>
      </c>
      <c r="B8232" s="8" t="str">
        <f>"西町交通警察官詰所"</f>
        <v>西町交通警察官詰所</v>
      </c>
      <c r="C8232" s="8" t="str">
        <f t="shared" si="2878"/>
        <v>行政財産</v>
      </c>
      <c r="D8232" s="8" t="str">
        <f t="shared" si="2879"/>
        <v>警察（消防）施設</v>
      </c>
      <c r="E8232" s="8" t="str">
        <f>"大阪府貝塚市西町"</f>
        <v>大阪府貝塚市西町</v>
      </c>
      <c r="F8232" s="8"/>
      <c r="G8232" s="8" t="str">
        <f t="shared" si="2882"/>
        <v>事業用資産</v>
      </c>
      <c r="H8232" s="8" t="str">
        <f t="shared" si="2880"/>
        <v>棚卸以外</v>
      </c>
      <c r="I8232" s="8">
        <v>2</v>
      </c>
      <c r="J8232" s="8" t="str">
        <f>"西町交通警察官詰所"</f>
        <v>西町交通警察官詰所</v>
      </c>
      <c r="K8232" s="8" t="str">
        <f>"軽量鉄骨造"</f>
        <v>軽量鉄骨造</v>
      </c>
      <c r="L8232" s="8" t="str">
        <f>"S58.03.31"</f>
        <v>S58.03.31</v>
      </c>
      <c r="M8232" s="8">
        <v>25.92</v>
      </c>
      <c r="N8232" s="8">
        <v>5206000</v>
      </c>
      <c r="O8232" s="8">
        <v>5205999</v>
      </c>
      <c r="P8232" s="8">
        <v>0</v>
      </c>
      <c r="Q8232" s="8" t="str">
        <f t="shared" si="2877"/>
        <v>公安委員会</v>
      </c>
      <c r="R8232" s="8" t="str">
        <f t="shared" si="2886"/>
        <v>貝塚警察署</v>
      </c>
    </row>
    <row r="8233" spans="1:18" x14ac:dyDescent="0.45">
      <c r="A8233" s="8" t="str">
        <f>"11578000130"</f>
        <v>11578000130</v>
      </c>
      <c r="B8233" s="8" t="str">
        <f>"堀新交番"</f>
        <v>堀新交番</v>
      </c>
      <c r="C8233" s="8" t="str">
        <f t="shared" si="2878"/>
        <v>行政財産</v>
      </c>
      <c r="D8233" s="8" t="str">
        <f t="shared" si="2879"/>
        <v>警察（消防）施設</v>
      </c>
      <c r="E8233" s="8" t="str">
        <f>"大阪府貝塚市堀３丁目"</f>
        <v>大阪府貝塚市堀３丁目</v>
      </c>
      <c r="F8233" s="8"/>
      <c r="G8233" s="8" t="str">
        <f t="shared" si="2882"/>
        <v>事業用資産</v>
      </c>
      <c r="H8233" s="8" t="str">
        <f t="shared" si="2880"/>
        <v>棚卸以外</v>
      </c>
      <c r="I8233" s="8">
        <v>2</v>
      </c>
      <c r="J8233" s="8" t="str">
        <f>"堀新交番"</f>
        <v>堀新交番</v>
      </c>
      <c r="K8233" s="8" t="str">
        <f>"鉄筋コンクリート造"</f>
        <v>鉄筋コンクリート造</v>
      </c>
      <c r="L8233" s="8" t="str">
        <f>"S51.03.30"</f>
        <v>S51.03.30</v>
      </c>
      <c r="M8233" s="8">
        <v>50.7</v>
      </c>
      <c r="N8233" s="8">
        <v>9954000</v>
      </c>
      <c r="O8233" s="8">
        <v>9356760</v>
      </c>
      <c r="P8233" s="8">
        <v>0</v>
      </c>
      <c r="Q8233" s="8" t="str">
        <f t="shared" si="2877"/>
        <v>公安委員会</v>
      </c>
      <c r="R8233" s="8" t="str">
        <f t="shared" si="2886"/>
        <v>貝塚警察署</v>
      </c>
    </row>
    <row r="8234" spans="1:18" x14ac:dyDescent="0.45">
      <c r="A8234" s="8" t="str">
        <f>"11578000200"</f>
        <v>11578000200</v>
      </c>
      <c r="B8234" s="8" t="str">
        <f>"名越交番"</f>
        <v>名越交番</v>
      </c>
      <c r="C8234" s="8" t="str">
        <f t="shared" si="2878"/>
        <v>行政財産</v>
      </c>
      <c r="D8234" s="8" t="str">
        <f t="shared" si="2879"/>
        <v>警察（消防）施設</v>
      </c>
      <c r="E8234" s="8" t="str">
        <f>"大阪府貝塚市名越"</f>
        <v>大阪府貝塚市名越</v>
      </c>
      <c r="F8234" s="8"/>
      <c r="G8234" s="8" t="str">
        <f t="shared" si="2882"/>
        <v>事業用資産</v>
      </c>
      <c r="H8234" s="8" t="str">
        <f t="shared" si="2880"/>
        <v>棚卸以外</v>
      </c>
      <c r="I8234" s="8">
        <v>2</v>
      </c>
      <c r="J8234" s="8" t="str">
        <f>"名越交番"</f>
        <v>名越交番</v>
      </c>
      <c r="K8234" s="8" t="str">
        <f>"鉄筋コンクリート造"</f>
        <v>鉄筋コンクリート造</v>
      </c>
      <c r="L8234" s="8" t="str">
        <f>"S51.03.30"</f>
        <v>S51.03.30</v>
      </c>
      <c r="M8234" s="8">
        <v>54</v>
      </c>
      <c r="N8234" s="8">
        <v>9217000</v>
      </c>
      <c r="O8234" s="8">
        <v>8664168</v>
      </c>
      <c r="P8234" s="8">
        <v>0</v>
      </c>
      <c r="Q8234" s="8" t="str">
        <f t="shared" si="2877"/>
        <v>公安委員会</v>
      </c>
      <c r="R8234" s="8" t="str">
        <f t="shared" si="2886"/>
        <v>貝塚警察署</v>
      </c>
    </row>
    <row r="8235" spans="1:18" x14ac:dyDescent="0.45">
      <c r="A8235" s="8" t="str">
        <f>"11578000230"</f>
        <v>11578000230</v>
      </c>
      <c r="B8235" s="8" t="str">
        <f>"橋本交番"</f>
        <v>橋本交番</v>
      </c>
      <c r="C8235" s="8" t="str">
        <f t="shared" si="2878"/>
        <v>行政財産</v>
      </c>
      <c r="D8235" s="8" t="str">
        <f t="shared" si="2879"/>
        <v>警察（消防）施設</v>
      </c>
      <c r="E8235" s="8" t="str">
        <f>"大阪府貝塚市堤"</f>
        <v>大阪府貝塚市堤</v>
      </c>
      <c r="F8235" s="8"/>
      <c r="G8235" s="8" t="str">
        <f t="shared" si="2882"/>
        <v>事業用資産</v>
      </c>
      <c r="H8235" s="8" t="str">
        <f t="shared" si="2880"/>
        <v>棚卸以外</v>
      </c>
      <c r="I8235" s="8">
        <v>1</v>
      </c>
      <c r="J8235" s="8" t="str">
        <f>"橋本交番"</f>
        <v>橋本交番</v>
      </c>
      <c r="K8235" s="8" t="str">
        <f>"コンクリートブロック造"</f>
        <v>コンクリートブロック造</v>
      </c>
      <c r="L8235" s="8" t="str">
        <f>"S41.08.26"</f>
        <v>S41.08.26</v>
      </c>
      <c r="M8235" s="8">
        <v>26.16</v>
      </c>
      <c r="N8235" s="8">
        <v>1410460</v>
      </c>
      <c r="O8235" s="8">
        <v>1371303</v>
      </c>
      <c r="P8235" s="8">
        <v>0</v>
      </c>
      <c r="Q8235" s="8" t="str">
        <f t="shared" si="2877"/>
        <v>公安委員会</v>
      </c>
      <c r="R8235" s="8" t="str">
        <f t="shared" si="2886"/>
        <v>貝塚警察署</v>
      </c>
    </row>
    <row r="8236" spans="1:18" x14ac:dyDescent="0.45">
      <c r="A8236" s="8" t="str">
        <f>"11578000240"</f>
        <v>11578000240</v>
      </c>
      <c r="B8236" s="8" t="str">
        <f>"沢交番"</f>
        <v>沢交番</v>
      </c>
      <c r="C8236" s="8" t="str">
        <f t="shared" si="2878"/>
        <v>行政財産</v>
      </c>
      <c r="D8236" s="8" t="str">
        <f t="shared" si="2879"/>
        <v>警察（消防）施設</v>
      </c>
      <c r="E8236" s="8" t="str">
        <f>"大阪府貝塚市澤"</f>
        <v>大阪府貝塚市澤</v>
      </c>
      <c r="F8236" s="8"/>
      <c r="G8236" s="8" t="str">
        <f t="shared" si="2882"/>
        <v>事業用資産</v>
      </c>
      <c r="H8236" s="8" t="str">
        <f t="shared" si="2880"/>
        <v>棚卸以外</v>
      </c>
      <c r="I8236" s="8">
        <v>1</v>
      </c>
      <c r="J8236" s="8" t="str">
        <f>"沢交番"</f>
        <v>沢交番</v>
      </c>
      <c r="K8236" s="8" t="str">
        <f>"鉄筋コンクリート造"</f>
        <v>鉄筋コンクリート造</v>
      </c>
      <c r="L8236" s="8" t="str">
        <f>"S43.01.21"</f>
        <v>S43.01.21</v>
      </c>
      <c r="M8236" s="8">
        <v>45.65</v>
      </c>
      <c r="N8236" s="8">
        <v>2596000</v>
      </c>
      <c r="O8236" s="8">
        <v>2595999</v>
      </c>
      <c r="P8236" s="8">
        <v>0</v>
      </c>
      <c r="Q8236" s="8" t="str">
        <f t="shared" si="2877"/>
        <v>公安委員会</v>
      </c>
      <c r="R8236" s="8" t="str">
        <f t="shared" si="2886"/>
        <v>貝塚警察署</v>
      </c>
    </row>
    <row r="8237" spans="1:18" x14ac:dyDescent="0.45">
      <c r="A8237" s="8" t="str">
        <f>"11578000260"</f>
        <v>11578000260</v>
      </c>
      <c r="B8237" s="8" t="str">
        <f>"三ツ松交番"</f>
        <v>三ツ松交番</v>
      </c>
      <c r="C8237" s="8" t="str">
        <f t="shared" si="2878"/>
        <v>行政財産</v>
      </c>
      <c r="D8237" s="8" t="str">
        <f t="shared" si="2879"/>
        <v>警察（消防）施設</v>
      </c>
      <c r="E8237" s="8" t="str">
        <f>"大阪府貝塚市三ツ松"</f>
        <v>大阪府貝塚市三ツ松</v>
      </c>
      <c r="F8237" s="8"/>
      <c r="G8237" s="8" t="str">
        <f t="shared" si="2882"/>
        <v>事業用資産</v>
      </c>
      <c r="H8237" s="8" t="str">
        <f t="shared" si="2880"/>
        <v>棚卸以外</v>
      </c>
      <c r="I8237" s="8">
        <v>1</v>
      </c>
      <c r="J8237" s="8" t="str">
        <f>"三ッ松交番"</f>
        <v>三ッ松交番</v>
      </c>
      <c r="K8237" s="8" t="str">
        <f>"鉄筋コンクリート造"</f>
        <v>鉄筋コンクリート造</v>
      </c>
      <c r="L8237" s="8" t="str">
        <f>"S46.11.20"</f>
        <v>S46.11.20</v>
      </c>
      <c r="M8237" s="8">
        <v>32.4</v>
      </c>
      <c r="N8237" s="8">
        <v>2342000</v>
      </c>
      <c r="O8237" s="8">
        <v>2341999</v>
      </c>
      <c r="P8237" s="8">
        <v>0</v>
      </c>
      <c r="Q8237" s="8" t="str">
        <f t="shared" si="2877"/>
        <v>公安委員会</v>
      </c>
      <c r="R8237" s="8" t="str">
        <f t="shared" si="2886"/>
        <v>貝塚警察署</v>
      </c>
    </row>
    <row r="8238" spans="1:18" x14ac:dyDescent="0.45">
      <c r="A8238" s="8" t="str">
        <f>"11578000270"</f>
        <v>11578000270</v>
      </c>
      <c r="B8238" s="8" t="str">
        <f>"石才交番"</f>
        <v>石才交番</v>
      </c>
      <c r="C8238" s="8" t="str">
        <f t="shared" si="2878"/>
        <v>行政財産</v>
      </c>
      <c r="D8238" s="8" t="str">
        <f t="shared" si="2879"/>
        <v>警察（消防）施設</v>
      </c>
      <c r="E8238" s="8" t="str">
        <f>"大阪府貝塚市石才"</f>
        <v>大阪府貝塚市石才</v>
      </c>
      <c r="F8238" s="8"/>
      <c r="G8238" s="8" t="str">
        <f t="shared" si="2882"/>
        <v>事業用資産</v>
      </c>
      <c r="H8238" s="8" t="str">
        <f t="shared" si="2880"/>
        <v>棚卸以外</v>
      </c>
      <c r="I8238" s="8">
        <v>1</v>
      </c>
      <c r="J8238" s="8" t="str">
        <f>"石才交番"</f>
        <v>石才交番</v>
      </c>
      <c r="K8238" s="8" t="str">
        <f>"鉄筋コンクリート造"</f>
        <v>鉄筋コンクリート造</v>
      </c>
      <c r="L8238" s="8" t="str">
        <f>"S46.11.30"</f>
        <v>S46.11.30</v>
      </c>
      <c r="M8238" s="8">
        <v>66.48</v>
      </c>
      <c r="N8238" s="8">
        <v>4688000</v>
      </c>
      <c r="O8238" s="8">
        <v>4687999</v>
      </c>
      <c r="P8238" s="8">
        <v>0</v>
      </c>
      <c r="Q8238" s="8" t="str">
        <f t="shared" si="2877"/>
        <v>公安委員会</v>
      </c>
      <c r="R8238" s="8" t="str">
        <f t="shared" si="2886"/>
        <v>貝塚警察署</v>
      </c>
    </row>
    <row r="8239" spans="1:18" x14ac:dyDescent="0.45">
      <c r="A8239" s="8" t="str">
        <f>"11578000280"</f>
        <v>11578000280</v>
      </c>
      <c r="B8239" s="8" t="str">
        <f>"小瀬交番"</f>
        <v>小瀬交番</v>
      </c>
      <c r="C8239" s="8" t="str">
        <f t="shared" si="2878"/>
        <v>行政財産</v>
      </c>
      <c r="D8239" s="8" t="str">
        <f t="shared" si="2879"/>
        <v>警察（消防）施設</v>
      </c>
      <c r="E8239" s="8" t="str">
        <f>"大阪府貝塚市小瀬"</f>
        <v>大阪府貝塚市小瀬</v>
      </c>
      <c r="F8239" s="8"/>
      <c r="G8239" s="8" t="str">
        <f t="shared" si="2882"/>
        <v>事業用資産</v>
      </c>
      <c r="H8239" s="8" t="str">
        <f t="shared" si="2880"/>
        <v>棚卸以外</v>
      </c>
      <c r="I8239" s="8">
        <v>1</v>
      </c>
      <c r="J8239" s="8" t="str">
        <f>"小瀬交番"</f>
        <v>小瀬交番</v>
      </c>
      <c r="K8239" s="8" t="str">
        <f>"鉄筋コンクリート造"</f>
        <v>鉄筋コンクリート造</v>
      </c>
      <c r="L8239" s="8" t="str">
        <f>"S48.11.08"</f>
        <v>S48.11.08</v>
      </c>
      <c r="M8239" s="8">
        <v>49.14</v>
      </c>
      <c r="N8239" s="8">
        <v>4535000</v>
      </c>
      <c r="O8239" s="8">
        <v>4474928</v>
      </c>
      <c r="P8239" s="8">
        <v>0</v>
      </c>
      <c r="Q8239" s="8" t="str">
        <f t="shared" si="2877"/>
        <v>公安委員会</v>
      </c>
      <c r="R8239" s="8" t="str">
        <f t="shared" si="2886"/>
        <v>貝塚警察署</v>
      </c>
    </row>
    <row r="8240" spans="1:18" x14ac:dyDescent="0.45">
      <c r="A8240" s="8" t="str">
        <f>"11578000290"</f>
        <v>11578000290</v>
      </c>
      <c r="B8240" s="8" t="str">
        <f>"東貝塚駅前交番"</f>
        <v>東貝塚駅前交番</v>
      </c>
      <c r="C8240" s="8" t="str">
        <f t="shared" si="2878"/>
        <v>行政財産</v>
      </c>
      <c r="D8240" s="8" t="str">
        <f t="shared" si="2879"/>
        <v>警察（消防）施設</v>
      </c>
      <c r="E8240" s="8" t="str">
        <f>"大阪府貝塚市半田"</f>
        <v>大阪府貝塚市半田</v>
      </c>
      <c r="F8240" s="8"/>
      <c r="G8240" s="8" t="str">
        <f t="shared" si="2882"/>
        <v>事業用資産</v>
      </c>
      <c r="H8240" s="8" t="str">
        <f t="shared" si="2880"/>
        <v>棚卸以外</v>
      </c>
      <c r="I8240" s="8">
        <v>1</v>
      </c>
      <c r="J8240" s="8" t="str">
        <f>"東貝塚駅前交番"</f>
        <v>東貝塚駅前交番</v>
      </c>
      <c r="K8240" s="8" t="str">
        <f>"鉄筋コンクリート造"</f>
        <v>鉄筋コンクリート造</v>
      </c>
      <c r="L8240" s="8" t="str">
        <f>"S49.03.30"</f>
        <v>S49.03.30</v>
      </c>
      <c r="M8240" s="8">
        <v>50.4</v>
      </c>
      <c r="N8240" s="8">
        <v>5309750</v>
      </c>
      <c r="O8240" s="8">
        <v>4956745</v>
      </c>
      <c r="P8240" s="8">
        <v>0</v>
      </c>
      <c r="Q8240" s="8" t="str">
        <f t="shared" si="2877"/>
        <v>公安委員会</v>
      </c>
      <c r="R8240" s="8" t="str">
        <f t="shared" si="2886"/>
        <v>貝塚警察署</v>
      </c>
    </row>
    <row r="8241" spans="1:18" x14ac:dyDescent="0.45">
      <c r="A8241" s="8" t="str">
        <f>"11578000300"</f>
        <v>11578000300</v>
      </c>
      <c r="B8241" s="8" t="str">
        <f>"木積駐在所"</f>
        <v>木積駐在所</v>
      </c>
      <c r="C8241" s="8" t="str">
        <f t="shared" si="2878"/>
        <v>行政財産</v>
      </c>
      <c r="D8241" s="8" t="str">
        <f t="shared" si="2879"/>
        <v>警察（消防）施設</v>
      </c>
      <c r="E8241" s="8" t="str">
        <f>"大阪府貝塚市木積"</f>
        <v>大阪府貝塚市木積</v>
      </c>
      <c r="F8241" s="8"/>
      <c r="G8241" s="8" t="str">
        <f t="shared" si="2882"/>
        <v>事業用資産</v>
      </c>
      <c r="H8241" s="8" t="str">
        <f t="shared" si="2880"/>
        <v>棚卸以外</v>
      </c>
      <c r="I8241" s="8">
        <v>1</v>
      </c>
      <c r="J8241" s="8" t="str">
        <f>"木積駐在所"</f>
        <v>木積駐在所</v>
      </c>
      <c r="K8241" s="8" t="str">
        <f>"鉄骨造"</f>
        <v>鉄骨造</v>
      </c>
      <c r="L8241" s="8" t="str">
        <f>"H02.03.31"</f>
        <v>H02.03.31</v>
      </c>
      <c r="M8241" s="8">
        <v>90.11</v>
      </c>
      <c r="N8241" s="8">
        <v>20758000</v>
      </c>
      <c r="O8241" s="8">
        <v>18026712</v>
      </c>
      <c r="P8241" s="8">
        <v>0</v>
      </c>
      <c r="Q8241" s="8" t="str">
        <f t="shared" si="2877"/>
        <v>公安委員会</v>
      </c>
      <c r="R8241" s="8" t="str">
        <f t="shared" si="2886"/>
        <v>貝塚警察署</v>
      </c>
    </row>
    <row r="8242" spans="1:18" x14ac:dyDescent="0.45">
      <c r="A8242" s="8" t="str">
        <f>"11578000310"</f>
        <v>11578000310</v>
      </c>
      <c r="B8242" s="8" t="str">
        <f>"貝塚駅前交番"</f>
        <v>貝塚駅前交番</v>
      </c>
      <c r="C8242" s="8" t="str">
        <f t="shared" si="2878"/>
        <v>行政財産</v>
      </c>
      <c r="D8242" s="8" t="str">
        <f t="shared" si="2879"/>
        <v>警察（消防）施設</v>
      </c>
      <c r="E8242" s="8" t="str">
        <f>"大阪府貝塚市海塚"</f>
        <v>大阪府貝塚市海塚</v>
      </c>
      <c r="F8242" s="8" t="str">
        <f>"１丁目"</f>
        <v>１丁目</v>
      </c>
      <c r="G8242" s="8" t="str">
        <f t="shared" si="2882"/>
        <v>事業用資産</v>
      </c>
      <c r="H8242" s="8" t="str">
        <f t="shared" si="2880"/>
        <v>棚卸以外</v>
      </c>
      <c r="I8242" s="8">
        <v>1</v>
      </c>
      <c r="J8242" s="8" t="str">
        <f>"貝塚駅前交番"</f>
        <v>貝塚駅前交番</v>
      </c>
      <c r="K8242" s="8" t="str">
        <f>"鉄骨造"</f>
        <v>鉄骨造</v>
      </c>
      <c r="L8242" s="8" t="str">
        <f>"H03.03.01"</f>
        <v>H03.03.01</v>
      </c>
      <c r="M8242" s="8">
        <v>53.12</v>
      </c>
      <c r="N8242" s="8">
        <v>13010000</v>
      </c>
      <c r="O8242" s="8">
        <v>10955904</v>
      </c>
      <c r="P8242" s="8">
        <v>0</v>
      </c>
      <c r="Q8242" s="8" t="str">
        <f t="shared" si="2877"/>
        <v>公安委員会</v>
      </c>
      <c r="R8242" s="8" t="str">
        <f t="shared" si="2886"/>
        <v>貝塚警察署</v>
      </c>
    </row>
    <row r="8243" spans="1:18" x14ac:dyDescent="0.45">
      <c r="A8243" s="8" t="str">
        <f>"11578000320"</f>
        <v>11578000320</v>
      </c>
      <c r="B8243" s="8" t="str">
        <f>"脇浜交番"</f>
        <v>脇浜交番</v>
      </c>
      <c r="C8243" s="8" t="str">
        <f t="shared" si="2878"/>
        <v>行政財産</v>
      </c>
      <c r="D8243" s="8" t="str">
        <f t="shared" si="2879"/>
        <v>警察（消防）施設</v>
      </c>
      <c r="E8243" s="8" t="str">
        <f>"大阪府貝塚市脇浜３丁目"</f>
        <v>大阪府貝塚市脇浜３丁目</v>
      </c>
      <c r="F8243" s="8"/>
      <c r="G8243" s="8" t="str">
        <f t="shared" si="2882"/>
        <v>事業用資産</v>
      </c>
      <c r="H8243" s="8" t="str">
        <f t="shared" si="2880"/>
        <v>棚卸以外</v>
      </c>
      <c r="I8243" s="8">
        <v>1</v>
      </c>
      <c r="J8243" s="8" t="str">
        <f>"脇浜交番"</f>
        <v>脇浜交番</v>
      </c>
      <c r="K8243" s="8" t="str">
        <f>"鉄筋コンクリート造"</f>
        <v>鉄筋コンクリート造</v>
      </c>
      <c r="L8243" s="8" t="str">
        <f>"H04.11.06"</f>
        <v>H04.11.06</v>
      </c>
      <c r="M8243" s="8">
        <v>111.72</v>
      </c>
      <c r="N8243" s="8">
        <v>32156221</v>
      </c>
      <c r="O8243" s="8">
        <v>19313236</v>
      </c>
      <c r="P8243" s="8">
        <v>0</v>
      </c>
      <c r="Q8243" s="8" t="str">
        <f t="shared" ref="Q8243:Q8306" si="2887">"公安委員会"</f>
        <v>公安委員会</v>
      </c>
      <c r="R8243" s="8" t="str">
        <f t="shared" si="2886"/>
        <v>貝塚警察署</v>
      </c>
    </row>
    <row r="8244" spans="1:18" x14ac:dyDescent="0.45">
      <c r="A8244" s="8" t="str">
        <f>"11579000000"</f>
        <v>11579000000</v>
      </c>
      <c r="B8244" s="8" t="str">
        <f>"泉佐野警察署"</f>
        <v>泉佐野警察署</v>
      </c>
      <c r="C8244" s="8" t="str">
        <f t="shared" si="2878"/>
        <v>行政財産</v>
      </c>
      <c r="D8244" s="8" t="str">
        <f t="shared" si="2879"/>
        <v>警察（消防）施設</v>
      </c>
      <c r="E8244" s="8" t="str">
        <f>"大阪府泉佐野市上町２丁目"</f>
        <v>大阪府泉佐野市上町２丁目</v>
      </c>
      <c r="F8244" s="8"/>
      <c r="G8244" s="8" t="str">
        <f t="shared" si="2882"/>
        <v>事業用資産</v>
      </c>
      <c r="H8244" s="8" t="str">
        <f t="shared" si="2880"/>
        <v>棚卸以外</v>
      </c>
      <c r="I8244" s="8">
        <v>24</v>
      </c>
      <c r="J8244" s="8" t="str">
        <f>"庁舎"</f>
        <v>庁舎</v>
      </c>
      <c r="K8244" s="8" t="str">
        <f>"鉄筋コンクリート造"</f>
        <v>鉄筋コンクリート造</v>
      </c>
      <c r="L8244" s="8" t="str">
        <f>"S58.02.09"</f>
        <v>S58.02.09</v>
      </c>
      <c r="M8244" s="8">
        <v>3631.34</v>
      </c>
      <c r="N8244" s="8">
        <v>917237216</v>
      </c>
      <c r="O8244" s="8">
        <v>727412986</v>
      </c>
      <c r="P8244" s="8">
        <v>0</v>
      </c>
      <c r="Q8244" s="8" t="str">
        <f t="shared" si="2887"/>
        <v>公安委員会</v>
      </c>
      <c r="R8244" s="8" t="str">
        <f t="shared" ref="R8244:R8265" si="2888">"泉佐野警察署"</f>
        <v>泉佐野警察署</v>
      </c>
    </row>
    <row r="8245" spans="1:18" x14ac:dyDescent="0.45">
      <c r="A8245" s="8" t="str">
        <f>"11579000000"</f>
        <v>11579000000</v>
      </c>
      <c r="B8245" s="8" t="str">
        <f>"泉佐野警察署"</f>
        <v>泉佐野警察署</v>
      </c>
      <c r="C8245" s="8" t="str">
        <f t="shared" si="2878"/>
        <v>行政財産</v>
      </c>
      <c r="D8245" s="8" t="str">
        <f t="shared" si="2879"/>
        <v>警察（消防）施設</v>
      </c>
      <c r="E8245" s="8" t="str">
        <f>"大阪府泉佐野市上町２丁目"</f>
        <v>大阪府泉佐野市上町２丁目</v>
      </c>
      <c r="F8245" s="8"/>
      <c r="G8245" s="8" t="str">
        <f t="shared" si="2882"/>
        <v>事業用資産</v>
      </c>
      <c r="H8245" s="8" t="str">
        <f t="shared" si="2880"/>
        <v>棚卸以外</v>
      </c>
      <c r="I8245" s="8">
        <v>25</v>
      </c>
      <c r="J8245" s="8" t="str">
        <f>"車庫及び倉庫"</f>
        <v>車庫及び倉庫</v>
      </c>
      <c r="K8245" s="8" t="str">
        <f>"鉄骨造"</f>
        <v>鉄骨造</v>
      </c>
      <c r="L8245" s="8" t="str">
        <f>"S58.03.31"</f>
        <v>S58.03.31</v>
      </c>
      <c r="M8245" s="8">
        <v>223.43</v>
      </c>
      <c r="N8245" s="8">
        <v>20842764</v>
      </c>
      <c r="O8245" s="8">
        <v>20217779</v>
      </c>
      <c r="P8245" s="8">
        <v>0</v>
      </c>
      <c r="Q8245" s="8" t="str">
        <f t="shared" si="2887"/>
        <v>公安委員会</v>
      </c>
      <c r="R8245" s="8" t="str">
        <f t="shared" si="2888"/>
        <v>泉佐野警察署</v>
      </c>
    </row>
    <row r="8246" spans="1:18" x14ac:dyDescent="0.45">
      <c r="A8246" s="8" t="str">
        <f>"11579000000"</f>
        <v>11579000000</v>
      </c>
      <c r="B8246" s="8" t="str">
        <f>"泉佐野警察署"</f>
        <v>泉佐野警察署</v>
      </c>
      <c r="C8246" s="8" t="str">
        <f t="shared" ref="C8246:C8309" si="2889">"行政財産"</f>
        <v>行政財産</v>
      </c>
      <c r="D8246" s="8" t="str">
        <f t="shared" si="2879"/>
        <v>警察（消防）施設</v>
      </c>
      <c r="E8246" s="8" t="str">
        <f>"大阪府泉佐野市上町２丁目"</f>
        <v>大阪府泉佐野市上町２丁目</v>
      </c>
      <c r="F8246" s="8"/>
      <c r="G8246" s="8" t="str">
        <f t="shared" si="2882"/>
        <v>事業用資産</v>
      </c>
      <c r="H8246" s="8" t="str">
        <f t="shared" si="2880"/>
        <v>棚卸以外</v>
      </c>
      <c r="I8246" s="8">
        <v>26</v>
      </c>
      <c r="J8246" s="8" t="str">
        <f>"油庫"</f>
        <v>油庫</v>
      </c>
      <c r="K8246" s="8" t="str">
        <f>"コンクリートブロック造"</f>
        <v>コンクリートブロック造</v>
      </c>
      <c r="L8246" s="8" t="str">
        <f>"S58.03.31"</f>
        <v>S58.03.31</v>
      </c>
      <c r="M8246" s="8">
        <v>3.44</v>
      </c>
      <c r="N8246" s="8">
        <v>626000</v>
      </c>
      <c r="O8246" s="8">
        <v>625999</v>
      </c>
      <c r="P8246" s="8">
        <v>0</v>
      </c>
      <c r="Q8246" s="8" t="str">
        <f t="shared" si="2887"/>
        <v>公安委員会</v>
      </c>
      <c r="R8246" s="8" t="str">
        <f t="shared" si="2888"/>
        <v>泉佐野警察署</v>
      </c>
    </row>
    <row r="8247" spans="1:18" x14ac:dyDescent="0.45">
      <c r="A8247" s="8" t="str">
        <f>"11579000000"</f>
        <v>11579000000</v>
      </c>
      <c r="B8247" s="8" t="str">
        <f>"泉佐野警察署"</f>
        <v>泉佐野警察署</v>
      </c>
      <c r="C8247" s="8" t="str">
        <f t="shared" si="2889"/>
        <v>行政財産</v>
      </c>
      <c r="D8247" s="8" t="str">
        <f t="shared" si="2879"/>
        <v>警察（消防）施設</v>
      </c>
      <c r="E8247" s="8" t="str">
        <f>"大阪府泉佐野市上町２丁目"</f>
        <v>大阪府泉佐野市上町２丁目</v>
      </c>
      <c r="F8247" s="8"/>
      <c r="G8247" s="8" t="str">
        <f t="shared" si="2882"/>
        <v>事業用資産</v>
      </c>
      <c r="H8247" s="8" t="str">
        <f t="shared" si="2880"/>
        <v>棚卸以外</v>
      </c>
      <c r="I8247" s="8">
        <v>28</v>
      </c>
      <c r="J8247" s="8" t="str">
        <f>"倉庫"</f>
        <v>倉庫</v>
      </c>
      <c r="K8247" s="8" t="str">
        <f>"鉄筋コンクリート造"</f>
        <v>鉄筋コンクリート造</v>
      </c>
      <c r="L8247" s="8" t="str">
        <f>"S58.03.31"</f>
        <v>S58.03.31</v>
      </c>
      <c r="M8247" s="8">
        <v>2.2400000000000002</v>
      </c>
      <c r="N8247" s="8">
        <v>40747000</v>
      </c>
      <c r="O8247" s="8">
        <v>40746999</v>
      </c>
      <c r="P8247" s="8">
        <v>0</v>
      </c>
      <c r="Q8247" s="8" t="str">
        <f t="shared" si="2887"/>
        <v>公安委員会</v>
      </c>
      <c r="R8247" s="8" t="str">
        <f t="shared" si="2888"/>
        <v>泉佐野警察署</v>
      </c>
    </row>
    <row r="8248" spans="1:18" x14ac:dyDescent="0.45">
      <c r="A8248" s="8" t="str">
        <f>"11579000000"</f>
        <v>11579000000</v>
      </c>
      <c r="B8248" s="8" t="str">
        <f>"泉佐野警察署"</f>
        <v>泉佐野警察署</v>
      </c>
      <c r="C8248" s="8" t="str">
        <f t="shared" si="2889"/>
        <v>行政財産</v>
      </c>
      <c r="D8248" s="8" t="str">
        <f t="shared" si="2879"/>
        <v>警察（消防）施設</v>
      </c>
      <c r="E8248" s="8" t="str">
        <f>"大阪府泉佐野市上町２丁目"</f>
        <v>大阪府泉佐野市上町２丁目</v>
      </c>
      <c r="F8248" s="8"/>
      <c r="G8248" s="8" t="str">
        <f t="shared" si="2882"/>
        <v>事業用資産</v>
      </c>
      <c r="H8248" s="8" t="str">
        <f t="shared" si="2880"/>
        <v>棚卸以外</v>
      </c>
      <c r="I8248" s="8">
        <v>29</v>
      </c>
      <c r="J8248" s="8" t="str">
        <f>"じんあい集積場"</f>
        <v>じんあい集積場</v>
      </c>
      <c r="K8248" s="8" t="str">
        <f>"鉄筋コンクリート造"</f>
        <v>鉄筋コンクリート造</v>
      </c>
      <c r="L8248" s="8" t="str">
        <f>"S58.06.27"</f>
        <v>S58.06.27</v>
      </c>
      <c r="M8248" s="8">
        <v>6</v>
      </c>
      <c r="N8248" s="8">
        <v>890000</v>
      </c>
      <c r="O8248" s="8">
        <v>889999</v>
      </c>
      <c r="P8248" s="8">
        <v>0</v>
      </c>
      <c r="Q8248" s="8" t="str">
        <f t="shared" si="2887"/>
        <v>公安委員会</v>
      </c>
      <c r="R8248" s="8" t="str">
        <f t="shared" si="2888"/>
        <v>泉佐野警察署</v>
      </c>
    </row>
    <row r="8249" spans="1:18" x14ac:dyDescent="0.45">
      <c r="A8249" s="8" t="str">
        <f>"11579000028"</f>
        <v>11579000028</v>
      </c>
      <c r="B8249" s="8" t="str">
        <f>"泉佐野駅前交番"</f>
        <v>泉佐野駅前交番</v>
      </c>
      <c r="C8249" s="8" t="str">
        <f t="shared" si="2889"/>
        <v>行政財産</v>
      </c>
      <c r="D8249" s="8" t="str">
        <f t="shared" si="2879"/>
        <v>警察（消防）施設</v>
      </c>
      <c r="E8249" s="8" t="str">
        <f>"大阪府泉佐野市上町３丁目"</f>
        <v>大阪府泉佐野市上町３丁目</v>
      </c>
      <c r="F8249" s="8"/>
      <c r="G8249" s="8" t="str">
        <f t="shared" si="2882"/>
        <v>事業用資産</v>
      </c>
      <c r="H8249" s="8" t="str">
        <f t="shared" si="2880"/>
        <v>棚卸以外</v>
      </c>
      <c r="I8249" s="8">
        <v>1</v>
      </c>
      <c r="J8249" s="8" t="str">
        <f>"泉佐野駅前交番"</f>
        <v>泉佐野駅前交番</v>
      </c>
      <c r="K8249" s="8" t="str">
        <f>"鉄骨造"</f>
        <v>鉄骨造</v>
      </c>
      <c r="L8249" s="8" t="str">
        <f>"H21.10.13"</f>
        <v>H21.10.13</v>
      </c>
      <c r="M8249" s="8">
        <v>99.34</v>
      </c>
      <c r="N8249" s="8">
        <v>24681000</v>
      </c>
      <c r="O8249" s="8">
        <v>8714125</v>
      </c>
      <c r="P8249" s="8">
        <v>0</v>
      </c>
      <c r="Q8249" s="8" t="str">
        <f t="shared" si="2887"/>
        <v>公安委員会</v>
      </c>
      <c r="R8249" s="8" t="str">
        <f t="shared" si="2888"/>
        <v>泉佐野警察署</v>
      </c>
    </row>
    <row r="8250" spans="1:18" x14ac:dyDescent="0.45">
      <c r="A8250" s="8" t="str">
        <f>"11579000120"</f>
        <v>11579000120</v>
      </c>
      <c r="B8250" s="8" t="str">
        <f>"鶴原交番"</f>
        <v>鶴原交番</v>
      </c>
      <c r="C8250" s="8" t="str">
        <f t="shared" si="2889"/>
        <v>行政財産</v>
      </c>
      <c r="D8250" s="8" t="str">
        <f t="shared" si="2879"/>
        <v>警察（消防）施設</v>
      </c>
      <c r="E8250" s="8" t="str">
        <f>"大阪府泉佐野市鶴原１丁目"</f>
        <v>大阪府泉佐野市鶴原１丁目</v>
      </c>
      <c r="F8250" s="8"/>
      <c r="G8250" s="8" t="str">
        <f t="shared" si="2882"/>
        <v>事業用資産</v>
      </c>
      <c r="H8250" s="8" t="str">
        <f t="shared" si="2880"/>
        <v>棚卸以外</v>
      </c>
      <c r="I8250" s="8">
        <v>2</v>
      </c>
      <c r="J8250" s="8" t="str">
        <f>"鶴原交番"</f>
        <v>鶴原交番</v>
      </c>
      <c r="K8250" s="8" t="str">
        <f>"鉄骨造"</f>
        <v>鉄骨造</v>
      </c>
      <c r="L8250" s="8" t="str">
        <f>"H06.03.30"</f>
        <v>H06.03.30</v>
      </c>
      <c r="M8250" s="8">
        <v>54.68</v>
      </c>
      <c r="N8250" s="8">
        <v>21155000</v>
      </c>
      <c r="O8250" s="8">
        <v>16144764</v>
      </c>
      <c r="P8250" s="8">
        <v>0</v>
      </c>
      <c r="Q8250" s="8" t="str">
        <f t="shared" si="2887"/>
        <v>公安委員会</v>
      </c>
      <c r="R8250" s="8" t="str">
        <f t="shared" si="2888"/>
        <v>泉佐野警察署</v>
      </c>
    </row>
    <row r="8251" spans="1:18" x14ac:dyDescent="0.45">
      <c r="A8251" s="8" t="str">
        <f>"11579000160"</f>
        <v>11579000160</v>
      </c>
      <c r="B8251" s="8" t="str">
        <f>"上之郷駐在所"</f>
        <v>上之郷駐在所</v>
      </c>
      <c r="C8251" s="8" t="str">
        <f t="shared" si="2889"/>
        <v>行政財産</v>
      </c>
      <c r="D8251" s="8" t="str">
        <f t="shared" si="2879"/>
        <v>警察（消防）施設</v>
      </c>
      <c r="E8251" s="8" t="str">
        <f>"大阪府泉佐野市上之郷"</f>
        <v>大阪府泉佐野市上之郷</v>
      </c>
      <c r="F8251" s="8"/>
      <c r="G8251" s="8" t="str">
        <f t="shared" si="2882"/>
        <v>事業用資産</v>
      </c>
      <c r="H8251" s="8" t="str">
        <f t="shared" si="2880"/>
        <v>棚卸以外</v>
      </c>
      <c r="I8251" s="8">
        <v>4</v>
      </c>
      <c r="J8251" s="8" t="str">
        <f>"上之郷駐在所"</f>
        <v>上之郷駐在所</v>
      </c>
      <c r="K8251" s="8" t="str">
        <f>"鉄骨造"</f>
        <v>鉄骨造</v>
      </c>
      <c r="L8251" s="8" t="str">
        <f>"S60.11.29"</f>
        <v>S60.11.29</v>
      </c>
      <c r="M8251" s="8">
        <v>87.48</v>
      </c>
      <c r="N8251" s="8">
        <v>18032402</v>
      </c>
      <c r="O8251" s="8">
        <v>17611812</v>
      </c>
      <c r="P8251" s="8">
        <v>0</v>
      </c>
      <c r="Q8251" s="8" t="str">
        <f t="shared" si="2887"/>
        <v>公安委員会</v>
      </c>
      <c r="R8251" s="8" t="str">
        <f t="shared" si="2888"/>
        <v>泉佐野警察署</v>
      </c>
    </row>
    <row r="8252" spans="1:18" x14ac:dyDescent="0.45">
      <c r="A8252" s="8" t="str">
        <f>"11579000160"</f>
        <v>11579000160</v>
      </c>
      <c r="B8252" s="8" t="str">
        <f>"上之郷駐在所"</f>
        <v>上之郷駐在所</v>
      </c>
      <c r="C8252" s="8" t="str">
        <f t="shared" si="2889"/>
        <v>行政財産</v>
      </c>
      <c r="D8252" s="8" t="str">
        <f t="shared" ref="D8252:D8315" si="2890">"警察（消防）施設"</f>
        <v>警察（消防）施設</v>
      </c>
      <c r="E8252" s="8" t="str">
        <f>"大阪府泉佐野市上之郷"</f>
        <v>大阪府泉佐野市上之郷</v>
      </c>
      <c r="F8252" s="8"/>
      <c r="G8252" s="8" t="str">
        <f t="shared" si="2882"/>
        <v>事業用資産</v>
      </c>
      <c r="H8252" s="8" t="str">
        <f t="shared" si="2880"/>
        <v>棚卸以外</v>
      </c>
      <c r="I8252" s="8">
        <v>5</v>
      </c>
      <c r="J8252" s="8" t="str">
        <f>"プロパン置場"</f>
        <v>プロパン置場</v>
      </c>
      <c r="K8252" s="8" t="str">
        <f>"コンクリートブロック造"</f>
        <v>コンクリートブロック造</v>
      </c>
      <c r="L8252" s="8" t="str">
        <f>"S60.11.29"</f>
        <v>S60.11.29</v>
      </c>
      <c r="M8252" s="8">
        <v>1.1000000000000001</v>
      </c>
      <c r="N8252" s="8">
        <v>80000</v>
      </c>
      <c r="O8252" s="8">
        <v>79999</v>
      </c>
      <c r="P8252" s="8">
        <v>0</v>
      </c>
      <c r="Q8252" s="8" t="str">
        <f t="shared" si="2887"/>
        <v>公安委員会</v>
      </c>
      <c r="R8252" s="8" t="str">
        <f t="shared" si="2888"/>
        <v>泉佐野警察署</v>
      </c>
    </row>
    <row r="8253" spans="1:18" x14ac:dyDescent="0.45">
      <c r="A8253" s="8" t="str">
        <f>"11579000180"</f>
        <v>11579000180</v>
      </c>
      <c r="B8253" s="8" t="str">
        <f>"熊取町朝代交番"</f>
        <v>熊取町朝代交番</v>
      </c>
      <c r="C8253" s="8" t="str">
        <f t="shared" si="2889"/>
        <v>行政財産</v>
      </c>
      <c r="D8253" s="8" t="str">
        <f t="shared" si="2890"/>
        <v>警察（消防）施設</v>
      </c>
      <c r="E8253" s="8" t="str">
        <f>"大阪府泉南郡　熊取町朝代西３丁目"</f>
        <v>大阪府泉南郡　熊取町朝代西３丁目</v>
      </c>
      <c r="F8253" s="8"/>
      <c r="G8253" s="8" t="str">
        <f t="shared" si="2882"/>
        <v>事業用資産</v>
      </c>
      <c r="H8253" s="8" t="str">
        <f t="shared" si="2880"/>
        <v>棚卸以外</v>
      </c>
      <c r="I8253" s="8">
        <v>1</v>
      </c>
      <c r="J8253" s="8" t="str">
        <f>"熊取町朝代交番"</f>
        <v>熊取町朝代交番</v>
      </c>
      <c r="K8253" s="8" t="str">
        <f>"鉄筋コンクリート造"</f>
        <v>鉄筋コンクリート造</v>
      </c>
      <c r="L8253" s="8" t="str">
        <f>"S58.02.22"</f>
        <v>S58.02.22</v>
      </c>
      <c r="M8253" s="8">
        <v>54</v>
      </c>
      <c r="N8253" s="8">
        <v>11630000</v>
      </c>
      <c r="O8253" s="8">
        <v>9323704</v>
      </c>
      <c r="P8253" s="8">
        <v>0</v>
      </c>
      <c r="Q8253" s="8" t="str">
        <f t="shared" si="2887"/>
        <v>公安委員会</v>
      </c>
      <c r="R8253" s="8" t="str">
        <f t="shared" si="2888"/>
        <v>泉佐野警察署</v>
      </c>
    </row>
    <row r="8254" spans="1:18" x14ac:dyDescent="0.45">
      <c r="A8254" s="8" t="str">
        <f>"11579000200"</f>
        <v>11579000200</v>
      </c>
      <c r="B8254" s="8" t="str">
        <f>"井原の里交番"</f>
        <v>井原の里交番</v>
      </c>
      <c r="C8254" s="8" t="str">
        <f t="shared" si="2889"/>
        <v>行政財産</v>
      </c>
      <c r="D8254" s="8" t="str">
        <f t="shared" si="2890"/>
        <v>警察（消防）施設</v>
      </c>
      <c r="E8254" s="8" t="str">
        <f>"大阪府泉佐野市下瓦屋１丁目"</f>
        <v>大阪府泉佐野市下瓦屋１丁目</v>
      </c>
      <c r="F8254" s="8"/>
      <c r="G8254" s="8" t="str">
        <f t="shared" si="2882"/>
        <v>事業用資産</v>
      </c>
      <c r="H8254" s="8" t="str">
        <f t="shared" si="2880"/>
        <v>棚卸以外</v>
      </c>
      <c r="I8254" s="8">
        <v>1</v>
      </c>
      <c r="J8254" s="8" t="str">
        <f>"井原の里交番"</f>
        <v>井原の里交番</v>
      </c>
      <c r="K8254" s="8" t="str">
        <f>"鉄筋コンクリート造"</f>
        <v>鉄筋コンクリート造</v>
      </c>
      <c r="L8254" s="8" t="str">
        <f>"S42.03.21"</f>
        <v>S42.03.21</v>
      </c>
      <c r="M8254" s="8">
        <v>64.569999999999993</v>
      </c>
      <c r="N8254" s="8">
        <v>3217000</v>
      </c>
      <c r="O8254" s="8">
        <v>3216999</v>
      </c>
      <c r="P8254" s="8">
        <v>0</v>
      </c>
      <c r="Q8254" s="8" t="str">
        <f t="shared" si="2887"/>
        <v>公安委員会</v>
      </c>
      <c r="R8254" s="8" t="str">
        <f t="shared" si="2888"/>
        <v>泉佐野警察署</v>
      </c>
    </row>
    <row r="8255" spans="1:18" x14ac:dyDescent="0.45">
      <c r="A8255" s="8" t="str">
        <f>"11579000210"</f>
        <v>11579000210</v>
      </c>
      <c r="B8255" s="8" t="str">
        <f>"熊取町小垣内交番"</f>
        <v>熊取町小垣内交番</v>
      </c>
      <c r="C8255" s="8" t="str">
        <f t="shared" si="2889"/>
        <v>行政財産</v>
      </c>
      <c r="D8255" s="8" t="str">
        <f t="shared" si="2890"/>
        <v>警察（消防）施設</v>
      </c>
      <c r="E8255" s="8" t="str">
        <f>"大阪府泉南郡　熊取町大字小垣内"</f>
        <v>大阪府泉南郡　熊取町大字小垣内</v>
      </c>
      <c r="F8255" s="8"/>
      <c r="G8255" s="8" t="str">
        <f t="shared" si="2882"/>
        <v>事業用資産</v>
      </c>
      <c r="H8255" s="8" t="str">
        <f t="shared" si="2880"/>
        <v>棚卸以外</v>
      </c>
      <c r="I8255" s="8">
        <v>2</v>
      </c>
      <c r="J8255" s="8" t="str">
        <f>"熊取町小垣内交番"</f>
        <v>熊取町小垣内交番</v>
      </c>
      <c r="K8255" s="8" t="str">
        <f>"鉄骨造"</f>
        <v>鉄骨造</v>
      </c>
      <c r="L8255" s="8" t="str">
        <f>"H18.01.13"</f>
        <v>H18.01.13</v>
      </c>
      <c r="M8255" s="8">
        <v>54</v>
      </c>
      <c r="N8255" s="8">
        <v>15647000</v>
      </c>
      <c r="O8255" s="8">
        <v>7068684</v>
      </c>
      <c r="P8255" s="8">
        <v>0</v>
      </c>
      <c r="Q8255" s="8" t="str">
        <f t="shared" si="2887"/>
        <v>公安委員会</v>
      </c>
      <c r="R8255" s="8" t="str">
        <f t="shared" si="2888"/>
        <v>泉佐野警察署</v>
      </c>
    </row>
    <row r="8256" spans="1:18" x14ac:dyDescent="0.45">
      <c r="A8256" s="8" t="str">
        <f>"11579000220"</f>
        <v>11579000220</v>
      </c>
      <c r="B8256" s="8" t="str">
        <f>"羽倉崎交番"</f>
        <v>羽倉崎交番</v>
      </c>
      <c r="C8256" s="8" t="str">
        <f t="shared" si="2889"/>
        <v>行政財産</v>
      </c>
      <c r="D8256" s="8" t="str">
        <f t="shared" si="2890"/>
        <v>警察（消防）施設</v>
      </c>
      <c r="E8256" s="8" t="str">
        <f>"大阪府泉佐野市羽倉崎１丁目"</f>
        <v>大阪府泉佐野市羽倉崎１丁目</v>
      </c>
      <c r="F8256" s="8"/>
      <c r="G8256" s="8" t="str">
        <f t="shared" si="2882"/>
        <v>事業用資産</v>
      </c>
      <c r="H8256" s="8" t="str">
        <f t="shared" si="2880"/>
        <v>棚卸以外</v>
      </c>
      <c r="I8256" s="8">
        <v>2</v>
      </c>
      <c r="J8256" s="8" t="str">
        <f>"羽倉崎交番"</f>
        <v>羽倉崎交番</v>
      </c>
      <c r="K8256" s="8" t="str">
        <f>"鉄骨造"</f>
        <v>鉄骨造</v>
      </c>
      <c r="L8256" s="8" t="str">
        <f>"H22.03.24"</f>
        <v>H22.03.24</v>
      </c>
      <c r="M8256" s="8">
        <v>53.3</v>
      </c>
      <c r="N8256" s="8">
        <v>13432000</v>
      </c>
      <c r="O8256" s="8">
        <v>4595292</v>
      </c>
      <c r="P8256" s="8">
        <v>0</v>
      </c>
      <c r="Q8256" s="8" t="str">
        <f t="shared" si="2887"/>
        <v>公安委員会</v>
      </c>
      <c r="R8256" s="8" t="str">
        <f t="shared" si="2888"/>
        <v>泉佐野警察署</v>
      </c>
    </row>
    <row r="8257" spans="1:18" x14ac:dyDescent="0.45">
      <c r="A8257" s="8" t="str">
        <f>"11579000230"</f>
        <v>11579000230</v>
      </c>
      <c r="B8257" s="8" t="str">
        <f>"日根野駅前交番"</f>
        <v>日根野駅前交番</v>
      </c>
      <c r="C8257" s="8" t="str">
        <f t="shared" si="2889"/>
        <v>行政財産</v>
      </c>
      <c r="D8257" s="8" t="str">
        <f t="shared" si="2890"/>
        <v>警察（消防）施設</v>
      </c>
      <c r="E8257" s="8" t="str">
        <f>"大阪府泉佐野市日根野"</f>
        <v>大阪府泉佐野市日根野</v>
      </c>
      <c r="F8257" s="8"/>
      <c r="G8257" s="8" t="str">
        <f t="shared" si="2882"/>
        <v>事業用資産</v>
      </c>
      <c r="H8257" s="8" t="str">
        <f t="shared" si="2880"/>
        <v>棚卸以外</v>
      </c>
      <c r="I8257" s="8">
        <v>1</v>
      </c>
      <c r="J8257" s="8" t="str">
        <f>"日根野駅前交番"</f>
        <v>日根野駅前交番</v>
      </c>
      <c r="K8257" s="8" t="str">
        <f>"鉄筋コンクリート造"</f>
        <v>鉄筋コンクリート造</v>
      </c>
      <c r="L8257" s="8" t="str">
        <f>"S44.03.28"</f>
        <v>S44.03.28</v>
      </c>
      <c r="M8257" s="8">
        <v>45.65</v>
      </c>
      <c r="N8257" s="8">
        <v>2633000</v>
      </c>
      <c r="O8257" s="8">
        <v>2632999</v>
      </c>
      <c r="P8257" s="8">
        <v>0</v>
      </c>
      <c r="Q8257" s="8" t="str">
        <f t="shared" si="2887"/>
        <v>公安委員会</v>
      </c>
      <c r="R8257" s="8" t="str">
        <f t="shared" si="2888"/>
        <v>泉佐野警察署</v>
      </c>
    </row>
    <row r="8258" spans="1:18" x14ac:dyDescent="0.45">
      <c r="A8258" s="8" t="str">
        <f>"11579000240"</f>
        <v>11579000240</v>
      </c>
      <c r="B8258" s="8" t="str">
        <f>"南中交番"</f>
        <v>南中交番</v>
      </c>
      <c r="C8258" s="8" t="str">
        <f t="shared" si="2889"/>
        <v>行政財産</v>
      </c>
      <c r="D8258" s="8" t="str">
        <f t="shared" si="2890"/>
        <v>警察（消防）施設</v>
      </c>
      <c r="E8258" s="8" t="str">
        <f>"大阪府泉佐野市南中樫井"</f>
        <v>大阪府泉佐野市南中樫井</v>
      </c>
      <c r="F8258" s="8"/>
      <c r="G8258" s="8" t="str">
        <f t="shared" si="2882"/>
        <v>事業用資産</v>
      </c>
      <c r="H8258" s="8" t="str">
        <f t="shared" si="2880"/>
        <v>棚卸以外</v>
      </c>
      <c r="I8258" s="8">
        <v>2</v>
      </c>
      <c r="J8258" s="8" t="str">
        <f>"南中交番"</f>
        <v>南中交番</v>
      </c>
      <c r="K8258" s="8" t="str">
        <f>"鉄骨造"</f>
        <v>鉄骨造</v>
      </c>
      <c r="L8258" s="8" t="str">
        <f>"H08.03.22"</f>
        <v>H08.03.22</v>
      </c>
      <c r="M8258" s="8">
        <v>53.9</v>
      </c>
      <c r="N8258" s="8">
        <v>17429000</v>
      </c>
      <c r="O8258" s="8">
        <v>12383928</v>
      </c>
      <c r="P8258" s="8">
        <v>0</v>
      </c>
      <c r="Q8258" s="8" t="str">
        <f t="shared" si="2887"/>
        <v>公安委員会</v>
      </c>
      <c r="R8258" s="8" t="str">
        <f t="shared" si="2888"/>
        <v>泉佐野警察署</v>
      </c>
    </row>
    <row r="8259" spans="1:18" x14ac:dyDescent="0.45">
      <c r="A8259" s="8" t="str">
        <f>"11579000250"</f>
        <v>11579000250</v>
      </c>
      <c r="B8259" s="8" t="str">
        <f>"日根野駐在所"</f>
        <v>日根野駐在所</v>
      </c>
      <c r="C8259" s="8" t="str">
        <f t="shared" si="2889"/>
        <v>行政財産</v>
      </c>
      <c r="D8259" s="8" t="str">
        <f t="shared" si="2890"/>
        <v>警察（消防）施設</v>
      </c>
      <c r="E8259" s="8" t="str">
        <f>"大阪府泉佐野市日根野"</f>
        <v>大阪府泉佐野市日根野</v>
      </c>
      <c r="F8259" s="8"/>
      <c r="G8259" s="8" t="str">
        <f t="shared" si="2882"/>
        <v>事業用資産</v>
      </c>
      <c r="H8259" s="8" t="str">
        <f t="shared" si="2880"/>
        <v>棚卸以外</v>
      </c>
      <c r="I8259" s="8">
        <v>2</v>
      </c>
      <c r="J8259" s="8" t="str">
        <f>"日根野駐在所"</f>
        <v>日根野駐在所</v>
      </c>
      <c r="K8259" s="8" t="str">
        <f>"鉄骨造"</f>
        <v>鉄骨造</v>
      </c>
      <c r="L8259" s="8" t="str">
        <f>"H09.12.22"</f>
        <v>H09.12.22</v>
      </c>
      <c r="M8259" s="8">
        <v>91.81</v>
      </c>
      <c r="N8259" s="8">
        <v>25139288</v>
      </c>
      <c r="O8259" s="8">
        <v>16679346</v>
      </c>
      <c r="P8259" s="8">
        <v>0</v>
      </c>
      <c r="Q8259" s="8" t="str">
        <f t="shared" si="2887"/>
        <v>公安委員会</v>
      </c>
      <c r="R8259" s="8" t="str">
        <f t="shared" si="2888"/>
        <v>泉佐野警察署</v>
      </c>
    </row>
    <row r="8260" spans="1:18" x14ac:dyDescent="0.45">
      <c r="A8260" s="8" t="str">
        <f>"11579000300"</f>
        <v>11579000300</v>
      </c>
      <c r="B8260" s="8" t="str">
        <f>"熊取町野田交番"</f>
        <v>熊取町野田交番</v>
      </c>
      <c r="C8260" s="8" t="str">
        <f t="shared" si="2889"/>
        <v>行政財産</v>
      </c>
      <c r="D8260" s="8" t="str">
        <f t="shared" si="2890"/>
        <v>警察（消防）施設</v>
      </c>
      <c r="E8260" s="8" t="str">
        <f>"大阪府泉南郡　熊取町大字野田"</f>
        <v>大阪府泉南郡　熊取町大字野田</v>
      </c>
      <c r="F8260" s="8"/>
      <c r="G8260" s="8" t="str">
        <f t="shared" si="2882"/>
        <v>事業用資産</v>
      </c>
      <c r="H8260" s="8" t="str">
        <f t="shared" ref="H8260:H8323" si="2891">"棚卸以外"</f>
        <v>棚卸以外</v>
      </c>
      <c r="I8260" s="8">
        <v>1</v>
      </c>
      <c r="J8260" s="8" t="str">
        <f>"熊取町野田交番"</f>
        <v>熊取町野田交番</v>
      </c>
      <c r="K8260" s="8" t="str">
        <f>"鉄筋コンクリート造"</f>
        <v>鉄筋コンクリート造</v>
      </c>
      <c r="L8260" s="8" t="str">
        <f>"S54.03.30"</f>
        <v>S54.03.30</v>
      </c>
      <c r="M8260" s="8">
        <v>54</v>
      </c>
      <c r="N8260" s="8">
        <v>9173090</v>
      </c>
      <c r="O8260" s="8">
        <v>8068275</v>
      </c>
      <c r="P8260" s="8">
        <v>0</v>
      </c>
      <c r="Q8260" s="8" t="str">
        <f t="shared" si="2887"/>
        <v>公安委員会</v>
      </c>
      <c r="R8260" s="8" t="str">
        <f t="shared" si="2888"/>
        <v>泉佐野警察署</v>
      </c>
    </row>
    <row r="8261" spans="1:18" x14ac:dyDescent="0.45">
      <c r="A8261" s="8" t="str">
        <f>"11579000310"</f>
        <v>11579000310</v>
      </c>
      <c r="B8261" s="8" t="str">
        <f>"大土駐在所"</f>
        <v>大土駐在所</v>
      </c>
      <c r="C8261" s="8" t="str">
        <f t="shared" si="2889"/>
        <v>行政財産</v>
      </c>
      <c r="D8261" s="8" t="str">
        <f t="shared" si="2890"/>
        <v>警察（消防）施設</v>
      </c>
      <c r="E8261" s="8" t="str">
        <f>"大阪府泉佐野市土丸"</f>
        <v>大阪府泉佐野市土丸</v>
      </c>
      <c r="F8261" s="8"/>
      <c r="G8261" s="8" t="str">
        <f t="shared" si="2882"/>
        <v>事業用資産</v>
      </c>
      <c r="H8261" s="8" t="str">
        <f t="shared" si="2891"/>
        <v>棚卸以外</v>
      </c>
      <c r="I8261" s="8">
        <v>1</v>
      </c>
      <c r="J8261" s="8" t="str">
        <f>"大土駐在所"</f>
        <v>大土駐在所</v>
      </c>
      <c r="K8261" s="8" t="str">
        <f>"鉄骨造"</f>
        <v>鉄骨造</v>
      </c>
      <c r="L8261" s="8" t="str">
        <f>"H03.11.29"</f>
        <v>H03.11.29</v>
      </c>
      <c r="M8261" s="8">
        <v>90.27</v>
      </c>
      <c r="N8261" s="8">
        <v>23269269</v>
      </c>
      <c r="O8261" s="8">
        <v>19131116</v>
      </c>
      <c r="P8261" s="8">
        <v>0</v>
      </c>
      <c r="Q8261" s="8" t="str">
        <f t="shared" si="2887"/>
        <v>公安委員会</v>
      </c>
      <c r="R8261" s="8" t="str">
        <f t="shared" si="2888"/>
        <v>泉佐野警察署</v>
      </c>
    </row>
    <row r="8262" spans="1:18" x14ac:dyDescent="0.45">
      <c r="A8262" s="8" t="str">
        <f>"11579000320"</f>
        <v>11579000320</v>
      </c>
      <c r="B8262" s="8" t="str">
        <f>"長滝交番"</f>
        <v>長滝交番</v>
      </c>
      <c r="C8262" s="8" t="str">
        <f t="shared" si="2889"/>
        <v>行政財産</v>
      </c>
      <c r="D8262" s="8" t="str">
        <f t="shared" si="2890"/>
        <v>警察（消防）施設</v>
      </c>
      <c r="E8262" s="8" t="str">
        <f>"大阪府泉佐野市長滝"</f>
        <v>大阪府泉佐野市長滝</v>
      </c>
      <c r="F8262" s="8"/>
      <c r="G8262" s="8" t="str">
        <f t="shared" si="2882"/>
        <v>事業用資産</v>
      </c>
      <c r="H8262" s="8" t="str">
        <f t="shared" si="2891"/>
        <v>棚卸以外</v>
      </c>
      <c r="I8262" s="8">
        <v>1</v>
      </c>
      <c r="J8262" s="8" t="str">
        <f>"長滝交番"</f>
        <v>長滝交番</v>
      </c>
      <c r="K8262" s="8" t="str">
        <f>"鉄筋コンクリート造"</f>
        <v>鉄筋コンクリート造</v>
      </c>
      <c r="L8262" s="8" t="str">
        <f>"H04.01.10"</f>
        <v>H04.01.10</v>
      </c>
      <c r="M8262" s="8">
        <v>53.8</v>
      </c>
      <c r="N8262" s="8">
        <v>16931288</v>
      </c>
      <c r="O8262" s="8">
        <v>10547756</v>
      </c>
      <c r="P8262" s="8">
        <v>0</v>
      </c>
      <c r="Q8262" s="8" t="str">
        <f t="shared" si="2887"/>
        <v>公安委員会</v>
      </c>
      <c r="R8262" s="8" t="str">
        <f t="shared" si="2888"/>
        <v>泉佐野警察署</v>
      </c>
    </row>
    <row r="8263" spans="1:18" x14ac:dyDescent="0.45">
      <c r="A8263" s="8" t="str">
        <f>"11579000320"</f>
        <v>11579000320</v>
      </c>
      <c r="B8263" s="8" t="str">
        <f>"長滝交番"</f>
        <v>長滝交番</v>
      </c>
      <c r="C8263" s="8" t="str">
        <f t="shared" si="2889"/>
        <v>行政財産</v>
      </c>
      <c r="D8263" s="8" t="str">
        <f t="shared" si="2890"/>
        <v>警察（消防）施設</v>
      </c>
      <c r="E8263" s="8" t="str">
        <f>"大阪府泉佐野市長滝"</f>
        <v>大阪府泉佐野市長滝</v>
      </c>
      <c r="F8263" s="8"/>
      <c r="G8263" s="8" t="str">
        <f t="shared" si="2882"/>
        <v>事業用資産</v>
      </c>
      <c r="H8263" s="8" t="str">
        <f t="shared" si="2891"/>
        <v>棚卸以外</v>
      </c>
      <c r="I8263" s="8">
        <v>2</v>
      </c>
      <c r="J8263" s="8" t="str">
        <f>"自転車置場"</f>
        <v>自転車置場</v>
      </c>
      <c r="K8263" s="8" t="str">
        <f>"軽量鉄骨造"</f>
        <v>軽量鉄骨造</v>
      </c>
      <c r="L8263" s="8" t="str">
        <f>"H04.01.10"</f>
        <v>H04.01.10</v>
      </c>
      <c r="M8263" s="8">
        <v>6</v>
      </c>
      <c r="N8263" s="8">
        <v>300000</v>
      </c>
      <c r="O8263" s="8">
        <v>299999</v>
      </c>
      <c r="P8263" s="8">
        <v>0</v>
      </c>
      <c r="Q8263" s="8" t="str">
        <f t="shared" si="2887"/>
        <v>公安委員会</v>
      </c>
      <c r="R8263" s="8" t="str">
        <f t="shared" si="2888"/>
        <v>泉佐野警察署</v>
      </c>
    </row>
    <row r="8264" spans="1:18" x14ac:dyDescent="0.45">
      <c r="A8264" s="8" t="str">
        <f>"11579000330"</f>
        <v>11579000330</v>
      </c>
      <c r="B8264" s="8" t="str">
        <f>"熊取駅前交番"</f>
        <v>熊取駅前交番</v>
      </c>
      <c r="C8264" s="8" t="str">
        <f t="shared" si="2889"/>
        <v>行政財産</v>
      </c>
      <c r="D8264" s="8" t="str">
        <f t="shared" si="2890"/>
        <v>警察（消防）施設</v>
      </c>
      <c r="E8264" s="8" t="str">
        <f>"大阪府泉南郡　熊取町大久保中１丁目"</f>
        <v>大阪府泉南郡　熊取町大久保中１丁目</v>
      </c>
      <c r="F8264" s="8"/>
      <c r="G8264" s="8" t="str">
        <f t="shared" si="2882"/>
        <v>事業用資産</v>
      </c>
      <c r="H8264" s="8" t="str">
        <f t="shared" si="2891"/>
        <v>棚卸以外</v>
      </c>
      <c r="I8264" s="8">
        <v>1</v>
      </c>
      <c r="J8264" s="8" t="str">
        <f>"熊取駅前交番"</f>
        <v>熊取駅前交番</v>
      </c>
      <c r="K8264" s="8" t="str">
        <f>"鉄骨造"</f>
        <v>鉄骨造</v>
      </c>
      <c r="L8264" s="8" t="str">
        <f>"H09.09.25"</f>
        <v>H09.09.25</v>
      </c>
      <c r="M8264" s="8">
        <v>132.4</v>
      </c>
      <c r="N8264" s="8">
        <v>28614000</v>
      </c>
      <c r="O8264" s="8">
        <v>19201500</v>
      </c>
      <c r="P8264" s="8">
        <v>0</v>
      </c>
      <c r="Q8264" s="8" t="str">
        <f t="shared" si="2887"/>
        <v>公安委員会</v>
      </c>
      <c r="R8264" s="8" t="str">
        <f t="shared" si="2888"/>
        <v>泉佐野警察署</v>
      </c>
    </row>
    <row r="8265" spans="1:18" x14ac:dyDescent="0.45">
      <c r="A8265" s="8" t="str">
        <f>"11579003003"</f>
        <v>11579003003</v>
      </c>
      <c r="B8265" s="8" t="str">
        <f>"東佐野駅前交番"</f>
        <v>東佐野駅前交番</v>
      </c>
      <c r="C8265" s="8" t="str">
        <f t="shared" si="2889"/>
        <v>行政財産</v>
      </c>
      <c r="D8265" s="8" t="str">
        <f t="shared" si="2890"/>
        <v>警察（消防）施設</v>
      </c>
      <c r="E8265" s="8" t="str">
        <f>"大阪府泉佐野市泉ケ丘１丁目"</f>
        <v>大阪府泉佐野市泉ケ丘１丁目</v>
      </c>
      <c r="F8265" s="8"/>
      <c r="G8265" s="8" t="str">
        <f t="shared" si="2882"/>
        <v>事業用資産</v>
      </c>
      <c r="H8265" s="8" t="str">
        <f t="shared" si="2891"/>
        <v>棚卸以外</v>
      </c>
      <c r="I8265" s="8">
        <v>1</v>
      </c>
      <c r="J8265" s="8" t="str">
        <f>"東佐野駅前交番"</f>
        <v>東佐野駅前交番</v>
      </c>
      <c r="K8265" s="8" t="str">
        <f>"軽量鉄骨造"</f>
        <v>軽量鉄骨造</v>
      </c>
      <c r="L8265" s="8" t="str">
        <f>"H26.03.27"</f>
        <v>H26.03.27</v>
      </c>
      <c r="M8265" s="8">
        <v>68.62</v>
      </c>
      <c r="N8265" s="8">
        <v>16821732</v>
      </c>
      <c r="O8265" s="8">
        <v>5936112</v>
      </c>
      <c r="P8265" s="8">
        <v>0</v>
      </c>
      <c r="Q8265" s="8" t="str">
        <f t="shared" si="2887"/>
        <v>公安委員会</v>
      </c>
      <c r="R8265" s="8" t="str">
        <f t="shared" si="2888"/>
        <v>泉佐野警察署</v>
      </c>
    </row>
    <row r="8266" spans="1:18" x14ac:dyDescent="0.45">
      <c r="A8266" s="8" t="str">
        <f t="shared" ref="A8266:A8272" si="2892">"11580000000"</f>
        <v>11580000000</v>
      </c>
      <c r="B8266" s="8" t="str">
        <f t="shared" ref="B8266:B8272" si="2893">"泉南警察署"</f>
        <v>泉南警察署</v>
      </c>
      <c r="C8266" s="8" t="str">
        <f t="shared" si="2889"/>
        <v>行政財産</v>
      </c>
      <c r="D8266" s="8" t="str">
        <f t="shared" si="2890"/>
        <v>警察（消防）施設</v>
      </c>
      <c r="E8266" s="8" t="str">
        <f t="shared" ref="E8266:E8272" si="2894">"大阪府阪南市尾崎町"</f>
        <v>大阪府阪南市尾崎町</v>
      </c>
      <c r="F8266" s="8"/>
      <c r="G8266" s="8" t="str">
        <f t="shared" si="2882"/>
        <v>事業用資産</v>
      </c>
      <c r="H8266" s="8" t="str">
        <f t="shared" si="2891"/>
        <v>棚卸以外</v>
      </c>
      <c r="I8266" s="8">
        <v>20</v>
      </c>
      <c r="J8266" s="8" t="str">
        <f>"庁舎"</f>
        <v>庁舎</v>
      </c>
      <c r="K8266" s="8" t="str">
        <f>"鉄筋コンクリート造"</f>
        <v>鉄筋コンクリート造</v>
      </c>
      <c r="L8266" s="8" t="str">
        <f>"S60.11.29"</f>
        <v>S60.11.29</v>
      </c>
      <c r="M8266" s="8">
        <v>3404.83</v>
      </c>
      <c r="N8266" s="8">
        <v>832149737</v>
      </c>
      <c r="O8266" s="8">
        <v>611576021</v>
      </c>
      <c r="P8266" s="8">
        <v>0</v>
      </c>
      <c r="Q8266" s="8" t="str">
        <f t="shared" si="2887"/>
        <v>公安委員会</v>
      </c>
      <c r="R8266" s="8" t="str">
        <f t="shared" ref="R8266:R8294" si="2895">"泉南警察署"</f>
        <v>泉南警察署</v>
      </c>
    </row>
    <row r="8267" spans="1:18" x14ac:dyDescent="0.45">
      <c r="A8267" s="8" t="str">
        <f t="shared" si="2892"/>
        <v>11580000000</v>
      </c>
      <c r="B8267" s="8" t="str">
        <f t="shared" si="2893"/>
        <v>泉南警察署</v>
      </c>
      <c r="C8267" s="8" t="str">
        <f t="shared" si="2889"/>
        <v>行政財産</v>
      </c>
      <c r="D8267" s="8" t="str">
        <f t="shared" si="2890"/>
        <v>警察（消防）施設</v>
      </c>
      <c r="E8267" s="8" t="str">
        <f t="shared" si="2894"/>
        <v>大阪府阪南市尾崎町</v>
      </c>
      <c r="F8267" s="8"/>
      <c r="G8267" s="8" t="str">
        <f t="shared" si="2882"/>
        <v>事業用資産</v>
      </c>
      <c r="H8267" s="8" t="str">
        <f t="shared" si="2891"/>
        <v>棚卸以外</v>
      </c>
      <c r="I8267" s="8">
        <v>22</v>
      </c>
      <c r="J8267" s="8" t="str">
        <f>"プロパン庫"</f>
        <v>プロパン庫</v>
      </c>
      <c r="K8267" s="8" t="str">
        <f>"鉄筋コンクリート造"</f>
        <v>鉄筋コンクリート造</v>
      </c>
      <c r="L8267" s="8" t="str">
        <f>"S60.11.29"</f>
        <v>S60.11.29</v>
      </c>
      <c r="M8267" s="8">
        <v>16.66</v>
      </c>
      <c r="N8267" s="8">
        <v>1590000</v>
      </c>
      <c r="O8267" s="8">
        <v>1562176</v>
      </c>
      <c r="P8267" s="8">
        <v>0</v>
      </c>
      <c r="Q8267" s="8" t="str">
        <f t="shared" si="2887"/>
        <v>公安委員会</v>
      </c>
      <c r="R8267" s="8" t="str">
        <f t="shared" si="2895"/>
        <v>泉南警察署</v>
      </c>
    </row>
    <row r="8268" spans="1:18" x14ac:dyDescent="0.45">
      <c r="A8268" s="8" t="str">
        <f t="shared" si="2892"/>
        <v>11580000000</v>
      </c>
      <c r="B8268" s="8" t="str">
        <f t="shared" si="2893"/>
        <v>泉南警察署</v>
      </c>
      <c r="C8268" s="8" t="str">
        <f t="shared" si="2889"/>
        <v>行政財産</v>
      </c>
      <c r="D8268" s="8" t="str">
        <f t="shared" si="2890"/>
        <v>警察（消防）施設</v>
      </c>
      <c r="E8268" s="8" t="str">
        <f t="shared" si="2894"/>
        <v>大阪府阪南市尾崎町</v>
      </c>
      <c r="F8268" s="8"/>
      <c r="G8268" s="8" t="str">
        <f t="shared" si="2882"/>
        <v>事業用資産</v>
      </c>
      <c r="H8268" s="8" t="str">
        <f t="shared" si="2891"/>
        <v>棚卸以外</v>
      </c>
      <c r="I8268" s="8">
        <v>23</v>
      </c>
      <c r="J8268" s="8" t="str">
        <f>"署長公舎"</f>
        <v>署長公舎</v>
      </c>
      <c r="K8268" s="8" t="str">
        <f>"鉄筋コンクリート造"</f>
        <v>鉄筋コンクリート造</v>
      </c>
      <c r="L8268" s="8" t="str">
        <f>"S61.03.31"</f>
        <v>S61.03.31</v>
      </c>
      <c r="M8268" s="8">
        <v>95.12</v>
      </c>
      <c r="N8268" s="8">
        <v>22297000</v>
      </c>
      <c r="O8268" s="8">
        <v>17553096</v>
      </c>
      <c r="P8268" s="8">
        <v>0</v>
      </c>
      <c r="Q8268" s="8" t="str">
        <f t="shared" si="2887"/>
        <v>公安委員会</v>
      </c>
      <c r="R8268" s="8" t="str">
        <f t="shared" si="2895"/>
        <v>泉南警察署</v>
      </c>
    </row>
    <row r="8269" spans="1:18" x14ac:dyDescent="0.45">
      <c r="A8269" s="8" t="str">
        <f t="shared" si="2892"/>
        <v>11580000000</v>
      </c>
      <c r="B8269" s="8" t="str">
        <f t="shared" si="2893"/>
        <v>泉南警察署</v>
      </c>
      <c r="C8269" s="8" t="str">
        <f t="shared" si="2889"/>
        <v>行政財産</v>
      </c>
      <c r="D8269" s="8" t="str">
        <f t="shared" si="2890"/>
        <v>警察（消防）施設</v>
      </c>
      <c r="E8269" s="8" t="str">
        <f t="shared" si="2894"/>
        <v>大阪府阪南市尾崎町</v>
      </c>
      <c r="F8269" s="8"/>
      <c r="G8269" s="8" t="str">
        <f t="shared" si="2882"/>
        <v>事業用資産</v>
      </c>
      <c r="H8269" s="8" t="str">
        <f t="shared" si="2891"/>
        <v>棚卸以外</v>
      </c>
      <c r="I8269" s="8">
        <v>24</v>
      </c>
      <c r="J8269" s="8" t="str">
        <f>"車庫"</f>
        <v>車庫</v>
      </c>
      <c r="K8269" s="8" t="str">
        <f>"鉄骨造"</f>
        <v>鉄骨造</v>
      </c>
      <c r="L8269" s="8" t="str">
        <f>"S61.03.31"</f>
        <v>S61.03.31</v>
      </c>
      <c r="M8269" s="8">
        <v>131.96</v>
      </c>
      <c r="N8269" s="8">
        <v>15712365</v>
      </c>
      <c r="O8269" s="8">
        <v>15712364</v>
      </c>
      <c r="P8269" s="8">
        <v>0</v>
      </c>
      <c r="Q8269" s="8" t="str">
        <f t="shared" si="2887"/>
        <v>公安委員会</v>
      </c>
      <c r="R8269" s="8" t="str">
        <f t="shared" si="2895"/>
        <v>泉南警察署</v>
      </c>
    </row>
    <row r="8270" spans="1:18" x14ac:dyDescent="0.45">
      <c r="A8270" s="8" t="str">
        <f t="shared" si="2892"/>
        <v>11580000000</v>
      </c>
      <c r="B8270" s="8" t="str">
        <f t="shared" si="2893"/>
        <v>泉南警察署</v>
      </c>
      <c r="C8270" s="8" t="str">
        <f t="shared" si="2889"/>
        <v>行政財産</v>
      </c>
      <c r="D8270" s="8" t="str">
        <f t="shared" si="2890"/>
        <v>警察（消防）施設</v>
      </c>
      <c r="E8270" s="8" t="str">
        <f t="shared" si="2894"/>
        <v>大阪府阪南市尾崎町</v>
      </c>
      <c r="F8270" s="8"/>
      <c r="G8270" s="8" t="str">
        <f t="shared" si="2882"/>
        <v>事業用資産</v>
      </c>
      <c r="H8270" s="8" t="str">
        <f t="shared" si="2891"/>
        <v>棚卸以外</v>
      </c>
      <c r="I8270" s="8">
        <v>25</v>
      </c>
      <c r="J8270" s="8" t="str">
        <f>"大型車庫"</f>
        <v>大型車庫</v>
      </c>
      <c r="K8270" s="8" t="str">
        <f>"鉄骨造"</f>
        <v>鉄骨造</v>
      </c>
      <c r="L8270" s="8" t="str">
        <f>"S61.03.31"</f>
        <v>S61.03.31</v>
      </c>
      <c r="M8270" s="8">
        <v>179.89</v>
      </c>
      <c r="N8270" s="8">
        <v>19597164</v>
      </c>
      <c r="O8270" s="8">
        <v>19388571</v>
      </c>
      <c r="P8270" s="8">
        <v>0</v>
      </c>
      <c r="Q8270" s="8" t="str">
        <f t="shared" si="2887"/>
        <v>公安委員会</v>
      </c>
      <c r="R8270" s="8" t="str">
        <f t="shared" si="2895"/>
        <v>泉南警察署</v>
      </c>
    </row>
    <row r="8271" spans="1:18" x14ac:dyDescent="0.45">
      <c r="A8271" s="8" t="str">
        <f t="shared" si="2892"/>
        <v>11580000000</v>
      </c>
      <c r="B8271" s="8" t="str">
        <f t="shared" si="2893"/>
        <v>泉南警察署</v>
      </c>
      <c r="C8271" s="8" t="str">
        <f t="shared" si="2889"/>
        <v>行政財産</v>
      </c>
      <c r="D8271" s="8" t="str">
        <f t="shared" si="2890"/>
        <v>警察（消防）施設</v>
      </c>
      <c r="E8271" s="8" t="str">
        <f t="shared" si="2894"/>
        <v>大阪府阪南市尾崎町</v>
      </c>
      <c r="F8271" s="8"/>
      <c r="G8271" s="8" t="str">
        <f t="shared" si="2882"/>
        <v>事業用資産</v>
      </c>
      <c r="H8271" s="8" t="str">
        <f t="shared" si="2891"/>
        <v>棚卸以外</v>
      </c>
      <c r="I8271" s="8">
        <v>27</v>
      </c>
      <c r="J8271" s="8" t="str">
        <f>"ポンプ室"</f>
        <v>ポンプ室</v>
      </c>
      <c r="K8271" s="8" t="str">
        <f>"鉄筋コンクリート造"</f>
        <v>鉄筋コンクリート造</v>
      </c>
      <c r="L8271" s="8" t="str">
        <f>"S61.03.31"</f>
        <v>S61.03.31</v>
      </c>
      <c r="M8271" s="8">
        <v>1.8</v>
      </c>
      <c r="N8271" s="8">
        <v>320000</v>
      </c>
      <c r="O8271" s="8">
        <v>311688</v>
      </c>
      <c r="P8271" s="8">
        <v>0</v>
      </c>
      <c r="Q8271" s="8" t="str">
        <f t="shared" si="2887"/>
        <v>公安委員会</v>
      </c>
      <c r="R8271" s="8" t="str">
        <f t="shared" si="2895"/>
        <v>泉南警察署</v>
      </c>
    </row>
    <row r="8272" spans="1:18" x14ac:dyDescent="0.45">
      <c r="A8272" s="8" t="str">
        <f t="shared" si="2892"/>
        <v>11580000000</v>
      </c>
      <c r="B8272" s="8" t="str">
        <f t="shared" si="2893"/>
        <v>泉南警察署</v>
      </c>
      <c r="C8272" s="8" t="str">
        <f t="shared" si="2889"/>
        <v>行政財産</v>
      </c>
      <c r="D8272" s="8" t="str">
        <f t="shared" si="2890"/>
        <v>警察（消防）施設</v>
      </c>
      <c r="E8272" s="8" t="str">
        <f t="shared" si="2894"/>
        <v>大阪府阪南市尾崎町</v>
      </c>
      <c r="F8272" s="8"/>
      <c r="G8272" s="8" t="str">
        <f t="shared" si="2882"/>
        <v>事業用資産</v>
      </c>
      <c r="H8272" s="8" t="str">
        <f t="shared" si="2891"/>
        <v>棚卸以外</v>
      </c>
      <c r="I8272" s="8">
        <v>28</v>
      </c>
      <c r="J8272" s="8" t="str">
        <f>"ゴミ置場"</f>
        <v>ゴミ置場</v>
      </c>
      <c r="K8272" s="8" t="str">
        <f>"鉄筋コンクリート造"</f>
        <v>鉄筋コンクリート造</v>
      </c>
      <c r="L8272" s="8" t="str">
        <f>"S61.03.31"</f>
        <v>S61.03.31</v>
      </c>
      <c r="M8272" s="8">
        <v>5.4</v>
      </c>
      <c r="N8272" s="8">
        <v>550000</v>
      </c>
      <c r="O8272" s="8">
        <v>535908</v>
      </c>
      <c r="P8272" s="8">
        <v>0</v>
      </c>
      <c r="Q8272" s="8" t="str">
        <f t="shared" si="2887"/>
        <v>公安委員会</v>
      </c>
      <c r="R8272" s="8" t="str">
        <f t="shared" si="2895"/>
        <v>泉南警察署</v>
      </c>
    </row>
    <row r="8273" spans="1:18" x14ac:dyDescent="0.45">
      <c r="A8273" s="8" t="str">
        <f>"11580000120"</f>
        <v>11580000120</v>
      </c>
      <c r="B8273" s="8" t="str">
        <f>"多奈川交番"</f>
        <v>多奈川交番</v>
      </c>
      <c r="C8273" s="8" t="str">
        <f t="shared" si="2889"/>
        <v>行政財産</v>
      </c>
      <c r="D8273" s="8" t="str">
        <f t="shared" si="2890"/>
        <v>警察（消防）施設</v>
      </c>
      <c r="E8273" s="8" t="str">
        <f>"大阪府泉南郡　岬町多奈川谷川"</f>
        <v>大阪府泉南郡　岬町多奈川谷川</v>
      </c>
      <c r="F8273" s="8"/>
      <c r="G8273" s="8" t="str">
        <f t="shared" si="2882"/>
        <v>事業用資産</v>
      </c>
      <c r="H8273" s="8" t="str">
        <f t="shared" si="2891"/>
        <v>棚卸以外</v>
      </c>
      <c r="I8273" s="8">
        <v>2</v>
      </c>
      <c r="J8273" s="8" t="str">
        <f>"多奈川交番"</f>
        <v>多奈川交番</v>
      </c>
      <c r="K8273" s="8" t="str">
        <f>"鉄筋コンクリート造"</f>
        <v>鉄筋コンクリート造</v>
      </c>
      <c r="L8273" s="8" t="str">
        <f>"S51.03.31"</f>
        <v>S51.03.31</v>
      </c>
      <c r="M8273" s="8">
        <v>54</v>
      </c>
      <c r="N8273" s="8">
        <v>9348000</v>
      </c>
      <c r="O8273" s="8">
        <v>8787120</v>
      </c>
      <c r="P8273" s="8">
        <v>0</v>
      </c>
      <c r="Q8273" s="8" t="str">
        <f t="shared" si="2887"/>
        <v>公安委員会</v>
      </c>
      <c r="R8273" s="8" t="str">
        <f t="shared" si="2895"/>
        <v>泉南警察署</v>
      </c>
    </row>
    <row r="8274" spans="1:18" x14ac:dyDescent="0.45">
      <c r="A8274" s="8" t="str">
        <f>"11580000140"</f>
        <v>11580000140</v>
      </c>
      <c r="B8274" s="8" t="str">
        <f>"箱作駅前交番"</f>
        <v>箱作駅前交番</v>
      </c>
      <c r="C8274" s="8" t="str">
        <f t="shared" si="2889"/>
        <v>行政財産</v>
      </c>
      <c r="D8274" s="8" t="str">
        <f t="shared" si="2890"/>
        <v>警察（消防）施設</v>
      </c>
      <c r="E8274" s="8" t="str">
        <f>"大阪府阪南市箱作"</f>
        <v>大阪府阪南市箱作</v>
      </c>
      <c r="F8274" s="8"/>
      <c r="G8274" s="8" t="str">
        <f t="shared" si="2882"/>
        <v>事業用資産</v>
      </c>
      <c r="H8274" s="8" t="str">
        <f t="shared" si="2891"/>
        <v>棚卸以外</v>
      </c>
      <c r="I8274" s="8">
        <v>2</v>
      </c>
      <c r="J8274" s="8" t="str">
        <f>"箱作駅前交番"</f>
        <v>箱作駅前交番</v>
      </c>
      <c r="K8274" s="8" t="str">
        <f>"鉄筋コンクリート造"</f>
        <v>鉄筋コンクリート造</v>
      </c>
      <c r="L8274" s="8" t="str">
        <f>"S58.03.29"</f>
        <v>S58.03.29</v>
      </c>
      <c r="M8274" s="8">
        <v>54</v>
      </c>
      <c r="N8274" s="8">
        <v>13275000</v>
      </c>
      <c r="O8274" s="8">
        <v>10620000</v>
      </c>
      <c r="P8274" s="8">
        <v>0</v>
      </c>
      <c r="Q8274" s="8" t="str">
        <f t="shared" si="2887"/>
        <v>公安委員会</v>
      </c>
      <c r="R8274" s="8" t="str">
        <f t="shared" si="2895"/>
        <v>泉南警察署</v>
      </c>
    </row>
    <row r="8275" spans="1:18" x14ac:dyDescent="0.45">
      <c r="A8275" s="8" t="str">
        <f>"11580000150"</f>
        <v>11580000150</v>
      </c>
      <c r="B8275" s="8" t="str">
        <f>"小島駐在所"</f>
        <v>小島駐在所</v>
      </c>
      <c r="C8275" s="8" t="str">
        <f t="shared" si="2889"/>
        <v>行政財産</v>
      </c>
      <c r="D8275" s="8" t="str">
        <f t="shared" si="2890"/>
        <v>警察（消防）施設</v>
      </c>
      <c r="E8275" s="8" t="str">
        <f>"大阪府泉南郡　岬町多奈川小島"</f>
        <v>大阪府泉南郡　岬町多奈川小島</v>
      </c>
      <c r="F8275" s="8"/>
      <c r="G8275" s="8" t="str">
        <f t="shared" si="2882"/>
        <v>事業用資産</v>
      </c>
      <c r="H8275" s="8" t="str">
        <f t="shared" si="2891"/>
        <v>棚卸以外</v>
      </c>
      <c r="I8275" s="8">
        <v>4</v>
      </c>
      <c r="J8275" s="8" t="str">
        <f>"小島駐在所"</f>
        <v>小島駐在所</v>
      </c>
      <c r="K8275" s="8" t="str">
        <f>"鉄骨造"</f>
        <v>鉄骨造</v>
      </c>
      <c r="L8275" s="8" t="str">
        <f>"S59.03.31"</f>
        <v>S59.03.31</v>
      </c>
      <c r="M8275" s="8">
        <v>91.44</v>
      </c>
      <c r="N8275" s="8">
        <v>17517094</v>
      </c>
      <c r="O8275" s="8">
        <v>17439917</v>
      </c>
      <c r="P8275" s="8">
        <v>0</v>
      </c>
      <c r="Q8275" s="8" t="str">
        <f t="shared" si="2887"/>
        <v>公安委員会</v>
      </c>
      <c r="R8275" s="8" t="str">
        <f t="shared" si="2895"/>
        <v>泉南警察署</v>
      </c>
    </row>
    <row r="8276" spans="1:18" x14ac:dyDescent="0.45">
      <c r="A8276" s="8" t="str">
        <f>"11580000160"</f>
        <v>11580000160</v>
      </c>
      <c r="B8276" s="8" t="str">
        <f>"岡田交番"</f>
        <v>岡田交番</v>
      </c>
      <c r="C8276" s="8" t="str">
        <f t="shared" si="2889"/>
        <v>行政財産</v>
      </c>
      <c r="D8276" s="8" t="str">
        <f t="shared" si="2890"/>
        <v>警察（消防）施設</v>
      </c>
      <c r="E8276" s="8" t="str">
        <f>"大阪府泉南市岡田５丁目"</f>
        <v>大阪府泉南市岡田５丁目</v>
      </c>
      <c r="F8276" s="8"/>
      <c r="G8276" s="8" t="str">
        <f t="shared" si="2882"/>
        <v>事業用資産</v>
      </c>
      <c r="H8276" s="8" t="str">
        <f t="shared" si="2891"/>
        <v>棚卸以外</v>
      </c>
      <c r="I8276" s="8">
        <v>2</v>
      </c>
      <c r="J8276" s="8" t="str">
        <f>"岡田交番"</f>
        <v>岡田交番</v>
      </c>
      <c r="K8276" s="8" t="str">
        <f>"鉄骨造"</f>
        <v>鉄骨造</v>
      </c>
      <c r="L8276" s="8" t="str">
        <f>"H05.03.30"</f>
        <v>H05.03.30</v>
      </c>
      <c r="M8276" s="8">
        <v>54.96</v>
      </c>
      <c r="N8276" s="8">
        <v>18552165</v>
      </c>
      <c r="O8276" s="8">
        <v>14607288</v>
      </c>
      <c r="P8276" s="8">
        <v>0</v>
      </c>
      <c r="Q8276" s="8" t="str">
        <f t="shared" si="2887"/>
        <v>公安委員会</v>
      </c>
      <c r="R8276" s="8" t="str">
        <f t="shared" si="2895"/>
        <v>泉南警察署</v>
      </c>
    </row>
    <row r="8277" spans="1:18" x14ac:dyDescent="0.45">
      <c r="A8277" s="8" t="str">
        <f>"11580000160"</f>
        <v>11580000160</v>
      </c>
      <c r="B8277" s="8" t="str">
        <f>"岡田交番"</f>
        <v>岡田交番</v>
      </c>
      <c r="C8277" s="8" t="str">
        <f t="shared" si="2889"/>
        <v>行政財産</v>
      </c>
      <c r="D8277" s="8" t="str">
        <f t="shared" si="2890"/>
        <v>警察（消防）施設</v>
      </c>
      <c r="E8277" s="8" t="str">
        <f>"大阪府泉南市岡田５丁目"</f>
        <v>大阪府泉南市岡田５丁目</v>
      </c>
      <c r="F8277" s="8"/>
      <c r="G8277" s="8" t="str">
        <f t="shared" si="2882"/>
        <v>事業用資産</v>
      </c>
      <c r="H8277" s="8" t="str">
        <f t="shared" si="2891"/>
        <v>棚卸以外</v>
      </c>
      <c r="I8277" s="8">
        <v>3</v>
      </c>
      <c r="J8277" s="8" t="str">
        <f>"自転車置場"</f>
        <v>自転車置場</v>
      </c>
      <c r="K8277" s="8" t="str">
        <f>"鉄骨造"</f>
        <v>鉄骨造</v>
      </c>
      <c r="L8277" s="8" t="str">
        <f>"H05.03.30"</f>
        <v>H05.03.30</v>
      </c>
      <c r="M8277" s="8">
        <v>6</v>
      </c>
      <c r="N8277" s="8">
        <v>317000</v>
      </c>
      <c r="O8277" s="8">
        <v>307080</v>
      </c>
      <c r="P8277" s="8">
        <v>0</v>
      </c>
      <c r="Q8277" s="8" t="str">
        <f t="shared" si="2887"/>
        <v>公安委員会</v>
      </c>
      <c r="R8277" s="8" t="str">
        <f t="shared" si="2895"/>
        <v>泉南警察署</v>
      </c>
    </row>
    <row r="8278" spans="1:18" x14ac:dyDescent="0.45">
      <c r="A8278" s="8" t="str">
        <f>"11580000170"</f>
        <v>11580000170</v>
      </c>
      <c r="B8278" s="8" t="str">
        <f>"金熊寺駐在所"</f>
        <v>金熊寺駐在所</v>
      </c>
      <c r="C8278" s="8" t="str">
        <f t="shared" si="2889"/>
        <v>行政財産</v>
      </c>
      <c r="D8278" s="8" t="str">
        <f t="shared" si="2890"/>
        <v>警察（消防）施設</v>
      </c>
      <c r="E8278" s="8" t="str">
        <f>"大阪府泉南市信達金熊寺"</f>
        <v>大阪府泉南市信達金熊寺</v>
      </c>
      <c r="F8278" s="8"/>
      <c r="G8278" s="8" t="str">
        <f t="shared" si="2882"/>
        <v>事業用資産</v>
      </c>
      <c r="H8278" s="8" t="str">
        <f t="shared" si="2891"/>
        <v>棚卸以外</v>
      </c>
      <c r="I8278" s="8">
        <v>2</v>
      </c>
      <c r="J8278" s="8" t="str">
        <f>"金熊寺駐在所"</f>
        <v>金熊寺駐在所</v>
      </c>
      <c r="K8278" s="8" t="str">
        <f>"鉄骨造"</f>
        <v>鉄骨造</v>
      </c>
      <c r="L8278" s="8" t="str">
        <f>"S62.10.26"</f>
        <v>S62.10.26</v>
      </c>
      <c r="M8278" s="8">
        <v>87.7</v>
      </c>
      <c r="N8278" s="8">
        <v>19162148</v>
      </c>
      <c r="O8278" s="8">
        <v>17802201</v>
      </c>
      <c r="P8278" s="8">
        <v>0</v>
      </c>
      <c r="Q8278" s="8" t="str">
        <f t="shared" si="2887"/>
        <v>公安委員会</v>
      </c>
      <c r="R8278" s="8" t="str">
        <f t="shared" si="2895"/>
        <v>泉南警察署</v>
      </c>
    </row>
    <row r="8279" spans="1:18" x14ac:dyDescent="0.45">
      <c r="A8279" s="8" t="str">
        <f>"11580000200"</f>
        <v>11580000200</v>
      </c>
      <c r="B8279" s="8" t="str">
        <f>"孝子駐在所"</f>
        <v>孝子駐在所</v>
      </c>
      <c r="C8279" s="8" t="str">
        <f t="shared" si="2889"/>
        <v>行政財産</v>
      </c>
      <c r="D8279" s="8" t="str">
        <f t="shared" si="2890"/>
        <v>警察（消防）施設</v>
      </c>
      <c r="E8279" s="8" t="str">
        <f>"大阪府泉南郡　岬町孝子"</f>
        <v>大阪府泉南郡　岬町孝子</v>
      </c>
      <c r="F8279" s="8"/>
      <c r="G8279" s="8" t="str">
        <f t="shared" ref="G8279:G8342" si="2896">"事業用資産"</f>
        <v>事業用資産</v>
      </c>
      <c r="H8279" s="8" t="str">
        <f t="shared" si="2891"/>
        <v>棚卸以外</v>
      </c>
      <c r="I8279" s="8">
        <v>3</v>
      </c>
      <c r="J8279" s="8" t="str">
        <f>"孝子駐在所"</f>
        <v>孝子駐在所</v>
      </c>
      <c r="K8279" s="8" t="str">
        <f>"軽量鉄骨造"</f>
        <v>軽量鉄骨造</v>
      </c>
      <c r="L8279" s="8" t="str">
        <f>"H28.01.27"</f>
        <v>H28.01.27</v>
      </c>
      <c r="M8279" s="8">
        <v>114.94</v>
      </c>
      <c r="N8279" s="8">
        <v>31013437</v>
      </c>
      <c r="O8279" s="8">
        <v>8670328</v>
      </c>
      <c r="P8279" s="8">
        <v>0</v>
      </c>
      <c r="Q8279" s="8" t="str">
        <f t="shared" si="2887"/>
        <v>公安委員会</v>
      </c>
      <c r="R8279" s="8" t="str">
        <f t="shared" si="2895"/>
        <v>泉南警察署</v>
      </c>
    </row>
    <row r="8280" spans="1:18" x14ac:dyDescent="0.45">
      <c r="A8280" s="8" t="str">
        <f>"11580000210"</f>
        <v>11580000210</v>
      </c>
      <c r="B8280" s="8" t="str">
        <f>"雄信達交番"</f>
        <v>雄信達交番</v>
      </c>
      <c r="C8280" s="8" t="str">
        <f t="shared" si="2889"/>
        <v>行政財産</v>
      </c>
      <c r="D8280" s="8" t="str">
        <f t="shared" si="2890"/>
        <v>警察（消防）施設</v>
      </c>
      <c r="E8280" s="8" t="str">
        <f>"大阪府泉南市男里４丁目"</f>
        <v>大阪府泉南市男里４丁目</v>
      </c>
      <c r="F8280" s="8"/>
      <c r="G8280" s="8" t="str">
        <f t="shared" si="2896"/>
        <v>事業用資産</v>
      </c>
      <c r="H8280" s="8" t="str">
        <f t="shared" si="2891"/>
        <v>棚卸以外</v>
      </c>
      <c r="I8280" s="8">
        <v>2</v>
      </c>
      <c r="J8280" s="8" t="str">
        <f>"雄信達交番"</f>
        <v>雄信達交番</v>
      </c>
      <c r="K8280" s="8" t="str">
        <f>"鉄骨造"</f>
        <v>鉄骨造</v>
      </c>
      <c r="L8280" s="8" t="str">
        <f>"H13.11.02"</f>
        <v>H13.11.02</v>
      </c>
      <c r="M8280" s="8">
        <v>54.83</v>
      </c>
      <c r="N8280" s="8">
        <v>14673441</v>
      </c>
      <c r="O8280" s="8">
        <v>8236865</v>
      </c>
      <c r="P8280" s="8">
        <v>0</v>
      </c>
      <c r="Q8280" s="8" t="str">
        <f t="shared" si="2887"/>
        <v>公安委員会</v>
      </c>
      <c r="R8280" s="8" t="str">
        <f t="shared" si="2895"/>
        <v>泉南警察署</v>
      </c>
    </row>
    <row r="8281" spans="1:18" x14ac:dyDescent="0.45">
      <c r="A8281" s="8" t="str">
        <f>"11580000220"</f>
        <v>11580000220</v>
      </c>
      <c r="B8281" s="8" t="str">
        <f>"自然田交番"</f>
        <v>自然田交番</v>
      </c>
      <c r="C8281" s="8" t="str">
        <f t="shared" si="2889"/>
        <v>行政財産</v>
      </c>
      <c r="D8281" s="8" t="str">
        <f t="shared" si="2890"/>
        <v>警察（消防）施設</v>
      </c>
      <c r="E8281" s="8" t="str">
        <f>"大阪府阪南市自然田"</f>
        <v>大阪府阪南市自然田</v>
      </c>
      <c r="F8281" s="8"/>
      <c r="G8281" s="8" t="str">
        <f t="shared" si="2896"/>
        <v>事業用資産</v>
      </c>
      <c r="H8281" s="8" t="str">
        <f t="shared" si="2891"/>
        <v>棚卸以外</v>
      </c>
      <c r="I8281" s="8">
        <v>2</v>
      </c>
      <c r="J8281" s="8" t="str">
        <f>"自然田交番"</f>
        <v>自然田交番</v>
      </c>
      <c r="K8281" s="8" t="str">
        <f>"鉄骨造"</f>
        <v>鉄骨造</v>
      </c>
      <c r="L8281" s="8" t="str">
        <f>"H13.11.02"</f>
        <v>H13.11.02</v>
      </c>
      <c r="M8281" s="8">
        <v>54.28</v>
      </c>
      <c r="N8281" s="8">
        <v>12567081</v>
      </c>
      <c r="O8281" s="8">
        <v>6981366</v>
      </c>
      <c r="P8281" s="8">
        <v>0</v>
      </c>
      <c r="Q8281" s="8" t="str">
        <f t="shared" si="2887"/>
        <v>公安委員会</v>
      </c>
      <c r="R8281" s="8" t="str">
        <f t="shared" si="2895"/>
        <v>泉南警察署</v>
      </c>
    </row>
    <row r="8282" spans="1:18" x14ac:dyDescent="0.45">
      <c r="A8282" s="8" t="str">
        <f>"11580000230"</f>
        <v>11580000230</v>
      </c>
      <c r="B8282" s="8" t="str">
        <f>"谷川駐在所"</f>
        <v>谷川駐在所</v>
      </c>
      <c r="C8282" s="8" t="str">
        <f t="shared" si="2889"/>
        <v>行政財産</v>
      </c>
      <c r="D8282" s="8" t="str">
        <f t="shared" si="2890"/>
        <v>警察（消防）施設</v>
      </c>
      <c r="E8282" s="8" t="str">
        <f>"大阪府泉南郡　岬町多奈川谷川"</f>
        <v>大阪府泉南郡　岬町多奈川谷川</v>
      </c>
      <c r="F8282" s="8"/>
      <c r="G8282" s="8" t="str">
        <f t="shared" si="2896"/>
        <v>事業用資産</v>
      </c>
      <c r="H8282" s="8" t="str">
        <f t="shared" si="2891"/>
        <v>棚卸以外</v>
      </c>
      <c r="I8282" s="8">
        <v>2</v>
      </c>
      <c r="J8282" s="8" t="str">
        <f>"谷川駐在所"</f>
        <v>谷川駐在所</v>
      </c>
      <c r="K8282" s="8" t="str">
        <f>"鉄骨造"</f>
        <v>鉄骨造</v>
      </c>
      <c r="L8282" s="8" t="str">
        <f>"H06.03.30"</f>
        <v>H06.03.30</v>
      </c>
      <c r="M8282" s="8">
        <v>90.27</v>
      </c>
      <c r="N8282" s="8">
        <v>24571593</v>
      </c>
      <c r="O8282" s="8">
        <v>18728364</v>
      </c>
      <c r="P8282" s="8">
        <v>0</v>
      </c>
      <c r="Q8282" s="8" t="str">
        <f t="shared" si="2887"/>
        <v>公安委員会</v>
      </c>
      <c r="R8282" s="8" t="str">
        <f t="shared" si="2895"/>
        <v>泉南警察署</v>
      </c>
    </row>
    <row r="8283" spans="1:18" x14ac:dyDescent="0.45">
      <c r="A8283" s="8" t="str">
        <f>"11580000240"</f>
        <v>11580000240</v>
      </c>
      <c r="B8283" s="8" t="str">
        <f>"樽井駅前交番"</f>
        <v>樽井駅前交番</v>
      </c>
      <c r="C8283" s="8" t="str">
        <f t="shared" si="2889"/>
        <v>行政財産</v>
      </c>
      <c r="D8283" s="8" t="str">
        <f t="shared" si="2890"/>
        <v>警察（消防）施設</v>
      </c>
      <c r="E8283" s="8" t="str">
        <f>"大阪府泉南市樽井５丁目"</f>
        <v>大阪府泉南市樽井５丁目</v>
      </c>
      <c r="F8283" s="8"/>
      <c r="G8283" s="8" t="str">
        <f t="shared" si="2896"/>
        <v>事業用資産</v>
      </c>
      <c r="H8283" s="8" t="str">
        <f t="shared" si="2891"/>
        <v>棚卸以外</v>
      </c>
      <c r="I8283" s="8">
        <v>3</v>
      </c>
      <c r="J8283" s="8" t="str">
        <f>"樽井駅前交番"</f>
        <v>樽井駅前交番</v>
      </c>
      <c r="K8283" s="8" t="str">
        <f>"軽量鉄骨造"</f>
        <v>軽量鉄骨造</v>
      </c>
      <c r="L8283" s="8" t="str">
        <f>"H23.11.17"</f>
        <v>H23.11.17</v>
      </c>
      <c r="M8283" s="8">
        <v>52.64</v>
      </c>
      <c r="N8283" s="8">
        <v>15818524</v>
      </c>
      <c r="O8283" s="8">
        <v>7084930</v>
      </c>
      <c r="P8283" s="8">
        <v>0</v>
      </c>
      <c r="Q8283" s="8" t="str">
        <f t="shared" si="2887"/>
        <v>公安委員会</v>
      </c>
      <c r="R8283" s="8" t="str">
        <f t="shared" si="2895"/>
        <v>泉南警察署</v>
      </c>
    </row>
    <row r="8284" spans="1:18" x14ac:dyDescent="0.45">
      <c r="A8284" s="8" t="str">
        <f>"11580000250"</f>
        <v>11580000250</v>
      </c>
      <c r="B8284" s="8" t="str">
        <f>"淡輪交番"</f>
        <v>淡輪交番</v>
      </c>
      <c r="C8284" s="8" t="str">
        <f t="shared" si="2889"/>
        <v>行政財産</v>
      </c>
      <c r="D8284" s="8" t="str">
        <f t="shared" si="2890"/>
        <v>警察（消防）施設</v>
      </c>
      <c r="E8284" s="8" t="str">
        <f>"大阪府泉南郡　岬町淡輪"</f>
        <v>大阪府泉南郡　岬町淡輪</v>
      </c>
      <c r="F8284" s="8"/>
      <c r="G8284" s="8" t="str">
        <f t="shared" si="2896"/>
        <v>事業用資産</v>
      </c>
      <c r="H8284" s="8" t="str">
        <f t="shared" si="2891"/>
        <v>棚卸以外</v>
      </c>
      <c r="I8284" s="8">
        <v>1</v>
      </c>
      <c r="J8284" s="8" t="str">
        <f>"淡輪交番"</f>
        <v>淡輪交番</v>
      </c>
      <c r="K8284" s="8" t="str">
        <f>"鉄筋コンクリート造"</f>
        <v>鉄筋コンクリート造</v>
      </c>
      <c r="L8284" s="8" t="str">
        <f>"S45.03.31"</f>
        <v>S45.03.31</v>
      </c>
      <c r="M8284" s="8">
        <v>32.72</v>
      </c>
      <c r="N8284" s="8">
        <v>2202543</v>
      </c>
      <c r="O8284" s="8">
        <v>2171930</v>
      </c>
      <c r="P8284" s="8">
        <v>0</v>
      </c>
      <c r="Q8284" s="8" t="str">
        <f t="shared" si="2887"/>
        <v>公安委員会</v>
      </c>
      <c r="R8284" s="8" t="str">
        <f t="shared" si="2895"/>
        <v>泉南警察署</v>
      </c>
    </row>
    <row r="8285" spans="1:18" x14ac:dyDescent="0.45">
      <c r="A8285" s="8" t="str">
        <f>"11580000260"</f>
        <v>11580000260</v>
      </c>
      <c r="B8285" s="8" t="str">
        <f>"山中駐在所"</f>
        <v>山中駐在所</v>
      </c>
      <c r="C8285" s="8" t="str">
        <f t="shared" si="2889"/>
        <v>行政財産</v>
      </c>
      <c r="D8285" s="8" t="str">
        <f t="shared" si="2890"/>
        <v>警察（消防）施設</v>
      </c>
      <c r="E8285" s="8" t="str">
        <f>"大阪府阪南市山中渓"</f>
        <v>大阪府阪南市山中渓</v>
      </c>
      <c r="F8285" s="8"/>
      <c r="G8285" s="8" t="str">
        <f t="shared" si="2896"/>
        <v>事業用資産</v>
      </c>
      <c r="H8285" s="8" t="str">
        <f t="shared" si="2891"/>
        <v>棚卸以外</v>
      </c>
      <c r="I8285" s="8">
        <v>2</v>
      </c>
      <c r="J8285" s="8" t="str">
        <f>"山中駐在所"</f>
        <v>山中駐在所</v>
      </c>
      <c r="K8285" s="8" t="str">
        <f>"鉄骨造"</f>
        <v>鉄骨造</v>
      </c>
      <c r="L8285" s="8" t="str">
        <f>"H08.03.11"</f>
        <v>H08.03.11</v>
      </c>
      <c r="M8285" s="8">
        <v>113.61</v>
      </c>
      <c r="N8285" s="8">
        <v>29858610</v>
      </c>
      <c r="O8285" s="8">
        <v>21209094</v>
      </c>
      <c r="P8285" s="8">
        <v>0</v>
      </c>
      <c r="Q8285" s="8" t="str">
        <f t="shared" si="2887"/>
        <v>公安委員会</v>
      </c>
      <c r="R8285" s="8" t="str">
        <f t="shared" si="2895"/>
        <v>泉南警察署</v>
      </c>
    </row>
    <row r="8286" spans="1:18" x14ac:dyDescent="0.45">
      <c r="A8286" s="8" t="str">
        <f>"11580000270"</f>
        <v>11580000270</v>
      </c>
      <c r="B8286" s="8" t="str">
        <f>"鳥取の荘交番"</f>
        <v>鳥取の荘交番</v>
      </c>
      <c r="C8286" s="8" t="str">
        <f t="shared" si="2889"/>
        <v>行政財産</v>
      </c>
      <c r="D8286" s="8" t="str">
        <f t="shared" si="2890"/>
        <v>警察（消防）施設</v>
      </c>
      <c r="E8286" s="8" t="str">
        <f>"大阪府阪南市鳥取"</f>
        <v>大阪府阪南市鳥取</v>
      </c>
      <c r="F8286" s="8"/>
      <c r="G8286" s="8" t="str">
        <f t="shared" si="2896"/>
        <v>事業用資産</v>
      </c>
      <c r="H8286" s="8" t="str">
        <f t="shared" si="2891"/>
        <v>棚卸以外</v>
      </c>
      <c r="I8286" s="8">
        <v>2</v>
      </c>
      <c r="J8286" s="8" t="str">
        <f>"鳥取の荘交番"</f>
        <v>鳥取の荘交番</v>
      </c>
      <c r="K8286" s="8" t="str">
        <f>"軽量鉄骨造"</f>
        <v>軽量鉄骨造</v>
      </c>
      <c r="L8286" s="8" t="str">
        <f>"H27.01.16"</f>
        <v>H27.01.16</v>
      </c>
      <c r="M8286" s="8">
        <v>64.239999999999995</v>
      </c>
      <c r="N8286" s="8">
        <v>25071833</v>
      </c>
      <c r="O8286" s="8">
        <v>8015200</v>
      </c>
      <c r="P8286" s="8">
        <v>0</v>
      </c>
      <c r="Q8286" s="8" t="str">
        <f t="shared" si="2887"/>
        <v>公安委員会</v>
      </c>
      <c r="R8286" s="8" t="str">
        <f t="shared" si="2895"/>
        <v>泉南警察署</v>
      </c>
    </row>
    <row r="8287" spans="1:18" x14ac:dyDescent="0.45">
      <c r="A8287" s="8" t="str">
        <f>"11580000270"</f>
        <v>11580000270</v>
      </c>
      <c r="B8287" s="8" t="str">
        <f>"鳥取の荘交番"</f>
        <v>鳥取の荘交番</v>
      </c>
      <c r="C8287" s="8" t="str">
        <f t="shared" si="2889"/>
        <v>行政財産</v>
      </c>
      <c r="D8287" s="8" t="str">
        <f t="shared" si="2890"/>
        <v>警察（消防）施設</v>
      </c>
      <c r="E8287" s="8" t="str">
        <f>"大阪府阪南市鳥取"</f>
        <v>大阪府阪南市鳥取</v>
      </c>
      <c r="F8287" s="8"/>
      <c r="G8287" s="8" t="str">
        <f t="shared" si="2896"/>
        <v>事業用資産</v>
      </c>
      <c r="H8287" s="8" t="str">
        <f t="shared" si="2891"/>
        <v>棚卸以外</v>
      </c>
      <c r="I8287" s="8">
        <v>3</v>
      </c>
      <c r="J8287" s="8" t="str">
        <f>"物置"</f>
        <v>物置</v>
      </c>
      <c r="K8287" s="8" t="str">
        <f>"土蔵造(簡易建物)"</f>
        <v>土蔵造(簡易建物)</v>
      </c>
      <c r="L8287" s="8" t="str">
        <f>"H27.01.16"</f>
        <v>H27.01.16</v>
      </c>
      <c r="M8287" s="8">
        <v>1.96</v>
      </c>
      <c r="N8287" s="8">
        <v>205327</v>
      </c>
      <c r="O8287" s="8">
        <v>69874</v>
      </c>
      <c r="P8287" s="8">
        <v>0</v>
      </c>
      <c r="Q8287" s="8" t="str">
        <f t="shared" si="2887"/>
        <v>公安委員会</v>
      </c>
      <c r="R8287" s="8" t="str">
        <f t="shared" si="2895"/>
        <v>泉南警察署</v>
      </c>
    </row>
    <row r="8288" spans="1:18" x14ac:dyDescent="0.45">
      <c r="A8288" s="8" t="str">
        <f>"11580000280"</f>
        <v>11580000280</v>
      </c>
      <c r="B8288" s="8" t="str">
        <f>"岬町交番"</f>
        <v>岬町交番</v>
      </c>
      <c r="C8288" s="8" t="str">
        <f t="shared" si="2889"/>
        <v>行政財産</v>
      </c>
      <c r="D8288" s="8" t="str">
        <f t="shared" si="2890"/>
        <v>警察（消防）施設</v>
      </c>
      <c r="E8288" s="8" t="str">
        <f>"大阪府泉南郡　岬町深日"</f>
        <v>大阪府泉南郡　岬町深日</v>
      </c>
      <c r="F8288" s="8"/>
      <c r="G8288" s="8" t="str">
        <f t="shared" si="2896"/>
        <v>事業用資産</v>
      </c>
      <c r="H8288" s="8" t="str">
        <f t="shared" si="2891"/>
        <v>棚卸以外</v>
      </c>
      <c r="I8288" s="8">
        <v>1</v>
      </c>
      <c r="J8288" s="8" t="str">
        <f>"岬町交番"</f>
        <v>岬町交番</v>
      </c>
      <c r="K8288" s="8" t="str">
        <f>"鉄筋コンクリート造"</f>
        <v>鉄筋コンクリート造</v>
      </c>
      <c r="L8288" s="8" t="str">
        <f>"S47.03.27"</f>
        <v>S47.03.27</v>
      </c>
      <c r="M8288" s="8">
        <v>98.28</v>
      </c>
      <c r="N8288" s="8">
        <v>6181000</v>
      </c>
      <c r="O8288" s="8">
        <v>6180999</v>
      </c>
      <c r="P8288" s="8">
        <v>0</v>
      </c>
      <c r="Q8288" s="8" t="str">
        <f t="shared" si="2887"/>
        <v>公安委員会</v>
      </c>
      <c r="R8288" s="8" t="str">
        <f t="shared" si="2895"/>
        <v>泉南警察署</v>
      </c>
    </row>
    <row r="8289" spans="1:18" x14ac:dyDescent="0.45">
      <c r="A8289" s="8" t="str">
        <f>"11580000290"</f>
        <v>11580000290</v>
      </c>
      <c r="B8289" s="8" t="str">
        <f>"泉南中央交番"</f>
        <v>泉南中央交番</v>
      </c>
      <c r="C8289" s="8" t="str">
        <f t="shared" si="2889"/>
        <v>行政財産</v>
      </c>
      <c r="D8289" s="8" t="str">
        <f t="shared" si="2890"/>
        <v>警察（消防）施設</v>
      </c>
      <c r="E8289" s="8" t="str">
        <f>"大阪府泉南市信達牧野"</f>
        <v>大阪府泉南市信達牧野</v>
      </c>
      <c r="F8289" s="8"/>
      <c r="G8289" s="8" t="str">
        <f t="shared" si="2896"/>
        <v>事業用資産</v>
      </c>
      <c r="H8289" s="8" t="str">
        <f t="shared" si="2891"/>
        <v>棚卸以外</v>
      </c>
      <c r="I8289" s="8">
        <v>1</v>
      </c>
      <c r="J8289" s="8" t="str">
        <f>"泉南中央交番"</f>
        <v>泉南中央交番</v>
      </c>
      <c r="K8289" s="8" t="str">
        <f>"鉄筋コンクリート造"</f>
        <v>鉄筋コンクリート造</v>
      </c>
      <c r="L8289" s="8" t="str">
        <f>"S48.03.31"</f>
        <v>S48.03.31</v>
      </c>
      <c r="M8289" s="8">
        <v>98.28</v>
      </c>
      <c r="N8289" s="8">
        <v>5970000</v>
      </c>
      <c r="O8289" s="8">
        <v>5969999</v>
      </c>
      <c r="P8289" s="8">
        <v>0</v>
      </c>
      <c r="Q8289" s="8" t="str">
        <f t="shared" si="2887"/>
        <v>公安委員会</v>
      </c>
      <c r="R8289" s="8" t="str">
        <f t="shared" si="2895"/>
        <v>泉南警察署</v>
      </c>
    </row>
    <row r="8290" spans="1:18" x14ac:dyDescent="0.45">
      <c r="A8290" s="8" t="str">
        <f>"11580000300"</f>
        <v>11580000300</v>
      </c>
      <c r="B8290" s="8" t="str">
        <f>"一丘交番"</f>
        <v>一丘交番</v>
      </c>
      <c r="C8290" s="8" t="str">
        <f t="shared" si="2889"/>
        <v>行政財産</v>
      </c>
      <c r="D8290" s="8" t="str">
        <f t="shared" si="2890"/>
        <v>警察（消防）施設</v>
      </c>
      <c r="E8290" s="8" t="str">
        <f>"大阪府泉南市信達大苗代"</f>
        <v>大阪府泉南市信達大苗代</v>
      </c>
      <c r="F8290" s="8"/>
      <c r="G8290" s="8" t="str">
        <f t="shared" si="2896"/>
        <v>事業用資産</v>
      </c>
      <c r="H8290" s="8" t="str">
        <f t="shared" si="2891"/>
        <v>棚卸以外</v>
      </c>
      <c r="I8290" s="8">
        <v>1</v>
      </c>
      <c r="J8290" s="8" t="str">
        <f>"一丘交番"</f>
        <v>一丘交番</v>
      </c>
      <c r="K8290" s="8" t="str">
        <f>"鉄筋コンクリート造"</f>
        <v>鉄筋コンクリート造</v>
      </c>
      <c r="L8290" s="8" t="str">
        <f>"S50.03.31"</f>
        <v>S50.03.31</v>
      </c>
      <c r="M8290" s="8">
        <v>50.4</v>
      </c>
      <c r="N8290" s="8">
        <v>8585000</v>
      </c>
      <c r="O8290" s="8">
        <v>8241984</v>
      </c>
      <c r="P8290" s="8">
        <v>0</v>
      </c>
      <c r="Q8290" s="8" t="str">
        <f t="shared" si="2887"/>
        <v>公安委員会</v>
      </c>
      <c r="R8290" s="8" t="str">
        <f t="shared" si="2895"/>
        <v>泉南警察署</v>
      </c>
    </row>
    <row r="8291" spans="1:18" x14ac:dyDescent="0.45">
      <c r="A8291" s="8" t="str">
        <f>"11580000310"</f>
        <v>11580000310</v>
      </c>
      <c r="B8291" s="8" t="str">
        <f>"新家交番"</f>
        <v>新家交番</v>
      </c>
      <c r="C8291" s="8" t="str">
        <f t="shared" si="2889"/>
        <v>行政財産</v>
      </c>
      <c r="D8291" s="8" t="str">
        <f t="shared" si="2890"/>
        <v>警察（消防）施設</v>
      </c>
      <c r="E8291" s="8" t="str">
        <f>"大阪府泉南市新家"</f>
        <v>大阪府泉南市新家</v>
      </c>
      <c r="F8291" s="8"/>
      <c r="G8291" s="8" t="str">
        <f t="shared" si="2896"/>
        <v>事業用資産</v>
      </c>
      <c r="H8291" s="8" t="str">
        <f t="shared" si="2891"/>
        <v>棚卸以外</v>
      </c>
      <c r="I8291" s="8">
        <v>1</v>
      </c>
      <c r="J8291" s="8" t="str">
        <f>"新家交番"</f>
        <v>新家交番</v>
      </c>
      <c r="K8291" s="8" t="str">
        <f>"鉄筋コンクリート造"</f>
        <v>鉄筋コンクリート造</v>
      </c>
      <c r="L8291" s="8" t="str">
        <f>"S55.03.31"</f>
        <v>S55.03.31</v>
      </c>
      <c r="M8291" s="8">
        <v>54</v>
      </c>
      <c r="N8291" s="8">
        <v>10500000</v>
      </c>
      <c r="O8291" s="8">
        <v>9030000</v>
      </c>
      <c r="P8291" s="8">
        <v>0</v>
      </c>
      <c r="Q8291" s="8" t="str">
        <f t="shared" si="2887"/>
        <v>公安委員会</v>
      </c>
      <c r="R8291" s="8" t="str">
        <f t="shared" si="2895"/>
        <v>泉南警察署</v>
      </c>
    </row>
    <row r="8292" spans="1:18" x14ac:dyDescent="0.45">
      <c r="A8292" s="8" t="str">
        <f>"11580000320"</f>
        <v>11580000320</v>
      </c>
      <c r="B8292" s="8" t="str">
        <f>"鳴滝駐在所"</f>
        <v>鳴滝駐在所</v>
      </c>
      <c r="C8292" s="8" t="str">
        <f t="shared" si="2889"/>
        <v>行政財産</v>
      </c>
      <c r="D8292" s="8" t="str">
        <f t="shared" si="2890"/>
        <v>警察（消防）施設</v>
      </c>
      <c r="E8292" s="8" t="str">
        <f>"大阪府泉南市鳴滝"</f>
        <v>大阪府泉南市鳴滝</v>
      </c>
      <c r="F8292" s="8"/>
      <c r="G8292" s="8" t="str">
        <f t="shared" si="2896"/>
        <v>事業用資産</v>
      </c>
      <c r="H8292" s="8" t="str">
        <f t="shared" si="2891"/>
        <v>棚卸以外</v>
      </c>
      <c r="I8292" s="8">
        <v>1</v>
      </c>
      <c r="J8292" s="8" t="str">
        <f>"鳴滝駐在所"</f>
        <v>鳴滝駐在所</v>
      </c>
      <c r="K8292" s="8" t="str">
        <f>"鉄骨造"</f>
        <v>鉄骨造</v>
      </c>
      <c r="L8292" s="8" t="str">
        <f>"H02.03.31"</f>
        <v>H02.03.31</v>
      </c>
      <c r="M8292" s="8">
        <v>90.91</v>
      </c>
      <c r="N8292" s="8">
        <v>21146086</v>
      </c>
      <c r="O8292" s="8">
        <v>18277659</v>
      </c>
      <c r="P8292" s="8">
        <v>0</v>
      </c>
      <c r="Q8292" s="8" t="str">
        <f t="shared" si="2887"/>
        <v>公安委員会</v>
      </c>
      <c r="R8292" s="8" t="str">
        <f t="shared" si="2895"/>
        <v>泉南警察署</v>
      </c>
    </row>
    <row r="8293" spans="1:18" x14ac:dyDescent="0.45">
      <c r="A8293" s="8" t="str">
        <f>"11580000330"</f>
        <v>11580000330</v>
      </c>
      <c r="B8293" s="8" t="str">
        <f>"石田交番"</f>
        <v>石田交番</v>
      </c>
      <c r="C8293" s="8" t="str">
        <f t="shared" si="2889"/>
        <v>行政財産</v>
      </c>
      <c r="D8293" s="8" t="str">
        <f t="shared" si="2890"/>
        <v>警察（消防）施設</v>
      </c>
      <c r="E8293" s="8" t="str">
        <f>"大阪府阪南市石田"</f>
        <v>大阪府阪南市石田</v>
      </c>
      <c r="F8293" s="8"/>
      <c r="G8293" s="8" t="str">
        <f t="shared" si="2896"/>
        <v>事業用資産</v>
      </c>
      <c r="H8293" s="8" t="str">
        <f t="shared" si="2891"/>
        <v>棚卸以外</v>
      </c>
      <c r="I8293" s="8">
        <v>1</v>
      </c>
      <c r="J8293" s="8" t="str">
        <f>"石田交番"</f>
        <v>石田交番</v>
      </c>
      <c r="K8293" s="8" t="str">
        <f>"鉄筋コンクリート造"</f>
        <v>鉄筋コンクリート造</v>
      </c>
      <c r="L8293" s="8" t="str">
        <f>"H03.12.04"</f>
        <v>H03.12.04</v>
      </c>
      <c r="M8293" s="8">
        <v>53.8</v>
      </c>
      <c r="N8293" s="8">
        <v>16432458</v>
      </c>
      <c r="O8293" s="8">
        <v>10257531</v>
      </c>
      <c r="P8293" s="8">
        <v>0</v>
      </c>
      <c r="Q8293" s="8" t="str">
        <f t="shared" si="2887"/>
        <v>公安委員会</v>
      </c>
      <c r="R8293" s="8" t="str">
        <f t="shared" si="2895"/>
        <v>泉南警察署</v>
      </c>
    </row>
    <row r="8294" spans="1:18" x14ac:dyDescent="0.45">
      <c r="A8294" s="8" t="str">
        <f>"11580000330"</f>
        <v>11580000330</v>
      </c>
      <c r="B8294" s="8" t="str">
        <f>"石田交番"</f>
        <v>石田交番</v>
      </c>
      <c r="C8294" s="8" t="str">
        <f t="shared" si="2889"/>
        <v>行政財産</v>
      </c>
      <c r="D8294" s="8" t="str">
        <f t="shared" si="2890"/>
        <v>警察（消防）施設</v>
      </c>
      <c r="E8294" s="8" t="str">
        <f>"大阪府阪南市石田"</f>
        <v>大阪府阪南市石田</v>
      </c>
      <c r="F8294" s="8"/>
      <c r="G8294" s="8" t="str">
        <f t="shared" si="2896"/>
        <v>事業用資産</v>
      </c>
      <c r="H8294" s="8" t="str">
        <f t="shared" si="2891"/>
        <v>棚卸以外</v>
      </c>
      <c r="I8294" s="8">
        <v>2</v>
      </c>
      <c r="J8294" s="8" t="str">
        <f>"自転車置場"</f>
        <v>自転車置場</v>
      </c>
      <c r="K8294" s="8" t="str">
        <f>"鉄骨造"</f>
        <v>鉄骨造</v>
      </c>
      <c r="L8294" s="8" t="str">
        <f>"H03.12.04"</f>
        <v>H03.12.04</v>
      </c>
      <c r="M8294" s="8">
        <v>6</v>
      </c>
      <c r="N8294" s="8">
        <v>243000</v>
      </c>
      <c r="O8294" s="8">
        <v>242999</v>
      </c>
      <c r="P8294" s="8">
        <v>0</v>
      </c>
      <c r="Q8294" s="8" t="str">
        <f t="shared" si="2887"/>
        <v>公安委員会</v>
      </c>
      <c r="R8294" s="8" t="str">
        <f t="shared" si="2895"/>
        <v>泉南警察署</v>
      </c>
    </row>
    <row r="8295" spans="1:18" x14ac:dyDescent="0.45">
      <c r="A8295" s="8" t="str">
        <f t="shared" ref="A8295:A8305" si="2897">"11581000000"</f>
        <v>11581000000</v>
      </c>
      <c r="B8295" s="8" t="str">
        <f t="shared" ref="B8295:B8305" si="2898">"黒山警察署"</f>
        <v>黒山警察署</v>
      </c>
      <c r="C8295" s="8" t="str">
        <f t="shared" si="2889"/>
        <v>行政財産</v>
      </c>
      <c r="D8295" s="8" t="str">
        <f t="shared" si="2890"/>
        <v>警察（消防）施設</v>
      </c>
      <c r="E8295" s="8" t="str">
        <f t="shared" ref="E8295:E8305" si="2899">"大阪府堺市　美原区小平尾"</f>
        <v>大阪府堺市　美原区小平尾</v>
      </c>
      <c r="F8295" s="8"/>
      <c r="G8295" s="8" t="str">
        <f t="shared" si="2896"/>
        <v>事業用資産</v>
      </c>
      <c r="H8295" s="8" t="str">
        <f t="shared" si="2891"/>
        <v>棚卸以外</v>
      </c>
      <c r="I8295" s="8">
        <v>22</v>
      </c>
      <c r="J8295" s="8" t="str">
        <f>"庁舎"</f>
        <v>庁舎</v>
      </c>
      <c r="K8295" s="8" t="str">
        <f>"鉄筋コンクリート造"</f>
        <v>鉄筋コンクリート造</v>
      </c>
      <c r="L8295" s="8" t="str">
        <f t="shared" ref="L8295:L8300" si="2900">"S57.02.05"</f>
        <v>S57.02.05</v>
      </c>
      <c r="M8295" s="8">
        <v>2580.1</v>
      </c>
      <c r="N8295" s="8">
        <v>721809694</v>
      </c>
      <c r="O8295" s="8">
        <v>532372579</v>
      </c>
      <c r="P8295" s="8">
        <v>0</v>
      </c>
      <c r="Q8295" s="8" t="str">
        <f t="shared" si="2887"/>
        <v>公安委員会</v>
      </c>
      <c r="R8295" s="8" t="str">
        <f t="shared" ref="R8295:R8316" si="2901">"黒山警察署"</f>
        <v>黒山警察署</v>
      </c>
    </row>
    <row r="8296" spans="1:18" x14ac:dyDescent="0.45">
      <c r="A8296" s="8" t="str">
        <f t="shared" si="2897"/>
        <v>11581000000</v>
      </c>
      <c r="B8296" s="8" t="str">
        <f t="shared" si="2898"/>
        <v>黒山警察署</v>
      </c>
      <c r="C8296" s="8" t="str">
        <f t="shared" si="2889"/>
        <v>行政財産</v>
      </c>
      <c r="D8296" s="8" t="str">
        <f t="shared" si="2890"/>
        <v>警察（消防）施設</v>
      </c>
      <c r="E8296" s="8" t="str">
        <f t="shared" si="2899"/>
        <v>大阪府堺市　美原区小平尾</v>
      </c>
      <c r="F8296" s="8"/>
      <c r="G8296" s="8" t="str">
        <f t="shared" si="2896"/>
        <v>事業用資産</v>
      </c>
      <c r="H8296" s="8" t="str">
        <f t="shared" si="2891"/>
        <v>棚卸以外</v>
      </c>
      <c r="I8296" s="8">
        <v>23</v>
      </c>
      <c r="J8296" s="8" t="str">
        <f>"大型車庫"</f>
        <v>大型車庫</v>
      </c>
      <c r="K8296" s="8" t="str">
        <f>"鉄骨造"</f>
        <v>鉄骨造</v>
      </c>
      <c r="L8296" s="8" t="str">
        <f t="shared" si="2900"/>
        <v>S57.02.05</v>
      </c>
      <c r="M8296" s="8">
        <v>116</v>
      </c>
      <c r="N8296" s="8">
        <v>14059828</v>
      </c>
      <c r="O8296" s="8">
        <v>14043267</v>
      </c>
      <c r="P8296" s="8">
        <v>0</v>
      </c>
      <c r="Q8296" s="8" t="str">
        <f t="shared" si="2887"/>
        <v>公安委員会</v>
      </c>
      <c r="R8296" s="8" t="str">
        <f t="shared" si="2901"/>
        <v>黒山警察署</v>
      </c>
    </row>
    <row r="8297" spans="1:18" x14ac:dyDescent="0.45">
      <c r="A8297" s="8" t="str">
        <f t="shared" si="2897"/>
        <v>11581000000</v>
      </c>
      <c r="B8297" s="8" t="str">
        <f t="shared" si="2898"/>
        <v>黒山警察署</v>
      </c>
      <c r="C8297" s="8" t="str">
        <f t="shared" si="2889"/>
        <v>行政財産</v>
      </c>
      <c r="D8297" s="8" t="str">
        <f t="shared" si="2890"/>
        <v>警察（消防）施設</v>
      </c>
      <c r="E8297" s="8" t="str">
        <f t="shared" si="2899"/>
        <v>大阪府堺市　美原区小平尾</v>
      </c>
      <c r="F8297" s="8"/>
      <c r="G8297" s="8" t="str">
        <f t="shared" si="2896"/>
        <v>事業用資産</v>
      </c>
      <c r="H8297" s="8" t="str">
        <f t="shared" si="2891"/>
        <v>棚卸以外</v>
      </c>
      <c r="I8297" s="8">
        <v>24</v>
      </c>
      <c r="J8297" s="8" t="str">
        <f>"車庫"</f>
        <v>車庫</v>
      </c>
      <c r="K8297" s="8" t="str">
        <f>"鉄骨造"</f>
        <v>鉄骨造</v>
      </c>
      <c r="L8297" s="8" t="str">
        <f t="shared" si="2900"/>
        <v>S57.02.05</v>
      </c>
      <c r="M8297" s="8">
        <v>141.28</v>
      </c>
      <c r="N8297" s="8">
        <v>8557796</v>
      </c>
      <c r="O8297" s="8">
        <v>8537969</v>
      </c>
      <c r="P8297" s="8">
        <v>0</v>
      </c>
      <c r="Q8297" s="8" t="str">
        <f t="shared" si="2887"/>
        <v>公安委員会</v>
      </c>
      <c r="R8297" s="8" t="str">
        <f t="shared" si="2901"/>
        <v>黒山警察署</v>
      </c>
    </row>
    <row r="8298" spans="1:18" x14ac:dyDescent="0.45">
      <c r="A8298" s="8" t="str">
        <f t="shared" si="2897"/>
        <v>11581000000</v>
      </c>
      <c r="B8298" s="8" t="str">
        <f t="shared" si="2898"/>
        <v>黒山警察署</v>
      </c>
      <c r="C8298" s="8" t="str">
        <f t="shared" si="2889"/>
        <v>行政財産</v>
      </c>
      <c r="D8298" s="8" t="str">
        <f t="shared" si="2890"/>
        <v>警察（消防）施設</v>
      </c>
      <c r="E8298" s="8" t="str">
        <f t="shared" si="2899"/>
        <v>大阪府堺市　美原区小平尾</v>
      </c>
      <c r="F8298" s="8"/>
      <c r="G8298" s="8" t="str">
        <f t="shared" si="2896"/>
        <v>事業用資産</v>
      </c>
      <c r="H8298" s="8" t="str">
        <f t="shared" si="2891"/>
        <v>棚卸以外</v>
      </c>
      <c r="I8298" s="8">
        <v>26</v>
      </c>
      <c r="J8298" s="8" t="str">
        <f>"倉庫Ｆ"</f>
        <v>倉庫Ｆ</v>
      </c>
      <c r="K8298" s="8" t="str">
        <f>"鉄筋コンクリート造"</f>
        <v>鉄筋コンクリート造</v>
      </c>
      <c r="L8298" s="8" t="str">
        <f t="shared" si="2900"/>
        <v>S57.02.05</v>
      </c>
      <c r="M8298" s="8">
        <v>20</v>
      </c>
      <c r="N8298" s="8">
        <v>7904699</v>
      </c>
      <c r="O8298" s="8">
        <v>7758125</v>
      </c>
      <c r="P8298" s="8">
        <v>0</v>
      </c>
      <c r="Q8298" s="8" t="str">
        <f t="shared" si="2887"/>
        <v>公安委員会</v>
      </c>
      <c r="R8298" s="8" t="str">
        <f t="shared" si="2901"/>
        <v>黒山警察署</v>
      </c>
    </row>
    <row r="8299" spans="1:18" x14ac:dyDescent="0.45">
      <c r="A8299" s="8" t="str">
        <f t="shared" si="2897"/>
        <v>11581000000</v>
      </c>
      <c r="B8299" s="8" t="str">
        <f t="shared" si="2898"/>
        <v>黒山警察署</v>
      </c>
      <c r="C8299" s="8" t="str">
        <f t="shared" si="2889"/>
        <v>行政財産</v>
      </c>
      <c r="D8299" s="8" t="str">
        <f t="shared" si="2890"/>
        <v>警察（消防）施設</v>
      </c>
      <c r="E8299" s="8" t="str">
        <f t="shared" si="2899"/>
        <v>大阪府堺市　美原区小平尾</v>
      </c>
      <c r="F8299" s="8"/>
      <c r="G8299" s="8" t="str">
        <f t="shared" si="2896"/>
        <v>事業用資産</v>
      </c>
      <c r="H8299" s="8" t="str">
        <f t="shared" si="2891"/>
        <v>棚卸以外</v>
      </c>
      <c r="I8299" s="8">
        <v>27</v>
      </c>
      <c r="J8299" s="8" t="str">
        <f>"食堂"</f>
        <v>食堂</v>
      </c>
      <c r="K8299" s="8" t="str">
        <f>"鉄骨造"</f>
        <v>鉄骨造</v>
      </c>
      <c r="L8299" s="8" t="str">
        <f t="shared" si="2900"/>
        <v>S57.02.05</v>
      </c>
      <c r="M8299" s="8">
        <v>80.099999999999994</v>
      </c>
      <c r="N8299" s="8">
        <v>21914312</v>
      </c>
      <c r="O8299" s="8">
        <v>21914311</v>
      </c>
      <c r="P8299" s="8">
        <v>0</v>
      </c>
      <c r="Q8299" s="8" t="str">
        <f t="shared" si="2887"/>
        <v>公安委員会</v>
      </c>
      <c r="R8299" s="8" t="str">
        <f t="shared" si="2901"/>
        <v>黒山警察署</v>
      </c>
    </row>
    <row r="8300" spans="1:18" x14ac:dyDescent="0.45">
      <c r="A8300" s="8" t="str">
        <f t="shared" si="2897"/>
        <v>11581000000</v>
      </c>
      <c r="B8300" s="8" t="str">
        <f t="shared" si="2898"/>
        <v>黒山警察署</v>
      </c>
      <c r="C8300" s="8" t="str">
        <f t="shared" si="2889"/>
        <v>行政財産</v>
      </c>
      <c r="D8300" s="8" t="str">
        <f t="shared" si="2890"/>
        <v>警察（消防）施設</v>
      </c>
      <c r="E8300" s="8" t="str">
        <f t="shared" si="2899"/>
        <v>大阪府堺市　美原区小平尾</v>
      </c>
      <c r="F8300" s="8"/>
      <c r="G8300" s="8" t="str">
        <f t="shared" si="2896"/>
        <v>事業用資産</v>
      </c>
      <c r="H8300" s="8" t="str">
        <f t="shared" si="2891"/>
        <v>棚卸以外</v>
      </c>
      <c r="I8300" s="8">
        <v>28</v>
      </c>
      <c r="J8300" s="8" t="str">
        <f>"署長公舎"</f>
        <v>署長公舎</v>
      </c>
      <c r="K8300" s="8" t="str">
        <f>"鉄筋コンクリート造"</f>
        <v>鉄筋コンクリート造</v>
      </c>
      <c r="L8300" s="8" t="str">
        <f t="shared" si="2900"/>
        <v>S57.02.05</v>
      </c>
      <c r="M8300" s="8">
        <v>86.7</v>
      </c>
      <c r="N8300" s="8">
        <v>20338000</v>
      </c>
      <c r="O8300" s="8">
        <v>17778073</v>
      </c>
      <c r="P8300" s="8">
        <v>0</v>
      </c>
      <c r="Q8300" s="8" t="str">
        <f t="shared" si="2887"/>
        <v>公安委員会</v>
      </c>
      <c r="R8300" s="8" t="str">
        <f t="shared" si="2901"/>
        <v>黒山警察署</v>
      </c>
    </row>
    <row r="8301" spans="1:18" x14ac:dyDescent="0.45">
      <c r="A8301" s="8" t="str">
        <f t="shared" si="2897"/>
        <v>11581000000</v>
      </c>
      <c r="B8301" s="8" t="str">
        <f t="shared" si="2898"/>
        <v>黒山警察署</v>
      </c>
      <c r="C8301" s="8" t="str">
        <f t="shared" si="2889"/>
        <v>行政財産</v>
      </c>
      <c r="D8301" s="8" t="str">
        <f t="shared" si="2890"/>
        <v>警察（消防）施設</v>
      </c>
      <c r="E8301" s="8" t="str">
        <f t="shared" si="2899"/>
        <v>大阪府堺市　美原区小平尾</v>
      </c>
      <c r="F8301" s="8"/>
      <c r="G8301" s="8" t="str">
        <f t="shared" si="2896"/>
        <v>事業用資産</v>
      </c>
      <c r="H8301" s="8" t="str">
        <f t="shared" si="2891"/>
        <v>棚卸以外</v>
      </c>
      <c r="I8301" s="8">
        <v>29</v>
      </c>
      <c r="J8301" s="8" t="str">
        <f>"倉庫Ａ"</f>
        <v>倉庫Ａ</v>
      </c>
      <c r="K8301" s="8" t="str">
        <f>"プレハブ"</f>
        <v>プレハブ</v>
      </c>
      <c r="L8301" s="8" t="str">
        <f>"H10.11.20"</f>
        <v>H10.11.20</v>
      </c>
      <c r="M8301" s="8">
        <v>26.5</v>
      </c>
      <c r="N8301" s="8">
        <v>1104000</v>
      </c>
      <c r="O8301" s="8">
        <v>866656</v>
      </c>
      <c r="P8301" s="8">
        <v>0</v>
      </c>
      <c r="Q8301" s="8" t="str">
        <f t="shared" si="2887"/>
        <v>公安委員会</v>
      </c>
      <c r="R8301" s="8" t="str">
        <f t="shared" si="2901"/>
        <v>黒山警察署</v>
      </c>
    </row>
    <row r="8302" spans="1:18" x14ac:dyDescent="0.45">
      <c r="A8302" s="8" t="str">
        <f t="shared" si="2897"/>
        <v>11581000000</v>
      </c>
      <c r="B8302" s="8" t="str">
        <f t="shared" si="2898"/>
        <v>黒山警察署</v>
      </c>
      <c r="C8302" s="8" t="str">
        <f t="shared" si="2889"/>
        <v>行政財産</v>
      </c>
      <c r="D8302" s="8" t="str">
        <f t="shared" si="2890"/>
        <v>警察（消防）施設</v>
      </c>
      <c r="E8302" s="8" t="str">
        <f t="shared" si="2899"/>
        <v>大阪府堺市　美原区小平尾</v>
      </c>
      <c r="F8302" s="8"/>
      <c r="G8302" s="8" t="str">
        <f t="shared" si="2896"/>
        <v>事業用資産</v>
      </c>
      <c r="H8302" s="8" t="str">
        <f t="shared" si="2891"/>
        <v>棚卸以外</v>
      </c>
      <c r="I8302" s="8">
        <v>30</v>
      </c>
      <c r="J8302" s="8" t="str">
        <f>"倉庫Ｂ"</f>
        <v>倉庫Ｂ</v>
      </c>
      <c r="K8302" s="8" t="str">
        <f>"プレハブ"</f>
        <v>プレハブ</v>
      </c>
      <c r="L8302" s="8" t="str">
        <f>"H10.11.20"</f>
        <v>H10.11.20</v>
      </c>
      <c r="M8302" s="8">
        <v>26.5</v>
      </c>
      <c r="N8302" s="8">
        <v>1104000</v>
      </c>
      <c r="O8302" s="8">
        <v>866656</v>
      </c>
      <c r="P8302" s="8">
        <v>0</v>
      </c>
      <c r="Q8302" s="8" t="str">
        <f t="shared" si="2887"/>
        <v>公安委員会</v>
      </c>
      <c r="R8302" s="8" t="str">
        <f t="shared" si="2901"/>
        <v>黒山警察署</v>
      </c>
    </row>
    <row r="8303" spans="1:18" x14ac:dyDescent="0.45">
      <c r="A8303" s="8" t="str">
        <f t="shared" si="2897"/>
        <v>11581000000</v>
      </c>
      <c r="B8303" s="8" t="str">
        <f t="shared" si="2898"/>
        <v>黒山警察署</v>
      </c>
      <c r="C8303" s="8" t="str">
        <f t="shared" si="2889"/>
        <v>行政財産</v>
      </c>
      <c r="D8303" s="8" t="str">
        <f t="shared" si="2890"/>
        <v>警察（消防）施設</v>
      </c>
      <c r="E8303" s="8" t="str">
        <f t="shared" si="2899"/>
        <v>大阪府堺市　美原区小平尾</v>
      </c>
      <c r="F8303" s="8"/>
      <c r="G8303" s="8" t="str">
        <f t="shared" si="2896"/>
        <v>事業用資産</v>
      </c>
      <c r="H8303" s="8" t="str">
        <f t="shared" si="2891"/>
        <v>棚卸以外</v>
      </c>
      <c r="I8303" s="8">
        <v>31</v>
      </c>
      <c r="J8303" s="8" t="str">
        <f>"倉庫Ｃ"</f>
        <v>倉庫Ｃ</v>
      </c>
      <c r="K8303" s="8" t="str">
        <f>"プレハブ"</f>
        <v>プレハブ</v>
      </c>
      <c r="L8303" s="8" t="str">
        <f>"H10.11.20"</f>
        <v>H10.11.20</v>
      </c>
      <c r="M8303" s="8">
        <v>26.5</v>
      </c>
      <c r="N8303" s="8">
        <v>1104000</v>
      </c>
      <c r="O8303" s="8">
        <v>866656</v>
      </c>
      <c r="P8303" s="8">
        <v>0</v>
      </c>
      <c r="Q8303" s="8" t="str">
        <f t="shared" si="2887"/>
        <v>公安委員会</v>
      </c>
      <c r="R8303" s="8" t="str">
        <f t="shared" si="2901"/>
        <v>黒山警察署</v>
      </c>
    </row>
    <row r="8304" spans="1:18" x14ac:dyDescent="0.45">
      <c r="A8304" s="8" t="str">
        <f t="shared" si="2897"/>
        <v>11581000000</v>
      </c>
      <c r="B8304" s="8" t="str">
        <f t="shared" si="2898"/>
        <v>黒山警察署</v>
      </c>
      <c r="C8304" s="8" t="str">
        <f t="shared" si="2889"/>
        <v>行政財産</v>
      </c>
      <c r="D8304" s="8" t="str">
        <f t="shared" si="2890"/>
        <v>警察（消防）施設</v>
      </c>
      <c r="E8304" s="8" t="str">
        <f t="shared" si="2899"/>
        <v>大阪府堺市　美原区小平尾</v>
      </c>
      <c r="F8304" s="8"/>
      <c r="G8304" s="8" t="str">
        <f t="shared" si="2896"/>
        <v>事業用資産</v>
      </c>
      <c r="H8304" s="8" t="str">
        <f t="shared" si="2891"/>
        <v>棚卸以外</v>
      </c>
      <c r="I8304" s="8">
        <v>32</v>
      </c>
      <c r="J8304" s="8" t="str">
        <f>"倉庫Ｄ"</f>
        <v>倉庫Ｄ</v>
      </c>
      <c r="K8304" s="8" t="str">
        <f>"プレハブ"</f>
        <v>プレハブ</v>
      </c>
      <c r="L8304" s="8" t="str">
        <f>"H10.11.20"</f>
        <v>H10.11.20</v>
      </c>
      <c r="M8304" s="8">
        <v>13.25</v>
      </c>
      <c r="N8304" s="8">
        <v>552000</v>
      </c>
      <c r="O8304" s="8">
        <v>433328</v>
      </c>
      <c r="P8304" s="8">
        <v>0</v>
      </c>
      <c r="Q8304" s="8" t="str">
        <f t="shared" si="2887"/>
        <v>公安委員会</v>
      </c>
      <c r="R8304" s="8" t="str">
        <f t="shared" si="2901"/>
        <v>黒山警察署</v>
      </c>
    </row>
    <row r="8305" spans="1:18" x14ac:dyDescent="0.45">
      <c r="A8305" s="8" t="str">
        <f t="shared" si="2897"/>
        <v>11581000000</v>
      </c>
      <c r="B8305" s="8" t="str">
        <f t="shared" si="2898"/>
        <v>黒山警察署</v>
      </c>
      <c r="C8305" s="8" t="str">
        <f t="shared" si="2889"/>
        <v>行政財産</v>
      </c>
      <c r="D8305" s="8" t="str">
        <f t="shared" si="2890"/>
        <v>警察（消防）施設</v>
      </c>
      <c r="E8305" s="8" t="str">
        <f t="shared" si="2899"/>
        <v>大阪府堺市　美原区小平尾</v>
      </c>
      <c r="F8305" s="8"/>
      <c r="G8305" s="8" t="str">
        <f t="shared" si="2896"/>
        <v>事業用資産</v>
      </c>
      <c r="H8305" s="8" t="str">
        <f t="shared" si="2891"/>
        <v>棚卸以外</v>
      </c>
      <c r="I8305" s="8">
        <v>33</v>
      </c>
      <c r="J8305" s="8" t="str">
        <f>"倉庫Ｅ"</f>
        <v>倉庫Ｅ</v>
      </c>
      <c r="K8305" s="8" t="str">
        <f>"プレハブ"</f>
        <v>プレハブ</v>
      </c>
      <c r="L8305" s="8" t="str">
        <f>"H10.11.20"</f>
        <v>H10.11.20</v>
      </c>
      <c r="M8305" s="8">
        <v>13.25</v>
      </c>
      <c r="N8305" s="8">
        <v>552000</v>
      </c>
      <c r="O8305" s="8">
        <v>433328</v>
      </c>
      <c r="P8305" s="8">
        <v>0</v>
      </c>
      <c r="Q8305" s="8" t="str">
        <f t="shared" si="2887"/>
        <v>公安委員会</v>
      </c>
      <c r="R8305" s="8" t="str">
        <f t="shared" si="2901"/>
        <v>黒山警察署</v>
      </c>
    </row>
    <row r="8306" spans="1:18" x14ac:dyDescent="0.45">
      <c r="A8306" s="8" t="str">
        <f>"11581000008"</f>
        <v>11581000008</v>
      </c>
      <c r="B8306" s="8" t="str">
        <f>"北野田駅前交番"</f>
        <v>北野田駅前交番</v>
      </c>
      <c r="C8306" s="8" t="str">
        <f t="shared" si="2889"/>
        <v>行政財産</v>
      </c>
      <c r="D8306" s="8" t="str">
        <f t="shared" si="2890"/>
        <v>警察（消防）施設</v>
      </c>
      <c r="E8306" s="8" t="str">
        <f>"大阪府堺市　東区北野田"</f>
        <v>大阪府堺市　東区北野田</v>
      </c>
      <c r="F8306" s="8"/>
      <c r="G8306" s="8" t="str">
        <f t="shared" si="2896"/>
        <v>事業用資産</v>
      </c>
      <c r="H8306" s="8" t="str">
        <f t="shared" si="2891"/>
        <v>棚卸以外</v>
      </c>
      <c r="I8306" s="8">
        <v>1</v>
      </c>
      <c r="J8306" s="8" t="str">
        <f>"北野田駅前交番"</f>
        <v>北野田駅前交番</v>
      </c>
      <c r="K8306" s="8" t="str">
        <f>"鉄骨造"</f>
        <v>鉄骨造</v>
      </c>
      <c r="L8306" s="8" t="str">
        <f>"H18.03.23"</f>
        <v>H18.03.23</v>
      </c>
      <c r="M8306" s="8">
        <v>129.11000000000001</v>
      </c>
      <c r="N8306" s="8">
        <v>23754562</v>
      </c>
      <c r="O8306" s="8">
        <v>10567266</v>
      </c>
      <c r="P8306" s="8">
        <v>0</v>
      </c>
      <c r="Q8306" s="8" t="str">
        <f t="shared" si="2887"/>
        <v>公安委員会</v>
      </c>
      <c r="R8306" s="8" t="str">
        <f t="shared" si="2901"/>
        <v>黒山警察署</v>
      </c>
    </row>
    <row r="8307" spans="1:18" x14ac:dyDescent="0.45">
      <c r="A8307" s="8" t="str">
        <f>"11581000009"</f>
        <v>11581000009</v>
      </c>
      <c r="B8307" s="8" t="str">
        <f>"初芝駅前交番"</f>
        <v>初芝駅前交番</v>
      </c>
      <c r="C8307" s="8" t="str">
        <f t="shared" si="2889"/>
        <v>行政財産</v>
      </c>
      <c r="D8307" s="8" t="str">
        <f t="shared" si="2890"/>
        <v>警察（消防）施設</v>
      </c>
      <c r="E8307" s="8" t="str">
        <f>"大阪府堺市　東区日置荘西町１丁"</f>
        <v>大阪府堺市　東区日置荘西町１丁</v>
      </c>
      <c r="F8307" s="8"/>
      <c r="G8307" s="8" t="str">
        <f t="shared" si="2896"/>
        <v>事業用資産</v>
      </c>
      <c r="H8307" s="8" t="str">
        <f t="shared" si="2891"/>
        <v>棚卸以外</v>
      </c>
      <c r="I8307" s="8">
        <v>1</v>
      </c>
      <c r="J8307" s="8" t="str">
        <f>"初芝駅前交番"</f>
        <v>初芝駅前交番</v>
      </c>
      <c r="K8307" s="8" t="str">
        <f>"鉄筋コンクリート造"</f>
        <v>鉄筋コンクリート造</v>
      </c>
      <c r="L8307" s="8" t="str">
        <f>"S48.03.31"</f>
        <v>S48.03.31</v>
      </c>
      <c r="M8307" s="8">
        <v>50.22</v>
      </c>
      <c r="N8307" s="8">
        <v>3560706</v>
      </c>
      <c r="O8307" s="8">
        <v>3453998</v>
      </c>
      <c r="P8307" s="8">
        <v>0</v>
      </c>
      <c r="Q8307" s="8" t="str">
        <f t="shared" ref="Q8307:Q8370" si="2902">"公安委員会"</f>
        <v>公安委員会</v>
      </c>
      <c r="R8307" s="8" t="str">
        <f t="shared" si="2901"/>
        <v>黒山警察署</v>
      </c>
    </row>
    <row r="8308" spans="1:18" x14ac:dyDescent="0.45">
      <c r="A8308" s="8" t="str">
        <f>"11581000140"</f>
        <v>11581000140</v>
      </c>
      <c r="B8308" s="8" t="str">
        <f>"大保交番"</f>
        <v>大保交番</v>
      </c>
      <c r="C8308" s="8" t="str">
        <f t="shared" si="2889"/>
        <v>行政財産</v>
      </c>
      <c r="D8308" s="8" t="str">
        <f t="shared" si="2890"/>
        <v>警察（消防）施設</v>
      </c>
      <c r="E8308" s="8" t="str">
        <f>"大阪府堺市　美原区大保"</f>
        <v>大阪府堺市　美原区大保</v>
      </c>
      <c r="F8308" s="8"/>
      <c r="G8308" s="8" t="str">
        <f t="shared" si="2896"/>
        <v>事業用資産</v>
      </c>
      <c r="H8308" s="8" t="str">
        <f t="shared" si="2891"/>
        <v>棚卸以外</v>
      </c>
      <c r="I8308" s="8">
        <v>2</v>
      </c>
      <c r="J8308" s="8" t="str">
        <f>"大保交番"</f>
        <v>大保交番</v>
      </c>
      <c r="K8308" s="8" t="str">
        <f>"鉄筋コンクリート造"</f>
        <v>鉄筋コンクリート造</v>
      </c>
      <c r="L8308" s="8" t="str">
        <f>"S61.03.31"</f>
        <v>S61.03.31</v>
      </c>
      <c r="M8308" s="8">
        <v>54</v>
      </c>
      <c r="N8308" s="8">
        <v>13584500</v>
      </c>
      <c r="O8308" s="8">
        <v>9994989</v>
      </c>
      <c r="P8308" s="8">
        <v>0</v>
      </c>
      <c r="Q8308" s="8" t="str">
        <f t="shared" si="2902"/>
        <v>公安委員会</v>
      </c>
      <c r="R8308" s="8" t="str">
        <f t="shared" si="2901"/>
        <v>黒山警察署</v>
      </c>
    </row>
    <row r="8309" spans="1:18" x14ac:dyDescent="0.45">
      <c r="A8309" s="8" t="str">
        <f>"11581000150"</f>
        <v>11581000150</v>
      </c>
      <c r="B8309" s="8" t="str">
        <f>"平尾交番"</f>
        <v>平尾交番</v>
      </c>
      <c r="C8309" s="8" t="str">
        <f t="shared" si="2889"/>
        <v>行政財産</v>
      </c>
      <c r="D8309" s="8" t="str">
        <f t="shared" si="2890"/>
        <v>警察（消防）施設</v>
      </c>
      <c r="E8309" s="8" t="str">
        <f>"大阪府堺市　美原区平尾"</f>
        <v>大阪府堺市　美原区平尾</v>
      </c>
      <c r="F8309" s="8"/>
      <c r="G8309" s="8" t="str">
        <f t="shared" si="2896"/>
        <v>事業用資産</v>
      </c>
      <c r="H8309" s="8" t="str">
        <f t="shared" si="2891"/>
        <v>棚卸以外</v>
      </c>
      <c r="I8309" s="8">
        <v>4</v>
      </c>
      <c r="J8309" s="8" t="str">
        <f>"平尾交番"</f>
        <v>平尾交番</v>
      </c>
      <c r="K8309" s="8" t="str">
        <f>"鉄筋コンクリート造"</f>
        <v>鉄筋コンクリート造</v>
      </c>
      <c r="L8309" s="8" t="str">
        <f>"S59.01.11"</f>
        <v>S59.01.11</v>
      </c>
      <c r="M8309" s="8">
        <v>54</v>
      </c>
      <c r="N8309" s="8">
        <v>13494500</v>
      </c>
      <c r="O8309" s="8">
        <v>10509593</v>
      </c>
      <c r="P8309" s="8">
        <v>0</v>
      </c>
      <c r="Q8309" s="8" t="str">
        <f t="shared" si="2902"/>
        <v>公安委員会</v>
      </c>
      <c r="R8309" s="8" t="str">
        <f t="shared" si="2901"/>
        <v>黒山警察署</v>
      </c>
    </row>
    <row r="8310" spans="1:18" x14ac:dyDescent="0.45">
      <c r="A8310" s="8" t="str">
        <f>"11581000190"</f>
        <v>11581000190</v>
      </c>
      <c r="B8310" s="8" t="str">
        <f>"大美野交番"</f>
        <v>大美野交番</v>
      </c>
      <c r="C8310" s="8" t="str">
        <f t="shared" ref="C8310:C8373" si="2903">"行政財産"</f>
        <v>行政財産</v>
      </c>
      <c r="D8310" s="8" t="str">
        <f t="shared" si="2890"/>
        <v>警察（消防）施設</v>
      </c>
      <c r="E8310" s="8" t="str">
        <f>"大阪府堺市　東区大美野"</f>
        <v>大阪府堺市　東区大美野</v>
      </c>
      <c r="F8310" s="8"/>
      <c r="G8310" s="8" t="str">
        <f t="shared" si="2896"/>
        <v>事業用資産</v>
      </c>
      <c r="H8310" s="8" t="str">
        <f t="shared" si="2891"/>
        <v>棚卸以外</v>
      </c>
      <c r="I8310" s="8">
        <v>2</v>
      </c>
      <c r="J8310" s="8" t="str">
        <f>"大美野交番"</f>
        <v>大美野交番</v>
      </c>
      <c r="K8310" s="8" t="str">
        <f>"軽量鉄骨造"</f>
        <v>軽量鉄骨造</v>
      </c>
      <c r="L8310" s="8" t="str">
        <f>"H23.03.16"</f>
        <v>H23.03.16</v>
      </c>
      <c r="M8310" s="8">
        <v>56.3</v>
      </c>
      <c r="N8310" s="8">
        <v>14253125</v>
      </c>
      <c r="O8310" s="8">
        <v>5676381</v>
      </c>
      <c r="P8310" s="8">
        <v>0</v>
      </c>
      <c r="Q8310" s="8" t="str">
        <f t="shared" si="2902"/>
        <v>公安委員会</v>
      </c>
      <c r="R8310" s="8" t="str">
        <f t="shared" si="2901"/>
        <v>黒山警察署</v>
      </c>
    </row>
    <row r="8311" spans="1:18" x14ac:dyDescent="0.45">
      <c r="A8311" s="8" t="str">
        <f>"11581000210"</f>
        <v>11581000210</v>
      </c>
      <c r="B8311" s="8" t="str">
        <f>"狭山南交番"</f>
        <v>狭山南交番</v>
      </c>
      <c r="C8311" s="8" t="str">
        <f t="shared" si="2903"/>
        <v>行政財産</v>
      </c>
      <c r="D8311" s="8" t="str">
        <f t="shared" si="2890"/>
        <v>警察（消防）施設</v>
      </c>
      <c r="E8311" s="8" t="str">
        <f>"大阪府大阪狭山市大野台２丁目"</f>
        <v>大阪府大阪狭山市大野台２丁目</v>
      </c>
      <c r="F8311" s="8"/>
      <c r="G8311" s="8" t="str">
        <f t="shared" si="2896"/>
        <v>事業用資産</v>
      </c>
      <c r="H8311" s="8" t="str">
        <f t="shared" si="2891"/>
        <v>棚卸以外</v>
      </c>
      <c r="I8311" s="8">
        <v>1</v>
      </c>
      <c r="J8311" s="8" t="str">
        <f>"狭山南交番"</f>
        <v>狭山南交番</v>
      </c>
      <c r="K8311" s="8" t="str">
        <f>"鉄筋コンクリート造"</f>
        <v>鉄筋コンクリート造</v>
      </c>
      <c r="L8311" s="8" t="str">
        <f>"S48.03.31"</f>
        <v>S48.03.31</v>
      </c>
      <c r="M8311" s="8">
        <v>93.96</v>
      </c>
      <c r="N8311" s="8">
        <v>6159804</v>
      </c>
      <c r="O8311" s="8">
        <v>6052520</v>
      </c>
      <c r="P8311" s="8">
        <v>0</v>
      </c>
      <c r="Q8311" s="8" t="str">
        <f t="shared" si="2902"/>
        <v>公安委員会</v>
      </c>
      <c r="R8311" s="8" t="str">
        <f t="shared" si="2901"/>
        <v>黒山警察署</v>
      </c>
    </row>
    <row r="8312" spans="1:18" x14ac:dyDescent="0.45">
      <c r="A8312" s="8" t="str">
        <f>"11581000220"</f>
        <v>11581000220</v>
      </c>
      <c r="B8312" s="8" t="str">
        <f>"余部交番"</f>
        <v>余部交番</v>
      </c>
      <c r="C8312" s="8" t="str">
        <f t="shared" si="2903"/>
        <v>行政財産</v>
      </c>
      <c r="D8312" s="8" t="str">
        <f t="shared" si="2890"/>
        <v>警察（消防）施設</v>
      </c>
      <c r="E8312" s="8" t="str">
        <f>"大阪府堺市　美原区北余部"</f>
        <v>大阪府堺市　美原区北余部</v>
      </c>
      <c r="F8312" s="8"/>
      <c r="G8312" s="8" t="str">
        <f t="shared" si="2896"/>
        <v>事業用資産</v>
      </c>
      <c r="H8312" s="8" t="str">
        <f t="shared" si="2891"/>
        <v>棚卸以外</v>
      </c>
      <c r="I8312" s="8">
        <v>4</v>
      </c>
      <c r="J8312" s="8" t="str">
        <f>"余部交番"</f>
        <v>余部交番</v>
      </c>
      <c r="K8312" s="8" t="str">
        <f>"鉄筋コンクリート造"</f>
        <v>鉄筋コンクリート造</v>
      </c>
      <c r="L8312" s="8" t="str">
        <f>"S60.03.26"</f>
        <v>S60.03.26</v>
      </c>
      <c r="M8312" s="8">
        <v>54.68</v>
      </c>
      <c r="N8312" s="8">
        <v>14282500</v>
      </c>
      <c r="O8312" s="8">
        <v>10795365</v>
      </c>
      <c r="P8312" s="8">
        <v>0</v>
      </c>
      <c r="Q8312" s="8" t="str">
        <f t="shared" si="2902"/>
        <v>公安委員会</v>
      </c>
      <c r="R8312" s="8" t="str">
        <f t="shared" si="2901"/>
        <v>黒山警察署</v>
      </c>
    </row>
    <row r="8313" spans="1:18" x14ac:dyDescent="0.45">
      <c r="A8313" s="8" t="str">
        <f>"11581000240"</f>
        <v>11581000240</v>
      </c>
      <c r="B8313" s="8" t="str">
        <f>"東菩提交番"</f>
        <v>東菩提交番</v>
      </c>
      <c r="C8313" s="8" t="str">
        <f t="shared" si="2903"/>
        <v>行政財産</v>
      </c>
      <c r="D8313" s="8" t="str">
        <f t="shared" si="2890"/>
        <v>警察（消防）施設</v>
      </c>
      <c r="E8313" s="8" t="str">
        <f>"大阪府堺市　美原区菩提"</f>
        <v>大阪府堺市　美原区菩提</v>
      </c>
      <c r="F8313" s="8"/>
      <c r="G8313" s="8" t="str">
        <f t="shared" si="2896"/>
        <v>事業用資産</v>
      </c>
      <c r="H8313" s="8" t="str">
        <f t="shared" si="2891"/>
        <v>棚卸以外</v>
      </c>
      <c r="I8313" s="8">
        <v>1</v>
      </c>
      <c r="J8313" s="8" t="str">
        <f>"東菩提交番"</f>
        <v>東菩提交番</v>
      </c>
      <c r="K8313" s="8" t="str">
        <f>"鉄骨造"</f>
        <v>鉄骨造</v>
      </c>
      <c r="L8313" s="8" t="str">
        <f>"H05.03.31"</f>
        <v>H05.03.31</v>
      </c>
      <c r="M8313" s="8">
        <v>54.96</v>
      </c>
      <c r="N8313" s="8">
        <v>18285500</v>
      </c>
      <c r="O8313" s="8">
        <v>14374053</v>
      </c>
      <c r="P8313" s="8">
        <v>0</v>
      </c>
      <c r="Q8313" s="8" t="str">
        <f t="shared" si="2902"/>
        <v>公安委員会</v>
      </c>
      <c r="R8313" s="8" t="str">
        <f t="shared" si="2901"/>
        <v>黒山警察署</v>
      </c>
    </row>
    <row r="8314" spans="1:18" x14ac:dyDescent="0.45">
      <c r="A8314" s="8" t="str">
        <f>"11581000240"</f>
        <v>11581000240</v>
      </c>
      <c r="B8314" s="8" t="str">
        <f>"東菩提交番"</f>
        <v>東菩提交番</v>
      </c>
      <c r="C8314" s="8" t="str">
        <f t="shared" si="2903"/>
        <v>行政財産</v>
      </c>
      <c r="D8314" s="8" t="str">
        <f t="shared" si="2890"/>
        <v>警察（消防）施設</v>
      </c>
      <c r="E8314" s="8" t="str">
        <f>"大阪府堺市　美原区菩提"</f>
        <v>大阪府堺市　美原区菩提</v>
      </c>
      <c r="F8314" s="8"/>
      <c r="G8314" s="8" t="str">
        <f t="shared" si="2896"/>
        <v>事業用資産</v>
      </c>
      <c r="H8314" s="8" t="str">
        <f t="shared" si="2891"/>
        <v>棚卸以外</v>
      </c>
      <c r="I8314" s="8">
        <v>2</v>
      </c>
      <c r="J8314" s="8" t="str">
        <f>"自転車置場"</f>
        <v>自転車置場</v>
      </c>
      <c r="K8314" s="8" t="str">
        <f>"鉄骨造"</f>
        <v>鉄骨造</v>
      </c>
      <c r="L8314" s="8" t="str">
        <f>"H05.03.31"</f>
        <v>H05.03.31</v>
      </c>
      <c r="M8314" s="8">
        <v>6</v>
      </c>
      <c r="N8314" s="8">
        <v>317000</v>
      </c>
      <c r="O8314" s="8">
        <v>307080</v>
      </c>
      <c r="P8314" s="8">
        <v>0</v>
      </c>
      <c r="Q8314" s="8" t="str">
        <f t="shared" si="2902"/>
        <v>公安委員会</v>
      </c>
      <c r="R8314" s="8" t="str">
        <f t="shared" si="2901"/>
        <v>黒山警察署</v>
      </c>
    </row>
    <row r="8315" spans="1:18" x14ac:dyDescent="0.45">
      <c r="A8315" s="8" t="str">
        <f>"11581000250"</f>
        <v>11581000250</v>
      </c>
      <c r="B8315" s="8" t="str">
        <f>"半田交番"</f>
        <v>半田交番</v>
      </c>
      <c r="C8315" s="8" t="str">
        <f t="shared" si="2903"/>
        <v>行政財産</v>
      </c>
      <c r="D8315" s="8" t="str">
        <f t="shared" si="2890"/>
        <v>警察（消防）施設</v>
      </c>
      <c r="E8315" s="8" t="str">
        <f>"大阪府大阪狭山市狭山１丁目"</f>
        <v>大阪府大阪狭山市狭山１丁目</v>
      </c>
      <c r="F8315" s="8"/>
      <c r="G8315" s="8" t="str">
        <f t="shared" si="2896"/>
        <v>事業用資産</v>
      </c>
      <c r="H8315" s="8" t="str">
        <f t="shared" si="2891"/>
        <v>棚卸以外</v>
      </c>
      <c r="I8315" s="8">
        <v>1</v>
      </c>
      <c r="J8315" s="8" t="str">
        <f>"半田交番"</f>
        <v>半田交番</v>
      </c>
      <c r="K8315" s="8" t="str">
        <f>"鉄骨造"</f>
        <v>鉄骨造</v>
      </c>
      <c r="L8315" s="8" t="str">
        <f>"H08.03.29"</f>
        <v>H08.03.29</v>
      </c>
      <c r="M8315" s="8">
        <v>53.16</v>
      </c>
      <c r="N8315" s="8">
        <v>15837415</v>
      </c>
      <c r="O8315" s="8">
        <v>11195581</v>
      </c>
      <c r="P8315" s="8">
        <v>0</v>
      </c>
      <c r="Q8315" s="8" t="str">
        <f t="shared" si="2902"/>
        <v>公安委員会</v>
      </c>
      <c r="R8315" s="8" t="str">
        <f t="shared" si="2901"/>
        <v>黒山警察署</v>
      </c>
    </row>
    <row r="8316" spans="1:18" x14ac:dyDescent="0.45">
      <c r="A8316" s="8" t="str">
        <f>"11581000260"</f>
        <v>11581000260</v>
      </c>
      <c r="B8316" s="8" t="str">
        <f>"池尻交番"</f>
        <v>池尻交番</v>
      </c>
      <c r="C8316" s="8" t="str">
        <f t="shared" si="2903"/>
        <v>行政財産</v>
      </c>
      <c r="D8316" s="8" t="str">
        <f t="shared" ref="D8316:D8379" si="2904">"警察（消防）施設"</f>
        <v>警察（消防）施設</v>
      </c>
      <c r="E8316" s="8" t="str">
        <f>"大阪府大阪狭山市池尻自由丘１丁目"</f>
        <v>大阪府大阪狭山市池尻自由丘１丁目</v>
      </c>
      <c r="F8316" s="8"/>
      <c r="G8316" s="8" t="str">
        <f t="shared" si="2896"/>
        <v>事業用資産</v>
      </c>
      <c r="H8316" s="8" t="str">
        <f t="shared" si="2891"/>
        <v>棚卸以外</v>
      </c>
      <c r="I8316" s="8">
        <v>1</v>
      </c>
      <c r="J8316" s="8" t="str">
        <f>"池尻交番"</f>
        <v>池尻交番</v>
      </c>
      <c r="K8316" s="8" t="str">
        <f>"鉄骨造"</f>
        <v>鉄骨造</v>
      </c>
      <c r="L8316" s="8" t="str">
        <f>"H09.10.06"</f>
        <v>H09.10.06</v>
      </c>
      <c r="M8316" s="8">
        <v>54.45</v>
      </c>
      <c r="N8316" s="8">
        <v>14655585</v>
      </c>
      <c r="O8316" s="8">
        <v>9752426</v>
      </c>
      <c r="P8316" s="8">
        <v>0</v>
      </c>
      <c r="Q8316" s="8" t="str">
        <f t="shared" si="2902"/>
        <v>公安委員会</v>
      </c>
      <c r="R8316" s="8" t="str">
        <f t="shared" si="2901"/>
        <v>黒山警察署</v>
      </c>
    </row>
    <row r="8317" spans="1:18" x14ac:dyDescent="0.45">
      <c r="A8317" s="8" t="str">
        <f t="shared" ref="A8317:A8324" si="2905">"11582000000"</f>
        <v>11582000000</v>
      </c>
      <c r="B8317" s="8" t="str">
        <f t="shared" ref="B8317:B8324" si="2906">"河内長野警察署"</f>
        <v>河内長野警察署</v>
      </c>
      <c r="C8317" s="8" t="str">
        <f t="shared" si="2903"/>
        <v>行政財産</v>
      </c>
      <c r="D8317" s="8" t="str">
        <f t="shared" si="2904"/>
        <v>警察（消防）施設</v>
      </c>
      <c r="E8317" s="8" t="str">
        <f t="shared" ref="E8317:E8324" si="2907">"大阪府河内長野市西之山町"</f>
        <v>大阪府河内長野市西之山町</v>
      </c>
      <c r="F8317" s="8"/>
      <c r="G8317" s="8" t="str">
        <f t="shared" si="2896"/>
        <v>事業用資産</v>
      </c>
      <c r="H8317" s="8" t="str">
        <f t="shared" si="2891"/>
        <v>棚卸以外</v>
      </c>
      <c r="I8317" s="8">
        <v>11</v>
      </c>
      <c r="J8317" s="8" t="str">
        <f>"庁舎"</f>
        <v>庁舎</v>
      </c>
      <c r="K8317" s="8" t="str">
        <f>"鉄筋コンクリート造"</f>
        <v>鉄筋コンクリート造</v>
      </c>
      <c r="L8317" s="8" t="str">
        <f>"S50.03.31"</f>
        <v>S50.03.31</v>
      </c>
      <c r="M8317" s="8">
        <v>2527.34</v>
      </c>
      <c r="N8317" s="8">
        <v>429933553</v>
      </c>
      <c r="O8317" s="8">
        <v>332372426</v>
      </c>
      <c r="P8317" s="8">
        <v>0</v>
      </c>
      <c r="Q8317" s="8" t="str">
        <f t="shared" si="2902"/>
        <v>公安委員会</v>
      </c>
      <c r="R8317" s="8" t="str">
        <f t="shared" ref="R8317:R8333" si="2908">"河内長野警察署"</f>
        <v>河内長野警察署</v>
      </c>
    </row>
    <row r="8318" spans="1:18" x14ac:dyDescent="0.45">
      <c r="A8318" s="8" t="str">
        <f t="shared" si="2905"/>
        <v>11582000000</v>
      </c>
      <c r="B8318" s="8" t="str">
        <f t="shared" si="2906"/>
        <v>河内長野警察署</v>
      </c>
      <c r="C8318" s="8" t="str">
        <f t="shared" si="2903"/>
        <v>行政財産</v>
      </c>
      <c r="D8318" s="8" t="str">
        <f t="shared" si="2904"/>
        <v>警察（消防）施設</v>
      </c>
      <c r="E8318" s="8" t="str">
        <f t="shared" si="2907"/>
        <v>大阪府河内長野市西之山町</v>
      </c>
      <c r="F8318" s="8"/>
      <c r="G8318" s="8" t="str">
        <f t="shared" si="2896"/>
        <v>事業用資産</v>
      </c>
      <c r="H8318" s="8" t="str">
        <f t="shared" si="2891"/>
        <v>棚卸以外</v>
      </c>
      <c r="I8318" s="8">
        <v>12</v>
      </c>
      <c r="J8318" s="8" t="str">
        <f>"大型車庫"</f>
        <v>大型車庫</v>
      </c>
      <c r="K8318" s="8" t="str">
        <f>"鉄骨造"</f>
        <v>鉄骨造</v>
      </c>
      <c r="L8318" s="8" t="str">
        <f>"S50.03.31"</f>
        <v>S50.03.31</v>
      </c>
      <c r="M8318" s="8">
        <v>90.4</v>
      </c>
      <c r="N8318" s="8">
        <v>6931000</v>
      </c>
      <c r="O8318" s="8">
        <v>6930999</v>
      </c>
      <c r="P8318" s="8">
        <v>0</v>
      </c>
      <c r="Q8318" s="8" t="str">
        <f t="shared" si="2902"/>
        <v>公安委員会</v>
      </c>
      <c r="R8318" s="8" t="str">
        <f t="shared" si="2908"/>
        <v>河内長野警察署</v>
      </c>
    </row>
    <row r="8319" spans="1:18" x14ac:dyDescent="0.45">
      <c r="A8319" s="8" t="str">
        <f t="shared" si="2905"/>
        <v>11582000000</v>
      </c>
      <c r="B8319" s="8" t="str">
        <f t="shared" si="2906"/>
        <v>河内長野警察署</v>
      </c>
      <c r="C8319" s="8" t="str">
        <f t="shared" si="2903"/>
        <v>行政財産</v>
      </c>
      <c r="D8319" s="8" t="str">
        <f t="shared" si="2904"/>
        <v>警察（消防）施設</v>
      </c>
      <c r="E8319" s="8" t="str">
        <f t="shared" si="2907"/>
        <v>大阪府河内長野市西之山町</v>
      </c>
      <c r="F8319" s="8"/>
      <c r="G8319" s="8" t="str">
        <f t="shared" si="2896"/>
        <v>事業用資産</v>
      </c>
      <c r="H8319" s="8" t="str">
        <f t="shared" si="2891"/>
        <v>棚卸以外</v>
      </c>
      <c r="I8319" s="8">
        <v>13</v>
      </c>
      <c r="J8319" s="8" t="str">
        <f>"署長公舎"</f>
        <v>署長公舎</v>
      </c>
      <c r="K8319" s="8" t="str">
        <f>"木造"</f>
        <v>木造</v>
      </c>
      <c r="L8319" s="8" t="str">
        <f>"S50.03.31"</f>
        <v>S50.03.31</v>
      </c>
      <c r="M8319" s="8">
        <v>85.29</v>
      </c>
      <c r="N8319" s="8">
        <v>11727040</v>
      </c>
      <c r="O8319" s="8">
        <v>11687307</v>
      </c>
      <c r="P8319" s="8">
        <v>0</v>
      </c>
      <c r="Q8319" s="8" t="str">
        <f t="shared" si="2902"/>
        <v>公安委員会</v>
      </c>
      <c r="R8319" s="8" t="str">
        <f t="shared" si="2908"/>
        <v>河内長野警察署</v>
      </c>
    </row>
    <row r="8320" spans="1:18" x14ac:dyDescent="0.45">
      <c r="A8320" s="8" t="str">
        <f t="shared" si="2905"/>
        <v>11582000000</v>
      </c>
      <c r="B8320" s="8" t="str">
        <f t="shared" si="2906"/>
        <v>河内長野警察署</v>
      </c>
      <c r="C8320" s="8" t="str">
        <f t="shared" si="2903"/>
        <v>行政財産</v>
      </c>
      <c r="D8320" s="8" t="str">
        <f t="shared" si="2904"/>
        <v>警察（消防）施設</v>
      </c>
      <c r="E8320" s="8" t="str">
        <f t="shared" si="2907"/>
        <v>大阪府河内長野市西之山町</v>
      </c>
      <c r="F8320" s="8"/>
      <c r="G8320" s="8" t="str">
        <f t="shared" si="2896"/>
        <v>事業用資産</v>
      </c>
      <c r="H8320" s="8" t="str">
        <f t="shared" si="2891"/>
        <v>棚卸以外</v>
      </c>
      <c r="I8320" s="8">
        <v>14</v>
      </c>
      <c r="J8320" s="8" t="str">
        <f>"ポンプ室"</f>
        <v>ポンプ室</v>
      </c>
      <c r="K8320" s="8" t="str">
        <f>"コンクリートブロック造"</f>
        <v>コンクリートブロック造</v>
      </c>
      <c r="L8320" s="8" t="str">
        <f>"S56.03.31"</f>
        <v>S56.03.31</v>
      </c>
      <c r="M8320" s="8">
        <v>1.8</v>
      </c>
      <c r="N8320" s="8">
        <v>330000</v>
      </c>
      <c r="O8320" s="8">
        <v>329999</v>
      </c>
      <c r="P8320" s="8">
        <v>0</v>
      </c>
      <c r="Q8320" s="8" t="str">
        <f t="shared" si="2902"/>
        <v>公安委員会</v>
      </c>
      <c r="R8320" s="8" t="str">
        <f t="shared" si="2908"/>
        <v>河内長野警察署</v>
      </c>
    </row>
    <row r="8321" spans="1:18" x14ac:dyDescent="0.45">
      <c r="A8321" s="8" t="str">
        <f t="shared" si="2905"/>
        <v>11582000000</v>
      </c>
      <c r="B8321" s="8" t="str">
        <f t="shared" si="2906"/>
        <v>河内長野警察署</v>
      </c>
      <c r="C8321" s="8" t="str">
        <f t="shared" si="2903"/>
        <v>行政財産</v>
      </c>
      <c r="D8321" s="8" t="str">
        <f t="shared" si="2904"/>
        <v>警察（消防）施設</v>
      </c>
      <c r="E8321" s="8" t="str">
        <f t="shared" si="2907"/>
        <v>大阪府河内長野市西之山町</v>
      </c>
      <c r="F8321" s="8"/>
      <c r="G8321" s="8" t="str">
        <f t="shared" si="2896"/>
        <v>事業用資産</v>
      </c>
      <c r="H8321" s="8" t="str">
        <f t="shared" si="2891"/>
        <v>棚卸以外</v>
      </c>
      <c r="I8321" s="8">
        <v>15</v>
      </c>
      <c r="J8321" s="8" t="str">
        <f>"霊安室"</f>
        <v>霊安室</v>
      </c>
      <c r="K8321" s="8" t="str">
        <f>"鉄骨造"</f>
        <v>鉄骨造</v>
      </c>
      <c r="L8321" s="8" t="str">
        <f>"H01.06.23"</f>
        <v>H01.06.23</v>
      </c>
      <c r="M8321" s="8">
        <v>13.23</v>
      </c>
      <c r="N8321" s="8">
        <v>1208950</v>
      </c>
      <c r="O8321" s="8">
        <v>965259</v>
      </c>
      <c r="P8321" s="8">
        <v>0</v>
      </c>
      <c r="Q8321" s="8" t="str">
        <f t="shared" si="2902"/>
        <v>公安委員会</v>
      </c>
      <c r="R8321" s="8" t="str">
        <f t="shared" si="2908"/>
        <v>河内長野警察署</v>
      </c>
    </row>
    <row r="8322" spans="1:18" x14ac:dyDescent="0.45">
      <c r="A8322" s="8" t="str">
        <f t="shared" si="2905"/>
        <v>11582000000</v>
      </c>
      <c r="B8322" s="8" t="str">
        <f t="shared" si="2906"/>
        <v>河内長野警察署</v>
      </c>
      <c r="C8322" s="8" t="str">
        <f t="shared" si="2903"/>
        <v>行政財産</v>
      </c>
      <c r="D8322" s="8" t="str">
        <f t="shared" si="2904"/>
        <v>警察（消防）施設</v>
      </c>
      <c r="E8322" s="8" t="str">
        <f t="shared" si="2907"/>
        <v>大阪府河内長野市西之山町</v>
      </c>
      <c r="F8322" s="8"/>
      <c r="G8322" s="8" t="str">
        <f t="shared" si="2896"/>
        <v>事業用資産</v>
      </c>
      <c r="H8322" s="8" t="str">
        <f t="shared" si="2891"/>
        <v>棚卸以外</v>
      </c>
      <c r="I8322" s="8">
        <v>17</v>
      </c>
      <c r="J8322" s="8" t="str">
        <f>"単車置場"</f>
        <v>単車置場</v>
      </c>
      <c r="K8322" s="8" t="str">
        <f>"軽量鉄骨造"</f>
        <v>軽量鉄骨造</v>
      </c>
      <c r="L8322" s="8" t="str">
        <f>"H02.02.07"</f>
        <v>H02.02.07</v>
      </c>
      <c r="M8322" s="8">
        <v>14.4</v>
      </c>
      <c r="N8322" s="8">
        <v>301000</v>
      </c>
      <c r="O8322" s="8">
        <v>300999</v>
      </c>
      <c r="P8322" s="8">
        <v>0</v>
      </c>
      <c r="Q8322" s="8" t="str">
        <f t="shared" si="2902"/>
        <v>公安委員会</v>
      </c>
      <c r="R8322" s="8" t="str">
        <f t="shared" si="2908"/>
        <v>河内長野警察署</v>
      </c>
    </row>
    <row r="8323" spans="1:18" x14ac:dyDescent="0.45">
      <c r="A8323" s="8" t="str">
        <f t="shared" si="2905"/>
        <v>11582000000</v>
      </c>
      <c r="B8323" s="8" t="str">
        <f t="shared" si="2906"/>
        <v>河内長野警察署</v>
      </c>
      <c r="C8323" s="8" t="str">
        <f t="shared" si="2903"/>
        <v>行政財産</v>
      </c>
      <c r="D8323" s="8" t="str">
        <f t="shared" si="2904"/>
        <v>警察（消防）施設</v>
      </c>
      <c r="E8323" s="8" t="str">
        <f t="shared" si="2907"/>
        <v>大阪府河内長野市西之山町</v>
      </c>
      <c r="F8323" s="8"/>
      <c r="G8323" s="8" t="str">
        <f t="shared" si="2896"/>
        <v>事業用資産</v>
      </c>
      <c r="H8323" s="8" t="str">
        <f t="shared" si="2891"/>
        <v>棚卸以外</v>
      </c>
      <c r="I8323" s="8">
        <v>18</v>
      </c>
      <c r="J8323" s="8" t="str">
        <f>"ゴミ置場"</f>
        <v>ゴミ置場</v>
      </c>
      <c r="K8323" s="8" t="str">
        <f>"プレハブ"</f>
        <v>プレハブ</v>
      </c>
      <c r="L8323" s="8" t="str">
        <f>"H10.06.12"</f>
        <v>H10.06.12</v>
      </c>
      <c r="M8323" s="8">
        <v>5.63</v>
      </c>
      <c r="N8323" s="8">
        <v>850000</v>
      </c>
      <c r="O8323" s="8">
        <v>849999</v>
      </c>
      <c r="P8323" s="8">
        <v>0</v>
      </c>
      <c r="Q8323" s="8" t="str">
        <f t="shared" si="2902"/>
        <v>公安委員会</v>
      </c>
      <c r="R8323" s="8" t="str">
        <f t="shared" si="2908"/>
        <v>河内長野警察署</v>
      </c>
    </row>
    <row r="8324" spans="1:18" x14ac:dyDescent="0.45">
      <c r="A8324" s="8" t="str">
        <f t="shared" si="2905"/>
        <v>11582000000</v>
      </c>
      <c r="B8324" s="8" t="str">
        <f t="shared" si="2906"/>
        <v>河内長野警察署</v>
      </c>
      <c r="C8324" s="8" t="str">
        <f t="shared" si="2903"/>
        <v>行政財産</v>
      </c>
      <c r="D8324" s="8" t="str">
        <f t="shared" si="2904"/>
        <v>警察（消防）施設</v>
      </c>
      <c r="E8324" s="8" t="str">
        <f t="shared" si="2907"/>
        <v>大阪府河内長野市西之山町</v>
      </c>
      <c r="F8324" s="8"/>
      <c r="G8324" s="8" t="str">
        <f t="shared" si="2896"/>
        <v>事業用資産</v>
      </c>
      <c r="H8324" s="8" t="str">
        <f t="shared" ref="H8324:H8387" si="2909">"棚卸以外"</f>
        <v>棚卸以外</v>
      </c>
      <c r="I8324" s="8">
        <v>19</v>
      </c>
      <c r="J8324" s="8" t="str">
        <f>"油庫"</f>
        <v>油庫</v>
      </c>
      <c r="K8324" s="8" t="str">
        <f>"コンクリートブロック造"</f>
        <v>コンクリートブロック造</v>
      </c>
      <c r="L8324" s="8" t="str">
        <f>"H12.02.29"</f>
        <v>H12.02.29</v>
      </c>
      <c r="M8324" s="8">
        <v>2</v>
      </c>
      <c r="N8324" s="8">
        <v>415000</v>
      </c>
      <c r="O8324" s="8">
        <v>281986</v>
      </c>
      <c r="P8324" s="8">
        <v>0</v>
      </c>
      <c r="Q8324" s="8" t="str">
        <f t="shared" si="2902"/>
        <v>公安委員会</v>
      </c>
      <c r="R8324" s="8" t="str">
        <f t="shared" si="2908"/>
        <v>河内長野警察署</v>
      </c>
    </row>
    <row r="8325" spans="1:18" x14ac:dyDescent="0.45">
      <c r="A8325" s="8" t="str">
        <f>"11582000019"</f>
        <v>11582000019</v>
      </c>
      <c r="B8325" s="8" t="str">
        <f>"三日市町駅前交番"</f>
        <v>三日市町駅前交番</v>
      </c>
      <c r="C8325" s="8" t="str">
        <f t="shared" si="2903"/>
        <v>行政財産</v>
      </c>
      <c r="D8325" s="8" t="str">
        <f t="shared" si="2904"/>
        <v>警察（消防）施設</v>
      </c>
      <c r="E8325" s="8" t="str">
        <f>"大阪府河内長野市三日市町"</f>
        <v>大阪府河内長野市三日市町</v>
      </c>
      <c r="F8325" s="8"/>
      <c r="G8325" s="8" t="str">
        <f t="shared" si="2896"/>
        <v>事業用資産</v>
      </c>
      <c r="H8325" s="8" t="str">
        <f t="shared" si="2909"/>
        <v>棚卸以外</v>
      </c>
      <c r="I8325" s="8">
        <v>1</v>
      </c>
      <c r="J8325" s="8" t="str">
        <f>"三日市町駅前交番"</f>
        <v>三日市町駅前交番</v>
      </c>
      <c r="K8325" s="8" t="str">
        <f>"鉄骨造"</f>
        <v>鉄骨造</v>
      </c>
      <c r="L8325" s="8" t="str">
        <f>"H19.03.22"</f>
        <v>H19.03.22</v>
      </c>
      <c r="M8325" s="8">
        <v>129.34</v>
      </c>
      <c r="N8325" s="8">
        <v>28916000</v>
      </c>
      <c r="O8325" s="8">
        <v>12175296</v>
      </c>
      <c r="P8325" s="8">
        <v>0</v>
      </c>
      <c r="Q8325" s="8" t="str">
        <f t="shared" si="2902"/>
        <v>公安委員会</v>
      </c>
      <c r="R8325" s="8" t="str">
        <f t="shared" si="2908"/>
        <v>河内長野警察署</v>
      </c>
    </row>
    <row r="8326" spans="1:18" x14ac:dyDescent="0.45">
      <c r="A8326" s="8" t="str">
        <f>"11582000120"</f>
        <v>11582000120</v>
      </c>
      <c r="B8326" s="8" t="str">
        <f>"千代田駅前交番"</f>
        <v>千代田駅前交番</v>
      </c>
      <c r="C8326" s="8" t="str">
        <f t="shared" si="2903"/>
        <v>行政財産</v>
      </c>
      <c r="D8326" s="8" t="str">
        <f t="shared" si="2904"/>
        <v>警察（消防）施設</v>
      </c>
      <c r="E8326" s="8" t="str">
        <f>"大阪府河内長野市木戸西町１丁目"</f>
        <v>大阪府河内長野市木戸西町１丁目</v>
      </c>
      <c r="F8326" s="8"/>
      <c r="G8326" s="8" t="str">
        <f t="shared" si="2896"/>
        <v>事業用資産</v>
      </c>
      <c r="H8326" s="8" t="str">
        <f t="shared" si="2909"/>
        <v>棚卸以外</v>
      </c>
      <c r="I8326" s="8">
        <v>2</v>
      </c>
      <c r="J8326" s="8" t="str">
        <f>"千代田駅前交番"</f>
        <v>千代田駅前交番</v>
      </c>
      <c r="K8326" s="8" t="str">
        <f>"鉄骨造"</f>
        <v>鉄骨造</v>
      </c>
      <c r="L8326" s="8" t="str">
        <f>"S46.02.26"</f>
        <v>S46.02.26</v>
      </c>
      <c r="M8326" s="8">
        <v>65.98</v>
      </c>
      <c r="N8326" s="8">
        <v>7809671</v>
      </c>
      <c r="O8326" s="8">
        <v>4401534</v>
      </c>
      <c r="P8326" s="8">
        <v>0</v>
      </c>
      <c r="Q8326" s="8" t="str">
        <f t="shared" si="2902"/>
        <v>公安委員会</v>
      </c>
      <c r="R8326" s="8" t="str">
        <f t="shared" si="2908"/>
        <v>河内長野警察署</v>
      </c>
    </row>
    <row r="8327" spans="1:18" x14ac:dyDescent="0.45">
      <c r="A8327" s="8" t="str">
        <f>"11582000130"</f>
        <v>11582000130</v>
      </c>
      <c r="B8327" s="8" t="str">
        <f>"高向駐在所"</f>
        <v>高向駐在所</v>
      </c>
      <c r="C8327" s="8" t="str">
        <f t="shared" si="2903"/>
        <v>行政財産</v>
      </c>
      <c r="D8327" s="8" t="str">
        <f t="shared" si="2904"/>
        <v>警察（消防）施設</v>
      </c>
      <c r="E8327" s="8" t="str">
        <f>"大阪府河内長野市高向"</f>
        <v>大阪府河内長野市高向</v>
      </c>
      <c r="F8327" s="8"/>
      <c r="G8327" s="8" t="str">
        <f t="shared" si="2896"/>
        <v>事業用資産</v>
      </c>
      <c r="H8327" s="8" t="str">
        <f t="shared" si="2909"/>
        <v>棚卸以外</v>
      </c>
      <c r="I8327" s="8">
        <v>4</v>
      </c>
      <c r="J8327" s="8" t="str">
        <f>"高向駐在所"</f>
        <v>高向駐在所</v>
      </c>
      <c r="K8327" s="8" t="str">
        <f>"鉄骨造"</f>
        <v>鉄骨造</v>
      </c>
      <c r="L8327" s="8" t="str">
        <f>"S62.01.12"</f>
        <v>S62.01.12</v>
      </c>
      <c r="M8327" s="8">
        <v>87.28</v>
      </c>
      <c r="N8327" s="8">
        <v>17394128</v>
      </c>
      <c r="O8327" s="8">
        <v>16487254</v>
      </c>
      <c r="P8327" s="8">
        <v>0</v>
      </c>
      <c r="Q8327" s="8" t="str">
        <f t="shared" si="2902"/>
        <v>公安委員会</v>
      </c>
      <c r="R8327" s="8" t="str">
        <f t="shared" si="2908"/>
        <v>河内長野警察署</v>
      </c>
    </row>
    <row r="8328" spans="1:18" x14ac:dyDescent="0.45">
      <c r="A8328" s="8" t="str">
        <f>"11582000160"</f>
        <v>11582000160</v>
      </c>
      <c r="B8328" s="8" t="str">
        <f>"川上駐在所"</f>
        <v>川上駐在所</v>
      </c>
      <c r="C8328" s="8" t="str">
        <f t="shared" si="2903"/>
        <v>行政財産</v>
      </c>
      <c r="D8328" s="8" t="str">
        <f t="shared" si="2904"/>
        <v>警察（消防）施設</v>
      </c>
      <c r="E8328" s="8" t="str">
        <f>"大阪府河内長野市寺元"</f>
        <v>大阪府河内長野市寺元</v>
      </c>
      <c r="F8328" s="8"/>
      <c r="G8328" s="8" t="str">
        <f t="shared" si="2896"/>
        <v>事業用資産</v>
      </c>
      <c r="H8328" s="8" t="str">
        <f t="shared" si="2909"/>
        <v>棚卸以外</v>
      </c>
      <c r="I8328" s="8">
        <v>3</v>
      </c>
      <c r="J8328" s="8" t="str">
        <f>"川上駐在所"</f>
        <v>川上駐在所</v>
      </c>
      <c r="K8328" s="8" t="str">
        <f>"鉄骨造"</f>
        <v>鉄骨造</v>
      </c>
      <c r="L8328" s="8" t="str">
        <f>"H12.03.30"</f>
        <v>H12.03.30</v>
      </c>
      <c r="M8328" s="8">
        <v>90.53</v>
      </c>
      <c r="N8328" s="8">
        <v>22900555</v>
      </c>
      <c r="O8328" s="8">
        <v>13857546</v>
      </c>
      <c r="P8328" s="8">
        <v>0</v>
      </c>
      <c r="Q8328" s="8" t="str">
        <f t="shared" si="2902"/>
        <v>公安委員会</v>
      </c>
      <c r="R8328" s="8" t="str">
        <f t="shared" si="2908"/>
        <v>河内長野警察署</v>
      </c>
    </row>
    <row r="8329" spans="1:18" x14ac:dyDescent="0.45">
      <c r="A8329" s="8" t="str">
        <f>"11582000170"</f>
        <v>11582000170</v>
      </c>
      <c r="B8329" s="8" t="str">
        <f>"天野駐在所"</f>
        <v>天野駐在所</v>
      </c>
      <c r="C8329" s="8" t="str">
        <f t="shared" si="2903"/>
        <v>行政財産</v>
      </c>
      <c r="D8329" s="8" t="str">
        <f t="shared" si="2904"/>
        <v>警察（消防）施設</v>
      </c>
      <c r="E8329" s="8" t="str">
        <f>"大阪府河内長野市天野町"</f>
        <v>大阪府河内長野市天野町</v>
      </c>
      <c r="F8329" s="8"/>
      <c r="G8329" s="8" t="str">
        <f t="shared" si="2896"/>
        <v>事業用資産</v>
      </c>
      <c r="H8329" s="8" t="str">
        <f t="shared" si="2909"/>
        <v>棚卸以外</v>
      </c>
      <c r="I8329" s="8">
        <v>2</v>
      </c>
      <c r="J8329" s="8" t="str">
        <f>"天野駐在所"</f>
        <v>天野駐在所</v>
      </c>
      <c r="K8329" s="8" t="str">
        <f>"鉄骨造"</f>
        <v>鉄骨造</v>
      </c>
      <c r="L8329" s="8" t="str">
        <f>"H14.03.01"</f>
        <v>H14.03.01</v>
      </c>
      <c r="M8329" s="8">
        <v>90.88</v>
      </c>
      <c r="N8329" s="8">
        <v>24807833</v>
      </c>
      <c r="O8329" s="8">
        <v>13704048</v>
      </c>
      <c r="P8329" s="8">
        <v>0</v>
      </c>
      <c r="Q8329" s="8" t="str">
        <f t="shared" si="2902"/>
        <v>公安委員会</v>
      </c>
      <c r="R8329" s="8" t="str">
        <f t="shared" si="2908"/>
        <v>河内長野警察署</v>
      </c>
    </row>
    <row r="8330" spans="1:18" x14ac:dyDescent="0.45">
      <c r="A8330" s="8" t="str">
        <f>"11582000200"</f>
        <v>11582000200</v>
      </c>
      <c r="B8330" s="8" t="str">
        <f>"加賀田交番"</f>
        <v>加賀田交番</v>
      </c>
      <c r="C8330" s="8" t="str">
        <f t="shared" si="2903"/>
        <v>行政財産</v>
      </c>
      <c r="D8330" s="8" t="str">
        <f t="shared" si="2904"/>
        <v>警察（消防）施設</v>
      </c>
      <c r="E8330" s="8" t="str">
        <f>"大阪府河内長野市大矢船北町"</f>
        <v>大阪府河内長野市大矢船北町</v>
      </c>
      <c r="F8330" s="8"/>
      <c r="G8330" s="8" t="str">
        <f t="shared" si="2896"/>
        <v>事業用資産</v>
      </c>
      <c r="H8330" s="8" t="str">
        <f t="shared" si="2909"/>
        <v>棚卸以外</v>
      </c>
      <c r="I8330" s="8">
        <v>1</v>
      </c>
      <c r="J8330" s="8" t="str">
        <f>"加賀田交番"</f>
        <v>加賀田交番</v>
      </c>
      <c r="K8330" s="8" t="str">
        <f>"鉄筋コンクリート造"</f>
        <v>鉄筋コンクリート造</v>
      </c>
      <c r="L8330" s="8" t="str">
        <f>"S49.03.28"</f>
        <v>S49.03.28</v>
      </c>
      <c r="M8330" s="8">
        <v>49.5</v>
      </c>
      <c r="N8330" s="8">
        <v>4636972</v>
      </c>
      <c r="O8330" s="8">
        <v>4531716</v>
      </c>
      <c r="P8330" s="8">
        <v>0</v>
      </c>
      <c r="Q8330" s="8" t="str">
        <f t="shared" si="2902"/>
        <v>公安委員会</v>
      </c>
      <c r="R8330" s="8" t="str">
        <f t="shared" si="2908"/>
        <v>河内長野警察署</v>
      </c>
    </row>
    <row r="8331" spans="1:18" x14ac:dyDescent="0.45">
      <c r="A8331" s="8" t="str">
        <f>"11582000210"</f>
        <v>11582000210</v>
      </c>
      <c r="B8331" s="8" t="str">
        <f>"小山田交番"</f>
        <v>小山田交番</v>
      </c>
      <c r="C8331" s="8" t="str">
        <f t="shared" si="2903"/>
        <v>行政財産</v>
      </c>
      <c r="D8331" s="8" t="str">
        <f t="shared" si="2904"/>
        <v>警察（消防）施設</v>
      </c>
      <c r="E8331" s="8" t="str">
        <f>"大阪府河内長野市小山田町"</f>
        <v>大阪府河内長野市小山田町</v>
      </c>
      <c r="F8331" s="8"/>
      <c r="G8331" s="8" t="str">
        <f t="shared" si="2896"/>
        <v>事業用資産</v>
      </c>
      <c r="H8331" s="8" t="str">
        <f t="shared" si="2909"/>
        <v>棚卸以外</v>
      </c>
      <c r="I8331" s="8">
        <v>1</v>
      </c>
      <c r="J8331" s="8" t="str">
        <f>"小山田交番"</f>
        <v>小山田交番</v>
      </c>
      <c r="K8331" s="8" t="str">
        <f>"鉄筋コンクリート造"</f>
        <v>鉄筋コンクリート造</v>
      </c>
      <c r="L8331" s="8" t="str">
        <f>"S49.03.28"</f>
        <v>S49.03.28</v>
      </c>
      <c r="M8331" s="8">
        <v>49.41</v>
      </c>
      <c r="N8331" s="8">
        <v>6137539</v>
      </c>
      <c r="O8331" s="8">
        <v>6003810</v>
      </c>
      <c r="P8331" s="8">
        <v>0</v>
      </c>
      <c r="Q8331" s="8" t="str">
        <f t="shared" si="2902"/>
        <v>公安委員会</v>
      </c>
      <c r="R8331" s="8" t="str">
        <f t="shared" si="2908"/>
        <v>河内長野警察署</v>
      </c>
    </row>
    <row r="8332" spans="1:18" x14ac:dyDescent="0.45">
      <c r="A8332" s="8" t="str">
        <f>"11582000220"</f>
        <v>11582000220</v>
      </c>
      <c r="B8332" s="8" t="str">
        <f>"滝畑駐在所"</f>
        <v>滝畑駐在所</v>
      </c>
      <c r="C8332" s="8" t="str">
        <f t="shared" si="2903"/>
        <v>行政財産</v>
      </c>
      <c r="D8332" s="8" t="str">
        <f t="shared" si="2904"/>
        <v>警察（消防）施設</v>
      </c>
      <c r="E8332" s="8" t="str">
        <f>"大阪府河内長野市滝畑"</f>
        <v>大阪府河内長野市滝畑</v>
      </c>
      <c r="F8332" s="8"/>
      <c r="G8332" s="8" t="str">
        <f t="shared" si="2896"/>
        <v>事業用資産</v>
      </c>
      <c r="H8332" s="8" t="str">
        <f t="shared" si="2909"/>
        <v>棚卸以外</v>
      </c>
      <c r="I8332" s="8">
        <v>4</v>
      </c>
      <c r="J8332" s="8" t="str">
        <f>"滝畑駐在所"</f>
        <v>滝畑駐在所</v>
      </c>
      <c r="K8332" s="8" t="str">
        <f>"鉄骨造"</f>
        <v>鉄骨造</v>
      </c>
      <c r="L8332" s="8" t="str">
        <f>"H20.03.25"</f>
        <v>H20.03.25</v>
      </c>
      <c r="M8332" s="8">
        <v>91.7</v>
      </c>
      <c r="N8332" s="8">
        <v>19367000</v>
      </c>
      <c r="O8332" s="8">
        <v>7644960</v>
      </c>
      <c r="P8332" s="8">
        <v>0</v>
      </c>
      <c r="Q8332" s="8" t="str">
        <f t="shared" si="2902"/>
        <v>公安委員会</v>
      </c>
      <c r="R8332" s="8" t="str">
        <f t="shared" si="2908"/>
        <v>河内長野警察署</v>
      </c>
    </row>
    <row r="8333" spans="1:18" x14ac:dyDescent="0.45">
      <c r="A8333" s="8" t="str">
        <f>"11582000240"</f>
        <v>11582000240</v>
      </c>
      <c r="B8333" s="8" t="str">
        <f>"天見駐在所"</f>
        <v>天見駐在所</v>
      </c>
      <c r="C8333" s="8" t="str">
        <f t="shared" si="2903"/>
        <v>行政財産</v>
      </c>
      <c r="D8333" s="8" t="str">
        <f t="shared" si="2904"/>
        <v>警察（消防）施設</v>
      </c>
      <c r="E8333" s="8" t="str">
        <f>"大阪府河内長野市天見"</f>
        <v>大阪府河内長野市天見</v>
      </c>
      <c r="F8333" s="8"/>
      <c r="G8333" s="8" t="str">
        <f t="shared" si="2896"/>
        <v>事業用資産</v>
      </c>
      <c r="H8333" s="8" t="str">
        <f t="shared" si="2909"/>
        <v>棚卸以外</v>
      </c>
      <c r="I8333" s="8">
        <v>1</v>
      </c>
      <c r="J8333" s="8" t="str">
        <f>"天見駐在所"</f>
        <v>天見駐在所</v>
      </c>
      <c r="K8333" s="8" t="str">
        <f>"鉄骨造"</f>
        <v>鉄骨造</v>
      </c>
      <c r="L8333" s="8" t="str">
        <f>"H03.03.30"</f>
        <v>H03.03.30</v>
      </c>
      <c r="M8333" s="8">
        <v>90.91</v>
      </c>
      <c r="N8333" s="8">
        <v>20869210</v>
      </c>
      <c r="O8333" s="8">
        <v>17537520</v>
      </c>
      <c r="P8333" s="8">
        <v>0</v>
      </c>
      <c r="Q8333" s="8" t="str">
        <f t="shared" si="2902"/>
        <v>公安委員会</v>
      </c>
      <c r="R8333" s="8" t="str">
        <f t="shared" si="2908"/>
        <v>河内長野警察署</v>
      </c>
    </row>
    <row r="8334" spans="1:18" x14ac:dyDescent="0.45">
      <c r="A8334" s="8" t="str">
        <f t="shared" ref="A8334:A8339" si="2910">"11583000000"</f>
        <v>11583000000</v>
      </c>
      <c r="B8334" s="8" t="str">
        <f t="shared" ref="B8334:B8339" si="2911">"摂津警察署"</f>
        <v>摂津警察署</v>
      </c>
      <c r="C8334" s="8" t="str">
        <f t="shared" si="2903"/>
        <v>行政財産</v>
      </c>
      <c r="D8334" s="8" t="str">
        <f t="shared" si="2904"/>
        <v>警察（消防）施設</v>
      </c>
      <c r="E8334" s="8" t="str">
        <f t="shared" ref="E8334:E8339" si="2912">"大阪府摂津市南千里丘"</f>
        <v>大阪府摂津市南千里丘</v>
      </c>
      <c r="F8334" s="8"/>
      <c r="G8334" s="8" t="str">
        <f t="shared" si="2896"/>
        <v>事業用資産</v>
      </c>
      <c r="H8334" s="8" t="str">
        <f t="shared" si="2909"/>
        <v>棚卸以外</v>
      </c>
      <c r="I8334" s="8">
        <v>1</v>
      </c>
      <c r="J8334" s="8" t="str">
        <f>"庁舎"</f>
        <v>庁舎</v>
      </c>
      <c r="K8334" s="8" t="str">
        <f>"鉄筋コンクリート造"</f>
        <v>鉄筋コンクリート造</v>
      </c>
      <c r="L8334" s="8" t="str">
        <f t="shared" ref="L8334:L8339" si="2913">"H02.02.26"</f>
        <v>H02.02.26</v>
      </c>
      <c r="M8334" s="8">
        <v>2691.6</v>
      </c>
      <c r="N8334" s="8">
        <v>724380000</v>
      </c>
      <c r="O8334" s="8">
        <v>442137036</v>
      </c>
      <c r="P8334" s="8">
        <v>0</v>
      </c>
      <c r="Q8334" s="8" t="str">
        <f t="shared" si="2902"/>
        <v>公安委員会</v>
      </c>
      <c r="R8334" s="8" t="str">
        <f t="shared" ref="R8334:R8346" si="2914">"摂津警察署"</f>
        <v>摂津警察署</v>
      </c>
    </row>
    <row r="8335" spans="1:18" x14ac:dyDescent="0.45">
      <c r="A8335" s="8" t="str">
        <f t="shared" si="2910"/>
        <v>11583000000</v>
      </c>
      <c r="B8335" s="8" t="str">
        <f t="shared" si="2911"/>
        <v>摂津警察署</v>
      </c>
      <c r="C8335" s="8" t="str">
        <f t="shared" si="2903"/>
        <v>行政財産</v>
      </c>
      <c r="D8335" s="8" t="str">
        <f t="shared" si="2904"/>
        <v>警察（消防）施設</v>
      </c>
      <c r="E8335" s="8" t="str">
        <f t="shared" si="2912"/>
        <v>大阪府摂津市南千里丘</v>
      </c>
      <c r="F8335" s="8"/>
      <c r="G8335" s="8" t="str">
        <f t="shared" si="2896"/>
        <v>事業用資産</v>
      </c>
      <c r="H8335" s="8" t="str">
        <f t="shared" si="2909"/>
        <v>棚卸以外</v>
      </c>
      <c r="I8335" s="8">
        <v>2</v>
      </c>
      <c r="J8335" s="8" t="str">
        <f>"署長公舎"</f>
        <v>署長公舎</v>
      </c>
      <c r="K8335" s="8" t="str">
        <f>"鉄筋コンクリート造"</f>
        <v>鉄筋コンクリート造</v>
      </c>
      <c r="L8335" s="8" t="str">
        <f t="shared" si="2913"/>
        <v>H02.02.26</v>
      </c>
      <c r="M8335" s="8">
        <v>87.8</v>
      </c>
      <c r="N8335" s="8">
        <v>20068665</v>
      </c>
      <c r="O8335" s="8">
        <v>14088636</v>
      </c>
      <c r="P8335" s="8">
        <v>0</v>
      </c>
      <c r="Q8335" s="8" t="str">
        <f t="shared" si="2902"/>
        <v>公安委員会</v>
      </c>
      <c r="R8335" s="8" t="str">
        <f t="shared" si="2914"/>
        <v>摂津警察署</v>
      </c>
    </row>
    <row r="8336" spans="1:18" x14ac:dyDescent="0.45">
      <c r="A8336" s="8" t="str">
        <f t="shared" si="2910"/>
        <v>11583000000</v>
      </c>
      <c r="B8336" s="8" t="str">
        <f t="shared" si="2911"/>
        <v>摂津警察署</v>
      </c>
      <c r="C8336" s="8" t="str">
        <f t="shared" si="2903"/>
        <v>行政財産</v>
      </c>
      <c r="D8336" s="8" t="str">
        <f t="shared" si="2904"/>
        <v>警察（消防）施設</v>
      </c>
      <c r="E8336" s="8" t="str">
        <f t="shared" si="2912"/>
        <v>大阪府摂津市南千里丘</v>
      </c>
      <c r="F8336" s="8"/>
      <c r="G8336" s="8" t="str">
        <f t="shared" si="2896"/>
        <v>事業用資産</v>
      </c>
      <c r="H8336" s="8" t="str">
        <f t="shared" si="2909"/>
        <v>棚卸以外</v>
      </c>
      <c r="I8336" s="8">
        <v>3</v>
      </c>
      <c r="J8336" s="8" t="str">
        <f>"附属庁舎（１）"</f>
        <v>附属庁舎（１）</v>
      </c>
      <c r="K8336" s="8" t="str">
        <f>"鉄骨造"</f>
        <v>鉄骨造</v>
      </c>
      <c r="L8336" s="8" t="str">
        <f t="shared" si="2913"/>
        <v>H02.02.26</v>
      </c>
      <c r="M8336" s="8">
        <v>158.06</v>
      </c>
      <c r="N8336" s="8">
        <v>14020475</v>
      </c>
      <c r="O8336" s="8">
        <v>14020474</v>
      </c>
      <c r="P8336" s="8">
        <v>0</v>
      </c>
      <c r="Q8336" s="8" t="str">
        <f t="shared" si="2902"/>
        <v>公安委員会</v>
      </c>
      <c r="R8336" s="8" t="str">
        <f t="shared" si="2914"/>
        <v>摂津警察署</v>
      </c>
    </row>
    <row r="8337" spans="1:18" x14ac:dyDescent="0.45">
      <c r="A8337" s="8" t="str">
        <f t="shared" si="2910"/>
        <v>11583000000</v>
      </c>
      <c r="B8337" s="8" t="str">
        <f t="shared" si="2911"/>
        <v>摂津警察署</v>
      </c>
      <c r="C8337" s="8" t="str">
        <f t="shared" si="2903"/>
        <v>行政財産</v>
      </c>
      <c r="D8337" s="8" t="str">
        <f t="shared" si="2904"/>
        <v>警察（消防）施設</v>
      </c>
      <c r="E8337" s="8" t="str">
        <f t="shared" si="2912"/>
        <v>大阪府摂津市南千里丘</v>
      </c>
      <c r="F8337" s="8"/>
      <c r="G8337" s="8" t="str">
        <f t="shared" si="2896"/>
        <v>事業用資産</v>
      </c>
      <c r="H8337" s="8" t="str">
        <f t="shared" si="2909"/>
        <v>棚卸以外</v>
      </c>
      <c r="I8337" s="8">
        <v>4</v>
      </c>
      <c r="J8337" s="8" t="str">
        <f>"附属庁舎（２）"</f>
        <v>附属庁舎（２）</v>
      </c>
      <c r="K8337" s="8" t="str">
        <f>"鉄骨造"</f>
        <v>鉄骨造</v>
      </c>
      <c r="L8337" s="8" t="str">
        <f t="shared" si="2913"/>
        <v>H02.02.26</v>
      </c>
      <c r="M8337" s="8">
        <v>230.09</v>
      </c>
      <c r="N8337" s="8">
        <v>21334897</v>
      </c>
      <c r="O8337" s="8">
        <v>21334896</v>
      </c>
      <c r="P8337" s="8">
        <v>0</v>
      </c>
      <c r="Q8337" s="8" t="str">
        <f t="shared" si="2902"/>
        <v>公安委員会</v>
      </c>
      <c r="R8337" s="8" t="str">
        <f t="shared" si="2914"/>
        <v>摂津警察署</v>
      </c>
    </row>
    <row r="8338" spans="1:18" x14ac:dyDescent="0.45">
      <c r="A8338" s="8" t="str">
        <f t="shared" si="2910"/>
        <v>11583000000</v>
      </c>
      <c r="B8338" s="8" t="str">
        <f t="shared" si="2911"/>
        <v>摂津警察署</v>
      </c>
      <c r="C8338" s="8" t="str">
        <f t="shared" si="2903"/>
        <v>行政財産</v>
      </c>
      <c r="D8338" s="8" t="str">
        <f t="shared" si="2904"/>
        <v>警察（消防）施設</v>
      </c>
      <c r="E8338" s="8" t="str">
        <f t="shared" si="2912"/>
        <v>大阪府摂津市南千里丘</v>
      </c>
      <c r="F8338" s="8"/>
      <c r="G8338" s="8" t="str">
        <f t="shared" si="2896"/>
        <v>事業用資産</v>
      </c>
      <c r="H8338" s="8" t="str">
        <f t="shared" si="2909"/>
        <v>棚卸以外</v>
      </c>
      <c r="I8338" s="8">
        <v>5</v>
      </c>
      <c r="J8338" s="8" t="str">
        <f>"ゴミ置場"</f>
        <v>ゴミ置場</v>
      </c>
      <c r="K8338" s="8" t="str">
        <f>"鉄筋コンクリート造"</f>
        <v>鉄筋コンクリート造</v>
      </c>
      <c r="L8338" s="8" t="str">
        <f t="shared" si="2913"/>
        <v>H02.02.26</v>
      </c>
      <c r="M8338" s="8">
        <v>5.4</v>
      </c>
      <c r="N8338" s="8">
        <v>660000</v>
      </c>
      <c r="O8338" s="8">
        <v>574856</v>
      </c>
      <c r="P8338" s="8">
        <v>0</v>
      </c>
      <c r="Q8338" s="8" t="str">
        <f t="shared" si="2902"/>
        <v>公安委員会</v>
      </c>
      <c r="R8338" s="8" t="str">
        <f t="shared" si="2914"/>
        <v>摂津警察署</v>
      </c>
    </row>
    <row r="8339" spans="1:18" x14ac:dyDescent="0.45">
      <c r="A8339" s="8" t="str">
        <f t="shared" si="2910"/>
        <v>11583000000</v>
      </c>
      <c r="B8339" s="8" t="str">
        <f t="shared" si="2911"/>
        <v>摂津警察署</v>
      </c>
      <c r="C8339" s="8" t="str">
        <f t="shared" si="2903"/>
        <v>行政財産</v>
      </c>
      <c r="D8339" s="8" t="str">
        <f t="shared" si="2904"/>
        <v>警察（消防）施設</v>
      </c>
      <c r="E8339" s="8" t="str">
        <f t="shared" si="2912"/>
        <v>大阪府摂津市南千里丘</v>
      </c>
      <c r="F8339" s="8"/>
      <c r="G8339" s="8" t="str">
        <f t="shared" si="2896"/>
        <v>事業用資産</v>
      </c>
      <c r="H8339" s="8" t="str">
        <f t="shared" si="2909"/>
        <v>棚卸以外</v>
      </c>
      <c r="I8339" s="8">
        <v>6</v>
      </c>
      <c r="J8339" s="8" t="str">
        <f>"ポンプ室"</f>
        <v>ポンプ室</v>
      </c>
      <c r="K8339" s="8" t="str">
        <f>"鉄筋コンクリート造"</f>
        <v>鉄筋コンクリート造</v>
      </c>
      <c r="L8339" s="8" t="str">
        <f t="shared" si="2913"/>
        <v>H02.02.26</v>
      </c>
      <c r="M8339" s="8">
        <v>3.23</v>
      </c>
      <c r="N8339" s="8">
        <v>464000</v>
      </c>
      <c r="O8339" s="8">
        <v>404146</v>
      </c>
      <c r="P8339" s="8">
        <v>0</v>
      </c>
      <c r="Q8339" s="8" t="str">
        <f t="shared" si="2902"/>
        <v>公安委員会</v>
      </c>
      <c r="R8339" s="8" t="str">
        <f t="shared" si="2914"/>
        <v>摂津警察署</v>
      </c>
    </row>
    <row r="8340" spans="1:18" x14ac:dyDescent="0.45">
      <c r="A8340" s="8" t="str">
        <f>"11583000100"</f>
        <v>11583000100</v>
      </c>
      <c r="B8340" s="8" t="str">
        <f>"味生交番"</f>
        <v>味生交番</v>
      </c>
      <c r="C8340" s="8" t="str">
        <f t="shared" si="2903"/>
        <v>行政財産</v>
      </c>
      <c r="D8340" s="8" t="str">
        <f t="shared" si="2904"/>
        <v>警察（消防）施設</v>
      </c>
      <c r="E8340" s="8" t="str">
        <f>"大阪府摂津市西一津屋"</f>
        <v>大阪府摂津市西一津屋</v>
      </c>
      <c r="F8340" s="8"/>
      <c r="G8340" s="8" t="str">
        <f t="shared" si="2896"/>
        <v>事業用資産</v>
      </c>
      <c r="H8340" s="8" t="str">
        <f t="shared" si="2909"/>
        <v>棚卸以外</v>
      </c>
      <c r="I8340" s="8">
        <v>1</v>
      </c>
      <c r="J8340" s="8" t="str">
        <f>"味生交番"</f>
        <v>味生交番</v>
      </c>
      <c r="K8340" s="8" t="str">
        <f>"鉄筋コンクリート造"</f>
        <v>鉄筋コンクリート造</v>
      </c>
      <c r="L8340" s="8" t="str">
        <f>"S44.11.04"</f>
        <v>S44.11.04</v>
      </c>
      <c r="M8340" s="8">
        <v>50.4</v>
      </c>
      <c r="N8340" s="8">
        <v>4725000</v>
      </c>
      <c r="O8340" s="8">
        <v>4724999</v>
      </c>
      <c r="P8340" s="8">
        <v>0</v>
      </c>
      <c r="Q8340" s="8" t="str">
        <f t="shared" si="2902"/>
        <v>公安委員会</v>
      </c>
      <c r="R8340" s="8" t="str">
        <f t="shared" si="2914"/>
        <v>摂津警察署</v>
      </c>
    </row>
    <row r="8341" spans="1:18" x14ac:dyDescent="0.45">
      <c r="A8341" s="8" t="str">
        <f>"11583000110"</f>
        <v>11583000110</v>
      </c>
      <c r="B8341" s="8" t="str">
        <f>"鳥飼西交番"</f>
        <v>鳥飼西交番</v>
      </c>
      <c r="C8341" s="8" t="str">
        <f t="shared" si="2903"/>
        <v>行政財産</v>
      </c>
      <c r="D8341" s="8" t="str">
        <f t="shared" si="2904"/>
        <v>警察（消防）施設</v>
      </c>
      <c r="E8341" s="8" t="str">
        <f>"大阪府摂津市鳥飼野々１丁目"</f>
        <v>大阪府摂津市鳥飼野々１丁目</v>
      </c>
      <c r="F8341" s="8"/>
      <c r="G8341" s="8" t="str">
        <f t="shared" si="2896"/>
        <v>事業用資産</v>
      </c>
      <c r="H8341" s="8" t="str">
        <f t="shared" si="2909"/>
        <v>棚卸以外</v>
      </c>
      <c r="I8341" s="8">
        <v>1</v>
      </c>
      <c r="J8341" s="8" t="str">
        <f>"鳥飼西交番"</f>
        <v>鳥飼西交番</v>
      </c>
      <c r="K8341" s="8" t="str">
        <f>"鉄筋コンクリート造"</f>
        <v>鉄筋コンクリート造</v>
      </c>
      <c r="L8341" s="8" t="str">
        <f>"S56.03.31"</f>
        <v>S56.03.31</v>
      </c>
      <c r="M8341" s="8">
        <v>54</v>
      </c>
      <c r="N8341" s="8">
        <v>16631981</v>
      </c>
      <c r="O8341" s="8">
        <v>12037464</v>
      </c>
      <c r="P8341" s="8">
        <v>0</v>
      </c>
      <c r="Q8341" s="8" t="str">
        <f t="shared" si="2902"/>
        <v>公安委員会</v>
      </c>
      <c r="R8341" s="8" t="str">
        <f t="shared" si="2914"/>
        <v>摂津警察署</v>
      </c>
    </row>
    <row r="8342" spans="1:18" x14ac:dyDescent="0.45">
      <c r="A8342" s="8" t="str">
        <f>"11583000120"</f>
        <v>11583000120</v>
      </c>
      <c r="B8342" s="8" t="str">
        <f>"鳥飼交番"</f>
        <v>鳥飼交番</v>
      </c>
      <c r="C8342" s="8" t="str">
        <f t="shared" si="2903"/>
        <v>行政財産</v>
      </c>
      <c r="D8342" s="8" t="str">
        <f t="shared" si="2904"/>
        <v>警察（消防）施設</v>
      </c>
      <c r="E8342" s="8" t="str">
        <f>"大阪府摂津市鳥飼下１丁目"</f>
        <v>大阪府摂津市鳥飼下１丁目</v>
      </c>
      <c r="F8342" s="8"/>
      <c r="G8342" s="8" t="str">
        <f t="shared" si="2896"/>
        <v>事業用資産</v>
      </c>
      <c r="H8342" s="8" t="str">
        <f t="shared" si="2909"/>
        <v>棚卸以外</v>
      </c>
      <c r="I8342" s="8">
        <v>1</v>
      </c>
      <c r="J8342" s="8" t="str">
        <f>"鳥飼交番"</f>
        <v>鳥飼交番</v>
      </c>
      <c r="K8342" s="8" t="str">
        <f>"鉄筋コンクリート造"</f>
        <v>鉄筋コンクリート造</v>
      </c>
      <c r="L8342" s="8" t="str">
        <f>"S50.03.31"</f>
        <v>S50.03.31</v>
      </c>
      <c r="M8342" s="8">
        <v>50.4</v>
      </c>
      <c r="N8342" s="8">
        <v>8742000</v>
      </c>
      <c r="O8342" s="8">
        <v>8392320</v>
      </c>
      <c r="P8342" s="8">
        <v>0</v>
      </c>
      <c r="Q8342" s="8" t="str">
        <f t="shared" si="2902"/>
        <v>公安委員会</v>
      </c>
      <c r="R8342" s="8" t="str">
        <f t="shared" si="2914"/>
        <v>摂津警察署</v>
      </c>
    </row>
    <row r="8343" spans="1:18" x14ac:dyDescent="0.45">
      <c r="A8343" s="8" t="str">
        <f>"11583000130"</f>
        <v>11583000130</v>
      </c>
      <c r="B8343" s="8" t="str">
        <f>"三宅交番"</f>
        <v>三宅交番</v>
      </c>
      <c r="C8343" s="8" t="str">
        <f t="shared" si="2903"/>
        <v>行政財産</v>
      </c>
      <c r="D8343" s="8" t="str">
        <f t="shared" si="2904"/>
        <v>警察（消防）施設</v>
      </c>
      <c r="E8343" s="8" t="str">
        <f>"大阪府摂津市千里丘東２丁目"</f>
        <v>大阪府摂津市千里丘東２丁目</v>
      </c>
      <c r="F8343" s="8"/>
      <c r="G8343" s="8" t="str">
        <f t="shared" ref="G8343:G8406" si="2915">"事業用資産"</f>
        <v>事業用資産</v>
      </c>
      <c r="H8343" s="8" t="str">
        <f t="shared" si="2909"/>
        <v>棚卸以外</v>
      </c>
      <c r="I8343" s="8">
        <v>1</v>
      </c>
      <c r="J8343" s="8" t="str">
        <f>"三宅交番"</f>
        <v>三宅交番</v>
      </c>
      <c r="K8343" s="8" t="str">
        <f>"鉄骨造"</f>
        <v>鉄骨造</v>
      </c>
      <c r="L8343" s="8" t="str">
        <f>"S58.03.31"</f>
        <v>S58.03.31</v>
      </c>
      <c r="M8343" s="8">
        <v>54</v>
      </c>
      <c r="N8343" s="8">
        <v>11253000</v>
      </c>
      <c r="O8343" s="8">
        <v>11252999</v>
      </c>
      <c r="P8343" s="8">
        <v>0</v>
      </c>
      <c r="Q8343" s="8" t="str">
        <f t="shared" si="2902"/>
        <v>公安委員会</v>
      </c>
      <c r="R8343" s="8" t="str">
        <f t="shared" si="2914"/>
        <v>摂津警察署</v>
      </c>
    </row>
    <row r="8344" spans="1:18" x14ac:dyDescent="0.45">
      <c r="A8344" s="8" t="str">
        <f>"11583000140"</f>
        <v>11583000140</v>
      </c>
      <c r="B8344" s="8" t="str">
        <f>"千里丘交番"</f>
        <v>千里丘交番</v>
      </c>
      <c r="C8344" s="8" t="str">
        <f t="shared" si="2903"/>
        <v>行政財産</v>
      </c>
      <c r="D8344" s="8" t="str">
        <f t="shared" si="2904"/>
        <v>警察（消防）施設</v>
      </c>
      <c r="E8344" s="8" t="str">
        <f>"大阪府摂津市千里丘３丁目"</f>
        <v>大阪府摂津市千里丘３丁目</v>
      </c>
      <c r="F8344" s="8"/>
      <c r="G8344" s="8" t="str">
        <f t="shared" si="2915"/>
        <v>事業用資産</v>
      </c>
      <c r="H8344" s="8" t="str">
        <f t="shared" si="2909"/>
        <v>棚卸以外</v>
      </c>
      <c r="I8344" s="8">
        <v>1</v>
      </c>
      <c r="J8344" s="8" t="str">
        <f>"千里丘交番"</f>
        <v>千里丘交番</v>
      </c>
      <c r="K8344" s="8" t="str">
        <f>"鉄筋コンクリート造"</f>
        <v>鉄筋コンクリート造</v>
      </c>
      <c r="L8344" s="8" t="str">
        <f>"S63.03.31"</f>
        <v>S63.03.31</v>
      </c>
      <c r="M8344" s="8">
        <v>54</v>
      </c>
      <c r="N8344" s="8">
        <v>15438000</v>
      </c>
      <c r="O8344" s="8">
        <v>10806600</v>
      </c>
      <c r="P8344" s="8">
        <v>0</v>
      </c>
      <c r="Q8344" s="8" t="str">
        <f t="shared" si="2902"/>
        <v>公安委員会</v>
      </c>
      <c r="R8344" s="8" t="str">
        <f t="shared" si="2914"/>
        <v>摂津警察署</v>
      </c>
    </row>
    <row r="8345" spans="1:18" x14ac:dyDescent="0.45">
      <c r="A8345" s="8" t="str">
        <f>"11583000150"</f>
        <v>11583000150</v>
      </c>
      <c r="B8345" s="8" t="str">
        <f>"正雀交番"</f>
        <v>正雀交番</v>
      </c>
      <c r="C8345" s="8" t="str">
        <f t="shared" si="2903"/>
        <v>行政財産</v>
      </c>
      <c r="D8345" s="8" t="str">
        <f t="shared" si="2904"/>
        <v>警察（消防）施設</v>
      </c>
      <c r="E8345" s="8" t="str">
        <f>"大阪府摂津市正雀本町１丁目"</f>
        <v>大阪府摂津市正雀本町１丁目</v>
      </c>
      <c r="F8345" s="8"/>
      <c r="G8345" s="8" t="str">
        <f t="shared" si="2915"/>
        <v>事業用資産</v>
      </c>
      <c r="H8345" s="8" t="str">
        <f t="shared" si="2909"/>
        <v>棚卸以外</v>
      </c>
      <c r="I8345" s="8">
        <v>1</v>
      </c>
      <c r="J8345" s="8" t="str">
        <f>"正雀交番"</f>
        <v>正雀交番</v>
      </c>
      <c r="K8345" s="8" t="str">
        <f>"鉄筋コンクリート造"</f>
        <v>鉄筋コンクリート造</v>
      </c>
      <c r="L8345" s="8" t="str">
        <f>"H02.03.30"</f>
        <v>H02.03.30</v>
      </c>
      <c r="M8345" s="8">
        <v>54.58</v>
      </c>
      <c r="N8345" s="8">
        <v>16684000</v>
      </c>
      <c r="O8345" s="8">
        <v>11011572</v>
      </c>
      <c r="P8345" s="8">
        <v>0</v>
      </c>
      <c r="Q8345" s="8" t="str">
        <f t="shared" si="2902"/>
        <v>公安委員会</v>
      </c>
      <c r="R8345" s="8" t="str">
        <f t="shared" si="2914"/>
        <v>摂津警察署</v>
      </c>
    </row>
    <row r="8346" spans="1:18" x14ac:dyDescent="0.45">
      <c r="A8346" s="8" t="str">
        <f>"11583000150"</f>
        <v>11583000150</v>
      </c>
      <c r="B8346" s="8" t="str">
        <f>"正雀交番"</f>
        <v>正雀交番</v>
      </c>
      <c r="C8346" s="8" t="str">
        <f t="shared" si="2903"/>
        <v>行政財産</v>
      </c>
      <c r="D8346" s="8" t="str">
        <f t="shared" si="2904"/>
        <v>警察（消防）施設</v>
      </c>
      <c r="E8346" s="8" t="str">
        <f>"大阪府摂津市正雀本町１丁目"</f>
        <v>大阪府摂津市正雀本町１丁目</v>
      </c>
      <c r="F8346" s="8"/>
      <c r="G8346" s="8" t="str">
        <f t="shared" si="2915"/>
        <v>事業用資産</v>
      </c>
      <c r="H8346" s="8" t="str">
        <f t="shared" si="2909"/>
        <v>棚卸以外</v>
      </c>
      <c r="I8346" s="8">
        <v>2</v>
      </c>
      <c r="J8346" s="8" t="str">
        <f>"自転車置場"</f>
        <v>自転車置場</v>
      </c>
      <c r="K8346" s="8" t="str">
        <f>"鉄骨造"</f>
        <v>鉄骨造</v>
      </c>
      <c r="L8346" s="8" t="str">
        <f>"H02.03.30"</f>
        <v>H02.03.30</v>
      </c>
      <c r="M8346" s="8">
        <v>9.07</v>
      </c>
      <c r="N8346" s="8">
        <v>213000</v>
      </c>
      <c r="O8346" s="8">
        <v>212999</v>
      </c>
      <c r="P8346" s="8">
        <v>0</v>
      </c>
      <c r="Q8346" s="8" t="str">
        <f t="shared" si="2902"/>
        <v>公安委員会</v>
      </c>
      <c r="R8346" s="8" t="str">
        <f t="shared" si="2914"/>
        <v>摂津警察署</v>
      </c>
    </row>
    <row r="8347" spans="1:18" x14ac:dyDescent="0.45">
      <c r="A8347" s="8" t="str">
        <f>"11584000000"</f>
        <v>11584000000</v>
      </c>
      <c r="B8347" s="8" t="str">
        <f>"豊中南警察署"</f>
        <v>豊中南警察署</v>
      </c>
      <c r="C8347" s="8" t="str">
        <f t="shared" si="2903"/>
        <v>行政財産</v>
      </c>
      <c r="D8347" s="8" t="str">
        <f t="shared" si="2904"/>
        <v>警察（消防）施設</v>
      </c>
      <c r="E8347" s="8" t="str">
        <f>"大阪府豊中市庄内　西町５丁目"</f>
        <v>大阪府豊中市庄内　西町５丁目</v>
      </c>
      <c r="F8347" s="8"/>
      <c r="G8347" s="8" t="str">
        <f t="shared" si="2915"/>
        <v>事業用資産</v>
      </c>
      <c r="H8347" s="8" t="str">
        <f t="shared" si="2909"/>
        <v>棚卸以外</v>
      </c>
      <c r="I8347" s="8">
        <v>1</v>
      </c>
      <c r="J8347" s="8" t="str">
        <f>"庁舎"</f>
        <v>庁舎</v>
      </c>
      <c r="K8347" s="8" t="str">
        <f>"鉄筋コンクリート造"</f>
        <v>鉄筋コンクリート造</v>
      </c>
      <c r="L8347" s="8" t="str">
        <f>"S62.02.14"</f>
        <v>S62.02.14</v>
      </c>
      <c r="M8347" s="8">
        <v>2938.31</v>
      </c>
      <c r="N8347" s="8">
        <v>842636043</v>
      </c>
      <c r="O8347" s="8">
        <v>584759026</v>
      </c>
      <c r="P8347" s="8">
        <v>0</v>
      </c>
      <c r="Q8347" s="8" t="str">
        <f t="shared" si="2902"/>
        <v>公安委員会</v>
      </c>
      <c r="R8347" s="8" t="str">
        <f t="shared" ref="R8347:R8358" si="2916">"豊中南警察署"</f>
        <v>豊中南警察署</v>
      </c>
    </row>
    <row r="8348" spans="1:18" x14ac:dyDescent="0.45">
      <c r="A8348" s="8" t="str">
        <f>"11584000000"</f>
        <v>11584000000</v>
      </c>
      <c r="B8348" s="8" t="str">
        <f>"豊中南警察署"</f>
        <v>豊中南警察署</v>
      </c>
      <c r="C8348" s="8" t="str">
        <f t="shared" si="2903"/>
        <v>行政財産</v>
      </c>
      <c r="D8348" s="8" t="str">
        <f t="shared" si="2904"/>
        <v>警察（消防）施設</v>
      </c>
      <c r="E8348" s="8" t="str">
        <f>"大阪府豊中市庄内　西町５丁目"</f>
        <v>大阪府豊中市庄内　西町５丁目</v>
      </c>
      <c r="F8348" s="8"/>
      <c r="G8348" s="8" t="str">
        <f t="shared" si="2915"/>
        <v>事業用資産</v>
      </c>
      <c r="H8348" s="8" t="str">
        <f t="shared" si="2909"/>
        <v>棚卸以外</v>
      </c>
      <c r="I8348" s="8">
        <v>2</v>
      </c>
      <c r="J8348" s="8" t="str">
        <f>"車庫及倉庫"</f>
        <v>車庫及倉庫</v>
      </c>
      <c r="K8348" s="8" t="str">
        <f>"鉄骨造"</f>
        <v>鉄骨造</v>
      </c>
      <c r="L8348" s="8" t="str">
        <f>"S62.02.14"</f>
        <v>S62.02.14</v>
      </c>
      <c r="M8348" s="8">
        <v>304.3</v>
      </c>
      <c r="N8348" s="8">
        <v>34128013</v>
      </c>
      <c r="O8348" s="8">
        <v>34128012</v>
      </c>
      <c r="P8348" s="8">
        <v>0</v>
      </c>
      <c r="Q8348" s="8" t="str">
        <f t="shared" si="2902"/>
        <v>公安委員会</v>
      </c>
      <c r="R8348" s="8" t="str">
        <f t="shared" si="2916"/>
        <v>豊中南警察署</v>
      </c>
    </row>
    <row r="8349" spans="1:18" x14ac:dyDescent="0.45">
      <c r="A8349" s="8" t="str">
        <f>"11584000000"</f>
        <v>11584000000</v>
      </c>
      <c r="B8349" s="8" t="str">
        <f>"豊中南警察署"</f>
        <v>豊中南警察署</v>
      </c>
      <c r="C8349" s="8" t="str">
        <f t="shared" si="2903"/>
        <v>行政財産</v>
      </c>
      <c r="D8349" s="8" t="str">
        <f t="shared" si="2904"/>
        <v>警察（消防）施設</v>
      </c>
      <c r="E8349" s="8" t="str">
        <f>"大阪府豊中市庄内　西町５丁目"</f>
        <v>大阪府豊中市庄内　西町５丁目</v>
      </c>
      <c r="F8349" s="8"/>
      <c r="G8349" s="8" t="str">
        <f t="shared" si="2915"/>
        <v>事業用資産</v>
      </c>
      <c r="H8349" s="8" t="str">
        <f t="shared" si="2909"/>
        <v>棚卸以外</v>
      </c>
      <c r="I8349" s="8">
        <v>3</v>
      </c>
      <c r="J8349" s="8" t="str">
        <f>"大型車庫及び霊安室"</f>
        <v>大型車庫及び霊安室</v>
      </c>
      <c r="K8349" s="8" t="str">
        <f>"鉄骨造"</f>
        <v>鉄骨造</v>
      </c>
      <c r="L8349" s="8" t="str">
        <f>"S62.02.14"</f>
        <v>S62.02.14</v>
      </c>
      <c r="M8349" s="8">
        <v>65.400000000000006</v>
      </c>
      <c r="N8349" s="8">
        <v>11888202</v>
      </c>
      <c r="O8349" s="8">
        <v>11858489</v>
      </c>
      <c r="P8349" s="8">
        <v>0</v>
      </c>
      <c r="Q8349" s="8" t="str">
        <f t="shared" si="2902"/>
        <v>公安委員会</v>
      </c>
      <c r="R8349" s="8" t="str">
        <f t="shared" si="2916"/>
        <v>豊中南警察署</v>
      </c>
    </row>
    <row r="8350" spans="1:18" x14ac:dyDescent="0.45">
      <c r="A8350" s="8" t="str">
        <f>"11584000000"</f>
        <v>11584000000</v>
      </c>
      <c r="B8350" s="8" t="str">
        <f>"豊中南警察署"</f>
        <v>豊中南警察署</v>
      </c>
      <c r="C8350" s="8" t="str">
        <f t="shared" si="2903"/>
        <v>行政財産</v>
      </c>
      <c r="D8350" s="8" t="str">
        <f t="shared" si="2904"/>
        <v>警察（消防）施設</v>
      </c>
      <c r="E8350" s="8" t="str">
        <f>"大阪府豊中市庄内　西町５丁目"</f>
        <v>大阪府豊中市庄内　西町５丁目</v>
      </c>
      <c r="F8350" s="8"/>
      <c r="G8350" s="8" t="str">
        <f t="shared" si="2915"/>
        <v>事業用資産</v>
      </c>
      <c r="H8350" s="8" t="str">
        <f t="shared" si="2909"/>
        <v>棚卸以外</v>
      </c>
      <c r="I8350" s="8">
        <v>4</v>
      </c>
      <c r="J8350" s="8" t="str">
        <f>"ポンプ室"</f>
        <v>ポンプ室</v>
      </c>
      <c r="K8350" s="8" t="str">
        <f>"鉄筋コンクリート造"</f>
        <v>鉄筋コンクリート造</v>
      </c>
      <c r="L8350" s="8" t="str">
        <f>"S62.02.14"</f>
        <v>S62.02.14</v>
      </c>
      <c r="M8350" s="8">
        <v>3.23</v>
      </c>
      <c r="N8350" s="8">
        <v>453000</v>
      </c>
      <c r="O8350" s="8">
        <v>430402</v>
      </c>
      <c r="P8350" s="8">
        <v>0</v>
      </c>
      <c r="Q8350" s="8" t="str">
        <f t="shared" si="2902"/>
        <v>公安委員会</v>
      </c>
      <c r="R8350" s="8" t="str">
        <f t="shared" si="2916"/>
        <v>豊中南警察署</v>
      </c>
    </row>
    <row r="8351" spans="1:18" x14ac:dyDescent="0.45">
      <c r="A8351" s="8" t="str">
        <f>"11584000000"</f>
        <v>11584000000</v>
      </c>
      <c r="B8351" s="8" t="str">
        <f>"豊中南警察署"</f>
        <v>豊中南警察署</v>
      </c>
      <c r="C8351" s="8" t="str">
        <f t="shared" si="2903"/>
        <v>行政財産</v>
      </c>
      <c r="D8351" s="8" t="str">
        <f t="shared" si="2904"/>
        <v>警察（消防）施設</v>
      </c>
      <c r="E8351" s="8" t="str">
        <f>"大阪府豊中市庄内　西町５丁目"</f>
        <v>大阪府豊中市庄内　西町５丁目</v>
      </c>
      <c r="F8351" s="8"/>
      <c r="G8351" s="8" t="str">
        <f t="shared" si="2915"/>
        <v>事業用資産</v>
      </c>
      <c r="H8351" s="8" t="str">
        <f t="shared" si="2909"/>
        <v>棚卸以外</v>
      </c>
      <c r="I8351" s="8">
        <v>5</v>
      </c>
      <c r="J8351" s="8" t="str">
        <f>"ゴミ集積場"</f>
        <v>ゴミ集積場</v>
      </c>
      <c r="K8351" s="8" t="str">
        <f>"鉄筋コンクリート造"</f>
        <v>鉄筋コンクリート造</v>
      </c>
      <c r="L8351" s="8" t="str">
        <f>"S62.02.14"</f>
        <v>S62.02.14</v>
      </c>
      <c r="M8351" s="8">
        <v>5.4</v>
      </c>
      <c r="N8351" s="8">
        <v>655000</v>
      </c>
      <c r="O8351" s="8">
        <v>622221</v>
      </c>
      <c r="P8351" s="8">
        <v>0</v>
      </c>
      <c r="Q8351" s="8" t="str">
        <f t="shared" si="2902"/>
        <v>公安委員会</v>
      </c>
      <c r="R8351" s="8" t="str">
        <f t="shared" si="2916"/>
        <v>豊中南警察署</v>
      </c>
    </row>
    <row r="8352" spans="1:18" x14ac:dyDescent="0.45">
      <c r="A8352" s="8" t="str">
        <f>"11584000110"</f>
        <v>11584000110</v>
      </c>
      <c r="B8352" s="8" t="str">
        <f>"庄内幸町交番"</f>
        <v>庄内幸町交番</v>
      </c>
      <c r="C8352" s="8" t="str">
        <f t="shared" si="2903"/>
        <v>行政財産</v>
      </c>
      <c r="D8352" s="8" t="str">
        <f t="shared" si="2904"/>
        <v>警察（消防）施設</v>
      </c>
      <c r="E8352" s="8" t="str">
        <f>"大阪府豊中市庄内　幸町２丁目"</f>
        <v>大阪府豊中市庄内　幸町２丁目</v>
      </c>
      <c r="F8352" s="8"/>
      <c r="G8352" s="8" t="str">
        <f t="shared" si="2915"/>
        <v>事業用資産</v>
      </c>
      <c r="H8352" s="8" t="str">
        <f t="shared" si="2909"/>
        <v>棚卸以外</v>
      </c>
      <c r="I8352" s="8">
        <v>1</v>
      </c>
      <c r="J8352" s="8" t="str">
        <f>"庄内幸町交番"</f>
        <v>庄内幸町交番</v>
      </c>
      <c r="K8352" s="8" t="str">
        <f>"鉄骨造"</f>
        <v>鉄骨造</v>
      </c>
      <c r="L8352" s="8" t="str">
        <f>"S61.03.31"</f>
        <v>S61.03.31</v>
      </c>
      <c r="M8352" s="8">
        <v>67.5</v>
      </c>
      <c r="N8352" s="8">
        <v>14964000</v>
      </c>
      <c r="O8352" s="8">
        <v>14570304</v>
      </c>
      <c r="P8352" s="8">
        <v>0</v>
      </c>
      <c r="Q8352" s="8" t="str">
        <f t="shared" si="2902"/>
        <v>公安委員会</v>
      </c>
      <c r="R8352" s="8" t="str">
        <f t="shared" si="2916"/>
        <v>豊中南警察署</v>
      </c>
    </row>
    <row r="8353" spans="1:18" x14ac:dyDescent="0.45">
      <c r="A8353" s="8" t="str">
        <f>"11584000120"</f>
        <v>11584000120</v>
      </c>
      <c r="B8353" s="8" t="str">
        <f>"小曽根交番"</f>
        <v>小曽根交番</v>
      </c>
      <c r="C8353" s="8" t="str">
        <f t="shared" si="2903"/>
        <v>行政財産</v>
      </c>
      <c r="D8353" s="8" t="str">
        <f t="shared" si="2904"/>
        <v>警察（消防）施設</v>
      </c>
      <c r="E8353" s="8" t="str">
        <f>"大阪府豊中市北条町１丁目"</f>
        <v>大阪府豊中市北条町１丁目</v>
      </c>
      <c r="F8353" s="8"/>
      <c r="G8353" s="8" t="str">
        <f t="shared" si="2915"/>
        <v>事業用資産</v>
      </c>
      <c r="H8353" s="8" t="str">
        <f t="shared" si="2909"/>
        <v>棚卸以外</v>
      </c>
      <c r="I8353" s="8">
        <v>1</v>
      </c>
      <c r="J8353" s="8" t="str">
        <f>"小曽根交番"</f>
        <v>小曽根交番</v>
      </c>
      <c r="K8353" s="8" t="str">
        <f>"鉄筋コンクリート造"</f>
        <v>鉄筋コンクリート造</v>
      </c>
      <c r="L8353" s="8" t="str">
        <f>"S59.07.04"</f>
        <v>S59.07.04</v>
      </c>
      <c r="M8353" s="8">
        <v>54</v>
      </c>
      <c r="N8353" s="8">
        <v>14169000</v>
      </c>
      <c r="O8353" s="8">
        <v>10957360</v>
      </c>
      <c r="P8353" s="8">
        <v>0</v>
      </c>
      <c r="Q8353" s="8" t="str">
        <f t="shared" si="2902"/>
        <v>公安委員会</v>
      </c>
      <c r="R8353" s="8" t="str">
        <f t="shared" si="2916"/>
        <v>豊中南警察署</v>
      </c>
    </row>
    <row r="8354" spans="1:18" x14ac:dyDescent="0.45">
      <c r="A8354" s="8" t="str">
        <f>"11584000130"</f>
        <v>11584000130</v>
      </c>
      <c r="B8354" s="8" t="str">
        <f>"大島町交番"</f>
        <v>大島町交番</v>
      </c>
      <c r="C8354" s="8" t="str">
        <f t="shared" si="2903"/>
        <v>行政財産</v>
      </c>
      <c r="D8354" s="8" t="str">
        <f t="shared" si="2904"/>
        <v>警察（消防）施設</v>
      </c>
      <c r="E8354" s="8" t="str">
        <f>"大阪府豊中市大島町２丁目"</f>
        <v>大阪府豊中市大島町２丁目</v>
      </c>
      <c r="F8354" s="8"/>
      <c r="G8354" s="8" t="str">
        <f t="shared" si="2915"/>
        <v>事業用資産</v>
      </c>
      <c r="H8354" s="8" t="str">
        <f t="shared" si="2909"/>
        <v>棚卸以外</v>
      </c>
      <c r="I8354" s="8">
        <v>2</v>
      </c>
      <c r="J8354" s="8" t="str">
        <f>"大島町交番"</f>
        <v>大島町交番</v>
      </c>
      <c r="K8354" s="8" t="str">
        <f>"鉄骨造"</f>
        <v>鉄骨造</v>
      </c>
      <c r="L8354" s="8" t="str">
        <f>"H20.03.07"</f>
        <v>H20.03.07</v>
      </c>
      <c r="M8354" s="8">
        <v>54.44</v>
      </c>
      <c r="N8354" s="8">
        <v>15549000</v>
      </c>
      <c r="O8354" s="8">
        <v>6137820</v>
      </c>
      <c r="P8354" s="8">
        <v>0</v>
      </c>
      <c r="Q8354" s="8" t="str">
        <f t="shared" si="2902"/>
        <v>公安委員会</v>
      </c>
      <c r="R8354" s="8" t="str">
        <f t="shared" si="2916"/>
        <v>豊中南警察署</v>
      </c>
    </row>
    <row r="8355" spans="1:18" x14ac:dyDescent="0.45">
      <c r="A8355" s="8" t="str">
        <f>"11584000150"</f>
        <v>11584000150</v>
      </c>
      <c r="B8355" s="8" t="str">
        <f>"庄内交番"</f>
        <v>庄内交番</v>
      </c>
      <c r="C8355" s="8" t="str">
        <f t="shared" si="2903"/>
        <v>行政財産</v>
      </c>
      <c r="D8355" s="8" t="str">
        <f t="shared" si="2904"/>
        <v>警察（消防）施設</v>
      </c>
      <c r="E8355" s="8" t="str">
        <f>"大阪府豊中市庄内　東町４丁目"</f>
        <v>大阪府豊中市庄内　東町４丁目</v>
      </c>
      <c r="F8355" s="8"/>
      <c r="G8355" s="8" t="str">
        <f t="shared" si="2915"/>
        <v>事業用資産</v>
      </c>
      <c r="H8355" s="8" t="str">
        <f t="shared" si="2909"/>
        <v>棚卸以外</v>
      </c>
      <c r="I8355" s="8">
        <v>1</v>
      </c>
      <c r="J8355" s="8" t="str">
        <f>"庄内交番"</f>
        <v>庄内交番</v>
      </c>
      <c r="K8355" s="8" t="str">
        <f>"鉄筋コンクリート造"</f>
        <v>鉄筋コンクリート造</v>
      </c>
      <c r="L8355" s="8" t="str">
        <f>"S42.03.31"</f>
        <v>S42.03.31</v>
      </c>
      <c r="M8355" s="8">
        <v>102</v>
      </c>
      <c r="N8355" s="8">
        <v>5632000</v>
      </c>
      <c r="O8355" s="8">
        <v>5631999</v>
      </c>
      <c r="P8355" s="8">
        <v>0</v>
      </c>
      <c r="Q8355" s="8" t="str">
        <f t="shared" si="2902"/>
        <v>公安委員会</v>
      </c>
      <c r="R8355" s="8" t="str">
        <f t="shared" si="2916"/>
        <v>豊中南警察署</v>
      </c>
    </row>
    <row r="8356" spans="1:18" x14ac:dyDescent="0.45">
      <c r="A8356" s="8" t="str">
        <f>"11584000160"</f>
        <v>11584000160</v>
      </c>
      <c r="B8356" s="8" t="str">
        <f>"島江交番"</f>
        <v>島江交番</v>
      </c>
      <c r="C8356" s="8" t="str">
        <f t="shared" si="2903"/>
        <v>行政財産</v>
      </c>
      <c r="D8356" s="8" t="str">
        <f t="shared" si="2904"/>
        <v>警察（消防）施設</v>
      </c>
      <c r="E8356" s="8" t="str">
        <f>"大阪府豊中市島江町１丁目"</f>
        <v>大阪府豊中市島江町１丁目</v>
      </c>
      <c r="F8356" s="8"/>
      <c r="G8356" s="8" t="str">
        <f t="shared" si="2915"/>
        <v>事業用資産</v>
      </c>
      <c r="H8356" s="8" t="str">
        <f t="shared" si="2909"/>
        <v>棚卸以外</v>
      </c>
      <c r="I8356" s="8">
        <v>1</v>
      </c>
      <c r="J8356" s="8" t="str">
        <f>"島江交番"</f>
        <v>島江交番</v>
      </c>
      <c r="K8356" s="8" t="str">
        <f>"鉄筋コンクリート造"</f>
        <v>鉄筋コンクリート造</v>
      </c>
      <c r="L8356" s="8" t="str">
        <f>"S44.03.31"</f>
        <v>S44.03.31</v>
      </c>
      <c r="M8356" s="8">
        <v>82.35</v>
      </c>
      <c r="N8356" s="8">
        <v>6872372</v>
      </c>
      <c r="O8356" s="8">
        <v>6816895</v>
      </c>
      <c r="P8356" s="8">
        <v>0</v>
      </c>
      <c r="Q8356" s="8" t="str">
        <f t="shared" si="2902"/>
        <v>公安委員会</v>
      </c>
      <c r="R8356" s="8" t="str">
        <f t="shared" si="2916"/>
        <v>豊中南警察署</v>
      </c>
    </row>
    <row r="8357" spans="1:18" x14ac:dyDescent="0.45">
      <c r="A8357" s="8" t="str">
        <f>"11584000170"</f>
        <v>11584000170</v>
      </c>
      <c r="B8357" s="8" t="str">
        <f>"服部西交番"</f>
        <v>服部西交番</v>
      </c>
      <c r="C8357" s="8" t="str">
        <f t="shared" si="2903"/>
        <v>行政財産</v>
      </c>
      <c r="D8357" s="8" t="str">
        <f t="shared" si="2904"/>
        <v>警察（消防）施設</v>
      </c>
      <c r="E8357" s="8" t="str">
        <f>"大阪府豊中市服部西町４丁目"</f>
        <v>大阪府豊中市服部西町４丁目</v>
      </c>
      <c r="F8357" s="8"/>
      <c r="G8357" s="8" t="str">
        <f t="shared" si="2915"/>
        <v>事業用資産</v>
      </c>
      <c r="H8357" s="8" t="str">
        <f t="shared" si="2909"/>
        <v>棚卸以外</v>
      </c>
      <c r="I8357" s="8">
        <v>2</v>
      </c>
      <c r="J8357" s="8" t="str">
        <f>"服部西交番"</f>
        <v>服部西交番</v>
      </c>
      <c r="K8357" s="8" t="str">
        <f>"鉄骨造"</f>
        <v>鉄骨造</v>
      </c>
      <c r="L8357" s="8" t="str">
        <f>"H22.03.29"</f>
        <v>H22.03.29</v>
      </c>
      <c r="M8357" s="8">
        <v>130.30000000000001</v>
      </c>
      <c r="N8357" s="8">
        <v>31904364</v>
      </c>
      <c r="O8357" s="8">
        <v>8303527</v>
      </c>
      <c r="P8357" s="8">
        <v>0</v>
      </c>
      <c r="Q8357" s="8" t="str">
        <f t="shared" si="2902"/>
        <v>公安委員会</v>
      </c>
      <c r="R8357" s="8" t="str">
        <f t="shared" si="2916"/>
        <v>豊中南警察署</v>
      </c>
    </row>
    <row r="8358" spans="1:18" x14ac:dyDescent="0.45">
      <c r="A8358" s="8" t="str">
        <f>"11584000180"</f>
        <v>11584000180</v>
      </c>
      <c r="B8358" s="8" t="str">
        <f>"豊南交番"</f>
        <v>豊南交番</v>
      </c>
      <c r="C8358" s="8" t="str">
        <f t="shared" si="2903"/>
        <v>行政財産</v>
      </c>
      <c r="D8358" s="8" t="str">
        <f t="shared" si="2904"/>
        <v>警察（消防）施設</v>
      </c>
      <c r="E8358" s="8" t="str">
        <f>"大阪府豊中市豊南町東４丁目"</f>
        <v>大阪府豊中市豊南町東４丁目</v>
      </c>
      <c r="F8358" s="8"/>
      <c r="G8358" s="8" t="str">
        <f t="shared" si="2915"/>
        <v>事業用資産</v>
      </c>
      <c r="H8358" s="8" t="str">
        <f t="shared" si="2909"/>
        <v>棚卸以外</v>
      </c>
      <c r="I8358" s="8">
        <v>1</v>
      </c>
      <c r="J8358" s="8" t="str">
        <f>"豊南交番"</f>
        <v>豊南交番</v>
      </c>
      <c r="K8358" s="8" t="str">
        <f t="shared" ref="K8358:K8365" si="2917">"鉄筋コンクリート造"</f>
        <v>鉄筋コンクリート造</v>
      </c>
      <c r="L8358" s="8" t="str">
        <f>"S45.02.06"</f>
        <v>S45.02.06</v>
      </c>
      <c r="M8358" s="8">
        <v>40.5</v>
      </c>
      <c r="N8358" s="8">
        <v>3499000</v>
      </c>
      <c r="O8358" s="8">
        <v>3498999</v>
      </c>
      <c r="P8358" s="8">
        <v>0</v>
      </c>
      <c r="Q8358" s="8" t="str">
        <f t="shared" si="2902"/>
        <v>公安委員会</v>
      </c>
      <c r="R8358" s="8" t="str">
        <f t="shared" si="2916"/>
        <v>豊中南警察署</v>
      </c>
    </row>
    <row r="8359" spans="1:18" x14ac:dyDescent="0.45">
      <c r="A8359" s="8" t="str">
        <f t="shared" ref="A8359:A8364" si="2918">"11585000000"</f>
        <v>11585000000</v>
      </c>
      <c r="B8359" s="8" t="str">
        <f t="shared" ref="B8359:B8364" si="2919">"南堺警察署"</f>
        <v>南堺警察署</v>
      </c>
      <c r="C8359" s="8" t="str">
        <f t="shared" si="2903"/>
        <v>行政財産</v>
      </c>
      <c r="D8359" s="8" t="str">
        <f t="shared" si="2904"/>
        <v>警察（消防）施設</v>
      </c>
      <c r="E8359" s="8" t="str">
        <f t="shared" ref="E8359:E8364" si="2920">"大阪府堺市　南区桃山台２丁"</f>
        <v>大阪府堺市　南区桃山台２丁</v>
      </c>
      <c r="F8359" s="8"/>
      <c r="G8359" s="8" t="str">
        <f t="shared" si="2915"/>
        <v>事業用資産</v>
      </c>
      <c r="H8359" s="8" t="str">
        <f t="shared" si="2909"/>
        <v>棚卸以外</v>
      </c>
      <c r="I8359" s="8">
        <v>1</v>
      </c>
      <c r="J8359" s="8" t="str">
        <f>"庁舎"</f>
        <v>庁舎</v>
      </c>
      <c r="K8359" s="8" t="str">
        <f t="shared" si="2917"/>
        <v>鉄筋コンクリート造</v>
      </c>
      <c r="L8359" s="8" t="str">
        <f t="shared" ref="L8359:L8364" si="2921">"H01.03.01"</f>
        <v>H01.03.01</v>
      </c>
      <c r="M8359" s="8">
        <v>2799.25</v>
      </c>
      <c r="N8359" s="8">
        <v>654522375</v>
      </c>
      <c r="O8359" s="8">
        <v>436382253</v>
      </c>
      <c r="P8359" s="8">
        <v>0</v>
      </c>
      <c r="Q8359" s="8" t="str">
        <f t="shared" si="2902"/>
        <v>公安委員会</v>
      </c>
      <c r="R8359" s="8" t="str">
        <f t="shared" ref="R8359:R8373" si="2922">"南堺警察署"</f>
        <v>南堺警察署</v>
      </c>
    </row>
    <row r="8360" spans="1:18" x14ac:dyDescent="0.45">
      <c r="A8360" s="8" t="str">
        <f t="shared" si="2918"/>
        <v>11585000000</v>
      </c>
      <c r="B8360" s="8" t="str">
        <f t="shared" si="2919"/>
        <v>南堺警察署</v>
      </c>
      <c r="C8360" s="8" t="str">
        <f t="shared" si="2903"/>
        <v>行政財産</v>
      </c>
      <c r="D8360" s="8" t="str">
        <f t="shared" si="2904"/>
        <v>警察（消防）施設</v>
      </c>
      <c r="E8360" s="8" t="str">
        <f t="shared" si="2920"/>
        <v>大阪府堺市　南区桃山台２丁</v>
      </c>
      <c r="F8360" s="8"/>
      <c r="G8360" s="8" t="str">
        <f t="shared" si="2915"/>
        <v>事業用資産</v>
      </c>
      <c r="H8360" s="8" t="str">
        <f t="shared" si="2909"/>
        <v>棚卸以外</v>
      </c>
      <c r="I8360" s="8">
        <v>2</v>
      </c>
      <c r="J8360" s="8" t="str">
        <f>"署長公舎"</f>
        <v>署長公舎</v>
      </c>
      <c r="K8360" s="8" t="str">
        <f t="shared" si="2917"/>
        <v>鉄筋コンクリート造</v>
      </c>
      <c r="L8360" s="8" t="str">
        <f t="shared" si="2921"/>
        <v>H01.03.01</v>
      </c>
      <c r="M8360" s="8">
        <v>84.78</v>
      </c>
      <c r="N8360" s="8">
        <v>22873363</v>
      </c>
      <c r="O8360" s="8">
        <v>16417929</v>
      </c>
      <c r="P8360" s="8">
        <v>0</v>
      </c>
      <c r="Q8360" s="8" t="str">
        <f t="shared" si="2902"/>
        <v>公安委員会</v>
      </c>
      <c r="R8360" s="8" t="str">
        <f t="shared" si="2922"/>
        <v>南堺警察署</v>
      </c>
    </row>
    <row r="8361" spans="1:18" x14ac:dyDescent="0.45">
      <c r="A8361" s="8" t="str">
        <f t="shared" si="2918"/>
        <v>11585000000</v>
      </c>
      <c r="B8361" s="8" t="str">
        <f t="shared" si="2919"/>
        <v>南堺警察署</v>
      </c>
      <c r="C8361" s="8" t="str">
        <f t="shared" si="2903"/>
        <v>行政財産</v>
      </c>
      <c r="D8361" s="8" t="str">
        <f t="shared" si="2904"/>
        <v>警察（消防）施設</v>
      </c>
      <c r="E8361" s="8" t="str">
        <f t="shared" si="2920"/>
        <v>大阪府堺市　南区桃山台２丁</v>
      </c>
      <c r="F8361" s="8"/>
      <c r="G8361" s="8" t="str">
        <f t="shared" si="2915"/>
        <v>事業用資産</v>
      </c>
      <c r="H8361" s="8" t="str">
        <f t="shared" si="2909"/>
        <v>棚卸以外</v>
      </c>
      <c r="I8361" s="8">
        <v>3</v>
      </c>
      <c r="J8361" s="8" t="str">
        <f>"車庫、ゴミ集積場"</f>
        <v>車庫、ゴミ集積場</v>
      </c>
      <c r="K8361" s="8" t="str">
        <f t="shared" si="2917"/>
        <v>鉄筋コンクリート造</v>
      </c>
      <c r="L8361" s="8" t="str">
        <f t="shared" si="2921"/>
        <v>H01.03.01</v>
      </c>
      <c r="M8361" s="8">
        <v>158.85</v>
      </c>
      <c r="N8361" s="8">
        <v>18417282</v>
      </c>
      <c r="O8361" s="8">
        <v>16478712</v>
      </c>
      <c r="P8361" s="8">
        <v>0</v>
      </c>
      <c r="Q8361" s="8" t="str">
        <f t="shared" si="2902"/>
        <v>公安委員会</v>
      </c>
      <c r="R8361" s="8" t="str">
        <f t="shared" si="2922"/>
        <v>南堺警察署</v>
      </c>
    </row>
    <row r="8362" spans="1:18" x14ac:dyDescent="0.45">
      <c r="A8362" s="8" t="str">
        <f t="shared" si="2918"/>
        <v>11585000000</v>
      </c>
      <c r="B8362" s="8" t="str">
        <f t="shared" si="2919"/>
        <v>南堺警察署</v>
      </c>
      <c r="C8362" s="8" t="str">
        <f t="shared" si="2903"/>
        <v>行政財産</v>
      </c>
      <c r="D8362" s="8" t="str">
        <f t="shared" si="2904"/>
        <v>警察（消防）施設</v>
      </c>
      <c r="E8362" s="8" t="str">
        <f t="shared" si="2920"/>
        <v>大阪府堺市　南区桃山台２丁</v>
      </c>
      <c r="F8362" s="8"/>
      <c r="G8362" s="8" t="str">
        <f t="shared" si="2915"/>
        <v>事業用資産</v>
      </c>
      <c r="H8362" s="8" t="str">
        <f t="shared" si="2909"/>
        <v>棚卸以外</v>
      </c>
      <c r="I8362" s="8">
        <v>4</v>
      </c>
      <c r="J8362" s="8" t="str">
        <f>"大型車庫"</f>
        <v>大型車庫</v>
      </c>
      <c r="K8362" s="8" t="str">
        <f t="shared" si="2917"/>
        <v>鉄筋コンクリート造</v>
      </c>
      <c r="L8362" s="8" t="str">
        <f t="shared" si="2921"/>
        <v>H01.03.01</v>
      </c>
      <c r="M8362" s="8">
        <v>215.5</v>
      </c>
      <c r="N8362" s="8">
        <v>35719718</v>
      </c>
      <c r="O8362" s="8">
        <v>31913957</v>
      </c>
      <c r="P8362" s="8">
        <v>0</v>
      </c>
      <c r="Q8362" s="8" t="str">
        <f t="shared" si="2902"/>
        <v>公安委員会</v>
      </c>
      <c r="R8362" s="8" t="str">
        <f t="shared" si="2922"/>
        <v>南堺警察署</v>
      </c>
    </row>
    <row r="8363" spans="1:18" x14ac:dyDescent="0.45">
      <c r="A8363" s="8" t="str">
        <f t="shared" si="2918"/>
        <v>11585000000</v>
      </c>
      <c r="B8363" s="8" t="str">
        <f t="shared" si="2919"/>
        <v>南堺警察署</v>
      </c>
      <c r="C8363" s="8" t="str">
        <f t="shared" si="2903"/>
        <v>行政財産</v>
      </c>
      <c r="D8363" s="8" t="str">
        <f t="shared" si="2904"/>
        <v>警察（消防）施設</v>
      </c>
      <c r="E8363" s="8" t="str">
        <f t="shared" si="2920"/>
        <v>大阪府堺市　南区桃山台２丁</v>
      </c>
      <c r="F8363" s="8"/>
      <c r="G8363" s="8" t="str">
        <f t="shared" si="2915"/>
        <v>事業用資産</v>
      </c>
      <c r="H8363" s="8" t="str">
        <f t="shared" si="2909"/>
        <v>棚卸以外</v>
      </c>
      <c r="I8363" s="8">
        <v>5</v>
      </c>
      <c r="J8363" s="8" t="str">
        <f>"ガソリンスタンドポンプ室"</f>
        <v>ガソリンスタンドポンプ室</v>
      </c>
      <c r="K8363" s="8" t="str">
        <f t="shared" si="2917"/>
        <v>鉄筋コンクリート造</v>
      </c>
      <c r="L8363" s="8" t="str">
        <f t="shared" si="2921"/>
        <v>H01.03.01</v>
      </c>
      <c r="M8363" s="8">
        <v>3.23</v>
      </c>
      <c r="N8363" s="8">
        <v>440000</v>
      </c>
      <c r="O8363" s="8">
        <v>393720</v>
      </c>
      <c r="P8363" s="8">
        <v>0</v>
      </c>
      <c r="Q8363" s="8" t="str">
        <f t="shared" si="2902"/>
        <v>公安委員会</v>
      </c>
      <c r="R8363" s="8" t="str">
        <f t="shared" si="2922"/>
        <v>南堺警察署</v>
      </c>
    </row>
    <row r="8364" spans="1:18" x14ac:dyDescent="0.45">
      <c r="A8364" s="8" t="str">
        <f t="shared" si="2918"/>
        <v>11585000000</v>
      </c>
      <c r="B8364" s="8" t="str">
        <f t="shared" si="2919"/>
        <v>南堺警察署</v>
      </c>
      <c r="C8364" s="8" t="str">
        <f t="shared" si="2903"/>
        <v>行政財産</v>
      </c>
      <c r="D8364" s="8" t="str">
        <f t="shared" si="2904"/>
        <v>警察（消防）施設</v>
      </c>
      <c r="E8364" s="8" t="str">
        <f t="shared" si="2920"/>
        <v>大阪府堺市　南区桃山台２丁</v>
      </c>
      <c r="F8364" s="8"/>
      <c r="G8364" s="8" t="str">
        <f t="shared" si="2915"/>
        <v>事業用資産</v>
      </c>
      <c r="H8364" s="8" t="str">
        <f t="shared" si="2909"/>
        <v>棚卸以外</v>
      </c>
      <c r="I8364" s="8">
        <v>6</v>
      </c>
      <c r="J8364" s="8" t="str">
        <f>"二輪車置場"</f>
        <v>二輪車置場</v>
      </c>
      <c r="K8364" s="8" t="str">
        <f t="shared" si="2917"/>
        <v>鉄筋コンクリート造</v>
      </c>
      <c r="L8364" s="8" t="str">
        <f t="shared" si="2921"/>
        <v>H01.03.01</v>
      </c>
      <c r="M8364" s="8">
        <v>32.5</v>
      </c>
      <c r="N8364" s="8">
        <v>6245568</v>
      </c>
      <c r="O8364" s="8">
        <v>5417574</v>
      </c>
      <c r="P8364" s="8">
        <v>0</v>
      </c>
      <c r="Q8364" s="8" t="str">
        <f t="shared" si="2902"/>
        <v>公安委員会</v>
      </c>
      <c r="R8364" s="8" t="str">
        <f t="shared" si="2922"/>
        <v>南堺警察署</v>
      </c>
    </row>
    <row r="8365" spans="1:18" x14ac:dyDescent="0.45">
      <c r="A8365" s="8" t="str">
        <f>"11585000110"</f>
        <v>11585000110</v>
      </c>
      <c r="B8365" s="8" t="str">
        <f>"泉ヶ丘交番"</f>
        <v>泉ヶ丘交番</v>
      </c>
      <c r="C8365" s="8" t="str">
        <f t="shared" si="2903"/>
        <v>行政財産</v>
      </c>
      <c r="D8365" s="8" t="str">
        <f t="shared" si="2904"/>
        <v>警察（消防）施設</v>
      </c>
      <c r="E8365" s="8" t="str">
        <f>"大阪府堺市　南区茶山台１丁"</f>
        <v>大阪府堺市　南区茶山台１丁</v>
      </c>
      <c r="F8365" s="8"/>
      <c r="G8365" s="8" t="str">
        <f t="shared" si="2915"/>
        <v>事業用資産</v>
      </c>
      <c r="H8365" s="8" t="str">
        <f t="shared" si="2909"/>
        <v>棚卸以外</v>
      </c>
      <c r="I8365" s="8">
        <v>1</v>
      </c>
      <c r="J8365" s="8" t="str">
        <f>"泉ヶ丘交番"</f>
        <v>泉ヶ丘交番</v>
      </c>
      <c r="K8365" s="8" t="str">
        <f t="shared" si="2917"/>
        <v>鉄筋コンクリート造</v>
      </c>
      <c r="L8365" s="8" t="str">
        <f>"S46.06.01"</f>
        <v>S46.06.01</v>
      </c>
      <c r="M8365" s="8">
        <v>116.04</v>
      </c>
      <c r="N8365" s="8">
        <v>9128257</v>
      </c>
      <c r="O8365" s="8">
        <v>9111550</v>
      </c>
      <c r="P8365" s="8">
        <v>0</v>
      </c>
      <c r="Q8365" s="8" t="str">
        <f t="shared" si="2902"/>
        <v>公安委員会</v>
      </c>
      <c r="R8365" s="8" t="str">
        <f t="shared" si="2922"/>
        <v>南堺警察署</v>
      </c>
    </row>
    <row r="8366" spans="1:18" x14ac:dyDescent="0.45">
      <c r="A8366" s="8" t="str">
        <f>"11585000120"</f>
        <v>11585000120</v>
      </c>
      <c r="B8366" s="8" t="str">
        <f>"槇塚台交番"</f>
        <v>槇塚台交番</v>
      </c>
      <c r="C8366" s="8" t="str">
        <f t="shared" si="2903"/>
        <v>行政財産</v>
      </c>
      <c r="D8366" s="8" t="str">
        <f t="shared" si="2904"/>
        <v>警察（消防）施設</v>
      </c>
      <c r="E8366" s="8" t="str">
        <f>"大阪府堺市　南区槇塚台３丁"</f>
        <v>大阪府堺市　南区槇塚台３丁</v>
      </c>
      <c r="F8366" s="8"/>
      <c r="G8366" s="8" t="str">
        <f t="shared" si="2915"/>
        <v>事業用資産</v>
      </c>
      <c r="H8366" s="8" t="str">
        <f t="shared" si="2909"/>
        <v>棚卸以外</v>
      </c>
      <c r="I8366" s="8">
        <v>1</v>
      </c>
      <c r="J8366" s="8" t="str">
        <f>"槇塚台交番"</f>
        <v>槇塚台交番</v>
      </c>
      <c r="K8366" s="8" t="str">
        <f>"コンクリートブロック造"</f>
        <v>コンクリートブロック造</v>
      </c>
      <c r="L8366" s="8" t="str">
        <f>"S48.03.31"</f>
        <v>S48.03.31</v>
      </c>
      <c r="M8366" s="8">
        <v>32.4</v>
      </c>
      <c r="N8366" s="8">
        <v>3897803</v>
      </c>
      <c r="O8366" s="8">
        <v>3843843</v>
      </c>
      <c r="P8366" s="8">
        <v>0</v>
      </c>
      <c r="Q8366" s="8" t="str">
        <f t="shared" si="2902"/>
        <v>公安委員会</v>
      </c>
      <c r="R8366" s="8" t="str">
        <f t="shared" si="2922"/>
        <v>南堺警察署</v>
      </c>
    </row>
    <row r="8367" spans="1:18" x14ac:dyDescent="0.45">
      <c r="A8367" s="8" t="str">
        <f>"11585000130"</f>
        <v>11585000130</v>
      </c>
      <c r="B8367" s="8" t="str">
        <f>"栂交番"</f>
        <v>栂交番</v>
      </c>
      <c r="C8367" s="8" t="str">
        <f t="shared" si="2903"/>
        <v>行政財産</v>
      </c>
      <c r="D8367" s="8" t="str">
        <f t="shared" si="2904"/>
        <v>警察（消防）施設</v>
      </c>
      <c r="E8367" s="8" t="str">
        <f>"大阪府堺市　南区原山台２丁"</f>
        <v>大阪府堺市　南区原山台２丁</v>
      </c>
      <c r="F8367" s="8"/>
      <c r="G8367" s="8" t="str">
        <f t="shared" si="2915"/>
        <v>事業用資産</v>
      </c>
      <c r="H8367" s="8" t="str">
        <f t="shared" si="2909"/>
        <v>棚卸以外</v>
      </c>
      <c r="I8367" s="8">
        <v>1</v>
      </c>
      <c r="J8367" s="8" t="str">
        <f>"栂交番"</f>
        <v>栂交番</v>
      </c>
      <c r="K8367" s="8" t="str">
        <f>"鉄筋コンクリート造"</f>
        <v>鉄筋コンクリート造</v>
      </c>
      <c r="L8367" s="8" t="str">
        <f>"S48.12.20"</f>
        <v>S48.12.20</v>
      </c>
      <c r="M8367" s="8">
        <v>70</v>
      </c>
      <c r="N8367" s="8">
        <v>18411173</v>
      </c>
      <c r="O8367" s="8">
        <v>17953005</v>
      </c>
      <c r="P8367" s="8">
        <v>0</v>
      </c>
      <c r="Q8367" s="8" t="str">
        <f t="shared" si="2902"/>
        <v>公安委員会</v>
      </c>
      <c r="R8367" s="8" t="str">
        <f t="shared" si="2922"/>
        <v>南堺警察署</v>
      </c>
    </row>
    <row r="8368" spans="1:18" x14ac:dyDescent="0.45">
      <c r="A8368" s="8" t="str">
        <f>"11585000140"</f>
        <v>11585000140</v>
      </c>
      <c r="B8368" s="8" t="str">
        <f>"光明池駅前交番"</f>
        <v>光明池駅前交番</v>
      </c>
      <c r="C8368" s="8" t="str">
        <f t="shared" si="2903"/>
        <v>行政財産</v>
      </c>
      <c r="D8368" s="8" t="str">
        <f t="shared" si="2904"/>
        <v>警察（消防）施設</v>
      </c>
      <c r="E8368" s="8" t="str">
        <f>"大阪府堺市　南区新檜尾台２丁"</f>
        <v>大阪府堺市　南区新檜尾台２丁</v>
      </c>
      <c r="F8368" s="8"/>
      <c r="G8368" s="8" t="str">
        <f t="shared" si="2915"/>
        <v>事業用資産</v>
      </c>
      <c r="H8368" s="8" t="str">
        <f t="shared" si="2909"/>
        <v>棚卸以外</v>
      </c>
      <c r="I8368" s="8">
        <v>1</v>
      </c>
      <c r="J8368" s="8" t="str">
        <f>"光明池駅前交番"</f>
        <v>光明池駅前交番</v>
      </c>
      <c r="K8368" s="8" t="str">
        <f>"鉄筋コンクリート造"</f>
        <v>鉄筋コンクリート造</v>
      </c>
      <c r="L8368" s="8" t="str">
        <f>"S52.09.19"</f>
        <v>S52.09.19</v>
      </c>
      <c r="M8368" s="8">
        <v>84.72</v>
      </c>
      <c r="N8368" s="8">
        <v>17938000</v>
      </c>
      <c r="O8368" s="8">
        <v>16323762</v>
      </c>
      <c r="P8368" s="8">
        <v>0</v>
      </c>
      <c r="Q8368" s="8" t="str">
        <f t="shared" si="2902"/>
        <v>公安委員会</v>
      </c>
      <c r="R8368" s="8" t="str">
        <f t="shared" si="2922"/>
        <v>南堺警察署</v>
      </c>
    </row>
    <row r="8369" spans="1:18" x14ac:dyDescent="0.45">
      <c r="A8369" s="8" t="str">
        <f>"11585000150"</f>
        <v>11585000150</v>
      </c>
      <c r="B8369" s="8" t="str">
        <f>"庭代台交番"</f>
        <v>庭代台交番</v>
      </c>
      <c r="C8369" s="8" t="str">
        <f t="shared" si="2903"/>
        <v>行政財産</v>
      </c>
      <c r="D8369" s="8" t="str">
        <f t="shared" si="2904"/>
        <v>警察（消防）施設</v>
      </c>
      <c r="E8369" s="8" t="str">
        <f>"大阪府堺市　南区庭代台４丁"</f>
        <v>大阪府堺市　南区庭代台４丁</v>
      </c>
      <c r="F8369" s="8"/>
      <c r="G8369" s="8" t="str">
        <f t="shared" si="2915"/>
        <v>事業用資産</v>
      </c>
      <c r="H8369" s="8" t="str">
        <f t="shared" si="2909"/>
        <v>棚卸以外</v>
      </c>
      <c r="I8369" s="8">
        <v>1</v>
      </c>
      <c r="J8369" s="8" t="str">
        <f>"庭代台交番"</f>
        <v>庭代台交番</v>
      </c>
      <c r="K8369" s="8" t="str">
        <f>"鉄筋コンクリート造"</f>
        <v>鉄筋コンクリート造</v>
      </c>
      <c r="L8369" s="8" t="str">
        <f>"S54.03.31"</f>
        <v>S54.03.31</v>
      </c>
      <c r="M8369" s="8">
        <v>59.43</v>
      </c>
      <c r="N8369" s="8">
        <v>14001333</v>
      </c>
      <c r="O8369" s="8">
        <v>12276078</v>
      </c>
      <c r="P8369" s="8">
        <v>0</v>
      </c>
      <c r="Q8369" s="8" t="str">
        <f t="shared" si="2902"/>
        <v>公安委員会</v>
      </c>
      <c r="R8369" s="8" t="str">
        <f t="shared" si="2922"/>
        <v>南堺警察署</v>
      </c>
    </row>
    <row r="8370" spans="1:18" x14ac:dyDescent="0.45">
      <c r="A8370" s="8" t="str">
        <f>"11585000150"</f>
        <v>11585000150</v>
      </c>
      <c r="B8370" s="8" t="str">
        <f>"庭代台交番"</f>
        <v>庭代台交番</v>
      </c>
      <c r="C8370" s="8" t="str">
        <f t="shared" si="2903"/>
        <v>行政財産</v>
      </c>
      <c r="D8370" s="8" t="str">
        <f t="shared" si="2904"/>
        <v>警察（消防）施設</v>
      </c>
      <c r="E8370" s="8" t="str">
        <f>"大阪府堺市　南区庭代台４丁"</f>
        <v>大阪府堺市　南区庭代台４丁</v>
      </c>
      <c r="F8370" s="8"/>
      <c r="G8370" s="8" t="str">
        <f t="shared" si="2915"/>
        <v>事業用資産</v>
      </c>
      <c r="H8370" s="8" t="str">
        <f t="shared" si="2909"/>
        <v>棚卸以外</v>
      </c>
      <c r="I8370" s="8">
        <v>2</v>
      </c>
      <c r="J8370" s="8" t="str">
        <f>"自転車置場"</f>
        <v>自転車置場</v>
      </c>
      <c r="K8370" s="8" t="str">
        <f>"鉄骨造"</f>
        <v>鉄骨造</v>
      </c>
      <c r="L8370" s="8" t="str">
        <f>"S54.03.31"</f>
        <v>S54.03.31</v>
      </c>
      <c r="M8370" s="8">
        <v>3.6</v>
      </c>
      <c r="N8370" s="8">
        <v>169000</v>
      </c>
      <c r="O8370" s="8">
        <v>168999</v>
      </c>
      <c r="P8370" s="8">
        <v>0</v>
      </c>
      <c r="Q8370" s="8" t="str">
        <f t="shared" si="2902"/>
        <v>公安委員会</v>
      </c>
      <c r="R8370" s="8" t="str">
        <f t="shared" si="2922"/>
        <v>南堺警察署</v>
      </c>
    </row>
    <row r="8371" spans="1:18" x14ac:dyDescent="0.45">
      <c r="A8371" s="8" t="str">
        <f>"11585000160"</f>
        <v>11585000160</v>
      </c>
      <c r="B8371" s="8" t="str">
        <f>"城山台交番"</f>
        <v>城山台交番</v>
      </c>
      <c r="C8371" s="8" t="str">
        <f t="shared" si="2903"/>
        <v>行政財産</v>
      </c>
      <c r="D8371" s="8" t="str">
        <f t="shared" si="2904"/>
        <v>警察（消防）施設</v>
      </c>
      <c r="E8371" s="8" t="str">
        <f>"大阪府堺市　南区城山台２丁"</f>
        <v>大阪府堺市　南区城山台２丁</v>
      </c>
      <c r="F8371" s="8"/>
      <c r="G8371" s="8" t="str">
        <f t="shared" si="2915"/>
        <v>事業用資産</v>
      </c>
      <c r="H8371" s="8" t="str">
        <f t="shared" si="2909"/>
        <v>棚卸以外</v>
      </c>
      <c r="I8371" s="8">
        <v>1</v>
      </c>
      <c r="J8371" s="8" t="str">
        <f>"城山台交番"</f>
        <v>城山台交番</v>
      </c>
      <c r="K8371" s="8" t="str">
        <f>"鉄筋コンクリート造"</f>
        <v>鉄筋コンクリート造</v>
      </c>
      <c r="L8371" s="8" t="str">
        <f>"S57.03.31"</f>
        <v>S57.03.31</v>
      </c>
      <c r="M8371" s="8">
        <v>54</v>
      </c>
      <c r="N8371" s="8">
        <v>9186742</v>
      </c>
      <c r="O8371" s="8">
        <v>7485924</v>
      </c>
      <c r="P8371" s="8">
        <v>0</v>
      </c>
      <c r="Q8371" s="8" t="str">
        <f t="shared" ref="Q8371:Q8402" si="2923">"公安委員会"</f>
        <v>公安委員会</v>
      </c>
      <c r="R8371" s="8" t="str">
        <f t="shared" si="2922"/>
        <v>南堺警察署</v>
      </c>
    </row>
    <row r="8372" spans="1:18" x14ac:dyDescent="0.45">
      <c r="A8372" s="8" t="str">
        <f>"11585000170"</f>
        <v>11585000170</v>
      </c>
      <c r="B8372" s="8" t="str">
        <f>"釜室駐在所"</f>
        <v>釜室駐在所</v>
      </c>
      <c r="C8372" s="8" t="str">
        <f t="shared" si="2903"/>
        <v>行政財産</v>
      </c>
      <c r="D8372" s="8" t="str">
        <f t="shared" si="2904"/>
        <v>警察（消防）施設</v>
      </c>
      <c r="E8372" s="8" t="str">
        <f>"大阪府堺市　南区釜室"</f>
        <v>大阪府堺市　南区釜室</v>
      </c>
      <c r="F8372" s="8"/>
      <c r="G8372" s="8" t="str">
        <f t="shared" si="2915"/>
        <v>事業用資産</v>
      </c>
      <c r="H8372" s="8" t="str">
        <f t="shared" si="2909"/>
        <v>棚卸以外</v>
      </c>
      <c r="I8372" s="8">
        <v>2</v>
      </c>
      <c r="J8372" s="8" t="str">
        <f>"釜室駐在所"</f>
        <v>釜室駐在所</v>
      </c>
      <c r="K8372" s="8" t="str">
        <f>"鉄骨造"</f>
        <v>鉄骨造</v>
      </c>
      <c r="L8372" s="8" t="str">
        <f>"H15.12.24"</f>
        <v>H15.12.24</v>
      </c>
      <c r="M8372" s="8">
        <v>91.03</v>
      </c>
      <c r="N8372" s="8">
        <v>20542000</v>
      </c>
      <c r="O8372" s="8">
        <v>10406319</v>
      </c>
      <c r="P8372" s="8">
        <v>0</v>
      </c>
      <c r="Q8372" s="8" t="str">
        <f t="shared" si="2923"/>
        <v>公安委員会</v>
      </c>
      <c r="R8372" s="8" t="str">
        <f t="shared" si="2922"/>
        <v>南堺警察署</v>
      </c>
    </row>
    <row r="8373" spans="1:18" x14ac:dyDescent="0.45">
      <c r="A8373" s="8" t="str">
        <f>"11585000180"</f>
        <v>11585000180</v>
      </c>
      <c r="B8373" s="8" t="str">
        <f>"赤坂台交番"</f>
        <v>赤坂台交番</v>
      </c>
      <c r="C8373" s="8" t="str">
        <f t="shared" si="2903"/>
        <v>行政財産</v>
      </c>
      <c r="D8373" s="8" t="str">
        <f t="shared" si="2904"/>
        <v>警察（消防）施設</v>
      </c>
      <c r="E8373" s="8" t="str">
        <f>"大阪府堺市　南区赤坂台２丁"</f>
        <v>大阪府堺市　南区赤坂台２丁</v>
      </c>
      <c r="F8373" s="8"/>
      <c r="G8373" s="8" t="str">
        <f t="shared" si="2915"/>
        <v>事業用資産</v>
      </c>
      <c r="H8373" s="8" t="str">
        <f t="shared" si="2909"/>
        <v>棚卸以外</v>
      </c>
      <c r="I8373" s="8">
        <v>1</v>
      </c>
      <c r="J8373" s="8" t="str">
        <f>"赤坂台交番"</f>
        <v>赤坂台交番</v>
      </c>
      <c r="K8373" s="8" t="str">
        <f>"鉄筋コンクリート造"</f>
        <v>鉄筋コンクリート造</v>
      </c>
      <c r="L8373" s="8" t="str">
        <f>"H01.12.22"</f>
        <v>H01.12.22</v>
      </c>
      <c r="M8373" s="8">
        <v>54</v>
      </c>
      <c r="N8373" s="8">
        <v>19622507</v>
      </c>
      <c r="O8373" s="8">
        <v>13012029</v>
      </c>
      <c r="P8373" s="8">
        <v>0</v>
      </c>
      <c r="Q8373" s="8" t="str">
        <f t="shared" si="2923"/>
        <v>公安委員会</v>
      </c>
      <c r="R8373" s="8" t="str">
        <f t="shared" si="2922"/>
        <v>南堺警察署</v>
      </c>
    </row>
    <row r="8374" spans="1:18" x14ac:dyDescent="0.45">
      <c r="A8374" s="8" t="str">
        <f t="shared" ref="A8374:A8379" si="2924">"11586000000"</f>
        <v>11586000000</v>
      </c>
      <c r="B8374" s="8" t="str">
        <f t="shared" ref="B8374:B8379" si="2925">"関西空港警察署"</f>
        <v>関西空港警察署</v>
      </c>
      <c r="C8374" s="8" t="str">
        <f t="shared" ref="C8374:C8437" si="2926">"行政財産"</f>
        <v>行政財産</v>
      </c>
      <c r="D8374" s="8" t="str">
        <f t="shared" si="2904"/>
        <v>警察（消防）施設</v>
      </c>
      <c r="E8374" s="8" t="str">
        <f t="shared" ref="E8374:E8379" si="2927">"大阪府泉南郡　田尻町泉州空港中"</f>
        <v>大阪府泉南郡　田尻町泉州空港中</v>
      </c>
      <c r="F8374" s="8"/>
      <c r="G8374" s="8" t="str">
        <f t="shared" si="2915"/>
        <v>事業用資産</v>
      </c>
      <c r="H8374" s="8" t="str">
        <f t="shared" si="2909"/>
        <v>棚卸以外</v>
      </c>
      <c r="I8374" s="8">
        <v>1</v>
      </c>
      <c r="J8374" s="8" t="str">
        <f>"庁舎"</f>
        <v>庁舎</v>
      </c>
      <c r="K8374" s="8" t="str">
        <f>"鉄骨造"</f>
        <v>鉄骨造</v>
      </c>
      <c r="L8374" s="8" t="str">
        <f t="shared" ref="L8374:L8379" si="2928">"H06.03.14"</f>
        <v>H06.03.14</v>
      </c>
      <c r="M8374" s="8">
        <v>4098.16</v>
      </c>
      <c r="N8374" s="8">
        <v>2308590257</v>
      </c>
      <c r="O8374" s="8">
        <v>1736027005</v>
      </c>
      <c r="P8374" s="8">
        <v>0</v>
      </c>
      <c r="Q8374" s="8" t="str">
        <f t="shared" si="2923"/>
        <v>公安委員会</v>
      </c>
      <c r="R8374" s="8" t="str">
        <f t="shared" ref="R8374:R8379" si="2929">"関西空港警察署"</f>
        <v>関西空港警察署</v>
      </c>
    </row>
    <row r="8375" spans="1:18" x14ac:dyDescent="0.45">
      <c r="A8375" s="8" t="str">
        <f t="shared" si="2924"/>
        <v>11586000000</v>
      </c>
      <c r="B8375" s="8" t="str">
        <f t="shared" si="2925"/>
        <v>関西空港警察署</v>
      </c>
      <c r="C8375" s="8" t="str">
        <f t="shared" si="2926"/>
        <v>行政財産</v>
      </c>
      <c r="D8375" s="8" t="str">
        <f t="shared" si="2904"/>
        <v>警察（消防）施設</v>
      </c>
      <c r="E8375" s="8" t="str">
        <f t="shared" si="2927"/>
        <v>大阪府泉南郡　田尻町泉州空港中</v>
      </c>
      <c r="F8375" s="8"/>
      <c r="G8375" s="8" t="str">
        <f t="shared" si="2915"/>
        <v>事業用資産</v>
      </c>
      <c r="H8375" s="8" t="str">
        <f t="shared" si="2909"/>
        <v>棚卸以外</v>
      </c>
      <c r="I8375" s="8">
        <v>2</v>
      </c>
      <c r="J8375" s="8" t="str">
        <f>"車庫及び倉庫"</f>
        <v>車庫及び倉庫</v>
      </c>
      <c r="K8375" s="8" t="str">
        <f>"鉄骨造"</f>
        <v>鉄骨造</v>
      </c>
      <c r="L8375" s="8" t="str">
        <f t="shared" si="2928"/>
        <v>H06.03.14</v>
      </c>
      <c r="M8375" s="8">
        <v>129.58000000000001</v>
      </c>
      <c r="N8375" s="8">
        <v>25856117</v>
      </c>
      <c r="O8375" s="8">
        <v>24188088</v>
      </c>
      <c r="P8375" s="8">
        <v>0</v>
      </c>
      <c r="Q8375" s="8" t="str">
        <f t="shared" si="2923"/>
        <v>公安委員会</v>
      </c>
      <c r="R8375" s="8" t="str">
        <f t="shared" si="2929"/>
        <v>関西空港警察署</v>
      </c>
    </row>
    <row r="8376" spans="1:18" x14ac:dyDescent="0.45">
      <c r="A8376" s="8" t="str">
        <f t="shared" si="2924"/>
        <v>11586000000</v>
      </c>
      <c r="B8376" s="8" t="str">
        <f t="shared" si="2925"/>
        <v>関西空港警察署</v>
      </c>
      <c r="C8376" s="8" t="str">
        <f t="shared" si="2926"/>
        <v>行政財産</v>
      </c>
      <c r="D8376" s="8" t="str">
        <f t="shared" si="2904"/>
        <v>警察（消防）施設</v>
      </c>
      <c r="E8376" s="8" t="str">
        <f t="shared" si="2927"/>
        <v>大阪府泉南郡　田尻町泉州空港中</v>
      </c>
      <c r="F8376" s="8"/>
      <c r="G8376" s="8" t="str">
        <f t="shared" si="2915"/>
        <v>事業用資産</v>
      </c>
      <c r="H8376" s="8" t="str">
        <f t="shared" si="2909"/>
        <v>棚卸以外</v>
      </c>
      <c r="I8376" s="8">
        <v>3</v>
      </c>
      <c r="J8376" s="8" t="str">
        <f>"車庫"</f>
        <v>車庫</v>
      </c>
      <c r="K8376" s="8" t="str">
        <f>"鉄骨造"</f>
        <v>鉄骨造</v>
      </c>
      <c r="L8376" s="8" t="str">
        <f t="shared" si="2928"/>
        <v>H06.03.14</v>
      </c>
      <c r="M8376" s="8">
        <v>139.93</v>
      </c>
      <c r="N8376" s="8">
        <v>16831234</v>
      </c>
      <c r="O8376" s="8">
        <v>15745608</v>
      </c>
      <c r="P8376" s="8">
        <v>0</v>
      </c>
      <c r="Q8376" s="8" t="str">
        <f t="shared" si="2923"/>
        <v>公安委員会</v>
      </c>
      <c r="R8376" s="8" t="str">
        <f t="shared" si="2929"/>
        <v>関西空港警察署</v>
      </c>
    </row>
    <row r="8377" spans="1:18" x14ac:dyDescent="0.45">
      <c r="A8377" s="8" t="str">
        <f t="shared" si="2924"/>
        <v>11586000000</v>
      </c>
      <c r="B8377" s="8" t="str">
        <f t="shared" si="2925"/>
        <v>関西空港警察署</v>
      </c>
      <c r="C8377" s="8" t="str">
        <f t="shared" si="2926"/>
        <v>行政財産</v>
      </c>
      <c r="D8377" s="8" t="str">
        <f t="shared" si="2904"/>
        <v>警察（消防）施設</v>
      </c>
      <c r="E8377" s="8" t="str">
        <f t="shared" si="2927"/>
        <v>大阪府泉南郡　田尻町泉州空港中</v>
      </c>
      <c r="F8377" s="8"/>
      <c r="G8377" s="8" t="str">
        <f t="shared" si="2915"/>
        <v>事業用資産</v>
      </c>
      <c r="H8377" s="8" t="str">
        <f t="shared" si="2909"/>
        <v>棚卸以外</v>
      </c>
      <c r="I8377" s="8">
        <v>4</v>
      </c>
      <c r="J8377" s="8" t="str">
        <f>"大型車庫"</f>
        <v>大型車庫</v>
      </c>
      <c r="K8377" s="8" t="str">
        <f>"鉄骨造"</f>
        <v>鉄骨造</v>
      </c>
      <c r="L8377" s="8" t="str">
        <f t="shared" si="2928"/>
        <v>H06.03.14</v>
      </c>
      <c r="M8377" s="8">
        <v>106.39</v>
      </c>
      <c r="N8377" s="8">
        <v>22494704</v>
      </c>
      <c r="O8377" s="8">
        <v>21043560</v>
      </c>
      <c r="P8377" s="8">
        <v>0</v>
      </c>
      <c r="Q8377" s="8" t="str">
        <f t="shared" si="2923"/>
        <v>公安委員会</v>
      </c>
      <c r="R8377" s="8" t="str">
        <f t="shared" si="2929"/>
        <v>関西空港警察署</v>
      </c>
    </row>
    <row r="8378" spans="1:18" x14ac:dyDescent="0.45">
      <c r="A8378" s="8" t="str">
        <f t="shared" si="2924"/>
        <v>11586000000</v>
      </c>
      <c r="B8378" s="8" t="str">
        <f t="shared" si="2925"/>
        <v>関西空港警察署</v>
      </c>
      <c r="C8378" s="8" t="str">
        <f t="shared" si="2926"/>
        <v>行政財産</v>
      </c>
      <c r="D8378" s="8" t="str">
        <f t="shared" si="2904"/>
        <v>警察（消防）施設</v>
      </c>
      <c r="E8378" s="8" t="str">
        <f t="shared" si="2927"/>
        <v>大阪府泉南郡　田尻町泉州空港中</v>
      </c>
      <c r="F8378" s="8"/>
      <c r="G8378" s="8" t="str">
        <f t="shared" si="2915"/>
        <v>事業用資産</v>
      </c>
      <c r="H8378" s="8" t="str">
        <f t="shared" si="2909"/>
        <v>棚卸以外</v>
      </c>
      <c r="I8378" s="8">
        <v>5</v>
      </c>
      <c r="J8378" s="8" t="str">
        <f>"霊安室"</f>
        <v>霊安室</v>
      </c>
      <c r="K8378" s="8" t="str">
        <f>"鉄筋コンクリート造"</f>
        <v>鉄筋コンクリート造</v>
      </c>
      <c r="L8378" s="8" t="str">
        <f t="shared" si="2928"/>
        <v>H06.03.14</v>
      </c>
      <c r="M8378" s="8">
        <v>20.48</v>
      </c>
      <c r="N8378" s="8">
        <v>9798290</v>
      </c>
      <c r="O8378" s="8">
        <v>5682786</v>
      </c>
      <c r="P8378" s="8">
        <v>0</v>
      </c>
      <c r="Q8378" s="8" t="str">
        <f t="shared" si="2923"/>
        <v>公安委員会</v>
      </c>
      <c r="R8378" s="8" t="str">
        <f t="shared" si="2929"/>
        <v>関西空港警察署</v>
      </c>
    </row>
    <row r="8379" spans="1:18" x14ac:dyDescent="0.45">
      <c r="A8379" s="8" t="str">
        <f t="shared" si="2924"/>
        <v>11586000000</v>
      </c>
      <c r="B8379" s="8" t="str">
        <f t="shared" si="2925"/>
        <v>関西空港警察署</v>
      </c>
      <c r="C8379" s="8" t="str">
        <f t="shared" si="2926"/>
        <v>行政財産</v>
      </c>
      <c r="D8379" s="8" t="str">
        <f t="shared" si="2904"/>
        <v>警察（消防）施設</v>
      </c>
      <c r="E8379" s="8" t="str">
        <f t="shared" si="2927"/>
        <v>大阪府泉南郡　田尻町泉州空港中</v>
      </c>
      <c r="F8379" s="8"/>
      <c r="G8379" s="8" t="str">
        <f t="shared" si="2915"/>
        <v>事業用資産</v>
      </c>
      <c r="H8379" s="8" t="str">
        <f t="shared" si="2909"/>
        <v>棚卸以外</v>
      </c>
      <c r="I8379" s="8">
        <v>6</v>
      </c>
      <c r="J8379" s="8" t="str">
        <f>"ポンプ室"</f>
        <v>ポンプ室</v>
      </c>
      <c r="K8379" s="8" t="str">
        <f>"鉄筋コンクリート造"</f>
        <v>鉄筋コンクリート造</v>
      </c>
      <c r="L8379" s="8" t="str">
        <f t="shared" si="2928"/>
        <v>H06.03.14</v>
      </c>
      <c r="M8379" s="8">
        <v>3.23</v>
      </c>
      <c r="N8379" s="8">
        <v>4489000</v>
      </c>
      <c r="O8379" s="8">
        <v>3426060</v>
      </c>
      <c r="P8379" s="8">
        <v>0</v>
      </c>
      <c r="Q8379" s="8" t="str">
        <f t="shared" si="2923"/>
        <v>公安委員会</v>
      </c>
      <c r="R8379" s="8" t="str">
        <f t="shared" si="2929"/>
        <v>関西空港警察署</v>
      </c>
    </row>
    <row r="8380" spans="1:18" x14ac:dyDescent="0.45">
      <c r="A8380" s="8" t="str">
        <f>"11521000022"</f>
        <v>11521000022</v>
      </c>
      <c r="B8380" s="8" t="str">
        <f>"交野警察署"</f>
        <v>交野警察署</v>
      </c>
      <c r="C8380" s="8" t="str">
        <f t="shared" si="2926"/>
        <v>行政財産</v>
      </c>
      <c r="D8380" s="8" t="str">
        <f t="shared" ref="D8380:D8402" si="2930">"警察（消防）施設"</f>
        <v>警察（消防）施設</v>
      </c>
      <c r="E8380" s="8" t="str">
        <f>"大阪府交野市倉治１丁目"</f>
        <v>大阪府交野市倉治１丁目</v>
      </c>
      <c r="F8380" s="8" t="str">
        <f>"４０番１号"</f>
        <v>４０番１号</v>
      </c>
      <c r="G8380" s="8" t="str">
        <f t="shared" si="2915"/>
        <v>事業用資産</v>
      </c>
      <c r="H8380" s="8" t="str">
        <f t="shared" si="2909"/>
        <v>棚卸以外</v>
      </c>
      <c r="I8380" s="8">
        <v>1</v>
      </c>
      <c r="J8380" s="8" t="str">
        <f>"庁舎"</f>
        <v>庁舎</v>
      </c>
      <c r="K8380" s="8" t="str">
        <f>"鉄筋コンクリート造"</f>
        <v>鉄筋コンクリート造</v>
      </c>
      <c r="L8380" s="8" t="str">
        <f>"H24.05.31"</f>
        <v>H24.05.31</v>
      </c>
      <c r="M8380" s="8">
        <v>5189.34</v>
      </c>
      <c r="N8380" s="8">
        <v>1293409405</v>
      </c>
      <c r="O8380" s="8">
        <v>586260509</v>
      </c>
      <c r="P8380" s="8">
        <v>0</v>
      </c>
      <c r="Q8380" s="8" t="str">
        <f t="shared" si="2923"/>
        <v>公安委員会</v>
      </c>
      <c r="R8380" s="8" t="str">
        <f t="shared" ref="R8380:R8391" si="2931">"交野警察署"</f>
        <v>交野警察署</v>
      </c>
    </row>
    <row r="8381" spans="1:18" x14ac:dyDescent="0.45">
      <c r="A8381" s="8" t="str">
        <f>"11521000022"</f>
        <v>11521000022</v>
      </c>
      <c r="B8381" s="8" t="str">
        <f>"交野警察署"</f>
        <v>交野警察署</v>
      </c>
      <c r="C8381" s="8" t="str">
        <f t="shared" si="2926"/>
        <v>行政財産</v>
      </c>
      <c r="D8381" s="8" t="str">
        <f t="shared" si="2930"/>
        <v>警察（消防）施設</v>
      </c>
      <c r="E8381" s="8" t="str">
        <f>"大阪府交野市倉治１丁目"</f>
        <v>大阪府交野市倉治１丁目</v>
      </c>
      <c r="F8381" s="8" t="str">
        <f>"４０番１号"</f>
        <v>４０番１号</v>
      </c>
      <c r="G8381" s="8" t="str">
        <f t="shared" si="2915"/>
        <v>事業用資産</v>
      </c>
      <c r="H8381" s="8" t="str">
        <f t="shared" si="2909"/>
        <v>棚卸以外</v>
      </c>
      <c r="I8381" s="8">
        <v>2</v>
      </c>
      <c r="J8381" s="8" t="str">
        <f>"附属棟"</f>
        <v>附属棟</v>
      </c>
      <c r="K8381" s="8" t="str">
        <f>"鉄骨造"</f>
        <v>鉄骨造</v>
      </c>
      <c r="L8381" s="8" t="str">
        <f>"H24.05.31"</f>
        <v>H24.05.31</v>
      </c>
      <c r="M8381" s="8">
        <v>199.53</v>
      </c>
      <c r="N8381" s="8">
        <v>33638337</v>
      </c>
      <c r="O8381" s="8">
        <v>12189136</v>
      </c>
      <c r="P8381" s="8">
        <v>0</v>
      </c>
      <c r="Q8381" s="8" t="str">
        <f t="shared" si="2923"/>
        <v>公安委員会</v>
      </c>
      <c r="R8381" s="8" t="str">
        <f t="shared" si="2931"/>
        <v>交野警察署</v>
      </c>
    </row>
    <row r="8382" spans="1:18" x14ac:dyDescent="0.45">
      <c r="A8382" s="8" t="str">
        <f>"11521000022"</f>
        <v>11521000022</v>
      </c>
      <c r="B8382" s="8" t="str">
        <f>"交野警察署"</f>
        <v>交野警察署</v>
      </c>
      <c r="C8382" s="8" t="str">
        <f t="shared" si="2926"/>
        <v>行政財産</v>
      </c>
      <c r="D8382" s="8" t="str">
        <f t="shared" si="2930"/>
        <v>警察（消防）施設</v>
      </c>
      <c r="E8382" s="8" t="str">
        <f>"大阪府交野市倉治１丁目"</f>
        <v>大阪府交野市倉治１丁目</v>
      </c>
      <c r="F8382" s="8" t="str">
        <f>"４０番１号"</f>
        <v>４０番１号</v>
      </c>
      <c r="G8382" s="8" t="str">
        <f t="shared" si="2915"/>
        <v>事業用資産</v>
      </c>
      <c r="H8382" s="8" t="str">
        <f t="shared" si="2909"/>
        <v>棚卸以外</v>
      </c>
      <c r="I8382" s="8">
        <v>3</v>
      </c>
      <c r="J8382" s="8" t="str">
        <f>"署長公舎"</f>
        <v>署長公舎</v>
      </c>
      <c r="K8382" s="8" t="str">
        <f>"鉄骨造"</f>
        <v>鉄骨造</v>
      </c>
      <c r="L8382" s="8" t="str">
        <f>"H24.05.31"</f>
        <v>H24.05.31</v>
      </c>
      <c r="M8382" s="8">
        <v>87.12</v>
      </c>
      <c r="N8382" s="8">
        <v>21021646</v>
      </c>
      <c r="O8382" s="8">
        <v>7943050</v>
      </c>
      <c r="P8382" s="8">
        <v>0</v>
      </c>
      <c r="Q8382" s="8" t="str">
        <f t="shared" si="2923"/>
        <v>公安委員会</v>
      </c>
      <c r="R8382" s="8" t="str">
        <f t="shared" si="2931"/>
        <v>交野警察署</v>
      </c>
    </row>
    <row r="8383" spans="1:18" x14ac:dyDescent="0.45">
      <c r="A8383" s="8" t="str">
        <f>"11521000022"</f>
        <v>11521000022</v>
      </c>
      <c r="B8383" s="8" t="str">
        <f>"交野警察署"</f>
        <v>交野警察署</v>
      </c>
      <c r="C8383" s="8" t="str">
        <f t="shared" si="2926"/>
        <v>行政財産</v>
      </c>
      <c r="D8383" s="8" t="str">
        <f t="shared" si="2930"/>
        <v>警察（消防）施設</v>
      </c>
      <c r="E8383" s="8" t="str">
        <f>"大阪府交野市倉治１丁目"</f>
        <v>大阪府交野市倉治１丁目</v>
      </c>
      <c r="F8383" s="8" t="str">
        <f>"４０番１号"</f>
        <v>４０番１号</v>
      </c>
      <c r="G8383" s="8" t="str">
        <f t="shared" si="2915"/>
        <v>事業用資産</v>
      </c>
      <c r="H8383" s="8" t="str">
        <f t="shared" si="2909"/>
        <v>棚卸以外</v>
      </c>
      <c r="I8383" s="8">
        <v>4</v>
      </c>
      <c r="J8383" s="8" t="str">
        <f>"ごみ置場"</f>
        <v>ごみ置場</v>
      </c>
      <c r="K8383" s="8" t="str">
        <f>"鉄筋コンクリート造"</f>
        <v>鉄筋コンクリート造</v>
      </c>
      <c r="L8383" s="8" t="str">
        <f>"H24.05.31"</f>
        <v>H24.05.31</v>
      </c>
      <c r="M8383" s="8">
        <v>6</v>
      </c>
      <c r="N8383" s="8">
        <v>1495090</v>
      </c>
      <c r="O8383" s="8">
        <v>485921</v>
      </c>
      <c r="P8383" s="8">
        <v>0</v>
      </c>
      <c r="Q8383" s="8" t="str">
        <f t="shared" si="2923"/>
        <v>公安委員会</v>
      </c>
      <c r="R8383" s="8" t="str">
        <f t="shared" si="2931"/>
        <v>交野警察署</v>
      </c>
    </row>
    <row r="8384" spans="1:18" x14ac:dyDescent="0.45">
      <c r="A8384" s="8" t="str">
        <f>"11566000240"</f>
        <v>11566000240</v>
      </c>
      <c r="B8384" s="8" t="str">
        <f>"氷室交番"</f>
        <v>氷室交番</v>
      </c>
      <c r="C8384" s="8" t="str">
        <f t="shared" si="2926"/>
        <v>行政財産</v>
      </c>
      <c r="D8384" s="8" t="str">
        <f t="shared" si="2930"/>
        <v>警察（消防）施設</v>
      </c>
      <c r="E8384" s="8" t="str">
        <f>"大阪府枚方市大字尊延寺"</f>
        <v>大阪府枚方市大字尊延寺</v>
      </c>
      <c r="F8384" s="8"/>
      <c r="G8384" s="8" t="str">
        <f t="shared" si="2915"/>
        <v>事業用資産</v>
      </c>
      <c r="H8384" s="8" t="str">
        <f t="shared" si="2909"/>
        <v>棚卸以外</v>
      </c>
      <c r="I8384" s="8">
        <v>2</v>
      </c>
      <c r="J8384" s="8" t="str">
        <f>"氷室交番"</f>
        <v>氷室交番</v>
      </c>
      <c r="K8384" s="8" t="str">
        <f>"鉄骨造"</f>
        <v>鉄骨造</v>
      </c>
      <c r="L8384" s="8" t="str">
        <f>"H05.12.24"</f>
        <v>H05.12.24</v>
      </c>
      <c r="M8384" s="8">
        <v>53.9</v>
      </c>
      <c r="N8384" s="8">
        <v>19456476</v>
      </c>
      <c r="O8384" s="8">
        <v>14973303</v>
      </c>
      <c r="P8384" s="8">
        <v>0</v>
      </c>
      <c r="Q8384" s="8" t="str">
        <f t="shared" si="2923"/>
        <v>公安委員会</v>
      </c>
      <c r="R8384" s="8" t="str">
        <f t="shared" si="2931"/>
        <v>交野警察署</v>
      </c>
    </row>
    <row r="8385" spans="1:18" x14ac:dyDescent="0.45">
      <c r="A8385" s="8" t="str">
        <f>"11566000270"</f>
        <v>11566000270</v>
      </c>
      <c r="B8385" s="8" t="str">
        <f>"郡津警ら連絡所"</f>
        <v>郡津警ら連絡所</v>
      </c>
      <c r="C8385" s="8" t="str">
        <f t="shared" si="2926"/>
        <v>行政財産</v>
      </c>
      <c r="D8385" s="8" t="str">
        <f t="shared" si="2930"/>
        <v>警察（消防）施設</v>
      </c>
      <c r="E8385" s="8" t="str">
        <f>"大阪府交野市松塚"</f>
        <v>大阪府交野市松塚</v>
      </c>
      <c r="F8385" s="8"/>
      <c r="G8385" s="8" t="str">
        <f t="shared" si="2915"/>
        <v>事業用資産</v>
      </c>
      <c r="H8385" s="8" t="str">
        <f t="shared" si="2909"/>
        <v>棚卸以外</v>
      </c>
      <c r="I8385" s="8">
        <v>1</v>
      </c>
      <c r="J8385" s="8" t="str">
        <f>"郡津警ら連絡所"</f>
        <v>郡津警ら連絡所</v>
      </c>
      <c r="K8385" s="8" t="str">
        <f>"鉄筋コンクリート造"</f>
        <v>鉄筋コンクリート造</v>
      </c>
      <c r="L8385" s="8" t="str">
        <f>"S44.11.07"</f>
        <v>S44.11.07</v>
      </c>
      <c r="M8385" s="8">
        <v>50.72</v>
      </c>
      <c r="N8385" s="8">
        <v>2883000</v>
      </c>
      <c r="O8385" s="8">
        <v>2882999</v>
      </c>
      <c r="P8385" s="8">
        <v>0</v>
      </c>
      <c r="Q8385" s="8" t="str">
        <f t="shared" si="2923"/>
        <v>公安委員会</v>
      </c>
      <c r="R8385" s="8" t="str">
        <f t="shared" si="2931"/>
        <v>交野警察署</v>
      </c>
    </row>
    <row r="8386" spans="1:18" x14ac:dyDescent="0.45">
      <c r="A8386" s="8" t="str">
        <f>"11566000280"</f>
        <v>11566000280</v>
      </c>
      <c r="B8386" s="8" t="str">
        <f>"菅原交番"</f>
        <v>菅原交番</v>
      </c>
      <c r="C8386" s="8" t="str">
        <f t="shared" si="2926"/>
        <v>行政財産</v>
      </c>
      <c r="D8386" s="8" t="str">
        <f t="shared" si="2930"/>
        <v>警察（消防）施設</v>
      </c>
      <c r="E8386" s="8" t="str">
        <f>"大阪府枚方市長尾元町５丁目"</f>
        <v>大阪府枚方市長尾元町５丁目</v>
      </c>
      <c r="F8386" s="8"/>
      <c r="G8386" s="8" t="str">
        <f t="shared" si="2915"/>
        <v>事業用資産</v>
      </c>
      <c r="H8386" s="8" t="str">
        <f t="shared" si="2909"/>
        <v>棚卸以外</v>
      </c>
      <c r="I8386" s="8">
        <v>3</v>
      </c>
      <c r="J8386" s="8" t="str">
        <f>"菅原交番"</f>
        <v>菅原交番</v>
      </c>
      <c r="K8386" s="8" t="str">
        <f>"軽量鉄骨造"</f>
        <v>軽量鉄骨造</v>
      </c>
      <c r="L8386" s="8" t="str">
        <f>"H26.03.28"</f>
        <v>H26.03.28</v>
      </c>
      <c r="M8386" s="8">
        <v>78.52</v>
      </c>
      <c r="N8386" s="8">
        <v>19862385</v>
      </c>
      <c r="O8386" s="8">
        <v>7093548</v>
      </c>
      <c r="P8386" s="8">
        <v>0</v>
      </c>
      <c r="Q8386" s="8" t="str">
        <f t="shared" si="2923"/>
        <v>公安委員会</v>
      </c>
      <c r="R8386" s="8" t="str">
        <f t="shared" si="2931"/>
        <v>交野警察署</v>
      </c>
    </row>
    <row r="8387" spans="1:18" x14ac:dyDescent="0.45">
      <c r="A8387" s="8" t="str">
        <f>"11566000300"</f>
        <v>11566000300</v>
      </c>
      <c r="B8387" s="8" t="str">
        <f>"津田交番"</f>
        <v>津田交番</v>
      </c>
      <c r="C8387" s="8" t="str">
        <f t="shared" si="2926"/>
        <v>行政財産</v>
      </c>
      <c r="D8387" s="8" t="str">
        <f t="shared" si="2930"/>
        <v>警察（消防）施設</v>
      </c>
      <c r="E8387" s="8" t="str">
        <f>"大阪府枚方市津田北町２丁目"</f>
        <v>大阪府枚方市津田北町２丁目</v>
      </c>
      <c r="F8387" s="8"/>
      <c r="G8387" s="8" t="str">
        <f t="shared" si="2915"/>
        <v>事業用資産</v>
      </c>
      <c r="H8387" s="8" t="str">
        <f t="shared" si="2909"/>
        <v>棚卸以外</v>
      </c>
      <c r="I8387" s="8">
        <v>1</v>
      </c>
      <c r="J8387" s="8" t="str">
        <f>"津田交番"</f>
        <v>津田交番</v>
      </c>
      <c r="K8387" s="8" t="str">
        <f>"鉄筋コンクリート造"</f>
        <v>鉄筋コンクリート造</v>
      </c>
      <c r="L8387" s="8" t="str">
        <f>"S46.03.29"</f>
        <v>S46.03.29</v>
      </c>
      <c r="M8387" s="8">
        <v>66.08</v>
      </c>
      <c r="N8387" s="8">
        <v>4077314</v>
      </c>
      <c r="O8387" s="8">
        <v>4062457</v>
      </c>
      <c r="P8387" s="8">
        <v>0</v>
      </c>
      <c r="Q8387" s="8" t="str">
        <f t="shared" si="2923"/>
        <v>公安委員会</v>
      </c>
      <c r="R8387" s="8" t="str">
        <f t="shared" si="2931"/>
        <v>交野警察署</v>
      </c>
    </row>
    <row r="8388" spans="1:18" x14ac:dyDescent="0.45">
      <c r="A8388" s="8" t="str">
        <f>"11566000350"</f>
        <v>11566000350</v>
      </c>
      <c r="B8388" s="8" t="str">
        <f>"倉治交番"</f>
        <v>倉治交番</v>
      </c>
      <c r="C8388" s="8" t="str">
        <f t="shared" si="2926"/>
        <v>行政財産</v>
      </c>
      <c r="D8388" s="8" t="str">
        <f t="shared" si="2930"/>
        <v>警察（消防）施設</v>
      </c>
      <c r="E8388" s="8" t="str">
        <f>"大阪府交野市倉治３丁目"</f>
        <v>大阪府交野市倉治３丁目</v>
      </c>
      <c r="F8388" s="8"/>
      <c r="G8388" s="8" t="str">
        <f t="shared" si="2915"/>
        <v>事業用資産</v>
      </c>
      <c r="H8388" s="8" t="str">
        <f t="shared" ref="H8388:H8451" si="2932">"棚卸以外"</f>
        <v>棚卸以外</v>
      </c>
      <c r="I8388" s="8">
        <v>1</v>
      </c>
      <c r="J8388" s="8" t="str">
        <f>"倉治交番"</f>
        <v>倉治交番</v>
      </c>
      <c r="K8388" s="8" t="str">
        <f>"鉄筋コンクリート造"</f>
        <v>鉄筋コンクリート造</v>
      </c>
      <c r="L8388" s="8" t="str">
        <f>"S48.03.31"</f>
        <v>S48.03.31</v>
      </c>
      <c r="M8388" s="8">
        <v>49.68</v>
      </c>
      <c r="N8388" s="8">
        <v>3846735</v>
      </c>
      <c r="O8388" s="8">
        <v>3796546</v>
      </c>
      <c r="P8388" s="8">
        <v>0</v>
      </c>
      <c r="Q8388" s="8" t="str">
        <f t="shared" si="2923"/>
        <v>公安委員会</v>
      </c>
      <c r="R8388" s="8" t="str">
        <f t="shared" si="2931"/>
        <v>交野警察署</v>
      </c>
    </row>
    <row r="8389" spans="1:18" x14ac:dyDescent="0.45">
      <c r="A8389" s="8" t="str">
        <f>"11566000380"</f>
        <v>11566000380</v>
      </c>
      <c r="B8389" s="8" t="str">
        <f>"星田交番"</f>
        <v>星田交番</v>
      </c>
      <c r="C8389" s="8" t="str">
        <f t="shared" si="2926"/>
        <v>行政財産</v>
      </c>
      <c r="D8389" s="8" t="str">
        <f t="shared" si="2930"/>
        <v>警察（消防）施設</v>
      </c>
      <c r="E8389" s="8" t="str">
        <f>"大阪府交野市星田１丁目"</f>
        <v>大阪府交野市星田１丁目</v>
      </c>
      <c r="F8389" s="8"/>
      <c r="G8389" s="8" t="str">
        <f t="shared" si="2915"/>
        <v>事業用資産</v>
      </c>
      <c r="H8389" s="8" t="str">
        <f t="shared" si="2932"/>
        <v>棚卸以外</v>
      </c>
      <c r="I8389" s="8">
        <v>1</v>
      </c>
      <c r="J8389" s="8" t="str">
        <f>"星田交番"</f>
        <v>星田交番</v>
      </c>
      <c r="K8389" s="8" t="str">
        <f>"鉄筋コンクリート造"</f>
        <v>鉄筋コンクリート造</v>
      </c>
      <c r="L8389" s="8" t="str">
        <f>"S50.01.30"</f>
        <v>S50.01.30</v>
      </c>
      <c r="M8389" s="8">
        <v>50</v>
      </c>
      <c r="N8389" s="8">
        <v>7590000</v>
      </c>
      <c r="O8389" s="8">
        <v>7311700</v>
      </c>
      <c r="P8389" s="8">
        <v>0</v>
      </c>
      <c r="Q8389" s="8" t="str">
        <f t="shared" si="2923"/>
        <v>公安委員会</v>
      </c>
      <c r="R8389" s="8" t="str">
        <f t="shared" si="2931"/>
        <v>交野警察署</v>
      </c>
    </row>
    <row r="8390" spans="1:18" x14ac:dyDescent="0.45">
      <c r="A8390" s="8" t="str">
        <f>"11566000400"</f>
        <v>11566000400</v>
      </c>
      <c r="B8390" s="8" t="str">
        <f>"磐船交番"</f>
        <v>磐船交番</v>
      </c>
      <c r="C8390" s="8" t="str">
        <f t="shared" si="2926"/>
        <v>行政財産</v>
      </c>
      <c r="D8390" s="8" t="str">
        <f t="shared" si="2930"/>
        <v>警察（消防）施設</v>
      </c>
      <c r="E8390" s="8" t="str">
        <f>"大阪府交野市私市３丁目"</f>
        <v>大阪府交野市私市３丁目</v>
      </c>
      <c r="F8390" s="8"/>
      <c r="G8390" s="8" t="str">
        <f t="shared" si="2915"/>
        <v>事業用資産</v>
      </c>
      <c r="H8390" s="8" t="str">
        <f t="shared" si="2932"/>
        <v>棚卸以外</v>
      </c>
      <c r="I8390" s="8">
        <v>1</v>
      </c>
      <c r="J8390" s="8" t="str">
        <f>"磐船交番"</f>
        <v>磐船交番</v>
      </c>
      <c r="K8390" s="8" t="str">
        <f>"鉄骨造"</f>
        <v>鉄骨造</v>
      </c>
      <c r="L8390" s="8" t="str">
        <f>"S54.02.21"</f>
        <v>S54.02.21</v>
      </c>
      <c r="M8390" s="8">
        <v>54</v>
      </c>
      <c r="N8390" s="8">
        <v>9582000</v>
      </c>
      <c r="O8390" s="8">
        <v>9581999</v>
      </c>
      <c r="P8390" s="8">
        <v>0</v>
      </c>
      <c r="Q8390" s="8" t="str">
        <f t="shared" si="2923"/>
        <v>公安委員会</v>
      </c>
      <c r="R8390" s="8" t="str">
        <f t="shared" si="2931"/>
        <v>交野警察署</v>
      </c>
    </row>
    <row r="8391" spans="1:18" x14ac:dyDescent="0.45">
      <c r="A8391" s="8" t="str">
        <f>"11566000440"</f>
        <v>11566000440</v>
      </c>
      <c r="B8391" s="8" t="str">
        <f>"長尾交番"</f>
        <v>長尾交番</v>
      </c>
      <c r="C8391" s="8" t="str">
        <f t="shared" si="2926"/>
        <v>行政財産</v>
      </c>
      <c r="D8391" s="8" t="str">
        <f t="shared" si="2930"/>
        <v>警察（消防）施設</v>
      </c>
      <c r="E8391" s="8" t="str">
        <f>"大阪府枚方市長尾家具町２丁目"</f>
        <v>大阪府枚方市長尾家具町２丁目</v>
      </c>
      <c r="F8391" s="8"/>
      <c r="G8391" s="8" t="str">
        <f t="shared" si="2915"/>
        <v>事業用資産</v>
      </c>
      <c r="H8391" s="8" t="str">
        <f t="shared" si="2932"/>
        <v>棚卸以外</v>
      </c>
      <c r="I8391" s="8">
        <v>1</v>
      </c>
      <c r="J8391" s="8" t="str">
        <f>"長尾交番"</f>
        <v>長尾交番</v>
      </c>
      <c r="K8391" s="8" t="str">
        <f>"鉄筋コンクリート造"</f>
        <v>鉄筋コンクリート造</v>
      </c>
      <c r="L8391" s="8" t="str">
        <f>"H02.03.31"</f>
        <v>H02.03.31</v>
      </c>
      <c r="M8391" s="8">
        <v>53.9</v>
      </c>
      <c r="N8391" s="8">
        <v>14532000</v>
      </c>
      <c r="O8391" s="8">
        <v>9591120</v>
      </c>
      <c r="P8391" s="8">
        <v>0</v>
      </c>
      <c r="Q8391" s="8" t="str">
        <f t="shared" si="2923"/>
        <v>公安委員会</v>
      </c>
      <c r="R8391" s="8" t="str">
        <f t="shared" si="2931"/>
        <v>交野警察署</v>
      </c>
    </row>
    <row r="8392" spans="1:18" ht="26.4" x14ac:dyDescent="0.45">
      <c r="A8392" s="8" t="str">
        <f>"11521003046"</f>
        <v>11521003046</v>
      </c>
      <c r="B8392" s="8" t="str">
        <f>"中堺警察署"</f>
        <v>中堺警察署</v>
      </c>
      <c r="C8392" s="8" t="str">
        <f t="shared" si="2926"/>
        <v>行政財産</v>
      </c>
      <c r="D8392" s="8" t="str">
        <f t="shared" si="2930"/>
        <v>警察（消防）施設</v>
      </c>
      <c r="E8392" s="8" t="str">
        <f t="shared" ref="E8392:E8397" si="2933">"大阪府堺市　中区深井沢町"</f>
        <v>大阪府堺市　中区深井沢町</v>
      </c>
      <c r="F8392" s="8" t="str">
        <f>"２４７０番地１７"</f>
        <v>２４７０番地１７</v>
      </c>
      <c r="G8392" s="8" t="str">
        <f t="shared" si="2915"/>
        <v>事業用資産</v>
      </c>
      <c r="H8392" s="8" t="str">
        <f t="shared" si="2932"/>
        <v>棚卸以外</v>
      </c>
      <c r="I8392" s="8">
        <v>1</v>
      </c>
      <c r="J8392" s="8" t="str">
        <f>"本庁舎"</f>
        <v>本庁舎</v>
      </c>
      <c r="K8392" s="8" t="str">
        <f>"鉄骨鉄筋コンクリート造"</f>
        <v>鉄骨鉄筋コンクリート造</v>
      </c>
      <c r="L8392" s="8" t="str">
        <f>"R03.05.31"</f>
        <v>R03.05.31</v>
      </c>
      <c r="M8392" s="8">
        <v>5512.43</v>
      </c>
      <c r="N8392" s="8">
        <v>2644604455</v>
      </c>
      <c r="O8392" s="8">
        <v>173465226</v>
      </c>
      <c r="P8392" s="8">
        <v>0</v>
      </c>
      <c r="Q8392" s="8" t="str">
        <f t="shared" si="2923"/>
        <v>公安委員会</v>
      </c>
      <c r="R8392" s="8" t="str">
        <f t="shared" ref="R8392:R8402" si="2934">"中堺警察署"</f>
        <v>中堺警察署</v>
      </c>
    </row>
    <row r="8393" spans="1:18" x14ac:dyDescent="0.45">
      <c r="A8393" s="8" t="str">
        <f>"11521003046"</f>
        <v>11521003046</v>
      </c>
      <c r="B8393" s="8" t="str">
        <f>"中堺警察署"</f>
        <v>中堺警察署</v>
      </c>
      <c r="C8393" s="8" t="str">
        <f t="shared" si="2926"/>
        <v>行政財産</v>
      </c>
      <c r="D8393" s="8" t="str">
        <f t="shared" si="2930"/>
        <v>警察（消防）施設</v>
      </c>
      <c r="E8393" s="8" t="str">
        <f t="shared" si="2933"/>
        <v>大阪府堺市　中区深井沢町</v>
      </c>
      <c r="F8393" s="8" t="str">
        <f>"２４７０番地１７"</f>
        <v>２４７０番地１７</v>
      </c>
      <c r="G8393" s="8" t="str">
        <f t="shared" si="2915"/>
        <v>事業用資産</v>
      </c>
      <c r="H8393" s="8" t="str">
        <f t="shared" si="2932"/>
        <v>棚卸以外</v>
      </c>
      <c r="I8393" s="8">
        <v>2</v>
      </c>
      <c r="J8393" s="8" t="str">
        <f>"署長公舎"</f>
        <v>署長公舎</v>
      </c>
      <c r="K8393" s="8" t="str">
        <f>"鉄骨造"</f>
        <v>鉄骨造</v>
      </c>
      <c r="L8393" s="8" t="str">
        <f>"R03.05.31"</f>
        <v>R03.05.31</v>
      </c>
      <c r="M8393" s="8">
        <v>174.08</v>
      </c>
      <c r="N8393" s="8">
        <v>55786859</v>
      </c>
      <c r="O8393" s="8">
        <v>3729814</v>
      </c>
      <c r="P8393" s="8">
        <v>0</v>
      </c>
      <c r="Q8393" s="8" t="str">
        <f t="shared" si="2923"/>
        <v>公安委員会</v>
      </c>
      <c r="R8393" s="8" t="str">
        <f t="shared" si="2934"/>
        <v>中堺警察署</v>
      </c>
    </row>
    <row r="8394" spans="1:18" x14ac:dyDescent="0.45">
      <c r="A8394" s="8" t="str">
        <f>"11521003046"</f>
        <v>11521003046</v>
      </c>
      <c r="B8394" s="8" t="str">
        <f>"中堺警察署"</f>
        <v>中堺警察署</v>
      </c>
      <c r="C8394" s="8" t="str">
        <f t="shared" si="2926"/>
        <v>行政財産</v>
      </c>
      <c r="D8394" s="8" t="str">
        <f t="shared" si="2930"/>
        <v>警察（消防）施設</v>
      </c>
      <c r="E8394" s="8" t="str">
        <f t="shared" si="2933"/>
        <v>大阪府堺市　中区深井沢町</v>
      </c>
      <c r="F8394" s="8" t="str">
        <f>"２４７０番地１７"</f>
        <v>２４７０番地１７</v>
      </c>
      <c r="G8394" s="8" t="str">
        <f t="shared" si="2915"/>
        <v>事業用資産</v>
      </c>
      <c r="H8394" s="8" t="str">
        <f t="shared" si="2932"/>
        <v>棚卸以外</v>
      </c>
      <c r="I8394" s="8">
        <v>3</v>
      </c>
      <c r="J8394" s="8" t="str">
        <f>"車庫棟（１）"</f>
        <v>車庫棟（１）</v>
      </c>
      <c r="K8394" s="8" t="str">
        <f>"鉄骨造"</f>
        <v>鉄骨造</v>
      </c>
      <c r="L8394" s="8" t="str">
        <f>"R03.05.31"</f>
        <v>R03.05.31</v>
      </c>
      <c r="M8394" s="8">
        <v>285.98</v>
      </c>
      <c r="N8394" s="8">
        <v>50295193</v>
      </c>
      <c r="O8394" s="8">
        <v>3274414</v>
      </c>
      <c r="P8394" s="8">
        <v>0</v>
      </c>
      <c r="Q8394" s="8" t="str">
        <f t="shared" si="2923"/>
        <v>公安委員会</v>
      </c>
      <c r="R8394" s="8" t="str">
        <f t="shared" si="2934"/>
        <v>中堺警察署</v>
      </c>
    </row>
    <row r="8395" spans="1:18" x14ac:dyDescent="0.45">
      <c r="A8395" s="8" t="str">
        <f>"11521003046"</f>
        <v>11521003046</v>
      </c>
      <c r="B8395" s="8" t="str">
        <f>"中堺警察署"</f>
        <v>中堺警察署</v>
      </c>
      <c r="C8395" s="8" t="str">
        <f t="shared" si="2926"/>
        <v>行政財産</v>
      </c>
      <c r="D8395" s="8" t="str">
        <f t="shared" si="2930"/>
        <v>警察（消防）施設</v>
      </c>
      <c r="E8395" s="8" t="str">
        <f t="shared" si="2933"/>
        <v>大阪府堺市　中区深井沢町</v>
      </c>
      <c r="F8395" s="8" t="str">
        <f>"２４７０番地１７"</f>
        <v>２４７０番地１７</v>
      </c>
      <c r="G8395" s="8" t="str">
        <f t="shared" si="2915"/>
        <v>事業用資産</v>
      </c>
      <c r="H8395" s="8" t="str">
        <f t="shared" si="2932"/>
        <v>棚卸以外</v>
      </c>
      <c r="I8395" s="8">
        <v>4</v>
      </c>
      <c r="J8395" s="8" t="str">
        <f>"車庫棟（２）"</f>
        <v>車庫棟（２）</v>
      </c>
      <c r="K8395" s="8" t="str">
        <f>"鉄骨造"</f>
        <v>鉄骨造</v>
      </c>
      <c r="L8395" s="8" t="str">
        <f>"R03.05.31"</f>
        <v>R03.05.31</v>
      </c>
      <c r="M8395" s="8">
        <v>247.37</v>
      </c>
      <c r="N8395" s="8">
        <v>59584417</v>
      </c>
      <c r="O8395" s="8">
        <v>3944578</v>
      </c>
      <c r="P8395" s="8">
        <v>0</v>
      </c>
      <c r="Q8395" s="8" t="str">
        <f t="shared" si="2923"/>
        <v>公安委員会</v>
      </c>
      <c r="R8395" s="8" t="str">
        <f t="shared" si="2934"/>
        <v>中堺警察署</v>
      </c>
    </row>
    <row r="8396" spans="1:18" x14ac:dyDescent="0.45">
      <c r="A8396" s="8" t="str">
        <f>"11573000012"</f>
        <v>11573000012</v>
      </c>
      <c r="B8396" s="8" t="str">
        <f>"深井駅前交番"</f>
        <v>深井駅前交番</v>
      </c>
      <c r="C8396" s="8" t="str">
        <f t="shared" si="2926"/>
        <v>行政財産</v>
      </c>
      <c r="D8396" s="8" t="str">
        <f t="shared" si="2930"/>
        <v>警察（消防）施設</v>
      </c>
      <c r="E8396" s="8" t="str">
        <f t="shared" si="2933"/>
        <v>大阪府堺市　中区深井沢町</v>
      </c>
      <c r="F8396" s="8"/>
      <c r="G8396" s="8" t="str">
        <f t="shared" si="2915"/>
        <v>事業用資産</v>
      </c>
      <c r="H8396" s="8" t="str">
        <f t="shared" si="2932"/>
        <v>棚卸以外</v>
      </c>
      <c r="I8396" s="8">
        <v>1</v>
      </c>
      <c r="J8396" s="8" t="str">
        <f>"深井駅前交番"</f>
        <v>深井駅前交番</v>
      </c>
      <c r="K8396" s="8" t="str">
        <f>"鉄筋コンクリート造"</f>
        <v>鉄筋コンクリート造</v>
      </c>
      <c r="L8396" s="8" t="str">
        <f>"S62.03.31"</f>
        <v>S62.03.31</v>
      </c>
      <c r="M8396" s="8">
        <v>54</v>
      </c>
      <c r="N8396" s="8">
        <v>14487664</v>
      </c>
      <c r="O8396" s="8">
        <v>9745308</v>
      </c>
      <c r="P8396" s="8">
        <v>0</v>
      </c>
      <c r="Q8396" s="8" t="str">
        <f t="shared" si="2923"/>
        <v>公安委員会</v>
      </c>
      <c r="R8396" s="8" t="str">
        <f t="shared" si="2934"/>
        <v>中堺警察署</v>
      </c>
    </row>
    <row r="8397" spans="1:18" x14ac:dyDescent="0.45">
      <c r="A8397" s="8" t="str">
        <f>"11573000012"</f>
        <v>11573000012</v>
      </c>
      <c r="B8397" s="8" t="str">
        <f>"深井駅前交番"</f>
        <v>深井駅前交番</v>
      </c>
      <c r="C8397" s="8" t="str">
        <f t="shared" si="2926"/>
        <v>行政財産</v>
      </c>
      <c r="D8397" s="8" t="str">
        <f t="shared" si="2930"/>
        <v>警察（消防）施設</v>
      </c>
      <c r="E8397" s="8" t="str">
        <f t="shared" si="2933"/>
        <v>大阪府堺市　中区深井沢町</v>
      </c>
      <c r="F8397" s="8"/>
      <c r="G8397" s="8" t="str">
        <f t="shared" si="2915"/>
        <v>事業用資産</v>
      </c>
      <c r="H8397" s="8" t="str">
        <f t="shared" si="2932"/>
        <v>棚卸以外</v>
      </c>
      <c r="I8397" s="8">
        <v>3</v>
      </c>
      <c r="J8397" s="8" t="str">
        <f>"自転車置場"</f>
        <v>自転車置場</v>
      </c>
      <c r="K8397" s="8" t="str">
        <f>"鉄骨造"</f>
        <v>鉄骨造</v>
      </c>
      <c r="L8397" s="8" t="str">
        <f>"S62.03.31"</f>
        <v>S62.03.31</v>
      </c>
      <c r="M8397" s="8">
        <v>3.76</v>
      </c>
      <c r="N8397" s="8">
        <v>350000</v>
      </c>
      <c r="O8397" s="8">
        <v>349999</v>
      </c>
      <c r="P8397" s="8">
        <v>0</v>
      </c>
      <c r="Q8397" s="8" t="str">
        <f t="shared" si="2923"/>
        <v>公安委員会</v>
      </c>
      <c r="R8397" s="8" t="str">
        <f t="shared" si="2934"/>
        <v>中堺警察署</v>
      </c>
    </row>
    <row r="8398" spans="1:18" x14ac:dyDescent="0.45">
      <c r="A8398" s="8" t="str">
        <f>"11573000013"</f>
        <v>11573000013</v>
      </c>
      <c r="B8398" s="8" t="str">
        <f>"東百舌鳥交番"</f>
        <v>東百舌鳥交番</v>
      </c>
      <c r="C8398" s="8" t="str">
        <f t="shared" si="2926"/>
        <v>行政財産</v>
      </c>
      <c r="D8398" s="8" t="str">
        <f t="shared" si="2930"/>
        <v>警察（消防）施設</v>
      </c>
      <c r="E8398" s="8" t="str">
        <f>"大阪府堺市　中区大野芝町"</f>
        <v>大阪府堺市　中区大野芝町</v>
      </c>
      <c r="F8398" s="8"/>
      <c r="G8398" s="8" t="str">
        <f t="shared" si="2915"/>
        <v>事業用資産</v>
      </c>
      <c r="H8398" s="8" t="str">
        <f t="shared" si="2932"/>
        <v>棚卸以外</v>
      </c>
      <c r="I8398" s="8">
        <v>1</v>
      </c>
      <c r="J8398" s="8" t="str">
        <f>"東百舌鳥交番"</f>
        <v>東百舌鳥交番</v>
      </c>
      <c r="K8398" s="8" t="str">
        <f>"鉄筋コンクリート造"</f>
        <v>鉄筋コンクリート造</v>
      </c>
      <c r="L8398" s="8" t="str">
        <f>"S50.12.20"</f>
        <v>S50.12.20</v>
      </c>
      <c r="M8398" s="8">
        <v>54</v>
      </c>
      <c r="N8398" s="8">
        <v>5421295</v>
      </c>
      <c r="O8398" s="8">
        <v>5045804</v>
      </c>
      <c r="P8398" s="8">
        <v>0</v>
      </c>
      <c r="Q8398" s="8" t="str">
        <f t="shared" si="2923"/>
        <v>公安委員会</v>
      </c>
      <c r="R8398" s="8" t="str">
        <f t="shared" si="2934"/>
        <v>中堺警察署</v>
      </c>
    </row>
    <row r="8399" spans="1:18" x14ac:dyDescent="0.45">
      <c r="A8399" s="8" t="str">
        <f>"11573000014"</f>
        <v>11573000014</v>
      </c>
      <c r="B8399" s="8" t="str">
        <f>"中深井交番"</f>
        <v>中深井交番</v>
      </c>
      <c r="C8399" s="8" t="str">
        <f t="shared" si="2926"/>
        <v>行政財産</v>
      </c>
      <c r="D8399" s="8" t="str">
        <f t="shared" si="2930"/>
        <v>警察（消防）施設</v>
      </c>
      <c r="E8399" s="8" t="str">
        <f>"大阪府堺市　中区深井北町"</f>
        <v>大阪府堺市　中区深井北町</v>
      </c>
      <c r="F8399" s="8"/>
      <c r="G8399" s="8" t="str">
        <f t="shared" si="2915"/>
        <v>事業用資産</v>
      </c>
      <c r="H8399" s="8" t="str">
        <f t="shared" si="2932"/>
        <v>棚卸以外</v>
      </c>
      <c r="I8399" s="8">
        <v>1</v>
      </c>
      <c r="J8399" s="8" t="str">
        <f>"中深井交番"</f>
        <v>中深井交番</v>
      </c>
      <c r="K8399" s="8" t="str">
        <f>"鉄筋コンクリート造"</f>
        <v>鉄筋コンクリート造</v>
      </c>
      <c r="L8399" s="8" t="str">
        <f>"S48.03.31"</f>
        <v>S48.03.31</v>
      </c>
      <c r="M8399" s="8">
        <v>50.22</v>
      </c>
      <c r="N8399" s="8">
        <v>3428923</v>
      </c>
      <c r="O8399" s="8">
        <v>3360559</v>
      </c>
      <c r="P8399" s="8">
        <v>0</v>
      </c>
      <c r="Q8399" s="8" t="str">
        <f t="shared" si="2923"/>
        <v>公安委員会</v>
      </c>
      <c r="R8399" s="8" t="str">
        <f t="shared" si="2934"/>
        <v>中堺警察署</v>
      </c>
    </row>
    <row r="8400" spans="1:18" x14ac:dyDescent="0.45">
      <c r="A8400" s="8" t="str">
        <f>"11573000230"</f>
        <v>11573000230</v>
      </c>
      <c r="B8400" s="8" t="str">
        <f>"東山交番"</f>
        <v>東山交番</v>
      </c>
      <c r="C8400" s="8" t="str">
        <f t="shared" si="2926"/>
        <v>行政財産</v>
      </c>
      <c r="D8400" s="8" t="str">
        <f t="shared" si="2930"/>
        <v>警察（消防）施設</v>
      </c>
      <c r="E8400" s="8" t="str">
        <f>"大阪府堺市　中区東山"</f>
        <v>大阪府堺市　中区東山</v>
      </c>
      <c r="F8400" s="8"/>
      <c r="G8400" s="8" t="str">
        <f t="shared" si="2915"/>
        <v>事業用資産</v>
      </c>
      <c r="H8400" s="8" t="str">
        <f t="shared" si="2932"/>
        <v>棚卸以外</v>
      </c>
      <c r="I8400" s="8">
        <v>2</v>
      </c>
      <c r="J8400" s="8" t="str">
        <f>"東山交番"</f>
        <v>東山交番</v>
      </c>
      <c r="K8400" s="8" t="str">
        <f>"鉄筋コンクリート造"</f>
        <v>鉄筋コンクリート造</v>
      </c>
      <c r="L8400" s="8" t="str">
        <f>"S52.11.26"</f>
        <v>S52.11.26</v>
      </c>
      <c r="M8400" s="8">
        <v>54</v>
      </c>
      <c r="N8400" s="8">
        <v>10336862</v>
      </c>
      <c r="O8400" s="8">
        <v>9296572</v>
      </c>
      <c r="P8400" s="8">
        <v>0</v>
      </c>
      <c r="Q8400" s="8" t="str">
        <f t="shared" si="2923"/>
        <v>公安委員会</v>
      </c>
      <c r="R8400" s="8" t="str">
        <f t="shared" si="2934"/>
        <v>中堺警察署</v>
      </c>
    </row>
    <row r="8401" spans="1:18" x14ac:dyDescent="0.45">
      <c r="A8401" s="8" t="str">
        <f>"11573000330"</f>
        <v>11573000330</v>
      </c>
      <c r="B8401" s="8" t="str">
        <f>"宮園交番"</f>
        <v>宮園交番</v>
      </c>
      <c r="C8401" s="8" t="str">
        <f t="shared" si="2926"/>
        <v>行政財産</v>
      </c>
      <c r="D8401" s="8" t="str">
        <f t="shared" si="2930"/>
        <v>警察（消防）施設</v>
      </c>
      <c r="E8401" s="8" t="str">
        <f>"大阪府堺市　中区宮園町"</f>
        <v>大阪府堺市　中区宮園町</v>
      </c>
      <c r="F8401" s="8"/>
      <c r="G8401" s="8" t="str">
        <f t="shared" si="2915"/>
        <v>事業用資産</v>
      </c>
      <c r="H8401" s="8" t="str">
        <f t="shared" si="2932"/>
        <v>棚卸以外</v>
      </c>
      <c r="I8401" s="8">
        <v>1</v>
      </c>
      <c r="J8401" s="8" t="str">
        <f>"宮園交番"</f>
        <v>宮園交番</v>
      </c>
      <c r="K8401" s="8" t="str">
        <f>"鉄筋コンクリート造"</f>
        <v>鉄筋コンクリート造</v>
      </c>
      <c r="L8401" s="8" t="str">
        <f>"S45.03.31"</f>
        <v>S45.03.31</v>
      </c>
      <c r="M8401" s="8">
        <v>66.150000000000006</v>
      </c>
      <c r="N8401" s="8">
        <v>4505271</v>
      </c>
      <c r="O8401" s="8">
        <v>4408727</v>
      </c>
      <c r="P8401" s="8">
        <v>0</v>
      </c>
      <c r="Q8401" s="8" t="str">
        <f t="shared" si="2923"/>
        <v>公安委員会</v>
      </c>
      <c r="R8401" s="8" t="str">
        <f t="shared" si="2934"/>
        <v>中堺警察署</v>
      </c>
    </row>
    <row r="8402" spans="1:18" x14ac:dyDescent="0.45">
      <c r="A8402" s="8" t="str">
        <f>"11573000420"</f>
        <v>11573000420</v>
      </c>
      <c r="B8402" s="8" t="str">
        <f>"福田交番"</f>
        <v>福田交番</v>
      </c>
      <c r="C8402" s="8" t="str">
        <f t="shared" si="2926"/>
        <v>行政財産</v>
      </c>
      <c r="D8402" s="8" t="str">
        <f t="shared" si="2930"/>
        <v>警察（消防）施設</v>
      </c>
      <c r="E8402" s="8" t="str">
        <f>"大阪府堺市　中区福田"</f>
        <v>大阪府堺市　中区福田</v>
      </c>
      <c r="F8402" s="8"/>
      <c r="G8402" s="8" t="str">
        <f t="shared" si="2915"/>
        <v>事業用資産</v>
      </c>
      <c r="H8402" s="8" t="str">
        <f t="shared" si="2932"/>
        <v>棚卸以外</v>
      </c>
      <c r="I8402" s="8">
        <v>1</v>
      </c>
      <c r="J8402" s="8" t="str">
        <f>"福田交番"</f>
        <v>福田交番</v>
      </c>
      <c r="K8402" s="8" t="str">
        <f>"鉄骨造"</f>
        <v>鉄骨造</v>
      </c>
      <c r="L8402" s="8" t="str">
        <f>"H06.03.31"</f>
        <v>H06.03.31</v>
      </c>
      <c r="M8402" s="8">
        <v>53.9</v>
      </c>
      <c r="N8402" s="8">
        <v>19749299</v>
      </c>
      <c r="O8402" s="8">
        <v>15025804</v>
      </c>
      <c r="P8402" s="8">
        <v>0</v>
      </c>
      <c r="Q8402" s="8" t="str">
        <f t="shared" si="2923"/>
        <v>公安委員会</v>
      </c>
      <c r="R8402" s="8" t="str">
        <f t="shared" si="2934"/>
        <v>中堺警察署</v>
      </c>
    </row>
    <row r="8403" spans="1:18" s="1" customFormat="1" ht="26.4" x14ac:dyDescent="0.45">
      <c r="A8403" s="7" t="str">
        <f>"01031000000"</f>
        <v>01031000000</v>
      </c>
      <c r="B8403" s="7" t="str">
        <f>"なにわ北府税事務所"</f>
        <v>なにわ北府税事務所</v>
      </c>
      <c r="C8403" s="7" t="str">
        <f t="shared" si="2926"/>
        <v>行政財産</v>
      </c>
      <c r="D8403" s="7" t="str">
        <f t="shared" ref="D8403:D8444" si="2935">"その他（行政機関）の施設"</f>
        <v>その他（行政機関）の施設</v>
      </c>
      <c r="E8403" s="7" t="str">
        <f>"大阪府大阪市　北区西天満３丁目"</f>
        <v>大阪府大阪市　北区西天満３丁目</v>
      </c>
      <c r="F8403" s="7"/>
      <c r="G8403" s="7" t="str">
        <f t="shared" si="2915"/>
        <v>事業用資産</v>
      </c>
      <c r="H8403" s="7" t="str">
        <f t="shared" si="2932"/>
        <v>棚卸以外</v>
      </c>
      <c r="I8403" s="7">
        <v>6</v>
      </c>
      <c r="J8403" s="7" t="str">
        <f>"本館"</f>
        <v>本館</v>
      </c>
      <c r="K8403" s="7" t="str">
        <f>"鉄骨鉄筋コンクリート造"</f>
        <v>鉄骨鉄筋コンクリート造</v>
      </c>
      <c r="L8403" s="7" t="str">
        <f>"S46.11.30"</f>
        <v>S46.11.30</v>
      </c>
      <c r="M8403" s="7">
        <v>3145</v>
      </c>
      <c r="N8403" s="7">
        <v>458340805</v>
      </c>
      <c r="O8403" s="7">
        <v>351998806</v>
      </c>
      <c r="P8403" s="7">
        <v>0</v>
      </c>
      <c r="Q8403" s="7" t="str">
        <f t="shared" ref="Q8403:Q8424" si="2936">"財務部"</f>
        <v>財務部</v>
      </c>
      <c r="R8403" s="7" t="str">
        <f>"なにわ北府税事務所"</f>
        <v>なにわ北府税事務所</v>
      </c>
    </row>
    <row r="8404" spans="1:18" s="1" customFormat="1" ht="26.4" x14ac:dyDescent="0.45">
      <c r="A8404" s="7" t="str">
        <f>"05133000051"</f>
        <v>05133000051</v>
      </c>
      <c r="B8404" s="7" t="str">
        <f>"大阪府夕陽丘庁舎"</f>
        <v>大阪府夕陽丘庁舎</v>
      </c>
      <c r="C8404" s="7" t="str">
        <f t="shared" si="2926"/>
        <v>行政財産</v>
      </c>
      <c r="D8404" s="7" t="str">
        <f t="shared" si="2935"/>
        <v>その他（行政機関）の施設</v>
      </c>
      <c r="E8404" s="7" t="str">
        <f>"大阪府大阪市　天王寺区伶人町"</f>
        <v>大阪府大阪市　天王寺区伶人町</v>
      </c>
      <c r="F8404" s="7"/>
      <c r="G8404" s="7" t="str">
        <f t="shared" si="2915"/>
        <v>事業用資産</v>
      </c>
      <c r="H8404" s="7" t="str">
        <f t="shared" si="2932"/>
        <v>棚卸以外</v>
      </c>
      <c r="I8404" s="7">
        <v>1</v>
      </c>
      <c r="J8404" s="7" t="str">
        <f>"本館"</f>
        <v>本館</v>
      </c>
      <c r="K8404" s="7" t="str">
        <f>"鉄骨鉄筋コンクリート造"</f>
        <v>鉄骨鉄筋コンクリート造</v>
      </c>
      <c r="L8404" s="7" t="str">
        <f>"S49.02.27"</f>
        <v>S49.02.27</v>
      </c>
      <c r="M8404" s="7">
        <v>6381.71</v>
      </c>
      <c r="N8404" s="7">
        <v>1001201318</v>
      </c>
      <c r="O8404" s="7">
        <v>713716283</v>
      </c>
      <c r="P8404" s="7">
        <v>0</v>
      </c>
      <c r="Q8404" s="7" t="str">
        <f t="shared" si="2936"/>
        <v>財務部</v>
      </c>
      <c r="R8404" s="7" t="str">
        <f>"なにわ南府税事務所"</f>
        <v>なにわ南府税事務所</v>
      </c>
    </row>
    <row r="8405" spans="1:18" s="1" customFormat="1" x14ac:dyDescent="0.45">
      <c r="A8405" s="7" t="str">
        <f>"01035000000"</f>
        <v>01035000000</v>
      </c>
      <c r="B8405" s="7" t="str">
        <f>"大阪府三島府民センタービル"</f>
        <v>大阪府三島府民センタービル</v>
      </c>
      <c r="C8405" s="7" t="str">
        <f t="shared" si="2926"/>
        <v>行政財産</v>
      </c>
      <c r="D8405" s="7" t="str">
        <f t="shared" si="2935"/>
        <v>その他（行政機関）の施設</v>
      </c>
      <c r="E8405" s="7" t="str">
        <f>"大阪府茨木市中穂積１丁目"</f>
        <v>大阪府茨木市中穂積１丁目</v>
      </c>
      <c r="F8405" s="7"/>
      <c r="G8405" s="7" t="str">
        <f t="shared" si="2915"/>
        <v>事業用資産</v>
      </c>
      <c r="H8405" s="7" t="str">
        <f t="shared" si="2932"/>
        <v>棚卸以外</v>
      </c>
      <c r="I8405" s="7">
        <v>1</v>
      </c>
      <c r="J8405" s="7" t="str">
        <f>"本館"</f>
        <v>本館</v>
      </c>
      <c r="K8405" s="7" t="str">
        <f>"鉄筋コンクリート造"</f>
        <v>鉄筋コンクリート造</v>
      </c>
      <c r="L8405" s="7" t="str">
        <f>"S47.03.17"</f>
        <v>S47.03.17</v>
      </c>
      <c r="M8405" s="7">
        <v>7271.13</v>
      </c>
      <c r="N8405" s="7">
        <v>616736469</v>
      </c>
      <c r="O8405" s="7">
        <v>503117100</v>
      </c>
      <c r="P8405" s="7">
        <v>0</v>
      </c>
      <c r="Q8405" s="7" t="str">
        <f t="shared" si="2936"/>
        <v>財務部</v>
      </c>
      <c r="R8405" s="7" t="str">
        <f>"三島府税事務所"</f>
        <v>三島府税事務所</v>
      </c>
    </row>
    <row r="8406" spans="1:18" s="1" customFormat="1" x14ac:dyDescent="0.45">
      <c r="A8406" s="7" t="str">
        <f>"06958000021"</f>
        <v>06958000021</v>
      </c>
      <c r="B8406" s="7" t="str">
        <f>"大阪府三島府民センター資材倉庫"</f>
        <v>大阪府三島府民センター資材倉庫</v>
      </c>
      <c r="C8406" s="7" t="str">
        <f t="shared" si="2926"/>
        <v>行政財産</v>
      </c>
      <c r="D8406" s="7" t="str">
        <f t="shared" si="2935"/>
        <v>その他（行政機関）の施設</v>
      </c>
      <c r="E8406" s="7" t="str">
        <f>"大阪府茨木市中穂積１丁目"</f>
        <v>大阪府茨木市中穂積１丁目</v>
      </c>
      <c r="F8406" s="7"/>
      <c r="G8406" s="7" t="str">
        <f t="shared" si="2915"/>
        <v>事業用資産</v>
      </c>
      <c r="H8406" s="7" t="str">
        <f t="shared" si="2932"/>
        <v>棚卸以外</v>
      </c>
      <c r="I8406" s="7">
        <v>1</v>
      </c>
      <c r="J8406" s="7" t="str">
        <f>"三島府民センター資材倉庫"</f>
        <v>三島府民センター資材倉庫</v>
      </c>
      <c r="K8406" s="7" t="str">
        <f>"コンクリートブロック造"</f>
        <v>コンクリートブロック造</v>
      </c>
      <c r="L8406" s="7" t="str">
        <f>"S52.11.24"</f>
        <v>S52.11.24</v>
      </c>
      <c r="M8406" s="7">
        <v>4.9000000000000004</v>
      </c>
      <c r="N8406" s="7">
        <v>825000</v>
      </c>
      <c r="O8406" s="7">
        <v>824999</v>
      </c>
      <c r="P8406" s="7">
        <v>0</v>
      </c>
      <c r="Q8406" s="7" t="str">
        <f t="shared" si="2936"/>
        <v>財務部</v>
      </c>
      <c r="R8406" s="7" t="str">
        <f>"三島府税事務所"</f>
        <v>三島府税事務所</v>
      </c>
    </row>
    <row r="8407" spans="1:18" s="1" customFormat="1" x14ac:dyDescent="0.45">
      <c r="A8407" s="7" t="str">
        <f>"01036000000"</f>
        <v>01036000000</v>
      </c>
      <c r="B8407" s="7" t="str">
        <f>"大阪府豊能府税事務所"</f>
        <v>大阪府豊能府税事務所</v>
      </c>
      <c r="C8407" s="7" t="str">
        <f t="shared" si="2926"/>
        <v>行政財産</v>
      </c>
      <c r="D8407" s="7" t="str">
        <f t="shared" si="2935"/>
        <v>その他（行政機関）の施設</v>
      </c>
      <c r="E8407" s="7" t="str">
        <f>"大阪府池田市城南１丁目"</f>
        <v>大阪府池田市城南１丁目</v>
      </c>
      <c r="F8407" s="7"/>
      <c r="G8407" s="7" t="str">
        <f t="shared" ref="G8407:G8444" si="2937">"事業用資産"</f>
        <v>事業用資産</v>
      </c>
      <c r="H8407" s="7" t="str">
        <f t="shared" si="2932"/>
        <v>棚卸以外</v>
      </c>
      <c r="I8407" s="7">
        <v>12</v>
      </c>
      <c r="J8407" s="7" t="str">
        <f>"豊能府民センター庁舎"</f>
        <v>豊能府民センター庁舎</v>
      </c>
      <c r="K8407" s="7" t="str">
        <f>"鉄筋コンクリート造"</f>
        <v>鉄筋コンクリート造</v>
      </c>
      <c r="L8407" s="7" t="str">
        <f>"S48.04.01"</f>
        <v>S48.04.01</v>
      </c>
      <c r="M8407" s="7">
        <v>5835.14</v>
      </c>
      <c r="N8407" s="7">
        <v>828898071</v>
      </c>
      <c r="O8407" s="7">
        <v>657584350</v>
      </c>
      <c r="P8407" s="7">
        <v>0</v>
      </c>
      <c r="Q8407" s="7" t="str">
        <f t="shared" si="2936"/>
        <v>財務部</v>
      </c>
      <c r="R8407" s="7" t="str">
        <f>"豊能府税事務所"</f>
        <v>豊能府税事務所</v>
      </c>
    </row>
    <row r="8408" spans="1:18" s="1" customFormat="1" x14ac:dyDescent="0.45">
      <c r="A8408" s="7" t="str">
        <f>"01036000000"</f>
        <v>01036000000</v>
      </c>
      <c r="B8408" s="7" t="str">
        <f>"大阪府豊能府税事務所"</f>
        <v>大阪府豊能府税事務所</v>
      </c>
      <c r="C8408" s="7" t="str">
        <f t="shared" si="2926"/>
        <v>行政財産</v>
      </c>
      <c r="D8408" s="7" t="str">
        <f t="shared" si="2935"/>
        <v>その他（行政機関）の施設</v>
      </c>
      <c r="E8408" s="7" t="str">
        <f>"大阪府池田市城南１丁目"</f>
        <v>大阪府池田市城南１丁目</v>
      </c>
      <c r="F8408" s="7"/>
      <c r="G8408" s="7" t="str">
        <f t="shared" si="2937"/>
        <v>事業用資産</v>
      </c>
      <c r="H8408" s="7" t="str">
        <f t="shared" si="2932"/>
        <v>棚卸以外</v>
      </c>
      <c r="I8408" s="7">
        <v>13</v>
      </c>
      <c r="J8408" s="7" t="str">
        <f>"池田・府市合同庁舎共同溝棟"</f>
        <v>池田・府市合同庁舎共同溝棟</v>
      </c>
      <c r="K8408" s="7" t="str">
        <f>"鉄筋コンクリート造"</f>
        <v>鉄筋コンクリート造</v>
      </c>
      <c r="L8408" s="7" t="str">
        <f>"H30.03.20"</f>
        <v>H30.03.20</v>
      </c>
      <c r="M8408" s="7">
        <v>3.39</v>
      </c>
      <c r="N8408" s="7">
        <v>10053674</v>
      </c>
      <c r="O8408" s="7">
        <v>2372880</v>
      </c>
      <c r="P8408" s="7">
        <v>0</v>
      </c>
      <c r="Q8408" s="7" t="str">
        <f t="shared" si="2936"/>
        <v>財務部</v>
      </c>
      <c r="R8408" s="7" t="str">
        <f>"豊能府税事務所"</f>
        <v>豊能府税事務所</v>
      </c>
    </row>
    <row r="8409" spans="1:18" s="1" customFormat="1" x14ac:dyDescent="0.45">
      <c r="A8409" s="7" t="str">
        <f>"01036000000"</f>
        <v>01036000000</v>
      </c>
      <c r="B8409" s="7" t="str">
        <f>"大阪府豊能府税事務所"</f>
        <v>大阪府豊能府税事務所</v>
      </c>
      <c r="C8409" s="7" t="str">
        <f t="shared" si="2926"/>
        <v>行政財産</v>
      </c>
      <c r="D8409" s="7" t="str">
        <f t="shared" si="2935"/>
        <v>その他（行政機関）の施設</v>
      </c>
      <c r="E8409" s="7" t="str">
        <f>"大阪府池田市城南１丁目"</f>
        <v>大阪府池田市城南１丁目</v>
      </c>
      <c r="F8409" s="7"/>
      <c r="G8409" s="7" t="str">
        <f t="shared" si="2937"/>
        <v>事業用資産</v>
      </c>
      <c r="H8409" s="7" t="str">
        <f t="shared" si="2932"/>
        <v>棚卸以外</v>
      </c>
      <c r="I8409" s="7">
        <v>14</v>
      </c>
      <c r="J8409" s="7" t="str">
        <f>"池田・府市合同庁舎発電機室棟"</f>
        <v>池田・府市合同庁舎発電機室棟</v>
      </c>
      <c r="K8409" s="7" t="str">
        <f>"鉄骨造"</f>
        <v>鉄骨造</v>
      </c>
      <c r="L8409" s="7" t="str">
        <f>"H30.03.20"</f>
        <v>H30.03.20</v>
      </c>
      <c r="M8409" s="7">
        <v>69.239999999999995</v>
      </c>
      <c r="N8409" s="7">
        <v>78968909</v>
      </c>
      <c r="O8409" s="7">
        <v>21447360</v>
      </c>
      <c r="P8409" s="7">
        <v>0</v>
      </c>
      <c r="Q8409" s="7" t="str">
        <f t="shared" si="2936"/>
        <v>財務部</v>
      </c>
      <c r="R8409" s="7" t="str">
        <f>"豊能府税事務所"</f>
        <v>豊能府税事務所</v>
      </c>
    </row>
    <row r="8410" spans="1:18" s="1" customFormat="1" x14ac:dyDescent="0.45">
      <c r="A8410" s="7" t="str">
        <f>"06958000022"</f>
        <v>06958000022</v>
      </c>
      <c r="B8410" s="7" t="str">
        <f>"大阪府豊能府民センター資材倉庫"</f>
        <v>大阪府豊能府民センター資材倉庫</v>
      </c>
      <c r="C8410" s="7" t="str">
        <f t="shared" si="2926"/>
        <v>行政財産</v>
      </c>
      <c r="D8410" s="7" t="str">
        <f t="shared" si="2935"/>
        <v>その他（行政機関）の施設</v>
      </c>
      <c r="E8410" s="7" t="str">
        <f>"大阪府池田市城南１丁目"</f>
        <v>大阪府池田市城南１丁目</v>
      </c>
      <c r="F8410" s="7"/>
      <c r="G8410" s="7" t="str">
        <f t="shared" si="2937"/>
        <v>事業用資産</v>
      </c>
      <c r="H8410" s="7" t="str">
        <f t="shared" si="2932"/>
        <v>棚卸以外</v>
      </c>
      <c r="I8410" s="7">
        <v>2</v>
      </c>
      <c r="J8410" s="7" t="str">
        <f>"豊能府民センター資材倉庫"</f>
        <v>豊能府民センター資材倉庫</v>
      </c>
      <c r="K8410" s="7" t="str">
        <f>"コンクリートブロック造"</f>
        <v>コンクリートブロック造</v>
      </c>
      <c r="L8410" s="7" t="str">
        <f>"S52.11.24"</f>
        <v>S52.11.24</v>
      </c>
      <c r="M8410" s="7">
        <v>3.76</v>
      </c>
      <c r="N8410" s="7">
        <v>1048000</v>
      </c>
      <c r="O8410" s="7">
        <v>1047999</v>
      </c>
      <c r="P8410" s="7">
        <v>0</v>
      </c>
      <c r="Q8410" s="7" t="str">
        <f t="shared" si="2936"/>
        <v>財務部</v>
      </c>
      <c r="R8410" s="7" t="str">
        <f>"豊能府税事務所"</f>
        <v>豊能府税事務所</v>
      </c>
    </row>
    <row r="8411" spans="1:18" s="1" customFormat="1" x14ac:dyDescent="0.45">
      <c r="A8411" s="7" t="str">
        <f>"01037000001"</f>
        <v>01037000001</v>
      </c>
      <c r="B8411" s="7" t="str">
        <f>"泉北府税事務所"</f>
        <v>泉北府税事務所</v>
      </c>
      <c r="C8411" s="7" t="str">
        <f t="shared" si="2926"/>
        <v>行政財産</v>
      </c>
      <c r="D8411" s="7" t="str">
        <f t="shared" si="2935"/>
        <v>その他（行政機関）の施設</v>
      </c>
      <c r="E8411" s="7" t="str">
        <f>"大阪府堺市　堺区中安井町３丁"</f>
        <v>大阪府堺市　堺区中安井町３丁</v>
      </c>
      <c r="F8411" s="7"/>
      <c r="G8411" s="7" t="str">
        <f t="shared" si="2937"/>
        <v>事業用資産</v>
      </c>
      <c r="H8411" s="7" t="str">
        <f t="shared" si="2932"/>
        <v>棚卸以外</v>
      </c>
      <c r="I8411" s="7">
        <v>1</v>
      </c>
      <c r="J8411" s="7" t="str">
        <f>"本館"</f>
        <v>本館</v>
      </c>
      <c r="K8411" s="7" t="str">
        <f t="shared" ref="K8411:K8416" si="2938">"鉄筋コンクリート造"</f>
        <v>鉄筋コンクリート造</v>
      </c>
      <c r="L8411" s="7" t="str">
        <f>"S44.03.28"</f>
        <v>S44.03.28</v>
      </c>
      <c r="M8411" s="7">
        <v>2536.0500000000002</v>
      </c>
      <c r="N8411" s="7">
        <v>338105997</v>
      </c>
      <c r="O8411" s="7">
        <v>204732040</v>
      </c>
      <c r="P8411" s="7">
        <v>0</v>
      </c>
      <c r="Q8411" s="7" t="str">
        <f t="shared" si="2936"/>
        <v>財務部</v>
      </c>
      <c r="R8411" s="7" t="str">
        <f>"泉北府税事務所"</f>
        <v>泉北府税事務所</v>
      </c>
    </row>
    <row r="8412" spans="1:18" s="1" customFormat="1" x14ac:dyDescent="0.45">
      <c r="A8412" s="7" t="str">
        <f>"01038000000"</f>
        <v>01038000000</v>
      </c>
      <c r="B8412" s="7" t="str">
        <f>"泉南府民センタービル"</f>
        <v>泉南府民センタービル</v>
      </c>
      <c r="C8412" s="7" t="str">
        <f t="shared" si="2926"/>
        <v>行政財産</v>
      </c>
      <c r="D8412" s="7" t="str">
        <f t="shared" si="2935"/>
        <v>その他（行政機関）の施設</v>
      </c>
      <c r="E8412" s="7" t="str">
        <f>"大阪府岸和田市野田町"</f>
        <v>大阪府岸和田市野田町</v>
      </c>
      <c r="F8412" s="7"/>
      <c r="G8412" s="7" t="str">
        <f t="shared" si="2937"/>
        <v>事業用資産</v>
      </c>
      <c r="H8412" s="7" t="str">
        <f t="shared" si="2932"/>
        <v>棚卸以外</v>
      </c>
      <c r="I8412" s="7">
        <v>1</v>
      </c>
      <c r="J8412" s="7" t="str">
        <f>"本館"</f>
        <v>本館</v>
      </c>
      <c r="K8412" s="7" t="str">
        <f t="shared" si="2938"/>
        <v>鉄筋コンクリート造</v>
      </c>
      <c r="L8412" s="7" t="str">
        <f>"S47.03.23"</f>
        <v>S47.03.23</v>
      </c>
      <c r="M8412" s="7">
        <v>6837.08</v>
      </c>
      <c r="N8412" s="7">
        <v>1280308682</v>
      </c>
      <c r="O8412" s="7">
        <v>861758726</v>
      </c>
      <c r="P8412" s="7">
        <v>0</v>
      </c>
      <c r="Q8412" s="7" t="str">
        <f t="shared" si="2936"/>
        <v>財務部</v>
      </c>
      <c r="R8412" s="7" t="str">
        <f>"泉南府税事務所"</f>
        <v>泉南府税事務所</v>
      </c>
    </row>
    <row r="8413" spans="1:18" s="1" customFormat="1" x14ac:dyDescent="0.45">
      <c r="A8413" s="7" t="str">
        <f>"01038000000"</f>
        <v>01038000000</v>
      </c>
      <c r="B8413" s="7" t="str">
        <f>"泉南府民センタービル"</f>
        <v>泉南府民センタービル</v>
      </c>
      <c r="C8413" s="7" t="str">
        <f t="shared" si="2926"/>
        <v>行政財産</v>
      </c>
      <c r="D8413" s="7" t="str">
        <f t="shared" si="2935"/>
        <v>その他（行政機関）の施設</v>
      </c>
      <c r="E8413" s="7" t="str">
        <f>"大阪府岸和田市野田町"</f>
        <v>大阪府岸和田市野田町</v>
      </c>
      <c r="F8413" s="7"/>
      <c r="G8413" s="7" t="str">
        <f t="shared" si="2937"/>
        <v>事業用資産</v>
      </c>
      <c r="H8413" s="7" t="str">
        <f t="shared" si="2932"/>
        <v>棚卸以外</v>
      </c>
      <c r="I8413" s="7">
        <v>2</v>
      </c>
      <c r="J8413" s="7" t="str">
        <f>"自転車置場"</f>
        <v>自転車置場</v>
      </c>
      <c r="K8413" s="7" t="str">
        <f t="shared" si="2938"/>
        <v>鉄筋コンクリート造</v>
      </c>
      <c r="L8413" s="7" t="str">
        <f>"S47.03.23"</f>
        <v>S47.03.23</v>
      </c>
      <c r="M8413" s="7">
        <v>52</v>
      </c>
      <c r="N8413" s="7">
        <v>755485</v>
      </c>
      <c r="O8413" s="7">
        <v>755484</v>
      </c>
      <c r="P8413" s="7">
        <v>0</v>
      </c>
      <c r="Q8413" s="7" t="str">
        <f t="shared" si="2936"/>
        <v>財務部</v>
      </c>
      <c r="R8413" s="7" t="str">
        <f>"泉南府税事務所"</f>
        <v>泉南府税事務所</v>
      </c>
    </row>
    <row r="8414" spans="1:18" s="1" customFormat="1" x14ac:dyDescent="0.45">
      <c r="A8414" s="7" t="str">
        <f>"01038000000"</f>
        <v>01038000000</v>
      </c>
      <c r="B8414" s="7" t="str">
        <f>"泉南府民センタービル"</f>
        <v>泉南府民センタービル</v>
      </c>
      <c r="C8414" s="7" t="str">
        <f t="shared" si="2926"/>
        <v>行政財産</v>
      </c>
      <c r="D8414" s="7" t="str">
        <f t="shared" si="2935"/>
        <v>その他（行政機関）の施設</v>
      </c>
      <c r="E8414" s="7" t="str">
        <f>"大阪府岸和田市野田町"</f>
        <v>大阪府岸和田市野田町</v>
      </c>
      <c r="F8414" s="7"/>
      <c r="G8414" s="7" t="str">
        <f t="shared" si="2937"/>
        <v>事業用資産</v>
      </c>
      <c r="H8414" s="7" t="str">
        <f t="shared" si="2932"/>
        <v>棚卸以外</v>
      </c>
      <c r="I8414" s="7">
        <v>3</v>
      </c>
      <c r="J8414" s="7" t="str">
        <f>"別館"</f>
        <v>別館</v>
      </c>
      <c r="K8414" s="7" t="str">
        <f t="shared" si="2938"/>
        <v>鉄筋コンクリート造</v>
      </c>
      <c r="L8414" s="7" t="str">
        <f>"H01.08.25"</f>
        <v>H01.08.25</v>
      </c>
      <c r="M8414" s="7">
        <v>894.14</v>
      </c>
      <c r="N8414" s="7">
        <v>215911089</v>
      </c>
      <c r="O8414" s="7">
        <v>127283404</v>
      </c>
      <c r="P8414" s="7">
        <v>0</v>
      </c>
      <c r="Q8414" s="7" t="str">
        <f t="shared" si="2936"/>
        <v>財務部</v>
      </c>
      <c r="R8414" s="7" t="str">
        <f>"泉南府税事務所"</f>
        <v>泉南府税事務所</v>
      </c>
    </row>
    <row r="8415" spans="1:18" s="1" customFormat="1" x14ac:dyDescent="0.45">
      <c r="A8415" s="7" t="str">
        <f>"01039000000"</f>
        <v>01039000000</v>
      </c>
      <c r="B8415" s="7" t="str">
        <f>"南河内府民センタービル"</f>
        <v>南河内府民センタービル</v>
      </c>
      <c r="C8415" s="7" t="str">
        <f t="shared" si="2926"/>
        <v>行政財産</v>
      </c>
      <c r="D8415" s="7" t="str">
        <f t="shared" si="2935"/>
        <v>その他（行政機関）の施設</v>
      </c>
      <c r="E8415" s="7" t="str">
        <f>"大阪府富田林市寿町２丁目"</f>
        <v>大阪府富田林市寿町２丁目</v>
      </c>
      <c r="F8415" s="7"/>
      <c r="G8415" s="7" t="str">
        <f t="shared" si="2937"/>
        <v>事業用資産</v>
      </c>
      <c r="H8415" s="7" t="str">
        <f t="shared" si="2932"/>
        <v>棚卸以外</v>
      </c>
      <c r="I8415" s="7">
        <v>1</v>
      </c>
      <c r="J8415" s="7" t="str">
        <f>"本館"</f>
        <v>本館</v>
      </c>
      <c r="K8415" s="7" t="str">
        <f t="shared" si="2938"/>
        <v>鉄筋コンクリート造</v>
      </c>
      <c r="L8415" s="7" t="str">
        <f>"S48.01.08"</f>
        <v>S48.01.08</v>
      </c>
      <c r="M8415" s="7">
        <v>6438.33</v>
      </c>
      <c r="N8415" s="7">
        <v>1287735154</v>
      </c>
      <c r="O8415" s="7">
        <v>1003750898</v>
      </c>
      <c r="P8415" s="7">
        <v>0</v>
      </c>
      <c r="Q8415" s="7" t="str">
        <f t="shared" si="2936"/>
        <v>財務部</v>
      </c>
      <c r="R8415" s="7" t="str">
        <f>"南河内府税事務所"</f>
        <v>南河内府税事務所</v>
      </c>
    </row>
    <row r="8416" spans="1:18" s="1" customFormat="1" x14ac:dyDescent="0.45">
      <c r="A8416" s="7" t="str">
        <f>"01039000000"</f>
        <v>01039000000</v>
      </c>
      <c r="B8416" s="7" t="str">
        <f>"南河内府民センタービル"</f>
        <v>南河内府民センタービル</v>
      </c>
      <c r="C8416" s="7" t="str">
        <f t="shared" si="2926"/>
        <v>行政財産</v>
      </c>
      <c r="D8416" s="7" t="str">
        <f t="shared" si="2935"/>
        <v>その他（行政機関）の施設</v>
      </c>
      <c r="E8416" s="7" t="str">
        <f>"大阪府富田林市寿町２丁目"</f>
        <v>大阪府富田林市寿町２丁目</v>
      </c>
      <c r="F8416" s="7"/>
      <c r="G8416" s="7" t="str">
        <f t="shared" si="2937"/>
        <v>事業用資産</v>
      </c>
      <c r="H8416" s="7" t="str">
        <f t="shared" si="2932"/>
        <v>棚卸以外</v>
      </c>
      <c r="I8416" s="7">
        <v>2</v>
      </c>
      <c r="J8416" s="7" t="str">
        <f>"車庫土木倉庫棟"</f>
        <v>車庫土木倉庫棟</v>
      </c>
      <c r="K8416" s="7" t="str">
        <f t="shared" si="2938"/>
        <v>鉄筋コンクリート造</v>
      </c>
      <c r="L8416" s="7" t="str">
        <f>"S48.01.08"</f>
        <v>S48.01.08</v>
      </c>
      <c r="M8416" s="7">
        <v>1151.08</v>
      </c>
      <c r="N8416" s="7">
        <v>82424559</v>
      </c>
      <c r="O8416" s="7">
        <v>60141154</v>
      </c>
      <c r="P8416" s="7">
        <v>0</v>
      </c>
      <c r="Q8416" s="7" t="str">
        <f t="shared" si="2936"/>
        <v>財務部</v>
      </c>
      <c r="R8416" s="7" t="str">
        <f>"南河内府税事務所"</f>
        <v>南河内府税事務所</v>
      </c>
    </row>
    <row r="8417" spans="1:18" s="1" customFormat="1" x14ac:dyDescent="0.45">
      <c r="A8417" s="7" t="str">
        <f>"01039000000"</f>
        <v>01039000000</v>
      </c>
      <c r="B8417" s="7" t="str">
        <f>"南河内府民センタービル"</f>
        <v>南河内府民センタービル</v>
      </c>
      <c r="C8417" s="7" t="str">
        <f t="shared" si="2926"/>
        <v>行政財産</v>
      </c>
      <c r="D8417" s="7" t="str">
        <f t="shared" si="2935"/>
        <v>その他（行政機関）の施設</v>
      </c>
      <c r="E8417" s="7" t="str">
        <f>"大阪府富田林市寿町２丁目"</f>
        <v>大阪府富田林市寿町２丁目</v>
      </c>
      <c r="F8417" s="7"/>
      <c r="G8417" s="7" t="str">
        <f t="shared" si="2937"/>
        <v>事業用資産</v>
      </c>
      <c r="H8417" s="7" t="str">
        <f t="shared" si="2932"/>
        <v>棚卸以外</v>
      </c>
      <c r="I8417" s="7">
        <v>3</v>
      </c>
      <c r="J8417" s="7" t="str">
        <f>"自転車置場"</f>
        <v>自転車置場</v>
      </c>
      <c r="K8417" s="7" t="str">
        <f>"軽量鉄骨造"</f>
        <v>軽量鉄骨造</v>
      </c>
      <c r="L8417" s="7" t="str">
        <f>"S48.01.08"</f>
        <v>S48.01.08</v>
      </c>
      <c r="M8417" s="7">
        <v>106</v>
      </c>
      <c r="N8417" s="7">
        <v>1938013</v>
      </c>
      <c r="O8417" s="7">
        <v>1904224</v>
      </c>
      <c r="P8417" s="7">
        <v>0</v>
      </c>
      <c r="Q8417" s="7" t="str">
        <f t="shared" si="2936"/>
        <v>財務部</v>
      </c>
      <c r="R8417" s="7" t="str">
        <f>"南河内府税事務所"</f>
        <v>南河内府税事務所</v>
      </c>
    </row>
    <row r="8418" spans="1:18" s="1" customFormat="1" x14ac:dyDescent="0.45">
      <c r="A8418" s="7" t="str">
        <f>"06958000025"</f>
        <v>06958000025</v>
      </c>
      <c r="B8418" s="7" t="str">
        <f>"南河内府民センター資材倉庫"</f>
        <v>南河内府民センター資材倉庫</v>
      </c>
      <c r="C8418" s="7" t="str">
        <f t="shared" si="2926"/>
        <v>行政財産</v>
      </c>
      <c r="D8418" s="7" t="str">
        <f t="shared" si="2935"/>
        <v>その他（行政機関）の施設</v>
      </c>
      <c r="E8418" s="7" t="str">
        <f>"大阪府富田林市寿町２丁目"</f>
        <v>大阪府富田林市寿町２丁目</v>
      </c>
      <c r="F8418" s="7"/>
      <c r="G8418" s="7" t="str">
        <f t="shared" si="2937"/>
        <v>事業用資産</v>
      </c>
      <c r="H8418" s="7" t="str">
        <f t="shared" si="2932"/>
        <v>棚卸以外</v>
      </c>
      <c r="I8418" s="7">
        <v>5</v>
      </c>
      <c r="J8418" s="7" t="str">
        <f>"資材倉庫"</f>
        <v>資材倉庫</v>
      </c>
      <c r="K8418" s="7" t="str">
        <f>"コンクリートブロック造"</f>
        <v>コンクリートブロック造</v>
      </c>
      <c r="L8418" s="7" t="str">
        <f>"S52.11.24"</f>
        <v>S52.11.24</v>
      </c>
      <c r="M8418" s="7">
        <v>3.69</v>
      </c>
      <c r="N8418" s="7">
        <v>364887</v>
      </c>
      <c r="O8418" s="7">
        <v>364886</v>
      </c>
      <c r="P8418" s="7">
        <v>0</v>
      </c>
      <c r="Q8418" s="7" t="str">
        <f t="shared" si="2936"/>
        <v>財務部</v>
      </c>
      <c r="R8418" s="7" t="str">
        <f>"南河内府税事務所"</f>
        <v>南河内府税事務所</v>
      </c>
    </row>
    <row r="8419" spans="1:18" s="1" customFormat="1" x14ac:dyDescent="0.45">
      <c r="A8419" s="7" t="str">
        <f>"01040000000"</f>
        <v>01040000000</v>
      </c>
      <c r="B8419" s="7" t="str">
        <f>"中河内府税事務所"</f>
        <v>中河内府税事務所</v>
      </c>
      <c r="C8419" s="7" t="str">
        <f t="shared" si="2926"/>
        <v>行政財産</v>
      </c>
      <c r="D8419" s="7" t="str">
        <f t="shared" si="2935"/>
        <v>その他（行政機関）の施設</v>
      </c>
      <c r="E8419" s="7" t="str">
        <f>"大阪府東大阪市御厨栄町４丁目"</f>
        <v>大阪府東大阪市御厨栄町４丁目</v>
      </c>
      <c r="F8419" s="7" t="str">
        <f>"１－１６"</f>
        <v>１－１６</v>
      </c>
      <c r="G8419" s="7" t="str">
        <f t="shared" si="2937"/>
        <v>事業用資産</v>
      </c>
      <c r="H8419" s="7" t="str">
        <f t="shared" si="2932"/>
        <v>棚卸以外</v>
      </c>
      <c r="I8419" s="7">
        <v>1</v>
      </c>
      <c r="J8419" s="7" t="str">
        <f>"本館"</f>
        <v>本館</v>
      </c>
      <c r="K8419" s="7" t="str">
        <f>"鉄筋コンクリート造"</f>
        <v>鉄筋コンクリート造</v>
      </c>
      <c r="L8419" s="7" t="str">
        <f>"S49.03.30"</f>
        <v>S49.03.30</v>
      </c>
      <c r="M8419" s="7">
        <v>2662.3</v>
      </c>
      <c r="N8419" s="7">
        <v>503156194</v>
      </c>
      <c r="O8419" s="7">
        <v>296265167</v>
      </c>
      <c r="P8419" s="7">
        <v>0</v>
      </c>
      <c r="Q8419" s="7" t="str">
        <f t="shared" si="2936"/>
        <v>財務部</v>
      </c>
      <c r="R8419" s="7" t="str">
        <f>"中河内府税事務所"</f>
        <v>中河内府税事務所</v>
      </c>
    </row>
    <row r="8420" spans="1:18" s="1" customFormat="1" x14ac:dyDescent="0.45">
      <c r="A8420" s="7" t="str">
        <f>"01040000000"</f>
        <v>01040000000</v>
      </c>
      <c r="B8420" s="7" t="str">
        <f>"中河内府税事務所"</f>
        <v>中河内府税事務所</v>
      </c>
      <c r="C8420" s="7" t="str">
        <f t="shared" si="2926"/>
        <v>行政財産</v>
      </c>
      <c r="D8420" s="7" t="str">
        <f t="shared" si="2935"/>
        <v>その他（行政機関）の施設</v>
      </c>
      <c r="E8420" s="7" t="str">
        <f>"大阪府東大阪市御厨栄町４丁目"</f>
        <v>大阪府東大阪市御厨栄町４丁目</v>
      </c>
      <c r="F8420" s="7" t="str">
        <f>"１－１６"</f>
        <v>１－１６</v>
      </c>
      <c r="G8420" s="7" t="str">
        <f t="shared" si="2937"/>
        <v>事業用資産</v>
      </c>
      <c r="H8420" s="7" t="str">
        <f t="shared" si="2932"/>
        <v>棚卸以外</v>
      </c>
      <c r="I8420" s="7">
        <v>2</v>
      </c>
      <c r="J8420" s="7" t="str">
        <f>"自転車置場"</f>
        <v>自転車置場</v>
      </c>
      <c r="K8420" s="7" t="str">
        <f>"鉄骨造"</f>
        <v>鉄骨造</v>
      </c>
      <c r="L8420" s="7" t="str">
        <f>"S49.03.30"</f>
        <v>S49.03.30</v>
      </c>
      <c r="M8420" s="7">
        <v>32.700000000000003</v>
      </c>
      <c r="N8420" s="7">
        <v>934000</v>
      </c>
      <c r="O8420" s="7">
        <v>933999</v>
      </c>
      <c r="P8420" s="7">
        <v>0</v>
      </c>
      <c r="Q8420" s="7" t="str">
        <f t="shared" si="2936"/>
        <v>財務部</v>
      </c>
      <c r="R8420" s="7" t="str">
        <f>"中河内府税事務所"</f>
        <v>中河内府税事務所</v>
      </c>
    </row>
    <row r="8421" spans="1:18" s="1" customFormat="1" x14ac:dyDescent="0.45">
      <c r="A8421" s="7" t="str">
        <f>"01041000001"</f>
        <v>01041000001</v>
      </c>
      <c r="B8421" s="7" t="str">
        <f>"大阪府北河内府民センタービル"</f>
        <v>大阪府北河内府民センタービル</v>
      </c>
      <c r="C8421" s="7" t="str">
        <f t="shared" si="2926"/>
        <v>行政財産</v>
      </c>
      <c r="D8421" s="7" t="str">
        <f t="shared" si="2935"/>
        <v>その他（行政機関）の施設</v>
      </c>
      <c r="E8421" s="7" t="str">
        <f>"大阪府枚方市大垣内町２丁目"</f>
        <v>大阪府枚方市大垣内町２丁目</v>
      </c>
      <c r="F8421" s="7"/>
      <c r="G8421" s="7" t="str">
        <f t="shared" si="2937"/>
        <v>事業用資産</v>
      </c>
      <c r="H8421" s="7" t="str">
        <f t="shared" si="2932"/>
        <v>棚卸以外</v>
      </c>
      <c r="I8421" s="7">
        <v>1</v>
      </c>
      <c r="J8421" s="7" t="str">
        <f>"本館"</f>
        <v>本館</v>
      </c>
      <c r="K8421" s="7" t="str">
        <f>"鉄筋コンクリート造"</f>
        <v>鉄筋コンクリート造</v>
      </c>
      <c r="L8421" s="7" t="str">
        <f>"S49.11.30"</f>
        <v>S49.11.30</v>
      </c>
      <c r="M8421" s="7">
        <v>6363.31</v>
      </c>
      <c r="N8421" s="7">
        <v>992754850</v>
      </c>
      <c r="O8421" s="7">
        <v>910546471</v>
      </c>
      <c r="P8421" s="7">
        <v>0</v>
      </c>
      <c r="Q8421" s="7" t="str">
        <f t="shared" si="2936"/>
        <v>財務部</v>
      </c>
      <c r="R8421" s="7" t="str">
        <f>"北河内府税事務所"</f>
        <v>北河内府税事務所</v>
      </c>
    </row>
    <row r="8422" spans="1:18" s="1" customFormat="1" x14ac:dyDescent="0.45">
      <c r="A8422" s="7" t="str">
        <f>"01041000001"</f>
        <v>01041000001</v>
      </c>
      <c r="B8422" s="7" t="str">
        <f>"大阪府北河内府民センタービル"</f>
        <v>大阪府北河内府民センタービル</v>
      </c>
      <c r="C8422" s="7" t="str">
        <f t="shared" si="2926"/>
        <v>行政財産</v>
      </c>
      <c r="D8422" s="7" t="str">
        <f t="shared" si="2935"/>
        <v>その他（行政機関）の施設</v>
      </c>
      <c r="E8422" s="7" t="str">
        <f>"大阪府枚方市大垣内町２丁目"</f>
        <v>大阪府枚方市大垣内町２丁目</v>
      </c>
      <c r="F8422" s="7"/>
      <c r="G8422" s="7" t="str">
        <f t="shared" si="2937"/>
        <v>事業用資産</v>
      </c>
      <c r="H8422" s="7" t="str">
        <f t="shared" si="2932"/>
        <v>棚卸以外</v>
      </c>
      <c r="I8422" s="7">
        <v>3</v>
      </c>
      <c r="J8422" s="7" t="str">
        <f>"車庫"</f>
        <v>車庫</v>
      </c>
      <c r="K8422" s="7" t="str">
        <f>"軽量鉄骨造"</f>
        <v>軽量鉄骨造</v>
      </c>
      <c r="L8422" s="7" t="str">
        <f>"S49.11.30"</f>
        <v>S49.11.30</v>
      </c>
      <c r="M8422" s="7">
        <v>269.7</v>
      </c>
      <c r="N8422" s="7">
        <v>10487000</v>
      </c>
      <c r="O8422" s="7">
        <v>10486999</v>
      </c>
      <c r="P8422" s="7">
        <v>0</v>
      </c>
      <c r="Q8422" s="7" t="str">
        <f t="shared" si="2936"/>
        <v>財務部</v>
      </c>
      <c r="R8422" s="7" t="str">
        <f>"北河内府税事務所"</f>
        <v>北河内府税事務所</v>
      </c>
    </row>
    <row r="8423" spans="1:18" s="1" customFormat="1" x14ac:dyDescent="0.45">
      <c r="A8423" s="7" t="str">
        <f>"01042000081"</f>
        <v>01042000081</v>
      </c>
      <c r="B8423" s="7" t="str">
        <f>"大阪自動車税事務所和泉分室"</f>
        <v>大阪自動車税事務所和泉分室</v>
      </c>
      <c r="C8423" s="7" t="str">
        <f t="shared" si="2926"/>
        <v>行政財産</v>
      </c>
      <c r="D8423" s="7" t="str">
        <f t="shared" si="2935"/>
        <v>その他（行政機関）の施設</v>
      </c>
      <c r="E8423" s="7" t="str">
        <f>"大阪府和泉市上代町"</f>
        <v>大阪府和泉市上代町</v>
      </c>
      <c r="F8423" s="7"/>
      <c r="G8423" s="7" t="str">
        <f t="shared" si="2937"/>
        <v>事業用資産</v>
      </c>
      <c r="H8423" s="7" t="str">
        <f t="shared" si="2932"/>
        <v>棚卸以外</v>
      </c>
      <c r="I8423" s="7">
        <v>2</v>
      </c>
      <c r="J8423" s="7" t="str">
        <f>"大阪自動車税事務所和泉分室"</f>
        <v>大阪自動車税事務所和泉分室</v>
      </c>
      <c r="K8423" s="7" t="str">
        <f>"軽量鉄骨造"</f>
        <v>軽量鉄骨造</v>
      </c>
      <c r="L8423" s="7" t="str">
        <f>"S50.03.31"</f>
        <v>S50.03.31</v>
      </c>
      <c r="M8423" s="7">
        <v>410.86</v>
      </c>
      <c r="N8423" s="7">
        <v>77145435</v>
      </c>
      <c r="O8423" s="7">
        <v>73409308</v>
      </c>
      <c r="P8423" s="7">
        <v>0</v>
      </c>
      <c r="Q8423" s="7" t="str">
        <f t="shared" si="2936"/>
        <v>財務部</v>
      </c>
      <c r="R8423" s="7" t="str">
        <f>"大阪自動車税事務所"</f>
        <v>大阪自動車税事務所</v>
      </c>
    </row>
    <row r="8424" spans="1:18" s="1" customFormat="1" x14ac:dyDescent="0.45">
      <c r="A8424" s="7" t="str">
        <f>"01042000082"</f>
        <v>01042000082</v>
      </c>
      <c r="B8424" s="7" t="str">
        <f>"大阪自動車税事務所なにわ分室"</f>
        <v>大阪自動車税事務所なにわ分室</v>
      </c>
      <c r="C8424" s="7" t="str">
        <f t="shared" si="2926"/>
        <v>行政財産</v>
      </c>
      <c r="D8424" s="7" t="str">
        <f t="shared" si="2935"/>
        <v>その他（行政機関）の施設</v>
      </c>
      <c r="E8424" s="7" t="str">
        <f>"大阪府大阪市　住之江区南港東３丁目"</f>
        <v>大阪府大阪市　住之江区南港東３丁目</v>
      </c>
      <c r="F8424" s="7"/>
      <c r="G8424" s="7" t="str">
        <f t="shared" si="2937"/>
        <v>事業用資産</v>
      </c>
      <c r="H8424" s="7" t="str">
        <f t="shared" si="2932"/>
        <v>棚卸以外</v>
      </c>
      <c r="I8424" s="7">
        <v>1</v>
      </c>
      <c r="J8424" s="7" t="str">
        <f>"大阪自動車税事務所なにわ分室"</f>
        <v>大阪自動車税事務所なにわ分室</v>
      </c>
      <c r="K8424" s="7" t="str">
        <f>"軽量鉄骨造"</f>
        <v>軽量鉄骨造</v>
      </c>
      <c r="L8424" s="7" t="str">
        <f>"S58.11.14"</f>
        <v>S58.11.14</v>
      </c>
      <c r="M8424" s="7">
        <v>305.2</v>
      </c>
      <c r="N8424" s="7">
        <v>61497103</v>
      </c>
      <c r="O8424" s="7">
        <v>58333478</v>
      </c>
      <c r="P8424" s="7">
        <v>0</v>
      </c>
      <c r="Q8424" s="7" t="str">
        <f t="shared" si="2936"/>
        <v>財務部</v>
      </c>
      <c r="R8424" s="7" t="str">
        <f>"大阪自動車税事務所"</f>
        <v>大阪自動車税事務所</v>
      </c>
    </row>
    <row r="8425" spans="1:18" s="1" customFormat="1" x14ac:dyDescent="0.45">
      <c r="A8425" s="7" t="str">
        <f>"08200000000"</f>
        <v>08200000000</v>
      </c>
      <c r="B8425" s="7" t="str">
        <f>"堺港湾事務所泉大津旧港"</f>
        <v>堺港湾事務所泉大津旧港</v>
      </c>
      <c r="C8425" s="7" t="str">
        <f t="shared" si="2926"/>
        <v>行政財産</v>
      </c>
      <c r="D8425" s="7" t="str">
        <f t="shared" si="2935"/>
        <v>その他（行政機関）の施設</v>
      </c>
      <c r="E8425" s="7" t="str">
        <f>"大阪府泉大津市東港町"</f>
        <v>大阪府泉大津市東港町</v>
      </c>
      <c r="F8425" s="7"/>
      <c r="G8425" s="7" t="str">
        <f t="shared" si="2937"/>
        <v>事業用資産</v>
      </c>
      <c r="H8425" s="7" t="str">
        <f t="shared" si="2932"/>
        <v>棚卸以外</v>
      </c>
      <c r="I8425" s="7">
        <v>3</v>
      </c>
      <c r="J8425" s="7" t="str">
        <f>"検潮観測所"</f>
        <v>検潮観測所</v>
      </c>
      <c r="K8425" s="7" t="str">
        <f>"鉄筋コンクリート造"</f>
        <v>鉄筋コンクリート造</v>
      </c>
      <c r="L8425" s="7" t="str">
        <f>"H03.03.29"</f>
        <v>H03.03.29</v>
      </c>
      <c r="M8425" s="7">
        <v>10.24</v>
      </c>
      <c r="N8425" s="7">
        <v>23143400</v>
      </c>
      <c r="O8425" s="7">
        <v>10212096</v>
      </c>
      <c r="P8425" s="7">
        <v>0</v>
      </c>
      <c r="Q8425" s="7" t="str">
        <f t="shared" ref="Q8425:Q8456" si="2939">"大阪港湾局"</f>
        <v>大阪港湾局</v>
      </c>
      <c r="R8425" s="7" t="str">
        <f t="shared" ref="R8425:R8456" si="2940">"大阪港湾局"</f>
        <v>大阪港湾局</v>
      </c>
    </row>
    <row r="8426" spans="1:18" s="1" customFormat="1" x14ac:dyDescent="0.45">
      <c r="A8426" s="7" t="str">
        <f t="shared" ref="A8426:A8437" si="2941">"08200000001"</f>
        <v>08200000001</v>
      </c>
      <c r="B8426" s="7" t="str">
        <f t="shared" ref="B8426:B8437" si="2942">"堺港湾事務所堺１区"</f>
        <v>堺港湾事務所堺１区</v>
      </c>
      <c r="C8426" s="7" t="str">
        <f t="shared" si="2926"/>
        <v>行政財産</v>
      </c>
      <c r="D8426" s="7" t="str">
        <f t="shared" si="2935"/>
        <v>その他（行政機関）の施設</v>
      </c>
      <c r="E8426" s="7" t="str">
        <f t="shared" ref="E8426:E8437" si="2943">"大阪府堺市　堺区塩浜町"</f>
        <v>大阪府堺市　堺区塩浜町</v>
      </c>
      <c r="F8426" s="7"/>
      <c r="G8426" s="7" t="str">
        <f t="shared" si="2937"/>
        <v>事業用資産</v>
      </c>
      <c r="H8426" s="7" t="str">
        <f t="shared" si="2932"/>
        <v>棚卸以外</v>
      </c>
      <c r="I8426" s="7">
        <v>1</v>
      </c>
      <c r="J8426" s="7" t="str">
        <f>"事務所（Ｓ２８建造）"</f>
        <v>事務所（Ｓ２８建造）</v>
      </c>
      <c r="K8426" s="7" t="str">
        <f>"木造"</f>
        <v>木造</v>
      </c>
      <c r="L8426" s="7" t="str">
        <f>"S28.05.01"</f>
        <v>S28.05.01</v>
      </c>
      <c r="M8426" s="7">
        <v>242.19</v>
      </c>
      <c r="N8426" s="7">
        <v>3732025</v>
      </c>
      <c r="O8426" s="7">
        <v>3732024</v>
      </c>
      <c r="P8426" s="7">
        <v>0</v>
      </c>
      <c r="Q8426" s="7" t="str">
        <f t="shared" si="2939"/>
        <v>大阪港湾局</v>
      </c>
      <c r="R8426" s="7" t="str">
        <f t="shared" si="2940"/>
        <v>大阪港湾局</v>
      </c>
    </row>
    <row r="8427" spans="1:18" s="1" customFormat="1" x14ac:dyDescent="0.45">
      <c r="A8427" s="7" t="str">
        <f t="shared" si="2941"/>
        <v>08200000001</v>
      </c>
      <c r="B8427" s="7" t="str">
        <f t="shared" si="2942"/>
        <v>堺港湾事務所堺１区</v>
      </c>
      <c r="C8427" s="7" t="str">
        <f t="shared" si="2926"/>
        <v>行政財産</v>
      </c>
      <c r="D8427" s="7" t="str">
        <f t="shared" si="2935"/>
        <v>その他（行政機関）の施設</v>
      </c>
      <c r="E8427" s="7" t="str">
        <f t="shared" si="2943"/>
        <v>大阪府堺市　堺区塩浜町</v>
      </c>
      <c r="F8427" s="7"/>
      <c r="G8427" s="7" t="str">
        <f t="shared" si="2937"/>
        <v>事業用資産</v>
      </c>
      <c r="H8427" s="7" t="str">
        <f t="shared" si="2932"/>
        <v>棚卸以外</v>
      </c>
      <c r="I8427" s="7">
        <v>3</v>
      </c>
      <c r="J8427" s="7" t="str">
        <f>"検潮所"</f>
        <v>検潮所</v>
      </c>
      <c r="K8427" s="7" t="str">
        <f>"鉄筋コンクリート造"</f>
        <v>鉄筋コンクリート造</v>
      </c>
      <c r="L8427" s="7" t="str">
        <f>"S29.03.31"</f>
        <v>S29.03.31</v>
      </c>
      <c r="M8427" s="7">
        <v>19.829999999999998</v>
      </c>
      <c r="N8427" s="7">
        <v>630460</v>
      </c>
      <c r="O8427" s="7">
        <v>369099</v>
      </c>
      <c r="P8427" s="7">
        <v>0</v>
      </c>
      <c r="Q8427" s="7" t="str">
        <f t="shared" si="2939"/>
        <v>大阪港湾局</v>
      </c>
      <c r="R8427" s="7" t="str">
        <f t="shared" si="2940"/>
        <v>大阪港湾局</v>
      </c>
    </row>
    <row r="8428" spans="1:18" s="1" customFormat="1" x14ac:dyDescent="0.45">
      <c r="A8428" s="7" t="str">
        <f t="shared" si="2941"/>
        <v>08200000001</v>
      </c>
      <c r="B8428" s="7" t="str">
        <f t="shared" si="2942"/>
        <v>堺港湾事務所堺１区</v>
      </c>
      <c r="C8428" s="7" t="str">
        <f t="shared" si="2926"/>
        <v>行政財産</v>
      </c>
      <c r="D8428" s="7" t="str">
        <f t="shared" si="2935"/>
        <v>その他（行政機関）の施設</v>
      </c>
      <c r="E8428" s="7" t="str">
        <f t="shared" si="2943"/>
        <v>大阪府堺市　堺区塩浜町</v>
      </c>
      <c r="F8428" s="7"/>
      <c r="G8428" s="7" t="str">
        <f t="shared" si="2937"/>
        <v>事業用資産</v>
      </c>
      <c r="H8428" s="7" t="str">
        <f t="shared" si="2932"/>
        <v>棚卸以外</v>
      </c>
      <c r="I8428" s="7">
        <v>4</v>
      </c>
      <c r="J8428" s="7" t="str">
        <f>"船舶用品倉庫"</f>
        <v>船舶用品倉庫</v>
      </c>
      <c r="K8428" s="7" t="str">
        <f>"パイプ"</f>
        <v>パイプ</v>
      </c>
      <c r="L8428" s="7" t="str">
        <f>"S37.03.20"</f>
        <v>S37.03.20</v>
      </c>
      <c r="M8428" s="7">
        <v>48.09</v>
      </c>
      <c r="N8428" s="7">
        <v>1882633</v>
      </c>
      <c r="O8428" s="7">
        <v>1882632</v>
      </c>
      <c r="P8428" s="7">
        <v>0</v>
      </c>
      <c r="Q8428" s="7" t="str">
        <f t="shared" si="2939"/>
        <v>大阪港湾局</v>
      </c>
      <c r="R8428" s="7" t="str">
        <f t="shared" si="2940"/>
        <v>大阪港湾局</v>
      </c>
    </row>
    <row r="8429" spans="1:18" s="1" customFormat="1" x14ac:dyDescent="0.45">
      <c r="A8429" s="7" t="str">
        <f t="shared" si="2941"/>
        <v>08200000001</v>
      </c>
      <c r="B8429" s="7" t="str">
        <f t="shared" si="2942"/>
        <v>堺港湾事務所堺１区</v>
      </c>
      <c r="C8429" s="7" t="str">
        <f t="shared" si="2926"/>
        <v>行政財産</v>
      </c>
      <c r="D8429" s="7" t="str">
        <f t="shared" si="2935"/>
        <v>その他（行政機関）の施設</v>
      </c>
      <c r="E8429" s="7" t="str">
        <f t="shared" si="2943"/>
        <v>大阪府堺市　堺区塩浜町</v>
      </c>
      <c r="F8429" s="7"/>
      <c r="G8429" s="7" t="str">
        <f t="shared" si="2937"/>
        <v>事業用資産</v>
      </c>
      <c r="H8429" s="7" t="str">
        <f t="shared" si="2932"/>
        <v>棚卸以外</v>
      </c>
      <c r="I8429" s="7">
        <v>9</v>
      </c>
      <c r="J8429" s="7" t="str">
        <f>"車庫"</f>
        <v>車庫</v>
      </c>
      <c r="K8429" s="7" t="str">
        <f>"レンガ、石積造"</f>
        <v>レンガ、石積造</v>
      </c>
      <c r="L8429" s="7" t="str">
        <f>"S37.08.21"</f>
        <v>S37.08.21</v>
      </c>
      <c r="M8429" s="7">
        <v>119.4</v>
      </c>
      <c r="N8429" s="7">
        <v>1258480</v>
      </c>
      <c r="O8429" s="7">
        <v>1258479</v>
      </c>
      <c r="P8429" s="7">
        <v>0</v>
      </c>
      <c r="Q8429" s="7" t="str">
        <f t="shared" si="2939"/>
        <v>大阪港湾局</v>
      </c>
      <c r="R8429" s="7" t="str">
        <f t="shared" si="2940"/>
        <v>大阪港湾局</v>
      </c>
    </row>
    <row r="8430" spans="1:18" s="1" customFormat="1" x14ac:dyDescent="0.45">
      <c r="A8430" s="7" t="str">
        <f t="shared" si="2941"/>
        <v>08200000001</v>
      </c>
      <c r="B8430" s="7" t="str">
        <f t="shared" si="2942"/>
        <v>堺港湾事務所堺１区</v>
      </c>
      <c r="C8430" s="7" t="str">
        <f t="shared" si="2926"/>
        <v>行政財産</v>
      </c>
      <c r="D8430" s="7" t="str">
        <f t="shared" si="2935"/>
        <v>その他（行政機関）の施設</v>
      </c>
      <c r="E8430" s="7" t="str">
        <f t="shared" si="2943"/>
        <v>大阪府堺市　堺区塩浜町</v>
      </c>
      <c r="F8430" s="7"/>
      <c r="G8430" s="7" t="str">
        <f t="shared" si="2937"/>
        <v>事業用資産</v>
      </c>
      <c r="H8430" s="7" t="str">
        <f t="shared" si="2932"/>
        <v>棚卸以外</v>
      </c>
      <c r="I8430" s="7">
        <v>11</v>
      </c>
      <c r="J8430" s="7" t="str">
        <f>"現場監督員詰所"</f>
        <v>現場監督員詰所</v>
      </c>
      <c r="K8430" s="7" t="str">
        <f>"木造"</f>
        <v>木造</v>
      </c>
      <c r="L8430" s="7" t="str">
        <f>"S35.10.07"</f>
        <v>S35.10.07</v>
      </c>
      <c r="M8430" s="7">
        <v>38.950000000000003</v>
      </c>
      <c r="N8430" s="7">
        <v>367414</v>
      </c>
      <c r="O8430" s="7">
        <v>367413</v>
      </c>
      <c r="P8430" s="7">
        <v>0</v>
      </c>
      <c r="Q8430" s="7" t="str">
        <f t="shared" si="2939"/>
        <v>大阪港湾局</v>
      </c>
      <c r="R8430" s="7" t="str">
        <f t="shared" si="2940"/>
        <v>大阪港湾局</v>
      </c>
    </row>
    <row r="8431" spans="1:18" s="1" customFormat="1" x14ac:dyDescent="0.45">
      <c r="A8431" s="7" t="str">
        <f t="shared" si="2941"/>
        <v>08200000001</v>
      </c>
      <c r="B8431" s="7" t="str">
        <f t="shared" si="2942"/>
        <v>堺港湾事務所堺１区</v>
      </c>
      <c r="C8431" s="7" t="str">
        <f t="shared" si="2926"/>
        <v>行政財産</v>
      </c>
      <c r="D8431" s="7" t="str">
        <f t="shared" si="2935"/>
        <v>その他（行政機関）の施設</v>
      </c>
      <c r="E8431" s="7" t="str">
        <f t="shared" si="2943"/>
        <v>大阪府堺市　堺区塩浜町</v>
      </c>
      <c r="F8431" s="7"/>
      <c r="G8431" s="7" t="str">
        <f t="shared" si="2937"/>
        <v>事業用資産</v>
      </c>
      <c r="H8431" s="7" t="str">
        <f t="shared" si="2932"/>
        <v>棚卸以外</v>
      </c>
      <c r="I8431" s="7">
        <v>12</v>
      </c>
      <c r="J8431" s="7" t="str">
        <f>"無線室．書庫．観測室"</f>
        <v>無線室．書庫．観測室</v>
      </c>
      <c r="K8431" s="7" t="str">
        <f>"鉄筋コンクリート造"</f>
        <v>鉄筋コンクリート造</v>
      </c>
      <c r="L8431" s="7" t="str">
        <f>"S36.05.25"</f>
        <v>S36.05.25</v>
      </c>
      <c r="M8431" s="7">
        <v>61.77</v>
      </c>
      <c r="N8431" s="7">
        <v>92538000</v>
      </c>
      <c r="O8431" s="7">
        <v>92537999</v>
      </c>
      <c r="P8431" s="7">
        <v>0</v>
      </c>
      <c r="Q8431" s="7" t="str">
        <f t="shared" si="2939"/>
        <v>大阪港湾局</v>
      </c>
      <c r="R8431" s="7" t="str">
        <f t="shared" si="2940"/>
        <v>大阪港湾局</v>
      </c>
    </row>
    <row r="8432" spans="1:18" s="1" customFormat="1" x14ac:dyDescent="0.45">
      <c r="A8432" s="7" t="str">
        <f t="shared" si="2941"/>
        <v>08200000001</v>
      </c>
      <c r="B8432" s="7" t="str">
        <f t="shared" si="2942"/>
        <v>堺港湾事務所堺１区</v>
      </c>
      <c r="C8432" s="7" t="str">
        <f t="shared" si="2926"/>
        <v>行政財産</v>
      </c>
      <c r="D8432" s="7" t="str">
        <f t="shared" si="2935"/>
        <v>その他（行政機関）の施設</v>
      </c>
      <c r="E8432" s="7" t="str">
        <f t="shared" si="2943"/>
        <v>大阪府堺市　堺区塩浜町</v>
      </c>
      <c r="F8432" s="7"/>
      <c r="G8432" s="7" t="str">
        <f t="shared" si="2937"/>
        <v>事業用資産</v>
      </c>
      <c r="H8432" s="7" t="str">
        <f t="shared" si="2932"/>
        <v>棚卸以外</v>
      </c>
      <c r="I8432" s="7">
        <v>14</v>
      </c>
      <c r="J8432" s="7" t="str">
        <f>"油類倉庫"</f>
        <v>油類倉庫</v>
      </c>
      <c r="K8432" s="7" t="str">
        <f>"レンガ、石積造"</f>
        <v>レンガ、石積造</v>
      </c>
      <c r="L8432" s="7" t="str">
        <f>"S46.01.31"</f>
        <v>S46.01.31</v>
      </c>
      <c r="M8432" s="7">
        <v>6</v>
      </c>
      <c r="N8432" s="7">
        <v>161000</v>
      </c>
      <c r="O8432" s="7">
        <v>160999</v>
      </c>
      <c r="P8432" s="7">
        <v>0</v>
      </c>
      <c r="Q8432" s="7" t="str">
        <f t="shared" si="2939"/>
        <v>大阪港湾局</v>
      </c>
      <c r="R8432" s="7" t="str">
        <f t="shared" si="2940"/>
        <v>大阪港湾局</v>
      </c>
    </row>
    <row r="8433" spans="1:18" s="1" customFormat="1" x14ac:dyDescent="0.45">
      <c r="A8433" s="7" t="str">
        <f t="shared" si="2941"/>
        <v>08200000001</v>
      </c>
      <c r="B8433" s="7" t="str">
        <f t="shared" si="2942"/>
        <v>堺港湾事務所堺１区</v>
      </c>
      <c r="C8433" s="7" t="str">
        <f t="shared" si="2926"/>
        <v>行政財産</v>
      </c>
      <c r="D8433" s="7" t="str">
        <f t="shared" si="2935"/>
        <v>その他（行政機関）の施設</v>
      </c>
      <c r="E8433" s="7" t="str">
        <f t="shared" si="2943"/>
        <v>大阪府堺市　堺区塩浜町</v>
      </c>
      <c r="F8433" s="7"/>
      <c r="G8433" s="7" t="str">
        <f t="shared" si="2937"/>
        <v>事業用資産</v>
      </c>
      <c r="H8433" s="7" t="str">
        <f t="shared" si="2932"/>
        <v>棚卸以外</v>
      </c>
      <c r="I8433" s="7">
        <v>16</v>
      </c>
      <c r="J8433" s="7" t="str">
        <f>"発電室"</f>
        <v>発電室</v>
      </c>
      <c r="K8433" s="7" t="str">
        <f>"コンクリートブロック造"</f>
        <v>コンクリートブロック造</v>
      </c>
      <c r="L8433" s="7" t="str">
        <f>"S52.11.14"</f>
        <v>S52.11.14</v>
      </c>
      <c r="M8433" s="7">
        <v>16</v>
      </c>
      <c r="N8433" s="7">
        <v>13395000</v>
      </c>
      <c r="O8433" s="7">
        <v>13394999</v>
      </c>
      <c r="P8433" s="7">
        <v>0</v>
      </c>
      <c r="Q8433" s="7" t="str">
        <f t="shared" si="2939"/>
        <v>大阪港湾局</v>
      </c>
      <c r="R8433" s="7" t="str">
        <f t="shared" si="2940"/>
        <v>大阪港湾局</v>
      </c>
    </row>
    <row r="8434" spans="1:18" s="1" customFormat="1" x14ac:dyDescent="0.45">
      <c r="A8434" s="7" t="str">
        <f t="shared" si="2941"/>
        <v>08200000001</v>
      </c>
      <c r="B8434" s="7" t="str">
        <f t="shared" si="2942"/>
        <v>堺港湾事務所堺１区</v>
      </c>
      <c r="C8434" s="7" t="str">
        <f t="shared" si="2926"/>
        <v>行政財産</v>
      </c>
      <c r="D8434" s="7" t="str">
        <f t="shared" si="2935"/>
        <v>その他（行政機関）の施設</v>
      </c>
      <c r="E8434" s="7" t="str">
        <f t="shared" si="2943"/>
        <v>大阪府堺市　堺区塩浜町</v>
      </c>
      <c r="F8434" s="7"/>
      <c r="G8434" s="7" t="str">
        <f t="shared" si="2937"/>
        <v>事業用資産</v>
      </c>
      <c r="H8434" s="7" t="str">
        <f t="shared" si="2932"/>
        <v>棚卸以外</v>
      </c>
      <c r="I8434" s="7">
        <v>17</v>
      </c>
      <c r="J8434" s="7" t="str">
        <f>"船舶乗組員詰所"</f>
        <v>船舶乗組員詰所</v>
      </c>
      <c r="K8434" s="7" t="str">
        <f>"軽量鉄骨造"</f>
        <v>軽量鉄骨造</v>
      </c>
      <c r="L8434" s="7" t="str">
        <f>"S60.11.07"</f>
        <v>S60.11.07</v>
      </c>
      <c r="M8434" s="7">
        <v>97.69</v>
      </c>
      <c r="N8434" s="7">
        <v>10320000</v>
      </c>
      <c r="O8434" s="7">
        <v>10319999</v>
      </c>
      <c r="P8434" s="7">
        <v>0</v>
      </c>
      <c r="Q8434" s="7" t="str">
        <f t="shared" si="2939"/>
        <v>大阪港湾局</v>
      </c>
      <c r="R8434" s="7" t="str">
        <f t="shared" si="2940"/>
        <v>大阪港湾局</v>
      </c>
    </row>
    <row r="8435" spans="1:18" s="1" customFormat="1" x14ac:dyDescent="0.45">
      <c r="A8435" s="7" t="str">
        <f t="shared" si="2941"/>
        <v>08200000001</v>
      </c>
      <c r="B8435" s="7" t="str">
        <f t="shared" si="2942"/>
        <v>堺港湾事務所堺１区</v>
      </c>
      <c r="C8435" s="7" t="str">
        <f t="shared" si="2926"/>
        <v>行政財産</v>
      </c>
      <c r="D8435" s="7" t="str">
        <f t="shared" si="2935"/>
        <v>その他（行政機関）の施設</v>
      </c>
      <c r="E8435" s="7" t="str">
        <f t="shared" si="2943"/>
        <v>大阪府堺市　堺区塩浜町</v>
      </c>
      <c r="F8435" s="7"/>
      <c r="G8435" s="7" t="str">
        <f t="shared" si="2937"/>
        <v>事業用資産</v>
      </c>
      <c r="H8435" s="7" t="str">
        <f t="shared" si="2932"/>
        <v>棚卸以外</v>
      </c>
      <c r="I8435" s="7">
        <v>18</v>
      </c>
      <c r="J8435" s="7" t="str">
        <f>"プロパンボンベ庫"</f>
        <v>プロパンボンベ庫</v>
      </c>
      <c r="K8435" s="7" t="str">
        <f>"軽量鉄骨造"</f>
        <v>軽量鉄骨造</v>
      </c>
      <c r="L8435" s="7" t="str">
        <f>"S60.11.07"</f>
        <v>S60.11.07</v>
      </c>
      <c r="M8435" s="7">
        <v>5.4</v>
      </c>
      <c r="N8435" s="7">
        <v>21000</v>
      </c>
      <c r="O8435" s="7">
        <v>20999</v>
      </c>
      <c r="P8435" s="7">
        <v>0</v>
      </c>
      <c r="Q8435" s="7" t="str">
        <f t="shared" si="2939"/>
        <v>大阪港湾局</v>
      </c>
      <c r="R8435" s="7" t="str">
        <f t="shared" si="2940"/>
        <v>大阪港湾局</v>
      </c>
    </row>
    <row r="8436" spans="1:18" s="1" customFormat="1" x14ac:dyDescent="0.45">
      <c r="A8436" s="7" t="str">
        <f t="shared" si="2941"/>
        <v>08200000001</v>
      </c>
      <c r="B8436" s="7" t="str">
        <f t="shared" si="2942"/>
        <v>堺港湾事務所堺１区</v>
      </c>
      <c r="C8436" s="7" t="str">
        <f t="shared" si="2926"/>
        <v>行政財産</v>
      </c>
      <c r="D8436" s="7" t="str">
        <f t="shared" si="2935"/>
        <v>その他（行政機関）の施設</v>
      </c>
      <c r="E8436" s="7" t="str">
        <f t="shared" si="2943"/>
        <v>大阪府堺市　堺区塩浜町</v>
      </c>
      <c r="F8436" s="7"/>
      <c r="G8436" s="7" t="str">
        <f t="shared" si="2937"/>
        <v>事業用資産</v>
      </c>
      <c r="H8436" s="7" t="str">
        <f t="shared" si="2932"/>
        <v>棚卸以外</v>
      </c>
      <c r="I8436" s="7">
        <v>19</v>
      </c>
      <c r="J8436" s="7" t="str">
        <f>"水防場所"</f>
        <v>水防場所</v>
      </c>
      <c r="K8436" s="7" t="str">
        <f>"プレハブ"</f>
        <v>プレハブ</v>
      </c>
      <c r="L8436" s="7" t="str">
        <f>"H17.05.18"</f>
        <v>H17.05.18</v>
      </c>
      <c r="M8436" s="7">
        <v>205.07</v>
      </c>
      <c r="N8436" s="7">
        <v>25321000</v>
      </c>
      <c r="O8436" s="7">
        <v>15052118</v>
      </c>
      <c r="P8436" s="7">
        <v>0</v>
      </c>
      <c r="Q8436" s="7" t="str">
        <f t="shared" si="2939"/>
        <v>大阪港湾局</v>
      </c>
      <c r="R8436" s="7" t="str">
        <f t="shared" si="2940"/>
        <v>大阪港湾局</v>
      </c>
    </row>
    <row r="8437" spans="1:18" s="1" customFormat="1" x14ac:dyDescent="0.45">
      <c r="A8437" s="7" t="str">
        <f t="shared" si="2941"/>
        <v>08200000001</v>
      </c>
      <c r="B8437" s="7" t="str">
        <f t="shared" si="2942"/>
        <v>堺港湾事務所堺１区</v>
      </c>
      <c r="C8437" s="7" t="str">
        <f t="shared" si="2926"/>
        <v>行政財産</v>
      </c>
      <c r="D8437" s="7" t="str">
        <f t="shared" si="2935"/>
        <v>その他（行政機関）の施設</v>
      </c>
      <c r="E8437" s="7" t="str">
        <f t="shared" si="2943"/>
        <v>大阪府堺市　堺区塩浜町</v>
      </c>
      <c r="F8437" s="7"/>
      <c r="G8437" s="7" t="str">
        <f t="shared" si="2937"/>
        <v>事業用資産</v>
      </c>
      <c r="H8437" s="7" t="str">
        <f t="shared" si="2932"/>
        <v>棚卸以外</v>
      </c>
      <c r="I8437" s="7">
        <v>21</v>
      </c>
      <c r="J8437" s="7" t="str">
        <f>"来庁者用駐輪場"</f>
        <v>来庁者用駐輪場</v>
      </c>
      <c r="K8437" s="7" t="str">
        <f>"軽量鉄骨造"</f>
        <v>軽量鉄骨造</v>
      </c>
      <c r="L8437" s="7" t="str">
        <f>"H28.03.30"</f>
        <v>H28.03.30</v>
      </c>
      <c r="M8437" s="7">
        <v>10.54</v>
      </c>
      <c r="N8437" s="7">
        <v>305640</v>
      </c>
      <c r="O8437" s="7">
        <v>142632</v>
      </c>
      <c r="P8437" s="7">
        <v>0</v>
      </c>
      <c r="Q8437" s="7" t="str">
        <f t="shared" si="2939"/>
        <v>大阪港湾局</v>
      </c>
      <c r="R8437" s="7" t="str">
        <f t="shared" si="2940"/>
        <v>大阪港湾局</v>
      </c>
    </row>
    <row r="8438" spans="1:18" s="1" customFormat="1" x14ac:dyDescent="0.45">
      <c r="A8438" s="7" t="str">
        <f>"08200000003"</f>
        <v>08200000003</v>
      </c>
      <c r="B8438" s="7" t="str">
        <f>"堺港湾事務所堺３区"</f>
        <v>堺港湾事務所堺３区</v>
      </c>
      <c r="C8438" s="7" t="str">
        <f t="shared" ref="C8438:C8501" si="2944">"行政財産"</f>
        <v>行政財産</v>
      </c>
      <c r="D8438" s="7" t="str">
        <f t="shared" si="2935"/>
        <v>その他（行政機関）の施設</v>
      </c>
      <c r="E8438" s="7" t="str">
        <f>"大阪府堺市　堺区築港南町"</f>
        <v>大阪府堺市　堺区築港南町</v>
      </c>
      <c r="F8438" s="7"/>
      <c r="G8438" s="7" t="str">
        <f t="shared" si="2937"/>
        <v>事業用資産</v>
      </c>
      <c r="H8438" s="7" t="str">
        <f t="shared" si="2932"/>
        <v>棚卸以外</v>
      </c>
      <c r="I8438" s="7">
        <v>1</v>
      </c>
      <c r="J8438" s="7" t="str">
        <f>"堺３区監視員詰所"</f>
        <v>堺３区監視員詰所</v>
      </c>
      <c r="K8438" s="7" t="str">
        <f>"コンクリートブロック造"</f>
        <v>コンクリートブロック造</v>
      </c>
      <c r="L8438" s="7" t="str">
        <f>"S45.08.31"</f>
        <v>S45.08.31</v>
      </c>
      <c r="M8438" s="7">
        <v>32.4</v>
      </c>
      <c r="N8438" s="7">
        <v>2340000</v>
      </c>
      <c r="O8438" s="7">
        <v>2339999</v>
      </c>
      <c r="P8438" s="7">
        <v>0</v>
      </c>
      <c r="Q8438" s="7" t="str">
        <f t="shared" si="2939"/>
        <v>大阪港湾局</v>
      </c>
      <c r="R8438" s="7" t="str">
        <f t="shared" si="2940"/>
        <v>大阪港湾局</v>
      </c>
    </row>
    <row r="8439" spans="1:18" s="1" customFormat="1" x14ac:dyDescent="0.45">
      <c r="A8439" s="7" t="str">
        <f>"08200000003"</f>
        <v>08200000003</v>
      </c>
      <c r="B8439" s="7" t="str">
        <f>"堺港湾事務所堺３区"</f>
        <v>堺港湾事務所堺３区</v>
      </c>
      <c r="C8439" s="7" t="str">
        <f t="shared" si="2944"/>
        <v>行政財産</v>
      </c>
      <c r="D8439" s="7" t="str">
        <f t="shared" si="2935"/>
        <v>その他（行政機関）の施設</v>
      </c>
      <c r="E8439" s="7" t="str">
        <f>"大阪府堺市　堺区築港南町"</f>
        <v>大阪府堺市　堺区築港南町</v>
      </c>
      <c r="F8439" s="7"/>
      <c r="G8439" s="7" t="str">
        <f t="shared" si="2937"/>
        <v>事業用資産</v>
      </c>
      <c r="H8439" s="7" t="str">
        <f t="shared" si="2932"/>
        <v>棚卸以外</v>
      </c>
      <c r="I8439" s="7">
        <v>2</v>
      </c>
      <c r="J8439" s="7" t="str">
        <f>"大浜局舎"</f>
        <v>大浜局舎</v>
      </c>
      <c r="K8439" s="7" t="str">
        <f>"軽量鉄骨造"</f>
        <v>軽量鉄骨造</v>
      </c>
      <c r="L8439" s="7" t="str">
        <f>"S45.08.31"</f>
        <v>S45.08.31</v>
      </c>
      <c r="M8439" s="7">
        <v>14.58</v>
      </c>
      <c r="N8439" s="7">
        <v>6063000</v>
      </c>
      <c r="O8439" s="7">
        <v>4547448</v>
      </c>
      <c r="P8439" s="7">
        <v>0</v>
      </c>
      <c r="Q8439" s="7" t="str">
        <f t="shared" si="2939"/>
        <v>大阪港湾局</v>
      </c>
      <c r="R8439" s="7" t="str">
        <f t="shared" si="2940"/>
        <v>大阪港湾局</v>
      </c>
    </row>
    <row r="8440" spans="1:18" s="1" customFormat="1" x14ac:dyDescent="0.45">
      <c r="A8440" s="7" t="str">
        <f>"08200000003"</f>
        <v>08200000003</v>
      </c>
      <c r="B8440" s="7" t="str">
        <f>"堺港湾事務所堺３区"</f>
        <v>堺港湾事務所堺３区</v>
      </c>
      <c r="C8440" s="7" t="str">
        <f t="shared" si="2944"/>
        <v>行政財産</v>
      </c>
      <c r="D8440" s="7" t="str">
        <f t="shared" si="2935"/>
        <v>その他（行政機関）の施設</v>
      </c>
      <c r="E8440" s="7" t="str">
        <f>"大阪府堺市　堺区築港南町"</f>
        <v>大阪府堺市　堺区築港南町</v>
      </c>
      <c r="F8440" s="7"/>
      <c r="G8440" s="7" t="str">
        <f t="shared" si="2937"/>
        <v>事業用資産</v>
      </c>
      <c r="H8440" s="7" t="str">
        <f t="shared" si="2932"/>
        <v>棚卸以外</v>
      </c>
      <c r="I8440" s="7">
        <v>3</v>
      </c>
      <c r="J8440" s="7" t="str">
        <f>"大浜５号立哨建屋"</f>
        <v>大浜５号立哨建屋</v>
      </c>
      <c r="K8440" s="7" t="str">
        <f>"軽量鉄骨造"</f>
        <v>軽量鉄骨造</v>
      </c>
      <c r="L8440" s="7" t="str">
        <f>"S45.08.31"</f>
        <v>S45.08.31</v>
      </c>
      <c r="M8440" s="7">
        <v>3.43</v>
      </c>
      <c r="N8440" s="7">
        <v>2854000</v>
      </c>
      <c r="O8440" s="7">
        <v>1704520</v>
      </c>
      <c r="P8440" s="7">
        <v>0</v>
      </c>
      <c r="Q8440" s="7" t="str">
        <f t="shared" si="2939"/>
        <v>大阪港湾局</v>
      </c>
      <c r="R8440" s="7" t="str">
        <f t="shared" si="2940"/>
        <v>大阪港湾局</v>
      </c>
    </row>
    <row r="8441" spans="1:18" s="1" customFormat="1" x14ac:dyDescent="0.45">
      <c r="A8441" s="7" t="str">
        <f>"08200000007"</f>
        <v>08200000007</v>
      </c>
      <c r="B8441" s="7" t="str">
        <f>"堺港湾事務所堺７区"</f>
        <v>堺港湾事務所堺７区</v>
      </c>
      <c r="C8441" s="7" t="str">
        <f t="shared" si="2944"/>
        <v>行政財産</v>
      </c>
      <c r="D8441" s="7" t="str">
        <f t="shared" si="2935"/>
        <v>その他（行政機関）の施設</v>
      </c>
      <c r="E8441" s="7" t="str">
        <f>"大阪府堺市　西区築港新町４丁"</f>
        <v>大阪府堺市　西区築港新町４丁</v>
      </c>
      <c r="F8441" s="7"/>
      <c r="G8441" s="7" t="str">
        <f t="shared" si="2937"/>
        <v>事業用資産</v>
      </c>
      <c r="H8441" s="7" t="str">
        <f t="shared" si="2932"/>
        <v>棚卸以外</v>
      </c>
      <c r="I8441" s="7">
        <v>1</v>
      </c>
      <c r="J8441" s="7" t="str">
        <f>"管理事務所"</f>
        <v>管理事務所</v>
      </c>
      <c r="K8441" s="7" t="str">
        <f>"鉄骨造"</f>
        <v>鉄骨造</v>
      </c>
      <c r="L8441" s="7" t="str">
        <f>"S47.09.30"</f>
        <v>S47.09.30</v>
      </c>
      <c r="M8441" s="7">
        <v>263.04000000000002</v>
      </c>
      <c r="N8441" s="7">
        <v>18055000</v>
      </c>
      <c r="O8441" s="7">
        <v>18054999</v>
      </c>
      <c r="P8441" s="7">
        <v>0</v>
      </c>
      <c r="Q8441" s="7" t="str">
        <f t="shared" si="2939"/>
        <v>大阪港湾局</v>
      </c>
      <c r="R8441" s="7" t="str">
        <f t="shared" si="2940"/>
        <v>大阪港湾局</v>
      </c>
    </row>
    <row r="8442" spans="1:18" s="1" customFormat="1" x14ac:dyDescent="0.45">
      <c r="A8442" s="7" t="str">
        <f>"08200000007"</f>
        <v>08200000007</v>
      </c>
      <c r="B8442" s="7" t="str">
        <f>"堺港湾事務所堺７区"</f>
        <v>堺港湾事務所堺７区</v>
      </c>
      <c r="C8442" s="7" t="str">
        <f t="shared" si="2944"/>
        <v>行政財産</v>
      </c>
      <c r="D8442" s="7" t="str">
        <f t="shared" si="2935"/>
        <v>その他（行政機関）の施設</v>
      </c>
      <c r="E8442" s="7" t="str">
        <f>"大阪府堺市　西区築港新町４丁"</f>
        <v>大阪府堺市　西区築港新町４丁</v>
      </c>
      <c r="F8442" s="7"/>
      <c r="G8442" s="7" t="str">
        <f t="shared" si="2937"/>
        <v>事業用資産</v>
      </c>
      <c r="H8442" s="7" t="str">
        <f t="shared" si="2932"/>
        <v>棚卸以外</v>
      </c>
      <c r="I8442" s="7">
        <v>2</v>
      </c>
      <c r="J8442" s="7" t="str">
        <f>"ガレージ"</f>
        <v>ガレージ</v>
      </c>
      <c r="K8442" s="7" t="str">
        <f>"鉄骨造"</f>
        <v>鉄骨造</v>
      </c>
      <c r="L8442" s="7" t="str">
        <f>"S47.09.30"</f>
        <v>S47.09.30</v>
      </c>
      <c r="M8442" s="7">
        <v>54</v>
      </c>
      <c r="N8442" s="7">
        <v>1489000</v>
      </c>
      <c r="O8442" s="7">
        <v>1488999</v>
      </c>
      <c r="P8442" s="7">
        <v>0</v>
      </c>
      <c r="Q8442" s="7" t="str">
        <f t="shared" si="2939"/>
        <v>大阪港湾局</v>
      </c>
      <c r="R8442" s="7" t="str">
        <f t="shared" si="2940"/>
        <v>大阪港湾局</v>
      </c>
    </row>
    <row r="8443" spans="1:18" s="1" customFormat="1" x14ac:dyDescent="0.45">
      <c r="A8443" s="7" t="str">
        <f>"08200000007"</f>
        <v>08200000007</v>
      </c>
      <c r="B8443" s="7" t="str">
        <f>"堺港湾事務所堺７区"</f>
        <v>堺港湾事務所堺７区</v>
      </c>
      <c r="C8443" s="7" t="str">
        <f t="shared" si="2944"/>
        <v>行政財産</v>
      </c>
      <c r="D8443" s="7" t="str">
        <f t="shared" si="2935"/>
        <v>その他（行政機関）の施設</v>
      </c>
      <c r="E8443" s="7" t="str">
        <f>"大阪府堺市　西区築港新町４丁"</f>
        <v>大阪府堺市　西区築港新町４丁</v>
      </c>
      <c r="F8443" s="7"/>
      <c r="G8443" s="7" t="str">
        <f t="shared" si="2937"/>
        <v>事業用資産</v>
      </c>
      <c r="H8443" s="7" t="str">
        <f t="shared" si="2932"/>
        <v>棚卸以外</v>
      </c>
      <c r="I8443" s="7">
        <v>3</v>
      </c>
      <c r="J8443" s="7" t="str">
        <f>"物置"</f>
        <v>物置</v>
      </c>
      <c r="K8443" s="7" t="str">
        <f>"鉄骨造"</f>
        <v>鉄骨造</v>
      </c>
      <c r="L8443" s="7" t="str">
        <f>"S47.09.30"</f>
        <v>S47.09.30</v>
      </c>
      <c r="M8443" s="7">
        <v>19.2</v>
      </c>
      <c r="N8443" s="7">
        <v>712000</v>
      </c>
      <c r="O8443" s="7">
        <v>711999</v>
      </c>
      <c r="P8443" s="7">
        <v>0</v>
      </c>
      <c r="Q8443" s="7" t="str">
        <f t="shared" si="2939"/>
        <v>大阪港湾局</v>
      </c>
      <c r="R8443" s="7" t="str">
        <f t="shared" si="2940"/>
        <v>大阪港湾局</v>
      </c>
    </row>
    <row r="8444" spans="1:18" s="1" customFormat="1" x14ac:dyDescent="0.45">
      <c r="A8444" s="7" t="str">
        <f>"08200000007"</f>
        <v>08200000007</v>
      </c>
      <c r="B8444" s="7" t="str">
        <f>"堺港湾事務所堺７区"</f>
        <v>堺港湾事務所堺７区</v>
      </c>
      <c r="C8444" s="7" t="str">
        <f t="shared" si="2944"/>
        <v>行政財産</v>
      </c>
      <c r="D8444" s="7" t="str">
        <f t="shared" si="2935"/>
        <v>その他（行政機関）の施設</v>
      </c>
      <c r="E8444" s="7" t="str">
        <f>"大阪府堺市　西区築港新町４丁"</f>
        <v>大阪府堺市　西区築港新町４丁</v>
      </c>
      <c r="F8444" s="7"/>
      <c r="G8444" s="7" t="str">
        <f t="shared" si="2937"/>
        <v>事業用資産</v>
      </c>
      <c r="H8444" s="7" t="str">
        <f t="shared" si="2932"/>
        <v>棚卸以外</v>
      </c>
      <c r="I8444" s="7">
        <v>4</v>
      </c>
      <c r="J8444" s="7" t="str">
        <f>"油貯蔵庫"</f>
        <v>油貯蔵庫</v>
      </c>
      <c r="K8444" s="7" t="str">
        <f>"鉄骨造"</f>
        <v>鉄骨造</v>
      </c>
      <c r="L8444" s="7" t="str">
        <f>"S47.09.30"</f>
        <v>S47.09.30</v>
      </c>
      <c r="M8444" s="7">
        <v>13.44</v>
      </c>
      <c r="N8444" s="7">
        <v>500000</v>
      </c>
      <c r="O8444" s="7">
        <v>499999</v>
      </c>
      <c r="P8444" s="7">
        <v>0</v>
      </c>
      <c r="Q8444" s="7" t="str">
        <f t="shared" si="2939"/>
        <v>大阪港湾局</v>
      </c>
      <c r="R8444" s="7" t="str">
        <f t="shared" si="2940"/>
        <v>大阪港湾局</v>
      </c>
    </row>
    <row r="8445" spans="1:18" s="1" customFormat="1" x14ac:dyDescent="0.45">
      <c r="A8445" s="7" t="str">
        <f>"08200000127"</f>
        <v>08200000127</v>
      </c>
      <c r="B8445" s="7" t="str">
        <f>"阪南４区港湾施設"</f>
        <v>阪南４区港湾施設</v>
      </c>
      <c r="C8445" s="7" t="str">
        <f t="shared" si="2944"/>
        <v>行政財産</v>
      </c>
      <c r="D8445" s="7" t="str">
        <f t="shared" ref="D8445:D8475" si="2945">"その他"</f>
        <v>その他</v>
      </c>
      <c r="E8445" s="7" t="str">
        <f>"大阪府貝塚市二色北町"</f>
        <v>大阪府貝塚市二色北町</v>
      </c>
      <c r="F8445" s="7"/>
      <c r="G8445" s="7" t="str">
        <f t="shared" ref="G8445:G8475" si="2946">"インフラ資産"</f>
        <v>インフラ資産</v>
      </c>
      <c r="H8445" s="7" t="str">
        <f t="shared" si="2932"/>
        <v>棚卸以外</v>
      </c>
      <c r="I8445" s="7">
        <v>1</v>
      </c>
      <c r="J8445" s="7" t="str">
        <f>"新貝塚２号立哨建屋"</f>
        <v>新貝塚２号立哨建屋</v>
      </c>
      <c r="K8445" s="7" t="str">
        <f>"軽量鉄骨造"</f>
        <v>軽量鉄骨造</v>
      </c>
      <c r="L8445" s="7" t="str">
        <f>"H17.04.06"</f>
        <v>H17.04.06</v>
      </c>
      <c r="M8445" s="7">
        <v>3.43</v>
      </c>
      <c r="N8445" s="7">
        <v>2582000</v>
      </c>
      <c r="O8445" s="7">
        <v>1542195</v>
      </c>
      <c r="P8445" s="7">
        <v>0</v>
      </c>
      <c r="Q8445" s="7" t="str">
        <f t="shared" si="2939"/>
        <v>大阪港湾局</v>
      </c>
      <c r="R8445" s="7" t="str">
        <f t="shared" si="2940"/>
        <v>大阪港湾局</v>
      </c>
    </row>
    <row r="8446" spans="1:18" s="1" customFormat="1" x14ac:dyDescent="0.45">
      <c r="A8446" s="7" t="str">
        <f t="shared" ref="A8446:A8454" si="2947">"08200000201"</f>
        <v>08200000201</v>
      </c>
      <c r="B8446" s="7" t="str">
        <f t="shared" ref="B8446:B8454" si="2948">"堺泉北港堺１区（一般会計）"</f>
        <v>堺泉北港堺１区（一般会計）</v>
      </c>
      <c r="C8446" s="7" t="str">
        <f t="shared" si="2944"/>
        <v>行政財産</v>
      </c>
      <c r="D8446" s="7" t="str">
        <f t="shared" si="2945"/>
        <v>その他</v>
      </c>
      <c r="E8446" s="7" t="str">
        <f t="shared" ref="E8446:E8454" si="2949">"大阪府堺市　堺区塩浜町"</f>
        <v>大阪府堺市　堺区塩浜町</v>
      </c>
      <c r="F8446" s="7"/>
      <c r="G8446" s="7" t="str">
        <f t="shared" si="2946"/>
        <v>インフラ資産</v>
      </c>
      <c r="H8446" s="7" t="str">
        <f t="shared" si="2932"/>
        <v>棚卸以外</v>
      </c>
      <c r="I8446" s="7">
        <v>1</v>
      </c>
      <c r="J8446" s="7" t="str">
        <f>"堺１号上屋"</f>
        <v>堺１号上屋</v>
      </c>
      <c r="K8446" s="7" t="str">
        <f>"鉄骨造"</f>
        <v>鉄骨造</v>
      </c>
      <c r="L8446" s="7" t="str">
        <f>"H25.03.29"</f>
        <v>H25.03.29</v>
      </c>
      <c r="M8446" s="7">
        <v>1024.8900000000001</v>
      </c>
      <c r="N8446" s="7">
        <v>78639308</v>
      </c>
      <c r="O8446" s="7">
        <v>47015977</v>
      </c>
      <c r="P8446" s="7">
        <v>0</v>
      </c>
      <c r="Q8446" s="7" t="str">
        <f t="shared" si="2939"/>
        <v>大阪港湾局</v>
      </c>
      <c r="R8446" s="7" t="str">
        <f t="shared" si="2940"/>
        <v>大阪港湾局</v>
      </c>
    </row>
    <row r="8447" spans="1:18" s="1" customFormat="1" x14ac:dyDescent="0.45">
      <c r="A8447" s="7" t="str">
        <f t="shared" si="2947"/>
        <v>08200000201</v>
      </c>
      <c r="B8447" s="7" t="str">
        <f t="shared" si="2948"/>
        <v>堺泉北港堺１区（一般会計）</v>
      </c>
      <c r="C8447" s="7" t="str">
        <f t="shared" si="2944"/>
        <v>行政財産</v>
      </c>
      <c r="D8447" s="7" t="str">
        <f t="shared" si="2945"/>
        <v>その他</v>
      </c>
      <c r="E8447" s="7" t="str">
        <f t="shared" si="2949"/>
        <v>大阪府堺市　堺区塩浜町</v>
      </c>
      <c r="F8447" s="7"/>
      <c r="G8447" s="7" t="str">
        <f t="shared" si="2946"/>
        <v>インフラ資産</v>
      </c>
      <c r="H8447" s="7" t="str">
        <f t="shared" si="2932"/>
        <v>棚卸以外</v>
      </c>
      <c r="I8447" s="7">
        <v>3</v>
      </c>
      <c r="J8447" s="7" t="str">
        <f>"堺３号上屋"</f>
        <v>堺３号上屋</v>
      </c>
      <c r="K8447" s="7" t="str">
        <f>"鉄筋コンクリート造"</f>
        <v>鉄筋コンクリート造</v>
      </c>
      <c r="L8447" s="7" t="str">
        <f>"S37.03.31"</f>
        <v>S37.03.31</v>
      </c>
      <c r="M8447" s="7">
        <v>948.26</v>
      </c>
      <c r="N8447" s="7">
        <v>56395990</v>
      </c>
      <c r="O8447" s="7">
        <v>45874626</v>
      </c>
      <c r="P8447" s="7">
        <v>0</v>
      </c>
      <c r="Q8447" s="7" t="str">
        <f t="shared" si="2939"/>
        <v>大阪港湾局</v>
      </c>
      <c r="R8447" s="7" t="str">
        <f t="shared" si="2940"/>
        <v>大阪港湾局</v>
      </c>
    </row>
    <row r="8448" spans="1:18" s="1" customFormat="1" x14ac:dyDescent="0.45">
      <c r="A8448" s="7" t="str">
        <f t="shared" si="2947"/>
        <v>08200000201</v>
      </c>
      <c r="B8448" s="7" t="str">
        <f t="shared" si="2948"/>
        <v>堺泉北港堺１区（一般会計）</v>
      </c>
      <c r="C8448" s="7" t="str">
        <f t="shared" si="2944"/>
        <v>行政財産</v>
      </c>
      <c r="D8448" s="7" t="str">
        <f t="shared" si="2945"/>
        <v>その他</v>
      </c>
      <c r="E8448" s="7" t="str">
        <f t="shared" si="2949"/>
        <v>大阪府堺市　堺区塩浜町</v>
      </c>
      <c r="F8448" s="7"/>
      <c r="G8448" s="7" t="str">
        <f t="shared" si="2946"/>
        <v>インフラ資産</v>
      </c>
      <c r="H8448" s="7" t="str">
        <f t="shared" si="2932"/>
        <v>棚卸以外</v>
      </c>
      <c r="I8448" s="7">
        <v>5</v>
      </c>
      <c r="J8448" s="7" t="str">
        <f>"堺４号上屋"</f>
        <v>堺４号上屋</v>
      </c>
      <c r="K8448" s="7" t="str">
        <f>"鉄筋コンクリート造"</f>
        <v>鉄筋コンクリート造</v>
      </c>
      <c r="L8448" s="7" t="str">
        <f>"S38.03.31"</f>
        <v>S38.03.31</v>
      </c>
      <c r="M8448" s="7">
        <v>951.99</v>
      </c>
      <c r="N8448" s="7">
        <v>40407071</v>
      </c>
      <c r="O8448" s="7">
        <v>29688463</v>
      </c>
      <c r="P8448" s="7">
        <v>0</v>
      </c>
      <c r="Q8448" s="7" t="str">
        <f t="shared" si="2939"/>
        <v>大阪港湾局</v>
      </c>
      <c r="R8448" s="7" t="str">
        <f t="shared" si="2940"/>
        <v>大阪港湾局</v>
      </c>
    </row>
    <row r="8449" spans="1:18" s="1" customFormat="1" x14ac:dyDescent="0.45">
      <c r="A8449" s="7" t="str">
        <f t="shared" si="2947"/>
        <v>08200000201</v>
      </c>
      <c r="B8449" s="7" t="str">
        <f t="shared" si="2948"/>
        <v>堺泉北港堺１区（一般会計）</v>
      </c>
      <c r="C8449" s="7" t="str">
        <f t="shared" si="2944"/>
        <v>行政財産</v>
      </c>
      <c r="D8449" s="7" t="str">
        <f t="shared" si="2945"/>
        <v>その他</v>
      </c>
      <c r="E8449" s="7" t="str">
        <f t="shared" si="2949"/>
        <v>大阪府堺市　堺区塩浜町</v>
      </c>
      <c r="F8449" s="7"/>
      <c r="G8449" s="7" t="str">
        <f t="shared" si="2946"/>
        <v>インフラ資産</v>
      </c>
      <c r="H8449" s="7" t="str">
        <f t="shared" si="2932"/>
        <v>棚卸以外</v>
      </c>
      <c r="I8449" s="7">
        <v>8</v>
      </c>
      <c r="J8449" s="7" t="str">
        <f>"堺２号上屋"</f>
        <v>堺２号上屋</v>
      </c>
      <c r="K8449" s="7" t="str">
        <f t="shared" ref="K8449:K8454" si="2950">"鉄骨造"</f>
        <v>鉄骨造</v>
      </c>
      <c r="L8449" s="7" t="str">
        <f>"H25.03.28"</f>
        <v>H25.03.28</v>
      </c>
      <c r="M8449" s="7">
        <v>996.72</v>
      </c>
      <c r="N8449" s="7">
        <v>194259851</v>
      </c>
      <c r="O8449" s="7">
        <v>152620597</v>
      </c>
      <c r="P8449" s="7">
        <v>0</v>
      </c>
      <c r="Q8449" s="7" t="str">
        <f t="shared" si="2939"/>
        <v>大阪港湾局</v>
      </c>
      <c r="R8449" s="7" t="str">
        <f t="shared" si="2940"/>
        <v>大阪港湾局</v>
      </c>
    </row>
    <row r="8450" spans="1:18" s="1" customFormat="1" x14ac:dyDescent="0.45">
      <c r="A8450" s="7" t="str">
        <f t="shared" si="2947"/>
        <v>08200000201</v>
      </c>
      <c r="B8450" s="7" t="str">
        <f t="shared" si="2948"/>
        <v>堺泉北港堺１区（一般会計）</v>
      </c>
      <c r="C8450" s="7" t="str">
        <f t="shared" si="2944"/>
        <v>行政財産</v>
      </c>
      <c r="D8450" s="7" t="str">
        <f t="shared" si="2945"/>
        <v>その他</v>
      </c>
      <c r="E8450" s="7" t="str">
        <f t="shared" si="2949"/>
        <v>大阪府堺市　堺区塩浜町</v>
      </c>
      <c r="F8450" s="7"/>
      <c r="G8450" s="7" t="str">
        <f t="shared" si="2946"/>
        <v>インフラ資産</v>
      </c>
      <c r="H8450" s="7" t="str">
        <f t="shared" si="2932"/>
        <v>棚卸以外</v>
      </c>
      <c r="I8450" s="7">
        <v>9</v>
      </c>
      <c r="J8450" s="7" t="str">
        <f>"堺２号上屋電気室"</f>
        <v>堺２号上屋電気室</v>
      </c>
      <c r="K8450" s="7" t="str">
        <f t="shared" si="2950"/>
        <v>鉄骨造</v>
      </c>
      <c r="L8450" s="7" t="str">
        <f>"S54.09.01"</f>
        <v>S54.09.01</v>
      </c>
      <c r="M8450" s="7">
        <v>5.33</v>
      </c>
      <c r="N8450" s="7">
        <v>716000</v>
      </c>
      <c r="O8450" s="7">
        <v>715999</v>
      </c>
      <c r="P8450" s="7">
        <v>0</v>
      </c>
      <c r="Q8450" s="7" t="str">
        <f t="shared" si="2939"/>
        <v>大阪港湾局</v>
      </c>
      <c r="R8450" s="7" t="str">
        <f t="shared" si="2940"/>
        <v>大阪港湾局</v>
      </c>
    </row>
    <row r="8451" spans="1:18" s="1" customFormat="1" x14ac:dyDescent="0.45">
      <c r="A8451" s="7" t="str">
        <f t="shared" si="2947"/>
        <v>08200000201</v>
      </c>
      <c r="B8451" s="7" t="str">
        <f t="shared" si="2948"/>
        <v>堺泉北港堺１区（一般会計）</v>
      </c>
      <c r="C8451" s="7" t="str">
        <f t="shared" si="2944"/>
        <v>行政財産</v>
      </c>
      <c r="D8451" s="7" t="str">
        <f t="shared" si="2945"/>
        <v>その他</v>
      </c>
      <c r="E8451" s="7" t="str">
        <f t="shared" si="2949"/>
        <v>大阪府堺市　堺区塩浜町</v>
      </c>
      <c r="F8451" s="7"/>
      <c r="G8451" s="7" t="str">
        <f t="shared" si="2946"/>
        <v>インフラ資産</v>
      </c>
      <c r="H8451" s="7" t="str">
        <f t="shared" si="2932"/>
        <v>棚卸以外</v>
      </c>
      <c r="I8451" s="7">
        <v>10</v>
      </c>
      <c r="J8451" s="7" t="str">
        <f>"堺８号上屋"</f>
        <v>堺８号上屋</v>
      </c>
      <c r="K8451" s="7" t="str">
        <f t="shared" si="2950"/>
        <v>鉄骨造</v>
      </c>
      <c r="L8451" s="7" t="str">
        <f>"S54.09.01"</f>
        <v>S54.09.01</v>
      </c>
      <c r="M8451" s="7">
        <v>719.58</v>
      </c>
      <c r="N8451" s="7">
        <v>98647000</v>
      </c>
      <c r="O8451" s="7">
        <v>98646999</v>
      </c>
      <c r="P8451" s="7">
        <v>0</v>
      </c>
      <c r="Q8451" s="7" t="str">
        <f t="shared" si="2939"/>
        <v>大阪港湾局</v>
      </c>
      <c r="R8451" s="7" t="str">
        <f t="shared" si="2940"/>
        <v>大阪港湾局</v>
      </c>
    </row>
    <row r="8452" spans="1:18" s="1" customFormat="1" x14ac:dyDescent="0.45">
      <c r="A8452" s="7" t="str">
        <f t="shared" si="2947"/>
        <v>08200000201</v>
      </c>
      <c r="B8452" s="7" t="str">
        <f t="shared" si="2948"/>
        <v>堺泉北港堺１区（一般会計）</v>
      </c>
      <c r="C8452" s="7" t="str">
        <f t="shared" si="2944"/>
        <v>行政財産</v>
      </c>
      <c r="D8452" s="7" t="str">
        <f t="shared" si="2945"/>
        <v>その他</v>
      </c>
      <c r="E8452" s="7" t="str">
        <f t="shared" si="2949"/>
        <v>大阪府堺市　堺区塩浜町</v>
      </c>
      <c r="F8452" s="7"/>
      <c r="G8452" s="7" t="str">
        <f t="shared" si="2946"/>
        <v>インフラ資産</v>
      </c>
      <c r="H8452" s="7" t="str">
        <f t="shared" ref="H8452:H8515" si="2951">"棚卸以外"</f>
        <v>棚卸以外</v>
      </c>
      <c r="I8452" s="7">
        <v>12</v>
      </c>
      <c r="J8452" s="7" t="str">
        <f>"堺１２号上屋"</f>
        <v>堺１２号上屋</v>
      </c>
      <c r="K8452" s="7" t="str">
        <f t="shared" si="2950"/>
        <v>鉄骨造</v>
      </c>
      <c r="L8452" s="7" t="str">
        <f>"S56.03.28"</f>
        <v>S56.03.28</v>
      </c>
      <c r="M8452" s="7">
        <v>714.36</v>
      </c>
      <c r="N8452" s="7">
        <v>87310000</v>
      </c>
      <c r="O8452" s="7">
        <v>87309999</v>
      </c>
      <c r="P8452" s="7">
        <v>0</v>
      </c>
      <c r="Q8452" s="7" t="str">
        <f t="shared" si="2939"/>
        <v>大阪港湾局</v>
      </c>
      <c r="R8452" s="7" t="str">
        <f t="shared" si="2940"/>
        <v>大阪港湾局</v>
      </c>
    </row>
    <row r="8453" spans="1:18" s="1" customFormat="1" x14ac:dyDescent="0.45">
      <c r="A8453" s="7" t="str">
        <f t="shared" si="2947"/>
        <v>08200000201</v>
      </c>
      <c r="B8453" s="7" t="str">
        <f t="shared" si="2948"/>
        <v>堺泉北港堺１区（一般会計）</v>
      </c>
      <c r="C8453" s="7" t="str">
        <f t="shared" si="2944"/>
        <v>行政財産</v>
      </c>
      <c r="D8453" s="7" t="str">
        <f t="shared" si="2945"/>
        <v>その他</v>
      </c>
      <c r="E8453" s="7" t="str">
        <f t="shared" si="2949"/>
        <v>大阪府堺市　堺区塩浜町</v>
      </c>
      <c r="F8453" s="7"/>
      <c r="G8453" s="7" t="str">
        <f t="shared" si="2946"/>
        <v>インフラ資産</v>
      </c>
      <c r="H8453" s="7" t="str">
        <f t="shared" si="2951"/>
        <v>棚卸以外</v>
      </c>
      <c r="I8453" s="7">
        <v>14</v>
      </c>
      <c r="J8453" s="7" t="str">
        <f>"堺１１号上屋"</f>
        <v>堺１１号上屋</v>
      </c>
      <c r="K8453" s="7" t="str">
        <f t="shared" si="2950"/>
        <v>鉄骨造</v>
      </c>
      <c r="L8453" s="7" t="str">
        <f>"S56.05.01"</f>
        <v>S56.05.01</v>
      </c>
      <c r="M8453" s="7">
        <v>287.94</v>
      </c>
      <c r="N8453" s="7">
        <v>44850000</v>
      </c>
      <c r="O8453" s="7">
        <v>44849999</v>
      </c>
      <c r="P8453" s="7">
        <v>0</v>
      </c>
      <c r="Q8453" s="7" t="str">
        <f t="shared" si="2939"/>
        <v>大阪港湾局</v>
      </c>
      <c r="R8453" s="7" t="str">
        <f t="shared" si="2940"/>
        <v>大阪港湾局</v>
      </c>
    </row>
    <row r="8454" spans="1:18" s="1" customFormat="1" x14ac:dyDescent="0.45">
      <c r="A8454" s="7" t="str">
        <f t="shared" si="2947"/>
        <v>08200000201</v>
      </c>
      <c r="B8454" s="7" t="str">
        <f t="shared" si="2948"/>
        <v>堺泉北港堺１区（一般会計）</v>
      </c>
      <c r="C8454" s="7" t="str">
        <f t="shared" si="2944"/>
        <v>行政財産</v>
      </c>
      <c r="D8454" s="7" t="str">
        <f t="shared" si="2945"/>
        <v>その他</v>
      </c>
      <c r="E8454" s="7" t="str">
        <f t="shared" si="2949"/>
        <v>大阪府堺市　堺区塩浜町</v>
      </c>
      <c r="F8454" s="7"/>
      <c r="G8454" s="7" t="str">
        <f t="shared" si="2946"/>
        <v>インフラ資産</v>
      </c>
      <c r="H8454" s="7" t="str">
        <f t="shared" si="2951"/>
        <v>棚卸以外</v>
      </c>
      <c r="I8454" s="7">
        <v>15</v>
      </c>
      <c r="J8454" s="7" t="str">
        <f>"堺３号上屋附属電気室"</f>
        <v>堺３号上屋附属電気室</v>
      </c>
      <c r="K8454" s="7" t="str">
        <f t="shared" si="2950"/>
        <v>鉄骨造</v>
      </c>
      <c r="L8454" s="7" t="str">
        <f>"S58.03.15"</f>
        <v>S58.03.15</v>
      </c>
      <c r="M8454" s="7">
        <v>43.53</v>
      </c>
      <c r="N8454" s="7">
        <v>14800000</v>
      </c>
      <c r="O8454" s="7">
        <v>14799999</v>
      </c>
      <c r="P8454" s="7">
        <v>0</v>
      </c>
      <c r="Q8454" s="7" t="str">
        <f t="shared" si="2939"/>
        <v>大阪港湾局</v>
      </c>
      <c r="R8454" s="7" t="str">
        <f t="shared" si="2940"/>
        <v>大阪港湾局</v>
      </c>
    </row>
    <row r="8455" spans="1:18" s="1" customFormat="1" x14ac:dyDescent="0.45">
      <c r="A8455" s="7" t="str">
        <f t="shared" ref="A8455:A8469" si="2952">"08200000203"</f>
        <v>08200000203</v>
      </c>
      <c r="B8455" s="7" t="str">
        <f t="shared" ref="B8455:B8469" si="2953">"堺泉北港堺３区"</f>
        <v>堺泉北港堺３区</v>
      </c>
      <c r="C8455" s="7" t="str">
        <f t="shared" si="2944"/>
        <v>行政財産</v>
      </c>
      <c r="D8455" s="7" t="str">
        <f t="shared" si="2945"/>
        <v>その他</v>
      </c>
      <c r="E8455" s="7" t="str">
        <f t="shared" ref="E8455:E8469" si="2954">"大阪府堺市　堺区北波止町"</f>
        <v>大阪府堺市　堺区北波止町</v>
      </c>
      <c r="F8455" s="7"/>
      <c r="G8455" s="7" t="str">
        <f t="shared" si="2946"/>
        <v>インフラ資産</v>
      </c>
      <c r="H8455" s="7" t="str">
        <f t="shared" si="2951"/>
        <v>棚卸以外</v>
      </c>
      <c r="I8455" s="7">
        <v>1</v>
      </c>
      <c r="J8455" s="7" t="str">
        <f>"堺５号上屋"</f>
        <v>堺５号上屋</v>
      </c>
      <c r="K8455" s="7" t="str">
        <f>"鉄筋コンクリート造"</f>
        <v>鉄筋コンクリート造</v>
      </c>
      <c r="L8455" s="7" t="str">
        <f>"S43.03.30"</f>
        <v>S43.03.30</v>
      </c>
      <c r="M8455" s="7">
        <v>3628.72</v>
      </c>
      <c r="N8455" s="7">
        <v>83608000</v>
      </c>
      <c r="O8455" s="7">
        <v>83607999</v>
      </c>
      <c r="P8455" s="7">
        <v>0</v>
      </c>
      <c r="Q8455" s="7" t="str">
        <f t="shared" si="2939"/>
        <v>大阪港湾局</v>
      </c>
      <c r="R8455" s="7" t="str">
        <f t="shared" si="2940"/>
        <v>大阪港湾局</v>
      </c>
    </row>
    <row r="8456" spans="1:18" s="1" customFormat="1" x14ac:dyDescent="0.45">
      <c r="A8456" s="7" t="str">
        <f t="shared" si="2952"/>
        <v>08200000203</v>
      </c>
      <c r="B8456" s="7" t="str">
        <f t="shared" si="2953"/>
        <v>堺泉北港堺３区</v>
      </c>
      <c r="C8456" s="7" t="str">
        <f t="shared" si="2944"/>
        <v>行政財産</v>
      </c>
      <c r="D8456" s="7" t="str">
        <f t="shared" si="2945"/>
        <v>その他</v>
      </c>
      <c r="E8456" s="7" t="str">
        <f t="shared" si="2954"/>
        <v>大阪府堺市　堺区北波止町</v>
      </c>
      <c r="F8456" s="7"/>
      <c r="G8456" s="7" t="str">
        <f t="shared" si="2946"/>
        <v>インフラ資産</v>
      </c>
      <c r="H8456" s="7" t="str">
        <f t="shared" si="2951"/>
        <v>棚卸以外</v>
      </c>
      <c r="I8456" s="7">
        <v>2</v>
      </c>
      <c r="J8456" s="7" t="str">
        <f>"堺６号上屋"</f>
        <v>堺６号上屋</v>
      </c>
      <c r="K8456" s="7" t="str">
        <f>"鉄筋コンクリート造"</f>
        <v>鉄筋コンクリート造</v>
      </c>
      <c r="L8456" s="7" t="str">
        <f>"S43.03.30"</f>
        <v>S43.03.30</v>
      </c>
      <c r="M8456" s="7">
        <v>3727.76</v>
      </c>
      <c r="N8456" s="7">
        <v>155744313</v>
      </c>
      <c r="O8456" s="7">
        <v>155744312</v>
      </c>
      <c r="P8456" s="7">
        <v>0</v>
      </c>
      <c r="Q8456" s="7" t="str">
        <f t="shared" si="2939"/>
        <v>大阪港湾局</v>
      </c>
      <c r="R8456" s="7" t="str">
        <f t="shared" si="2940"/>
        <v>大阪港湾局</v>
      </c>
    </row>
    <row r="8457" spans="1:18" s="1" customFormat="1" x14ac:dyDescent="0.45">
      <c r="A8457" s="7" t="str">
        <f t="shared" si="2952"/>
        <v>08200000203</v>
      </c>
      <c r="B8457" s="7" t="str">
        <f t="shared" si="2953"/>
        <v>堺泉北港堺３区</v>
      </c>
      <c r="C8457" s="7" t="str">
        <f t="shared" si="2944"/>
        <v>行政財産</v>
      </c>
      <c r="D8457" s="7" t="str">
        <f t="shared" si="2945"/>
        <v>その他</v>
      </c>
      <c r="E8457" s="7" t="str">
        <f t="shared" si="2954"/>
        <v>大阪府堺市　堺区北波止町</v>
      </c>
      <c r="F8457" s="7"/>
      <c r="G8457" s="7" t="str">
        <f t="shared" si="2946"/>
        <v>インフラ資産</v>
      </c>
      <c r="H8457" s="7" t="str">
        <f t="shared" si="2951"/>
        <v>棚卸以外</v>
      </c>
      <c r="I8457" s="7">
        <v>3</v>
      </c>
      <c r="J8457" s="7" t="str">
        <f>"堺７号上屋"</f>
        <v>堺７号上屋</v>
      </c>
      <c r="K8457" s="7" t="str">
        <f>"鉄筋コンクリート造"</f>
        <v>鉄筋コンクリート造</v>
      </c>
      <c r="L8457" s="7" t="str">
        <f>"S43.03.30"</f>
        <v>S43.03.30</v>
      </c>
      <c r="M8457" s="7">
        <v>5469.92</v>
      </c>
      <c r="N8457" s="7">
        <v>241203755</v>
      </c>
      <c r="O8457" s="7">
        <v>234674374</v>
      </c>
      <c r="P8457" s="7">
        <v>0</v>
      </c>
      <c r="Q8457" s="7" t="str">
        <f t="shared" ref="Q8457:Q8488" si="2955">"大阪港湾局"</f>
        <v>大阪港湾局</v>
      </c>
      <c r="R8457" s="7" t="str">
        <f t="shared" ref="R8457:R8488" si="2956">"大阪港湾局"</f>
        <v>大阪港湾局</v>
      </c>
    </row>
    <row r="8458" spans="1:18" s="1" customFormat="1" x14ac:dyDescent="0.45">
      <c r="A8458" s="7" t="str">
        <f t="shared" si="2952"/>
        <v>08200000203</v>
      </c>
      <c r="B8458" s="7" t="str">
        <f t="shared" si="2953"/>
        <v>堺泉北港堺３区</v>
      </c>
      <c r="C8458" s="7" t="str">
        <f t="shared" si="2944"/>
        <v>行政財産</v>
      </c>
      <c r="D8458" s="7" t="str">
        <f t="shared" si="2945"/>
        <v>その他</v>
      </c>
      <c r="E8458" s="7" t="str">
        <f t="shared" si="2954"/>
        <v>大阪府堺市　堺区北波止町</v>
      </c>
      <c r="F8458" s="7"/>
      <c r="G8458" s="7" t="str">
        <f t="shared" si="2946"/>
        <v>インフラ資産</v>
      </c>
      <c r="H8458" s="7" t="str">
        <f t="shared" si="2951"/>
        <v>棚卸以外</v>
      </c>
      <c r="I8458" s="7">
        <v>4</v>
      </c>
      <c r="J8458" s="7" t="str">
        <f>"堺９号上屋"</f>
        <v>堺９号上屋</v>
      </c>
      <c r="K8458" s="7" t="str">
        <f>"パイプ"</f>
        <v>パイプ</v>
      </c>
      <c r="L8458" s="7" t="str">
        <f>"H25.03.29"</f>
        <v>H25.03.29</v>
      </c>
      <c r="M8458" s="7">
        <v>3607.96</v>
      </c>
      <c r="N8458" s="7">
        <v>133838819</v>
      </c>
      <c r="O8458" s="7">
        <v>110100759</v>
      </c>
      <c r="P8458" s="7">
        <v>0</v>
      </c>
      <c r="Q8458" s="7" t="str">
        <f t="shared" si="2955"/>
        <v>大阪港湾局</v>
      </c>
      <c r="R8458" s="7" t="str">
        <f t="shared" si="2956"/>
        <v>大阪港湾局</v>
      </c>
    </row>
    <row r="8459" spans="1:18" s="1" customFormat="1" x14ac:dyDescent="0.45">
      <c r="A8459" s="7" t="str">
        <f t="shared" si="2952"/>
        <v>08200000203</v>
      </c>
      <c r="B8459" s="7" t="str">
        <f t="shared" si="2953"/>
        <v>堺泉北港堺３区</v>
      </c>
      <c r="C8459" s="7" t="str">
        <f t="shared" si="2944"/>
        <v>行政財産</v>
      </c>
      <c r="D8459" s="7" t="str">
        <f t="shared" si="2945"/>
        <v>その他</v>
      </c>
      <c r="E8459" s="7" t="str">
        <f t="shared" si="2954"/>
        <v>大阪府堺市　堺区北波止町</v>
      </c>
      <c r="F8459" s="7"/>
      <c r="G8459" s="7" t="str">
        <f t="shared" si="2946"/>
        <v>インフラ資産</v>
      </c>
      <c r="H8459" s="7" t="str">
        <f t="shared" si="2951"/>
        <v>棚卸以外</v>
      </c>
      <c r="I8459" s="7">
        <v>6</v>
      </c>
      <c r="J8459" s="7" t="str">
        <f>"堺９号上屋附属事務所"</f>
        <v>堺９号上屋附属事務所</v>
      </c>
      <c r="K8459" s="7" t="str">
        <f>"鉄骨造"</f>
        <v>鉄骨造</v>
      </c>
      <c r="L8459" s="7" t="str">
        <f t="shared" ref="L8459:L8468" si="2957">"S43.03.30"</f>
        <v>S43.03.30</v>
      </c>
      <c r="M8459" s="7">
        <v>147.80000000000001</v>
      </c>
      <c r="N8459" s="7">
        <v>10075000</v>
      </c>
      <c r="O8459" s="7">
        <v>10074999</v>
      </c>
      <c r="P8459" s="7">
        <v>0</v>
      </c>
      <c r="Q8459" s="7" t="str">
        <f t="shared" si="2955"/>
        <v>大阪港湾局</v>
      </c>
      <c r="R8459" s="7" t="str">
        <f t="shared" si="2956"/>
        <v>大阪港湾局</v>
      </c>
    </row>
    <row r="8460" spans="1:18" s="1" customFormat="1" x14ac:dyDescent="0.45">
      <c r="A8460" s="7" t="str">
        <f t="shared" si="2952"/>
        <v>08200000203</v>
      </c>
      <c r="B8460" s="7" t="str">
        <f t="shared" si="2953"/>
        <v>堺泉北港堺３区</v>
      </c>
      <c r="C8460" s="7" t="str">
        <f t="shared" si="2944"/>
        <v>行政財産</v>
      </c>
      <c r="D8460" s="7" t="str">
        <f t="shared" si="2945"/>
        <v>その他</v>
      </c>
      <c r="E8460" s="7" t="str">
        <f t="shared" si="2954"/>
        <v>大阪府堺市　堺区北波止町</v>
      </c>
      <c r="F8460" s="7"/>
      <c r="G8460" s="7" t="str">
        <f t="shared" si="2946"/>
        <v>インフラ資産</v>
      </c>
      <c r="H8460" s="7" t="str">
        <f t="shared" si="2951"/>
        <v>棚卸以外</v>
      </c>
      <c r="I8460" s="7">
        <v>7</v>
      </c>
      <c r="J8460" s="7" t="str">
        <f>"堺９号上屋附属便所"</f>
        <v>堺９号上屋附属便所</v>
      </c>
      <c r="K8460" s="7" t="str">
        <f>"鉄筋コンクリート造"</f>
        <v>鉄筋コンクリート造</v>
      </c>
      <c r="L8460" s="7" t="str">
        <f t="shared" si="2957"/>
        <v>S43.03.30</v>
      </c>
      <c r="M8460" s="7">
        <v>33.200000000000003</v>
      </c>
      <c r="N8460" s="7">
        <v>1925000</v>
      </c>
      <c r="O8460" s="7">
        <v>1924999</v>
      </c>
      <c r="P8460" s="7">
        <v>0</v>
      </c>
      <c r="Q8460" s="7" t="str">
        <f t="shared" si="2955"/>
        <v>大阪港湾局</v>
      </c>
      <c r="R8460" s="7" t="str">
        <f t="shared" si="2956"/>
        <v>大阪港湾局</v>
      </c>
    </row>
    <row r="8461" spans="1:18" s="1" customFormat="1" x14ac:dyDescent="0.45">
      <c r="A8461" s="7" t="str">
        <f t="shared" si="2952"/>
        <v>08200000203</v>
      </c>
      <c r="B8461" s="7" t="str">
        <f t="shared" si="2953"/>
        <v>堺泉北港堺３区</v>
      </c>
      <c r="C8461" s="7" t="str">
        <f t="shared" si="2944"/>
        <v>行政財産</v>
      </c>
      <c r="D8461" s="7" t="str">
        <f t="shared" si="2945"/>
        <v>その他</v>
      </c>
      <c r="E8461" s="7" t="str">
        <f t="shared" si="2954"/>
        <v>大阪府堺市　堺区北波止町</v>
      </c>
      <c r="F8461" s="7"/>
      <c r="G8461" s="7" t="str">
        <f t="shared" si="2946"/>
        <v>インフラ資産</v>
      </c>
      <c r="H8461" s="7" t="str">
        <f t="shared" si="2951"/>
        <v>棚卸以外</v>
      </c>
      <c r="I8461" s="7">
        <v>8</v>
      </c>
      <c r="J8461" s="7" t="str">
        <f>"堺１０号上屋"</f>
        <v>堺１０号上屋</v>
      </c>
      <c r="K8461" s="7" t="str">
        <f>"鉄筋コンクリート造"</f>
        <v>鉄筋コンクリート造</v>
      </c>
      <c r="L8461" s="7" t="str">
        <f t="shared" si="2957"/>
        <v>S43.03.30</v>
      </c>
      <c r="M8461" s="7">
        <v>4639.6000000000004</v>
      </c>
      <c r="N8461" s="7">
        <v>1019289000</v>
      </c>
      <c r="O8461" s="7">
        <v>1019288999</v>
      </c>
      <c r="P8461" s="7">
        <v>0</v>
      </c>
      <c r="Q8461" s="7" t="str">
        <f t="shared" si="2955"/>
        <v>大阪港湾局</v>
      </c>
      <c r="R8461" s="7" t="str">
        <f t="shared" si="2956"/>
        <v>大阪港湾局</v>
      </c>
    </row>
    <row r="8462" spans="1:18" s="1" customFormat="1" x14ac:dyDescent="0.45">
      <c r="A8462" s="7" t="str">
        <f t="shared" si="2952"/>
        <v>08200000203</v>
      </c>
      <c r="B8462" s="7" t="str">
        <f t="shared" si="2953"/>
        <v>堺泉北港堺３区</v>
      </c>
      <c r="C8462" s="7" t="str">
        <f t="shared" si="2944"/>
        <v>行政財産</v>
      </c>
      <c r="D8462" s="7" t="str">
        <f t="shared" si="2945"/>
        <v>その他</v>
      </c>
      <c r="E8462" s="7" t="str">
        <f t="shared" si="2954"/>
        <v>大阪府堺市　堺区北波止町</v>
      </c>
      <c r="F8462" s="7"/>
      <c r="G8462" s="7" t="str">
        <f t="shared" si="2946"/>
        <v>インフラ資産</v>
      </c>
      <c r="H8462" s="7" t="str">
        <f t="shared" si="2951"/>
        <v>棚卸以外</v>
      </c>
      <c r="I8462" s="7">
        <v>9</v>
      </c>
      <c r="J8462" s="7" t="str">
        <f>"堺１０号上屋管理事務所"</f>
        <v>堺１０号上屋管理事務所</v>
      </c>
      <c r="K8462" s="7" t="str">
        <f>"鉄筋コンクリート造"</f>
        <v>鉄筋コンクリート造</v>
      </c>
      <c r="L8462" s="7" t="str">
        <f t="shared" si="2957"/>
        <v>S43.03.30</v>
      </c>
      <c r="M8462" s="7">
        <v>2065.6</v>
      </c>
      <c r="N8462" s="7">
        <v>502841000</v>
      </c>
      <c r="O8462" s="7">
        <v>488594227</v>
      </c>
      <c r="P8462" s="7">
        <v>0</v>
      </c>
      <c r="Q8462" s="7" t="str">
        <f t="shared" si="2955"/>
        <v>大阪港湾局</v>
      </c>
      <c r="R8462" s="7" t="str">
        <f t="shared" si="2956"/>
        <v>大阪港湾局</v>
      </c>
    </row>
    <row r="8463" spans="1:18" s="1" customFormat="1" x14ac:dyDescent="0.45">
      <c r="A8463" s="7" t="str">
        <f t="shared" si="2952"/>
        <v>08200000203</v>
      </c>
      <c r="B8463" s="7" t="str">
        <f t="shared" si="2953"/>
        <v>堺泉北港堺３区</v>
      </c>
      <c r="C8463" s="7" t="str">
        <f t="shared" si="2944"/>
        <v>行政財産</v>
      </c>
      <c r="D8463" s="7" t="str">
        <f t="shared" si="2945"/>
        <v>その他</v>
      </c>
      <c r="E8463" s="7" t="str">
        <f t="shared" si="2954"/>
        <v>大阪府堺市　堺区北波止町</v>
      </c>
      <c r="F8463" s="7"/>
      <c r="G8463" s="7" t="str">
        <f t="shared" si="2946"/>
        <v>インフラ資産</v>
      </c>
      <c r="H8463" s="7" t="str">
        <f t="shared" si="2951"/>
        <v>棚卸以外</v>
      </c>
      <c r="I8463" s="7">
        <v>10</v>
      </c>
      <c r="J8463" s="7" t="str">
        <f>"堺１０号上屋自家発電室"</f>
        <v>堺１０号上屋自家発電室</v>
      </c>
      <c r="K8463" s="7" t="str">
        <f>"鉄筋コンクリート造"</f>
        <v>鉄筋コンクリート造</v>
      </c>
      <c r="L8463" s="7" t="str">
        <f t="shared" si="2957"/>
        <v>S43.03.30</v>
      </c>
      <c r="M8463" s="7">
        <v>64.89</v>
      </c>
      <c r="N8463" s="7">
        <v>42864000</v>
      </c>
      <c r="O8463" s="7">
        <v>42863999</v>
      </c>
      <c r="P8463" s="7">
        <v>0</v>
      </c>
      <c r="Q8463" s="7" t="str">
        <f t="shared" si="2955"/>
        <v>大阪港湾局</v>
      </c>
      <c r="R8463" s="7" t="str">
        <f t="shared" si="2956"/>
        <v>大阪港湾局</v>
      </c>
    </row>
    <row r="8464" spans="1:18" s="1" customFormat="1" x14ac:dyDescent="0.45">
      <c r="A8464" s="7" t="str">
        <f t="shared" si="2952"/>
        <v>08200000203</v>
      </c>
      <c r="B8464" s="7" t="str">
        <f t="shared" si="2953"/>
        <v>堺泉北港堺３区</v>
      </c>
      <c r="C8464" s="7" t="str">
        <f t="shared" si="2944"/>
        <v>行政財産</v>
      </c>
      <c r="D8464" s="7" t="str">
        <f t="shared" si="2945"/>
        <v>その他</v>
      </c>
      <c r="E8464" s="7" t="str">
        <f t="shared" si="2954"/>
        <v>大阪府堺市　堺区北波止町</v>
      </c>
      <c r="F8464" s="7"/>
      <c r="G8464" s="7" t="str">
        <f t="shared" si="2946"/>
        <v>インフラ資産</v>
      </c>
      <c r="H8464" s="7" t="str">
        <f t="shared" si="2951"/>
        <v>棚卸以外</v>
      </c>
      <c r="I8464" s="7">
        <v>11</v>
      </c>
      <c r="J8464" s="7" t="str">
        <f>"堺１０号上屋特高受電室"</f>
        <v>堺１０号上屋特高受電室</v>
      </c>
      <c r="K8464" s="7" t="str">
        <f>"コンクリートブロック造"</f>
        <v>コンクリートブロック造</v>
      </c>
      <c r="L8464" s="7" t="str">
        <f t="shared" si="2957"/>
        <v>S43.03.30</v>
      </c>
      <c r="M8464" s="7">
        <v>100.55</v>
      </c>
      <c r="N8464" s="7">
        <v>150831000</v>
      </c>
      <c r="O8464" s="7">
        <v>95570171</v>
      </c>
      <c r="P8464" s="7">
        <v>0</v>
      </c>
      <c r="Q8464" s="7" t="str">
        <f t="shared" si="2955"/>
        <v>大阪港湾局</v>
      </c>
      <c r="R8464" s="7" t="str">
        <f t="shared" si="2956"/>
        <v>大阪港湾局</v>
      </c>
    </row>
    <row r="8465" spans="1:18" s="1" customFormat="1" x14ac:dyDescent="0.45">
      <c r="A8465" s="7" t="str">
        <f t="shared" si="2952"/>
        <v>08200000203</v>
      </c>
      <c r="B8465" s="7" t="str">
        <f t="shared" si="2953"/>
        <v>堺泉北港堺３区</v>
      </c>
      <c r="C8465" s="7" t="str">
        <f t="shared" si="2944"/>
        <v>行政財産</v>
      </c>
      <c r="D8465" s="7" t="str">
        <f t="shared" si="2945"/>
        <v>その他</v>
      </c>
      <c r="E8465" s="7" t="str">
        <f t="shared" si="2954"/>
        <v>大阪府堺市　堺区北波止町</v>
      </c>
      <c r="F8465" s="7"/>
      <c r="G8465" s="7" t="str">
        <f t="shared" si="2946"/>
        <v>インフラ資産</v>
      </c>
      <c r="H8465" s="7" t="str">
        <f t="shared" si="2951"/>
        <v>棚卸以外</v>
      </c>
      <c r="I8465" s="7">
        <v>12</v>
      </c>
      <c r="J8465" s="7" t="str">
        <f>"堺１０号上屋ボンベ室"</f>
        <v>堺１０号上屋ボンベ室</v>
      </c>
      <c r="K8465" s="7" t="str">
        <f>"コンクリートブロック造"</f>
        <v>コンクリートブロック造</v>
      </c>
      <c r="L8465" s="7" t="str">
        <f t="shared" si="2957"/>
        <v>S43.03.30</v>
      </c>
      <c r="M8465" s="7">
        <v>14.89</v>
      </c>
      <c r="N8465" s="7">
        <v>1736000</v>
      </c>
      <c r="O8465" s="7">
        <v>1735999</v>
      </c>
      <c r="P8465" s="7">
        <v>0</v>
      </c>
      <c r="Q8465" s="7" t="str">
        <f t="shared" si="2955"/>
        <v>大阪港湾局</v>
      </c>
      <c r="R8465" s="7" t="str">
        <f t="shared" si="2956"/>
        <v>大阪港湾局</v>
      </c>
    </row>
    <row r="8466" spans="1:18" s="1" customFormat="1" x14ac:dyDescent="0.45">
      <c r="A8466" s="7" t="str">
        <f t="shared" si="2952"/>
        <v>08200000203</v>
      </c>
      <c r="B8466" s="7" t="str">
        <f t="shared" si="2953"/>
        <v>堺泉北港堺３区</v>
      </c>
      <c r="C8466" s="7" t="str">
        <f t="shared" si="2944"/>
        <v>行政財産</v>
      </c>
      <c r="D8466" s="7" t="str">
        <f t="shared" si="2945"/>
        <v>その他</v>
      </c>
      <c r="E8466" s="7" t="str">
        <f t="shared" si="2954"/>
        <v>大阪府堺市　堺区北波止町</v>
      </c>
      <c r="F8466" s="7"/>
      <c r="G8466" s="7" t="str">
        <f t="shared" si="2946"/>
        <v>インフラ資産</v>
      </c>
      <c r="H8466" s="7" t="str">
        <f t="shared" si="2951"/>
        <v>棚卸以外</v>
      </c>
      <c r="I8466" s="7">
        <v>13</v>
      </c>
      <c r="J8466" s="7" t="str">
        <f>"大浜埠頭港湾労働者休憩所"</f>
        <v>大浜埠頭港湾労働者休憩所</v>
      </c>
      <c r="K8466" s="7" t="str">
        <f>"鉄筋コンクリート造"</f>
        <v>鉄筋コンクリート造</v>
      </c>
      <c r="L8466" s="7" t="str">
        <f t="shared" si="2957"/>
        <v>S43.03.30</v>
      </c>
      <c r="M8466" s="7">
        <v>52.71</v>
      </c>
      <c r="N8466" s="7">
        <v>5265000</v>
      </c>
      <c r="O8466" s="7">
        <v>5045625</v>
      </c>
      <c r="P8466" s="7">
        <v>0</v>
      </c>
      <c r="Q8466" s="7" t="str">
        <f t="shared" si="2955"/>
        <v>大阪港湾局</v>
      </c>
      <c r="R8466" s="7" t="str">
        <f t="shared" si="2956"/>
        <v>大阪港湾局</v>
      </c>
    </row>
    <row r="8467" spans="1:18" s="1" customFormat="1" x14ac:dyDescent="0.45">
      <c r="A8467" s="7" t="str">
        <f t="shared" si="2952"/>
        <v>08200000203</v>
      </c>
      <c r="B8467" s="7" t="str">
        <f t="shared" si="2953"/>
        <v>堺泉北港堺３区</v>
      </c>
      <c r="C8467" s="7" t="str">
        <f t="shared" si="2944"/>
        <v>行政財産</v>
      </c>
      <c r="D8467" s="7" t="str">
        <f t="shared" si="2945"/>
        <v>その他</v>
      </c>
      <c r="E8467" s="7" t="str">
        <f t="shared" si="2954"/>
        <v>大阪府堺市　堺区北波止町</v>
      </c>
      <c r="F8467" s="7"/>
      <c r="G8467" s="7" t="str">
        <f t="shared" si="2946"/>
        <v>インフラ資産</v>
      </c>
      <c r="H8467" s="7" t="str">
        <f t="shared" si="2951"/>
        <v>棚卸以外</v>
      </c>
      <c r="I8467" s="7">
        <v>14</v>
      </c>
      <c r="J8467" s="7" t="str">
        <f>"オイルフェンス小屋"</f>
        <v>オイルフェンス小屋</v>
      </c>
      <c r="K8467" s="7" t="str">
        <f>"鉄筋コンクリート造"</f>
        <v>鉄筋コンクリート造</v>
      </c>
      <c r="L8467" s="7" t="str">
        <f t="shared" si="2957"/>
        <v>S43.03.30</v>
      </c>
      <c r="M8467" s="7">
        <v>3.3</v>
      </c>
      <c r="N8467" s="7">
        <v>100000</v>
      </c>
      <c r="O8467" s="7">
        <v>99999</v>
      </c>
      <c r="P8467" s="7">
        <v>0</v>
      </c>
      <c r="Q8467" s="7" t="str">
        <f t="shared" si="2955"/>
        <v>大阪港湾局</v>
      </c>
      <c r="R8467" s="7" t="str">
        <f t="shared" si="2956"/>
        <v>大阪港湾局</v>
      </c>
    </row>
    <row r="8468" spans="1:18" s="1" customFormat="1" x14ac:dyDescent="0.45">
      <c r="A8468" s="7" t="str">
        <f t="shared" si="2952"/>
        <v>08200000203</v>
      </c>
      <c r="B8468" s="7" t="str">
        <f t="shared" si="2953"/>
        <v>堺泉北港堺３区</v>
      </c>
      <c r="C8468" s="7" t="str">
        <f t="shared" si="2944"/>
        <v>行政財産</v>
      </c>
      <c r="D8468" s="7" t="str">
        <f t="shared" si="2945"/>
        <v>その他</v>
      </c>
      <c r="E8468" s="7" t="str">
        <f t="shared" si="2954"/>
        <v>大阪府堺市　堺区北波止町</v>
      </c>
      <c r="F8468" s="7"/>
      <c r="G8468" s="7" t="str">
        <f t="shared" si="2946"/>
        <v>インフラ資産</v>
      </c>
      <c r="H8468" s="7" t="str">
        <f t="shared" si="2951"/>
        <v>棚卸以外</v>
      </c>
      <c r="I8468" s="7">
        <v>15</v>
      </c>
      <c r="J8468" s="7" t="str">
        <f>"堺１３号上屋"</f>
        <v>堺１３号上屋</v>
      </c>
      <c r="K8468" s="7" t="str">
        <f>"鉄筋コンクリート造"</f>
        <v>鉄筋コンクリート造</v>
      </c>
      <c r="L8468" s="7" t="str">
        <f t="shared" si="2957"/>
        <v>S43.03.30</v>
      </c>
      <c r="M8468" s="7">
        <v>3884.07</v>
      </c>
      <c r="N8468" s="7">
        <v>1092276000</v>
      </c>
      <c r="O8468" s="7">
        <v>1092275998</v>
      </c>
      <c r="P8468" s="7">
        <v>0</v>
      </c>
      <c r="Q8468" s="7" t="str">
        <f t="shared" si="2955"/>
        <v>大阪港湾局</v>
      </c>
      <c r="R8468" s="7" t="str">
        <f t="shared" si="2956"/>
        <v>大阪港湾局</v>
      </c>
    </row>
    <row r="8469" spans="1:18" s="1" customFormat="1" x14ac:dyDescent="0.45">
      <c r="A8469" s="7" t="str">
        <f t="shared" si="2952"/>
        <v>08200000203</v>
      </c>
      <c r="B8469" s="7" t="str">
        <f t="shared" si="2953"/>
        <v>堺泉北港堺３区</v>
      </c>
      <c r="C8469" s="7" t="str">
        <f t="shared" si="2944"/>
        <v>行政財産</v>
      </c>
      <c r="D8469" s="7" t="str">
        <f t="shared" si="2945"/>
        <v>その他</v>
      </c>
      <c r="E8469" s="7" t="str">
        <f t="shared" si="2954"/>
        <v>大阪府堺市　堺区北波止町</v>
      </c>
      <c r="F8469" s="7"/>
      <c r="G8469" s="7" t="str">
        <f t="shared" si="2946"/>
        <v>インフラ資産</v>
      </c>
      <c r="H8469" s="7" t="str">
        <f t="shared" si="2951"/>
        <v>棚卸以外</v>
      </c>
      <c r="I8469" s="7">
        <v>16</v>
      </c>
      <c r="J8469" s="7" t="str">
        <f>"堺１４号上屋"</f>
        <v>堺１４号上屋</v>
      </c>
      <c r="K8469" s="7" t="str">
        <f>"鉄筋コンクリート造"</f>
        <v>鉄筋コンクリート造</v>
      </c>
      <c r="L8469" s="7" t="str">
        <f>"S40.03.15"</f>
        <v>S40.03.15</v>
      </c>
      <c r="M8469" s="7">
        <v>2702.21</v>
      </c>
      <c r="N8469" s="7">
        <v>1240120000</v>
      </c>
      <c r="O8469" s="7">
        <v>946407576</v>
      </c>
      <c r="P8469" s="7">
        <v>0</v>
      </c>
      <c r="Q8469" s="7" t="str">
        <f t="shared" si="2955"/>
        <v>大阪港湾局</v>
      </c>
      <c r="R8469" s="7" t="str">
        <f t="shared" si="2956"/>
        <v>大阪港湾局</v>
      </c>
    </row>
    <row r="8470" spans="1:18" s="1" customFormat="1" x14ac:dyDescent="0.45">
      <c r="A8470" s="7" t="str">
        <f t="shared" ref="A8470:A8475" si="2958">"08200000208"</f>
        <v>08200000208</v>
      </c>
      <c r="B8470" s="7" t="str">
        <f t="shared" ref="B8470:B8475" si="2959">"堺泉北港泉北７区（一般会計）"</f>
        <v>堺泉北港泉北７区（一般会計）</v>
      </c>
      <c r="C8470" s="7" t="str">
        <f t="shared" si="2944"/>
        <v>行政財産</v>
      </c>
      <c r="D8470" s="7" t="str">
        <f t="shared" si="2945"/>
        <v>その他</v>
      </c>
      <c r="E8470" s="7" t="str">
        <f t="shared" ref="E8470:E8475" si="2960">"大阪府泉大津市汐見町"</f>
        <v>大阪府泉大津市汐見町</v>
      </c>
      <c r="F8470" s="7"/>
      <c r="G8470" s="7" t="str">
        <f t="shared" si="2946"/>
        <v>インフラ資産</v>
      </c>
      <c r="H8470" s="7" t="str">
        <f t="shared" si="2951"/>
        <v>棚卸以外</v>
      </c>
      <c r="I8470" s="7">
        <v>14</v>
      </c>
      <c r="J8470" s="7" t="str">
        <f>"汐見局舎"</f>
        <v>汐見局舎</v>
      </c>
      <c r="K8470" s="7" t="str">
        <f t="shared" ref="K8470:K8476" si="2961">"軽量鉄骨造"</f>
        <v>軽量鉄骨造</v>
      </c>
      <c r="L8470" s="7" t="str">
        <f t="shared" ref="L8470:L8475" si="2962">"S50.07.01"</f>
        <v>S50.07.01</v>
      </c>
      <c r="M8470" s="7">
        <v>24.3</v>
      </c>
      <c r="N8470" s="7">
        <v>10485000</v>
      </c>
      <c r="O8470" s="7">
        <v>7863912</v>
      </c>
      <c r="P8470" s="7">
        <v>0</v>
      </c>
      <c r="Q8470" s="7" t="str">
        <f t="shared" si="2955"/>
        <v>大阪港湾局</v>
      </c>
      <c r="R8470" s="7" t="str">
        <f t="shared" si="2956"/>
        <v>大阪港湾局</v>
      </c>
    </row>
    <row r="8471" spans="1:18" s="1" customFormat="1" x14ac:dyDescent="0.45">
      <c r="A8471" s="7" t="str">
        <f t="shared" si="2958"/>
        <v>08200000208</v>
      </c>
      <c r="B8471" s="7" t="str">
        <f t="shared" si="2959"/>
        <v>堺泉北港泉北７区（一般会計）</v>
      </c>
      <c r="C8471" s="7" t="str">
        <f t="shared" si="2944"/>
        <v>行政財産</v>
      </c>
      <c r="D8471" s="7" t="str">
        <f t="shared" si="2945"/>
        <v>その他</v>
      </c>
      <c r="E8471" s="7" t="str">
        <f t="shared" si="2960"/>
        <v>大阪府泉大津市汐見町</v>
      </c>
      <c r="F8471" s="7"/>
      <c r="G8471" s="7" t="str">
        <f t="shared" si="2946"/>
        <v>インフラ資産</v>
      </c>
      <c r="H8471" s="7" t="str">
        <f t="shared" si="2951"/>
        <v>棚卸以外</v>
      </c>
      <c r="I8471" s="7">
        <v>16</v>
      </c>
      <c r="J8471" s="7" t="str">
        <f>"汐見３号立哨建屋"</f>
        <v>汐見３号立哨建屋</v>
      </c>
      <c r="K8471" s="7" t="str">
        <f t="shared" si="2961"/>
        <v>軽量鉄骨造</v>
      </c>
      <c r="L8471" s="7" t="str">
        <f t="shared" si="2962"/>
        <v>S50.07.01</v>
      </c>
      <c r="M8471" s="7">
        <v>3.43</v>
      </c>
      <c r="N8471" s="7">
        <v>2854000</v>
      </c>
      <c r="O8471" s="7">
        <v>1704520</v>
      </c>
      <c r="P8471" s="7">
        <v>0</v>
      </c>
      <c r="Q8471" s="7" t="str">
        <f t="shared" si="2955"/>
        <v>大阪港湾局</v>
      </c>
      <c r="R8471" s="7" t="str">
        <f t="shared" si="2956"/>
        <v>大阪港湾局</v>
      </c>
    </row>
    <row r="8472" spans="1:18" s="1" customFormat="1" x14ac:dyDescent="0.45">
      <c r="A8472" s="7" t="str">
        <f t="shared" si="2958"/>
        <v>08200000208</v>
      </c>
      <c r="B8472" s="7" t="str">
        <f t="shared" si="2959"/>
        <v>堺泉北港泉北７区（一般会計）</v>
      </c>
      <c r="C8472" s="7" t="str">
        <f t="shared" si="2944"/>
        <v>行政財産</v>
      </c>
      <c r="D8472" s="7" t="str">
        <f t="shared" si="2945"/>
        <v>その他</v>
      </c>
      <c r="E8472" s="7" t="str">
        <f t="shared" si="2960"/>
        <v>大阪府泉大津市汐見町</v>
      </c>
      <c r="F8472" s="7"/>
      <c r="G8472" s="7" t="str">
        <f t="shared" si="2946"/>
        <v>インフラ資産</v>
      </c>
      <c r="H8472" s="7" t="str">
        <f t="shared" si="2951"/>
        <v>棚卸以外</v>
      </c>
      <c r="I8472" s="7">
        <v>17</v>
      </c>
      <c r="J8472" s="7" t="str">
        <f>"汐見２号立哨建屋"</f>
        <v>汐見２号立哨建屋</v>
      </c>
      <c r="K8472" s="7" t="str">
        <f t="shared" si="2961"/>
        <v>軽量鉄骨造</v>
      </c>
      <c r="L8472" s="7" t="str">
        <f t="shared" si="2962"/>
        <v>S50.07.01</v>
      </c>
      <c r="M8472" s="7">
        <v>3.43</v>
      </c>
      <c r="N8472" s="7">
        <v>2854000</v>
      </c>
      <c r="O8472" s="7">
        <v>1704520</v>
      </c>
      <c r="P8472" s="7">
        <v>0</v>
      </c>
      <c r="Q8472" s="7" t="str">
        <f t="shared" si="2955"/>
        <v>大阪港湾局</v>
      </c>
      <c r="R8472" s="7" t="str">
        <f t="shared" si="2956"/>
        <v>大阪港湾局</v>
      </c>
    </row>
    <row r="8473" spans="1:18" s="1" customFormat="1" x14ac:dyDescent="0.45">
      <c r="A8473" s="7" t="str">
        <f t="shared" si="2958"/>
        <v>08200000208</v>
      </c>
      <c r="B8473" s="7" t="str">
        <f t="shared" si="2959"/>
        <v>堺泉北港泉北７区（一般会計）</v>
      </c>
      <c r="C8473" s="7" t="str">
        <f t="shared" si="2944"/>
        <v>行政財産</v>
      </c>
      <c r="D8473" s="7" t="str">
        <f t="shared" si="2945"/>
        <v>その他</v>
      </c>
      <c r="E8473" s="7" t="str">
        <f t="shared" si="2960"/>
        <v>大阪府泉大津市汐見町</v>
      </c>
      <c r="F8473" s="7"/>
      <c r="G8473" s="7" t="str">
        <f t="shared" si="2946"/>
        <v>インフラ資産</v>
      </c>
      <c r="H8473" s="7" t="str">
        <f t="shared" si="2951"/>
        <v>棚卸以外</v>
      </c>
      <c r="I8473" s="7">
        <v>18</v>
      </c>
      <c r="J8473" s="7" t="str">
        <f>"汐見４号立哨建屋"</f>
        <v>汐見４号立哨建屋</v>
      </c>
      <c r="K8473" s="7" t="str">
        <f t="shared" si="2961"/>
        <v>軽量鉄骨造</v>
      </c>
      <c r="L8473" s="7" t="str">
        <f t="shared" si="2962"/>
        <v>S50.07.01</v>
      </c>
      <c r="M8473" s="7">
        <v>3.43</v>
      </c>
      <c r="N8473" s="7">
        <v>2854000</v>
      </c>
      <c r="O8473" s="7">
        <v>1704520</v>
      </c>
      <c r="P8473" s="7">
        <v>0</v>
      </c>
      <c r="Q8473" s="7" t="str">
        <f t="shared" si="2955"/>
        <v>大阪港湾局</v>
      </c>
      <c r="R8473" s="7" t="str">
        <f t="shared" si="2956"/>
        <v>大阪港湾局</v>
      </c>
    </row>
    <row r="8474" spans="1:18" s="1" customFormat="1" x14ac:dyDescent="0.45">
      <c r="A8474" s="7" t="str">
        <f t="shared" si="2958"/>
        <v>08200000208</v>
      </c>
      <c r="B8474" s="7" t="str">
        <f t="shared" si="2959"/>
        <v>堺泉北港泉北７区（一般会計）</v>
      </c>
      <c r="C8474" s="7" t="str">
        <f t="shared" si="2944"/>
        <v>行政財産</v>
      </c>
      <c r="D8474" s="7" t="str">
        <f t="shared" si="2945"/>
        <v>その他</v>
      </c>
      <c r="E8474" s="7" t="str">
        <f t="shared" si="2960"/>
        <v>大阪府泉大津市汐見町</v>
      </c>
      <c r="F8474" s="7"/>
      <c r="G8474" s="7" t="str">
        <f t="shared" si="2946"/>
        <v>インフラ資産</v>
      </c>
      <c r="H8474" s="7" t="str">
        <f t="shared" si="2951"/>
        <v>棚卸以外</v>
      </c>
      <c r="I8474" s="7">
        <v>19</v>
      </c>
      <c r="J8474" s="7" t="str">
        <f>"汐見５号立哨建屋"</f>
        <v>汐見５号立哨建屋</v>
      </c>
      <c r="K8474" s="7" t="str">
        <f t="shared" si="2961"/>
        <v>軽量鉄骨造</v>
      </c>
      <c r="L8474" s="7" t="str">
        <f t="shared" si="2962"/>
        <v>S50.07.01</v>
      </c>
      <c r="M8474" s="7">
        <v>3.43</v>
      </c>
      <c r="N8474" s="7">
        <v>2854000</v>
      </c>
      <c r="O8474" s="7">
        <v>1704520</v>
      </c>
      <c r="P8474" s="7">
        <v>0</v>
      </c>
      <c r="Q8474" s="7" t="str">
        <f t="shared" si="2955"/>
        <v>大阪港湾局</v>
      </c>
      <c r="R8474" s="7" t="str">
        <f t="shared" si="2956"/>
        <v>大阪港湾局</v>
      </c>
    </row>
    <row r="8475" spans="1:18" s="1" customFormat="1" x14ac:dyDescent="0.45">
      <c r="A8475" s="7" t="str">
        <f t="shared" si="2958"/>
        <v>08200000208</v>
      </c>
      <c r="B8475" s="7" t="str">
        <f t="shared" si="2959"/>
        <v>堺泉北港泉北７区（一般会計）</v>
      </c>
      <c r="C8475" s="7" t="str">
        <f t="shared" si="2944"/>
        <v>行政財産</v>
      </c>
      <c r="D8475" s="7" t="str">
        <f t="shared" si="2945"/>
        <v>その他</v>
      </c>
      <c r="E8475" s="7" t="str">
        <f t="shared" si="2960"/>
        <v>大阪府泉大津市汐見町</v>
      </c>
      <c r="F8475" s="7"/>
      <c r="G8475" s="7" t="str">
        <f t="shared" si="2946"/>
        <v>インフラ資産</v>
      </c>
      <c r="H8475" s="7" t="str">
        <f t="shared" si="2951"/>
        <v>棚卸以外</v>
      </c>
      <c r="I8475" s="7">
        <v>20</v>
      </c>
      <c r="J8475" s="7" t="str">
        <f>"汐見６号立哨建屋"</f>
        <v>汐見６号立哨建屋</v>
      </c>
      <c r="K8475" s="7" t="str">
        <f t="shared" si="2961"/>
        <v>軽量鉄骨造</v>
      </c>
      <c r="L8475" s="7" t="str">
        <f t="shared" si="2962"/>
        <v>S50.07.01</v>
      </c>
      <c r="M8475" s="7">
        <v>3.43</v>
      </c>
      <c r="N8475" s="7">
        <v>2854000</v>
      </c>
      <c r="O8475" s="7">
        <v>1704520</v>
      </c>
      <c r="P8475" s="7">
        <v>0</v>
      </c>
      <c r="Q8475" s="7" t="str">
        <f t="shared" si="2955"/>
        <v>大阪港湾局</v>
      </c>
      <c r="R8475" s="7" t="str">
        <f t="shared" si="2956"/>
        <v>大阪港湾局</v>
      </c>
    </row>
    <row r="8476" spans="1:18" s="1" customFormat="1" x14ac:dyDescent="0.45">
      <c r="A8476" s="7" t="str">
        <f>"08200000412"</f>
        <v>08200000412</v>
      </c>
      <c r="B8476" s="7" t="str">
        <f>"新貝塚埠頭フェリーターミナル事務所棟他"</f>
        <v>新貝塚埠頭フェリーターミナル事務所棟他</v>
      </c>
      <c r="C8476" s="7" t="str">
        <f t="shared" si="2944"/>
        <v>行政財産</v>
      </c>
      <c r="D8476" s="7" t="str">
        <f>"その他（公共用）の施設"</f>
        <v>その他（公共用）の施設</v>
      </c>
      <c r="E8476" s="7" t="str">
        <f>"大阪府貝塚市二色北町"</f>
        <v>大阪府貝塚市二色北町</v>
      </c>
      <c r="F8476" s="7" t="str">
        <f>"２番地２"</f>
        <v>２番地２</v>
      </c>
      <c r="G8476" s="7" t="str">
        <f t="shared" ref="G8476:G8485" si="2963">"事業用資産"</f>
        <v>事業用資産</v>
      </c>
      <c r="H8476" s="7" t="str">
        <f t="shared" si="2951"/>
        <v>棚卸以外</v>
      </c>
      <c r="I8476" s="7">
        <v>1</v>
      </c>
      <c r="J8476" s="7" t="str">
        <f>"事務所棟（建物付属設備含む）"</f>
        <v>事務所棟（建物付属設備含む）</v>
      </c>
      <c r="K8476" s="7" t="str">
        <f t="shared" si="2961"/>
        <v>軽量鉄骨造</v>
      </c>
      <c r="L8476" s="7" t="str">
        <f>"H16.03.25"</f>
        <v>H16.03.25</v>
      </c>
      <c r="M8476" s="7">
        <v>264.37</v>
      </c>
      <c r="N8476" s="7">
        <v>31816241</v>
      </c>
      <c r="O8476" s="7">
        <v>20150412</v>
      </c>
      <c r="P8476" s="7">
        <v>0</v>
      </c>
      <c r="Q8476" s="7" t="str">
        <f t="shared" si="2955"/>
        <v>大阪港湾局</v>
      </c>
      <c r="R8476" s="7" t="str">
        <f t="shared" si="2956"/>
        <v>大阪港湾局</v>
      </c>
    </row>
    <row r="8477" spans="1:18" s="1" customFormat="1" x14ac:dyDescent="0.45">
      <c r="A8477" s="7" t="str">
        <f>"08200001003"</f>
        <v>08200001003</v>
      </c>
      <c r="B8477" s="7" t="str">
        <f>"阪南港湾事務所"</f>
        <v>阪南港湾事務所</v>
      </c>
      <c r="C8477" s="7" t="str">
        <f t="shared" si="2944"/>
        <v>行政財産</v>
      </c>
      <c r="D8477" s="7" t="str">
        <f t="shared" ref="D8477:D8485" si="2964">"その他（行政機関）の施設"</f>
        <v>その他（行政機関）の施設</v>
      </c>
      <c r="E8477" s="7" t="str">
        <f>"大阪府岸和田市港緑町"</f>
        <v>大阪府岸和田市港緑町</v>
      </c>
      <c r="F8477" s="7"/>
      <c r="G8477" s="7" t="str">
        <f t="shared" si="2963"/>
        <v>事業用資産</v>
      </c>
      <c r="H8477" s="7" t="str">
        <f t="shared" si="2951"/>
        <v>棚卸以外</v>
      </c>
      <c r="I8477" s="7">
        <v>22</v>
      </c>
      <c r="J8477" s="7" t="str">
        <f>"事務所"</f>
        <v>事務所</v>
      </c>
      <c r="K8477" s="7" t="str">
        <f>"鉄骨造"</f>
        <v>鉄骨造</v>
      </c>
      <c r="L8477" s="7" t="str">
        <f>"S26.12.15"</f>
        <v>S26.12.15</v>
      </c>
      <c r="M8477" s="7">
        <v>804.39</v>
      </c>
      <c r="N8477" s="7">
        <v>109329000</v>
      </c>
      <c r="O8477" s="7">
        <v>47232129</v>
      </c>
      <c r="P8477" s="7">
        <v>0</v>
      </c>
      <c r="Q8477" s="7" t="str">
        <f t="shared" si="2955"/>
        <v>大阪港湾局</v>
      </c>
      <c r="R8477" s="7" t="str">
        <f t="shared" si="2956"/>
        <v>大阪港湾局</v>
      </c>
    </row>
    <row r="8478" spans="1:18" s="1" customFormat="1" x14ac:dyDescent="0.45">
      <c r="A8478" s="7" t="str">
        <f>"08200001003"</f>
        <v>08200001003</v>
      </c>
      <c r="B8478" s="7" t="str">
        <f>"阪南港湾事務所"</f>
        <v>阪南港湾事務所</v>
      </c>
      <c r="C8478" s="7" t="str">
        <f t="shared" si="2944"/>
        <v>行政財産</v>
      </c>
      <c r="D8478" s="7" t="str">
        <f t="shared" si="2964"/>
        <v>その他（行政機関）の施設</v>
      </c>
      <c r="E8478" s="7" t="str">
        <f>"大阪府岸和田市港緑町"</f>
        <v>大阪府岸和田市港緑町</v>
      </c>
      <c r="F8478" s="7"/>
      <c r="G8478" s="7" t="str">
        <f t="shared" si="2963"/>
        <v>事業用資産</v>
      </c>
      <c r="H8478" s="7" t="str">
        <f t="shared" si="2951"/>
        <v>棚卸以外</v>
      </c>
      <c r="I8478" s="7">
        <v>23</v>
      </c>
      <c r="J8478" s="7" t="str">
        <f>"倉庫"</f>
        <v>倉庫</v>
      </c>
      <c r="K8478" s="7" t="str">
        <f>"鉄骨造"</f>
        <v>鉄骨造</v>
      </c>
      <c r="L8478" s="7" t="str">
        <f>"S26.12.15"</f>
        <v>S26.12.15</v>
      </c>
      <c r="M8478" s="7">
        <v>63.59</v>
      </c>
      <c r="N8478" s="7">
        <v>5538000</v>
      </c>
      <c r="O8478" s="7">
        <v>2932936</v>
      </c>
      <c r="P8478" s="7">
        <v>0</v>
      </c>
      <c r="Q8478" s="7" t="str">
        <f t="shared" si="2955"/>
        <v>大阪港湾局</v>
      </c>
      <c r="R8478" s="7" t="str">
        <f t="shared" si="2956"/>
        <v>大阪港湾局</v>
      </c>
    </row>
    <row r="8479" spans="1:18" s="1" customFormat="1" x14ac:dyDescent="0.45">
      <c r="A8479" s="7" t="str">
        <f>"08200001003"</f>
        <v>08200001003</v>
      </c>
      <c r="B8479" s="7" t="str">
        <f>"阪南港湾事務所"</f>
        <v>阪南港湾事務所</v>
      </c>
      <c r="C8479" s="7" t="str">
        <f t="shared" si="2944"/>
        <v>行政財産</v>
      </c>
      <c r="D8479" s="7" t="str">
        <f t="shared" si="2964"/>
        <v>その他（行政機関）の施設</v>
      </c>
      <c r="E8479" s="7" t="str">
        <f>"大阪府岸和田市港緑町"</f>
        <v>大阪府岸和田市港緑町</v>
      </c>
      <c r="F8479" s="7"/>
      <c r="G8479" s="7" t="str">
        <f t="shared" si="2963"/>
        <v>事業用資産</v>
      </c>
      <c r="H8479" s="7" t="str">
        <f t="shared" si="2951"/>
        <v>棚卸以外</v>
      </c>
      <c r="I8479" s="7">
        <v>24</v>
      </c>
      <c r="J8479" s="7" t="str">
        <f>"自動車倉庫"</f>
        <v>自動車倉庫</v>
      </c>
      <c r="K8479" s="7" t="str">
        <f>"鉄骨造"</f>
        <v>鉄骨造</v>
      </c>
      <c r="L8479" s="7" t="str">
        <f>"S26.12.15"</f>
        <v>S26.12.15</v>
      </c>
      <c r="M8479" s="7">
        <v>122.63</v>
      </c>
      <c r="N8479" s="7">
        <v>10191000</v>
      </c>
      <c r="O8479" s="7">
        <v>5397012</v>
      </c>
      <c r="P8479" s="7">
        <v>0</v>
      </c>
      <c r="Q8479" s="7" t="str">
        <f t="shared" si="2955"/>
        <v>大阪港湾局</v>
      </c>
      <c r="R8479" s="7" t="str">
        <f t="shared" si="2956"/>
        <v>大阪港湾局</v>
      </c>
    </row>
    <row r="8480" spans="1:18" s="1" customFormat="1" x14ac:dyDescent="0.45">
      <c r="A8480" s="7" t="str">
        <f t="shared" ref="A8480:A8485" si="2965">"08200001004"</f>
        <v>08200001004</v>
      </c>
      <c r="B8480" s="7" t="str">
        <f t="shared" ref="B8480:B8485" si="2966">"深日港深日出張所（一般会計）"</f>
        <v>深日港深日出張所（一般会計）</v>
      </c>
      <c r="C8480" s="7" t="str">
        <f t="shared" si="2944"/>
        <v>行政財産</v>
      </c>
      <c r="D8480" s="7" t="str">
        <f t="shared" si="2964"/>
        <v>その他（行政機関）の施設</v>
      </c>
      <c r="E8480" s="7" t="str">
        <f t="shared" ref="E8480:E8486" si="2967">"大阪府泉南郡　岬町深日"</f>
        <v>大阪府泉南郡　岬町深日</v>
      </c>
      <c r="F8480" s="7"/>
      <c r="G8480" s="7" t="str">
        <f t="shared" si="2963"/>
        <v>事業用資産</v>
      </c>
      <c r="H8480" s="7" t="str">
        <f t="shared" si="2951"/>
        <v>棚卸以外</v>
      </c>
      <c r="I8480" s="7">
        <v>4</v>
      </c>
      <c r="J8480" s="7" t="str">
        <f>"潮位観測所"</f>
        <v>潮位観測所</v>
      </c>
      <c r="K8480" s="7" t="str">
        <f>"軽量鉄骨造"</f>
        <v>軽量鉄骨造</v>
      </c>
      <c r="L8480" s="7" t="str">
        <f>"S35.03.31"</f>
        <v>S35.03.31</v>
      </c>
      <c r="M8480" s="7">
        <v>4.82</v>
      </c>
      <c r="N8480" s="7">
        <v>333740</v>
      </c>
      <c r="O8480" s="7">
        <v>246619</v>
      </c>
      <c r="P8480" s="7">
        <v>0</v>
      </c>
      <c r="Q8480" s="7" t="str">
        <f t="shared" si="2955"/>
        <v>大阪港湾局</v>
      </c>
      <c r="R8480" s="7" t="str">
        <f t="shared" si="2956"/>
        <v>大阪港湾局</v>
      </c>
    </row>
    <row r="8481" spans="1:18" s="1" customFormat="1" x14ac:dyDescent="0.45">
      <c r="A8481" s="7" t="str">
        <f t="shared" si="2965"/>
        <v>08200001004</v>
      </c>
      <c r="B8481" s="7" t="str">
        <f t="shared" si="2966"/>
        <v>深日港深日出張所（一般会計）</v>
      </c>
      <c r="C8481" s="7" t="str">
        <f t="shared" si="2944"/>
        <v>行政財産</v>
      </c>
      <c r="D8481" s="7" t="str">
        <f t="shared" si="2964"/>
        <v>その他（行政機関）の施設</v>
      </c>
      <c r="E8481" s="7" t="str">
        <f t="shared" si="2967"/>
        <v>大阪府泉南郡　岬町深日</v>
      </c>
      <c r="F8481" s="7"/>
      <c r="G8481" s="7" t="str">
        <f t="shared" si="2963"/>
        <v>事業用資産</v>
      </c>
      <c r="H8481" s="7" t="str">
        <f t="shared" si="2951"/>
        <v>棚卸以外</v>
      </c>
      <c r="I8481" s="7">
        <v>5</v>
      </c>
      <c r="J8481" s="7" t="str">
        <f>"事務所（Ｓ３８築）"</f>
        <v>事務所（Ｓ３８築）</v>
      </c>
      <c r="K8481" s="7" t="str">
        <f>"軽量鉄骨造"</f>
        <v>軽量鉄骨造</v>
      </c>
      <c r="L8481" s="7" t="str">
        <f>"S35.03.31"</f>
        <v>S35.03.31</v>
      </c>
      <c r="M8481" s="7">
        <v>65.709999999999994</v>
      </c>
      <c r="N8481" s="7">
        <v>2695000</v>
      </c>
      <c r="O8481" s="7">
        <v>2694999</v>
      </c>
      <c r="P8481" s="7">
        <v>0</v>
      </c>
      <c r="Q8481" s="7" t="str">
        <f t="shared" si="2955"/>
        <v>大阪港湾局</v>
      </c>
      <c r="R8481" s="7" t="str">
        <f t="shared" si="2956"/>
        <v>大阪港湾局</v>
      </c>
    </row>
    <row r="8482" spans="1:18" s="1" customFormat="1" x14ac:dyDescent="0.45">
      <c r="A8482" s="7" t="str">
        <f t="shared" si="2965"/>
        <v>08200001004</v>
      </c>
      <c r="B8482" s="7" t="str">
        <f t="shared" si="2966"/>
        <v>深日港深日出張所（一般会計）</v>
      </c>
      <c r="C8482" s="7" t="str">
        <f t="shared" si="2944"/>
        <v>行政財産</v>
      </c>
      <c r="D8482" s="7" t="str">
        <f t="shared" si="2964"/>
        <v>その他（行政機関）の施設</v>
      </c>
      <c r="E8482" s="7" t="str">
        <f t="shared" si="2967"/>
        <v>大阪府泉南郡　岬町深日</v>
      </c>
      <c r="F8482" s="7"/>
      <c r="G8482" s="7" t="str">
        <f t="shared" si="2963"/>
        <v>事業用資産</v>
      </c>
      <c r="H8482" s="7" t="str">
        <f t="shared" si="2951"/>
        <v>棚卸以外</v>
      </c>
      <c r="I8482" s="7">
        <v>6</v>
      </c>
      <c r="J8482" s="7" t="str">
        <f>"車庫"</f>
        <v>車庫</v>
      </c>
      <c r="K8482" s="7" t="str">
        <f>"軽量鉄骨造"</f>
        <v>軽量鉄骨造</v>
      </c>
      <c r="L8482" s="7" t="str">
        <f>"S38.03.31"</f>
        <v>S38.03.31</v>
      </c>
      <c r="M8482" s="7">
        <v>34.74</v>
      </c>
      <c r="N8482" s="7">
        <v>508773</v>
      </c>
      <c r="O8482" s="7">
        <v>508772</v>
      </c>
      <c r="P8482" s="7">
        <v>0</v>
      </c>
      <c r="Q8482" s="7" t="str">
        <f t="shared" si="2955"/>
        <v>大阪港湾局</v>
      </c>
      <c r="R8482" s="7" t="str">
        <f t="shared" si="2956"/>
        <v>大阪港湾局</v>
      </c>
    </row>
    <row r="8483" spans="1:18" s="1" customFormat="1" x14ac:dyDescent="0.45">
      <c r="A8483" s="7" t="str">
        <f t="shared" si="2965"/>
        <v>08200001004</v>
      </c>
      <c r="B8483" s="7" t="str">
        <f t="shared" si="2966"/>
        <v>深日港深日出張所（一般会計）</v>
      </c>
      <c r="C8483" s="7" t="str">
        <f t="shared" si="2944"/>
        <v>行政財産</v>
      </c>
      <c r="D8483" s="7" t="str">
        <f t="shared" si="2964"/>
        <v>その他（行政機関）の施設</v>
      </c>
      <c r="E8483" s="7" t="str">
        <f t="shared" si="2967"/>
        <v>大阪府泉南郡　岬町深日</v>
      </c>
      <c r="F8483" s="7"/>
      <c r="G8483" s="7" t="str">
        <f t="shared" si="2963"/>
        <v>事業用資産</v>
      </c>
      <c r="H8483" s="7" t="str">
        <f t="shared" si="2951"/>
        <v>棚卸以外</v>
      </c>
      <c r="I8483" s="7">
        <v>7</v>
      </c>
      <c r="J8483" s="7" t="str">
        <f>"自転車置場"</f>
        <v>自転車置場</v>
      </c>
      <c r="K8483" s="7" t="str">
        <f>"軽量鉄骨造"</f>
        <v>軽量鉄骨造</v>
      </c>
      <c r="L8483" s="7" t="str">
        <f>"S35.03.31"</f>
        <v>S35.03.31</v>
      </c>
      <c r="M8483" s="7">
        <v>13.52</v>
      </c>
      <c r="N8483" s="7">
        <v>272950</v>
      </c>
      <c r="O8483" s="7">
        <v>272949</v>
      </c>
      <c r="P8483" s="7">
        <v>0</v>
      </c>
      <c r="Q8483" s="7" t="str">
        <f t="shared" si="2955"/>
        <v>大阪港湾局</v>
      </c>
      <c r="R8483" s="7" t="str">
        <f t="shared" si="2956"/>
        <v>大阪港湾局</v>
      </c>
    </row>
    <row r="8484" spans="1:18" s="1" customFormat="1" x14ac:dyDescent="0.45">
      <c r="A8484" s="7" t="str">
        <f t="shared" si="2965"/>
        <v>08200001004</v>
      </c>
      <c r="B8484" s="7" t="str">
        <f t="shared" si="2966"/>
        <v>深日港深日出張所（一般会計）</v>
      </c>
      <c r="C8484" s="7" t="str">
        <f t="shared" si="2944"/>
        <v>行政財産</v>
      </c>
      <c r="D8484" s="7" t="str">
        <f t="shared" si="2964"/>
        <v>その他（行政機関）の施設</v>
      </c>
      <c r="E8484" s="7" t="str">
        <f t="shared" si="2967"/>
        <v>大阪府泉南郡　岬町深日</v>
      </c>
      <c r="F8484" s="7"/>
      <c r="G8484" s="7" t="str">
        <f t="shared" si="2963"/>
        <v>事業用資産</v>
      </c>
      <c r="H8484" s="7" t="str">
        <f t="shared" si="2951"/>
        <v>棚卸以外</v>
      </c>
      <c r="I8484" s="7">
        <v>8</v>
      </c>
      <c r="J8484" s="7" t="str">
        <f>"倉庫"</f>
        <v>倉庫</v>
      </c>
      <c r="K8484" s="7" t="str">
        <f>"軽量鉄骨造"</f>
        <v>軽量鉄骨造</v>
      </c>
      <c r="L8484" s="7" t="str">
        <f>"S35.03.31"</f>
        <v>S35.03.31</v>
      </c>
      <c r="M8484" s="7">
        <v>128</v>
      </c>
      <c r="N8484" s="7">
        <v>2808000</v>
      </c>
      <c r="O8484" s="7">
        <v>2807999</v>
      </c>
      <c r="P8484" s="7">
        <v>0</v>
      </c>
      <c r="Q8484" s="7" t="str">
        <f t="shared" si="2955"/>
        <v>大阪港湾局</v>
      </c>
      <c r="R8484" s="7" t="str">
        <f t="shared" si="2956"/>
        <v>大阪港湾局</v>
      </c>
    </row>
    <row r="8485" spans="1:18" s="1" customFormat="1" x14ac:dyDescent="0.45">
      <c r="A8485" s="7" t="str">
        <f t="shared" si="2965"/>
        <v>08200001004</v>
      </c>
      <c r="B8485" s="7" t="str">
        <f t="shared" si="2966"/>
        <v>深日港深日出張所（一般会計）</v>
      </c>
      <c r="C8485" s="7" t="str">
        <f t="shared" si="2944"/>
        <v>行政財産</v>
      </c>
      <c r="D8485" s="7" t="str">
        <f t="shared" si="2964"/>
        <v>その他（行政機関）の施設</v>
      </c>
      <c r="E8485" s="7" t="str">
        <f t="shared" si="2967"/>
        <v>大阪府泉南郡　岬町深日</v>
      </c>
      <c r="F8485" s="7"/>
      <c r="G8485" s="7" t="str">
        <f t="shared" si="2963"/>
        <v>事業用資産</v>
      </c>
      <c r="H8485" s="7" t="str">
        <f t="shared" si="2951"/>
        <v>棚卸以外</v>
      </c>
      <c r="I8485" s="7">
        <v>9</v>
      </c>
      <c r="J8485" s="7" t="str">
        <f>"事務所（Ｓ３３築）"</f>
        <v>事務所（Ｓ３３築）</v>
      </c>
      <c r="K8485" s="7" t="str">
        <f>"鉄筋コンクリート造"</f>
        <v>鉄筋コンクリート造</v>
      </c>
      <c r="L8485" s="7" t="str">
        <f>"S35.03.31"</f>
        <v>S35.03.31</v>
      </c>
      <c r="M8485" s="7">
        <v>257.83999999999997</v>
      </c>
      <c r="N8485" s="7">
        <v>37565494</v>
      </c>
      <c r="O8485" s="7">
        <v>22438188</v>
      </c>
      <c r="P8485" s="7">
        <v>0</v>
      </c>
      <c r="Q8485" s="7" t="str">
        <f t="shared" si="2955"/>
        <v>大阪港湾局</v>
      </c>
      <c r="R8485" s="7" t="str">
        <f t="shared" si="2956"/>
        <v>大阪港湾局</v>
      </c>
    </row>
    <row r="8486" spans="1:18" s="1" customFormat="1" x14ac:dyDescent="0.45">
      <c r="A8486" s="7" t="str">
        <f>"08200001009"</f>
        <v>08200001009</v>
      </c>
      <c r="B8486" s="7" t="str">
        <f>"深日港深日地区（一般会計）"</f>
        <v>深日港深日地区（一般会計）</v>
      </c>
      <c r="C8486" s="7" t="str">
        <f t="shared" si="2944"/>
        <v>行政財産</v>
      </c>
      <c r="D8486" s="7" t="str">
        <f>"その他"</f>
        <v>その他</v>
      </c>
      <c r="E8486" s="7" t="str">
        <f t="shared" si="2967"/>
        <v>大阪府泉南郡　岬町深日</v>
      </c>
      <c r="F8486" s="7"/>
      <c r="G8486" s="7" t="str">
        <f>"インフラ資産"</f>
        <v>インフラ資産</v>
      </c>
      <c r="H8486" s="7" t="str">
        <f t="shared" si="2951"/>
        <v>棚卸以外</v>
      </c>
      <c r="I8486" s="7">
        <v>1</v>
      </c>
      <c r="J8486" s="7" t="str">
        <f>"便所棟"</f>
        <v>便所棟</v>
      </c>
      <c r="K8486" s="7" t="str">
        <f>"鉄骨造"</f>
        <v>鉄骨造</v>
      </c>
      <c r="L8486" s="7" t="str">
        <f>"H20.03.31"</f>
        <v>H20.03.31</v>
      </c>
      <c r="M8486" s="7">
        <v>17</v>
      </c>
      <c r="N8486" s="7">
        <v>910000</v>
      </c>
      <c r="O8486" s="7">
        <v>440460</v>
      </c>
      <c r="P8486" s="7">
        <v>0</v>
      </c>
      <c r="Q8486" s="7" t="str">
        <f t="shared" si="2955"/>
        <v>大阪港湾局</v>
      </c>
      <c r="R8486" s="7" t="str">
        <f t="shared" si="2956"/>
        <v>大阪港湾局</v>
      </c>
    </row>
    <row r="8487" spans="1:18" s="1" customFormat="1" x14ac:dyDescent="0.45">
      <c r="A8487" s="7" t="str">
        <f>"08200001015"</f>
        <v>08200001015</v>
      </c>
      <c r="B8487" s="7" t="str">
        <f>"阪南港木材埠頭詰所（一般会計）"</f>
        <v>阪南港木材埠頭詰所（一般会計）</v>
      </c>
      <c r="C8487" s="7" t="str">
        <f t="shared" si="2944"/>
        <v>行政財産</v>
      </c>
      <c r="D8487" s="7" t="str">
        <f>"その他（行政機関）の施設"</f>
        <v>その他（行政機関）の施設</v>
      </c>
      <c r="E8487" s="7" t="str">
        <f>"大阪府岸和田市新港町"</f>
        <v>大阪府岸和田市新港町</v>
      </c>
      <c r="F8487" s="7"/>
      <c r="G8487" s="7" t="str">
        <f>"事業用資産"</f>
        <v>事業用資産</v>
      </c>
      <c r="H8487" s="7" t="str">
        <f t="shared" si="2951"/>
        <v>棚卸以外</v>
      </c>
      <c r="I8487" s="7">
        <v>1</v>
      </c>
      <c r="J8487" s="7" t="str">
        <f>"事務所"</f>
        <v>事務所</v>
      </c>
      <c r="K8487" s="7" t="str">
        <f>"鉄筋コンクリート造"</f>
        <v>鉄筋コンクリート造</v>
      </c>
      <c r="L8487" s="7" t="str">
        <f>"S42.12.22"</f>
        <v>S42.12.22</v>
      </c>
      <c r="M8487" s="7">
        <v>60</v>
      </c>
      <c r="N8487" s="7">
        <v>2327700</v>
      </c>
      <c r="O8487" s="7">
        <v>2327699</v>
      </c>
      <c r="P8487" s="7">
        <v>0</v>
      </c>
      <c r="Q8487" s="7" t="str">
        <f t="shared" si="2955"/>
        <v>大阪港湾局</v>
      </c>
      <c r="R8487" s="7" t="str">
        <f t="shared" si="2956"/>
        <v>大阪港湾局</v>
      </c>
    </row>
    <row r="8488" spans="1:18" s="1" customFormat="1" x14ac:dyDescent="0.45">
      <c r="A8488" s="7" t="str">
        <f>"08200001015"</f>
        <v>08200001015</v>
      </c>
      <c r="B8488" s="7" t="str">
        <f>"阪南港木材埠頭詰所（一般会計）"</f>
        <v>阪南港木材埠頭詰所（一般会計）</v>
      </c>
      <c r="C8488" s="7" t="str">
        <f t="shared" si="2944"/>
        <v>行政財産</v>
      </c>
      <c r="D8488" s="7" t="str">
        <f>"その他（行政機関）の施設"</f>
        <v>その他（行政機関）の施設</v>
      </c>
      <c r="E8488" s="7" t="str">
        <f>"大阪府岸和田市新港町"</f>
        <v>大阪府岸和田市新港町</v>
      </c>
      <c r="F8488" s="7"/>
      <c r="G8488" s="7" t="str">
        <f>"事業用資産"</f>
        <v>事業用資産</v>
      </c>
      <c r="H8488" s="7" t="str">
        <f t="shared" si="2951"/>
        <v>棚卸以外</v>
      </c>
      <c r="I8488" s="7">
        <v>5</v>
      </c>
      <c r="J8488" s="7" t="str">
        <f>"倉庫"</f>
        <v>倉庫</v>
      </c>
      <c r="K8488" s="7" t="str">
        <f>"軽量鉄骨造"</f>
        <v>軽量鉄骨造</v>
      </c>
      <c r="L8488" s="7" t="str">
        <f>"S43.10.30"</f>
        <v>S43.10.30</v>
      </c>
      <c r="M8488" s="7">
        <v>21.06</v>
      </c>
      <c r="N8488" s="7">
        <v>508300</v>
      </c>
      <c r="O8488" s="7">
        <v>508299</v>
      </c>
      <c r="P8488" s="7">
        <v>0</v>
      </c>
      <c r="Q8488" s="7" t="str">
        <f t="shared" si="2955"/>
        <v>大阪港湾局</v>
      </c>
      <c r="R8488" s="7" t="str">
        <f t="shared" si="2956"/>
        <v>大阪港湾局</v>
      </c>
    </row>
    <row r="8489" spans="1:18" s="1" customFormat="1" x14ac:dyDescent="0.45">
      <c r="A8489" s="7" t="str">
        <f>"08200001017"</f>
        <v>08200001017</v>
      </c>
      <c r="B8489" s="7" t="str">
        <f>"阪南港木材地区（一般会計）"</f>
        <v>阪南港木材地区（一般会計）</v>
      </c>
      <c r="C8489" s="7" t="str">
        <f t="shared" si="2944"/>
        <v>行政財産</v>
      </c>
      <c r="D8489" s="7" t="str">
        <f t="shared" ref="D8489:D8520" si="2968">"その他"</f>
        <v>その他</v>
      </c>
      <c r="E8489" s="7" t="str">
        <f>"大阪府岸和田市新港町"</f>
        <v>大阪府岸和田市新港町</v>
      </c>
      <c r="F8489" s="7"/>
      <c r="G8489" s="7" t="str">
        <f t="shared" ref="G8489:G8520" si="2969">"インフラ資産"</f>
        <v>インフラ資産</v>
      </c>
      <c r="H8489" s="7" t="str">
        <f t="shared" si="2951"/>
        <v>棚卸以外</v>
      </c>
      <c r="I8489" s="7">
        <v>1</v>
      </c>
      <c r="J8489" s="7" t="str">
        <f>"岸和田１・２号立哨建屋"</f>
        <v>岸和田１・２号立哨建屋</v>
      </c>
      <c r="K8489" s="7" t="str">
        <f>"軽量鉄骨造"</f>
        <v>軽量鉄骨造</v>
      </c>
      <c r="L8489" s="7" t="str">
        <f>"H17.04.06"</f>
        <v>H17.04.06</v>
      </c>
      <c r="M8489" s="7">
        <v>8.51</v>
      </c>
      <c r="N8489" s="7">
        <v>6414000</v>
      </c>
      <c r="O8489" s="7">
        <v>3830655</v>
      </c>
      <c r="P8489" s="7">
        <v>0</v>
      </c>
      <c r="Q8489" s="7" t="str">
        <f t="shared" ref="Q8489:Q8522" si="2970">"大阪港湾局"</f>
        <v>大阪港湾局</v>
      </c>
      <c r="R8489" s="7" t="str">
        <f t="shared" ref="R8489:R8522" si="2971">"大阪港湾局"</f>
        <v>大阪港湾局</v>
      </c>
    </row>
    <row r="8490" spans="1:18" s="1" customFormat="1" ht="26.4" x14ac:dyDescent="0.45">
      <c r="A8490" s="7" t="str">
        <f>"08200001029"</f>
        <v>08200001029</v>
      </c>
      <c r="B8490" s="7" t="str">
        <f>"阪南港港緑町地区（一般会計）"</f>
        <v>阪南港港緑町地区（一般会計）</v>
      </c>
      <c r="C8490" s="7" t="str">
        <f t="shared" si="2944"/>
        <v>行政財産</v>
      </c>
      <c r="D8490" s="7" t="str">
        <f t="shared" si="2968"/>
        <v>その他</v>
      </c>
      <c r="E8490" s="7" t="str">
        <f>"大阪府岸和田市港緑町"</f>
        <v>大阪府岸和田市港緑町</v>
      </c>
      <c r="F8490" s="7"/>
      <c r="G8490" s="7" t="str">
        <f t="shared" si="2969"/>
        <v>インフラ資産</v>
      </c>
      <c r="H8490" s="7" t="str">
        <f t="shared" si="2951"/>
        <v>棚卸以外</v>
      </c>
      <c r="I8490" s="7">
        <v>1</v>
      </c>
      <c r="J8490" s="7" t="str">
        <f>"ポンプ室"</f>
        <v>ポンプ室</v>
      </c>
      <c r="K8490" s="7" t="str">
        <f>"鉄骨鉄筋コンクリート造"</f>
        <v>鉄骨鉄筋コンクリート造</v>
      </c>
      <c r="L8490" s="7" t="str">
        <f>"H11.03.31"</f>
        <v>H11.03.31</v>
      </c>
      <c r="M8490" s="7">
        <v>49.88</v>
      </c>
      <c r="N8490" s="7">
        <v>12001000</v>
      </c>
      <c r="O8490" s="7">
        <v>7579584</v>
      </c>
      <c r="P8490" s="7">
        <v>0</v>
      </c>
      <c r="Q8490" s="7" t="str">
        <f t="shared" si="2970"/>
        <v>大阪港湾局</v>
      </c>
      <c r="R8490" s="7" t="str">
        <f t="shared" si="2971"/>
        <v>大阪港湾局</v>
      </c>
    </row>
    <row r="8491" spans="1:18" s="1" customFormat="1" x14ac:dyDescent="0.45">
      <c r="A8491" s="7" t="str">
        <f>"08200001045"</f>
        <v>08200001045</v>
      </c>
      <c r="B8491" s="7" t="str">
        <f>"府営貝塚１号上屋"</f>
        <v>府営貝塚１号上屋</v>
      </c>
      <c r="C8491" s="7" t="str">
        <f t="shared" si="2944"/>
        <v>行政財産</v>
      </c>
      <c r="D8491" s="7" t="str">
        <f t="shared" si="2968"/>
        <v>その他</v>
      </c>
      <c r="E8491" s="7" t="str">
        <f>"大阪府貝塚市港"</f>
        <v>大阪府貝塚市港</v>
      </c>
      <c r="F8491" s="7"/>
      <c r="G8491" s="7" t="str">
        <f t="shared" si="2969"/>
        <v>インフラ資産</v>
      </c>
      <c r="H8491" s="7" t="str">
        <f t="shared" si="2951"/>
        <v>棚卸以外</v>
      </c>
      <c r="I8491" s="7">
        <v>4</v>
      </c>
      <c r="J8491" s="7" t="str">
        <f>"貝塚２号立哨建屋"</f>
        <v>貝塚２号立哨建屋</v>
      </c>
      <c r="K8491" s="7" t="str">
        <f>"軽量鉄骨造"</f>
        <v>軽量鉄骨造</v>
      </c>
      <c r="L8491" s="7" t="str">
        <f>"S54.12.06"</f>
        <v>S54.12.06</v>
      </c>
      <c r="M8491" s="7">
        <v>3.43</v>
      </c>
      <c r="N8491" s="7">
        <v>2582000</v>
      </c>
      <c r="O8491" s="7">
        <v>1542195</v>
      </c>
      <c r="P8491" s="7">
        <v>0</v>
      </c>
      <c r="Q8491" s="7" t="str">
        <f t="shared" si="2970"/>
        <v>大阪港湾局</v>
      </c>
      <c r="R8491" s="7" t="str">
        <f t="shared" si="2971"/>
        <v>大阪港湾局</v>
      </c>
    </row>
    <row r="8492" spans="1:18" s="1" customFormat="1" ht="26.4" x14ac:dyDescent="0.45">
      <c r="A8492" s="7" t="str">
        <f>"08200001052"</f>
        <v>08200001052</v>
      </c>
      <c r="B8492" s="7" t="str">
        <f>"堺泉北港泉大津旧港地区（一般会計）"</f>
        <v>堺泉北港泉大津旧港地区（一般会計）</v>
      </c>
      <c r="C8492" s="7" t="str">
        <f t="shared" si="2944"/>
        <v>行政財産</v>
      </c>
      <c r="D8492" s="7" t="str">
        <f t="shared" si="2968"/>
        <v>その他</v>
      </c>
      <c r="E8492" s="7" t="str">
        <f>"大阪府泉大津市菅原町"</f>
        <v>大阪府泉大津市菅原町</v>
      </c>
      <c r="F8492" s="7"/>
      <c r="G8492" s="7" t="str">
        <f t="shared" si="2969"/>
        <v>インフラ資産</v>
      </c>
      <c r="H8492" s="7" t="str">
        <f t="shared" si="2951"/>
        <v>棚卸以外</v>
      </c>
      <c r="I8492" s="7">
        <v>1</v>
      </c>
      <c r="J8492" s="7" t="str">
        <f>"公衆便所"</f>
        <v>公衆便所</v>
      </c>
      <c r="K8492" s="7" t="str">
        <f>"鉄骨鉄筋コンクリート造"</f>
        <v>鉄骨鉄筋コンクリート造</v>
      </c>
      <c r="L8492" s="7" t="str">
        <f>"H11.03.31"</f>
        <v>H11.03.31</v>
      </c>
      <c r="M8492" s="7">
        <v>16.420000000000002</v>
      </c>
      <c r="N8492" s="7">
        <v>19852000</v>
      </c>
      <c r="O8492" s="7">
        <v>12538368</v>
      </c>
      <c r="P8492" s="7">
        <v>0</v>
      </c>
      <c r="Q8492" s="7" t="str">
        <f t="shared" si="2970"/>
        <v>大阪港湾局</v>
      </c>
      <c r="R8492" s="7" t="str">
        <f t="shared" si="2971"/>
        <v>大阪港湾局</v>
      </c>
    </row>
    <row r="8493" spans="1:18" s="1" customFormat="1" ht="26.4" x14ac:dyDescent="0.45">
      <c r="A8493" s="7" t="str">
        <f>"08200001054"</f>
        <v>08200001054</v>
      </c>
      <c r="B8493" s="7" t="str">
        <f>"堺泉北港泉北１区（一般会計）"</f>
        <v>堺泉北港泉北１区（一般会計）</v>
      </c>
      <c r="C8493" s="7" t="str">
        <f t="shared" si="2944"/>
        <v>行政財産</v>
      </c>
      <c r="D8493" s="7" t="str">
        <f t="shared" si="2968"/>
        <v>その他</v>
      </c>
      <c r="E8493" s="7" t="str">
        <f>"大阪府堺市　西区築港浜寺町"</f>
        <v>大阪府堺市　西区築港浜寺町</v>
      </c>
      <c r="F8493" s="7"/>
      <c r="G8493" s="7" t="str">
        <f t="shared" si="2969"/>
        <v>インフラ資産</v>
      </c>
      <c r="H8493" s="7" t="str">
        <f t="shared" si="2951"/>
        <v>棚卸以外</v>
      </c>
      <c r="I8493" s="7">
        <v>3</v>
      </c>
      <c r="J8493" s="7" t="str">
        <f>"泉北１区オイルフェンス庫（浜寺東）"</f>
        <v>泉北１区オイルフェンス庫（浜寺東）</v>
      </c>
      <c r="K8493" s="7" t="str">
        <f>"鉄骨鉄筋コンクリート造"</f>
        <v>鉄骨鉄筋コンクリート造</v>
      </c>
      <c r="L8493" s="7" t="str">
        <f>"S51.11.22"</f>
        <v>S51.11.22</v>
      </c>
      <c r="M8493" s="7">
        <v>88</v>
      </c>
      <c r="N8493" s="7">
        <v>1285000</v>
      </c>
      <c r="O8493" s="7">
        <v>1284999</v>
      </c>
      <c r="P8493" s="7">
        <v>0</v>
      </c>
      <c r="Q8493" s="7" t="str">
        <f t="shared" si="2970"/>
        <v>大阪港湾局</v>
      </c>
      <c r="R8493" s="7" t="str">
        <f t="shared" si="2971"/>
        <v>大阪港湾局</v>
      </c>
    </row>
    <row r="8494" spans="1:18" s="1" customFormat="1" ht="26.4" x14ac:dyDescent="0.45">
      <c r="A8494" s="7" t="str">
        <f>"08200001054"</f>
        <v>08200001054</v>
      </c>
      <c r="B8494" s="7" t="str">
        <f>"堺泉北港泉北１区（一般会計）"</f>
        <v>堺泉北港泉北１区（一般会計）</v>
      </c>
      <c r="C8494" s="7" t="str">
        <f t="shared" si="2944"/>
        <v>行政財産</v>
      </c>
      <c r="D8494" s="7" t="str">
        <f t="shared" si="2968"/>
        <v>その他</v>
      </c>
      <c r="E8494" s="7" t="str">
        <f>"大阪府堺市　西区築港浜寺町"</f>
        <v>大阪府堺市　西区築港浜寺町</v>
      </c>
      <c r="F8494" s="7"/>
      <c r="G8494" s="7" t="str">
        <f t="shared" si="2969"/>
        <v>インフラ資産</v>
      </c>
      <c r="H8494" s="7" t="str">
        <f t="shared" si="2951"/>
        <v>棚卸以外</v>
      </c>
      <c r="I8494" s="7">
        <v>5</v>
      </c>
      <c r="J8494" s="7" t="str">
        <f>"泉北１区オイルフェンス庫（諏訪森）"</f>
        <v>泉北１区オイルフェンス庫（諏訪森）</v>
      </c>
      <c r="K8494" s="7" t="str">
        <f>"鉄骨鉄筋コンクリート造"</f>
        <v>鉄骨鉄筋コンクリート造</v>
      </c>
      <c r="L8494" s="7" t="str">
        <f>"S51.11.22"</f>
        <v>S51.11.22</v>
      </c>
      <c r="M8494" s="7">
        <v>49.75</v>
      </c>
      <c r="N8494" s="7">
        <v>1700000</v>
      </c>
      <c r="O8494" s="7">
        <v>1699999</v>
      </c>
      <c r="P8494" s="7">
        <v>0</v>
      </c>
      <c r="Q8494" s="7" t="str">
        <f t="shared" si="2970"/>
        <v>大阪港湾局</v>
      </c>
      <c r="R8494" s="7" t="str">
        <f t="shared" si="2971"/>
        <v>大阪港湾局</v>
      </c>
    </row>
    <row r="8495" spans="1:18" s="1" customFormat="1" ht="26.4" x14ac:dyDescent="0.45">
      <c r="A8495" s="7" t="str">
        <f>"08200001054"</f>
        <v>08200001054</v>
      </c>
      <c r="B8495" s="7" t="str">
        <f>"堺泉北港泉北１区（一般会計）"</f>
        <v>堺泉北港泉北１区（一般会計）</v>
      </c>
      <c r="C8495" s="7" t="str">
        <f t="shared" si="2944"/>
        <v>行政財産</v>
      </c>
      <c r="D8495" s="7" t="str">
        <f t="shared" si="2968"/>
        <v>その他</v>
      </c>
      <c r="E8495" s="7" t="str">
        <f>"大阪府堺市　西区築港浜寺町"</f>
        <v>大阪府堺市　西区築港浜寺町</v>
      </c>
      <c r="F8495" s="7"/>
      <c r="G8495" s="7" t="str">
        <f t="shared" si="2969"/>
        <v>インフラ資産</v>
      </c>
      <c r="H8495" s="7" t="str">
        <f t="shared" si="2951"/>
        <v>棚卸以外</v>
      </c>
      <c r="I8495" s="7">
        <v>7</v>
      </c>
      <c r="J8495" s="7" t="str">
        <f>"泉北１区オイルフェンス庫（高砂）"</f>
        <v>泉北１区オイルフェンス庫（高砂）</v>
      </c>
      <c r="K8495" s="7" t="str">
        <f>"鉄骨鉄筋コンクリート造"</f>
        <v>鉄骨鉄筋コンクリート造</v>
      </c>
      <c r="L8495" s="7" t="str">
        <f>"S51.11.22"</f>
        <v>S51.11.22</v>
      </c>
      <c r="M8495" s="7">
        <v>88</v>
      </c>
      <c r="N8495" s="7">
        <v>1285000</v>
      </c>
      <c r="O8495" s="7">
        <v>1284999</v>
      </c>
      <c r="P8495" s="7">
        <v>0</v>
      </c>
      <c r="Q8495" s="7" t="str">
        <f t="shared" si="2970"/>
        <v>大阪港湾局</v>
      </c>
      <c r="R8495" s="7" t="str">
        <f t="shared" si="2971"/>
        <v>大阪港湾局</v>
      </c>
    </row>
    <row r="8496" spans="1:18" s="1" customFormat="1" x14ac:dyDescent="0.45">
      <c r="A8496" s="7" t="str">
        <f>"08200001054"</f>
        <v>08200001054</v>
      </c>
      <c r="B8496" s="7" t="str">
        <f>"堺泉北港泉北１区（一般会計）"</f>
        <v>堺泉北港泉北１区（一般会計）</v>
      </c>
      <c r="C8496" s="7" t="str">
        <f t="shared" si="2944"/>
        <v>行政財産</v>
      </c>
      <c r="D8496" s="7" t="str">
        <f t="shared" si="2968"/>
        <v>その他</v>
      </c>
      <c r="E8496" s="7" t="str">
        <f>"大阪府堺市　西区築港浜寺町"</f>
        <v>大阪府堺市　西区築港浜寺町</v>
      </c>
      <c r="F8496" s="7"/>
      <c r="G8496" s="7" t="str">
        <f t="shared" si="2969"/>
        <v>インフラ資産</v>
      </c>
      <c r="H8496" s="7" t="str">
        <f t="shared" si="2951"/>
        <v>棚卸以外</v>
      </c>
      <c r="I8496" s="7">
        <v>8</v>
      </c>
      <c r="J8496" s="7" t="str">
        <f>"泉北１区公共埠頭附属事務所"</f>
        <v>泉北１区公共埠頭附属事務所</v>
      </c>
      <c r="K8496" s="7" t="str">
        <f>"コンクリートブロック造"</f>
        <v>コンクリートブロック造</v>
      </c>
      <c r="L8496" s="7" t="str">
        <f>"S51.11.22"</f>
        <v>S51.11.22</v>
      </c>
      <c r="M8496" s="7">
        <v>35</v>
      </c>
      <c r="N8496" s="7">
        <v>3060000</v>
      </c>
      <c r="O8496" s="7">
        <v>3059999</v>
      </c>
      <c r="P8496" s="7">
        <v>0</v>
      </c>
      <c r="Q8496" s="7" t="str">
        <f t="shared" si="2970"/>
        <v>大阪港湾局</v>
      </c>
      <c r="R8496" s="7" t="str">
        <f t="shared" si="2971"/>
        <v>大阪港湾局</v>
      </c>
    </row>
    <row r="8497" spans="1:18" s="1" customFormat="1" x14ac:dyDescent="0.45">
      <c r="A8497" s="7" t="str">
        <f t="shared" ref="A8497:A8504" si="2972">"08200001056"</f>
        <v>08200001056</v>
      </c>
      <c r="B8497" s="7" t="str">
        <f t="shared" ref="B8497:B8504" si="2973">"堺泉北港泉北５区（一般会計）"</f>
        <v>堺泉北港泉北５区（一般会計）</v>
      </c>
      <c r="C8497" s="7" t="str">
        <f t="shared" si="2944"/>
        <v>行政財産</v>
      </c>
      <c r="D8497" s="7" t="str">
        <f t="shared" si="2968"/>
        <v>その他</v>
      </c>
      <c r="E8497" s="7" t="str">
        <f t="shared" ref="E8497:E8504" si="2974">"大阪府泉大津市臨海町１丁目"</f>
        <v>大阪府泉大津市臨海町１丁目</v>
      </c>
      <c r="F8497" s="7"/>
      <c r="G8497" s="7" t="str">
        <f t="shared" si="2969"/>
        <v>インフラ資産</v>
      </c>
      <c r="H8497" s="7" t="str">
        <f t="shared" si="2951"/>
        <v>棚卸以外</v>
      </c>
      <c r="I8497" s="7">
        <v>17</v>
      </c>
      <c r="J8497" s="7" t="str">
        <f>"油貯蔵庫（Ｓ４７築）"</f>
        <v>油貯蔵庫（Ｓ４７築）</v>
      </c>
      <c r="K8497" s="7" t="str">
        <f>"コンクリートブロック造"</f>
        <v>コンクリートブロック造</v>
      </c>
      <c r="L8497" s="7" t="str">
        <f t="shared" ref="L8497:L8502" si="2975">"S45.03.25"</f>
        <v>S45.03.25</v>
      </c>
      <c r="M8497" s="7">
        <v>11.96</v>
      </c>
      <c r="N8497" s="7">
        <v>365000</v>
      </c>
      <c r="O8497" s="7">
        <v>364999</v>
      </c>
      <c r="P8497" s="7">
        <v>0</v>
      </c>
      <c r="Q8497" s="7" t="str">
        <f t="shared" si="2970"/>
        <v>大阪港湾局</v>
      </c>
      <c r="R8497" s="7" t="str">
        <f t="shared" si="2971"/>
        <v>大阪港湾局</v>
      </c>
    </row>
    <row r="8498" spans="1:18" s="1" customFormat="1" x14ac:dyDescent="0.45">
      <c r="A8498" s="7" t="str">
        <f t="shared" si="2972"/>
        <v>08200001056</v>
      </c>
      <c r="B8498" s="7" t="str">
        <f t="shared" si="2973"/>
        <v>堺泉北港泉北５区（一般会計）</v>
      </c>
      <c r="C8498" s="7" t="str">
        <f t="shared" si="2944"/>
        <v>行政財産</v>
      </c>
      <c r="D8498" s="7" t="str">
        <f t="shared" si="2968"/>
        <v>その他</v>
      </c>
      <c r="E8498" s="7" t="str">
        <f t="shared" si="2974"/>
        <v>大阪府泉大津市臨海町１丁目</v>
      </c>
      <c r="F8498" s="7"/>
      <c r="G8498" s="7" t="str">
        <f t="shared" si="2969"/>
        <v>インフラ資産</v>
      </c>
      <c r="H8498" s="7" t="str">
        <f t="shared" si="2951"/>
        <v>棚卸以外</v>
      </c>
      <c r="I8498" s="7">
        <v>21</v>
      </c>
      <c r="J8498" s="7" t="str">
        <f>"油貯蔵庫（Ｓ４８．３築）"</f>
        <v>油貯蔵庫（Ｓ４８．３築）</v>
      </c>
      <c r="K8498" s="7" t="str">
        <f>"コンクリートブロック造"</f>
        <v>コンクリートブロック造</v>
      </c>
      <c r="L8498" s="7" t="str">
        <f t="shared" si="2975"/>
        <v>S45.03.25</v>
      </c>
      <c r="M8498" s="7">
        <v>11.96</v>
      </c>
      <c r="N8498" s="7">
        <v>393000</v>
      </c>
      <c r="O8498" s="7">
        <v>392999</v>
      </c>
      <c r="P8498" s="7">
        <v>0</v>
      </c>
      <c r="Q8498" s="7" t="str">
        <f t="shared" si="2970"/>
        <v>大阪港湾局</v>
      </c>
      <c r="R8498" s="7" t="str">
        <f t="shared" si="2971"/>
        <v>大阪港湾局</v>
      </c>
    </row>
    <row r="8499" spans="1:18" s="1" customFormat="1" x14ac:dyDescent="0.45">
      <c r="A8499" s="7" t="str">
        <f t="shared" si="2972"/>
        <v>08200001056</v>
      </c>
      <c r="B8499" s="7" t="str">
        <f t="shared" si="2973"/>
        <v>堺泉北港泉北５区（一般会計）</v>
      </c>
      <c r="C8499" s="7" t="str">
        <f t="shared" si="2944"/>
        <v>行政財産</v>
      </c>
      <c r="D8499" s="7" t="str">
        <f t="shared" si="2968"/>
        <v>その他</v>
      </c>
      <c r="E8499" s="7" t="str">
        <f t="shared" si="2974"/>
        <v>大阪府泉大津市臨海町１丁目</v>
      </c>
      <c r="F8499" s="7"/>
      <c r="G8499" s="7" t="str">
        <f t="shared" si="2969"/>
        <v>インフラ資産</v>
      </c>
      <c r="H8499" s="7" t="str">
        <f t="shared" si="2951"/>
        <v>棚卸以外</v>
      </c>
      <c r="I8499" s="7">
        <v>24</v>
      </c>
      <c r="J8499" s="7" t="str">
        <f>"油貯蔵庫（Ｓ４８．５築）"</f>
        <v>油貯蔵庫（Ｓ４８．５築）</v>
      </c>
      <c r="K8499" s="7" t="str">
        <f>"コンクリートブロック造"</f>
        <v>コンクリートブロック造</v>
      </c>
      <c r="L8499" s="7" t="str">
        <f t="shared" si="2975"/>
        <v>S45.03.25</v>
      </c>
      <c r="M8499" s="7">
        <v>12.76</v>
      </c>
      <c r="N8499" s="7">
        <v>397000</v>
      </c>
      <c r="O8499" s="7">
        <v>396999</v>
      </c>
      <c r="P8499" s="7">
        <v>0</v>
      </c>
      <c r="Q8499" s="7" t="str">
        <f t="shared" si="2970"/>
        <v>大阪港湾局</v>
      </c>
      <c r="R8499" s="7" t="str">
        <f t="shared" si="2971"/>
        <v>大阪港湾局</v>
      </c>
    </row>
    <row r="8500" spans="1:18" s="1" customFormat="1" x14ac:dyDescent="0.45">
      <c r="A8500" s="7" t="str">
        <f t="shared" si="2972"/>
        <v>08200001056</v>
      </c>
      <c r="B8500" s="7" t="str">
        <f t="shared" si="2973"/>
        <v>堺泉北港泉北５区（一般会計）</v>
      </c>
      <c r="C8500" s="7" t="str">
        <f t="shared" si="2944"/>
        <v>行政財産</v>
      </c>
      <c r="D8500" s="7" t="str">
        <f t="shared" si="2968"/>
        <v>その他</v>
      </c>
      <c r="E8500" s="7" t="str">
        <f t="shared" si="2974"/>
        <v>大阪府泉大津市臨海町１丁目</v>
      </c>
      <c r="F8500" s="7"/>
      <c r="G8500" s="7" t="str">
        <f t="shared" si="2969"/>
        <v>インフラ資産</v>
      </c>
      <c r="H8500" s="7" t="str">
        <f t="shared" si="2951"/>
        <v>棚卸以外</v>
      </c>
      <c r="I8500" s="7">
        <v>25</v>
      </c>
      <c r="J8500" s="7" t="str">
        <f>"松之浜埠頭港湾労働者休憩所"</f>
        <v>松之浜埠頭港湾労働者休憩所</v>
      </c>
      <c r="K8500" s="7" t="str">
        <f>"鉄筋コンクリート造"</f>
        <v>鉄筋コンクリート造</v>
      </c>
      <c r="L8500" s="7" t="str">
        <f t="shared" si="2975"/>
        <v>S45.03.25</v>
      </c>
      <c r="M8500" s="7">
        <v>52.71</v>
      </c>
      <c r="N8500" s="7">
        <v>5235000</v>
      </c>
      <c r="O8500" s="7">
        <v>5016875</v>
      </c>
      <c r="P8500" s="7">
        <v>0</v>
      </c>
      <c r="Q8500" s="7" t="str">
        <f t="shared" si="2970"/>
        <v>大阪港湾局</v>
      </c>
      <c r="R8500" s="7" t="str">
        <f t="shared" si="2971"/>
        <v>大阪港湾局</v>
      </c>
    </row>
    <row r="8501" spans="1:18" s="1" customFormat="1" x14ac:dyDescent="0.45">
      <c r="A8501" s="7" t="str">
        <f t="shared" si="2972"/>
        <v>08200001056</v>
      </c>
      <c r="B8501" s="7" t="str">
        <f t="shared" si="2973"/>
        <v>堺泉北港泉北５区（一般会計）</v>
      </c>
      <c r="C8501" s="7" t="str">
        <f t="shared" si="2944"/>
        <v>行政財産</v>
      </c>
      <c r="D8501" s="7" t="str">
        <f t="shared" si="2968"/>
        <v>その他</v>
      </c>
      <c r="E8501" s="7" t="str">
        <f t="shared" si="2974"/>
        <v>大阪府泉大津市臨海町１丁目</v>
      </c>
      <c r="F8501" s="7"/>
      <c r="G8501" s="7" t="str">
        <f t="shared" si="2969"/>
        <v>インフラ資産</v>
      </c>
      <c r="H8501" s="7" t="str">
        <f t="shared" si="2951"/>
        <v>棚卸以外</v>
      </c>
      <c r="I8501" s="7">
        <v>26</v>
      </c>
      <c r="J8501" s="7" t="str">
        <f>"小松埠頭港湾労働者休憩所"</f>
        <v>小松埠頭港湾労働者休憩所</v>
      </c>
      <c r="K8501" s="7" t="str">
        <f>"鉄筋コンクリート造"</f>
        <v>鉄筋コンクリート造</v>
      </c>
      <c r="L8501" s="7" t="str">
        <f t="shared" si="2975"/>
        <v>S45.03.25</v>
      </c>
      <c r="M8501" s="7">
        <v>54.18</v>
      </c>
      <c r="N8501" s="7">
        <v>6100000</v>
      </c>
      <c r="O8501" s="7">
        <v>5785023</v>
      </c>
      <c r="P8501" s="7">
        <v>0</v>
      </c>
      <c r="Q8501" s="7" t="str">
        <f t="shared" si="2970"/>
        <v>大阪港湾局</v>
      </c>
      <c r="R8501" s="7" t="str">
        <f t="shared" si="2971"/>
        <v>大阪港湾局</v>
      </c>
    </row>
    <row r="8502" spans="1:18" s="1" customFormat="1" x14ac:dyDescent="0.45">
      <c r="A8502" s="7" t="str">
        <f t="shared" si="2972"/>
        <v>08200001056</v>
      </c>
      <c r="B8502" s="7" t="str">
        <f t="shared" si="2973"/>
        <v>堺泉北港泉北５区（一般会計）</v>
      </c>
      <c r="C8502" s="7" t="str">
        <f t="shared" ref="C8502:C8522" si="2976">"行政財産"</f>
        <v>行政財産</v>
      </c>
      <c r="D8502" s="7" t="str">
        <f t="shared" si="2968"/>
        <v>その他</v>
      </c>
      <c r="E8502" s="7" t="str">
        <f t="shared" si="2974"/>
        <v>大阪府泉大津市臨海町１丁目</v>
      </c>
      <c r="F8502" s="7"/>
      <c r="G8502" s="7" t="str">
        <f t="shared" si="2969"/>
        <v>インフラ資産</v>
      </c>
      <c r="H8502" s="7" t="str">
        <f t="shared" si="2951"/>
        <v>棚卸以外</v>
      </c>
      <c r="I8502" s="7">
        <v>27</v>
      </c>
      <c r="J8502" s="7" t="str">
        <f>"泉北５区ゴミ集収庫"</f>
        <v>泉北５区ゴミ集収庫</v>
      </c>
      <c r="K8502" s="7" t="str">
        <f>"レンガ、石積造"</f>
        <v>レンガ、石積造</v>
      </c>
      <c r="L8502" s="7" t="str">
        <f t="shared" si="2975"/>
        <v>S45.03.25</v>
      </c>
      <c r="M8502" s="7">
        <v>4</v>
      </c>
      <c r="N8502" s="7">
        <v>100000</v>
      </c>
      <c r="O8502" s="7">
        <v>99999</v>
      </c>
      <c r="P8502" s="7">
        <v>0</v>
      </c>
      <c r="Q8502" s="7" t="str">
        <f t="shared" si="2970"/>
        <v>大阪港湾局</v>
      </c>
      <c r="R8502" s="7" t="str">
        <f t="shared" si="2971"/>
        <v>大阪港湾局</v>
      </c>
    </row>
    <row r="8503" spans="1:18" s="1" customFormat="1" x14ac:dyDescent="0.45">
      <c r="A8503" s="7" t="str">
        <f t="shared" si="2972"/>
        <v>08200001056</v>
      </c>
      <c r="B8503" s="7" t="str">
        <f t="shared" si="2973"/>
        <v>堺泉北港泉北５区（一般会計）</v>
      </c>
      <c r="C8503" s="7" t="str">
        <f t="shared" si="2976"/>
        <v>行政財産</v>
      </c>
      <c r="D8503" s="7" t="str">
        <f t="shared" si="2968"/>
        <v>その他</v>
      </c>
      <c r="E8503" s="7" t="str">
        <f t="shared" si="2974"/>
        <v>大阪府泉大津市臨海町１丁目</v>
      </c>
      <c r="F8503" s="7"/>
      <c r="G8503" s="7" t="str">
        <f t="shared" si="2969"/>
        <v>インフラ資産</v>
      </c>
      <c r="H8503" s="7" t="str">
        <f t="shared" si="2951"/>
        <v>棚卸以外</v>
      </c>
      <c r="I8503" s="7">
        <v>30</v>
      </c>
      <c r="J8503" s="7" t="str">
        <f>"松ノ浜１号立哨建屋"</f>
        <v>松ノ浜１号立哨建屋</v>
      </c>
      <c r="K8503" s="7" t="str">
        <f t="shared" ref="K8503:K8511" si="2977">"軽量鉄骨造"</f>
        <v>軽量鉄骨造</v>
      </c>
      <c r="L8503" s="7" t="str">
        <f>"S43.03.30"</f>
        <v>S43.03.30</v>
      </c>
      <c r="M8503" s="7">
        <v>3.43</v>
      </c>
      <c r="N8503" s="7">
        <v>2854000</v>
      </c>
      <c r="O8503" s="7">
        <v>1704520</v>
      </c>
      <c r="P8503" s="7">
        <v>0</v>
      </c>
      <c r="Q8503" s="7" t="str">
        <f t="shared" si="2970"/>
        <v>大阪港湾局</v>
      </c>
      <c r="R8503" s="7" t="str">
        <f t="shared" si="2971"/>
        <v>大阪港湾局</v>
      </c>
    </row>
    <row r="8504" spans="1:18" s="1" customFormat="1" x14ac:dyDescent="0.45">
      <c r="A8504" s="7" t="str">
        <f t="shared" si="2972"/>
        <v>08200001056</v>
      </c>
      <c r="B8504" s="7" t="str">
        <f t="shared" si="2973"/>
        <v>堺泉北港泉北５区（一般会計）</v>
      </c>
      <c r="C8504" s="7" t="str">
        <f t="shared" si="2976"/>
        <v>行政財産</v>
      </c>
      <c r="D8504" s="7" t="str">
        <f t="shared" si="2968"/>
        <v>その他</v>
      </c>
      <c r="E8504" s="7" t="str">
        <f t="shared" si="2974"/>
        <v>大阪府泉大津市臨海町１丁目</v>
      </c>
      <c r="F8504" s="7"/>
      <c r="G8504" s="7" t="str">
        <f t="shared" si="2969"/>
        <v>インフラ資産</v>
      </c>
      <c r="H8504" s="7" t="str">
        <f t="shared" si="2951"/>
        <v>棚卸以外</v>
      </c>
      <c r="I8504" s="7">
        <v>31</v>
      </c>
      <c r="J8504" s="7" t="str">
        <f>"小松２号立哨建屋"</f>
        <v>小松２号立哨建屋</v>
      </c>
      <c r="K8504" s="7" t="str">
        <f t="shared" si="2977"/>
        <v>軽量鉄骨造</v>
      </c>
      <c r="L8504" s="7" t="str">
        <f>"S43.03.30"</f>
        <v>S43.03.30</v>
      </c>
      <c r="M8504" s="7">
        <v>3.43</v>
      </c>
      <c r="N8504" s="7">
        <v>2854000</v>
      </c>
      <c r="O8504" s="7">
        <v>1704520</v>
      </c>
      <c r="P8504" s="7">
        <v>0</v>
      </c>
      <c r="Q8504" s="7" t="str">
        <f t="shared" si="2970"/>
        <v>大阪港湾局</v>
      </c>
      <c r="R8504" s="7" t="str">
        <f t="shared" si="2971"/>
        <v>大阪港湾局</v>
      </c>
    </row>
    <row r="8505" spans="1:18" s="1" customFormat="1" x14ac:dyDescent="0.45">
      <c r="A8505" s="7" t="str">
        <f t="shared" ref="A8505:A8511" si="2978">"08200001057"</f>
        <v>08200001057</v>
      </c>
      <c r="B8505" s="7" t="str">
        <f t="shared" ref="B8505:B8511" si="2979">"堺泉北港泉北６区（一般会計）"</f>
        <v>堺泉北港泉北６区（一般会計）</v>
      </c>
      <c r="C8505" s="7" t="str">
        <f t="shared" si="2976"/>
        <v>行政財産</v>
      </c>
      <c r="D8505" s="7" t="str">
        <f t="shared" si="2968"/>
        <v>その他</v>
      </c>
      <c r="E8505" s="7" t="str">
        <f t="shared" ref="E8505:E8511" si="2980">"大阪府泉大津市小津島町"</f>
        <v>大阪府泉大津市小津島町</v>
      </c>
      <c r="F8505" s="7"/>
      <c r="G8505" s="7" t="str">
        <f t="shared" si="2969"/>
        <v>インフラ資産</v>
      </c>
      <c r="H8505" s="7" t="str">
        <f t="shared" si="2951"/>
        <v>棚卸以外</v>
      </c>
      <c r="I8505" s="7">
        <v>8</v>
      </c>
      <c r="J8505" s="7" t="str">
        <f>"助松局舎"</f>
        <v>助松局舎</v>
      </c>
      <c r="K8505" s="7" t="str">
        <f t="shared" si="2977"/>
        <v>軽量鉄骨造</v>
      </c>
      <c r="L8505" s="7" t="str">
        <f t="shared" ref="L8505:L8511" si="2981">"S51.08.31"</f>
        <v>S51.08.31</v>
      </c>
      <c r="M8505" s="7">
        <v>24.3</v>
      </c>
      <c r="N8505" s="7">
        <v>10361000</v>
      </c>
      <c r="O8505" s="7">
        <v>7770816</v>
      </c>
      <c r="P8505" s="7">
        <v>0</v>
      </c>
      <c r="Q8505" s="7" t="str">
        <f t="shared" si="2970"/>
        <v>大阪港湾局</v>
      </c>
      <c r="R8505" s="7" t="str">
        <f t="shared" si="2971"/>
        <v>大阪港湾局</v>
      </c>
    </row>
    <row r="8506" spans="1:18" s="1" customFormat="1" x14ac:dyDescent="0.45">
      <c r="A8506" s="7" t="str">
        <f t="shared" si="2978"/>
        <v>08200001057</v>
      </c>
      <c r="B8506" s="7" t="str">
        <f t="shared" si="2979"/>
        <v>堺泉北港泉北６区（一般会計）</v>
      </c>
      <c r="C8506" s="7" t="str">
        <f t="shared" si="2976"/>
        <v>行政財産</v>
      </c>
      <c r="D8506" s="7" t="str">
        <f t="shared" si="2968"/>
        <v>その他</v>
      </c>
      <c r="E8506" s="7" t="str">
        <f t="shared" si="2980"/>
        <v>大阪府泉大津市小津島町</v>
      </c>
      <c r="F8506" s="7"/>
      <c r="G8506" s="7" t="str">
        <f t="shared" si="2969"/>
        <v>インフラ資産</v>
      </c>
      <c r="H8506" s="7" t="str">
        <f t="shared" si="2951"/>
        <v>棚卸以外</v>
      </c>
      <c r="I8506" s="7">
        <v>9</v>
      </c>
      <c r="J8506" s="7" t="str">
        <f>"助松２号立哨建屋"</f>
        <v>助松２号立哨建屋</v>
      </c>
      <c r="K8506" s="7" t="str">
        <f t="shared" si="2977"/>
        <v>軽量鉄骨造</v>
      </c>
      <c r="L8506" s="7" t="str">
        <f t="shared" si="2981"/>
        <v>S51.08.31</v>
      </c>
      <c r="M8506" s="7">
        <v>3.43</v>
      </c>
      <c r="N8506" s="7">
        <v>2854000</v>
      </c>
      <c r="O8506" s="7">
        <v>1704520</v>
      </c>
      <c r="P8506" s="7">
        <v>0</v>
      </c>
      <c r="Q8506" s="7" t="str">
        <f t="shared" si="2970"/>
        <v>大阪港湾局</v>
      </c>
      <c r="R8506" s="7" t="str">
        <f t="shared" si="2971"/>
        <v>大阪港湾局</v>
      </c>
    </row>
    <row r="8507" spans="1:18" s="1" customFormat="1" x14ac:dyDescent="0.45">
      <c r="A8507" s="7" t="str">
        <f t="shared" si="2978"/>
        <v>08200001057</v>
      </c>
      <c r="B8507" s="7" t="str">
        <f t="shared" si="2979"/>
        <v>堺泉北港泉北６区（一般会計）</v>
      </c>
      <c r="C8507" s="7" t="str">
        <f t="shared" si="2976"/>
        <v>行政財産</v>
      </c>
      <c r="D8507" s="7" t="str">
        <f t="shared" si="2968"/>
        <v>その他</v>
      </c>
      <c r="E8507" s="7" t="str">
        <f t="shared" si="2980"/>
        <v>大阪府泉大津市小津島町</v>
      </c>
      <c r="F8507" s="7"/>
      <c r="G8507" s="7" t="str">
        <f t="shared" si="2969"/>
        <v>インフラ資産</v>
      </c>
      <c r="H8507" s="7" t="str">
        <f t="shared" si="2951"/>
        <v>棚卸以外</v>
      </c>
      <c r="I8507" s="7">
        <v>10</v>
      </c>
      <c r="J8507" s="7" t="str">
        <f>"助松３・４号立哨建屋"</f>
        <v>助松３・４号立哨建屋</v>
      </c>
      <c r="K8507" s="7" t="str">
        <f t="shared" si="2977"/>
        <v>軽量鉄骨造</v>
      </c>
      <c r="L8507" s="7" t="str">
        <f t="shared" si="2981"/>
        <v>S51.08.31</v>
      </c>
      <c r="M8507" s="7">
        <v>3.43</v>
      </c>
      <c r="N8507" s="7">
        <v>2854000</v>
      </c>
      <c r="O8507" s="7">
        <v>1704520</v>
      </c>
      <c r="P8507" s="7">
        <v>0</v>
      </c>
      <c r="Q8507" s="7" t="str">
        <f t="shared" si="2970"/>
        <v>大阪港湾局</v>
      </c>
      <c r="R8507" s="7" t="str">
        <f t="shared" si="2971"/>
        <v>大阪港湾局</v>
      </c>
    </row>
    <row r="8508" spans="1:18" s="1" customFormat="1" x14ac:dyDescent="0.45">
      <c r="A8508" s="7" t="str">
        <f t="shared" si="2978"/>
        <v>08200001057</v>
      </c>
      <c r="B8508" s="7" t="str">
        <f t="shared" si="2979"/>
        <v>堺泉北港泉北６区（一般会計）</v>
      </c>
      <c r="C8508" s="7" t="str">
        <f t="shared" si="2976"/>
        <v>行政財産</v>
      </c>
      <c r="D8508" s="7" t="str">
        <f t="shared" si="2968"/>
        <v>その他</v>
      </c>
      <c r="E8508" s="7" t="str">
        <f t="shared" si="2980"/>
        <v>大阪府泉大津市小津島町</v>
      </c>
      <c r="F8508" s="7"/>
      <c r="G8508" s="7" t="str">
        <f t="shared" si="2969"/>
        <v>インフラ資産</v>
      </c>
      <c r="H8508" s="7" t="str">
        <f t="shared" si="2951"/>
        <v>棚卸以外</v>
      </c>
      <c r="I8508" s="7">
        <v>11</v>
      </c>
      <c r="J8508" s="7" t="str">
        <f>"助松５号立哨建屋"</f>
        <v>助松５号立哨建屋</v>
      </c>
      <c r="K8508" s="7" t="str">
        <f t="shared" si="2977"/>
        <v>軽量鉄骨造</v>
      </c>
      <c r="L8508" s="7" t="str">
        <f t="shared" si="2981"/>
        <v>S51.08.31</v>
      </c>
      <c r="M8508" s="7">
        <v>3.43</v>
      </c>
      <c r="N8508" s="7">
        <v>2854000</v>
      </c>
      <c r="O8508" s="7">
        <v>1704520</v>
      </c>
      <c r="P8508" s="7">
        <v>0</v>
      </c>
      <c r="Q8508" s="7" t="str">
        <f t="shared" si="2970"/>
        <v>大阪港湾局</v>
      </c>
      <c r="R8508" s="7" t="str">
        <f t="shared" si="2971"/>
        <v>大阪港湾局</v>
      </c>
    </row>
    <row r="8509" spans="1:18" s="1" customFormat="1" x14ac:dyDescent="0.45">
      <c r="A8509" s="7" t="str">
        <f t="shared" si="2978"/>
        <v>08200001057</v>
      </c>
      <c r="B8509" s="7" t="str">
        <f t="shared" si="2979"/>
        <v>堺泉北港泉北６区（一般会計）</v>
      </c>
      <c r="C8509" s="7" t="str">
        <f t="shared" si="2976"/>
        <v>行政財産</v>
      </c>
      <c r="D8509" s="7" t="str">
        <f t="shared" si="2968"/>
        <v>その他</v>
      </c>
      <c r="E8509" s="7" t="str">
        <f t="shared" si="2980"/>
        <v>大阪府泉大津市小津島町</v>
      </c>
      <c r="F8509" s="7"/>
      <c r="G8509" s="7" t="str">
        <f t="shared" si="2969"/>
        <v>インフラ資産</v>
      </c>
      <c r="H8509" s="7" t="str">
        <f t="shared" si="2951"/>
        <v>棚卸以外</v>
      </c>
      <c r="I8509" s="7">
        <v>12</v>
      </c>
      <c r="J8509" s="7" t="str">
        <f>"助松６・７号立哨建屋"</f>
        <v>助松６・７号立哨建屋</v>
      </c>
      <c r="K8509" s="7" t="str">
        <f t="shared" si="2977"/>
        <v>軽量鉄骨造</v>
      </c>
      <c r="L8509" s="7" t="str">
        <f t="shared" si="2981"/>
        <v>S51.08.31</v>
      </c>
      <c r="M8509" s="7">
        <v>3.43</v>
      </c>
      <c r="N8509" s="7">
        <v>2854000</v>
      </c>
      <c r="O8509" s="7">
        <v>1704520</v>
      </c>
      <c r="P8509" s="7">
        <v>0</v>
      </c>
      <c r="Q8509" s="7" t="str">
        <f t="shared" si="2970"/>
        <v>大阪港湾局</v>
      </c>
      <c r="R8509" s="7" t="str">
        <f t="shared" si="2971"/>
        <v>大阪港湾局</v>
      </c>
    </row>
    <row r="8510" spans="1:18" s="1" customFormat="1" x14ac:dyDescent="0.45">
      <c r="A8510" s="7" t="str">
        <f t="shared" si="2978"/>
        <v>08200001057</v>
      </c>
      <c r="B8510" s="7" t="str">
        <f t="shared" si="2979"/>
        <v>堺泉北港泉北６区（一般会計）</v>
      </c>
      <c r="C8510" s="7" t="str">
        <f t="shared" si="2976"/>
        <v>行政財産</v>
      </c>
      <c r="D8510" s="7" t="str">
        <f t="shared" si="2968"/>
        <v>その他</v>
      </c>
      <c r="E8510" s="7" t="str">
        <f t="shared" si="2980"/>
        <v>大阪府泉大津市小津島町</v>
      </c>
      <c r="F8510" s="7"/>
      <c r="G8510" s="7" t="str">
        <f t="shared" si="2969"/>
        <v>インフラ資産</v>
      </c>
      <c r="H8510" s="7" t="str">
        <f t="shared" si="2951"/>
        <v>棚卸以外</v>
      </c>
      <c r="I8510" s="7">
        <v>13</v>
      </c>
      <c r="J8510" s="7" t="str">
        <f>"助松８号ー１立哨建屋"</f>
        <v>助松８号ー１立哨建屋</v>
      </c>
      <c r="K8510" s="7" t="str">
        <f t="shared" si="2977"/>
        <v>軽量鉄骨造</v>
      </c>
      <c r="L8510" s="7" t="str">
        <f t="shared" si="2981"/>
        <v>S51.08.31</v>
      </c>
      <c r="M8510" s="7">
        <v>3.43</v>
      </c>
      <c r="N8510" s="7">
        <v>2854000</v>
      </c>
      <c r="O8510" s="7">
        <v>1704520</v>
      </c>
      <c r="P8510" s="7">
        <v>0</v>
      </c>
      <c r="Q8510" s="7" t="str">
        <f t="shared" si="2970"/>
        <v>大阪港湾局</v>
      </c>
      <c r="R8510" s="7" t="str">
        <f t="shared" si="2971"/>
        <v>大阪港湾局</v>
      </c>
    </row>
    <row r="8511" spans="1:18" s="1" customFormat="1" x14ac:dyDescent="0.45">
      <c r="A8511" s="7" t="str">
        <f t="shared" si="2978"/>
        <v>08200001057</v>
      </c>
      <c r="B8511" s="7" t="str">
        <f t="shared" si="2979"/>
        <v>堺泉北港泉北６区（一般会計）</v>
      </c>
      <c r="C8511" s="7" t="str">
        <f t="shared" si="2976"/>
        <v>行政財産</v>
      </c>
      <c r="D8511" s="7" t="str">
        <f t="shared" si="2968"/>
        <v>その他</v>
      </c>
      <c r="E8511" s="7" t="str">
        <f t="shared" si="2980"/>
        <v>大阪府泉大津市小津島町</v>
      </c>
      <c r="F8511" s="7"/>
      <c r="G8511" s="7" t="str">
        <f t="shared" si="2969"/>
        <v>インフラ資産</v>
      </c>
      <c r="H8511" s="7" t="str">
        <f t="shared" si="2951"/>
        <v>棚卸以外</v>
      </c>
      <c r="I8511" s="7">
        <v>14</v>
      </c>
      <c r="J8511" s="7" t="str">
        <f>"助松８号ー２立哨建屋"</f>
        <v>助松８号ー２立哨建屋</v>
      </c>
      <c r="K8511" s="7" t="str">
        <f t="shared" si="2977"/>
        <v>軽量鉄骨造</v>
      </c>
      <c r="L8511" s="7" t="str">
        <f t="shared" si="2981"/>
        <v>S51.08.31</v>
      </c>
      <c r="M8511" s="7">
        <v>3.43</v>
      </c>
      <c r="N8511" s="7">
        <v>2854000</v>
      </c>
      <c r="O8511" s="7">
        <v>1704520</v>
      </c>
      <c r="P8511" s="7">
        <v>0</v>
      </c>
      <c r="Q8511" s="7" t="str">
        <f t="shared" si="2970"/>
        <v>大阪港湾局</v>
      </c>
      <c r="R8511" s="7" t="str">
        <f t="shared" si="2971"/>
        <v>大阪港湾局</v>
      </c>
    </row>
    <row r="8512" spans="1:18" s="1" customFormat="1" x14ac:dyDescent="0.45">
      <c r="A8512" s="7" t="str">
        <f>"08200002005"</f>
        <v>08200002005</v>
      </c>
      <c r="B8512" s="7" t="str">
        <f>"堺泉北港堺６区（特別会計）"</f>
        <v>堺泉北港堺６区（特別会計）</v>
      </c>
      <c r="C8512" s="7" t="str">
        <f t="shared" si="2976"/>
        <v>行政財産</v>
      </c>
      <c r="D8512" s="7" t="str">
        <f t="shared" si="2968"/>
        <v>その他</v>
      </c>
      <c r="E8512" s="7" t="str">
        <f>"大阪府堺市　西区築港新町"</f>
        <v>大阪府堺市　西区築港新町</v>
      </c>
      <c r="F8512" s="7"/>
      <c r="G8512" s="7" t="str">
        <f t="shared" si="2969"/>
        <v>インフラ資産</v>
      </c>
      <c r="H8512" s="7" t="str">
        <f t="shared" si="2951"/>
        <v>棚卸以外</v>
      </c>
      <c r="I8512" s="7">
        <v>3</v>
      </c>
      <c r="J8512" s="7" t="str">
        <f>"管理棟"</f>
        <v>管理棟</v>
      </c>
      <c r="K8512" s="7" t="str">
        <f>"鉄骨造"</f>
        <v>鉄骨造</v>
      </c>
      <c r="L8512" s="7" t="str">
        <f>"H08.05.17"</f>
        <v>H08.05.17</v>
      </c>
      <c r="M8512" s="7">
        <v>376.05</v>
      </c>
      <c r="N8512" s="7">
        <v>83730000</v>
      </c>
      <c r="O8512" s="7">
        <v>59125318</v>
      </c>
      <c r="P8512" s="7">
        <v>0</v>
      </c>
      <c r="Q8512" s="7" t="str">
        <f t="shared" si="2970"/>
        <v>大阪港湾局</v>
      </c>
      <c r="R8512" s="7" t="str">
        <f t="shared" si="2971"/>
        <v>大阪港湾局</v>
      </c>
    </row>
    <row r="8513" spans="1:18" s="1" customFormat="1" x14ac:dyDescent="0.45">
      <c r="A8513" s="7" t="str">
        <f>"08200002005"</f>
        <v>08200002005</v>
      </c>
      <c r="B8513" s="7" t="str">
        <f>"堺泉北港堺６区（特別会計）"</f>
        <v>堺泉北港堺６区（特別会計）</v>
      </c>
      <c r="C8513" s="7" t="str">
        <f t="shared" si="2976"/>
        <v>行政財産</v>
      </c>
      <c r="D8513" s="7" t="str">
        <f t="shared" si="2968"/>
        <v>その他</v>
      </c>
      <c r="E8513" s="7" t="str">
        <f>"大阪府堺市　西区築港新町"</f>
        <v>大阪府堺市　西区築港新町</v>
      </c>
      <c r="F8513" s="7"/>
      <c r="G8513" s="7" t="str">
        <f t="shared" si="2969"/>
        <v>インフラ資産</v>
      </c>
      <c r="H8513" s="7" t="str">
        <f t="shared" si="2951"/>
        <v>棚卸以外</v>
      </c>
      <c r="I8513" s="7">
        <v>4</v>
      </c>
      <c r="J8513" s="7" t="str">
        <f>"受電所棟"</f>
        <v>受電所棟</v>
      </c>
      <c r="K8513" s="7" t="str">
        <f>"鉄骨造"</f>
        <v>鉄骨造</v>
      </c>
      <c r="L8513" s="7" t="str">
        <f>"H08.05.17"</f>
        <v>H08.05.17</v>
      </c>
      <c r="M8513" s="7">
        <v>273.45999999999998</v>
      </c>
      <c r="N8513" s="7">
        <v>72459000</v>
      </c>
      <c r="O8513" s="7">
        <v>51166444</v>
      </c>
      <c r="P8513" s="7">
        <v>0</v>
      </c>
      <c r="Q8513" s="7" t="str">
        <f t="shared" si="2970"/>
        <v>大阪港湾局</v>
      </c>
      <c r="R8513" s="7" t="str">
        <f t="shared" si="2971"/>
        <v>大阪港湾局</v>
      </c>
    </row>
    <row r="8514" spans="1:18" s="1" customFormat="1" x14ac:dyDescent="0.45">
      <c r="A8514" s="7" t="str">
        <f>"08200002005"</f>
        <v>08200002005</v>
      </c>
      <c r="B8514" s="7" t="str">
        <f>"堺泉北港堺６区（特別会計）"</f>
        <v>堺泉北港堺６区（特別会計）</v>
      </c>
      <c r="C8514" s="7" t="str">
        <f t="shared" si="2976"/>
        <v>行政財産</v>
      </c>
      <c r="D8514" s="7" t="str">
        <f t="shared" si="2968"/>
        <v>その他</v>
      </c>
      <c r="E8514" s="7" t="str">
        <f>"大阪府堺市　西区築港新町"</f>
        <v>大阪府堺市　西区築港新町</v>
      </c>
      <c r="F8514" s="7"/>
      <c r="G8514" s="7" t="str">
        <f t="shared" si="2969"/>
        <v>インフラ資産</v>
      </c>
      <c r="H8514" s="7" t="str">
        <f t="shared" si="2951"/>
        <v>棚卸以外</v>
      </c>
      <c r="I8514" s="7">
        <v>5</v>
      </c>
      <c r="J8514" s="7" t="str">
        <f>"ゲート棟（コンテナターミナルＢバース）"</f>
        <v>ゲート棟（コンテナターミナルＢバース）</v>
      </c>
      <c r="K8514" s="7" t="str">
        <f>"鉄筋コンクリート造"</f>
        <v>鉄筋コンクリート造</v>
      </c>
      <c r="L8514" s="7" t="str">
        <f>"H08.05.17"</f>
        <v>H08.05.17</v>
      </c>
      <c r="M8514" s="7">
        <v>370.18</v>
      </c>
      <c r="N8514" s="7">
        <v>72687000</v>
      </c>
      <c r="O8514" s="7">
        <v>51327444</v>
      </c>
      <c r="P8514" s="7">
        <v>0</v>
      </c>
      <c r="Q8514" s="7" t="str">
        <f t="shared" si="2970"/>
        <v>大阪港湾局</v>
      </c>
      <c r="R8514" s="7" t="str">
        <f t="shared" si="2971"/>
        <v>大阪港湾局</v>
      </c>
    </row>
    <row r="8515" spans="1:18" s="1" customFormat="1" x14ac:dyDescent="0.45">
      <c r="A8515" s="7" t="str">
        <f>"08200002005"</f>
        <v>08200002005</v>
      </c>
      <c r="B8515" s="7" t="str">
        <f>"堺泉北港堺６区（特別会計）"</f>
        <v>堺泉北港堺６区（特別会計）</v>
      </c>
      <c r="C8515" s="7" t="str">
        <f t="shared" si="2976"/>
        <v>行政財産</v>
      </c>
      <c r="D8515" s="7" t="str">
        <f t="shared" si="2968"/>
        <v>その他</v>
      </c>
      <c r="E8515" s="7" t="str">
        <f>"大阪府堺市　西区築港新町"</f>
        <v>大阪府堺市　西区築港新町</v>
      </c>
      <c r="F8515" s="7"/>
      <c r="G8515" s="7" t="str">
        <f t="shared" si="2969"/>
        <v>インフラ資産</v>
      </c>
      <c r="H8515" s="7" t="str">
        <f t="shared" si="2951"/>
        <v>棚卸以外</v>
      </c>
      <c r="I8515" s="7">
        <v>6</v>
      </c>
      <c r="J8515" s="7" t="str">
        <f>"管理受電棟"</f>
        <v>管理受電棟</v>
      </c>
      <c r="K8515" s="7" t="str">
        <f>"鉄骨造"</f>
        <v>鉄骨造</v>
      </c>
      <c r="L8515" s="7" t="str">
        <f>"H08.05.17"</f>
        <v>H08.05.17</v>
      </c>
      <c r="M8515" s="7">
        <v>645.96</v>
      </c>
      <c r="N8515" s="7">
        <v>133084000</v>
      </c>
      <c r="O8515" s="7">
        <v>93976022</v>
      </c>
      <c r="P8515" s="7">
        <v>0</v>
      </c>
      <c r="Q8515" s="7" t="str">
        <f t="shared" si="2970"/>
        <v>大阪港湾局</v>
      </c>
      <c r="R8515" s="7" t="str">
        <f t="shared" si="2971"/>
        <v>大阪港湾局</v>
      </c>
    </row>
    <row r="8516" spans="1:18" s="1" customFormat="1" x14ac:dyDescent="0.45">
      <c r="A8516" s="7" t="str">
        <f>"08200002005"</f>
        <v>08200002005</v>
      </c>
      <c r="B8516" s="7" t="str">
        <f>"堺泉北港堺６区（特別会計）"</f>
        <v>堺泉北港堺６区（特別会計）</v>
      </c>
      <c r="C8516" s="7" t="str">
        <f t="shared" si="2976"/>
        <v>行政財産</v>
      </c>
      <c r="D8516" s="7" t="str">
        <f t="shared" si="2968"/>
        <v>その他</v>
      </c>
      <c r="E8516" s="7" t="str">
        <f>"大阪府堺市　西区築港新町"</f>
        <v>大阪府堺市　西区築港新町</v>
      </c>
      <c r="F8516" s="7"/>
      <c r="G8516" s="7" t="str">
        <f t="shared" si="2969"/>
        <v>インフラ資産</v>
      </c>
      <c r="H8516" s="7" t="str">
        <f t="shared" ref="H8516:H8530" si="2982">"棚卸以外"</f>
        <v>棚卸以外</v>
      </c>
      <c r="I8516" s="7">
        <v>7</v>
      </c>
      <c r="J8516" s="7" t="str">
        <f>"ゲート棟（コンテナターミナルＡバース）"</f>
        <v>ゲート棟（コンテナターミナルＡバース）</v>
      </c>
      <c r="K8516" s="7" t="str">
        <f>"鉄筋コンクリート造"</f>
        <v>鉄筋コンクリート造</v>
      </c>
      <c r="L8516" s="7" t="str">
        <f>"H08.05.17"</f>
        <v>H08.05.17</v>
      </c>
      <c r="M8516" s="7">
        <v>370.18</v>
      </c>
      <c r="N8516" s="7">
        <v>73429000</v>
      </c>
      <c r="O8516" s="7">
        <v>51851338</v>
      </c>
      <c r="P8516" s="7">
        <v>0</v>
      </c>
      <c r="Q8516" s="7" t="str">
        <f t="shared" si="2970"/>
        <v>大阪港湾局</v>
      </c>
      <c r="R8516" s="7" t="str">
        <f t="shared" si="2971"/>
        <v>大阪港湾局</v>
      </c>
    </row>
    <row r="8517" spans="1:18" s="1" customFormat="1" x14ac:dyDescent="0.45">
      <c r="A8517" s="7" t="str">
        <f>"08200002007"</f>
        <v>08200002007</v>
      </c>
      <c r="B8517" s="7" t="str">
        <f>"堺泉北港泉北７区（特別会計）"</f>
        <v>堺泉北港泉北７区（特別会計）</v>
      </c>
      <c r="C8517" s="7" t="str">
        <f t="shared" si="2976"/>
        <v>行政財産</v>
      </c>
      <c r="D8517" s="7" t="str">
        <f t="shared" si="2968"/>
        <v>その他</v>
      </c>
      <c r="E8517" s="7" t="str">
        <f>"大阪府泉大津市汐見町"</f>
        <v>大阪府泉大津市汐見町</v>
      </c>
      <c r="F8517" s="7"/>
      <c r="G8517" s="7" t="str">
        <f t="shared" si="2969"/>
        <v>インフラ資産</v>
      </c>
      <c r="H8517" s="7" t="str">
        <f t="shared" si="2982"/>
        <v>棚卸以外</v>
      </c>
      <c r="I8517" s="7">
        <v>2</v>
      </c>
      <c r="J8517" s="7" t="str">
        <f>"泉北２１号上屋労働者休憩所"</f>
        <v>泉北２１号上屋労働者休憩所</v>
      </c>
      <c r="K8517" s="7" t="str">
        <f>"鉄筋コンクリート造"</f>
        <v>鉄筋コンクリート造</v>
      </c>
      <c r="L8517" s="7" t="str">
        <f>"S50.07.01"</f>
        <v>S50.07.01</v>
      </c>
      <c r="M8517" s="7">
        <v>156.9</v>
      </c>
      <c r="N8517" s="7">
        <v>18347000</v>
      </c>
      <c r="O8517" s="7">
        <v>17491188</v>
      </c>
      <c r="P8517" s="7">
        <v>0</v>
      </c>
      <c r="Q8517" s="7" t="str">
        <f t="shared" si="2970"/>
        <v>大阪港湾局</v>
      </c>
      <c r="R8517" s="7" t="str">
        <f t="shared" si="2971"/>
        <v>大阪港湾局</v>
      </c>
    </row>
    <row r="8518" spans="1:18" s="1" customFormat="1" x14ac:dyDescent="0.45">
      <c r="A8518" s="7" t="str">
        <f>"08200002007"</f>
        <v>08200002007</v>
      </c>
      <c r="B8518" s="7" t="str">
        <f>"堺泉北港泉北７区（特別会計）"</f>
        <v>堺泉北港泉北７区（特別会計）</v>
      </c>
      <c r="C8518" s="7" t="str">
        <f t="shared" si="2976"/>
        <v>行政財産</v>
      </c>
      <c r="D8518" s="7" t="str">
        <f t="shared" si="2968"/>
        <v>その他</v>
      </c>
      <c r="E8518" s="7" t="str">
        <f>"大阪府泉大津市汐見町"</f>
        <v>大阪府泉大津市汐見町</v>
      </c>
      <c r="F8518" s="7"/>
      <c r="G8518" s="7" t="str">
        <f t="shared" si="2969"/>
        <v>インフラ資産</v>
      </c>
      <c r="H8518" s="7" t="str">
        <f t="shared" si="2982"/>
        <v>棚卸以外</v>
      </c>
      <c r="I8518" s="7">
        <v>5</v>
      </c>
      <c r="J8518" s="7" t="str">
        <f>"泉北２０号上屋労働者休憩所"</f>
        <v>泉北２０号上屋労働者休憩所</v>
      </c>
      <c r="K8518" s="7" t="str">
        <f>"鉄筋コンクリート造"</f>
        <v>鉄筋コンクリート造</v>
      </c>
      <c r="L8518" s="7" t="str">
        <f>"S51.09.01"</f>
        <v>S51.09.01</v>
      </c>
      <c r="M8518" s="7">
        <v>156.9</v>
      </c>
      <c r="N8518" s="7">
        <v>17655000</v>
      </c>
      <c r="O8518" s="7">
        <v>16419150</v>
      </c>
      <c r="P8518" s="7">
        <v>0</v>
      </c>
      <c r="Q8518" s="7" t="str">
        <f t="shared" si="2970"/>
        <v>大阪港湾局</v>
      </c>
      <c r="R8518" s="7" t="str">
        <f t="shared" si="2971"/>
        <v>大阪港湾局</v>
      </c>
    </row>
    <row r="8519" spans="1:18" s="1" customFormat="1" x14ac:dyDescent="0.45">
      <c r="A8519" s="7" t="str">
        <f>"08200002007"</f>
        <v>08200002007</v>
      </c>
      <c r="B8519" s="7" t="str">
        <f>"堺泉北港泉北７区（特別会計）"</f>
        <v>堺泉北港泉北７区（特別会計）</v>
      </c>
      <c r="C8519" s="7" t="str">
        <f t="shared" si="2976"/>
        <v>行政財産</v>
      </c>
      <c r="D8519" s="7" t="str">
        <f t="shared" si="2968"/>
        <v>その他</v>
      </c>
      <c r="E8519" s="7" t="str">
        <f>"大阪府泉大津市汐見町"</f>
        <v>大阪府泉大津市汐見町</v>
      </c>
      <c r="F8519" s="7"/>
      <c r="G8519" s="7" t="str">
        <f t="shared" si="2969"/>
        <v>インフラ資産</v>
      </c>
      <c r="H8519" s="7" t="str">
        <f t="shared" si="2982"/>
        <v>棚卸以外</v>
      </c>
      <c r="I8519" s="7">
        <v>13</v>
      </c>
      <c r="J8519" s="7" t="str">
        <f>"泉北第１９号上屋危険物"</f>
        <v>泉北第１９号上屋危険物</v>
      </c>
      <c r="K8519" s="7" t="str">
        <f>"鉄筋コンクリート造"</f>
        <v>鉄筋コンクリート造</v>
      </c>
      <c r="L8519" s="7" t="str">
        <f>"S55.09.30"</f>
        <v>S55.09.30</v>
      </c>
      <c r="M8519" s="7">
        <v>13.44</v>
      </c>
      <c r="N8519" s="7">
        <v>871000</v>
      </c>
      <c r="O8519" s="7">
        <v>870999</v>
      </c>
      <c r="P8519" s="7">
        <v>0</v>
      </c>
      <c r="Q8519" s="7" t="str">
        <f t="shared" si="2970"/>
        <v>大阪港湾局</v>
      </c>
      <c r="R8519" s="7" t="str">
        <f t="shared" si="2971"/>
        <v>大阪港湾局</v>
      </c>
    </row>
    <row r="8520" spans="1:18" s="1" customFormat="1" ht="26.4" x14ac:dyDescent="0.45">
      <c r="A8520" s="7" t="str">
        <f>"08200002083"</f>
        <v>08200002083</v>
      </c>
      <c r="B8520" s="7" t="str">
        <f>"堺市堺港旧港地区（一般会計）"</f>
        <v>堺市堺港旧港地区（一般会計）</v>
      </c>
      <c r="C8520" s="7" t="str">
        <f t="shared" si="2976"/>
        <v>行政財産</v>
      </c>
      <c r="D8520" s="7" t="str">
        <f t="shared" si="2968"/>
        <v>その他</v>
      </c>
      <c r="E8520" s="7" t="str">
        <f>"大阪府堺市堺区"</f>
        <v>大阪府堺市堺区</v>
      </c>
      <c r="F8520" s="7"/>
      <c r="G8520" s="7" t="str">
        <f t="shared" si="2969"/>
        <v>インフラ資産</v>
      </c>
      <c r="H8520" s="7" t="str">
        <f t="shared" si="2982"/>
        <v>棚卸以外</v>
      </c>
      <c r="I8520" s="7">
        <v>1</v>
      </c>
      <c r="J8520" s="7" t="str">
        <f>"古川水門　管理棟"</f>
        <v>古川水門　管理棟</v>
      </c>
      <c r="K8520" s="7" t="str">
        <f>"鉄骨鉄筋コンクリート造"</f>
        <v>鉄骨鉄筋コンクリート造</v>
      </c>
      <c r="L8520" s="7" t="str">
        <f>"H26.03.24"</f>
        <v>H26.03.24</v>
      </c>
      <c r="M8520" s="7">
        <v>26</v>
      </c>
      <c r="N8520" s="7">
        <v>13860000</v>
      </c>
      <c r="O8520" s="7">
        <v>2494800</v>
      </c>
      <c r="P8520" s="7">
        <v>0</v>
      </c>
      <c r="Q8520" s="7" t="str">
        <f t="shared" si="2970"/>
        <v>大阪港湾局</v>
      </c>
      <c r="R8520" s="7" t="str">
        <f t="shared" si="2971"/>
        <v>大阪港湾局</v>
      </c>
    </row>
    <row r="8521" spans="1:18" s="1" customFormat="1" x14ac:dyDescent="0.45">
      <c r="A8521" s="7" t="str">
        <f>"08200003002"</f>
        <v>08200003002</v>
      </c>
      <c r="B8521" s="7" t="str">
        <f>"堺港湾事務所堺７区（特別会計）"</f>
        <v>堺港湾事務所堺７区（特別会計）</v>
      </c>
      <c r="C8521" s="7" t="str">
        <f t="shared" si="2976"/>
        <v>行政財産</v>
      </c>
      <c r="D8521" s="7" t="str">
        <f>"その他（行政機関）の施設"</f>
        <v>その他（行政機関）の施設</v>
      </c>
      <c r="E8521" s="7" t="str">
        <f>"大阪府堺市　西区築港新町"</f>
        <v>大阪府堺市　西区築港新町</v>
      </c>
      <c r="F8521" s="7"/>
      <c r="G8521" s="7" t="str">
        <f>"事業用資産"</f>
        <v>事業用資産</v>
      </c>
      <c r="H8521" s="7" t="str">
        <f t="shared" si="2982"/>
        <v>棚卸以外</v>
      </c>
      <c r="I8521" s="7">
        <v>1</v>
      </c>
      <c r="J8521" s="7" t="str">
        <f>"特別管理産業廃棄物保管倉庫"</f>
        <v>特別管理産業廃棄物保管倉庫</v>
      </c>
      <c r="K8521" s="7" t="str">
        <f>"鉄骨造"</f>
        <v>鉄骨造</v>
      </c>
      <c r="L8521" s="7" t="str">
        <f>"H22.03.16"</f>
        <v>H22.03.16</v>
      </c>
      <c r="M8521" s="7">
        <v>53.27</v>
      </c>
      <c r="N8521" s="7">
        <v>6417000</v>
      </c>
      <c r="O8521" s="7">
        <v>2691000</v>
      </c>
      <c r="P8521" s="7">
        <v>0</v>
      </c>
      <c r="Q8521" s="7" t="str">
        <f t="shared" si="2970"/>
        <v>大阪港湾局</v>
      </c>
      <c r="R8521" s="7" t="str">
        <f t="shared" si="2971"/>
        <v>大阪港湾局</v>
      </c>
    </row>
    <row r="8522" spans="1:18" s="1" customFormat="1" x14ac:dyDescent="0.45">
      <c r="A8522" s="7" t="str">
        <f>"08200003033"</f>
        <v>08200003033</v>
      </c>
      <c r="B8522" s="7" t="str">
        <f>"堺港湾事務所堺１区"</f>
        <v>堺港湾事務所堺１区</v>
      </c>
      <c r="C8522" s="7" t="str">
        <f t="shared" si="2976"/>
        <v>行政財産</v>
      </c>
      <c r="D8522" s="7" t="str">
        <f>"本庁舎"</f>
        <v>本庁舎</v>
      </c>
      <c r="E8522" s="7" t="str">
        <f>"大阪府堺市　堺区塩浜町"</f>
        <v>大阪府堺市　堺区塩浜町</v>
      </c>
      <c r="F8522" s="7"/>
      <c r="G8522" s="7" t="str">
        <f>"インフラ資産"</f>
        <v>インフラ資産</v>
      </c>
      <c r="H8522" s="7" t="str">
        <f t="shared" si="2982"/>
        <v>棚卸以外</v>
      </c>
      <c r="I8522" s="7">
        <v>1</v>
      </c>
      <c r="J8522" s="7" t="str">
        <f>"事務所（Ｈ２５年度）"</f>
        <v>事務所（Ｈ２５年度）</v>
      </c>
      <c r="K8522" s="7" t="str">
        <f>"区分なし"</f>
        <v>区分なし</v>
      </c>
      <c r="L8522" s="7" t="str">
        <f>"H26.01.21"</f>
        <v>H26.01.21</v>
      </c>
      <c r="M8522" s="7">
        <v>403.43</v>
      </c>
      <c r="N8522" s="7">
        <v>76665750</v>
      </c>
      <c r="O8522" s="7">
        <v>14055470</v>
      </c>
      <c r="P8522" s="7">
        <v>0</v>
      </c>
      <c r="Q8522" s="7" t="str">
        <f t="shared" si="2970"/>
        <v>大阪港湾局</v>
      </c>
      <c r="R8522" s="7" t="str">
        <f t="shared" si="2971"/>
        <v>大阪港湾局</v>
      </c>
    </row>
    <row r="8523" spans="1:18" s="1" customFormat="1" x14ac:dyDescent="0.45">
      <c r="A8523" s="7" t="str">
        <f>"08229000030"</f>
        <v>08229000030</v>
      </c>
      <c r="B8523" s="7" t="str">
        <f>"里山管理小屋"</f>
        <v>里山管理小屋</v>
      </c>
      <c r="C8523" s="7" t="str">
        <f t="shared" ref="C8523:C8530" si="2983">"普通財産"</f>
        <v>普通財産</v>
      </c>
      <c r="D8523" s="7" t="str">
        <f t="shared" ref="D8523:D8528" si="2984">"その他"</f>
        <v>その他</v>
      </c>
      <c r="E8523" s="7" t="str">
        <f>"大阪府箕面市上止々呂美"</f>
        <v>大阪府箕面市上止々呂美</v>
      </c>
      <c r="F8523" s="7"/>
      <c r="G8523" s="7" t="str">
        <f t="shared" ref="G8523:G8530" si="2985">"事業用資産"</f>
        <v>事業用資産</v>
      </c>
      <c r="H8523" s="7" t="str">
        <f t="shared" si="2982"/>
        <v>棚卸以外</v>
      </c>
      <c r="I8523" s="7">
        <v>4</v>
      </c>
      <c r="J8523" s="7" t="str">
        <f>"車庫"</f>
        <v>車庫</v>
      </c>
      <c r="K8523" s="7" t="str">
        <f>"鉄骨造"</f>
        <v>鉄骨造</v>
      </c>
      <c r="L8523" s="7" t="str">
        <f>"H20.06.30"</f>
        <v>H20.06.30</v>
      </c>
      <c r="M8523" s="7">
        <v>94.74</v>
      </c>
      <c r="N8523" s="7">
        <v>1672000</v>
      </c>
      <c r="O8523" s="7">
        <v>795615</v>
      </c>
      <c r="P8523" s="7">
        <v>0</v>
      </c>
      <c r="Q8523" s="7" t="str">
        <f t="shared" ref="Q8523:Q8530" si="2986">"大阪都市計画局"</f>
        <v>大阪都市計画局</v>
      </c>
      <c r="R8523" s="7" t="str">
        <f t="shared" ref="R8523:R8530" si="2987">"拠点開発室"</f>
        <v>拠点開発室</v>
      </c>
    </row>
    <row r="8524" spans="1:18" s="1" customFormat="1" x14ac:dyDescent="0.45">
      <c r="A8524" s="7" t="str">
        <f>"08229000030"</f>
        <v>08229000030</v>
      </c>
      <c r="B8524" s="7" t="str">
        <f>"里山管理小屋"</f>
        <v>里山管理小屋</v>
      </c>
      <c r="C8524" s="7" t="str">
        <f t="shared" si="2983"/>
        <v>普通財産</v>
      </c>
      <c r="D8524" s="7" t="str">
        <f t="shared" si="2984"/>
        <v>その他</v>
      </c>
      <c r="E8524" s="7" t="str">
        <f>"大阪府箕面市上止々呂美"</f>
        <v>大阪府箕面市上止々呂美</v>
      </c>
      <c r="F8524" s="7"/>
      <c r="G8524" s="7" t="str">
        <f t="shared" si="2985"/>
        <v>事業用資産</v>
      </c>
      <c r="H8524" s="7" t="str">
        <f t="shared" si="2982"/>
        <v>棚卸以外</v>
      </c>
      <c r="I8524" s="7">
        <v>5</v>
      </c>
      <c r="J8524" s="7" t="str">
        <f>"倉庫"</f>
        <v>倉庫</v>
      </c>
      <c r="K8524" s="7" t="str">
        <f>"鉄骨造"</f>
        <v>鉄骨造</v>
      </c>
      <c r="L8524" s="7" t="str">
        <f>"H20.06.30"</f>
        <v>H20.06.30</v>
      </c>
      <c r="M8524" s="7">
        <v>68.64</v>
      </c>
      <c r="N8524" s="7">
        <v>1899000</v>
      </c>
      <c r="O8524" s="7">
        <v>903585</v>
      </c>
      <c r="P8524" s="7">
        <v>0</v>
      </c>
      <c r="Q8524" s="7" t="str">
        <f t="shared" si="2986"/>
        <v>大阪都市計画局</v>
      </c>
      <c r="R8524" s="7" t="str">
        <f t="shared" si="2987"/>
        <v>拠点開発室</v>
      </c>
    </row>
    <row r="8525" spans="1:18" s="1" customFormat="1" x14ac:dyDescent="0.45">
      <c r="A8525" s="7" t="str">
        <f>"08229000030"</f>
        <v>08229000030</v>
      </c>
      <c r="B8525" s="7" t="str">
        <f>"里山管理小屋"</f>
        <v>里山管理小屋</v>
      </c>
      <c r="C8525" s="7" t="str">
        <f t="shared" si="2983"/>
        <v>普通財産</v>
      </c>
      <c r="D8525" s="7" t="str">
        <f t="shared" si="2984"/>
        <v>その他</v>
      </c>
      <c r="E8525" s="7" t="str">
        <f>"大阪府箕面市上止々呂美"</f>
        <v>大阪府箕面市上止々呂美</v>
      </c>
      <c r="F8525" s="7"/>
      <c r="G8525" s="7" t="str">
        <f t="shared" si="2985"/>
        <v>事業用資産</v>
      </c>
      <c r="H8525" s="7" t="str">
        <f t="shared" si="2982"/>
        <v>棚卸以外</v>
      </c>
      <c r="I8525" s="7">
        <v>6</v>
      </c>
      <c r="J8525" s="7" t="str">
        <f>"里山管理小屋"</f>
        <v>里山管理小屋</v>
      </c>
      <c r="K8525" s="7" t="str">
        <f>"木造"</f>
        <v>木造</v>
      </c>
      <c r="L8525" s="7" t="str">
        <f>"H19.09.20"</f>
        <v>H19.09.20</v>
      </c>
      <c r="M8525" s="7">
        <v>153.9</v>
      </c>
      <c r="N8525" s="7">
        <v>11994000</v>
      </c>
      <c r="O8525" s="7">
        <v>7746156</v>
      </c>
      <c r="P8525" s="7">
        <v>0</v>
      </c>
      <c r="Q8525" s="7" t="str">
        <f t="shared" si="2986"/>
        <v>大阪都市計画局</v>
      </c>
      <c r="R8525" s="7" t="str">
        <f t="shared" si="2987"/>
        <v>拠点開発室</v>
      </c>
    </row>
    <row r="8526" spans="1:18" s="1" customFormat="1" x14ac:dyDescent="0.45">
      <c r="A8526" s="7" t="str">
        <f>"08229000030"</f>
        <v>08229000030</v>
      </c>
      <c r="B8526" s="7" t="str">
        <f>"里山管理小屋"</f>
        <v>里山管理小屋</v>
      </c>
      <c r="C8526" s="7" t="str">
        <f t="shared" si="2983"/>
        <v>普通財産</v>
      </c>
      <c r="D8526" s="7" t="str">
        <f t="shared" si="2984"/>
        <v>その他</v>
      </c>
      <c r="E8526" s="7" t="str">
        <f>"大阪府箕面市上止々呂美"</f>
        <v>大阪府箕面市上止々呂美</v>
      </c>
      <c r="F8526" s="7"/>
      <c r="G8526" s="7" t="str">
        <f t="shared" si="2985"/>
        <v>事業用資産</v>
      </c>
      <c r="H8526" s="7" t="str">
        <f t="shared" si="2982"/>
        <v>棚卸以外</v>
      </c>
      <c r="I8526" s="7">
        <v>7</v>
      </c>
      <c r="J8526" s="7" t="str">
        <f>"東屋"</f>
        <v>東屋</v>
      </c>
      <c r="K8526" s="7" t="str">
        <f>"木造"</f>
        <v>木造</v>
      </c>
      <c r="L8526" s="7" t="str">
        <f>"H19.09.20"</f>
        <v>H19.09.20</v>
      </c>
      <c r="M8526" s="7">
        <v>5.29</v>
      </c>
      <c r="N8526" s="7">
        <v>1226000</v>
      </c>
      <c r="O8526" s="7">
        <v>791802</v>
      </c>
      <c r="P8526" s="7">
        <v>0</v>
      </c>
      <c r="Q8526" s="7" t="str">
        <f t="shared" si="2986"/>
        <v>大阪都市計画局</v>
      </c>
      <c r="R8526" s="7" t="str">
        <f t="shared" si="2987"/>
        <v>拠点開発室</v>
      </c>
    </row>
    <row r="8527" spans="1:18" s="1" customFormat="1" x14ac:dyDescent="0.45">
      <c r="A8527" s="7" t="str">
        <f>"08229000030"</f>
        <v>08229000030</v>
      </c>
      <c r="B8527" s="7" t="str">
        <f>"里山管理小屋"</f>
        <v>里山管理小屋</v>
      </c>
      <c r="C8527" s="7" t="str">
        <f t="shared" si="2983"/>
        <v>普通財産</v>
      </c>
      <c r="D8527" s="7" t="str">
        <f t="shared" si="2984"/>
        <v>その他</v>
      </c>
      <c r="E8527" s="7" t="str">
        <f>"大阪府箕面市上止々呂美"</f>
        <v>大阪府箕面市上止々呂美</v>
      </c>
      <c r="F8527" s="7"/>
      <c r="G8527" s="7" t="str">
        <f t="shared" si="2985"/>
        <v>事業用資産</v>
      </c>
      <c r="H8527" s="7" t="str">
        <f t="shared" si="2982"/>
        <v>棚卸以外</v>
      </c>
      <c r="I8527" s="7">
        <v>8</v>
      </c>
      <c r="J8527" s="7" t="str">
        <f>"資材置き場"</f>
        <v>資材置き場</v>
      </c>
      <c r="K8527" s="7" t="str">
        <f>"鉄骨造"</f>
        <v>鉄骨造</v>
      </c>
      <c r="L8527" s="7" t="str">
        <f>"H19.09.20"</f>
        <v>H19.09.20</v>
      </c>
      <c r="M8527" s="7">
        <v>28.8</v>
      </c>
      <c r="N8527" s="7">
        <v>429000</v>
      </c>
      <c r="O8527" s="7">
        <v>214644</v>
      </c>
      <c r="P8527" s="7">
        <v>0</v>
      </c>
      <c r="Q8527" s="7" t="str">
        <f t="shared" si="2986"/>
        <v>大阪都市計画局</v>
      </c>
      <c r="R8527" s="7" t="str">
        <f t="shared" si="2987"/>
        <v>拠点開発室</v>
      </c>
    </row>
    <row r="8528" spans="1:18" s="1" customFormat="1" x14ac:dyDescent="0.45">
      <c r="A8528" s="7" t="str">
        <f>"08229003007"</f>
        <v>08229003007</v>
      </c>
      <c r="B8528" s="7" t="str">
        <f>"管理用トイレ"</f>
        <v>管理用トイレ</v>
      </c>
      <c r="C8528" s="7" t="str">
        <f t="shared" si="2983"/>
        <v>普通財産</v>
      </c>
      <c r="D8528" s="7" t="str">
        <f t="shared" si="2984"/>
        <v>その他</v>
      </c>
      <c r="E8528" s="7" t="str">
        <f>"大阪府箕面市森町北２丁目"</f>
        <v>大阪府箕面市森町北２丁目</v>
      </c>
      <c r="F8528" s="7"/>
      <c r="G8528" s="7" t="str">
        <f t="shared" si="2985"/>
        <v>事業用資産</v>
      </c>
      <c r="H8528" s="7" t="str">
        <f t="shared" si="2982"/>
        <v>棚卸以外</v>
      </c>
      <c r="I8528" s="7">
        <v>1</v>
      </c>
      <c r="J8528" s="7" t="str">
        <f>"管理用トイレ"</f>
        <v>管理用トイレ</v>
      </c>
      <c r="K8528" s="7" t="str">
        <f>"鉄骨造"</f>
        <v>鉄骨造</v>
      </c>
      <c r="L8528" s="7" t="str">
        <f>"H30.11.12"</f>
        <v>H30.11.12</v>
      </c>
      <c r="M8528" s="7">
        <v>11.51</v>
      </c>
      <c r="N8528" s="7">
        <v>14165280</v>
      </c>
      <c r="O8528" s="7">
        <v>1980108</v>
      </c>
      <c r="P8528" s="7">
        <v>0</v>
      </c>
      <c r="Q8528" s="7" t="str">
        <f t="shared" si="2986"/>
        <v>大阪都市計画局</v>
      </c>
      <c r="R8528" s="7" t="str">
        <f t="shared" si="2987"/>
        <v>拠点開発室</v>
      </c>
    </row>
    <row r="8529" spans="1:18" s="1" customFormat="1" x14ac:dyDescent="0.45">
      <c r="A8529" s="7" t="str">
        <f>"09054000037"</f>
        <v>09054000037</v>
      </c>
      <c r="B8529" s="7" t="str">
        <f>"りんくうタウン（旧廃棄物収集センター）"</f>
        <v>りんくうタウン（旧廃棄物収集センター）</v>
      </c>
      <c r="C8529" s="7" t="str">
        <f t="shared" si="2983"/>
        <v>普通財産</v>
      </c>
      <c r="D8529" s="7" t="str">
        <f>"元施設"</f>
        <v>元施設</v>
      </c>
      <c r="E8529" s="7" t="str">
        <f>"大阪府泉佐野市りんくう往来北"</f>
        <v>大阪府泉佐野市りんくう往来北</v>
      </c>
      <c r="F8529" s="7"/>
      <c r="G8529" s="7" t="str">
        <f t="shared" si="2985"/>
        <v>事業用資産</v>
      </c>
      <c r="H8529" s="7" t="str">
        <f t="shared" si="2982"/>
        <v>棚卸以外</v>
      </c>
      <c r="I8529" s="7">
        <v>1</v>
      </c>
      <c r="J8529" s="7" t="str">
        <f>"旧廃棄物収集センター"</f>
        <v>旧廃棄物収集センター</v>
      </c>
      <c r="K8529" s="7" t="str">
        <f>"鉄骨造"</f>
        <v>鉄骨造</v>
      </c>
      <c r="L8529" s="7" t="str">
        <f>"H08.08.26"</f>
        <v>H08.08.26</v>
      </c>
      <c r="M8529" s="7">
        <v>983.46</v>
      </c>
      <c r="N8529" s="7">
        <v>310041770</v>
      </c>
      <c r="O8529" s="7">
        <v>212646536</v>
      </c>
      <c r="P8529" s="7">
        <v>0</v>
      </c>
      <c r="Q8529" s="7" t="str">
        <f t="shared" si="2986"/>
        <v>大阪都市計画局</v>
      </c>
      <c r="R8529" s="7" t="str">
        <f t="shared" si="2987"/>
        <v>拠点開発室</v>
      </c>
    </row>
    <row r="8530" spans="1:18" s="1" customFormat="1" ht="26.4" x14ac:dyDescent="0.45">
      <c r="A8530" s="7" t="str">
        <f>"09054000044"</f>
        <v>09054000044</v>
      </c>
      <c r="B8530" s="7" t="str">
        <f>"りんくうタウンＥ５（イオンモール内交通ターミナル等）"</f>
        <v>りんくうタウンＥ５（イオンモール内交通ターミナル等）</v>
      </c>
      <c r="C8530" s="7" t="str">
        <f t="shared" si="2983"/>
        <v>普通財産</v>
      </c>
      <c r="D8530" s="7" t="str">
        <f>"元施設"</f>
        <v>元施設</v>
      </c>
      <c r="E8530" s="7" t="str">
        <f>"大阪府泉南市りんくう南浜"</f>
        <v>大阪府泉南市りんくう南浜</v>
      </c>
      <c r="F8530" s="7"/>
      <c r="G8530" s="7" t="str">
        <f t="shared" si="2985"/>
        <v>事業用資産</v>
      </c>
      <c r="H8530" s="7" t="str">
        <f t="shared" si="2982"/>
        <v>棚卸以外</v>
      </c>
      <c r="I8530" s="7">
        <v>1</v>
      </c>
      <c r="J8530" s="7" t="str">
        <f>"トイレ（イオンモール内交通ターミナル附属施設）"</f>
        <v>トイレ（イオンモール内交通ターミナル附属施設）</v>
      </c>
      <c r="K8530" s="7" t="str">
        <f>"コンクリートブロック造"</f>
        <v>コンクリートブロック造</v>
      </c>
      <c r="L8530" s="7" t="str">
        <f>"H16.11.04"</f>
        <v>H16.11.04</v>
      </c>
      <c r="M8530" s="7">
        <v>15.3</v>
      </c>
      <c r="N8530" s="7">
        <v>1645341</v>
      </c>
      <c r="O8530" s="7">
        <v>667314</v>
      </c>
      <c r="P8530" s="7">
        <v>0</v>
      </c>
      <c r="Q8530" s="7" t="str">
        <f t="shared" si="2986"/>
        <v>大阪都市計画局</v>
      </c>
      <c r="R8530" s="7" t="str">
        <f t="shared" si="2987"/>
        <v>拠点開発室</v>
      </c>
    </row>
  </sheetData>
  <autoFilter ref="A2:R8530" xr:uid="{00000000-0001-0000-0000-000000000000}"/>
  <sortState xmlns:xlrd2="http://schemas.microsoft.com/office/spreadsheetml/2017/richdata2" ref="A2:T8542">
    <sortCondition ref="A2:A8542"/>
    <sortCondition ref="I2:I8542"/>
  </sortState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①公有財産（固定資産）台帳一覧【建物】R5.3.31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2024-09-17T04:42:42Z</dcterms:created>
  <dcterms:modified xsi:type="dcterms:W3CDTF">2024-10-10T23:35:08Z</dcterms:modified>
</cp:coreProperties>
</file>